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AlfonsoSabalbosa\Downloads\"/>
    </mc:Choice>
  </mc:AlternateContent>
  <xr:revisionPtr revIDLastSave="0" documentId="13_ncr:1_{F0AD8E61-50A4-48D6-BE00-591B9A08AA71}" xr6:coauthVersionLast="47" xr6:coauthVersionMax="47" xr10:uidLastSave="{00000000-0000-0000-0000-000000000000}"/>
  <bookViews>
    <workbookView xWindow="-120" yWindow="480" windowWidth="38640" windowHeight="21240" tabRatio="847" activeTab="19" xr2:uid="{5C7DD59B-78A5-4187-AA5D-17DC84B941BD}"/>
  </bookViews>
  <sheets>
    <sheet name="ENMO TARGET" sheetId="15" r:id="rId1"/>
    <sheet name="Summary of Target" sheetId="30" r:id="rId2"/>
    <sheet name="Data Validation" sheetId="5" r:id="rId3"/>
    <sheet name="SUMMARY" sheetId="29" state="hidden" r:id="rId4"/>
    <sheet name="10-YEAR SWM PLAN" sheetId="1" r:id="rId5"/>
    <sheet name="FUNDED MRF" sheetId="2" r:id="rId6"/>
    <sheet name="SLF" sheetId="4" r:id="rId7"/>
    <sheet name="EQUIPMENT" sheetId="6" r:id="rId8"/>
    <sheet name="PDS 1st Sem" sheetId="12" state="hidden" r:id="rId9"/>
    <sheet name="Funded Rehab" sheetId="3" state="hidden" r:id="rId10"/>
    <sheet name="Sheet1" sheetId="21" state="hidden" r:id="rId11"/>
    <sheet name="ODS 3" sheetId="26" r:id="rId12"/>
    <sheet name="TECHNICAL ASSISTANCE TO BRGY." sheetId="31" r:id="rId13"/>
    <sheet name="LGU Initiated MRF" sheetId="27" r:id="rId14"/>
    <sheet name="TRASH TRAP" sheetId="17" r:id="rId15"/>
    <sheet name="RCA" sheetId="9" r:id="rId16"/>
    <sheet name="PDS" sheetId="16" r:id="rId17"/>
    <sheet name="Holidays_Suspensions" sheetId="34" state="hidden" r:id="rId18"/>
    <sheet name="TRANSFER STATION" sheetId="8" r:id="rId19"/>
    <sheet name="LGU ASST. &amp; WASTE DIVERSION REC" sheetId="32" r:id="rId20"/>
    <sheet name="SUMMARY OF ACCOMPLISHMENT" sheetId="35" r:id="rId21"/>
    <sheet name="Other Reports" sheetId="37" r:id="rId22"/>
    <sheet name="IPCR PURPOSES" sheetId="36" r:id="rId23"/>
  </sheets>
  <definedNames>
    <definedName name="_xlnm._FilterDatabase" localSheetId="4" hidden="1">'10-YEAR SWM PLAN'!$A$1:$BD$127</definedName>
    <definedName name="_xlnm._FilterDatabase" localSheetId="7" hidden="1">EQUIPMENT!$A$1:$AH$136</definedName>
    <definedName name="_xlnm._FilterDatabase" localSheetId="5" hidden="1">'FUNDED MRF'!$A$1:$AS$113</definedName>
    <definedName name="_xlnm._FilterDatabase" localSheetId="9" hidden="1">'Funded Rehab'!$A$1:$AQ$55</definedName>
    <definedName name="_xlnm._FilterDatabase" localSheetId="19" hidden="1">'LGU ASST. &amp; WASTE DIVERSION REC'!$A$1:$U$1</definedName>
    <definedName name="_xlnm._FilterDatabase" localSheetId="13" hidden="1">'LGU Initiated MRF'!$A$1:$AQ$81</definedName>
    <definedName name="_xlnm._FilterDatabase" localSheetId="11" hidden="1">'ODS 3'!$A$1:$AQ$4</definedName>
    <definedName name="_xlnm._FilterDatabase" localSheetId="16" hidden="1">PDS!$A$1:$AJ$22</definedName>
    <definedName name="_xlnm._FilterDatabase" localSheetId="8" hidden="1">'PDS 1st Sem'!$A$1:$AH$22</definedName>
    <definedName name="_xlnm._FilterDatabase" localSheetId="15" hidden="1">RCA!$A$1:$AU$10</definedName>
    <definedName name="_xlnm._FilterDatabase" localSheetId="6" hidden="1">SLF!$A$1:$AX$20</definedName>
    <definedName name="_xlnm._FilterDatabase" localSheetId="12" hidden="1">'TECHNICAL ASSISTANCE TO BRGY.'!$A$1:$X$3106</definedName>
    <definedName name="_xlnm._FilterDatabase" localSheetId="18" hidden="1">'TRANSFER STATION'!$A$1:$AM$18</definedName>
    <definedName name="_xlnm._FilterDatabase" localSheetId="14" hidden="1">'TRASH TRAP'!$A$1:$AH$144</definedName>
    <definedName name="ENMO">'Data Validation'!$C$14:$C$36</definedName>
    <definedName name="ESWM_FOCAL">'Data Validation'!$E$14:$E$19</definedName>
    <definedName name="ESWM_STAFF">'Data Validation'!$D$14</definedName>
    <definedName name="ExternalData_1" localSheetId="17" hidden="1">Holidays_Suspensions!$A$1:$H$12</definedName>
    <definedName name="Holiday_Dates">_xlfn.LET(     _xlpm.combined,     _xlfn.VSTACK(         Holidays_Suspensions!$A$3:INDEX(Holidays_Suspensions!$A:$A, COUNTA(Holidays_Suspensions!$A:$A)+2),         Holidays_Suspensions!$C$3:INDEX(Holidays_Suspensions!$C:$C, COUNTA(Holidays_Suspensions!$C:$C)+2),         Holidays_Suspensions!$F$3:INDEX(Holidays_Suspensions!$F:$F, COUNTA(Holidays_Suspensions!$F:$F)+2)     ),     _xlfn._xlws.FILTER(_xlpm.combined, _xlpm.combined &lt;&gt; "") )</definedName>
  </definedNames>
  <calcPr calcId="191028"/>
  <pivotCaches>
    <pivotCache cacheId="0" r:id="rId24"/>
    <pivotCache cacheId="1" r:id="rId25"/>
    <pivotCache cacheId="2" r:id="rId26"/>
    <pivotCache cacheId="3" r:id="rId27"/>
    <pivotCache cacheId="4" r:id="rId28"/>
    <pivotCache cacheId="5" r:id="rId29"/>
    <pivotCache cacheId="6" r:id="rId30"/>
    <pivotCache cacheId="7" r:id="rId31"/>
    <pivotCache cacheId="8" r:id="rId32"/>
    <pivotCache cacheId="9" r:id="rId33"/>
    <pivotCache cacheId="10" r:id="rId34"/>
    <pivotCache cacheId="11" r:id="rId3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2" i="1" l="1"/>
  <c r="BB21" i="1"/>
  <c r="G42" i="17"/>
  <c r="AA139" i="35"/>
  <c r="AA138" i="35"/>
  <c r="AA137" i="35"/>
  <c r="AA136" i="35"/>
  <c r="AA134" i="35"/>
  <c r="AA133" i="35"/>
  <c r="AA132" i="35"/>
  <c r="AA131" i="35"/>
  <c r="AA129" i="35"/>
  <c r="AA128" i="35"/>
  <c r="AA127" i="35"/>
  <c r="AA126" i="35"/>
  <c r="AA125" i="35"/>
  <c r="AA124" i="35"/>
  <c r="AA123" i="35"/>
  <c r="AA122" i="35"/>
  <c r="AA121" i="35"/>
  <c r="AA120" i="35"/>
  <c r="AA155" i="35"/>
  <c r="AA154" i="35"/>
  <c r="AA153" i="35"/>
  <c r="AA152" i="35"/>
  <c r="AA151" i="35"/>
  <c r="AA150" i="35"/>
  <c r="AA149" i="35"/>
  <c r="AA148" i="35"/>
  <c r="AA147" i="35"/>
  <c r="AA146" i="35"/>
  <c r="AA144" i="35"/>
  <c r="AA143" i="35"/>
  <c r="AA142" i="35"/>
  <c r="AA141" i="35"/>
  <c r="AA92" i="35"/>
  <c r="AA91" i="35"/>
  <c r="AA90" i="35"/>
  <c r="AA89" i="35"/>
  <c r="AA88" i="35"/>
  <c r="AA87" i="35"/>
  <c r="AA86" i="35"/>
  <c r="AA85" i="35"/>
  <c r="AA84" i="35" s="1"/>
  <c r="AA25" i="35"/>
  <c r="AA24" i="35"/>
  <c r="AA23" i="35"/>
  <c r="AA22" i="35"/>
  <c r="AA20" i="35"/>
  <c r="AA19" i="35"/>
  <c r="AA18" i="35"/>
  <c r="AA17" i="35"/>
  <c r="AA15" i="35"/>
  <c r="AA14" i="35"/>
  <c r="AA13" i="35"/>
  <c r="AA12" i="35"/>
  <c r="AA110" i="35"/>
  <c r="AA104" i="35"/>
  <c r="AA103" i="35"/>
  <c r="AA102" i="35"/>
  <c r="AA101" i="35"/>
  <c r="AA100" i="35"/>
  <c r="AA99" i="35"/>
  <c r="AA98" i="35"/>
  <c r="AA93" i="35"/>
  <c r="AA83" i="35"/>
  <c r="AA82" i="35"/>
  <c r="AA81" i="35"/>
  <c r="AA80" i="35"/>
  <c r="AA79" i="35"/>
  <c r="AA78" i="35"/>
  <c r="AA77" i="35"/>
  <c r="AA75" i="35"/>
  <c r="AA74" i="35"/>
  <c r="AA73" i="35"/>
  <c r="AA72" i="35"/>
  <c r="AA71" i="35"/>
  <c r="AA70" i="35"/>
  <c r="AA69" i="35"/>
  <c r="AA68" i="35"/>
  <c r="AA67" i="35" s="1"/>
  <c r="AA66" i="35"/>
  <c r="AA65" i="35"/>
  <c r="AA64" i="35"/>
  <c r="AA63" i="35"/>
  <c r="AA62" i="35"/>
  <c r="AA61" i="35"/>
  <c r="AA60" i="35"/>
  <c r="AA59" i="35"/>
  <c r="AA58" i="35"/>
  <c r="AA55" i="35"/>
  <c r="AA51" i="35"/>
  <c r="AA46" i="35"/>
  <c r="AA42" i="35"/>
  <c r="AA37" i="35"/>
  <c r="AA33" i="35"/>
  <c r="AA26" i="35"/>
  <c r="AA10" i="35"/>
  <c r="W155" i="35"/>
  <c r="W154" i="35"/>
  <c r="AA9" i="35"/>
  <c r="W153" i="35"/>
  <c r="W152" i="35"/>
  <c r="W151" i="35"/>
  <c r="AA8" i="35"/>
  <c r="W150" i="35"/>
  <c r="W149" i="35"/>
  <c r="AA6" i="35"/>
  <c r="W148" i="35"/>
  <c r="W147" i="35"/>
  <c r="AA5" i="35"/>
  <c r="W146" i="35"/>
  <c r="W144" i="35"/>
  <c r="W143" i="35"/>
  <c r="W142" i="35"/>
  <c r="W141" i="35"/>
  <c r="W103" i="35"/>
  <c r="W102" i="35"/>
  <c r="W101" i="35"/>
  <c r="W100" i="35"/>
  <c r="W99" i="35"/>
  <c r="W98" i="35"/>
  <c r="AA4" i="35"/>
  <c r="AA7" i="35"/>
  <c r="AA3" i="35"/>
  <c r="W83" i="35"/>
  <c r="W82" i="35"/>
  <c r="W81" i="35"/>
  <c r="W80" i="35"/>
  <c r="W79" i="35"/>
  <c r="W78" i="35"/>
  <c r="W77" i="35"/>
  <c r="W75" i="35"/>
  <c r="W74" i="35"/>
  <c r="W73" i="35"/>
  <c r="W72" i="35"/>
  <c r="W71" i="35"/>
  <c r="W70" i="35"/>
  <c r="W67" i="35" s="1"/>
  <c r="W69" i="35"/>
  <c r="W68" i="35"/>
  <c r="W66" i="35"/>
  <c r="W65" i="35"/>
  <c r="W64" i="35"/>
  <c r="W63" i="35"/>
  <c r="W62" i="35"/>
  <c r="W61" i="35"/>
  <c r="W60" i="35"/>
  <c r="W59" i="35"/>
  <c r="W58" i="35"/>
  <c r="W20" i="35"/>
  <c r="W19" i="35"/>
  <c r="W18" i="35"/>
  <c r="W17" i="35"/>
  <c r="W15" i="35"/>
  <c r="W14" i="35"/>
  <c r="W13" i="35"/>
  <c r="W12" i="35"/>
  <c r="W9" i="35"/>
  <c r="W8" i="35"/>
  <c r="W7" i="35"/>
  <c r="W6" i="35"/>
  <c r="W5" i="35"/>
  <c r="W4" i="35"/>
  <c r="W10" i="35"/>
  <c r="W3" i="35"/>
  <c r="AE83" i="35"/>
  <c r="AE82" i="35"/>
  <c r="AE81" i="35"/>
  <c r="AE80" i="35"/>
  <c r="AE79" i="35"/>
  <c r="AE77" i="35"/>
  <c r="AE78" i="35"/>
  <c r="AE155" i="35"/>
  <c r="AE154" i="35"/>
  <c r="AE153" i="35"/>
  <c r="AE152" i="35"/>
  <c r="AE151" i="35"/>
  <c r="AE150" i="35"/>
  <c r="AE149" i="35"/>
  <c r="AE148" i="35"/>
  <c r="AE147" i="35"/>
  <c r="AE146" i="35"/>
  <c r="AE144" i="35"/>
  <c r="AE143" i="35"/>
  <c r="AE142" i="35"/>
  <c r="AE141" i="35"/>
  <c r="AE134" i="35"/>
  <c r="AE133" i="35"/>
  <c r="AE132" i="35"/>
  <c r="AE131" i="35"/>
  <c r="AE118" i="35"/>
  <c r="AE117" i="35"/>
  <c r="AE116" i="35"/>
  <c r="AE115" i="35"/>
  <c r="AE114" i="35"/>
  <c r="AE113" i="35"/>
  <c r="AE112" i="35"/>
  <c r="AE111" i="35"/>
  <c r="AE96" i="35"/>
  <c r="AE95" i="35"/>
  <c r="AE94" i="35"/>
  <c r="AE97" i="35"/>
  <c r="AE92" i="35"/>
  <c r="AE91" i="35"/>
  <c r="AE90" i="35"/>
  <c r="AE89" i="35"/>
  <c r="AE88" i="35"/>
  <c r="AE87" i="35"/>
  <c r="AE86" i="35"/>
  <c r="AE85" i="35"/>
  <c r="AE66" i="35"/>
  <c r="AE65" i="35"/>
  <c r="AE64" i="35"/>
  <c r="AE63" i="35"/>
  <c r="AE62" i="35"/>
  <c r="AE61" i="35"/>
  <c r="AE60" i="35"/>
  <c r="AE59" i="35"/>
  <c r="AE58" i="35"/>
  <c r="AE41" i="35"/>
  <c r="AE40" i="35"/>
  <c r="AE39" i="35"/>
  <c r="AE38" i="35"/>
  <c r="AE32" i="35"/>
  <c r="AE31" i="35"/>
  <c r="AE30" i="35"/>
  <c r="AE29" i="35"/>
  <c r="AE28" i="35"/>
  <c r="AE27" i="35"/>
  <c r="AE25" i="35"/>
  <c r="AE24" i="35"/>
  <c r="AE23" i="35"/>
  <c r="AE22" i="35"/>
  <c r="AE21" i="35" s="1"/>
  <c r="AD155" i="35"/>
  <c r="AD154" i="35"/>
  <c r="AD153" i="35"/>
  <c r="AD152" i="35"/>
  <c r="AD151" i="35"/>
  <c r="AD150" i="35"/>
  <c r="AD149" i="35"/>
  <c r="AD148" i="35"/>
  <c r="AD147" i="35"/>
  <c r="AD146" i="35"/>
  <c r="AD144" i="35"/>
  <c r="AD143" i="35"/>
  <c r="AD142" i="35"/>
  <c r="AD141" i="35"/>
  <c r="AD75" i="35"/>
  <c r="AD74" i="35"/>
  <c r="AD73" i="35"/>
  <c r="AC71" i="35"/>
  <c r="AD72" i="35"/>
  <c r="AD71" i="35"/>
  <c r="AD70" i="35"/>
  <c r="AD69" i="35"/>
  <c r="AD68" i="35"/>
  <c r="AD15" i="35"/>
  <c r="AD14" i="35"/>
  <c r="AD13" i="35"/>
  <c r="AD12" i="35"/>
  <c r="AD10" i="35"/>
  <c r="AD9" i="35"/>
  <c r="AD8" i="35"/>
  <c r="AD7" i="35"/>
  <c r="AD6" i="35"/>
  <c r="AD5" i="35"/>
  <c r="AD4" i="35"/>
  <c r="AD3" i="35"/>
  <c r="Y155" i="35"/>
  <c r="Y154" i="35"/>
  <c r="Y153" i="35"/>
  <c r="Y152" i="35"/>
  <c r="Y151" i="35"/>
  <c r="Y150" i="35"/>
  <c r="Y149" i="35"/>
  <c r="Y148" i="35"/>
  <c r="Y147" i="35"/>
  <c r="Y146" i="35"/>
  <c r="Y144" i="35"/>
  <c r="Y143" i="35"/>
  <c r="Y142" i="35"/>
  <c r="Y141" i="35"/>
  <c r="Y53" i="35"/>
  <c r="Y52" i="35"/>
  <c r="Y54" i="35"/>
  <c r="AC154" i="35"/>
  <c r="AC155" i="35"/>
  <c r="AC153" i="35"/>
  <c r="AC152" i="35"/>
  <c r="AC151" i="35"/>
  <c r="AC150" i="35"/>
  <c r="AC149" i="35"/>
  <c r="AC148" i="35"/>
  <c r="AC147" i="35"/>
  <c r="AC146" i="35"/>
  <c r="AC144" i="35"/>
  <c r="AC143" i="35"/>
  <c r="AC142" i="35"/>
  <c r="AC141" i="35"/>
  <c r="AC139" i="35"/>
  <c r="AC138" i="35"/>
  <c r="AC137" i="35"/>
  <c r="AC136" i="35"/>
  <c r="AC134" i="35"/>
  <c r="AC133" i="35"/>
  <c r="AC132" i="35"/>
  <c r="AC131" i="35"/>
  <c r="AC129" i="35"/>
  <c r="AC128" i="35"/>
  <c r="AC127" i="35"/>
  <c r="AC126" i="35"/>
  <c r="AC125" i="35"/>
  <c r="AC124" i="35"/>
  <c r="AC123" i="35"/>
  <c r="AC122" i="35"/>
  <c r="AC121" i="35"/>
  <c r="AC120" i="35"/>
  <c r="AC118" i="35"/>
  <c r="AC117" i="35"/>
  <c r="AC116" i="35"/>
  <c r="AC115" i="35"/>
  <c r="AC114" i="35"/>
  <c r="AC113" i="35"/>
  <c r="AC112" i="35"/>
  <c r="AC111" i="35"/>
  <c r="AC109" i="35"/>
  <c r="AC108" i="35"/>
  <c r="AC107" i="35"/>
  <c r="AC106" i="35"/>
  <c r="AC105" i="35"/>
  <c r="AC103" i="35"/>
  <c r="AC102" i="35"/>
  <c r="AC101" i="35"/>
  <c r="AC100" i="35"/>
  <c r="AC99" i="35"/>
  <c r="AC98" i="35"/>
  <c r="AC96" i="35"/>
  <c r="AC95" i="35"/>
  <c r="AC94" i="35"/>
  <c r="AC92" i="35"/>
  <c r="AC91" i="35"/>
  <c r="AC90" i="35"/>
  <c r="AC89" i="35"/>
  <c r="AC88" i="35"/>
  <c r="AC87" i="35"/>
  <c r="AC86" i="35"/>
  <c r="AC85" i="35"/>
  <c r="AC83" i="35"/>
  <c r="AC82" i="35"/>
  <c r="AC81" i="35"/>
  <c r="AC80" i="35"/>
  <c r="AC79" i="35"/>
  <c r="AC78" i="35"/>
  <c r="AC77" i="35"/>
  <c r="AC75" i="35"/>
  <c r="AC74" i="35"/>
  <c r="AC73" i="35"/>
  <c r="AC72" i="35"/>
  <c r="AC70" i="35"/>
  <c r="AC69" i="35"/>
  <c r="AC68" i="35"/>
  <c r="AC66" i="35"/>
  <c r="AC65" i="35"/>
  <c r="AC64" i="35"/>
  <c r="AC63" i="35"/>
  <c r="AC62" i="35"/>
  <c r="AC61" i="35"/>
  <c r="AC60" i="35"/>
  <c r="AC59" i="35"/>
  <c r="AC58" i="35"/>
  <c r="AC56" i="35"/>
  <c r="AC54" i="35"/>
  <c r="AC53" i="35"/>
  <c r="AC52" i="35"/>
  <c r="AC50" i="35"/>
  <c r="AC49" i="35"/>
  <c r="AC48" i="35"/>
  <c r="AC47" i="35"/>
  <c r="AC45" i="35"/>
  <c r="AC44" i="35"/>
  <c r="AC43" i="35"/>
  <c r="AC41" i="35"/>
  <c r="AC40" i="35"/>
  <c r="AC39" i="35"/>
  <c r="AC38" i="35"/>
  <c r="AC36" i="35"/>
  <c r="AC35" i="35"/>
  <c r="AC34" i="35"/>
  <c r="AC32" i="35"/>
  <c r="AC31" i="35"/>
  <c r="AC30" i="35"/>
  <c r="AC29" i="35"/>
  <c r="AC28" i="35"/>
  <c r="AC27" i="35"/>
  <c r="AC25" i="35"/>
  <c r="AC24" i="35"/>
  <c r="AC23" i="35"/>
  <c r="AC22" i="35"/>
  <c r="AC20" i="35"/>
  <c r="AC19" i="35"/>
  <c r="AC18" i="35"/>
  <c r="AC17" i="35"/>
  <c r="AC15" i="35"/>
  <c r="AC14" i="35"/>
  <c r="AC13" i="35"/>
  <c r="AC12" i="35"/>
  <c r="AC10" i="35"/>
  <c r="AC9" i="35"/>
  <c r="AC8" i="35"/>
  <c r="AC7" i="35"/>
  <c r="AC6" i="35"/>
  <c r="AC5" i="35"/>
  <c r="AC4" i="35"/>
  <c r="AC3" i="35"/>
  <c r="AC130" i="35"/>
  <c r="AC16" i="35"/>
  <c r="V155" i="35"/>
  <c r="V152" i="35"/>
  <c r="V131" i="35"/>
  <c r="V129" i="35"/>
  <c r="V109" i="35"/>
  <c r="V108" i="35"/>
  <c r="V102" i="35"/>
  <c r="V88" i="35"/>
  <c r="V86" i="35"/>
  <c r="V81" i="35"/>
  <c r="V73" i="35"/>
  <c r="V71" i="35"/>
  <c r="V56" i="35"/>
  <c r="V54" i="35"/>
  <c r="V43" i="35"/>
  <c r="V39" i="35"/>
  <c r="V34" i="35"/>
  <c r="V148" i="35"/>
  <c r="V154" i="35"/>
  <c r="V153" i="35"/>
  <c r="AB118" i="35"/>
  <c r="AB117" i="35"/>
  <c r="AB116" i="35"/>
  <c r="V151" i="35"/>
  <c r="AB115" i="35"/>
  <c r="V150" i="35"/>
  <c r="AB114" i="35"/>
  <c r="V149" i="35"/>
  <c r="AB113" i="35"/>
  <c r="AB112" i="35"/>
  <c r="AB111" i="35"/>
  <c r="V147" i="35"/>
  <c r="V146" i="35"/>
  <c r="AB109" i="35"/>
  <c r="AB108" i="35"/>
  <c r="V144" i="35"/>
  <c r="AB107" i="35"/>
  <c r="AB106" i="35"/>
  <c r="V143" i="35"/>
  <c r="AB105" i="35"/>
  <c r="V142" i="35"/>
  <c r="AB103" i="35"/>
  <c r="AB102" i="35"/>
  <c r="AB101" i="35"/>
  <c r="AB100" i="35"/>
  <c r="AB99" i="35"/>
  <c r="AB98" i="35"/>
  <c r="AB96" i="35"/>
  <c r="AB95" i="35"/>
  <c r="AB94" i="35"/>
  <c r="AB92" i="35"/>
  <c r="AB91" i="35"/>
  <c r="AB90" i="35"/>
  <c r="AB89" i="35"/>
  <c r="AB88" i="35"/>
  <c r="AB87" i="35"/>
  <c r="AB86" i="35"/>
  <c r="AB85" i="35"/>
  <c r="AB83" i="35"/>
  <c r="AB82" i="35"/>
  <c r="AB81" i="35"/>
  <c r="AB80" i="35"/>
  <c r="AB79" i="35"/>
  <c r="AB78" i="35"/>
  <c r="AB77" i="35"/>
  <c r="AB75" i="35"/>
  <c r="AB74" i="35"/>
  <c r="AB73" i="35"/>
  <c r="AB72" i="35"/>
  <c r="AB71" i="35"/>
  <c r="AB70" i="35"/>
  <c r="AB69" i="35"/>
  <c r="AB68" i="35"/>
  <c r="AB66" i="35"/>
  <c r="AB65" i="35"/>
  <c r="AB64" i="35"/>
  <c r="V141" i="35"/>
  <c r="AB63" i="35"/>
  <c r="AB62" i="35"/>
  <c r="AB61" i="35"/>
  <c r="AB60" i="35"/>
  <c r="AB59" i="35"/>
  <c r="V139" i="35"/>
  <c r="V138" i="35"/>
  <c r="V137" i="35"/>
  <c r="V136" i="35"/>
  <c r="V134" i="35"/>
  <c r="V133" i="35"/>
  <c r="V132" i="35"/>
  <c r="V128" i="35"/>
  <c r="V127" i="35"/>
  <c r="V126" i="35"/>
  <c r="V125" i="35"/>
  <c r="V124" i="35"/>
  <c r="V123" i="35"/>
  <c r="V122" i="35"/>
  <c r="V121" i="35"/>
  <c r="V120" i="35"/>
  <c r="AB58" i="35"/>
  <c r="AB56" i="35"/>
  <c r="AB54" i="35"/>
  <c r="AB53" i="35"/>
  <c r="AB52" i="35"/>
  <c r="AB50" i="35"/>
  <c r="AB49" i="35"/>
  <c r="AB48" i="35"/>
  <c r="V118" i="35"/>
  <c r="AB47" i="35"/>
  <c r="V117" i="35"/>
  <c r="V116" i="35"/>
  <c r="V115" i="35"/>
  <c r="AB45" i="35"/>
  <c r="V114" i="35"/>
  <c r="AB44" i="35"/>
  <c r="V113" i="35"/>
  <c r="V112" i="35"/>
  <c r="AB43" i="35"/>
  <c r="V111" i="35"/>
  <c r="AB41" i="35"/>
  <c r="AB40" i="35"/>
  <c r="AB39" i="35"/>
  <c r="V107" i="35"/>
  <c r="AB38" i="35"/>
  <c r="AB37" i="35" s="1"/>
  <c r="V106" i="35"/>
  <c r="V105" i="35"/>
  <c r="AB36" i="35"/>
  <c r="V103" i="35"/>
  <c r="AB35" i="35"/>
  <c r="AB34" i="35"/>
  <c r="AB33" i="35" s="1"/>
  <c r="V101" i="35"/>
  <c r="V100" i="35"/>
  <c r="V99" i="35"/>
  <c r="V98" i="35"/>
  <c r="V96" i="35"/>
  <c r="V95" i="35"/>
  <c r="V94" i="35"/>
  <c r="AB32" i="35"/>
  <c r="AB31" i="35"/>
  <c r="AB30" i="35"/>
  <c r="AB29" i="35"/>
  <c r="AB28" i="35"/>
  <c r="AB26" i="35" s="1"/>
  <c r="AB27" i="35"/>
  <c r="V92" i="35"/>
  <c r="V91" i="35"/>
  <c r="V90" i="35"/>
  <c r="V89" i="35"/>
  <c r="V87" i="35"/>
  <c r="V85" i="35"/>
  <c r="V83" i="35"/>
  <c r="V82" i="35"/>
  <c r="V80" i="35"/>
  <c r="V79" i="35"/>
  <c r="V78" i="35"/>
  <c r="V77" i="35"/>
  <c r="X156" i="35"/>
  <c r="V75" i="35"/>
  <c r="V74" i="35"/>
  <c r="V72" i="35"/>
  <c r="V70" i="35"/>
  <c r="V69" i="35"/>
  <c r="V68" i="35"/>
  <c r="V67" i="35" s="1"/>
  <c r="V66" i="35"/>
  <c r="V65" i="35"/>
  <c r="V64" i="35"/>
  <c r="V63" i="35"/>
  <c r="V62" i="35"/>
  <c r="V61" i="35"/>
  <c r="V60" i="35"/>
  <c r="V59" i="35"/>
  <c r="V57" i="35" s="1"/>
  <c r="V58" i="35"/>
  <c r="X155" i="35"/>
  <c r="X154" i="35"/>
  <c r="X153" i="35"/>
  <c r="X152" i="35"/>
  <c r="X151" i="35"/>
  <c r="X150" i="35"/>
  <c r="X149" i="35"/>
  <c r="X148" i="35"/>
  <c r="X147" i="35"/>
  <c r="X146" i="35"/>
  <c r="X144" i="35"/>
  <c r="X143" i="35"/>
  <c r="X142" i="35"/>
  <c r="X141" i="35"/>
  <c r="X139" i="35"/>
  <c r="X138" i="35"/>
  <c r="X137" i="35"/>
  <c r="X136" i="35"/>
  <c r="X134" i="35"/>
  <c r="X133" i="35"/>
  <c r="X132" i="35"/>
  <c r="X131" i="35"/>
  <c r="X129" i="35"/>
  <c r="X128" i="35"/>
  <c r="X127" i="35"/>
  <c r="X126" i="35"/>
  <c r="X125" i="35"/>
  <c r="X124" i="35"/>
  <c r="X123" i="35"/>
  <c r="X122" i="35"/>
  <c r="X121" i="35"/>
  <c r="X120" i="35"/>
  <c r="X118" i="35"/>
  <c r="X117" i="35"/>
  <c r="X116" i="35"/>
  <c r="X115" i="35"/>
  <c r="X114" i="35"/>
  <c r="X113" i="35"/>
  <c r="X112" i="35"/>
  <c r="X111" i="35"/>
  <c r="X109" i="35"/>
  <c r="X108" i="35"/>
  <c r="X107" i="35"/>
  <c r="X106" i="35"/>
  <c r="X105" i="35"/>
  <c r="X103" i="35"/>
  <c r="X102" i="35"/>
  <c r="X99" i="35"/>
  <c r="X100" i="35"/>
  <c r="X101" i="35"/>
  <c r="X98" i="35"/>
  <c r="X96" i="35"/>
  <c r="X95" i="35"/>
  <c r="X94" i="35"/>
  <c r="X92" i="35"/>
  <c r="X91" i="35"/>
  <c r="X90" i="35"/>
  <c r="X89" i="35"/>
  <c r="X88" i="35"/>
  <c r="X87" i="35"/>
  <c r="X86" i="35"/>
  <c r="X85" i="35"/>
  <c r="X83" i="35"/>
  <c r="X82" i="35"/>
  <c r="X81" i="35"/>
  <c r="X80" i="35"/>
  <c r="X79" i="35"/>
  <c r="X78" i="35"/>
  <c r="X77" i="35"/>
  <c r="V53" i="35"/>
  <c r="V52" i="35"/>
  <c r="V51" i="35" s="1"/>
  <c r="V50" i="35"/>
  <c r="V46" i="35" s="1"/>
  <c r="V49" i="35"/>
  <c r="V48" i="35"/>
  <c r="V47" i="35"/>
  <c r="V45" i="35"/>
  <c r="X75" i="35"/>
  <c r="X74" i="35"/>
  <c r="X73" i="35"/>
  <c r="V44" i="35"/>
  <c r="X72" i="35"/>
  <c r="X71" i="35"/>
  <c r="X70" i="35"/>
  <c r="X69" i="35"/>
  <c r="X68" i="35"/>
  <c r="V41" i="35"/>
  <c r="V37" i="35" s="1"/>
  <c r="X66" i="35"/>
  <c r="X65" i="35"/>
  <c r="V40" i="35"/>
  <c r="X64" i="35"/>
  <c r="X63" i="35"/>
  <c r="V38" i="35"/>
  <c r="V36" i="35"/>
  <c r="V35" i="35"/>
  <c r="V33" i="35" s="1"/>
  <c r="V32" i="35"/>
  <c r="V31" i="35"/>
  <c r="V30" i="35"/>
  <c r="V29" i="35"/>
  <c r="V28" i="35"/>
  <c r="V26" i="35" s="1"/>
  <c r="V24" i="35"/>
  <c r="V25" i="35"/>
  <c r="V23" i="35"/>
  <c r="V22" i="35"/>
  <c r="V20" i="35"/>
  <c r="V19" i="35"/>
  <c r="V18" i="35"/>
  <c r="V17" i="35"/>
  <c r="V16" i="35" s="1"/>
  <c r="X62" i="35"/>
  <c r="X61" i="35"/>
  <c r="X60" i="35"/>
  <c r="X59" i="35"/>
  <c r="X58" i="35"/>
  <c r="X56" i="35"/>
  <c r="X54" i="35"/>
  <c r="X53" i="35"/>
  <c r="X52" i="35"/>
  <c r="X50" i="35"/>
  <c r="X49" i="35"/>
  <c r="X48" i="35"/>
  <c r="X47" i="35"/>
  <c r="X45" i="35"/>
  <c r="X44" i="35"/>
  <c r="X43" i="35"/>
  <c r="X41" i="35"/>
  <c r="X40" i="35"/>
  <c r="X39" i="35"/>
  <c r="X37" i="35" s="1"/>
  <c r="X38" i="35"/>
  <c r="X36" i="35"/>
  <c r="X35" i="35"/>
  <c r="X34" i="35"/>
  <c r="X32" i="35"/>
  <c r="X31" i="35"/>
  <c r="X30" i="35"/>
  <c r="X29" i="35"/>
  <c r="X28" i="35"/>
  <c r="X27" i="35"/>
  <c r="X26" i="35" s="1"/>
  <c r="X25" i="35"/>
  <c r="X24" i="35"/>
  <c r="X23" i="35"/>
  <c r="X22" i="35"/>
  <c r="X20" i="35"/>
  <c r="X19" i="35"/>
  <c r="X18" i="35"/>
  <c r="X17" i="35"/>
  <c r="X16" i="35" s="1"/>
  <c r="X15" i="35"/>
  <c r="X14" i="35"/>
  <c r="X13" i="35"/>
  <c r="X12" i="35"/>
  <c r="X10" i="35"/>
  <c r="X9" i="35"/>
  <c r="X8" i="35"/>
  <c r="X7" i="35"/>
  <c r="X6" i="35"/>
  <c r="X5" i="35"/>
  <c r="X4" i="35"/>
  <c r="X3" i="35"/>
  <c r="AB135" i="35"/>
  <c r="V15" i="35"/>
  <c r="V14" i="35"/>
  <c r="V13" i="35"/>
  <c r="V27" i="35"/>
  <c r="V12" i="35"/>
  <c r="V10" i="35"/>
  <c r="V9" i="35"/>
  <c r="V8" i="35"/>
  <c r="V7" i="35"/>
  <c r="V6" i="35"/>
  <c r="V5" i="35"/>
  <c r="V4" i="35"/>
  <c r="V3" i="35"/>
  <c r="Z89" i="35"/>
  <c r="Z73" i="35"/>
  <c r="Z85" i="35"/>
  <c r="Z92" i="35"/>
  <c r="Z91" i="35"/>
  <c r="Z90" i="35"/>
  <c r="Z88" i="35"/>
  <c r="Z87" i="35"/>
  <c r="Z86" i="35"/>
  <c r="Z83" i="35"/>
  <c r="Z82" i="35"/>
  <c r="Z81" i="35"/>
  <c r="Z80" i="35"/>
  <c r="Z79" i="35"/>
  <c r="Z78" i="35"/>
  <c r="Z77" i="35"/>
  <c r="Z75" i="35"/>
  <c r="Z74" i="35"/>
  <c r="Z72" i="35"/>
  <c r="Z71" i="35"/>
  <c r="Z70" i="35"/>
  <c r="Z69" i="35"/>
  <c r="Z68" i="35"/>
  <c r="Z66" i="35"/>
  <c r="Z65" i="35"/>
  <c r="Z64" i="35"/>
  <c r="Z63" i="35"/>
  <c r="Z62" i="35"/>
  <c r="Z61" i="35"/>
  <c r="Z60" i="35"/>
  <c r="Z59" i="35"/>
  <c r="Z58" i="35"/>
  <c r="Z155" i="35"/>
  <c r="Z154" i="35"/>
  <c r="Z153" i="35"/>
  <c r="Z152" i="35"/>
  <c r="Z151" i="35"/>
  <c r="Z150" i="35"/>
  <c r="Z149" i="35"/>
  <c r="Z148" i="35"/>
  <c r="Z147" i="35"/>
  <c r="Z146" i="35"/>
  <c r="Z144" i="35"/>
  <c r="Z143" i="35"/>
  <c r="Z142" i="35"/>
  <c r="Z141" i="35"/>
  <c r="Z139" i="35"/>
  <c r="Z138" i="35"/>
  <c r="Z137" i="35"/>
  <c r="Z136" i="35"/>
  <c r="Z134" i="35"/>
  <c r="Z133" i="35"/>
  <c r="Z132" i="35"/>
  <c r="Z131" i="35"/>
  <c r="Z129" i="35"/>
  <c r="Z128" i="35"/>
  <c r="Z127" i="35"/>
  <c r="Z126" i="35"/>
  <c r="Z125" i="35"/>
  <c r="Z124" i="35"/>
  <c r="Z123" i="35"/>
  <c r="Z122" i="35"/>
  <c r="Z121" i="35"/>
  <c r="Z120" i="35"/>
  <c r="Z118" i="35"/>
  <c r="Z117" i="35"/>
  <c r="Z116" i="35"/>
  <c r="Z115" i="35"/>
  <c r="Z114" i="35"/>
  <c r="Z113" i="35"/>
  <c r="Z112" i="35"/>
  <c r="Z111" i="35"/>
  <c r="Z109" i="35"/>
  <c r="Z108" i="35"/>
  <c r="Z107" i="35"/>
  <c r="Z106" i="35"/>
  <c r="Z105" i="35"/>
  <c r="Z103" i="35"/>
  <c r="Z102" i="35"/>
  <c r="Z101" i="35"/>
  <c r="Z100" i="35"/>
  <c r="Z99" i="35"/>
  <c r="Z98" i="35"/>
  <c r="Z96" i="35"/>
  <c r="Z95" i="35"/>
  <c r="Z94" i="35"/>
  <c r="Z56" i="35"/>
  <c r="Z55" i="35" s="1"/>
  <c r="Z54" i="35"/>
  <c r="Z53" i="35"/>
  <c r="Z52" i="35"/>
  <c r="Z50" i="35"/>
  <c r="Z49" i="35"/>
  <c r="Z48" i="35"/>
  <c r="Z47" i="35"/>
  <c r="Z45" i="35"/>
  <c r="Z44" i="35"/>
  <c r="Z43" i="35"/>
  <c r="Z41" i="35"/>
  <c r="Z40" i="35"/>
  <c r="Z39" i="35"/>
  <c r="Z38" i="35"/>
  <c r="Z36" i="35"/>
  <c r="Z35" i="35"/>
  <c r="Z34" i="35"/>
  <c r="Z32" i="35"/>
  <c r="Z31" i="35"/>
  <c r="Z29" i="35"/>
  <c r="Z30" i="35"/>
  <c r="Z28" i="35"/>
  <c r="Z27" i="35"/>
  <c r="Z25" i="35"/>
  <c r="Z24" i="35"/>
  <c r="Z23" i="35"/>
  <c r="Z22" i="35"/>
  <c r="Z20" i="35"/>
  <c r="Z19" i="35"/>
  <c r="Z18" i="35"/>
  <c r="Z17" i="35"/>
  <c r="Z15" i="35"/>
  <c r="Z14" i="35"/>
  <c r="Z13" i="35"/>
  <c r="Z12" i="35"/>
  <c r="Z10" i="35"/>
  <c r="Z9" i="35"/>
  <c r="Z8" i="35"/>
  <c r="Z7" i="35"/>
  <c r="Z6" i="35"/>
  <c r="Z5" i="35"/>
  <c r="Z4" i="35"/>
  <c r="V145" i="35"/>
  <c r="W145" i="35"/>
  <c r="X145" i="35"/>
  <c r="Y145" i="35"/>
  <c r="AA145" i="35"/>
  <c r="AB145" i="35"/>
  <c r="AC145" i="35"/>
  <c r="AD145" i="35"/>
  <c r="AE145" i="35"/>
  <c r="V140" i="35"/>
  <c r="W140" i="35"/>
  <c r="X140" i="35"/>
  <c r="Y140" i="35"/>
  <c r="AA140" i="35"/>
  <c r="AB140" i="35"/>
  <c r="AC140" i="35"/>
  <c r="AD140" i="35"/>
  <c r="AE140" i="35"/>
  <c r="V135" i="35"/>
  <c r="W135" i="35"/>
  <c r="X135" i="35"/>
  <c r="Y135" i="35"/>
  <c r="AA135" i="35"/>
  <c r="AC135" i="35"/>
  <c r="AD135" i="35"/>
  <c r="AE135" i="35"/>
  <c r="V130" i="35"/>
  <c r="W130" i="35"/>
  <c r="X130" i="35"/>
  <c r="Y130" i="35"/>
  <c r="AA130" i="35"/>
  <c r="AB130" i="35"/>
  <c r="AD130" i="35"/>
  <c r="AE130" i="35"/>
  <c r="V119" i="35"/>
  <c r="W119" i="35"/>
  <c r="X119" i="35"/>
  <c r="Y119" i="35"/>
  <c r="AA119" i="35"/>
  <c r="AB119" i="35"/>
  <c r="AC119" i="35"/>
  <c r="AD119" i="35"/>
  <c r="AE119" i="35"/>
  <c r="V110" i="35"/>
  <c r="W110" i="35"/>
  <c r="X110" i="35"/>
  <c r="Y110" i="35"/>
  <c r="AB110" i="35"/>
  <c r="AC110" i="35"/>
  <c r="AD110" i="35"/>
  <c r="AE110" i="35"/>
  <c r="V104" i="35"/>
  <c r="W104" i="35"/>
  <c r="X104" i="35"/>
  <c r="Y104" i="35"/>
  <c r="AB104" i="35"/>
  <c r="AC104" i="35"/>
  <c r="AD104" i="35"/>
  <c r="AE104" i="35"/>
  <c r="V97" i="35"/>
  <c r="W97" i="35"/>
  <c r="X97" i="35"/>
  <c r="Y97" i="35"/>
  <c r="AB97" i="35"/>
  <c r="AC97" i="35"/>
  <c r="AD97" i="35"/>
  <c r="V93" i="35"/>
  <c r="W93" i="35"/>
  <c r="X93" i="35"/>
  <c r="Y93" i="35"/>
  <c r="AB93" i="35"/>
  <c r="AC93" i="35"/>
  <c r="AD93" i="35"/>
  <c r="AE93" i="35"/>
  <c r="V84" i="35"/>
  <c r="W84" i="35"/>
  <c r="X84" i="35"/>
  <c r="Y84" i="35"/>
  <c r="AB84" i="35"/>
  <c r="AC84" i="35"/>
  <c r="AD84" i="35"/>
  <c r="AE84" i="35"/>
  <c r="V76" i="35"/>
  <c r="W76" i="35"/>
  <c r="X76" i="35"/>
  <c r="Y76" i="35"/>
  <c r="Z76" i="35"/>
  <c r="AB76" i="35"/>
  <c r="AC76" i="35"/>
  <c r="AD76" i="35"/>
  <c r="AE76" i="35"/>
  <c r="X67" i="35"/>
  <c r="Y67" i="35"/>
  <c r="AB67" i="35"/>
  <c r="AC67" i="35"/>
  <c r="AD67" i="35"/>
  <c r="AE67" i="35"/>
  <c r="X57" i="35"/>
  <c r="Y57" i="35"/>
  <c r="AB57" i="35"/>
  <c r="AC57" i="35"/>
  <c r="AD57" i="35"/>
  <c r="AE57" i="35"/>
  <c r="V55" i="35"/>
  <c r="W55" i="35"/>
  <c r="X55" i="35"/>
  <c r="Y55" i="35"/>
  <c r="AB55" i="35"/>
  <c r="AC55" i="35"/>
  <c r="AD55" i="35"/>
  <c r="AE55" i="35"/>
  <c r="W51" i="35"/>
  <c r="X51" i="35"/>
  <c r="Y51" i="35"/>
  <c r="AB51" i="35"/>
  <c r="AC51" i="35"/>
  <c r="AD51" i="35"/>
  <c r="AE51" i="35"/>
  <c r="W46" i="35"/>
  <c r="X46" i="35"/>
  <c r="Y46" i="35"/>
  <c r="AB46" i="35"/>
  <c r="AC46" i="35"/>
  <c r="AD46" i="35"/>
  <c r="AE46" i="35"/>
  <c r="V42" i="35"/>
  <c r="W42" i="35"/>
  <c r="X42" i="35"/>
  <c r="Y42" i="35"/>
  <c r="AB42" i="35"/>
  <c r="AD42" i="35"/>
  <c r="AE42" i="35"/>
  <c r="W37" i="35"/>
  <c r="Y37" i="35"/>
  <c r="AC37" i="35"/>
  <c r="AD37" i="35"/>
  <c r="AE37" i="35"/>
  <c r="W33" i="35"/>
  <c r="X33" i="35"/>
  <c r="Y33" i="35"/>
  <c r="AC33" i="35"/>
  <c r="AD33" i="35"/>
  <c r="AE33" i="35"/>
  <c r="W26" i="35"/>
  <c r="Y26" i="35"/>
  <c r="AC26" i="35"/>
  <c r="AD26" i="35"/>
  <c r="AE26" i="35"/>
  <c r="V21" i="35"/>
  <c r="W21" i="35"/>
  <c r="Y21" i="35"/>
  <c r="AA21" i="35"/>
  <c r="AB21" i="35"/>
  <c r="AD21" i="35"/>
  <c r="Y16" i="35"/>
  <c r="AA16" i="35"/>
  <c r="AB16" i="35"/>
  <c r="AD16" i="35"/>
  <c r="AE16" i="35"/>
  <c r="Y11" i="35"/>
  <c r="AA11" i="35"/>
  <c r="AB11" i="35"/>
  <c r="AD11" i="35"/>
  <c r="AE11" i="35"/>
  <c r="AE2" i="35"/>
  <c r="Y2" i="35"/>
  <c r="AA2" i="35"/>
  <c r="AB2" i="35"/>
  <c r="AD2" i="35"/>
  <c r="Z3" i="35"/>
  <c r="U155" i="35"/>
  <c r="U154" i="35"/>
  <c r="U153" i="35"/>
  <c r="U152" i="35"/>
  <c r="U151" i="35"/>
  <c r="U150" i="35"/>
  <c r="U149" i="35"/>
  <c r="U148" i="35"/>
  <c r="U147" i="35"/>
  <c r="U146" i="35"/>
  <c r="U144" i="35"/>
  <c r="U143" i="35"/>
  <c r="U142" i="35"/>
  <c r="U141" i="35"/>
  <c r="U139" i="35"/>
  <c r="U138" i="35"/>
  <c r="U137" i="35"/>
  <c r="U136" i="35"/>
  <c r="U134" i="35"/>
  <c r="U133" i="35"/>
  <c r="U132" i="35"/>
  <c r="U131" i="35"/>
  <c r="U129" i="35"/>
  <c r="U128" i="35"/>
  <c r="U127" i="35"/>
  <c r="U126" i="35"/>
  <c r="U125" i="35"/>
  <c r="U124" i="35"/>
  <c r="U123" i="35"/>
  <c r="U122" i="35"/>
  <c r="U121" i="35"/>
  <c r="U120" i="35"/>
  <c r="U118" i="35"/>
  <c r="U117" i="35"/>
  <c r="U116" i="35"/>
  <c r="U115" i="35"/>
  <c r="U114" i="35"/>
  <c r="U113" i="35"/>
  <c r="U112" i="35"/>
  <c r="U111" i="35"/>
  <c r="U109" i="35"/>
  <c r="U108" i="35"/>
  <c r="U107" i="35"/>
  <c r="U106" i="35"/>
  <c r="U105" i="35"/>
  <c r="U103" i="35"/>
  <c r="U102" i="35"/>
  <c r="U101" i="35"/>
  <c r="U100" i="35"/>
  <c r="U99" i="35"/>
  <c r="U98" i="35"/>
  <c r="U96" i="35"/>
  <c r="U95" i="35"/>
  <c r="U94" i="35"/>
  <c r="U92" i="35"/>
  <c r="U91" i="35"/>
  <c r="U90" i="35"/>
  <c r="U89" i="35"/>
  <c r="U88" i="35"/>
  <c r="U87" i="35"/>
  <c r="U86" i="35"/>
  <c r="U85" i="35"/>
  <c r="U83" i="35"/>
  <c r="U82" i="35"/>
  <c r="U81" i="35"/>
  <c r="U80" i="35"/>
  <c r="U79" i="35"/>
  <c r="U78" i="35"/>
  <c r="U77" i="35"/>
  <c r="U75" i="35"/>
  <c r="U74" i="35"/>
  <c r="U73" i="35"/>
  <c r="U72" i="35"/>
  <c r="U71" i="35"/>
  <c r="U70" i="35"/>
  <c r="U69" i="35"/>
  <c r="U68" i="35"/>
  <c r="U66" i="35"/>
  <c r="U65" i="35"/>
  <c r="U64" i="35"/>
  <c r="U63" i="35"/>
  <c r="U62" i="35"/>
  <c r="U61" i="35"/>
  <c r="U60" i="35"/>
  <c r="U59" i="35"/>
  <c r="U58" i="35"/>
  <c r="U56" i="35"/>
  <c r="U55" i="35" s="1"/>
  <c r="U54" i="35"/>
  <c r="U38" i="35"/>
  <c r="U17" i="35"/>
  <c r="U3" i="35"/>
  <c r="U53" i="35"/>
  <c r="U52" i="35"/>
  <c r="U50" i="35"/>
  <c r="U49" i="35"/>
  <c r="U48" i="35"/>
  <c r="U47" i="35"/>
  <c r="U45" i="35"/>
  <c r="U44" i="35"/>
  <c r="U43" i="35"/>
  <c r="U41" i="35"/>
  <c r="U40" i="35"/>
  <c r="U39" i="35"/>
  <c r="U36" i="35"/>
  <c r="U35" i="35"/>
  <c r="U34" i="35"/>
  <c r="U32" i="35"/>
  <c r="U31" i="35"/>
  <c r="U30" i="35"/>
  <c r="U29" i="35"/>
  <c r="U28" i="35"/>
  <c r="U27" i="35"/>
  <c r="U25" i="35"/>
  <c r="U24" i="35"/>
  <c r="U23" i="35"/>
  <c r="U22" i="35"/>
  <c r="U20" i="35"/>
  <c r="U19" i="35"/>
  <c r="U18" i="35"/>
  <c r="U15" i="35"/>
  <c r="U14" i="35"/>
  <c r="U13" i="35"/>
  <c r="U12" i="35"/>
  <c r="U10" i="35"/>
  <c r="U9" i="35"/>
  <c r="U8" i="35"/>
  <c r="U7" i="35"/>
  <c r="U6" i="35"/>
  <c r="U5" i="35"/>
  <c r="U4" i="35"/>
  <c r="Y8" i="2"/>
  <c r="AD13" i="27"/>
  <c r="BB18" i="1"/>
  <c r="BC18" i="1"/>
  <c r="BB15" i="1"/>
  <c r="Y11" i="1"/>
  <c r="BC10" i="1"/>
  <c r="BC20" i="1"/>
  <c r="BC19" i="1"/>
  <c r="BC17" i="1"/>
  <c r="BC16" i="1"/>
  <c r="BC15" i="1"/>
  <c r="BC14" i="1"/>
  <c r="BC13" i="1"/>
  <c r="BC12" i="1"/>
  <c r="BC11" i="1"/>
  <c r="BC9" i="1"/>
  <c r="BC8" i="1"/>
  <c r="BB9" i="1"/>
  <c r="BB11" i="1"/>
  <c r="BB12" i="1"/>
  <c r="BB13" i="1"/>
  <c r="BB14" i="1"/>
  <c r="BB16" i="1"/>
  <c r="BB17" i="1"/>
  <c r="BB19" i="1"/>
  <c r="BB20" i="1"/>
  <c r="BB10" i="1"/>
  <c r="BB8" i="1"/>
  <c r="Z8" i="2"/>
  <c r="X8" i="2"/>
  <c r="W8" i="2"/>
  <c r="S515" i="31"/>
  <c r="S759" i="31"/>
  <c r="S755" i="31"/>
  <c r="S754" i="31"/>
  <c r="S753" i="31"/>
  <c r="S513" i="31"/>
  <c r="S743" i="31"/>
  <c r="S512" i="31"/>
  <c r="S510" i="31"/>
  <c r="S507" i="31"/>
  <c r="S849" i="31"/>
  <c r="S846" i="31"/>
  <c r="S845" i="31"/>
  <c r="S844" i="31"/>
  <c r="S843" i="31"/>
  <c r="S842" i="31"/>
  <c r="S841" i="31"/>
  <c r="S833" i="31"/>
  <c r="S832" i="31"/>
  <c r="S831" i="31"/>
  <c r="S829" i="31"/>
  <c r="S828" i="31"/>
  <c r="S729" i="31"/>
  <c r="S725" i="31"/>
  <c r="S717" i="31"/>
  <c r="S711" i="31"/>
  <c r="S709" i="31"/>
  <c r="S702" i="31"/>
  <c r="S699" i="31"/>
  <c r="S697" i="31"/>
  <c r="S696" i="31"/>
  <c r="S694" i="31"/>
  <c r="S655" i="31"/>
  <c r="S654" i="31"/>
  <c r="S652" i="31"/>
  <c r="S648" i="31"/>
  <c r="S646" i="31"/>
  <c r="S626" i="31"/>
  <c r="S625" i="31"/>
  <c r="S624" i="31"/>
  <c r="S622" i="31"/>
  <c r="S621" i="31"/>
  <c r="S619" i="31"/>
  <c r="S530" i="31"/>
  <c r="S523" i="31"/>
  <c r="S521" i="31"/>
  <c r="S520" i="31"/>
  <c r="S516" i="31"/>
  <c r="S506" i="31"/>
  <c r="S504" i="31"/>
  <c r="S502" i="31"/>
  <c r="S501" i="31"/>
  <c r="S499" i="31"/>
  <c r="S497" i="31"/>
  <c r="S493" i="31"/>
  <c r="S492" i="31"/>
  <c r="S488" i="31"/>
  <c r="S479" i="31"/>
  <c r="S478" i="31"/>
  <c r="S440" i="31"/>
  <c r="S430" i="31"/>
  <c r="S425" i="31"/>
  <c r="S424" i="31"/>
  <c r="S420" i="31"/>
  <c r="S416" i="31"/>
  <c r="B19" i="35"/>
  <c r="N9" i="35"/>
  <c r="N8" i="35"/>
  <c r="M9" i="35"/>
  <c r="M8" i="35"/>
  <c r="M7" i="35" s="1"/>
  <c r="L9" i="35"/>
  <c r="L8" i="35"/>
  <c r="L7" i="35" s="1"/>
  <c r="K9" i="35"/>
  <c r="K8" i="35"/>
  <c r="K7" i="35" s="1"/>
  <c r="J9" i="35"/>
  <c r="J8" i="35"/>
  <c r="I9" i="35"/>
  <c r="I8" i="35"/>
  <c r="G9" i="35"/>
  <c r="G8" i="35"/>
  <c r="F9" i="35"/>
  <c r="F8" i="35"/>
  <c r="F7" i="35" s="1"/>
  <c r="E9" i="35"/>
  <c r="E8" i="35"/>
  <c r="E7" i="35" s="1"/>
  <c r="D9" i="35"/>
  <c r="D8" i="35"/>
  <c r="C9" i="35"/>
  <c r="C8" i="35"/>
  <c r="C7" i="35" s="1"/>
  <c r="B8" i="35"/>
  <c r="B9" i="35"/>
  <c r="N6" i="35"/>
  <c r="N5" i="35"/>
  <c r="M6" i="35"/>
  <c r="M5" i="35"/>
  <c r="L6" i="35"/>
  <c r="L5" i="35"/>
  <c r="K6" i="35"/>
  <c r="K5" i="35"/>
  <c r="J6" i="35"/>
  <c r="J5" i="35"/>
  <c r="I6" i="35"/>
  <c r="I5" i="35"/>
  <c r="G5" i="35"/>
  <c r="G6" i="35"/>
  <c r="G4" i="35" s="1"/>
  <c r="F6" i="35"/>
  <c r="F5" i="35"/>
  <c r="E6" i="35"/>
  <c r="E5" i="35"/>
  <c r="D6" i="35"/>
  <c r="D5" i="35"/>
  <c r="C6" i="35"/>
  <c r="C5" i="35"/>
  <c r="B6" i="35"/>
  <c r="B5" i="35"/>
  <c r="B15" i="35"/>
  <c r="N123" i="30"/>
  <c r="N124" i="30"/>
  <c r="B125" i="30"/>
  <c r="C125" i="30"/>
  <c r="D125" i="30"/>
  <c r="E125" i="30"/>
  <c r="F125" i="30"/>
  <c r="G125" i="30"/>
  <c r="H125" i="30"/>
  <c r="I125" i="30"/>
  <c r="J125" i="30"/>
  <c r="K125" i="30"/>
  <c r="L125" i="30"/>
  <c r="M125" i="30"/>
  <c r="N125" i="30"/>
  <c r="N126" i="30"/>
  <c r="N127" i="30"/>
  <c r="N128" i="30"/>
  <c r="N129" i="30"/>
  <c r="N130" i="30"/>
  <c r="N131" i="30"/>
  <c r="Q16" i="37"/>
  <c r="Y3" i="1"/>
  <c r="R3" i="37"/>
  <c r="R4" i="37"/>
  <c r="R5" i="37"/>
  <c r="R6" i="37"/>
  <c r="R7" i="37"/>
  <c r="R8" i="37"/>
  <c r="R9" i="37"/>
  <c r="R10" i="37"/>
  <c r="R11" i="37"/>
  <c r="R12" i="37"/>
  <c r="R13" i="37"/>
  <c r="R14" i="37"/>
  <c r="R15" i="37"/>
  <c r="R16" i="37"/>
  <c r="R17" i="37"/>
  <c r="R18" i="37"/>
  <c r="R19" i="37"/>
  <c r="R2" i="37"/>
  <c r="Q3" i="37"/>
  <c r="Q4" i="37"/>
  <c r="Q5" i="37"/>
  <c r="Q6" i="37"/>
  <c r="Q7" i="37"/>
  <c r="Q8" i="37"/>
  <c r="Q9" i="37"/>
  <c r="Q10" i="37"/>
  <c r="Q11" i="37"/>
  <c r="Q12" i="37"/>
  <c r="Q13" i="37"/>
  <c r="Q14" i="37"/>
  <c r="Q15" i="37"/>
  <c r="Q17" i="37"/>
  <c r="Q18" i="37"/>
  <c r="Q19" i="37"/>
  <c r="Q2" i="37"/>
  <c r="AA2" i="1"/>
  <c r="P3" i="37"/>
  <c r="P4" i="37"/>
  <c r="P5" i="37"/>
  <c r="P6" i="37"/>
  <c r="P7" i="37"/>
  <c r="P8" i="37"/>
  <c r="P9" i="37"/>
  <c r="P10" i="37"/>
  <c r="P11" i="37"/>
  <c r="P12" i="37"/>
  <c r="P13" i="37"/>
  <c r="P14" i="37"/>
  <c r="P15" i="37"/>
  <c r="P16" i="37"/>
  <c r="P17" i="37"/>
  <c r="P18" i="37"/>
  <c r="P19" i="37"/>
  <c r="P2" i="37"/>
  <c r="Z2" i="1"/>
  <c r="O11" i="37"/>
  <c r="O12" i="37"/>
  <c r="O13" i="37"/>
  <c r="O14" i="37"/>
  <c r="O15" i="37"/>
  <c r="O16" i="37"/>
  <c r="O17" i="37"/>
  <c r="O18" i="37"/>
  <c r="O19" i="37"/>
  <c r="O3" i="37"/>
  <c r="O4" i="37"/>
  <c r="O5" i="37"/>
  <c r="O6" i="37"/>
  <c r="O7" i="37"/>
  <c r="O8" i="37"/>
  <c r="O9" i="37"/>
  <c r="O10" i="37"/>
  <c r="O2" i="37"/>
  <c r="Y2" i="1"/>
  <c r="P2" i="31"/>
  <c r="Q479" i="31"/>
  <c r="Q478" i="31"/>
  <c r="R478" i="31"/>
  <c r="R3" i="31"/>
  <c r="R4" i="31"/>
  <c r="R5" i="31"/>
  <c r="R6" i="31"/>
  <c r="R7" i="31"/>
  <c r="R8" i="31"/>
  <c r="R9" i="31"/>
  <c r="R10" i="31"/>
  <c r="R11" i="31"/>
  <c r="R12" i="31"/>
  <c r="R13" i="31"/>
  <c r="R14" i="31"/>
  <c r="R15" i="31"/>
  <c r="R16" i="31"/>
  <c r="R17" i="31"/>
  <c r="R18" i="31"/>
  <c r="R19" i="31"/>
  <c r="R20" i="31"/>
  <c r="R21" i="31"/>
  <c r="R22" i="31"/>
  <c r="R23" i="31"/>
  <c r="R24" i="31"/>
  <c r="R25" i="31"/>
  <c r="R26" i="31"/>
  <c r="R27" i="31"/>
  <c r="R28" i="31"/>
  <c r="R29" i="31"/>
  <c r="R30" i="31"/>
  <c r="R31" i="31"/>
  <c r="R32" i="31"/>
  <c r="R33" i="31"/>
  <c r="R34" i="31"/>
  <c r="R35" i="31"/>
  <c r="R36" i="31"/>
  <c r="R37" i="31"/>
  <c r="R38" i="31"/>
  <c r="R39" i="31"/>
  <c r="R40" i="31"/>
  <c r="R41" i="31"/>
  <c r="R42" i="31"/>
  <c r="R43" i="31"/>
  <c r="R44" i="31"/>
  <c r="R45" i="31"/>
  <c r="R46" i="31"/>
  <c r="R47" i="31"/>
  <c r="R48" i="31"/>
  <c r="R49" i="31"/>
  <c r="R50" i="31"/>
  <c r="R51" i="31"/>
  <c r="R52" i="31"/>
  <c r="R53" i="31"/>
  <c r="R54" i="31"/>
  <c r="R55" i="31"/>
  <c r="R56" i="31"/>
  <c r="R57" i="31"/>
  <c r="R58" i="31"/>
  <c r="R59" i="31"/>
  <c r="R60" i="31"/>
  <c r="R61" i="31"/>
  <c r="R62" i="31"/>
  <c r="R63" i="31"/>
  <c r="R64" i="31"/>
  <c r="R65" i="31"/>
  <c r="R66" i="31"/>
  <c r="R67" i="31"/>
  <c r="R68" i="31"/>
  <c r="R69" i="31"/>
  <c r="R70" i="31"/>
  <c r="R71" i="31"/>
  <c r="R72" i="31"/>
  <c r="R73" i="31"/>
  <c r="R75" i="31"/>
  <c r="R76" i="31"/>
  <c r="R77" i="31"/>
  <c r="R78" i="31"/>
  <c r="R79" i="31"/>
  <c r="R80" i="31"/>
  <c r="R81" i="31"/>
  <c r="R82" i="31"/>
  <c r="R83" i="31"/>
  <c r="R84" i="31"/>
  <c r="R85" i="31"/>
  <c r="R86" i="31"/>
  <c r="R87" i="31"/>
  <c r="R88" i="31"/>
  <c r="R89" i="31"/>
  <c r="R90" i="31"/>
  <c r="R91" i="31"/>
  <c r="R92" i="31"/>
  <c r="R93" i="31"/>
  <c r="R94" i="31"/>
  <c r="R74" i="31"/>
  <c r="R95" i="31"/>
  <c r="R96" i="31"/>
  <c r="R97" i="31"/>
  <c r="R98" i="31"/>
  <c r="R99" i="31"/>
  <c r="R100" i="31"/>
  <c r="R101" i="31"/>
  <c r="R102" i="31"/>
  <c r="R103" i="31"/>
  <c r="R104" i="31"/>
  <c r="R105" i="31"/>
  <c r="R106" i="31"/>
  <c r="R107" i="31"/>
  <c r="R108" i="31"/>
  <c r="R109" i="31"/>
  <c r="R110" i="31"/>
  <c r="R111" i="31"/>
  <c r="R112" i="31"/>
  <c r="R113" i="31"/>
  <c r="R114" i="31"/>
  <c r="R115" i="31"/>
  <c r="R116" i="31"/>
  <c r="R117" i="31"/>
  <c r="R118" i="31"/>
  <c r="R119" i="31"/>
  <c r="R120" i="31"/>
  <c r="R121" i="31"/>
  <c r="R122" i="31"/>
  <c r="R123" i="31"/>
  <c r="R124" i="31"/>
  <c r="R125" i="31"/>
  <c r="R126" i="31"/>
  <c r="R127" i="31"/>
  <c r="R128" i="31"/>
  <c r="R129" i="31"/>
  <c r="R130" i="31"/>
  <c r="R131" i="31"/>
  <c r="R132" i="31"/>
  <c r="R133" i="31"/>
  <c r="R134" i="31"/>
  <c r="R135" i="31"/>
  <c r="R136" i="31"/>
  <c r="R137" i="31"/>
  <c r="R138" i="31"/>
  <c r="R139" i="31"/>
  <c r="R140" i="31"/>
  <c r="R141" i="31"/>
  <c r="R142" i="31"/>
  <c r="R143" i="31"/>
  <c r="R144" i="31"/>
  <c r="R145" i="31"/>
  <c r="R146" i="31"/>
  <c r="R147" i="31"/>
  <c r="R148" i="31"/>
  <c r="R149" i="31"/>
  <c r="R150" i="31"/>
  <c r="R151" i="31"/>
  <c r="R152" i="31"/>
  <c r="R153" i="31"/>
  <c r="R154" i="31"/>
  <c r="R155" i="31"/>
  <c r="R156" i="31"/>
  <c r="R157" i="31"/>
  <c r="R158" i="31"/>
  <c r="R159" i="31"/>
  <c r="R160" i="31"/>
  <c r="R161" i="31"/>
  <c r="R162" i="31"/>
  <c r="R163" i="31"/>
  <c r="R164" i="31"/>
  <c r="R165" i="31"/>
  <c r="R166" i="31"/>
  <c r="R167" i="31"/>
  <c r="R168" i="31"/>
  <c r="R169" i="31"/>
  <c r="R170" i="31"/>
  <c r="R171" i="31"/>
  <c r="R172" i="31"/>
  <c r="R173" i="31"/>
  <c r="R174" i="31"/>
  <c r="R175" i="31"/>
  <c r="R176" i="31"/>
  <c r="R177" i="31"/>
  <c r="R178" i="31"/>
  <c r="R179" i="31"/>
  <c r="R180" i="31"/>
  <c r="R181" i="31"/>
  <c r="R182" i="31"/>
  <c r="R183" i="31"/>
  <c r="R184" i="31"/>
  <c r="R185" i="31"/>
  <c r="R186" i="31"/>
  <c r="R187" i="31"/>
  <c r="R188" i="31"/>
  <c r="R189" i="31"/>
  <c r="R190" i="31"/>
  <c r="R191" i="31"/>
  <c r="R192" i="31"/>
  <c r="R193" i="31"/>
  <c r="R194" i="31"/>
  <c r="R195" i="31"/>
  <c r="R196" i="31"/>
  <c r="R197" i="31"/>
  <c r="R198" i="31"/>
  <c r="R199" i="31"/>
  <c r="R200" i="31"/>
  <c r="R210" i="31"/>
  <c r="R201" i="31"/>
  <c r="R202" i="31"/>
  <c r="R203" i="31"/>
  <c r="R204" i="31"/>
  <c r="R205" i="31"/>
  <c r="R206" i="31"/>
  <c r="R207" i="31"/>
  <c r="R208" i="31"/>
  <c r="R209" i="31"/>
  <c r="R224" i="31"/>
  <c r="R211" i="31"/>
  <c r="R212" i="31"/>
  <c r="R213" i="31"/>
  <c r="R214" i="31"/>
  <c r="R215" i="31"/>
  <c r="R216" i="31"/>
  <c r="R217" i="31"/>
  <c r="R218" i="31"/>
  <c r="R219" i="31"/>
  <c r="R220" i="31"/>
  <c r="R221" i="31"/>
  <c r="R222" i="31"/>
  <c r="R223" i="31"/>
  <c r="R225" i="31"/>
  <c r="R226" i="31"/>
  <c r="R227" i="31"/>
  <c r="R228" i="31"/>
  <c r="R229" i="31"/>
  <c r="R230" i="31"/>
  <c r="R231" i="31"/>
  <c r="R232" i="31"/>
  <c r="R233" i="31"/>
  <c r="R234" i="31"/>
  <c r="R235" i="31"/>
  <c r="R236" i="31"/>
  <c r="R237" i="31"/>
  <c r="R238" i="31"/>
  <c r="R239" i="31"/>
  <c r="R240" i="31"/>
  <c r="R241" i="31"/>
  <c r="R242" i="31"/>
  <c r="R243" i="31"/>
  <c r="R244" i="31"/>
  <c r="R245" i="31"/>
  <c r="R246" i="31"/>
  <c r="R247" i="31"/>
  <c r="R248" i="31"/>
  <c r="R249" i="31"/>
  <c r="R250" i="31"/>
  <c r="R251" i="31"/>
  <c r="R252" i="31"/>
  <c r="R253" i="31"/>
  <c r="R254" i="31"/>
  <c r="R255" i="31"/>
  <c r="R256" i="31"/>
  <c r="R257" i="31"/>
  <c r="R258" i="31"/>
  <c r="R259" i="31"/>
  <c r="R260" i="31"/>
  <c r="R261" i="31"/>
  <c r="R262" i="31"/>
  <c r="R263" i="31"/>
  <c r="R264" i="31"/>
  <c r="R265" i="31"/>
  <c r="R266" i="31"/>
  <c r="R267" i="31"/>
  <c r="R268" i="31"/>
  <c r="R269" i="31"/>
  <c r="R270" i="31"/>
  <c r="R271" i="31"/>
  <c r="R272" i="31"/>
  <c r="R273" i="31"/>
  <c r="R274" i="31"/>
  <c r="R275" i="31"/>
  <c r="R276" i="31"/>
  <c r="R277" i="31"/>
  <c r="R278" i="31"/>
  <c r="R279" i="31"/>
  <c r="R280" i="31"/>
  <c r="R281" i="31"/>
  <c r="R292" i="31"/>
  <c r="R282" i="31"/>
  <c r="R283" i="31"/>
  <c r="R284" i="31"/>
  <c r="R285" i="31"/>
  <c r="R286" i="31"/>
  <c r="R287" i="31"/>
  <c r="R288" i="31"/>
  <c r="R289" i="31"/>
  <c r="R290" i="31"/>
  <c r="R291" i="31"/>
  <c r="R293" i="31"/>
  <c r="R294" i="31"/>
  <c r="R295" i="31"/>
  <c r="R296" i="31"/>
  <c r="R297" i="31"/>
  <c r="R298" i="31"/>
  <c r="R299" i="31"/>
  <c r="R300" i="31"/>
  <c r="R301" i="31"/>
  <c r="R302" i="31"/>
  <c r="R303" i="31"/>
  <c r="R304" i="31"/>
  <c r="R305" i="31"/>
  <c r="R306" i="31"/>
  <c r="R307" i="31"/>
  <c r="R308" i="31"/>
  <c r="R309" i="31"/>
  <c r="R310" i="31"/>
  <c r="R311" i="31"/>
  <c r="R312" i="31"/>
  <c r="R313" i="31"/>
  <c r="R314" i="31"/>
  <c r="R315" i="31"/>
  <c r="R316" i="31"/>
  <c r="R317" i="31"/>
  <c r="R318" i="31"/>
  <c r="R319" i="31"/>
  <c r="R320" i="31"/>
  <c r="R321" i="31"/>
  <c r="R322" i="31"/>
  <c r="R323" i="31"/>
  <c r="R324" i="31"/>
  <c r="R325" i="31"/>
  <c r="R326" i="31"/>
  <c r="R327" i="31"/>
  <c r="R328" i="31"/>
  <c r="R329" i="31"/>
  <c r="R330" i="31"/>
  <c r="R331" i="31"/>
  <c r="R332" i="31"/>
  <c r="R333" i="31"/>
  <c r="R339" i="31"/>
  <c r="R334" i="31"/>
  <c r="R335" i="31"/>
  <c r="R336" i="31"/>
  <c r="R337" i="31"/>
  <c r="R338" i="31"/>
  <c r="R340" i="31"/>
  <c r="R341" i="31"/>
  <c r="R342" i="31"/>
  <c r="R343" i="31"/>
  <c r="R344" i="31"/>
  <c r="R345" i="31"/>
  <c r="R346" i="31"/>
  <c r="R347" i="31"/>
  <c r="R348" i="31"/>
  <c r="R349" i="31"/>
  <c r="R350" i="31"/>
  <c r="R351" i="31"/>
  <c r="R352" i="31"/>
  <c r="R353" i="31"/>
  <c r="R354" i="31"/>
  <c r="R355" i="31"/>
  <c r="R356" i="31"/>
  <c r="R357" i="31"/>
  <c r="R358" i="31"/>
  <c r="R359" i="31"/>
  <c r="R360" i="31"/>
  <c r="R361" i="31"/>
  <c r="R362" i="31"/>
  <c r="R363" i="31"/>
  <c r="R364" i="31"/>
  <c r="R365" i="31"/>
  <c r="R366" i="31"/>
  <c r="R367" i="31"/>
  <c r="R368" i="31"/>
  <c r="R369" i="31"/>
  <c r="R370" i="31"/>
  <c r="R371" i="31"/>
  <c r="R372" i="31"/>
  <c r="R373" i="31"/>
  <c r="R374" i="31"/>
  <c r="R375" i="31"/>
  <c r="R376" i="31"/>
  <c r="R377" i="31"/>
  <c r="R378" i="31"/>
  <c r="R379" i="31"/>
  <c r="R380" i="31"/>
  <c r="R381" i="31"/>
  <c r="R382" i="31"/>
  <c r="R383" i="31"/>
  <c r="R384" i="31"/>
  <c r="R385" i="31"/>
  <c r="R386" i="31"/>
  <c r="R387" i="31"/>
  <c r="R388" i="31"/>
  <c r="R389" i="31"/>
  <c r="R393" i="31"/>
  <c r="R390" i="31"/>
  <c r="R391" i="31"/>
  <c r="R392" i="31"/>
  <c r="R396" i="31"/>
  <c r="R394" i="31"/>
  <c r="R395" i="31"/>
  <c r="R397" i="31"/>
  <c r="R401" i="31"/>
  <c r="R398" i="31"/>
  <c r="R399" i="31"/>
  <c r="R400" i="31"/>
  <c r="R402" i="31"/>
  <c r="R403" i="31"/>
  <c r="R404" i="31"/>
  <c r="R405" i="31"/>
  <c r="R406" i="31"/>
  <c r="R407" i="31"/>
  <c r="R408" i="31"/>
  <c r="R409" i="31"/>
  <c r="R410" i="31"/>
  <c r="R411" i="31"/>
  <c r="R412" i="31"/>
  <c r="R413" i="31"/>
  <c r="R414" i="31"/>
  <c r="R417" i="31"/>
  <c r="R418" i="31"/>
  <c r="R419" i="31"/>
  <c r="R421" i="31"/>
  <c r="R422" i="31"/>
  <c r="R426" i="31"/>
  <c r="R427" i="31"/>
  <c r="R428" i="31"/>
  <c r="R429" i="31"/>
  <c r="R431" i="31"/>
  <c r="R432" i="31"/>
  <c r="R433" i="31"/>
  <c r="R434" i="31"/>
  <c r="R435" i="31"/>
  <c r="R436" i="31"/>
  <c r="R437" i="31"/>
  <c r="R438" i="31"/>
  <c r="R439" i="31"/>
  <c r="R441" i="31"/>
  <c r="R415" i="31"/>
  <c r="R416" i="31"/>
  <c r="R420" i="31"/>
  <c r="R423" i="31"/>
  <c r="R424" i="31"/>
  <c r="R425" i="31"/>
  <c r="R430" i="31"/>
  <c r="R440" i="31"/>
  <c r="R442" i="31"/>
  <c r="R443" i="31"/>
  <c r="R444" i="31"/>
  <c r="R445" i="31"/>
  <c r="R448" i="31"/>
  <c r="R446" i="31"/>
  <c r="R447" i="31"/>
  <c r="R450" i="31"/>
  <c r="R449" i="31"/>
  <c r="R455" i="31"/>
  <c r="R451" i="31"/>
  <c r="R452" i="31"/>
  <c r="R453" i="31"/>
  <c r="R454" i="31"/>
  <c r="R456" i="31"/>
  <c r="R458" i="31"/>
  <c r="R457" i="31"/>
  <c r="R459" i="31"/>
  <c r="R460" i="31"/>
  <c r="R461" i="31"/>
  <c r="R462" i="31"/>
  <c r="R463" i="31"/>
  <c r="R464" i="31"/>
  <c r="R465" i="31"/>
  <c r="R466" i="31"/>
  <c r="R467" i="31"/>
  <c r="R468" i="31"/>
  <c r="R469" i="31"/>
  <c r="R470" i="31"/>
  <c r="R471" i="31"/>
  <c r="R472" i="31"/>
  <c r="R473" i="31"/>
  <c r="R474" i="31"/>
  <c r="R480" i="31"/>
  <c r="R475" i="31"/>
  <c r="R476" i="31"/>
  <c r="R477" i="31"/>
  <c r="R481" i="31"/>
  <c r="R483" i="31"/>
  <c r="R482" i="31"/>
  <c r="R485" i="31"/>
  <c r="R486" i="31"/>
  <c r="R487" i="31"/>
  <c r="R479" i="31"/>
  <c r="R484" i="31"/>
  <c r="R488" i="31"/>
  <c r="R492" i="31"/>
  <c r="R493" i="31"/>
  <c r="R489" i="31"/>
  <c r="R490" i="31"/>
  <c r="R491" i="31"/>
  <c r="R494" i="31"/>
  <c r="R495" i="31"/>
  <c r="R496" i="31"/>
  <c r="R498" i="31"/>
  <c r="R500" i="31"/>
  <c r="R505" i="31"/>
  <c r="R508" i="31"/>
  <c r="R509" i="31"/>
  <c r="R511" i="31"/>
  <c r="R514" i="31"/>
  <c r="R517" i="31"/>
  <c r="R497" i="31"/>
  <c r="R499" i="31"/>
  <c r="R501" i="31"/>
  <c r="R502" i="31"/>
  <c r="R503" i="31"/>
  <c r="R504" i="31"/>
  <c r="R506" i="31"/>
  <c r="R507" i="31"/>
  <c r="R510" i="31"/>
  <c r="R512" i="31"/>
  <c r="R513" i="31"/>
  <c r="R515" i="31"/>
  <c r="R516" i="31"/>
  <c r="R526" i="31"/>
  <c r="R518" i="31"/>
  <c r="R519" i="31"/>
  <c r="R522" i="31"/>
  <c r="R524" i="31"/>
  <c r="R525" i="31"/>
  <c r="R537" i="31"/>
  <c r="R527" i="31"/>
  <c r="R528" i="31"/>
  <c r="R529" i="31"/>
  <c r="R533" i="31"/>
  <c r="R534" i="31"/>
  <c r="R536" i="31"/>
  <c r="R553" i="31"/>
  <c r="R539" i="31"/>
  <c r="R540" i="31"/>
  <c r="R541" i="31"/>
  <c r="R542" i="31"/>
  <c r="R543" i="31"/>
  <c r="R544" i="31"/>
  <c r="R545" i="31"/>
  <c r="R547" i="31"/>
  <c r="R548" i="31"/>
  <c r="R551" i="31"/>
  <c r="R552" i="31"/>
  <c r="R560" i="31"/>
  <c r="R554" i="31"/>
  <c r="R555" i="31"/>
  <c r="R556" i="31"/>
  <c r="R557" i="31"/>
  <c r="R558" i="31"/>
  <c r="R559" i="31"/>
  <c r="R562" i="31"/>
  <c r="R563" i="31"/>
  <c r="R564" i="31"/>
  <c r="R565" i="31"/>
  <c r="R566" i="31"/>
  <c r="R567" i="31"/>
  <c r="R568" i="31"/>
  <c r="R520" i="31"/>
  <c r="R521" i="31"/>
  <c r="R523" i="31"/>
  <c r="R530" i="31"/>
  <c r="R531" i="31"/>
  <c r="R532" i="31"/>
  <c r="R535" i="31"/>
  <c r="R538" i="31"/>
  <c r="R546" i="31"/>
  <c r="R549" i="31"/>
  <c r="R550" i="31"/>
  <c r="R561" i="31"/>
  <c r="R569" i="31"/>
  <c r="R570" i="31"/>
  <c r="R571" i="31"/>
  <c r="R572" i="31"/>
  <c r="R573" i="31"/>
  <c r="R576" i="31"/>
  <c r="R577" i="31"/>
  <c r="R578" i="31"/>
  <c r="R579" i="31"/>
  <c r="R580" i="31"/>
  <c r="R581" i="31"/>
  <c r="R583" i="31"/>
  <c r="R584" i="31"/>
  <c r="R585" i="31"/>
  <c r="R586" i="31"/>
  <c r="R587" i="31"/>
  <c r="R588" i="31"/>
  <c r="R589" i="31"/>
  <c r="R590" i="31"/>
  <c r="R591" i="31"/>
  <c r="R592" i="31"/>
  <c r="R593" i="31"/>
  <c r="R574" i="31"/>
  <c r="R575" i="31"/>
  <c r="R582" i="31"/>
  <c r="R594" i="31"/>
  <c r="R595" i="31"/>
  <c r="R598" i="31"/>
  <c r="R599" i="31"/>
  <c r="R600" i="31"/>
  <c r="R596" i="31"/>
  <c r="R597" i="31"/>
  <c r="R601" i="31"/>
  <c r="R608" i="31"/>
  <c r="R611" i="31"/>
  <c r="R614" i="31"/>
  <c r="R616" i="31"/>
  <c r="R617" i="31"/>
  <c r="R620" i="31"/>
  <c r="R627" i="31"/>
  <c r="R632" i="31"/>
  <c r="R640" i="31"/>
  <c r="R641" i="31"/>
  <c r="R642" i="31"/>
  <c r="R643" i="31"/>
  <c r="R644" i="31"/>
  <c r="R647" i="31"/>
  <c r="R649" i="31"/>
  <c r="R650" i="31"/>
  <c r="R651" i="31"/>
  <c r="R602" i="31"/>
  <c r="R603" i="31"/>
  <c r="R604" i="31"/>
  <c r="R605" i="31"/>
  <c r="R606" i="31"/>
  <c r="R607" i="31"/>
  <c r="R609" i="31"/>
  <c r="R610" i="31"/>
  <c r="R612" i="31"/>
  <c r="R615" i="31"/>
  <c r="R613" i="31"/>
  <c r="R618" i="31"/>
  <c r="R619" i="31"/>
  <c r="R621" i="31"/>
  <c r="R622" i="31"/>
  <c r="R623" i="31"/>
  <c r="R624" i="31"/>
  <c r="R625" i="31"/>
  <c r="R626" i="31"/>
  <c r="R628" i="31"/>
  <c r="R2118" i="31"/>
  <c r="R2122" i="31"/>
  <c r="R2124" i="31"/>
  <c r="R634" i="31"/>
  <c r="R635" i="31"/>
  <c r="R2125" i="31"/>
  <c r="R637" i="31"/>
  <c r="R2132" i="31"/>
  <c r="R2134" i="31"/>
  <c r="R919" i="31"/>
  <c r="R646" i="31"/>
  <c r="R648" i="31"/>
  <c r="R652" i="31"/>
  <c r="R653" i="31"/>
  <c r="R654" i="31"/>
  <c r="R655" i="31"/>
  <c r="R656" i="31"/>
  <c r="R657" i="31"/>
  <c r="R662" i="31"/>
  <c r="R2114" i="31"/>
  <c r="R2115" i="31"/>
  <c r="R2116" i="31"/>
  <c r="R664" i="31"/>
  <c r="R665" i="31"/>
  <c r="R666" i="31"/>
  <c r="R667" i="31"/>
  <c r="R668" i="31"/>
  <c r="R669" i="31"/>
  <c r="R670" i="31"/>
  <c r="R671" i="31"/>
  <c r="R672" i="31"/>
  <c r="R673" i="31"/>
  <c r="R674" i="31"/>
  <c r="R675" i="31"/>
  <c r="R676" i="31"/>
  <c r="R677" i="31"/>
  <c r="R678" i="31"/>
  <c r="R685" i="31"/>
  <c r="R679" i="31"/>
  <c r="R680" i="31"/>
  <c r="R681" i="31"/>
  <c r="R682" i="31"/>
  <c r="R683" i="31"/>
  <c r="R684" i="31"/>
  <c r="R686" i="31"/>
  <c r="R687" i="31"/>
  <c r="R695" i="31"/>
  <c r="R701" i="31"/>
  <c r="R688" i="31"/>
  <c r="R689" i="31"/>
  <c r="R690" i="31"/>
  <c r="R691" i="31"/>
  <c r="R692" i="31"/>
  <c r="R693" i="31"/>
  <c r="R694" i="31"/>
  <c r="R696" i="31"/>
  <c r="R697" i="31"/>
  <c r="R698" i="31"/>
  <c r="R699" i="31"/>
  <c r="R700" i="31"/>
  <c r="R702" i="31"/>
  <c r="R703" i="31"/>
  <c r="R704" i="31"/>
  <c r="R705" i="31"/>
  <c r="R706" i="31"/>
  <c r="R707" i="31"/>
  <c r="R708" i="31"/>
  <c r="R710" i="31"/>
  <c r="R712" i="31"/>
  <c r="R713" i="31"/>
  <c r="R714" i="31"/>
  <c r="R715" i="31"/>
  <c r="R716" i="31"/>
  <c r="R718" i="31"/>
  <c r="R719" i="31"/>
  <c r="R720" i="31"/>
  <c r="R709" i="31"/>
  <c r="R711" i="31"/>
  <c r="R717" i="31"/>
  <c r="R721" i="31"/>
  <c r="R722" i="31"/>
  <c r="R723" i="31"/>
  <c r="R724" i="31"/>
  <c r="R726" i="31"/>
  <c r="R727" i="31"/>
  <c r="R733" i="31"/>
  <c r="R725" i="31"/>
  <c r="R728" i="31"/>
  <c r="R729" i="31"/>
  <c r="R730" i="31"/>
  <c r="R731" i="31"/>
  <c r="R732" i="31"/>
  <c r="R735" i="31"/>
  <c r="R738" i="31"/>
  <c r="R744" i="31"/>
  <c r="R734" i="31"/>
  <c r="R736" i="31"/>
  <c r="R737" i="31"/>
  <c r="R739" i="31"/>
  <c r="R740" i="31"/>
  <c r="R741" i="31"/>
  <c r="R742" i="31"/>
  <c r="R743" i="31"/>
  <c r="R745" i="31"/>
  <c r="R746" i="31"/>
  <c r="R748" i="31"/>
  <c r="R749" i="31"/>
  <c r="R750" i="31"/>
  <c r="R751" i="31"/>
  <c r="R752" i="31"/>
  <c r="R756" i="31"/>
  <c r="R757" i="31"/>
  <c r="R758" i="31"/>
  <c r="R761" i="31"/>
  <c r="R747" i="31"/>
  <c r="R753" i="31"/>
  <c r="R754" i="31"/>
  <c r="R755" i="31"/>
  <c r="R759" i="31"/>
  <c r="R760" i="31"/>
  <c r="R762" i="31"/>
  <c r="R763" i="31"/>
  <c r="R764" i="31"/>
  <c r="R765" i="31"/>
  <c r="R766" i="31"/>
  <c r="R771" i="31"/>
  <c r="R768" i="31"/>
  <c r="R776" i="31"/>
  <c r="R772" i="31"/>
  <c r="R773" i="31"/>
  <c r="R774" i="31"/>
  <c r="R777" i="31"/>
  <c r="R779" i="31"/>
  <c r="R780" i="31"/>
  <c r="R767" i="31"/>
  <c r="R1062" i="31"/>
  <c r="R769" i="31"/>
  <c r="R770" i="31"/>
  <c r="R1280" i="31"/>
  <c r="R781" i="31"/>
  <c r="R782" i="31"/>
  <c r="R783" i="31"/>
  <c r="R784" i="31"/>
  <c r="R785" i="31"/>
  <c r="R787" i="31"/>
  <c r="R788" i="31"/>
  <c r="R789" i="31"/>
  <c r="R790" i="31"/>
  <c r="R791" i="31"/>
  <c r="R792" i="31"/>
  <c r="R793" i="31"/>
  <c r="R794" i="31"/>
  <c r="R795" i="31"/>
  <c r="R796" i="31"/>
  <c r="R797" i="31"/>
  <c r="R798" i="31"/>
  <c r="R799" i="31"/>
  <c r="R775" i="31"/>
  <c r="R806" i="31"/>
  <c r="R800" i="31"/>
  <c r="R801" i="31"/>
  <c r="R802" i="31"/>
  <c r="R803" i="31"/>
  <c r="R804" i="31"/>
  <c r="R807" i="31"/>
  <c r="R809" i="31"/>
  <c r="R808" i="31"/>
  <c r="R813" i="31"/>
  <c r="R810" i="31"/>
  <c r="R811" i="31"/>
  <c r="R812" i="31"/>
  <c r="R818" i="31"/>
  <c r="R814" i="31"/>
  <c r="R815" i="31"/>
  <c r="R816" i="31"/>
  <c r="R817" i="31"/>
  <c r="R778" i="31"/>
  <c r="R786" i="31"/>
  <c r="R805" i="31"/>
  <c r="R819" i="31"/>
  <c r="R1460" i="31"/>
  <c r="R820" i="31"/>
  <c r="R824" i="31"/>
  <c r="R825" i="31"/>
  <c r="R826" i="31"/>
  <c r="R821" i="31"/>
  <c r="R823" i="31"/>
  <c r="R834" i="31"/>
  <c r="R835" i="31"/>
  <c r="R836" i="31"/>
  <c r="R851" i="31"/>
  <c r="R827" i="31"/>
  <c r="R828" i="31"/>
  <c r="R829" i="31"/>
  <c r="R830" i="31"/>
  <c r="R831" i="31"/>
  <c r="R832" i="31"/>
  <c r="R833" i="31"/>
  <c r="R837" i="31"/>
  <c r="R838" i="31"/>
  <c r="R839" i="31"/>
  <c r="R840" i="31"/>
  <c r="R841" i="31"/>
  <c r="R842" i="31"/>
  <c r="R844" i="31"/>
  <c r="R845" i="31"/>
  <c r="R846" i="31"/>
  <c r="R847" i="31"/>
  <c r="R848" i="31"/>
  <c r="R849" i="31"/>
  <c r="R850" i="31"/>
  <c r="R854" i="31"/>
  <c r="R855" i="31"/>
  <c r="R857" i="31"/>
  <c r="R858" i="31"/>
  <c r="R860" i="31"/>
  <c r="R861" i="31"/>
  <c r="R862" i="31"/>
  <c r="R863" i="31"/>
  <c r="R864" i="31"/>
  <c r="R865" i="31"/>
  <c r="R866" i="31"/>
  <c r="R867" i="31"/>
  <c r="R869" i="31"/>
  <c r="R856" i="31"/>
  <c r="R859" i="31"/>
  <c r="R868" i="31"/>
  <c r="R870" i="31"/>
  <c r="R885" i="31"/>
  <c r="R888" i="31"/>
  <c r="R892" i="31"/>
  <c r="R873" i="31"/>
  <c r="R874" i="31"/>
  <c r="R875" i="31"/>
  <c r="R876" i="31"/>
  <c r="R877" i="31"/>
  <c r="R871" i="31"/>
  <c r="R872" i="31"/>
  <c r="R878" i="31"/>
  <c r="R879" i="31"/>
  <c r="R880" i="31"/>
  <c r="R881" i="31"/>
  <c r="R882" i="31"/>
  <c r="R883" i="31"/>
  <c r="R884" i="31"/>
  <c r="R886" i="31"/>
  <c r="R887" i="31"/>
  <c r="R889" i="31"/>
  <c r="R890" i="31"/>
  <c r="R891" i="31"/>
  <c r="R895" i="31"/>
  <c r="R896" i="31"/>
  <c r="R897" i="31"/>
  <c r="R898" i="31"/>
  <c r="R899" i="31"/>
  <c r="R900" i="31"/>
  <c r="R901" i="31"/>
  <c r="R902" i="31"/>
  <c r="R903" i="31"/>
  <c r="R906" i="31"/>
  <c r="R911" i="31"/>
  <c r="R914" i="31"/>
  <c r="R915" i="31"/>
  <c r="R916" i="31"/>
  <c r="R917" i="31"/>
  <c r="R918" i="31"/>
  <c r="R904" i="31"/>
  <c r="R905" i="31"/>
  <c r="R907" i="31"/>
  <c r="R908" i="31"/>
  <c r="R909" i="31"/>
  <c r="R910" i="31"/>
  <c r="R912" i="31"/>
  <c r="R913" i="31"/>
  <c r="R920" i="31"/>
  <c r="R930" i="31"/>
  <c r="R935" i="31"/>
  <c r="R921" i="31"/>
  <c r="R922" i="31"/>
  <c r="R923" i="31"/>
  <c r="R924" i="31"/>
  <c r="R925" i="31"/>
  <c r="R633" i="31"/>
  <c r="R926" i="31"/>
  <c r="R927" i="31"/>
  <c r="R928" i="31"/>
  <c r="R929" i="31"/>
  <c r="R931" i="31"/>
  <c r="R932" i="31"/>
  <c r="R933" i="31"/>
  <c r="R934" i="31"/>
  <c r="R936" i="31"/>
  <c r="R937" i="31"/>
  <c r="R938" i="31"/>
  <c r="R942" i="31"/>
  <c r="R939" i="31"/>
  <c r="R940" i="31"/>
  <c r="R941" i="31"/>
  <c r="R943" i="31"/>
  <c r="R944" i="31"/>
  <c r="R945" i="31"/>
  <c r="R946" i="31"/>
  <c r="R949" i="31"/>
  <c r="R951" i="31"/>
  <c r="R954" i="31"/>
  <c r="R956" i="31"/>
  <c r="R947" i="31"/>
  <c r="R893" i="31"/>
  <c r="R894" i="31"/>
  <c r="R948" i="31"/>
  <c r="R950" i="31"/>
  <c r="R952" i="31"/>
  <c r="R953" i="31"/>
  <c r="R955" i="31"/>
  <c r="R957" i="31"/>
  <c r="R958" i="31"/>
  <c r="R961" i="31"/>
  <c r="R962" i="31"/>
  <c r="R965" i="31"/>
  <c r="R969" i="31"/>
  <c r="R970" i="31"/>
  <c r="R971" i="31"/>
  <c r="R972" i="31"/>
  <c r="R966" i="31"/>
  <c r="R963" i="31"/>
  <c r="R964" i="31"/>
  <c r="R981" i="31"/>
  <c r="R967" i="31"/>
  <c r="R968" i="31"/>
  <c r="R974" i="31"/>
  <c r="R976" i="31"/>
  <c r="R980" i="31"/>
  <c r="R982" i="31"/>
  <c r="R985" i="31"/>
  <c r="R973" i="31"/>
  <c r="R975" i="31"/>
  <c r="R1786" i="31"/>
  <c r="R977" i="31"/>
  <c r="R1787" i="31"/>
  <c r="R983" i="31"/>
  <c r="R984" i="31"/>
  <c r="R986" i="31"/>
  <c r="R987" i="31"/>
  <c r="R988" i="31"/>
  <c r="R989" i="31"/>
  <c r="R990" i="31"/>
  <c r="R995" i="31"/>
  <c r="R994" i="31"/>
  <c r="R999" i="31"/>
  <c r="R998" i="31"/>
  <c r="R1001" i="31"/>
  <c r="R1002" i="31"/>
  <c r="R1005" i="31"/>
  <c r="R1006" i="31"/>
  <c r="R1007" i="31"/>
  <c r="R1009" i="31"/>
  <c r="R1011" i="31"/>
  <c r="R1012" i="31"/>
  <c r="R1014" i="31"/>
  <c r="R996" i="31"/>
  <c r="R997" i="31"/>
  <c r="R1000" i="31"/>
  <c r="R991" i="31"/>
  <c r="R992" i="31"/>
  <c r="R993" i="31"/>
  <c r="R1003" i="31"/>
  <c r="R1004" i="31"/>
  <c r="R1008" i="31"/>
  <c r="R1010" i="31"/>
  <c r="R1013" i="31"/>
  <c r="R1015" i="31"/>
  <c r="R1016" i="31"/>
  <c r="R1018" i="31"/>
  <c r="R1019" i="31"/>
  <c r="R1020" i="31"/>
  <c r="R1021" i="31"/>
  <c r="R1022" i="31"/>
  <c r="R1023" i="31"/>
  <c r="R1024" i="31"/>
  <c r="R959" i="31"/>
  <c r="R960" i="31"/>
  <c r="R1025" i="31"/>
  <c r="R1026" i="31"/>
  <c r="R1017" i="31"/>
  <c r="R1028" i="31"/>
  <c r="R1032" i="31"/>
  <c r="R1033" i="31"/>
  <c r="R1034" i="31"/>
  <c r="R1043" i="31"/>
  <c r="R1046" i="31"/>
  <c r="R1047" i="31"/>
  <c r="R1051" i="31"/>
  <c r="R1068" i="31"/>
  <c r="R1052" i="31"/>
  <c r="R1056" i="31"/>
  <c r="R1059" i="31"/>
  <c r="R1060" i="31"/>
  <c r="R1061" i="31"/>
  <c r="R1063" i="31"/>
  <c r="R1064" i="31"/>
  <c r="R1067" i="31"/>
  <c r="R1070" i="31"/>
  <c r="R1073" i="31"/>
  <c r="R1074" i="31"/>
  <c r="R1076" i="31"/>
  <c r="R1080" i="31"/>
  <c r="R1082" i="31"/>
  <c r="R1083" i="31"/>
  <c r="R1085" i="31"/>
  <c r="R1086" i="31"/>
  <c r="R1093" i="31"/>
  <c r="R1098" i="31"/>
  <c r="R1100" i="31"/>
  <c r="R1104" i="31"/>
  <c r="R1027" i="31"/>
  <c r="R1029" i="31"/>
  <c r="R1030" i="31"/>
  <c r="R1031" i="31"/>
  <c r="R1035" i="31"/>
  <c r="R1036" i="31"/>
  <c r="R1042" i="31"/>
  <c r="R1044" i="31"/>
  <c r="R1045" i="31"/>
  <c r="R1038" i="31"/>
  <c r="R1039" i="31"/>
  <c r="R1040" i="31"/>
  <c r="R1041" i="31"/>
  <c r="R1048" i="31"/>
  <c r="R1049" i="31"/>
  <c r="R1050" i="31"/>
  <c r="R1053" i="31"/>
  <c r="R1054" i="31"/>
  <c r="R1055" i="31"/>
  <c r="R2998" i="31"/>
  <c r="R1065" i="31"/>
  <c r="R1066" i="31"/>
  <c r="R1069" i="31"/>
  <c r="R1071" i="31"/>
  <c r="R1072" i="31"/>
  <c r="R1075" i="31"/>
  <c r="R1077" i="31"/>
  <c r="R1078" i="31"/>
  <c r="R1079" i="31"/>
  <c r="R1081" i="31"/>
  <c r="R1084" i="31"/>
  <c r="R1087" i="31"/>
  <c r="R1088" i="31"/>
  <c r="R1089" i="31"/>
  <c r="R1090" i="31"/>
  <c r="R1091" i="31"/>
  <c r="R1092" i="31"/>
  <c r="R1094" i="31"/>
  <c r="R1095" i="31"/>
  <c r="R1096" i="31"/>
  <c r="R1097" i="31"/>
  <c r="R1099" i="31"/>
  <c r="R1101" i="31"/>
  <c r="R1102" i="31"/>
  <c r="R1103" i="31"/>
  <c r="R1106" i="31"/>
  <c r="R1110" i="31"/>
  <c r="R1124" i="31"/>
  <c r="R1125" i="31"/>
  <c r="R1126" i="31"/>
  <c r="R1127" i="31"/>
  <c r="R1128" i="31"/>
  <c r="R1130" i="31"/>
  <c r="R1108" i="31"/>
  <c r="R1105" i="31"/>
  <c r="R1107" i="31"/>
  <c r="R1122" i="31"/>
  <c r="R1109" i="31"/>
  <c r="R1111" i="31"/>
  <c r="R1112" i="31"/>
  <c r="R1113" i="31"/>
  <c r="R1114" i="31"/>
  <c r="R1115" i="31"/>
  <c r="R1116" i="31"/>
  <c r="R1117" i="31"/>
  <c r="R1118" i="31"/>
  <c r="R1119" i="31"/>
  <c r="R1120" i="31"/>
  <c r="R1121" i="31"/>
  <c r="R1123" i="31"/>
  <c r="R1133" i="31"/>
  <c r="R1134" i="31"/>
  <c r="R1135" i="31"/>
  <c r="R1139" i="31"/>
  <c r="R1129" i="31"/>
  <c r="R1131" i="31"/>
  <c r="R1132" i="31"/>
  <c r="R1136" i="31"/>
  <c r="R1137" i="31"/>
  <c r="R1138" i="31"/>
  <c r="R1140" i="31"/>
  <c r="R1141" i="31"/>
  <c r="R1142" i="31"/>
  <c r="R1143" i="31"/>
  <c r="R853" i="31"/>
  <c r="R1144" i="31"/>
  <c r="R1149" i="31"/>
  <c r="R1170" i="31"/>
  <c r="R1171" i="31"/>
  <c r="R1157" i="31"/>
  <c r="R1145" i="31"/>
  <c r="R1146" i="31"/>
  <c r="R1147" i="31"/>
  <c r="R1148" i="31"/>
  <c r="R1150" i="31"/>
  <c r="R1151" i="31"/>
  <c r="R1152" i="31"/>
  <c r="R1153" i="31"/>
  <c r="R1154" i="31"/>
  <c r="R1155" i="31"/>
  <c r="R1156" i="31"/>
  <c r="R1158" i="31"/>
  <c r="R1162" i="31"/>
  <c r="R1159" i="31"/>
  <c r="R1160" i="31"/>
  <c r="R1161" i="31"/>
  <c r="R1163" i="31"/>
  <c r="R1164" i="31"/>
  <c r="R1165" i="31"/>
  <c r="R1166" i="31"/>
  <c r="R1167" i="31"/>
  <c r="R1174" i="31"/>
  <c r="R1177" i="31"/>
  <c r="R1168" i="31"/>
  <c r="R1169" i="31"/>
  <c r="R1172" i="31"/>
  <c r="R1173" i="31"/>
  <c r="R1175" i="31"/>
  <c r="R1176" i="31"/>
  <c r="R1178" i="31"/>
  <c r="R1180" i="31"/>
  <c r="R1182" i="31"/>
  <c r="R1183" i="31"/>
  <c r="R1184" i="31"/>
  <c r="R1185" i="31"/>
  <c r="R1186" i="31"/>
  <c r="R1179" i="31"/>
  <c r="R1181" i="31"/>
  <c r="R1187" i="31"/>
  <c r="R1193" i="31"/>
  <c r="R1194" i="31"/>
  <c r="R1188" i="31"/>
  <c r="R1189" i="31"/>
  <c r="R1190" i="31"/>
  <c r="R1191" i="31"/>
  <c r="R1192" i="31"/>
  <c r="R1195" i="31"/>
  <c r="R1196" i="31"/>
  <c r="R1197" i="31"/>
  <c r="R1198" i="31"/>
  <c r="R1057" i="31"/>
  <c r="R1058" i="31"/>
  <c r="R1199" i="31"/>
  <c r="R1200" i="31"/>
  <c r="R1202" i="31"/>
  <c r="R1204" i="31"/>
  <c r="R1205" i="31"/>
  <c r="R1210" i="31"/>
  <c r="R1216" i="31"/>
  <c r="R1227" i="31"/>
  <c r="R1201" i="31"/>
  <c r="R1203" i="31"/>
  <c r="R1277" i="31"/>
  <c r="R1208" i="31"/>
  <c r="R1209" i="31"/>
  <c r="R1211" i="31"/>
  <c r="R1212" i="31"/>
  <c r="R1213" i="31"/>
  <c r="R1214" i="31"/>
  <c r="R1215" i="31"/>
  <c r="R1217" i="31"/>
  <c r="R1218" i="31"/>
  <c r="R1219" i="31"/>
  <c r="R1220" i="31"/>
  <c r="R1221" i="31"/>
  <c r="R1222" i="31"/>
  <c r="R1223" i="31"/>
  <c r="R1224" i="31"/>
  <c r="R1225" i="31"/>
  <c r="R1226" i="31"/>
  <c r="R1228" i="31"/>
  <c r="R1229" i="31"/>
  <c r="R1230" i="31"/>
  <c r="R1231" i="31"/>
  <c r="R1232" i="31"/>
  <c r="R1233" i="31"/>
  <c r="R1234" i="31"/>
  <c r="R1235" i="31"/>
  <c r="R1236" i="31"/>
  <c r="R1237" i="31"/>
  <c r="R1238" i="31"/>
  <c r="R1239" i="31"/>
  <c r="R1240" i="31"/>
  <c r="R1241" i="31"/>
  <c r="R1242" i="31"/>
  <c r="R1243" i="31"/>
  <c r="R1244" i="31"/>
  <c r="R1245" i="31"/>
  <c r="R1246" i="31"/>
  <c r="R1247" i="31"/>
  <c r="R1248" i="31"/>
  <c r="R1249" i="31"/>
  <c r="R1250" i="31"/>
  <c r="R1251" i="31"/>
  <c r="R1253" i="31"/>
  <c r="R1257" i="31"/>
  <c r="R1252" i="31"/>
  <c r="R1267" i="31"/>
  <c r="R1269" i="31"/>
  <c r="R1271" i="31"/>
  <c r="R1274" i="31"/>
  <c r="R1258" i="31"/>
  <c r="R1254" i="31"/>
  <c r="R1255" i="31"/>
  <c r="R1256" i="31"/>
  <c r="R1263" i="31"/>
  <c r="R1264" i="31"/>
  <c r="R1265" i="31"/>
  <c r="R1266" i="31"/>
  <c r="R1268" i="31"/>
  <c r="R1270" i="31"/>
  <c r="R1272" i="31"/>
  <c r="R1273" i="31"/>
  <c r="R1259" i="31"/>
  <c r="R1260" i="31"/>
  <c r="R1261" i="31"/>
  <c r="R1262" i="31"/>
  <c r="R1275" i="31"/>
  <c r="R1276" i="31"/>
  <c r="R1206" i="31"/>
  <c r="R1207" i="31"/>
  <c r="R1281" i="31"/>
  <c r="R1282" i="31"/>
  <c r="R1283" i="31"/>
  <c r="R1284" i="31"/>
  <c r="R1285" i="31"/>
  <c r="R1286" i="31"/>
  <c r="R1287" i="31"/>
  <c r="R1289" i="31"/>
  <c r="R1292" i="31"/>
  <c r="R1293" i="31"/>
  <c r="R1296" i="31"/>
  <c r="R1298" i="31"/>
  <c r="R1300" i="31"/>
  <c r="R1301" i="31"/>
  <c r="R1302" i="31"/>
  <c r="R1303" i="31"/>
  <c r="R1305" i="31"/>
  <c r="R1307" i="31"/>
  <c r="R1309" i="31"/>
  <c r="R1310" i="31"/>
  <c r="R1311" i="31"/>
  <c r="R1312" i="31"/>
  <c r="R1326" i="31"/>
  <c r="R1288" i="31"/>
  <c r="R1290" i="31"/>
  <c r="R1291" i="31"/>
  <c r="R1294" i="31"/>
  <c r="R1295" i="31"/>
  <c r="R1297" i="31"/>
  <c r="R1299" i="31"/>
  <c r="R1304" i="31"/>
  <c r="R1306" i="31"/>
  <c r="R1308" i="31"/>
  <c r="R1313" i="31"/>
  <c r="R1321" i="31"/>
  <c r="R1333" i="31"/>
  <c r="R1335" i="31"/>
  <c r="R1336" i="31"/>
  <c r="R1337" i="31"/>
  <c r="R1338" i="31"/>
  <c r="R1342" i="31"/>
  <c r="R1344" i="31"/>
  <c r="R1349" i="31"/>
  <c r="R1314" i="31"/>
  <c r="R1315" i="31"/>
  <c r="R1316" i="31"/>
  <c r="R1317" i="31"/>
  <c r="R1318" i="31"/>
  <c r="R1319" i="31"/>
  <c r="R1320" i="31"/>
  <c r="R1322" i="31"/>
  <c r="R1323" i="31"/>
  <c r="R1324" i="31"/>
  <c r="R1325" i="31"/>
  <c r="R1327" i="31"/>
  <c r="R1328" i="31"/>
  <c r="R1329" i="31"/>
  <c r="R1330" i="31"/>
  <c r="R1331" i="31"/>
  <c r="R1332" i="31"/>
  <c r="R1334" i="31"/>
  <c r="R1339" i="31"/>
  <c r="R1340" i="31"/>
  <c r="R1341" i="31"/>
  <c r="R1278" i="31"/>
  <c r="R1279" i="31"/>
  <c r="R1343" i="31"/>
  <c r="R1346" i="31"/>
  <c r="R1347" i="31"/>
  <c r="R1348" i="31"/>
  <c r="R1350" i="31"/>
  <c r="R1378" i="31"/>
  <c r="R1380" i="31"/>
  <c r="R1372" i="31"/>
  <c r="R1351" i="31"/>
  <c r="R1352" i="31"/>
  <c r="R1353" i="31"/>
  <c r="R1354" i="31"/>
  <c r="R1355" i="31"/>
  <c r="R1356" i="31"/>
  <c r="R1357" i="31"/>
  <c r="R1358" i="31"/>
  <c r="R1359" i="31"/>
  <c r="R1360" i="31"/>
  <c r="R1361" i="31"/>
  <c r="R1362" i="31"/>
  <c r="R1363" i="31"/>
  <c r="R1364" i="31"/>
  <c r="R1365" i="31"/>
  <c r="R1366" i="31"/>
  <c r="R1367" i="31"/>
  <c r="R1368" i="31"/>
  <c r="R1369" i="31"/>
  <c r="R1370" i="31"/>
  <c r="R1371" i="31"/>
  <c r="R1373" i="31"/>
  <c r="R1374" i="31"/>
  <c r="R1375" i="31"/>
  <c r="R1376" i="31"/>
  <c r="R1377" i="31"/>
  <c r="R852" i="31"/>
  <c r="R1381" i="31"/>
  <c r="R1382" i="31"/>
  <c r="R1383" i="31"/>
  <c r="R1384" i="31"/>
  <c r="R1385" i="31"/>
  <c r="R1386" i="31"/>
  <c r="R1388" i="31"/>
  <c r="R1389" i="31"/>
  <c r="R1390" i="31"/>
  <c r="R1392" i="31"/>
  <c r="R1394" i="31"/>
  <c r="R1379" i="31"/>
  <c r="R1387" i="31"/>
  <c r="R1391" i="31"/>
  <c r="R1393" i="31"/>
  <c r="R1395" i="31"/>
  <c r="R1398" i="31"/>
  <c r="R1399" i="31"/>
  <c r="R1400" i="31"/>
  <c r="R1401" i="31"/>
  <c r="R1403" i="31"/>
  <c r="R1406" i="31"/>
  <c r="R1396" i="31"/>
  <c r="R1397" i="31"/>
  <c r="R1402" i="31"/>
  <c r="R1404" i="31"/>
  <c r="R1405" i="31"/>
  <c r="R1415" i="31"/>
  <c r="R1416" i="31"/>
  <c r="R1418" i="31"/>
  <c r="R1422" i="31"/>
  <c r="R1424" i="31"/>
  <c r="R1431" i="31"/>
  <c r="R1419" i="31"/>
  <c r="R1407" i="31"/>
  <c r="R1408" i="31"/>
  <c r="R1409" i="31"/>
  <c r="R1410" i="31"/>
  <c r="R1411" i="31"/>
  <c r="R1412" i="31"/>
  <c r="R1413" i="31"/>
  <c r="R1414" i="31"/>
  <c r="R1417" i="31"/>
  <c r="R1420" i="31"/>
  <c r="R1421" i="31"/>
  <c r="R1423" i="31"/>
  <c r="R1425" i="31"/>
  <c r="R1426" i="31"/>
  <c r="R1427" i="31"/>
  <c r="R1438" i="31"/>
  <c r="R1428" i="31"/>
  <c r="R1429" i="31"/>
  <c r="R1430" i="31"/>
  <c r="R1432" i="31"/>
  <c r="R1434" i="31"/>
  <c r="R1435" i="31"/>
  <c r="R1436" i="31"/>
  <c r="R1437" i="31"/>
  <c r="R1447" i="31"/>
  <c r="R1439" i="31"/>
  <c r="R1442" i="31"/>
  <c r="R1444" i="31"/>
  <c r="R1445" i="31"/>
  <c r="R1446" i="31"/>
  <c r="R1449" i="31"/>
  <c r="R1450" i="31"/>
  <c r="R1451" i="31"/>
  <c r="R1433" i="31"/>
  <c r="R1440" i="31"/>
  <c r="R1441" i="31"/>
  <c r="R1443" i="31"/>
  <c r="R1448" i="31"/>
  <c r="R1452" i="31"/>
  <c r="R1453" i="31"/>
  <c r="R1454" i="31"/>
  <c r="R1455" i="31"/>
  <c r="R1456" i="31"/>
  <c r="R1457" i="31"/>
  <c r="R1458" i="31"/>
  <c r="R1459" i="31"/>
  <c r="R1461" i="31"/>
  <c r="R1462" i="31"/>
  <c r="R822" i="31"/>
  <c r="R1463" i="31"/>
  <c r="R1464" i="31"/>
  <c r="R1465" i="31"/>
  <c r="R1466" i="31"/>
  <c r="R1467" i="31"/>
  <c r="R1468" i="31"/>
  <c r="R1469" i="31"/>
  <c r="R1470" i="31"/>
  <c r="R1471" i="31"/>
  <c r="R1472" i="31"/>
  <c r="R1473" i="31"/>
  <c r="R1474" i="31"/>
  <c r="R1475" i="31"/>
  <c r="R1476" i="31"/>
  <c r="R1477" i="31"/>
  <c r="R1478" i="31"/>
  <c r="R1480" i="31"/>
  <c r="R1481" i="31"/>
  <c r="R1484" i="31"/>
  <c r="R1485" i="31"/>
  <c r="R1493" i="31"/>
  <c r="R1496" i="31"/>
  <c r="R1479" i="31"/>
  <c r="R1482" i="31"/>
  <c r="R1486" i="31"/>
  <c r="R1483" i="31"/>
  <c r="R1502" i="31"/>
  <c r="R1487" i="31"/>
  <c r="R1488" i="31"/>
  <c r="R1489" i="31"/>
  <c r="R1490" i="31"/>
  <c r="R1491" i="31"/>
  <c r="R1492" i="31"/>
  <c r="R1494" i="31"/>
  <c r="R1495" i="31"/>
  <c r="R1503" i="31"/>
  <c r="R1507" i="31"/>
  <c r="R1509" i="31"/>
  <c r="R1510" i="31"/>
  <c r="R1511" i="31"/>
  <c r="R1345" i="31"/>
  <c r="R1504" i="31"/>
  <c r="R1497" i="31"/>
  <c r="R1498" i="31"/>
  <c r="R1499" i="31"/>
  <c r="R1500" i="31"/>
  <c r="R1501" i="31"/>
  <c r="R1505" i="31"/>
  <c r="R1506" i="31"/>
  <c r="R1508" i="31"/>
  <c r="R1529" i="31"/>
  <c r="R1530" i="31"/>
  <c r="R1531" i="31"/>
  <c r="R1532" i="31"/>
  <c r="R1533" i="31"/>
  <c r="R1535" i="31"/>
  <c r="R1564" i="31"/>
  <c r="R1565" i="31"/>
  <c r="R1518" i="31"/>
  <c r="R1513" i="31"/>
  <c r="R1515" i="31"/>
  <c r="R1516" i="31"/>
  <c r="R1517" i="31"/>
  <c r="R1523" i="31"/>
  <c r="R1521" i="31"/>
  <c r="R1522" i="31"/>
  <c r="R1534" i="31"/>
  <c r="R1524" i="31"/>
  <c r="R1526" i="31"/>
  <c r="R1527" i="31"/>
  <c r="R1537" i="31"/>
  <c r="R1536" i="31"/>
  <c r="R1538" i="31"/>
  <c r="R1539" i="31"/>
  <c r="R1540" i="31"/>
  <c r="R1541" i="31"/>
  <c r="R1542" i="31"/>
  <c r="R1543" i="31"/>
  <c r="R1544" i="31"/>
  <c r="R1545" i="31"/>
  <c r="R1546" i="31"/>
  <c r="R1547" i="31"/>
  <c r="R1548" i="31"/>
  <c r="R1549" i="31"/>
  <c r="R1550" i="31"/>
  <c r="R1551" i="31"/>
  <c r="R1552" i="31"/>
  <c r="R1553" i="31"/>
  <c r="R1554" i="31"/>
  <c r="R1555" i="31"/>
  <c r="R1556" i="31"/>
  <c r="R1557" i="31"/>
  <c r="R1558" i="31"/>
  <c r="R1559" i="31"/>
  <c r="R1560" i="31"/>
  <c r="R1561" i="31"/>
  <c r="R1562" i="31"/>
  <c r="R1563" i="31"/>
  <c r="R1583" i="31"/>
  <c r="R1566" i="31"/>
  <c r="R1568" i="31"/>
  <c r="R1569" i="31"/>
  <c r="R1570" i="31"/>
  <c r="R1571" i="31"/>
  <c r="R1572" i="31"/>
  <c r="R1575" i="31"/>
  <c r="R1576" i="31"/>
  <c r="R1577" i="31"/>
  <c r="R1578" i="31"/>
  <c r="R1582" i="31"/>
  <c r="R1598" i="31"/>
  <c r="R1584" i="31"/>
  <c r="R1585" i="31"/>
  <c r="R1586" i="31"/>
  <c r="R1587" i="31"/>
  <c r="R1589" i="31"/>
  <c r="R1590" i="31"/>
  <c r="R1593" i="31"/>
  <c r="R1600" i="31"/>
  <c r="R1567" i="31"/>
  <c r="R1573" i="31"/>
  <c r="R1574" i="31"/>
  <c r="R1579" i="31"/>
  <c r="R1580" i="31"/>
  <c r="R1581" i="31"/>
  <c r="R1588" i="31"/>
  <c r="R1591" i="31"/>
  <c r="R1592" i="31"/>
  <c r="R1594" i="31"/>
  <c r="R1595" i="31"/>
  <c r="R1596" i="31"/>
  <c r="R1597" i="31"/>
  <c r="R1599" i="31"/>
  <c r="R1601" i="31"/>
  <c r="R1602" i="31"/>
  <c r="R1603" i="31"/>
  <c r="R1604" i="31"/>
  <c r="R1605" i="31"/>
  <c r="R1614" i="31"/>
  <c r="R1616" i="31"/>
  <c r="R1611" i="31"/>
  <c r="R1612" i="31"/>
  <c r="R1613" i="31"/>
  <c r="R1615" i="31"/>
  <c r="R1617" i="31"/>
  <c r="R1618" i="31"/>
  <c r="R1620" i="31"/>
  <c r="R1621" i="31"/>
  <c r="R1622" i="31"/>
  <c r="R1623" i="31"/>
  <c r="R1624" i="31"/>
  <c r="R1627" i="31"/>
  <c r="R1629" i="31"/>
  <c r="R1630" i="31"/>
  <c r="R1631" i="31"/>
  <c r="R1632" i="31"/>
  <c r="R1633" i="31"/>
  <c r="R1634" i="31"/>
  <c r="R1635" i="31"/>
  <c r="R661" i="31"/>
  <c r="R1639" i="31"/>
  <c r="R1641" i="31"/>
  <c r="R1642" i="31"/>
  <c r="R1643" i="31"/>
  <c r="R1625" i="31"/>
  <c r="R1619" i="31"/>
  <c r="R1628" i="31"/>
  <c r="R1626" i="31"/>
  <c r="R1636" i="31"/>
  <c r="R1640" i="31"/>
  <c r="R1645" i="31"/>
  <c r="R1647" i="31"/>
  <c r="R1644" i="31"/>
  <c r="R1646" i="31"/>
  <c r="R1648" i="31"/>
  <c r="R663" i="31"/>
  <c r="R1649" i="31"/>
  <c r="R1654" i="31"/>
  <c r="R1657" i="31"/>
  <c r="R1658" i="31"/>
  <c r="R1663" i="31"/>
  <c r="R1665" i="31"/>
  <c r="R1666" i="31"/>
  <c r="R1671" i="31"/>
  <c r="R1672" i="31"/>
  <c r="R1650" i="31"/>
  <c r="R1651" i="31"/>
  <c r="R1652" i="31"/>
  <c r="R1653" i="31"/>
  <c r="R1655" i="31"/>
  <c r="R1656" i="31"/>
  <c r="R1659" i="31"/>
  <c r="R1660" i="31"/>
  <c r="R1661" i="31"/>
  <c r="R1662" i="31"/>
  <c r="R1664" i="31"/>
  <c r="R1667" i="31"/>
  <c r="R1668" i="31"/>
  <c r="R1669" i="31"/>
  <c r="R1670" i="31"/>
  <c r="R1673" i="31"/>
  <c r="R1676" i="31"/>
  <c r="R1678" i="31"/>
  <c r="R1674" i="31"/>
  <c r="R1675" i="31"/>
  <c r="R1677" i="31"/>
  <c r="R1679" i="31"/>
  <c r="R1680" i="31"/>
  <c r="R1681" i="31"/>
  <c r="R1683" i="31"/>
  <c r="R1684" i="31"/>
  <c r="R1685" i="31"/>
  <c r="R1687" i="31"/>
  <c r="R1689" i="31"/>
  <c r="R1690" i="31"/>
  <c r="R1691" i="31"/>
  <c r="R1697" i="31"/>
  <c r="R1698" i="31"/>
  <c r="R1699" i="31"/>
  <c r="R1704" i="31"/>
  <c r="R1705" i="31"/>
  <c r="R1706" i="31"/>
  <c r="R1707" i="31"/>
  <c r="R1708" i="31"/>
  <c r="R1682" i="31"/>
  <c r="R1686" i="31"/>
  <c r="R1688" i="31"/>
  <c r="R1692" i="31"/>
  <c r="R1693" i="31"/>
  <c r="R1694" i="31"/>
  <c r="R1695" i="31"/>
  <c r="R1696" i="31"/>
  <c r="R1700" i="31"/>
  <c r="R1701" i="31"/>
  <c r="R1702" i="31"/>
  <c r="R1703" i="31"/>
  <c r="R1709" i="31"/>
  <c r="R1710" i="31"/>
  <c r="R1711" i="31"/>
  <c r="R1712" i="31"/>
  <c r="R1713" i="31"/>
  <c r="R1714" i="31"/>
  <c r="R1715" i="31"/>
  <c r="R1716" i="31"/>
  <c r="R1717" i="31"/>
  <c r="R1720" i="31"/>
  <c r="R1722" i="31"/>
  <c r="R1726" i="31"/>
  <c r="R1727" i="31"/>
  <c r="R1730" i="31"/>
  <c r="R1731" i="31"/>
  <c r="R1732" i="31"/>
  <c r="R1733" i="31"/>
  <c r="R1737" i="31"/>
  <c r="R1740" i="31"/>
  <c r="R1743" i="31"/>
  <c r="R1745" i="31"/>
  <c r="R1746" i="31"/>
  <c r="R1749" i="31"/>
  <c r="R1750" i="31"/>
  <c r="R1752" i="31"/>
  <c r="R1756" i="31"/>
  <c r="R1757" i="31"/>
  <c r="R1758" i="31"/>
  <c r="R1760" i="31"/>
  <c r="R1761" i="31"/>
  <c r="R1762" i="31"/>
  <c r="R1718" i="31"/>
  <c r="R1719" i="31"/>
  <c r="R1721" i="31"/>
  <c r="R1723" i="31"/>
  <c r="R1724" i="31"/>
  <c r="R1725" i="31"/>
  <c r="R1728" i="31"/>
  <c r="R1729" i="31"/>
  <c r="R1734" i="31"/>
  <c r="R1735" i="31"/>
  <c r="R1736" i="31"/>
  <c r="R1738" i="31"/>
  <c r="R1739" i="31"/>
  <c r="R1741" i="31"/>
  <c r="R1742" i="31"/>
  <c r="R1744" i="31"/>
  <c r="R1747" i="31"/>
  <c r="R1748" i="31"/>
  <c r="R1751" i="31"/>
  <c r="R1637" i="31"/>
  <c r="R1638" i="31"/>
  <c r="R1753" i="31"/>
  <c r="R1754" i="31"/>
  <c r="R1755" i="31"/>
  <c r="R1767" i="31"/>
  <c r="R1768" i="31"/>
  <c r="R1764" i="31"/>
  <c r="R1765" i="31"/>
  <c r="R1766" i="31"/>
  <c r="R1769" i="31"/>
  <c r="R1771" i="31"/>
  <c r="R1772" i="31"/>
  <c r="R1776" i="31"/>
  <c r="R1779" i="31"/>
  <c r="R1780" i="31"/>
  <c r="R1790" i="31"/>
  <c r="R1770" i="31"/>
  <c r="R1773" i="31"/>
  <c r="R1774" i="31"/>
  <c r="R1775" i="31"/>
  <c r="R1777" i="31"/>
  <c r="R1778" i="31"/>
  <c r="R1781" i="31"/>
  <c r="R1782" i="31"/>
  <c r="R1783" i="31"/>
  <c r="R1759" i="31"/>
  <c r="R1763" i="31"/>
  <c r="R1788" i="31"/>
  <c r="R1789" i="31"/>
  <c r="R1791" i="31"/>
  <c r="R1792" i="31"/>
  <c r="R1794" i="31"/>
  <c r="R1795" i="31"/>
  <c r="R1797" i="31"/>
  <c r="R1793" i="31"/>
  <c r="R1796" i="31"/>
  <c r="R1807" i="31"/>
  <c r="R1798" i="31"/>
  <c r="R1799" i="31"/>
  <c r="R1800" i="31"/>
  <c r="R1806" i="31"/>
  <c r="R1801" i="31"/>
  <c r="R1802" i="31"/>
  <c r="R1803" i="31"/>
  <c r="R1804" i="31"/>
  <c r="R1805" i="31"/>
  <c r="R1808" i="31"/>
  <c r="R1809" i="31"/>
  <c r="R1810" i="31"/>
  <c r="R1811" i="31"/>
  <c r="R1812" i="31"/>
  <c r="R1814" i="31"/>
  <c r="R1815" i="31"/>
  <c r="R1816" i="31"/>
  <c r="R1819" i="31"/>
  <c r="R1820" i="31"/>
  <c r="R1821" i="31"/>
  <c r="R1829" i="31"/>
  <c r="R1830" i="31"/>
  <c r="R1832" i="31"/>
  <c r="R1866" i="31"/>
  <c r="R1877" i="31"/>
  <c r="R1882" i="31"/>
  <c r="R1883" i="31"/>
  <c r="R1884" i="31"/>
  <c r="R1839" i="31"/>
  <c r="R1813" i="31"/>
  <c r="R1817" i="31"/>
  <c r="R1818" i="31"/>
  <c r="R1822" i="31"/>
  <c r="R1823" i="31"/>
  <c r="R1824" i="31"/>
  <c r="R1825" i="31"/>
  <c r="R1826" i="31"/>
  <c r="R1827" i="31"/>
  <c r="R1828" i="31"/>
  <c r="R1831" i="31"/>
  <c r="R1833" i="31"/>
  <c r="R1834" i="31"/>
  <c r="R1835" i="31"/>
  <c r="R1837" i="31"/>
  <c r="R1838" i="31"/>
  <c r="R1840" i="31"/>
  <c r="R1841" i="31"/>
  <c r="R1842" i="31"/>
  <c r="R1843" i="31"/>
  <c r="R1852" i="31"/>
  <c r="R1844" i="31"/>
  <c r="R1845" i="31"/>
  <c r="R1846" i="31"/>
  <c r="R1847" i="31"/>
  <c r="R1848" i="31"/>
  <c r="R1849" i="31"/>
  <c r="R1850" i="31"/>
  <c r="R1851" i="31"/>
  <c r="R1853" i="31"/>
  <c r="R1854" i="31"/>
  <c r="R1855" i="31"/>
  <c r="R1856" i="31"/>
  <c r="R1836" i="31"/>
  <c r="R1858" i="31"/>
  <c r="R1860" i="31"/>
  <c r="R1861" i="31"/>
  <c r="R1865" i="31"/>
  <c r="R1867" i="31"/>
  <c r="R1869" i="31"/>
  <c r="R1870" i="31"/>
  <c r="R1874" i="31"/>
  <c r="R1857" i="31"/>
  <c r="R1859" i="31"/>
  <c r="R1862" i="31"/>
  <c r="R1863" i="31"/>
  <c r="R1864" i="31"/>
  <c r="R1868" i="31"/>
  <c r="R1871" i="31"/>
  <c r="R1872" i="31"/>
  <c r="R1873" i="31"/>
  <c r="R1876" i="31"/>
  <c r="R1878" i="31"/>
  <c r="R1879" i="31"/>
  <c r="R1880" i="31"/>
  <c r="R1881" i="31"/>
  <c r="R1885" i="31"/>
  <c r="R1875" i="31"/>
  <c r="R1909" i="31"/>
  <c r="R1920" i="31"/>
  <c r="R1933" i="31"/>
  <c r="R1934" i="31"/>
  <c r="R1886" i="31"/>
  <c r="R1887" i="31"/>
  <c r="R1888" i="31"/>
  <c r="R1889" i="31"/>
  <c r="R1890" i="31"/>
  <c r="R1891" i="31"/>
  <c r="R1892" i="31"/>
  <c r="R1893" i="31"/>
  <c r="R1894" i="31"/>
  <c r="R1895" i="31"/>
  <c r="R1896" i="31"/>
  <c r="R1897" i="31"/>
  <c r="R1898" i="31"/>
  <c r="R1899" i="31"/>
  <c r="R1900" i="31"/>
  <c r="R1901" i="31"/>
  <c r="R1902" i="31"/>
  <c r="R1903" i="31"/>
  <c r="R1904" i="31"/>
  <c r="R1905" i="31"/>
  <c r="R1906" i="31"/>
  <c r="R1936" i="31"/>
  <c r="R1907" i="31"/>
  <c r="R1938" i="31"/>
  <c r="R1939" i="31"/>
  <c r="R1942" i="31"/>
  <c r="R1943" i="31"/>
  <c r="R1946" i="31"/>
  <c r="R1947" i="31"/>
  <c r="R1911" i="31"/>
  <c r="R1912" i="31"/>
  <c r="R1913" i="31"/>
  <c r="R1914" i="31"/>
  <c r="R1918" i="31"/>
  <c r="R1925" i="31"/>
  <c r="R1926" i="31"/>
  <c r="R1908" i="31"/>
  <c r="R1910" i="31"/>
  <c r="R1915" i="31"/>
  <c r="R1916" i="31"/>
  <c r="R1917" i="31"/>
  <c r="R1919" i="31"/>
  <c r="R1922" i="31"/>
  <c r="R1927" i="31"/>
  <c r="R1928" i="31"/>
  <c r="R1932" i="31"/>
  <c r="R1935" i="31"/>
  <c r="R1937" i="31"/>
  <c r="R1929" i="31"/>
  <c r="R1954" i="31"/>
  <c r="R1955" i="31"/>
  <c r="R1956" i="31"/>
  <c r="R1921" i="31"/>
  <c r="R1923" i="31"/>
  <c r="R1924" i="31"/>
  <c r="R1930" i="31"/>
  <c r="R1931" i="31"/>
  <c r="R1948" i="31"/>
  <c r="R1949" i="31"/>
  <c r="R1950" i="31"/>
  <c r="R1951" i="31"/>
  <c r="R1952" i="31"/>
  <c r="R1982" i="31"/>
  <c r="R1995" i="31"/>
  <c r="R2001" i="31"/>
  <c r="R1960" i="31"/>
  <c r="R1945" i="31"/>
  <c r="R1940" i="31"/>
  <c r="R1941" i="31"/>
  <c r="R1944" i="31"/>
  <c r="R1966" i="31"/>
  <c r="R1953" i="31"/>
  <c r="R1958" i="31"/>
  <c r="R1961" i="31"/>
  <c r="R1964" i="31"/>
  <c r="R1965" i="31"/>
  <c r="R1969" i="31"/>
  <c r="R1971" i="31"/>
  <c r="R1973" i="31"/>
  <c r="R1974" i="31"/>
  <c r="R1957" i="31"/>
  <c r="R1959" i="31"/>
  <c r="R1962" i="31"/>
  <c r="R1963" i="31"/>
  <c r="R1967" i="31"/>
  <c r="R1968" i="31"/>
  <c r="R1970" i="31"/>
  <c r="R1972" i="31"/>
  <c r="R2003" i="31"/>
  <c r="R2004" i="31"/>
  <c r="R2008" i="31"/>
  <c r="R2009" i="31"/>
  <c r="R2011" i="31"/>
  <c r="R2012" i="31"/>
  <c r="R1975" i="31"/>
  <c r="R1976" i="31"/>
  <c r="R1977" i="31"/>
  <c r="R1978" i="31"/>
  <c r="R1979" i="31"/>
  <c r="R1980" i="31"/>
  <c r="R1981" i="31"/>
  <c r="R1983" i="31"/>
  <c r="R1984" i="31"/>
  <c r="R1985" i="31"/>
  <c r="R1986" i="31"/>
  <c r="R1987" i="31"/>
  <c r="R1988" i="31"/>
  <c r="R1989" i="31"/>
  <c r="R1990" i="31"/>
  <c r="R1991" i="31"/>
  <c r="R1992" i="31"/>
  <c r="R1993" i="31"/>
  <c r="R1994" i="31"/>
  <c r="R1996" i="31"/>
  <c r="R1997" i="31"/>
  <c r="R1998" i="31"/>
  <c r="R1999" i="31"/>
  <c r="R2000" i="31"/>
  <c r="R2002" i="31"/>
  <c r="R2005" i="31"/>
  <c r="R2006" i="31"/>
  <c r="R2007" i="31"/>
  <c r="R2013" i="31"/>
  <c r="R2014" i="31"/>
  <c r="R2016" i="31"/>
  <c r="R2024" i="31"/>
  <c r="R2027" i="31"/>
  <c r="R2028" i="31"/>
  <c r="R2033" i="31"/>
  <c r="R2035" i="31"/>
  <c r="R2036" i="31"/>
  <c r="R2039" i="31"/>
  <c r="R2040" i="31"/>
  <c r="R2097" i="31"/>
  <c r="R2015" i="31"/>
  <c r="R2010" i="31"/>
  <c r="R2020" i="31"/>
  <c r="R2017" i="31"/>
  <c r="R2018" i="31"/>
  <c r="R2019" i="31"/>
  <c r="R2022" i="31"/>
  <c r="R2021" i="31"/>
  <c r="R2029" i="31"/>
  <c r="R2023" i="31"/>
  <c r="R2025" i="31"/>
  <c r="R2026" i="31"/>
  <c r="R2030" i="31"/>
  <c r="R2031" i="31"/>
  <c r="R2034" i="31"/>
  <c r="R2032" i="31"/>
  <c r="R2037" i="31"/>
  <c r="R2038" i="31"/>
  <c r="R2098" i="31"/>
  <c r="R2099" i="31"/>
  <c r="R2100" i="31"/>
  <c r="R2101" i="31"/>
  <c r="R2102" i="31"/>
  <c r="R2041" i="31"/>
  <c r="R2042" i="31"/>
  <c r="R2044" i="31"/>
  <c r="R2045" i="31"/>
  <c r="R2047" i="31"/>
  <c r="R2046" i="31"/>
  <c r="R2050" i="31"/>
  <c r="R2051" i="31"/>
  <c r="R2052" i="31"/>
  <c r="R2053" i="31"/>
  <c r="R2056" i="31"/>
  <c r="R2055" i="31"/>
  <c r="R2058" i="31"/>
  <c r="R2062" i="31"/>
  <c r="R2063" i="31"/>
  <c r="R2067" i="31"/>
  <c r="R2043" i="31"/>
  <c r="R2048" i="31"/>
  <c r="R2049" i="31"/>
  <c r="R2054" i="31"/>
  <c r="R2057" i="31"/>
  <c r="R2059" i="31"/>
  <c r="R2060" i="31"/>
  <c r="R2061" i="31"/>
  <c r="R2066" i="31"/>
  <c r="R2068" i="31"/>
  <c r="R2069" i="31"/>
  <c r="R2070" i="31"/>
  <c r="R2074" i="31"/>
  <c r="R2080" i="31"/>
  <c r="R2081" i="31"/>
  <c r="R2064" i="31"/>
  <c r="R2065" i="31"/>
  <c r="R2071" i="31"/>
  <c r="R2072" i="31"/>
  <c r="R2076" i="31"/>
  <c r="R2073" i="31"/>
  <c r="R2075" i="31"/>
  <c r="R2077" i="31"/>
  <c r="R2078" i="31"/>
  <c r="R2079" i="31"/>
  <c r="R2082" i="31"/>
  <c r="R2083" i="31"/>
  <c r="R2086" i="31"/>
  <c r="R2087" i="31"/>
  <c r="R2088" i="31"/>
  <c r="R2089" i="31"/>
  <c r="R2090" i="31"/>
  <c r="R2091" i="31"/>
  <c r="R2093" i="31"/>
  <c r="R2094" i="31"/>
  <c r="R2095" i="31"/>
  <c r="R2096" i="31"/>
  <c r="R2103" i="31"/>
  <c r="R2105" i="31"/>
  <c r="R2106" i="31"/>
  <c r="R2107" i="31"/>
  <c r="R2092" i="31"/>
  <c r="R2084" i="31"/>
  <c r="R2085" i="31"/>
  <c r="R2104" i="31"/>
  <c r="R2108" i="31"/>
  <c r="R2109" i="31"/>
  <c r="R2110" i="31"/>
  <c r="R2112" i="31"/>
  <c r="R2113" i="31"/>
  <c r="R2136" i="31"/>
  <c r="R2137" i="31"/>
  <c r="R2183" i="31"/>
  <c r="R2190" i="31"/>
  <c r="R2191" i="31"/>
  <c r="R2193" i="31"/>
  <c r="R2111" i="31"/>
  <c r="R2117" i="31"/>
  <c r="R2119" i="31"/>
  <c r="R2120" i="31"/>
  <c r="R2121" i="31"/>
  <c r="R2123" i="31"/>
  <c r="R2126" i="31"/>
  <c r="R2127" i="31"/>
  <c r="R2128" i="31"/>
  <c r="R2129" i="31"/>
  <c r="R2130" i="31"/>
  <c r="R2131" i="31"/>
  <c r="R2133" i="31"/>
  <c r="R2194" i="31"/>
  <c r="R2195" i="31"/>
  <c r="R2196" i="31"/>
  <c r="R2197" i="31"/>
  <c r="R2199" i="31"/>
  <c r="R2200" i="31"/>
  <c r="R2201" i="31"/>
  <c r="R2139" i="31"/>
  <c r="R2144" i="31"/>
  <c r="R2145" i="31"/>
  <c r="R2147" i="31"/>
  <c r="R2135" i="31"/>
  <c r="R2140" i="31"/>
  <c r="R2138" i="31"/>
  <c r="R2153" i="31"/>
  <c r="R2141" i="31"/>
  <c r="R2142" i="31"/>
  <c r="R2143" i="31"/>
  <c r="R2146" i="31"/>
  <c r="R2148" i="31"/>
  <c r="R2149" i="31"/>
  <c r="R2151" i="31"/>
  <c r="R2152" i="31"/>
  <c r="R2161" i="31"/>
  <c r="R2154" i="31"/>
  <c r="R2155" i="31"/>
  <c r="R2156" i="31"/>
  <c r="R2157" i="31"/>
  <c r="R2159" i="31"/>
  <c r="R2160" i="31"/>
  <c r="R2150" i="31"/>
  <c r="R2158" i="31"/>
  <c r="R2162" i="31"/>
  <c r="R2164" i="31"/>
  <c r="R2170" i="31"/>
  <c r="R2171" i="31"/>
  <c r="R2175" i="31"/>
  <c r="R2176" i="31"/>
  <c r="R2177" i="31"/>
  <c r="R2180" i="31"/>
  <c r="R2181" i="31"/>
  <c r="R2182" i="31"/>
  <c r="R2184" i="31"/>
  <c r="R2185" i="31"/>
  <c r="R2186" i="31"/>
  <c r="R2163" i="31"/>
  <c r="R2165" i="31"/>
  <c r="R2166" i="31"/>
  <c r="R2167" i="31"/>
  <c r="R2168" i="31"/>
  <c r="R2169" i="31"/>
  <c r="R2172" i="31"/>
  <c r="R2173" i="31"/>
  <c r="R2174" i="31"/>
  <c r="R2178" i="31"/>
  <c r="R2179" i="31"/>
  <c r="R2187" i="31"/>
  <c r="R2188" i="31"/>
  <c r="R2189" i="31"/>
  <c r="R629" i="31"/>
  <c r="R2202" i="31"/>
  <c r="R630" i="31"/>
  <c r="R2203" i="31"/>
  <c r="R2204" i="31"/>
  <c r="R2205" i="31"/>
  <c r="R2206" i="31"/>
  <c r="R631" i="31"/>
  <c r="R2207" i="31"/>
  <c r="R2208" i="31"/>
  <c r="R2209" i="31"/>
  <c r="R2210" i="31"/>
  <c r="R2211" i="31"/>
  <c r="R2212" i="31"/>
  <c r="R2213" i="31"/>
  <c r="R2214" i="31"/>
  <c r="R2215" i="31"/>
  <c r="R2216" i="31"/>
  <c r="R2217" i="31"/>
  <c r="R2218" i="31"/>
  <c r="R2284" i="31"/>
  <c r="R2192" i="31"/>
  <c r="R2198" i="31"/>
  <c r="R636" i="31"/>
  <c r="R638" i="31"/>
  <c r="R639" i="31"/>
  <c r="R2289" i="31"/>
  <c r="R2297" i="31"/>
  <c r="R645" i="31"/>
  <c r="R2219" i="31"/>
  <c r="R2220" i="31"/>
  <c r="R2221" i="31"/>
  <c r="R2222" i="31"/>
  <c r="R2230" i="31"/>
  <c r="R2232" i="31"/>
  <c r="R2237" i="31"/>
  <c r="R2248" i="31"/>
  <c r="R2250" i="31"/>
  <c r="R2252" i="31"/>
  <c r="R2253" i="31"/>
  <c r="R2254" i="31"/>
  <c r="R2256" i="31"/>
  <c r="R2260" i="31"/>
  <c r="R2261" i="31"/>
  <c r="R2263" i="31"/>
  <c r="R2231" i="31"/>
  <c r="R2233" i="31"/>
  <c r="R2234" i="31"/>
  <c r="R2235" i="31"/>
  <c r="R2236" i="31"/>
  <c r="R2238" i="31"/>
  <c r="R2239" i="31"/>
  <c r="R2240" i="31"/>
  <c r="R2241" i="31"/>
  <c r="R2242" i="31"/>
  <c r="R2243" i="31"/>
  <c r="R2244" i="31"/>
  <c r="R2245" i="31"/>
  <c r="R2268" i="31"/>
  <c r="R2271" i="31"/>
  <c r="R2273" i="31"/>
  <c r="R2274" i="31"/>
  <c r="R2275" i="31"/>
  <c r="R2277" i="31"/>
  <c r="R2223" i="31"/>
  <c r="R2224" i="31"/>
  <c r="R2225" i="31"/>
  <c r="R2226" i="31"/>
  <c r="R2227" i="31"/>
  <c r="R2228" i="31"/>
  <c r="R2249" i="31"/>
  <c r="R2246" i="31"/>
  <c r="R2247" i="31"/>
  <c r="R2259" i="31"/>
  <c r="R2251" i="31"/>
  <c r="R2255" i="31"/>
  <c r="R2257" i="31"/>
  <c r="R2258" i="31"/>
  <c r="R2267" i="31"/>
  <c r="R2262" i="31"/>
  <c r="R2264" i="31"/>
  <c r="R2265" i="31"/>
  <c r="R2266" i="31"/>
  <c r="R2272" i="31"/>
  <c r="R2269" i="31"/>
  <c r="R2270" i="31"/>
  <c r="R2229" i="31"/>
  <c r="R2280" i="31"/>
  <c r="R2283" i="31"/>
  <c r="R658" i="31"/>
  <c r="R2304" i="31"/>
  <c r="R2278" i="31"/>
  <c r="R2276" i="31"/>
  <c r="R2282" i="31"/>
  <c r="R2279" i="31"/>
  <c r="R2281" i="31"/>
  <c r="R2285" i="31"/>
  <c r="R2288" i="31"/>
  <c r="R2286" i="31"/>
  <c r="R2287" i="31"/>
  <c r="R2291" i="31"/>
  <c r="R2290" i="31"/>
  <c r="R2306" i="31"/>
  <c r="R2309" i="31"/>
  <c r="R2292" i="31"/>
  <c r="R2293" i="31"/>
  <c r="R2294" i="31"/>
  <c r="R2295" i="31"/>
  <c r="R2296" i="31"/>
  <c r="R2298" i="31"/>
  <c r="R2299" i="31"/>
  <c r="R2300" i="31"/>
  <c r="R2301" i="31"/>
  <c r="R2302" i="31"/>
  <c r="R2303" i="31"/>
  <c r="R2305" i="31"/>
  <c r="R2310" i="31"/>
  <c r="R2311" i="31"/>
  <c r="R2313" i="31"/>
  <c r="R2314" i="31"/>
  <c r="R2315" i="31"/>
  <c r="R2316" i="31"/>
  <c r="R2307" i="31"/>
  <c r="R2308" i="31"/>
  <c r="R2312" i="31"/>
  <c r="R659" i="31"/>
  <c r="R2317" i="31"/>
  <c r="R2319" i="31"/>
  <c r="R2324" i="31"/>
  <c r="R2326" i="31"/>
  <c r="R2366" i="31"/>
  <c r="R2327" i="31"/>
  <c r="R2318" i="31"/>
  <c r="R2320" i="31"/>
  <c r="R2321" i="31"/>
  <c r="R2322" i="31"/>
  <c r="R2323" i="31"/>
  <c r="R2328" i="31"/>
  <c r="R2329" i="31"/>
  <c r="R2330" i="31"/>
  <c r="R2331" i="31"/>
  <c r="R2336" i="31"/>
  <c r="R2338" i="31"/>
  <c r="R2325" i="31"/>
  <c r="R2332" i="31"/>
  <c r="R2333" i="31"/>
  <c r="R2334" i="31"/>
  <c r="R2335" i="31"/>
  <c r="R2337" i="31"/>
  <c r="R2340" i="31"/>
  <c r="R2346" i="31"/>
  <c r="R2339" i="31"/>
  <c r="R2341" i="31"/>
  <c r="R2342" i="31"/>
  <c r="R2343" i="31"/>
  <c r="R2344" i="31"/>
  <c r="R2345" i="31"/>
  <c r="R2347" i="31"/>
  <c r="R2348" i="31"/>
  <c r="R2349" i="31"/>
  <c r="R2350" i="31"/>
  <c r="R2351" i="31"/>
  <c r="R2357" i="31"/>
  <c r="R2358" i="31"/>
  <c r="R2359" i="31"/>
  <c r="R2368" i="31"/>
  <c r="R2369" i="31"/>
  <c r="R2370" i="31"/>
  <c r="R2353" i="31"/>
  <c r="R2352" i="31"/>
  <c r="R2355" i="31"/>
  <c r="R2354" i="31"/>
  <c r="R2356" i="31"/>
  <c r="R2360" i="31"/>
  <c r="R2361" i="31"/>
  <c r="R2362" i="31"/>
  <c r="R2363" i="31"/>
  <c r="R2364" i="31"/>
  <c r="R2365" i="31"/>
  <c r="R2371" i="31"/>
  <c r="R2372" i="31"/>
  <c r="R2374" i="31"/>
  <c r="R660" i="31"/>
  <c r="R2376" i="31"/>
  <c r="R2377" i="31"/>
  <c r="R2379" i="31"/>
  <c r="R2381" i="31"/>
  <c r="R2384" i="31"/>
  <c r="R2385" i="31"/>
  <c r="R2367" i="31"/>
  <c r="R2373" i="31"/>
  <c r="R2375" i="31"/>
  <c r="R2378" i="31"/>
  <c r="R2380" i="31"/>
  <c r="R2388" i="31"/>
  <c r="R2399" i="31"/>
  <c r="R2405" i="31"/>
  <c r="R2412" i="31"/>
  <c r="R2413" i="31"/>
  <c r="R2396" i="31"/>
  <c r="R2428" i="31"/>
  <c r="R979" i="31"/>
  <c r="R2444" i="31"/>
  <c r="R2414" i="31"/>
  <c r="R2415" i="31"/>
  <c r="R2416" i="31"/>
  <c r="R978" i="31"/>
  <c r="R2420" i="31"/>
  <c r="R2382" i="31"/>
  <c r="R2383" i="31"/>
  <c r="R2386" i="31"/>
  <c r="R2387" i="31"/>
  <c r="R2389" i="31"/>
  <c r="R2390" i="31"/>
  <c r="R2391" i="31"/>
  <c r="R2392" i="31"/>
  <c r="R2393" i="31"/>
  <c r="R2394" i="31"/>
  <c r="R2395" i="31"/>
  <c r="R2397" i="31"/>
  <c r="R2398" i="31"/>
  <c r="R2400" i="31"/>
  <c r="R2401" i="31"/>
  <c r="R2402" i="31"/>
  <c r="R2403" i="31"/>
  <c r="R2404" i="31"/>
  <c r="R2406" i="31"/>
  <c r="R2407" i="31"/>
  <c r="R2408" i="31"/>
  <c r="R2409" i="31"/>
  <c r="R2410" i="31"/>
  <c r="R2411" i="31"/>
  <c r="R2417" i="31"/>
  <c r="R2418" i="31"/>
  <c r="R2419" i="31"/>
  <c r="R2421" i="31"/>
  <c r="R2422" i="31"/>
  <c r="R2423" i="31"/>
  <c r="R2425" i="31"/>
  <c r="R2426" i="31"/>
  <c r="R2427" i="31"/>
  <c r="R2429" i="31"/>
  <c r="R2430" i="31"/>
  <c r="R2431" i="31"/>
  <c r="R2432" i="31"/>
  <c r="R2433" i="31"/>
  <c r="R2434" i="31"/>
  <c r="R2435" i="31"/>
  <c r="R2436" i="31"/>
  <c r="R2437" i="31"/>
  <c r="R2438" i="31"/>
  <c r="R2439" i="31"/>
  <c r="R2440" i="31"/>
  <c r="R2441" i="31"/>
  <c r="R2442" i="31"/>
  <c r="R2424" i="31"/>
  <c r="R2454" i="31"/>
  <c r="R2456" i="31"/>
  <c r="R2460" i="31"/>
  <c r="R2461" i="31"/>
  <c r="R2464" i="31"/>
  <c r="R2468" i="31"/>
  <c r="R2443" i="31"/>
  <c r="R2445" i="31"/>
  <c r="R2446" i="31"/>
  <c r="R2447" i="31"/>
  <c r="R2448" i="31"/>
  <c r="R2449" i="31"/>
  <c r="R2450" i="31"/>
  <c r="R2452" i="31"/>
  <c r="R2455" i="31"/>
  <c r="R2457" i="31"/>
  <c r="R2458" i="31"/>
  <c r="R2459" i="31"/>
  <c r="R2462" i="31"/>
  <c r="R2470" i="31"/>
  <c r="R2451" i="31"/>
  <c r="R2453" i="31"/>
  <c r="R2466" i="31"/>
  <c r="R2471" i="31"/>
  <c r="R2474" i="31"/>
  <c r="R2480" i="31"/>
  <c r="R2481" i="31"/>
  <c r="R2493" i="31"/>
  <c r="R2494" i="31"/>
  <c r="R2501" i="31"/>
  <c r="R2463" i="31"/>
  <c r="R2465" i="31"/>
  <c r="R2467" i="31"/>
  <c r="R2469" i="31"/>
  <c r="R2472" i="31"/>
  <c r="R2473" i="31"/>
  <c r="R2478" i="31"/>
  <c r="R2483" i="31"/>
  <c r="R2484" i="31"/>
  <c r="R2485" i="31"/>
  <c r="R2487" i="31"/>
  <c r="R2489" i="31"/>
  <c r="R2490" i="31"/>
  <c r="R2495" i="31"/>
  <c r="R2496" i="31"/>
  <c r="R2497" i="31"/>
  <c r="R2498" i="31"/>
  <c r="R2499" i="31"/>
  <c r="R2500" i="31"/>
  <c r="R2502" i="31"/>
  <c r="R2503" i="31"/>
  <c r="R2504" i="31"/>
  <c r="R2505" i="31"/>
  <c r="R2507" i="31"/>
  <c r="R2506" i="31"/>
  <c r="R2482" i="31"/>
  <c r="R2486" i="31"/>
  <c r="R2488" i="31"/>
  <c r="R2491" i="31"/>
  <c r="R2492" i="31"/>
  <c r="R2475" i="31"/>
  <c r="R2476" i="31"/>
  <c r="R2477" i="31"/>
  <c r="R2479" i="31"/>
  <c r="R2508" i="31"/>
  <c r="R2512" i="31"/>
  <c r="R2513" i="31"/>
  <c r="R2516" i="31"/>
  <c r="R2521" i="31"/>
  <c r="R2523" i="31"/>
  <c r="R2525" i="31"/>
  <c r="R2526" i="31"/>
  <c r="R2527" i="31"/>
  <c r="R2529" i="31"/>
  <c r="R2530" i="31"/>
  <c r="R2524" i="31"/>
  <c r="R2532" i="31"/>
  <c r="R2541" i="31"/>
  <c r="R2536" i="31"/>
  <c r="R2538" i="31"/>
  <c r="R2543" i="31"/>
  <c r="R2547" i="31"/>
  <c r="R2549" i="31"/>
  <c r="R2604" i="31"/>
  <c r="R2606" i="31"/>
  <c r="R2509" i="31"/>
  <c r="R2510" i="31"/>
  <c r="R2511" i="31"/>
  <c r="R2514" i="31"/>
  <c r="R2515" i="31"/>
  <c r="R2517" i="31"/>
  <c r="R2518" i="31"/>
  <c r="R2519" i="31"/>
  <c r="R2520" i="31"/>
  <c r="R2522" i="31"/>
  <c r="R2528" i="31"/>
  <c r="R2531" i="31"/>
  <c r="R2533" i="31"/>
  <c r="R2534" i="31"/>
  <c r="R2535" i="31"/>
  <c r="R2537" i="31"/>
  <c r="R2539" i="31"/>
  <c r="R2540" i="31"/>
  <c r="R2542" i="31"/>
  <c r="R2544" i="31"/>
  <c r="R2545" i="31"/>
  <c r="R2546" i="31"/>
  <c r="R2548" i="31"/>
  <c r="R2567" i="31"/>
  <c r="R2552" i="31"/>
  <c r="R2553" i="31"/>
  <c r="R2554" i="31"/>
  <c r="R2555" i="31"/>
  <c r="R2556" i="31"/>
  <c r="R2557" i="31"/>
  <c r="R2558" i="31"/>
  <c r="R2559" i="31"/>
  <c r="R2560" i="31"/>
  <c r="R2561" i="31"/>
  <c r="R2562" i="31"/>
  <c r="R2563" i="31"/>
  <c r="R2564" i="31"/>
  <c r="R2565" i="31"/>
  <c r="R2566" i="31"/>
  <c r="R2568" i="31"/>
  <c r="R2569" i="31"/>
  <c r="R2570" i="31"/>
  <c r="R2571" i="31"/>
  <c r="R2572" i="31"/>
  <c r="R2609" i="31"/>
  <c r="R2611" i="31"/>
  <c r="R2579" i="31"/>
  <c r="R2581" i="31"/>
  <c r="R2582" i="31"/>
  <c r="R2583" i="31"/>
  <c r="R2585" i="31"/>
  <c r="R2550" i="31"/>
  <c r="R2551" i="31"/>
  <c r="R2574" i="31"/>
  <c r="R2576" i="31"/>
  <c r="R2613" i="31"/>
  <c r="R2573" i="31"/>
  <c r="R2575" i="31"/>
  <c r="R2577" i="31"/>
  <c r="R2580" i="31"/>
  <c r="R2584" i="31"/>
  <c r="R2586" i="31"/>
  <c r="R2588" i="31"/>
  <c r="R2589" i="31"/>
  <c r="R2590" i="31"/>
  <c r="R2591" i="31"/>
  <c r="R2592" i="31"/>
  <c r="R2596" i="31"/>
  <c r="R2616" i="31"/>
  <c r="R2621" i="31"/>
  <c r="R2625" i="31"/>
  <c r="R2578" i="31"/>
  <c r="R2587" i="31"/>
  <c r="R2593" i="31"/>
  <c r="R2594" i="31"/>
  <c r="R2595" i="31"/>
  <c r="R2597" i="31"/>
  <c r="R2599" i="31"/>
  <c r="R2630" i="31"/>
  <c r="R2626" i="31"/>
  <c r="R2631" i="31"/>
  <c r="R2633" i="31"/>
  <c r="R2598" i="31"/>
  <c r="R2600" i="31"/>
  <c r="R2601" i="31"/>
  <c r="R2602" i="31"/>
  <c r="R2603" i="31"/>
  <c r="R2605" i="31"/>
  <c r="R2607" i="31"/>
  <c r="R2608" i="31"/>
  <c r="R2610" i="31"/>
  <c r="R2612" i="31"/>
  <c r="R2614" i="31"/>
  <c r="R2615" i="31"/>
  <c r="R2617" i="31"/>
  <c r="R2618" i="31"/>
  <c r="R2619" i="31"/>
  <c r="R2620" i="31"/>
  <c r="R2622" i="31"/>
  <c r="R2623" i="31"/>
  <c r="R2624" i="31"/>
  <c r="R2627" i="31"/>
  <c r="R2628" i="31"/>
  <c r="R2629" i="31"/>
  <c r="R2632" i="31"/>
  <c r="R2638" i="31"/>
  <c r="R2639" i="31"/>
  <c r="R2640" i="31"/>
  <c r="R2641" i="31"/>
  <c r="R2642" i="31"/>
  <c r="R2648" i="31"/>
  <c r="R2650" i="31"/>
  <c r="R2651" i="31"/>
  <c r="R2653" i="31"/>
  <c r="R2655" i="31"/>
  <c r="R2634" i="31"/>
  <c r="R2635" i="31"/>
  <c r="R2636" i="31"/>
  <c r="R2637" i="31"/>
  <c r="R2644" i="31"/>
  <c r="R2645" i="31"/>
  <c r="R2646" i="31"/>
  <c r="R2647" i="31"/>
  <c r="R2649" i="31"/>
  <c r="R2652" i="31"/>
  <c r="R2654" i="31"/>
  <c r="R2656" i="31"/>
  <c r="R2657" i="31"/>
  <c r="R2658" i="31"/>
  <c r="R2659" i="31"/>
  <c r="R2660" i="31"/>
  <c r="R2661" i="31"/>
  <c r="R2663" i="31"/>
  <c r="R2665" i="31"/>
  <c r="R2668" i="31"/>
  <c r="R2643" i="31"/>
  <c r="R2662" i="31"/>
  <c r="R2664" i="31"/>
  <c r="R2666" i="31"/>
  <c r="R2667" i="31"/>
  <c r="R2674" i="31"/>
  <c r="R2675" i="31"/>
  <c r="R2679" i="31"/>
  <c r="R2669" i="31"/>
  <c r="R2670" i="31"/>
  <c r="R2671" i="31"/>
  <c r="R2672" i="31"/>
  <c r="R2677" i="31"/>
  <c r="R2678" i="31"/>
  <c r="R2681" i="31"/>
  <c r="R2682" i="31"/>
  <c r="R2683" i="31"/>
  <c r="R2684" i="31"/>
  <c r="R2673" i="31"/>
  <c r="R2676" i="31"/>
  <c r="R2680" i="31"/>
  <c r="R2686" i="31"/>
  <c r="R2685" i="31"/>
  <c r="R2687" i="31"/>
  <c r="R2688" i="31"/>
  <c r="R2689" i="31"/>
  <c r="R2690" i="31"/>
  <c r="R2693" i="31"/>
  <c r="R2691" i="31"/>
  <c r="R2692" i="31"/>
  <c r="R2694" i="31"/>
  <c r="R2695" i="31"/>
  <c r="R2696" i="31"/>
  <c r="R2697" i="31"/>
  <c r="R2698" i="31"/>
  <c r="R2701" i="31"/>
  <c r="R2702" i="31"/>
  <c r="R2703" i="31"/>
  <c r="R2704" i="31"/>
  <c r="R2705" i="31"/>
  <c r="R2699" i="31"/>
  <c r="R2700" i="31"/>
  <c r="R2706" i="31"/>
  <c r="R2712" i="31"/>
  <c r="R2714" i="31"/>
  <c r="R2715" i="31"/>
  <c r="R2717" i="31"/>
  <c r="R2718" i="31"/>
  <c r="R2707" i="31"/>
  <c r="R2708" i="31"/>
  <c r="R2709" i="31"/>
  <c r="R2710" i="31"/>
  <c r="R2711" i="31"/>
  <c r="R2713" i="31"/>
  <c r="R2716" i="31"/>
  <c r="R2727" i="31"/>
  <c r="R2728" i="31"/>
  <c r="R2730" i="31"/>
  <c r="R2731" i="31"/>
  <c r="R2732" i="31"/>
  <c r="R2733" i="31"/>
  <c r="R2720" i="31"/>
  <c r="R2722" i="31"/>
  <c r="R2724" i="31"/>
  <c r="R2725" i="31"/>
  <c r="R2726" i="31"/>
  <c r="R2729" i="31"/>
  <c r="R2719" i="31"/>
  <c r="R2721" i="31"/>
  <c r="R2723" i="31"/>
  <c r="R2735" i="31"/>
  <c r="R2739" i="31"/>
  <c r="R2744" i="31"/>
  <c r="R2745" i="31"/>
  <c r="R2748" i="31"/>
  <c r="R2749" i="31"/>
  <c r="R2750" i="31"/>
  <c r="R2752" i="31"/>
  <c r="R2754" i="31"/>
  <c r="R2755" i="31"/>
  <c r="R2734" i="31"/>
  <c r="R2736" i="31"/>
  <c r="R2737" i="31"/>
  <c r="R2738" i="31"/>
  <c r="R2740" i="31"/>
  <c r="R2741" i="31"/>
  <c r="R2742" i="31"/>
  <c r="R2743" i="31"/>
  <c r="R2746" i="31"/>
  <c r="R2747" i="31"/>
  <c r="R2751" i="31"/>
  <c r="R2753" i="31"/>
  <c r="R2756" i="31"/>
  <c r="R2757" i="31"/>
  <c r="R2758" i="31"/>
  <c r="R2759" i="31"/>
  <c r="R2760" i="31"/>
  <c r="R2761" i="31"/>
  <c r="R2762" i="31"/>
  <c r="R2763" i="31"/>
  <c r="R2764" i="31"/>
  <c r="R2765" i="31"/>
  <c r="R2767" i="31"/>
  <c r="R2768" i="31"/>
  <c r="R2769" i="31"/>
  <c r="R2770" i="31"/>
  <c r="R2771" i="31"/>
  <c r="R2772" i="31"/>
  <c r="R2773" i="31"/>
  <c r="R2774" i="31"/>
  <c r="R2775" i="31"/>
  <c r="R2776" i="31"/>
  <c r="R2778" i="31"/>
  <c r="R2779" i="31"/>
  <c r="R2780" i="31"/>
  <c r="R2782" i="31"/>
  <c r="R2783" i="31"/>
  <c r="R2784" i="31"/>
  <c r="R2785" i="31"/>
  <c r="R2786" i="31"/>
  <c r="R2787" i="31"/>
  <c r="R2790" i="31"/>
  <c r="R2791" i="31"/>
  <c r="R2792" i="31"/>
  <c r="R2793" i="31"/>
  <c r="R2794" i="31"/>
  <c r="R2800" i="31"/>
  <c r="R2802" i="31"/>
  <c r="R2803" i="31"/>
  <c r="R2795" i="31"/>
  <c r="R2797" i="31"/>
  <c r="R2798" i="31"/>
  <c r="R2799" i="31"/>
  <c r="R2806" i="31"/>
  <c r="R2808" i="31"/>
  <c r="R2810" i="31"/>
  <c r="R2812" i="31"/>
  <c r="R2813" i="31"/>
  <c r="R2781" i="31"/>
  <c r="R2789" i="31"/>
  <c r="R2820" i="31"/>
  <c r="R2821" i="31"/>
  <c r="R2828" i="31"/>
  <c r="R2766" i="31"/>
  <c r="R2777" i="31"/>
  <c r="R2788" i="31"/>
  <c r="R2796" i="31"/>
  <c r="R2801" i="31"/>
  <c r="R2804" i="31"/>
  <c r="R2805" i="31"/>
  <c r="R2807" i="31"/>
  <c r="R2809" i="31"/>
  <c r="R2811" i="31"/>
  <c r="R2815" i="31"/>
  <c r="R2816" i="31"/>
  <c r="R2819" i="31"/>
  <c r="R2822" i="31"/>
  <c r="R2833" i="31"/>
  <c r="R2814" i="31"/>
  <c r="R2817" i="31"/>
  <c r="R2818" i="31"/>
  <c r="R2823" i="31"/>
  <c r="R2824" i="31"/>
  <c r="R2825" i="31"/>
  <c r="R2826" i="31"/>
  <c r="R2827" i="31"/>
  <c r="R2856" i="31"/>
  <c r="R2943" i="31"/>
  <c r="R2944" i="31"/>
  <c r="R2945" i="31"/>
  <c r="R2946" i="31"/>
  <c r="R2829" i="31"/>
  <c r="R2849" i="31"/>
  <c r="R2834" i="31"/>
  <c r="R2835" i="31"/>
  <c r="R2836" i="31"/>
  <c r="R2837" i="31"/>
  <c r="R2838" i="31"/>
  <c r="R2839" i="31"/>
  <c r="R2840" i="31"/>
  <c r="R2841" i="31"/>
  <c r="R2842" i="31"/>
  <c r="R2843" i="31"/>
  <c r="R2844" i="31"/>
  <c r="R2845" i="31"/>
  <c r="R2846" i="31"/>
  <c r="R2847" i="31"/>
  <c r="R2848" i="31"/>
  <c r="R2850" i="31"/>
  <c r="R2851" i="31"/>
  <c r="R2852" i="31"/>
  <c r="R2853" i="31"/>
  <c r="R2855" i="31"/>
  <c r="R2857" i="31"/>
  <c r="R2858" i="31"/>
  <c r="R2859" i="31"/>
  <c r="R2860" i="31"/>
  <c r="R2861" i="31"/>
  <c r="R2862" i="31"/>
  <c r="R2863" i="31"/>
  <c r="R2864" i="31"/>
  <c r="R2865" i="31"/>
  <c r="R2866" i="31"/>
  <c r="R2867" i="31"/>
  <c r="R2868" i="31"/>
  <c r="R2869" i="31"/>
  <c r="R2870" i="31"/>
  <c r="R2871" i="31"/>
  <c r="R2872" i="31"/>
  <c r="R2873" i="31"/>
  <c r="R2874" i="31"/>
  <c r="R2875" i="31"/>
  <c r="R2876" i="31"/>
  <c r="R2877" i="31"/>
  <c r="R2878" i="31"/>
  <c r="R2879" i="31"/>
  <c r="R2880" i="31"/>
  <c r="R2881" i="31"/>
  <c r="R2882" i="31"/>
  <c r="R2883" i="31"/>
  <c r="R2884" i="31"/>
  <c r="R2885" i="31"/>
  <c r="R2886" i="31"/>
  <c r="R2887" i="31"/>
  <c r="R2888" i="31"/>
  <c r="R2889" i="31"/>
  <c r="R2890" i="31"/>
  <c r="R2891" i="31"/>
  <c r="R2892" i="31"/>
  <c r="R2893" i="31"/>
  <c r="R2894" i="31"/>
  <c r="R2895" i="31"/>
  <c r="R2896" i="31"/>
  <c r="R2897" i="31"/>
  <c r="R2898" i="31"/>
  <c r="R2899" i="31"/>
  <c r="R2900" i="31"/>
  <c r="R2901" i="31"/>
  <c r="R2902" i="31"/>
  <c r="R2903" i="31"/>
  <c r="R2904" i="31"/>
  <c r="R2905" i="31"/>
  <c r="R2906" i="31"/>
  <c r="R2907" i="31"/>
  <c r="R2908" i="31"/>
  <c r="R2909" i="31"/>
  <c r="R2910" i="31"/>
  <c r="R2911" i="31"/>
  <c r="R2912" i="31"/>
  <c r="R2913" i="31"/>
  <c r="R2914" i="31"/>
  <c r="R2915" i="31"/>
  <c r="R2916" i="31"/>
  <c r="R2917" i="31"/>
  <c r="R2918" i="31"/>
  <c r="R2919" i="31"/>
  <c r="R2920" i="31"/>
  <c r="R2921" i="31"/>
  <c r="R2922" i="31"/>
  <c r="R2923" i="31"/>
  <c r="R2924" i="31"/>
  <c r="R2925" i="31"/>
  <c r="R2926" i="31"/>
  <c r="R2927" i="31"/>
  <c r="R2928" i="31"/>
  <c r="R2929" i="31"/>
  <c r="R2930" i="31"/>
  <c r="R2931" i="31"/>
  <c r="R2932" i="31"/>
  <c r="R2933" i="31"/>
  <c r="R2934" i="31"/>
  <c r="R2935" i="31"/>
  <c r="R2936" i="31"/>
  <c r="R2937" i="31"/>
  <c r="R2938" i="31"/>
  <c r="R2939" i="31"/>
  <c r="R2940" i="31"/>
  <c r="R2941" i="31"/>
  <c r="R2942" i="31"/>
  <c r="R2830" i="31"/>
  <c r="R2831" i="31"/>
  <c r="R2832" i="31"/>
  <c r="R2854" i="31"/>
  <c r="R2947" i="31"/>
  <c r="R2948" i="31"/>
  <c r="R2949" i="31"/>
  <c r="R2950" i="31"/>
  <c r="R2951" i="31"/>
  <c r="R2952" i="31"/>
  <c r="R2953" i="31"/>
  <c r="R2954" i="31"/>
  <c r="R2955" i="31"/>
  <c r="R2956" i="31"/>
  <c r="R2957" i="31"/>
  <c r="R2958" i="31"/>
  <c r="R2959" i="31"/>
  <c r="R2960" i="31"/>
  <c r="R2961" i="31"/>
  <c r="R2962" i="31"/>
  <c r="R2963" i="31"/>
  <c r="R2971" i="31"/>
  <c r="R2964" i="31"/>
  <c r="R2965" i="31"/>
  <c r="R2966" i="31"/>
  <c r="R2967" i="31"/>
  <c r="R2968" i="31"/>
  <c r="R2969" i="31"/>
  <c r="R2970" i="31"/>
  <c r="R2972" i="31"/>
  <c r="R2973" i="31"/>
  <c r="R2974" i="31"/>
  <c r="R2975" i="31"/>
  <c r="R2976" i="31"/>
  <c r="R2977" i="31"/>
  <c r="R2978" i="31"/>
  <c r="R2979" i="31"/>
  <c r="R2980" i="31"/>
  <c r="R2981" i="31"/>
  <c r="R2982" i="31"/>
  <c r="R2983" i="31"/>
  <c r="R2984" i="31"/>
  <c r="R2985" i="31"/>
  <c r="R2986" i="31"/>
  <c r="R3019" i="31"/>
  <c r="R2987" i="31"/>
  <c r="R2988" i="31"/>
  <c r="R2989" i="31"/>
  <c r="R2990" i="31"/>
  <c r="R2991" i="31"/>
  <c r="R2992" i="31"/>
  <c r="R2993" i="31"/>
  <c r="R2994" i="31"/>
  <c r="R2995" i="31"/>
  <c r="R2996" i="31"/>
  <c r="R2997" i="31"/>
  <c r="R2999" i="31"/>
  <c r="R3000" i="31"/>
  <c r="R3001" i="31"/>
  <c r="R3002" i="31"/>
  <c r="R3003" i="31"/>
  <c r="R3004" i="31"/>
  <c r="R3005" i="31"/>
  <c r="R3006" i="31"/>
  <c r="R3007" i="31"/>
  <c r="R3008" i="31"/>
  <c r="R3009" i="31"/>
  <c r="R3010" i="31"/>
  <c r="R3011" i="31"/>
  <c r="R3012" i="31"/>
  <c r="R3013" i="31"/>
  <c r="R3014" i="31"/>
  <c r="R3015" i="31"/>
  <c r="R3016" i="31"/>
  <c r="R3017" i="31"/>
  <c r="R3018" i="31"/>
  <c r="R3041" i="31"/>
  <c r="R3020" i="31"/>
  <c r="R3021" i="31"/>
  <c r="R3022" i="31"/>
  <c r="R3023" i="31"/>
  <c r="R3024" i="31"/>
  <c r="R3025" i="31"/>
  <c r="R3026" i="31"/>
  <c r="R3027" i="31"/>
  <c r="R3028" i="31"/>
  <c r="R3029" i="31"/>
  <c r="R3030" i="31"/>
  <c r="R3031" i="31"/>
  <c r="R3032" i="31"/>
  <c r="R3033" i="31"/>
  <c r="R3034" i="31"/>
  <c r="R3035" i="31"/>
  <c r="R3036" i="31"/>
  <c r="R3037" i="31"/>
  <c r="R3038" i="31"/>
  <c r="R3039" i="31"/>
  <c r="R3040" i="31"/>
  <c r="R3042" i="31"/>
  <c r="R3043" i="31"/>
  <c r="R3044" i="31"/>
  <c r="R3045" i="31"/>
  <c r="R3046" i="31"/>
  <c r="R3047" i="31"/>
  <c r="R3048" i="31"/>
  <c r="R3066" i="31"/>
  <c r="R3049" i="31"/>
  <c r="R3050" i="31"/>
  <c r="R3051" i="31"/>
  <c r="R3052" i="31"/>
  <c r="R3053" i="31"/>
  <c r="R3054" i="31"/>
  <c r="R3055" i="31"/>
  <c r="R3056" i="31"/>
  <c r="R3057" i="31"/>
  <c r="R3058" i="31"/>
  <c r="R3059" i="31"/>
  <c r="R3060" i="31"/>
  <c r="R3061" i="31"/>
  <c r="R3062" i="31"/>
  <c r="R3063" i="31"/>
  <c r="R3064" i="31"/>
  <c r="R3065" i="31"/>
  <c r="R1037" i="31"/>
  <c r="R3067" i="31"/>
  <c r="R3068" i="31"/>
  <c r="R3069" i="31"/>
  <c r="R3070" i="31"/>
  <c r="R3071" i="31"/>
  <c r="R3072" i="31"/>
  <c r="R3073" i="31"/>
  <c r="R3074" i="31"/>
  <c r="R3075" i="31"/>
  <c r="R3076" i="31"/>
  <c r="R3077" i="31"/>
  <c r="R3078" i="31"/>
  <c r="R3079" i="31"/>
  <c r="R3080" i="31"/>
  <c r="R3081" i="31"/>
  <c r="R3082" i="31"/>
  <c r="R3083" i="31"/>
  <c r="R3084" i="31"/>
  <c r="R3085" i="31"/>
  <c r="R3086" i="31"/>
  <c r="R3087" i="31"/>
  <c r="R3088" i="31"/>
  <c r="R3089" i="31"/>
  <c r="R3090" i="31"/>
  <c r="R3095" i="31"/>
  <c r="R3091" i="31"/>
  <c r="R3092" i="31"/>
  <c r="R3093" i="31"/>
  <c r="R3094" i="31"/>
  <c r="R3096" i="31"/>
  <c r="R3097" i="31"/>
  <c r="R3098" i="31"/>
  <c r="R3099" i="31"/>
  <c r="R3100" i="31"/>
  <c r="R3101" i="31"/>
  <c r="R3102" i="31"/>
  <c r="R3103" i="31"/>
  <c r="R3104" i="31"/>
  <c r="R3105" i="31"/>
  <c r="R3106" i="31"/>
  <c r="R2" i="31"/>
  <c r="Q503" i="31"/>
  <c r="Q3" i="31"/>
  <c r="Q4" i="31"/>
  <c r="Q5" i="31"/>
  <c r="Q6" i="31"/>
  <c r="Q7" i="31"/>
  <c r="Q8" i="31"/>
  <c r="Q9" i="31"/>
  <c r="Q10" i="31"/>
  <c r="Q11" i="31"/>
  <c r="Q12" i="31"/>
  <c r="Q13" i="31"/>
  <c r="Q14" i="31"/>
  <c r="Q15" i="31"/>
  <c r="Q16" i="31"/>
  <c r="Q17" i="31"/>
  <c r="Q18" i="31"/>
  <c r="Q19" i="31"/>
  <c r="Q20" i="31"/>
  <c r="Q21" i="31"/>
  <c r="Q22" i="31"/>
  <c r="Q23" i="31"/>
  <c r="Q24" i="31"/>
  <c r="Q25" i="31"/>
  <c r="Q26" i="31"/>
  <c r="Q27" i="31"/>
  <c r="Q28" i="31"/>
  <c r="Q29" i="31"/>
  <c r="Q30" i="31"/>
  <c r="Q31" i="31"/>
  <c r="Q32" i="31"/>
  <c r="Q33" i="31"/>
  <c r="Q34" i="31"/>
  <c r="Q35" i="31"/>
  <c r="Q36" i="31"/>
  <c r="Q37" i="31"/>
  <c r="Q38" i="31"/>
  <c r="Q39" i="31"/>
  <c r="Q40" i="31"/>
  <c r="Q41" i="31"/>
  <c r="Q42" i="31"/>
  <c r="Q43" i="31"/>
  <c r="Q44" i="31"/>
  <c r="Q45" i="31"/>
  <c r="Q46" i="31"/>
  <c r="Q47" i="31"/>
  <c r="Q48" i="31"/>
  <c r="Q49" i="31"/>
  <c r="Q50" i="31"/>
  <c r="Q51" i="31"/>
  <c r="Q52" i="31"/>
  <c r="Q53" i="31"/>
  <c r="Q54" i="31"/>
  <c r="Q55" i="31"/>
  <c r="Q56" i="31"/>
  <c r="Q57" i="31"/>
  <c r="Q58" i="31"/>
  <c r="Q59" i="31"/>
  <c r="Q60" i="31"/>
  <c r="Q61" i="31"/>
  <c r="Q62" i="31"/>
  <c r="Q63" i="31"/>
  <c r="Q64" i="31"/>
  <c r="Q65" i="31"/>
  <c r="Q66" i="31"/>
  <c r="Q67" i="31"/>
  <c r="Q68" i="31"/>
  <c r="Q69" i="31"/>
  <c r="Q70" i="31"/>
  <c r="Q71" i="31"/>
  <c r="Q72" i="31"/>
  <c r="Q73" i="31"/>
  <c r="Q75" i="31"/>
  <c r="Q76" i="31"/>
  <c r="Q77" i="31"/>
  <c r="Q78" i="31"/>
  <c r="Q79" i="31"/>
  <c r="Q80" i="31"/>
  <c r="Q81" i="31"/>
  <c r="Q82" i="31"/>
  <c r="Q83" i="31"/>
  <c r="Q84" i="31"/>
  <c r="Q85" i="31"/>
  <c r="Q86" i="31"/>
  <c r="Q87" i="31"/>
  <c r="Q88" i="31"/>
  <c r="Q89" i="31"/>
  <c r="Q90" i="31"/>
  <c r="Q91" i="31"/>
  <c r="Q92" i="31"/>
  <c r="Q93" i="31"/>
  <c r="Q94" i="31"/>
  <c r="Q74" i="31"/>
  <c r="Q95" i="31"/>
  <c r="Q96" i="31"/>
  <c r="Q97" i="31"/>
  <c r="Q98" i="31"/>
  <c r="Q99" i="31"/>
  <c r="Q100" i="31"/>
  <c r="Q101" i="31"/>
  <c r="Q102" i="31"/>
  <c r="Q103" i="31"/>
  <c r="Q104" i="31"/>
  <c r="Q105" i="31"/>
  <c r="Q106" i="31"/>
  <c r="Q107" i="31"/>
  <c r="Q108" i="31"/>
  <c r="Q109" i="31"/>
  <c r="Q110" i="31"/>
  <c r="Q111" i="31"/>
  <c r="Q112" i="31"/>
  <c r="Q113" i="31"/>
  <c r="Q114" i="31"/>
  <c r="Q115" i="31"/>
  <c r="Q116" i="31"/>
  <c r="Q117" i="31"/>
  <c r="Q118" i="31"/>
  <c r="Q119" i="31"/>
  <c r="Q120" i="31"/>
  <c r="Q121" i="31"/>
  <c r="Q122" i="31"/>
  <c r="Q123" i="31"/>
  <c r="Q124" i="31"/>
  <c r="Q125" i="31"/>
  <c r="Q126" i="31"/>
  <c r="Q127" i="31"/>
  <c r="Q128" i="31"/>
  <c r="Q129" i="31"/>
  <c r="Q130" i="31"/>
  <c r="Q131" i="31"/>
  <c r="Q132" i="31"/>
  <c r="Q133" i="31"/>
  <c r="Q134" i="31"/>
  <c r="Q135" i="31"/>
  <c r="Q136" i="31"/>
  <c r="Q137" i="31"/>
  <c r="Q138" i="31"/>
  <c r="Q139" i="31"/>
  <c r="Q140" i="31"/>
  <c r="Q141" i="31"/>
  <c r="Q142" i="31"/>
  <c r="Q143" i="31"/>
  <c r="Q144" i="31"/>
  <c r="Q145" i="31"/>
  <c r="Q146" i="31"/>
  <c r="Q147" i="31"/>
  <c r="Q148" i="31"/>
  <c r="Q149" i="31"/>
  <c r="Q150" i="31"/>
  <c r="Q151" i="31"/>
  <c r="Q152" i="31"/>
  <c r="Q153" i="31"/>
  <c r="Q154" i="31"/>
  <c r="Q155" i="31"/>
  <c r="Q156" i="31"/>
  <c r="Q157" i="31"/>
  <c r="Q158" i="31"/>
  <c r="Q159" i="31"/>
  <c r="Q160" i="31"/>
  <c r="Q161" i="31"/>
  <c r="Q162" i="31"/>
  <c r="Q163" i="31"/>
  <c r="Q164" i="31"/>
  <c r="Q165" i="31"/>
  <c r="Q166" i="31"/>
  <c r="Q167" i="31"/>
  <c r="Q168" i="31"/>
  <c r="Q169" i="31"/>
  <c r="Q170" i="31"/>
  <c r="Q171" i="31"/>
  <c r="Q172" i="31"/>
  <c r="Q173" i="31"/>
  <c r="Q174" i="31"/>
  <c r="Q175" i="31"/>
  <c r="Q176" i="31"/>
  <c r="Q177" i="31"/>
  <c r="Q178" i="31"/>
  <c r="Q179" i="31"/>
  <c r="Q180" i="31"/>
  <c r="Q181" i="31"/>
  <c r="Q182" i="31"/>
  <c r="Q183" i="31"/>
  <c r="Q184" i="31"/>
  <c r="Q185" i="31"/>
  <c r="Q186" i="31"/>
  <c r="Q187" i="31"/>
  <c r="Q188" i="31"/>
  <c r="Q189" i="31"/>
  <c r="Q190" i="31"/>
  <c r="Q191" i="31"/>
  <c r="Q192" i="31"/>
  <c r="Q193" i="31"/>
  <c r="Q194" i="31"/>
  <c r="Q195" i="31"/>
  <c r="Q196" i="31"/>
  <c r="Q197" i="31"/>
  <c r="Q198" i="31"/>
  <c r="Q199" i="31"/>
  <c r="Q200" i="31"/>
  <c r="Q210" i="31"/>
  <c r="Q201" i="31"/>
  <c r="Q202" i="31"/>
  <c r="Q203" i="31"/>
  <c r="Q204" i="31"/>
  <c r="Q205" i="31"/>
  <c r="Q206" i="31"/>
  <c r="Q207" i="31"/>
  <c r="Q208" i="31"/>
  <c r="Q209" i="31"/>
  <c r="Q224" i="31"/>
  <c r="Q211" i="31"/>
  <c r="Q212" i="31"/>
  <c r="Q213" i="31"/>
  <c r="Q214" i="31"/>
  <c r="Q215" i="31"/>
  <c r="Q216" i="31"/>
  <c r="Q217" i="31"/>
  <c r="Q218" i="31"/>
  <c r="Q219" i="31"/>
  <c r="Q220" i="31"/>
  <c r="Q221" i="31"/>
  <c r="Q222" i="31"/>
  <c r="Q223" i="31"/>
  <c r="Q225" i="31"/>
  <c r="Q226" i="31"/>
  <c r="Q227" i="31"/>
  <c r="Q228" i="31"/>
  <c r="Q229" i="31"/>
  <c r="Q230" i="31"/>
  <c r="Q231" i="31"/>
  <c r="Q232" i="31"/>
  <c r="Q233" i="31"/>
  <c r="Q234" i="31"/>
  <c r="Q235" i="31"/>
  <c r="Q236" i="31"/>
  <c r="Q237" i="31"/>
  <c r="Q238" i="31"/>
  <c r="Q239" i="31"/>
  <c r="Q240" i="31"/>
  <c r="Q241" i="31"/>
  <c r="Q242" i="31"/>
  <c r="Q243" i="31"/>
  <c r="Q244" i="31"/>
  <c r="Q245" i="31"/>
  <c r="Q246" i="31"/>
  <c r="Q247" i="31"/>
  <c r="Q248" i="31"/>
  <c r="Q249" i="31"/>
  <c r="Q250" i="31"/>
  <c r="Q251" i="31"/>
  <c r="Q252" i="31"/>
  <c r="Q253" i="31"/>
  <c r="Q254" i="31"/>
  <c r="Q255" i="31"/>
  <c r="Q256" i="31"/>
  <c r="Q257" i="31"/>
  <c r="Q258" i="31"/>
  <c r="Q259" i="31"/>
  <c r="Q260" i="31"/>
  <c r="Q261" i="31"/>
  <c r="Q262" i="31"/>
  <c r="Q263" i="31"/>
  <c r="Q264" i="31"/>
  <c r="Q265" i="31"/>
  <c r="Q266" i="31"/>
  <c r="Q267" i="31"/>
  <c r="Q268" i="31"/>
  <c r="Q269" i="31"/>
  <c r="Q270" i="31"/>
  <c r="Q271" i="31"/>
  <c r="Q272" i="31"/>
  <c r="Q273" i="31"/>
  <c r="Q274" i="31"/>
  <c r="Q275" i="31"/>
  <c r="Q276" i="31"/>
  <c r="Q277" i="31"/>
  <c r="Q278" i="31"/>
  <c r="Q279" i="31"/>
  <c r="Q280" i="31"/>
  <c r="Q281" i="31"/>
  <c r="Q292" i="31"/>
  <c r="Q282" i="31"/>
  <c r="Q283" i="31"/>
  <c r="Q284" i="31"/>
  <c r="Q285" i="31"/>
  <c r="Q286" i="31"/>
  <c r="Q287" i="31"/>
  <c r="Q288" i="31"/>
  <c r="Q289" i="31"/>
  <c r="Q290" i="31"/>
  <c r="Q291" i="31"/>
  <c r="Q293" i="31"/>
  <c r="Q294" i="31"/>
  <c r="Q295" i="31"/>
  <c r="Q296" i="31"/>
  <c r="Q297" i="31"/>
  <c r="Q298" i="31"/>
  <c r="Q299" i="31"/>
  <c r="Q300" i="31"/>
  <c r="Q301" i="31"/>
  <c r="Q302" i="31"/>
  <c r="Q303" i="31"/>
  <c r="Q304" i="31"/>
  <c r="Q305" i="31"/>
  <c r="Q306" i="31"/>
  <c r="Q307" i="31"/>
  <c r="Q308" i="31"/>
  <c r="Q309" i="31"/>
  <c r="Q310" i="31"/>
  <c r="Q311" i="31"/>
  <c r="Q312" i="31"/>
  <c r="Q313" i="31"/>
  <c r="Q314" i="31"/>
  <c r="Q315" i="31"/>
  <c r="Q316" i="31"/>
  <c r="Q317" i="31"/>
  <c r="Q318" i="31"/>
  <c r="Q319" i="31"/>
  <c r="Q320" i="31"/>
  <c r="Q321" i="31"/>
  <c r="Q322" i="31"/>
  <c r="Q323" i="31"/>
  <c r="Q324" i="31"/>
  <c r="Q325" i="31"/>
  <c r="Q326" i="31"/>
  <c r="Q327" i="31"/>
  <c r="Q328" i="31"/>
  <c r="Q329" i="31"/>
  <c r="Q330" i="31"/>
  <c r="Q331" i="31"/>
  <c r="Q332" i="31"/>
  <c r="Q333" i="31"/>
  <c r="Q339" i="31"/>
  <c r="Q334" i="31"/>
  <c r="Q335" i="31"/>
  <c r="Q336" i="31"/>
  <c r="Q337" i="31"/>
  <c r="Q338" i="31"/>
  <c r="Q340" i="31"/>
  <c r="Q341" i="31"/>
  <c r="Q342" i="31"/>
  <c r="Q343" i="31"/>
  <c r="Q344" i="31"/>
  <c r="Q345" i="31"/>
  <c r="Q346" i="31"/>
  <c r="Q347" i="31"/>
  <c r="Q348" i="31"/>
  <c r="Q349" i="31"/>
  <c r="Q350" i="31"/>
  <c r="Q351" i="31"/>
  <c r="Q352" i="31"/>
  <c r="Q353" i="31"/>
  <c r="Q354" i="31"/>
  <c r="Q355" i="31"/>
  <c r="Q356" i="31"/>
  <c r="Q357" i="31"/>
  <c r="Q358" i="31"/>
  <c r="Q359" i="31"/>
  <c r="Q360" i="31"/>
  <c r="Q361" i="31"/>
  <c r="Q362" i="31"/>
  <c r="Q363" i="31"/>
  <c r="Q364" i="31"/>
  <c r="Q365" i="31"/>
  <c r="Q366" i="31"/>
  <c r="Q367" i="31"/>
  <c r="Q368" i="31"/>
  <c r="Q369" i="31"/>
  <c r="Q370" i="31"/>
  <c r="Q371" i="31"/>
  <c r="Q372" i="31"/>
  <c r="Q373" i="31"/>
  <c r="Q374" i="31"/>
  <c r="Q375" i="31"/>
  <c r="Q376" i="31"/>
  <c r="Q377" i="31"/>
  <c r="Q378" i="31"/>
  <c r="Q379" i="31"/>
  <c r="Q380" i="31"/>
  <c r="Q381" i="31"/>
  <c r="Q382" i="31"/>
  <c r="Q383" i="31"/>
  <c r="Q384" i="31"/>
  <c r="Q385" i="31"/>
  <c r="Q386" i="31"/>
  <c r="Q387" i="31"/>
  <c r="Q388" i="31"/>
  <c r="Q389" i="31"/>
  <c r="Q393" i="31"/>
  <c r="Q390" i="31"/>
  <c r="Q391" i="31"/>
  <c r="Q392" i="31"/>
  <c r="Q396" i="31"/>
  <c r="Q394" i="31"/>
  <c r="Q395" i="31"/>
  <c r="Q397" i="31"/>
  <c r="Q401" i="31"/>
  <c r="Q398" i="31"/>
  <c r="Q399" i="31"/>
  <c r="Q400" i="31"/>
  <c r="Q402" i="31"/>
  <c r="Q403" i="31"/>
  <c r="Q404" i="31"/>
  <c r="Q405" i="31"/>
  <c r="Q406" i="31"/>
  <c r="Q407" i="31"/>
  <c r="Q408" i="31"/>
  <c r="Q409" i="31"/>
  <c r="Q410" i="31"/>
  <c r="Q411" i="31"/>
  <c r="Q412" i="31"/>
  <c r="Q413" i="31"/>
  <c r="Q414" i="31"/>
  <c r="Q417" i="31"/>
  <c r="Q418" i="31"/>
  <c r="Q419" i="31"/>
  <c r="Q421" i="31"/>
  <c r="Q422" i="31"/>
  <c r="Q426" i="31"/>
  <c r="Q427" i="31"/>
  <c r="Q428" i="31"/>
  <c r="Q429" i="31"/>
  <c r="Q431" i="31"/>
  <c r="Q432" i="31"/>
  <c r="Q433" i="31"/>
  <c r="Q434" i="31"/>
  <c r="Q435" i="31"/>
  <c r="Q436" i="31"/>
  <c r="Q437" i="31"/>
  <c r="Q438" i="31"/>
  <c r="Q439" i="31"/>
  <c r="Q441" i="31"/>
  <c r="Q415" i="31"/>
  <c r="Q416" i="31"/>
  <c r="Q420" i="31"/>
  <c r="Q423" i="31"/>
  <c r="Q424" i="31"/>
  <c r="Q425" i="31"/>
  <c r="Q430" i="31"/>
  <c r="Q440" i="31"/>
  <c r="Q442" i="31"/>
  <c r="Q443" i="31"/>
  <c r="Q444" i="31"/>
  <c r="Q445" i="31"/>
  <c r="Q448" i="31"/>
  <c r="Q446" i="31"/>
  <c r="Q447" i="31"/>
  <c r="Q450" i="31"/>
  <c r="Q449" i="31"/>
  <c r="Q455" i="31"/>
  <c r="Q451" i="31"/>
  <c r="Q452" i="31"/>
  <c r="Q453" i="31"/>
  <c r="Q454" i="31"/>
  <c r="Q456" i="31"/>
  <c r="Q458" i="31"/>
  <c r="Q457" i="31"/>
  <c r="Q459" i="31"/>
  <c r="Q460" i="31"/>
  <c r="Q461" i="31"/>
  <c r="Q462" i="31"/>
  <c r="Q463" i="31"/>
  <c r="Q464" i="31"/>
  <c r="Q465" i="31"/>
  <c r="Q466" i="31"/>
  <c r="Q467" i="31"/>
  <c r="Q468" i="31"/>
  <c r="Q469" i="31"/>
  <c r="Q470" i="31"/>
  <c r="Q471" i="31"/>
  <c r="Q472" i="31"/>
  <c r="Q473" i="31"/>
  <c r="Q474" i="31"/>
  <c r="Q480" i="31"/>
  <c r="Q475" i="31"/>
  <c r="Q476" i="31"/>
  <c r="Q477" i="31"/>
  <c r="Q481" i="31"/>
  <c r="Q483" i="31"/>
  <c r="Q482" i="31"/>
  <c r="Q485" i="31"/>
  <c r="Q486" i="31"/>
  <c r="Q487" i="31"/>
  <c r="Q484" i="31"/>
  <c r="Q488" i="31"/>
  <c r="Q492" i="31"/>
  <c r="Q493" i="31"/>
  <c r="Q489" i="31"/>
  <c r="Q490" i="31"/>
  <c r="Q491" i="31"/>
  <c r="Q494" i="31"/>
  <c r="Q495" i="31"/>
  <c r="Q496" i="31"/>
  <c r="Q498" i="31"/>
  <c r="Q500" i="31"/>
  <c r="Q505" i="31"/>
  <c r="Q508" i="31"/>
  <c r="Q509" i="31"/>
  <c r="Q511" i="31"/>
  <c r="Q514" i="31"/>
  <c r="Q517" i="31"/>
  <c r="Q497" i="31"/>
  <c r="Q499" i="31"/>
  <c r="Q501" i="31"/>
  <c r="Q502" i="31"/>
  <c r="Q504" i="31"/>
  <c r="Q506" i="31"/>
  <c r="Q507" i="31"/>
  <c r="Q510" i="31"/>
  <c r="Q512" i="31"/>
  <c r="Q513" i="31"/>
  <c r="Q515" i="31"/>
  <c r="Q516" i="31"/>
  <c r="Q526" i="31"/>
  <c r="Q518" i="31"/>
  <c r="Q519" i="31"/>
  <c r="Q522" i="31"/>
  <c r="Q524" i="31"/>
  <c r="Q525" i="31"/>
  <c r="Q537" i="31"/>
  <c r="Q527" i="31"/>
  <c r="Q528" i="31"/>
  <c r="Q529" i="31"/>
  <c r="Q533" i="31"/>
  <c r="Q534" i="31"/>
  <c r="Q536" i="31"/>
  <c r="Q553" i="31"/>
  <c r="Q539" i="31"/>
  <c r="Q540" i="31"/>
  <c r="Q541" i="31"/>
  <c r="Q542" i="31"/>
  <c r="Q543" i="31"/>
  <c r="Q544" i="31"/>
  <c r="Q545" i="31"/>
  <c r="Q547" i="31"/>
  <c r="Q548" i="31"/>
  <c r="Q551" i="31"/>
  <c r="Q552" i="31"/>
  <c r="Q560" i="31"/>
  <c r="Q554" i="31"/>
  <c r="Q555" i="31"/>
  <c r="Q556" i="31"/>
  <c r="Q557" i="31"/>
  <c r="Q558" i="31"/>
  <c r="Q559" i="31"/>
  <c r="Q562" i="31"/>
  <c r="Q563" i="31"/>
  <c r="Q564" i="31"/>
  <c r="Q565" i="31"/>
  <c r="Q566" i="31"/>
  <c r="Q567" i="31"/>
  <c r="Q568" i="31"/>
  <c r="Q520" i="31"/>
  <c r="Q521" i="31"/>
  <c r="Q523" i="31"/>
  <c r="Q530" i="31"/>
  <c r="Q531" i="31"/>
  <c r="Q532" i="31"/>
  <c r="Q535" i="31"/>
  <c r="Q538" i="31"/>
  <c r="Q546" i="31"/>
  <c r="Q549" i="31"/>
  <c r="Q550" i="31"/>
  <c r="Q561" i="31"/>
  <c r="Q569" i="31"/>
  <c r="Q570" i="31"/>
  <c r="Q571" i="31"/>
  <c r="Q572" i="31"/>
  <c r="Q573" i="31"/>
  <c r="Q576" i="31"/>
  <c r="Q577" i="31"/>
  <c r="Q578" i="31"/>
  <c r="Q579" i="31"/>
  <c r="Q580" i="31"/>
  <c r="Q581" i="31"/>
  <c r="Q583" i="31"/>
  <c r="Q584" i="31"/>
  <c r="Q585" i="31"/>
  <c r="Q586" i="31"/>
  <c r="Q587" i="31"/>
  <c r="Q588" i="31"/>
  <c r="Q589" i="31"/>
  <c r="Q590" i="31"/>
  <c r="Q591" i="31"/>
  <c r="Q592" i="31"/>
  <c r="Q593" i="31"/>
  <c r="Q574" i="31"/>
  <c r="Q575" i="31"/>
  <c r="Q582" i="31"/>
  <c r="Q594" i="31"/>
  <c r="Q595" i="31"/>
  <c r="Q598" i="31"/>
  <c r="Q599" i="31"/>
  <c r="Q600" i="31"/>
  <c r="Q596" i="31"/>
  <c r="Q597" i="31"/>
  <c r="Q601" i="31"/>
  <c r="Q608" i="31"/>
  <c r="Q611" i="31"/>
  <c r="Q614" i="31"/>
  <c r="Q616" i="31"/>
  <c r="Q617" i="31"/>
  <c r="Q620" i="31"/>
  <c r="Q627" i="31"/>
  <c r="Q632" i="31"/>
  <c r="Q640" i="31"/>
  <c r="Q641" i="31"/>
  <c r="Q642" i="31"/>
  <c r="Q643" i="31"/>
  <c r="Q644" i="31"/>
  <c r="Q647" i="31"/>
  <c r="Q649" i="31"/>
  <c r="Q650" i="31"/>
  <c r="Q651" i="31"/>
  <c r="Q602" i="31"/>
  <c r="Q603" i="31"/>
  <c r="Q604" i="31"/>
  <c r="Q605" i="31"/>
  <c r="Q606" i="31"/>
  <c r="Q607" i="31"/>
  <c r="Q609" i="31"/>
  <c r="Q610" i="31"/>
  <c r="Q612" i="31"/>
  <c r="Q615" i="31"/>
  <c r="Q613" i="31"/>
  <c r="Q618" i="31"/>
  <c r="Q619" i="31"/>
  <c r="Q621" i="31"/>
  <c r="Q622" i="31"/>
  <c r="Q623" i="31"/>
  <c r="Q624" i="31"/>
  <c r="Q625" i="31"/>
  <c r="Q626" i="31"/>
  <c r="Q628" i="31"/>
  <c r="Q2118" i="31"/>
  <c r="Q2122" i="31"/>
  <c r="Q2124" i="31"/>
  <c r="Q634" i="31"/>
  <c r="Q635" i="31"/>
  <c r="Q2125" i="31"/>
  <c r="Q637" i="31"/>
  <c r="Q2132" i="31"/>
  <c r="Q2134" i="31"/>
  <c r="Q919" i="31"/>
  <c r="Q646" i="31"/>
  <c r="Q648" i="31"/>
  <c r="Q652" i="31"/>
  <c r="Q653" i="31"/>
  <c r="Q654" i="31"/>
  <c r="Q655" i="31"/>
  <c r="Q656" i="31"/>
  <c r="Q657" i="31"/>
  <c r="Q662" i="31"/>
  <c r="Q2114" i="31"/>
  <c r="Q2115" i="31"/>
  <c r="Q2116" i="31"/>
  <c r="Q664" i="31"/>
  <c r="Q665" i="31"/>
  <c r="Q666" i="31"/>
  <c r="Q667" i="31"/>
  <c r="Q668" i="31"/>
  <c r="Q669" i="31"/>
  <c r="Q670" i="31"/>
  <c r="Q671" i="31"/>
  <c r="Q672" i="31"/>
  <c r="Q673" i="31"/>
  <c r="Q674" i="31"/>
  <c r="Q675" i="31"/>
  <c r="Q676" i="31"/>
  <c r="Q677" i="31"/>
  <c r="Q678" i="31"/>
  <c r="Q685" i="31"/>
  <c r="Q679" i="31"/>
  <c r="Q680" i="31"/>
  <c r="Q681" i="31"/>
  <c r="Q682" i="31"/>
  <c r="Q683" i="31"/>
  <c r="Q684" i="31"/>
  <c r="Q686" i="31"/>
  <c r="Q687" i="31"/>
  <c r="Q695" i="31"/>
  <c r="Q701" i="31"/>
  <c r="Q688" i="31"/>
  <c r="Q689" i="31"/>
  <c r="Q690" i="31"/>
  <c r="Q691" i="31"/>
  <c r="Q692" i="31"/>
  <c r="Q693" i="31"/>
  <c r="Q694" i="31"/>
  <c r="Q696" i="31"/>
  <c r="Q697" i="31"/>
  <c r="Q698" i="31"/>
  <c r="Q699" i="31"/>
  <c r="Q700" i="31"/>
  <c r="Q702" i="31"/>
  <c r="Q703" i="31"/>
  <c r="Q704" i="31"/>
  <c r="Q705" i="31"/>
  <c r="Q706" i="31"/>
  <c r="Q707" i="31"/>
  <c r="Q708" i="31"/>
  <c r="Q710" i="31"/>
  <c r="Q712" i="31"/>
  <c r="Q713" i="31"/>
  <c r="Q714" i="31"/>
  <c r="Q715" i="31"/>
  <c r="Q716" i="31"/>
  <c r="Q718" i="31"/>
  <c r="Q719" i="31"/>
  <c r="Q720" i="31"/>
  <c r="Q709" i="31"/>
  <c r="Q711" i="31"/>
  <c r="Q717" i="31"/>
  <c r="Q721" i="31"/>
  <c r="Q722" i="31"/>
  <c r="Q723" i="31"/>
  <c r="Q724" i="31"/>
  <c r="Q726" i="31"/>
  <c r="Q727" i="31"/>
  <c r="Q733" i="31"/>
  <c r="Q725" i="31"/>
  <c r="Q728" i="31"/>
  <c r="Q729" i="31"/>
  <c r="Q730" i="31"/>
  <c r="Q731" i="31"/>
  <c r="Q732" i="31"/>
  <c r="Q735" i="31"/>
  <c r="Q738" i="31"/>
  <c r="Q744" i="31"/>
  <c r="Q734" i="31"/>
  <c r="Q736" i="31"/>
  <c r="Q737" i="31"/>
  <c r="Q739" i="31"/>
  <c r="Q740" i="31"/>
  <c r="Q741" i="31"/>
  <c r="Q742" i="31"/>
  <c r="Q743" i="31"/>
  <c r="Q745" i="31"/>
  <c r="Q746" i="31"/>
  <c r="Q748" i="31"/>
  <c r="Q749" i="31"/>
  <c r="Q750" i="31"/>
  <c r="Q751" i="31"/>
  <c r="Q752" i="31"/>
  <c r="Q756" i="31"/>
  <c r="Q757" i="31"/>
  <c r="Q758" i="31"/>
  <c r="Q761" i="31"/>
  <c r="Q747" i="31"/>
  <c r="Q753" i="31"/>
  <c r="Q754" i="31"/>
  <c r="Q755" i="31"/>
  <c r="Q759" i="31"/>
  <c r="Q760" i="31"/>
  <c r="Q762" i="31"/>
  <c r="Q763" i="31"/>
  <c r="Q764" i="31"/>
  <c r="Q765" i="31"/>
  <c r="Q766" i="31"/>
  <c r="Q771" i="31"/>
  <c r="Q768" i="31"/>
  <c r="Q776" i="31"/>
  <c r="Q772" i="31"/>
  <c r="Q773" i="31"/>
  <c r="Q774" i="31"/>
  <c r="Q777" i="31"/>
  <c r="Q779" i="31"/>
  <c r="Q780" i="31"/>
  <c r="Q767" i="31"/>
  <c r="Q1062" i="31"/>
  <c r="Q769" i="31"/>
  <c r="Q770" i="31"/>
  <c r="Q1280" i="31"/>
  <c r="Q781" i="31"/>
  <c r="Q782" i="31"/>
  <c r="Q783" i="31"/>
  <c r="Q784" i="31"/>
  <c r="Q785" i="31"/>
  <c r="Q787" i="31"/>
  <c r="Q788" i="31"/>
  <c r="Q789" i="31"/>
  <c r="Q790" i="31"/>
  <c r="Q791" i="31"/>
  <c r="Q792" i="31"/>
  <c r="Q793" i="31"/>
  <c r="Q794" i="31"/>
  <c r="Q795" i="31"/>
  <c r="Q796" i="31"/>
  <c r="Q797" i="31"/>
  <c r="Q798" i="31"/>
  <c r="Q799" i="31"/>
  <c r="Q775" i="31"/>
  <c r="Q806" i="31"/>
  <c r="Q800" i="31"/>
  <c r="Q801" i="31"/>
  <c r="Q802" i="31"/>
  <c r="Q803" i="31"/>
  <c r="Q804" i="31"/>
  <c r="Q807" i="31"/>
  <c r="Q809" i="31"/>
  <c r="Q808" i="31"/>
  <c r="Q813" i="31"/>
  <c r="Q810" i="31"/>
  <c r="Q811" i="31"/>
  <c r="Q812" i="31"/>
  <c r="Q818" i="31"/>
  <c r="Q814" i="31"/>
  <c r="Q815" i="31"/>
  <c r="Q816" i="31"/>
  <c r="Q817" i="31"/>
  <c r="Q778" i="31"/>
  <c r="Q786" i="31"/>
  <c r="Q805" i="31"/>
  <c r="Q819" i="31"/>
  <c r="Q1460" i="31"/>
  <c r="Q820" i="31"/>
  <c r="Q824" i="31"/>
  <c r="Q825" i="31"/>
  <c r="Q826" i="31"/>
  <c r="Q821" i="31"/>
  <c r="Q823" i="31"/>
  <c r="Q834" i="31"/>
  <c r="Q835" i="31"/>
  <c r="Q836" i="31"/>
  <c r="Q851" i="31"/>
  <c r="Q827" i="31"/>
  <c r="Q828" i="31"/>
  <c r="Q829" i="31"/>
  <c r="Q830" i="31"/>
  <c r="Q831" i="31"/>
  <c r="Q832" i="31"/>
  <c r="Q833" i="31"/>
  <c r="Q837" i="31"/>
  <c r="Q838" i="31"/>
  <c r="Q839" i="31"/>
  <c r="Q840" i="31"/>
  <c r="Q841" i="31"/>
  <c r="Q842" i="31"/>
  <c r="Q844" i="31"/>
  <c r="Q845" i="31"/>
  <c r="Q846" i="31"/>
  <c r="Q847" i="31"/>
  <c r="Q848" i="31"/>
  <c r="Q849" i="31"/>
  <c r="Q850" i="31"/>
  <c r="Q854" i="31"/>
  <c r="Q855" i="31"/>
  <c r="Q857" i="31"/>
  <c r="Q858" i="31"/>
  <c r="Q860" i="31"/>
  <c r="Q861" i="31"/>
  <c r="Q862" i="31"/>
  <c r="Q863" i="31"/>
  <c r="Q864" i="31"/>
  <c r="Q865" i="31"/>
  <c r="Q866" i="31"/>
  <c r="Q867" i="31"/>
  <c r="Q869" i="31"/>
  <c r="Q856" i="31"/>
  <c r="Q859" i="31"/>
  <c r="Q868" i="31"/>
  <c r="Q870" i="31"/>
  <c r="Q885" i="31"/>
  <c r="Q888" i="31"/>
  <c r="Q892" i="31"/>
  <c r="Q873" i="31"/>
  <c r="Q874" i="31"/>
  <c r="Q875" i="31"/>
  <c r="Q876" i="31"/>
  <c r="Q877" i="31"/>
  <c r="Q871" i="31"/>
  <c r="Q872" i="31"/>
  <c r="Q878" i="31"/>
  <c r="Q879" i="31"/>
  <c r="Q880" i="31"/>
  <c r="Q881" i="31"/>
  <c r="Q882" i="31"/>
  <c r="Q883" i="31"/>
  <c r="Q884" i="31"/>
  <c r="Q886" i="31"/>
  <c r="Q887" i="31"/>
  <c r="Q889" i="31"/>
  <c r="Q890" i="31"/>
  <c r="Q891" i="31"/>
  <c r="Q895" i="31"/>
  <c r="Q896" i="31"/>
  <c r="Q897" i="31"/>
  <c r="Q898" i="31"/>
  <c r="Q899" i="31"/>
  <c r="Q900" i="31"/>
  <c r="Q901" i="31"/>
  <c r="Q902" i="31"/>
  <c r="Q903" i="31"/>
  <c r="Q906" i="31"/>
  <c r="Q911" i="31"/>
  <c r="Q914" i="31"/>
  <c r="Q915" i="31"/>
  <c r="Q916" i="31"/>
  <c r="Q917" i="31"/>
  <c r="Q918" i="31"/>
  <c r="Q904" i="31"/>
  <c r="Q905" i="31"/>
  <c r="Q907" i="31"/>
  <c r="Q908" i="31"/>
  <c r="Q909" i="31"/>
  <c r="Q910" i="31"/>
  <c r="Q912" i="31"/>
  <c r="Q913" i="31"/>
  <c r="Q920" i="31"/>
  <c r="Q930" i="31"/>
  <c r="Q935" i="31"/>
  <c r="Q921" i="31"/>
  <c r="Q922" i="31"/>
  <c r="Q923" i="31"/>
  <c r="Q924" i="31"/>
  <c r="Q925" i="31"/>
  <c r="Q633" i="31"/>
  <c r="Q926" i="31"/>
  <c r="Q927" i="31"/>
  <c r="Q928" i="31"/>
  <c r="Q929" i="31"/>
  <c r="Q931" i="31"/>
  <c r="Q932" i="31"/>
  <c r="Q933" i="31"/>
  <c r="Q934" i="31"/>
  <c r="Q936" i="31"/>
  <c r="Q937" i="31"/>
  <c r="Q938" i="31"/>
  <c r="Q942" i="31"/>
  <c r="Q939" i="31"/>
  <c r="Q940" i="31"/>
  <c r="Q941" i="31"/>
  <c r="Q943" i="31"/>
  <c r="Q944" i="31"/>
  <c r="Q945" i="31"/>
  <c r="Q946" i="31"/>
  <c r="Q949" i="31"/>
  <c r="Q951" i="31"/>
  <c r="Q954" i="31"/>
  <c r="Q956" i="31"/>
  <c r="Q947" i="31"/>
  <c r="Q893" i="31"/>
  <c r="Q894" i="31"/>
  <c r="Q948" i="31"/>
  <c r="Q950" i="31"/>
  <c r="Q952" i="31"/>
  <c r="Q953" i="31"/>
  <c r="Q955" i="31"/>
  <c r="Q957" i="31"/>
  <c r="Q958" i="31"/>
  <c r="Q961" i="31"/>
  <c r="Q962" i="31"/>
  <c r="Q965" i="31"/>
  <c r="Q969" i="31"/>
  <c r="Q970" i="31"/>
  <c r="Q971" i="31"/>
  <c r="Q972" i="31"/>
  <c r="Q966" i="31"/>
  <c r="Q963" i="31"/>
  <c r="Q964" i="31"/>
  <c r="Q981" i="31"/>
  <c r="Q967" i="31"/>
  <c r="Q968" i="31"/>
  <c r="Q974" i="31"/>
  <c r="Q976" i="31"/>
  <c r="Q980" i="31"/>
  <c r="Q982" i="31"/>
  <c r="Q985" i="31"/>
  <c r="Q973" i="31"/>
  <c r="Q975" i="31"/>
  <c r="Q1786" i="31"/>
  <c r="Q977" i="31"/>
  <c r="Q1787" i="31"/>
  <c r="Q983" i="31"/>
  <c r="Q984" i="31"/>
  <c r="Q986" i="31"/>
  <c r="Q987" i="31"/>
  <c r="Q988" i="31"/>
  <c r="Q989" i="31"/>
  <c r="Q990" i="31"/>
  <c r="Q995" i="31"/>
  <c r="Q994" i="31"/>
  <c r="Q999" i="31"/>
  <c r="Q998" i="31"/>
  <c r="Q1001" i="31"/>
  <c r="Q1002" i="31"/>
  <c r="Q1005" i="31"/>
  <c r="Q1006" i="31"/>
  <c r="Q1007" i="31"/>
  <c r="Q1009" i="31"/>
  <c r="Q1011" i="31"/>
  <c r="Q1012" i="31"/>
  <c r="Q1014" i="31"/>
  <c r="Q996" i="31"/>
  <c r="Q997" i="31"/>
  <c r="Q1000" i="31"/>
  <c r="Q991" i="31"/>
  <c r="Q992" i="31"/>
  <c r="Q993" i="31"/>
  <c r="Q1003" i="31"/>
  <c r="Q1004" i="31"/>
  <c r="Q1008" i="31"/>
  <c r="Q1010" i="31"/>
  <c r="Q1013" i="31"/>
  <c r="Q1015" i="31"/>
  <c r="Q1016" i="31"/>
  <c r="Q1018" i="31"/>
  <c r="Q1019" i="31"/>
  <c r="Q1020" i="31"/>
  <c r="Q1021" i="31"/>
  <c r="Q1022" i="31"/>
  <c r="Q1023" i="31"/>
  <c r="Q1024" i="31"/>
  <c r="Q959" i="31"/>
  <c r="Q960" i="31"/>
  <c r="Q1025" i="31"/>
  <c r="Q1026" i="31"/>
  <c r="Q1017" i="31"/>
  <c r="Q1028" i="31"/>
  <c r="Q1032" i="31"/>
  <c r="Q1033" i="31"/>
  <c r="Q1034" i="31"/>
  <c r="Q1043" i="31"/>
  <c r="Q1046" i="31"/>
  <c r="Q1047" i="31"/>
  <c r="Q1051" i="31"/>
  <c r="Q1068" i="31"/>
  <c r="Q1052" i="31"/>
  <c r="Q1056" i="31"/>
  <c r="Q1059" i="31"/>
  <c r="Q1060" i="31"/>
  <c r="Q1061" i="31"/>
  <c r="Q1063" i="31"/>
  <c r="Q1064" i="31"/>
  <c r="Q1067" i="31"/>
  <c r="Q1070" i="31"/>
  <c r="Q1073" i="31"/>
  <c r="Q1074" i="31"/>
  <c r="Q1076" i="31"/>
  <c r="Q1080" i="31"/>
  <c r="Q1082" i="31"/>
  <c r="Q1083" i="31"/>
  <c r="Q1085" i="31"/>
  <c r="Q1086" i="31"/>
  <c r="Q1093" i="31"/>
  <c r="Q1098" i="31"/>
  <c r="Q1100" i="31"/>
  <c r="Q1104" i="31"/>
  <c r="Q1027" i="31"/>
  <c r="Q1029" i="31"/>
  <c r="Q1030" i="31"/>
  <c r="Q1031" i="31"/>
  <c r="Q1035" i="31"/>
  <c r="Q1036" i="31"/>
  <c r="Q1042" i="31"/>
  <c r="Q1044" i="31"/>
  <c r="Q1045" i="31"/>
  <c r="Q1038" i="31"/>
  <c r="Q1039" i="31"/>
  <c r="Q1040" i="31"/>
  <c r="Q1041" i="31"/>
  <c r="Q1048" i="31"/>
  <c r="Q1049" i="31"/>
  <c r="Q1050" i="31"/>
  <c r="Q1053" i="31"/>
  <c r="Q1054" i="31"/>
  <c r="Q1055" i="31"/>
  <c r="Q2998" i="31"/>
  <c r="Q1065" i="31"/>
  <c r="Q1066" i="31"/>
  <c r="Q1069" i="31"/>
  <c r="Q1071" i="31"/>
  <c r="Q1072" i="31"/>
  <c r="Q1075" i="31"/>
  <c r="Q1077" i="31"/>
  <c r="Q1078" i="31"/>
  <c r="Q1079" i="31"/>
  <c r="Q1081" i="31"/>
  <c r="Q1084" i="31"/>
  <c r="Q1087" i="31"/>
  <c r="Q1088" i="31"/>
  <c r="Q1089" i="31"/>
  <c r="Q1090" i="31"/>
  <c r="Q1091" i="31"/>
  <c r="Q1092" i="31"/>
  <c r="Q1094" i="31"/>
  <c r="Q1095" i="31"/>
  <c r="Q1096" i="31"/>
  <c r="Q1097" i="31"/>
  <c r="Q1099" i="31"/>
  <c r="Q1101" i="31"/>
  <c r="Q1102" i="31"/>
  <c r="Q1103" i="31"/>
  <c r="Q1106" i="31"/>
  <c r="Q1110" i="31"/>
  <c r="Q1124" i="31"/>
  <c r="Q1125" i="31"/>
  <c r="Q1126" i="31"/>
  <c r="Q1127" i="31"/>
  <c r="Q1128" i="31"/>
  <c r="Q1130" i="31"/>
  <c r="Q1108" i="31"/>
  <c r="Q1105" i="31"/>
  <c r="Q1107" i="31"/>
  <c r="Q1122" i="31"/>
  <c r="Q1109" i="31"/>
  <c r="Q1111" i="31"/>
  <c r="Q1112" i="31"/>
  <c r="Q1113" i="31"/>
  <c r="Q1114" i="31"/>
  <c r="Q1115" i="31"/>
  <c r="Q1116" i="31"/>
  <c r="Q1117" i="31"/>
  <c r="Q1118" i="31"/>
  <c r="Q1119" i="31"/>
  <c r="Q1120" i="31"/>
  <c r="Q1121" i="31"/>
  <c r="Q1123" i="31"/>
  <c r="Q1133" i="31"/>
  <c r="Q1134" i="31"/>
  <c r="Q1135" i="31"/>
  <c r="Q1139" i="31"/>
  <c r="Q1129" i="31"/>
  <c r="Q1131" i="31"/>
  <c r="Q1132" i="31"/>
  <c r="Q1136" i="31"/>
  <c r="Q1137" i="31"/>
  <c r="Q1138" i="31"/>
  <c r="Q1140" i="31"/>
  <c r="Q1141" i="31"/>
  <c r="Q1142" i="31"/>
  <c r="Q1143" i="31"/>
  <c r="Q853" i="31"/>
  <c r="Q1144" i="31"/>
  <c r="Q1149" i="31"/>
  <c r="Q1170" i="31"/>
  <c r="Q1171" i="31"/>
  <c r="Q1157" i="31"/>
  <c r="Q1145" i="31"/>
  <c r="Q1146" i="31"/>
  <c r="Q1147" i="31"/>
  <c r="Q1148" i="31"/>
  <c r="Q1150" i="31"/>
  <c r="Q1151" i="31"/>
  <c r="Q1152" i="31"/>
  <c r="Q1153" i="31"/>
  <c r="Q1154" i="31"/>
  <c r="Q1155" i="31"/>
  <c r="Q1156" i="31"/>
  <c r="Q1158" i="31"/>
  <c r="Q1162" i="31"/>
  <c r="Q1159" i="31"/>
  <c r="Q1160" i="31"/>
  <c r="Q1161" i="31"/>
  <c r="Q1163" i="31"/>
  <c r="Q1164" i="31"/>
  <c r="Q1165" i="31"/>
  <c r="Q1166" i="31"/>
  <c r="Q1167" i="31"/>
  <c r="Q1174" i="31"/>
  <c r="Q1177" i="31"/>
  <c r="Q1168" i="31"/>
  <c r="Q1169" i="31"/>
  <c r="Q1172" i="31"/>
  <c r="Q1173" i="31"/>
  <c r="Q1175" i="31"/>
  <c r="Q1176" i="31"/>
  <c r="Q1178" i="31"/>
  <c r="Q1180" i="31"/>
  <c r="Q1182" i="31"/>
  <c r="Q1183" i="31"/>
  <c r="Q1184" i="31"/>
  <c r="Q1185" i="31"/>
  <c r="Q1186" i="31"/>
  <c r="Q1179" i="31"/>
  <c r="Q1181" i="31"/>
  <c r="Q1187" i="31"/>
  <c r="Q1193" i="31"/>
  <c r="Q1194" i="31"/>
  <c r="Q1188" i="31"/>
  <c r="Q1189" i="31"/>
  <c r="Q1190" i="31"/>
  <c r="Q1191" i="31"/>
  <c r="Q1192" i="31"/>
  <c r="Q1195" i="31"/>
  <c r="Q1196" i="31"/>
  <c r="Q1197" i="31"/>
  <c r="Q1198" i="31"/>
  <c r="Q1057" i="31"/>
  <c r="Q1058" i="31"/>
  <c r="Q1199" i="31"/>
  <c r="Q1200" i="31"/>
  <c r="Q1202" i="31"/>
  <c r="Q1204" i="31"/>
  <c r="Q1205" i="31"/>
  <c r="Q1210" i="31"/>
  <c r="Q1216" i="31"/>
  <c r="Q1227" i="31"/>
  <c r="Q1201" i="31"/>
  <c r="Q1203" i="31"/>
  <c r="Q1277" i="31"/>
  <c r="Q1208" i="31"/>
  <c r="Q1209" i="31"/>
  <c r="Q1211" i="31"/>
  <c r="Q1212" i="31"/>
  <c r="Q1213" i="31"/>
  <c r="Q1214" i="31"/>
  <c r="Q1215" i="31"/>
  <c r="Q1217" i="31"/>
  <c r="Q1218" i="31"/>
  <c r="Q1219" i="31"/>
  <c r="Q1220" i="31"/>
  <c r="Q1221" i="31"/>
  <c r="Q1222" i="31"/>
  <c r="Q1223" i="31"/>
  <c r="Q1224" i="31"/>
  <c r="Q1225" i="31"/>
  <c r="Q1226" i="31"/>
  <c r="Q1228" i="31"/>
  <c r="Q1229" i="31"/>
  <c r="Q1230" i="31"/>
  <c r="Q1231" i="31"/>
  <c r="Q1232" i="31"/>
  <c r="Q1233" i="31"/>
  <c r="Q1234" i="31"/>
  <c r="Q1235" i="31"/>
  <c r="Q1236" i="31"/>
  <c r="Q1237" i="31"/>
  <c r="Q1238" i="31"/>
  <c r="Q1239" i="31"/>
  <c r="Q1240" i="31"/>
  <c r="Q1241" i="31"/>
  <c r="Q1242" i="31"/>
  <c r="Q1243" i="31"/>
  <c r="Q1244" i="31"/>
  <c r="Q1245" i="31"/>
  <c r="Q1246" i="31"/>
  <c r="Q1247" i="31"/>
  <c r="Q1248" i="31"/>
  <c r="Q1249" i="31"/>
  <c r="Q1250" i="31"/>
  <c r="Q1251" i="31"/>
  <c r="Q1253" i="31"/>
  <c r="Q1257" i="31"/>
  <c r="Q1252" i="31"/>
  <c r="Q1267" i="31"/>
  <c r="Q1269" i="31"/>
  <c r="Q1271" i="31"/>
  <c r="Q1274" i="31"/>
  <c r="Q1258" i="31"/>
  <c r="Q1254" i="31"/>
  <c r="Q1255" i="31"/>
  <c r="Q1256" i="31"/>
  <c r="Q1263" i="31"/>
  <c r="Q1264" i="31"/>
  <c r="Q1265" i="31"/>
  <c r="Q1266" i="31"/>
  <c r="Q1268" i="31"/>
  <c r="Q1270" i="31"/>
  <c r="Q1272" i="31"/>
  <c r="Q1273" i="31"/>
  <c r="Q1259" i="31"/>
  <c r="Q1260" i="31"/>
  <c r="Q1261" i="31"/>
  <c r="Q1262" i="31"/>
  <c r="Q1275" i="31"/>
  <c r="Q1276" i="31"/>
  <c r="Q1206" i="31"/>
  <c r="Q1207" i="31"/>
  <c r="Q1281" i="31"/>
  <c r="Q1282" i="31"/>
  <c r="Q1283" i="31"/>
  <c r="Q1284" i="31"/>
  <c r="Q1285" i="31"/>
  <c r="Q1286" i="31"/>
  <c r="Q1287" i="31"/>
  <c r="Q1289" i="31"/>
  <c r="Q1292" i="31"/>
  <c r="Q1293" i="31"/>
  <c r="Q1296" i="31"/>
  <c r="Q1298" i="31"/>
  <c r="Q1300" i="31"/>
  <c r="Q1301" i="31"/>
  <c r="Q1302" i="31"/>
  <c r="Q1303" i="31"/>
  <c r="Q1305" i="31"/>
  <c r="Q1307" i="31"/>
  <c r="Q1309" i="31"/>
  <c r="Q1310" i="31"/>
  <c r="Q1311" i="31"/>
  <c r="Q1312" i="31"/>
  <c r="Q1326" i="31"/>
  <c r="Q1288" i="31"/>
  <c r="Q1290" i="31"/>
  <c r="Q1291" i="31"/>
  <c r="Q1294" i="31"/>
  <c r="Q1295" i="31"/>
  <c r="Q1297" i="31"/>
  <c r="Q1299" i="31"/>
  <c r="Q1304" i="31"/>
  <c r="Q1306" i="31"/>
  <c r="Q1308" i="31"/>
  <c r="Q1313" i="31"/>
  <c r="Q1321" i="31"/>
  <c r="Q1333" i="31"/>
  <c r="Q1335" i="31"/>
  <c r="Q1336" i="31"/>
  <c r="Q1337" i="31"/>
  <c r="Q1338" i="31"/>
  <c r="Q1342" i="31"/>
  <c r="Q1344" i="31"/>
  <c r="Q1349" i="31"/>
  <c r="Q1314" i="31"/>
  <c r="Q1315" i="31"/>
  <c r="Q1316" i="31"/>
  <c r="Q1317" i="31"/>
  <c r="Q1318" i="31"/>
  <c r="Q1319" i="31"/>
  <c r="Q1320" i="31"/>
  <c r="Q1322" i="31"/>
  <c r="Q1323" i="31"/>
  <c r="Q1324" i="31"/>
  <c r="Q1325" i="31"/>
  <c r="Q1327" i="31"/>
  <c r="Q1328" i="31"/>
  <c r="Q1329" i="31"/>
  <c r="Q1330" i="31"/>
  <c r="Q1331" i="31"/>
  <c r="Q1332" i="31"/>
  <c r="Q1334" i="31"/>
  <c r="Q1339" i="31"/>
  <c r="Q1340" i="31"/>
  <c r="Q1341" i="31"/>
  <c r="Q1278" i="31"/>
  <c r="Q1279" i="31"/>
  <c r="Q1343" i="31"/>
  <c r="Q1346" i="31"/>
  <c r="Q1347" i="31"/>
  <c r="Q1348" i="31"/>
  <c r="Q1350" i="31"/>
  <c r="Q1378" i="31"/>
  <c r="Q1380" i="31"/>
  <c r="Q1372" i="31"/>
  <c r="Q1351" i="31"/>
  <c r="Q1352" i="31"/>
  <c r="Q1353" i="31"/>
  <c r="Q1354" i="31"/>
  <c r="Q1355" i="31"/>
  <c r="Q1356" i="31"/>
  <c r="Q1357" i="31"/>
  <c r="Q1358" i="31"/>
  <c r="Q1359" i="31"/>
  <c r="Q1360" i="31"/>
  <c r="Q1361" i="31"/>
  <c r="Q1362" i="31"/>
  <c r="Q1363" i="31"/>
  <c r="Q1364" i="31"/>
  <c r="Q1365" i="31"/>
  <c r="Q1366" i="31"/>
  <c r="Q1367" i="31"/>
  <c r="Q1368" i="31"/>
  <c r="Q1369" i="31"/>
  <c r="Q1370" i="31"/>
  <c r="Q1371" i="31"/>
  <c r="Q1373" i="31"/>
  <c r="Q1374" i="31"/>
  <c r="Q1375" i="31"/>
  <c r="Q1376" i="31"/>
  <c r="Q1377" i="31"/>
  <c r="Q852" i="31"/>
  <c r="Q1381" i="31"/>
  <c r="Q1382" i="31"/>
  <c r="Q1383" i="31"/>
  <c r="Q1384" i="31"/>
  <c r="Q1385" i="31"/>
  <c r="Q1386" i="31"/>
  <c r="Q1388" i="31"/>
  <c r="Q1389" i="31"/>
  <c r="Q1390" i="31"/>
  <c r="Q1392" i="31"/>
  <c r="Q1394" i="31"/>
  <c r="Q1379" i="31"/>
  <c r="Q1387" i="31"/>
  <c r="Q1391" i="31"/>
  <c r="Q1393" i="31"/>
  <c r="Q1395" i="31"/>
  <c r="Q1398" i="31"/>
  <c r="Q1399" i="31"/>
  <c r="Q1400" i="31"/>
  <c r="Q1401" i="31"/>
  <c r="Q1403" i="31"/>
  <c r="Q1406" i="31"/>
  <c r="Q1396" i="31"/>
  <c r="Q1397" i="31"/>
  <c r="Q1402" i="31"/>
  <c r="Q1404" i="31"/>
  <c r="Q1405" i="31"/>
  <c r="Q1415" i="31"/>
  <c r="Q1416" i="31"/>
  <c r="Q1418" i="31"/>
  <c r="Q1422" i="31"/>
  <c r="Q1424" i="31"/>
  <c r="Q1431" i="31"/>
  <c r="Q1419" i="31"/>
  <c r="Q1407" i="31"/>
  <c r="Q1408" i="31"/>
  <c r="Q1409" i="31"/>
  <c r="Q1410" i="31"/>
  <c r="Q1411" i="31"/>
  <c r="Q1412" i="31"/>
  <c r="Q1413" i="31"/>
  <c r="Q1414" i="31"/>
  <c r="Q1417" i="31"/>
  <c r="Q1420" i="31"/>
  <c r="Q1421" i="31"/>
  <c r="Q1423" i="31"/>
  <c r="Q1425" i="31"/>
  <c r="Q1426" i="31"/>
  <c r="Q1427" i="31"/>
  <c r="Q1438" i="31"/>
  <c r="Q1428" i="31"/>
  <c r="Q1429" i="31"/>
  <c r="Q1430" i="31"/>
  <c r="Q1432" i="31"/>
  <c r="Q1434" i="31"/>
  <c r="Q1435" i="31"/>
  <c r="Q1436" i="31"/>
  <c r="Q1437" i="31"/>
  <c r="Q1447" i="31"/>
  <c r="Q1439" i="31"/>
  <c r="Q1442" i="31"/>
  <c r="Q1444" i="31"/>
  <c r="Q1445" i="31"/>
  <c r="Q1446" i="31"/>
  <c r="Q1449" i="31"/>
  <c r="Q1450" i="31"/>
  <c r="Q1451" i="31"/>
  <c r="Q1433" i="31"/>
  <c r="Q1440" i="31"/>
  <c r="Q1441" i="31"/>
  <c r="Q1443" i="31"/>
  <c r="Q1448" i="31"/>
  <c r="Q1452" i="31"/>
  <c r="Q1453" i="31"/>
  <c r="Q1454" i="31"/>
  <c r="Q1455" i="31"/>
  <c r="Q1456" i="31"/>
  <c r="Q1457" i="31"/>
  <c r="Q1458" i="31"/>
  <c r="Q1459" i="31"/>
  <c r="Q1461" i="31"/>
  <c r="Q1462" i="31"/>
  <c r="Q822" i="31"/>
  <c r="Q1463" i="31"/>
  <c r="Q1464" i="31"/>
  <c r="Q1465" i="31"/>
  <c r="Q1466" i="31"/>
  <c r="Q1467" i="31"/>
  <c r="Q1468" i="31"/>
  <c r="Q1469" i="31"/>
  <c r="Q1470" i="31"/>
  <c r="Q1471" i="31"/>
  <c r="Q1472" i="31"/>
  <c r="Q1473" i="31"/>
  <c r="Q1474" i="31"/>
  <c r="Q1475" i="31"/>
  <c r="Q1476" i="31"/>
  <c r="Q1477" i="31"/>
  <c r="Q1478" i="31"/>
  <c r="Q1480" i="31"/>
  <c r="Q1481" i="31"/>
  <c r="Q1484" i="31"/>
  <c r="Q1485" i="31"/>
  <c r="Q1493" i="31"/>
  <c r="Q1496" i="31"/>
  <c r="Q1479" i="31"/>
  <c r="Q1482" i="31"/>
  <c r="Q1486" i="31"/>
  <c r="Q1483" i="31"/>
  <c r="Q1502" i="31"/>
  <c r="Q1487" i="31"/>
  <c r="Q1488" i="31"/>
  <c r="Q1489" i="31"/>
  <c r="Q1490" i="31"/>
  <c r="Q1491" i="31"/>
  <c r="Q1492" i="31"/>
  <c r="Q1494" i="31"/>
  <c r="Q1495" i="31"/>
  <c r="Q1503" i="31"/>
  <c r="Q1507" i="31"/>
  <c r="Q1509" i="31"/>
  <c r="Q1510" i="31"/>
  <c r="Q1511" i="31"/>
  <c r="Q1345" i="31"/>
  <c r="Q1504" i="31"/>
  <c r="Q1497" i="31"/>
  <c r="Q1498" i="31"/>
  <c r="Q1499" i="31"/>
  <c r="Q1500" i="31"/>
  <c r="Q1501" i="31"/>
  <c r="Q1505" i="31"/>
  <c r="Q1506" i="31"/>
  <c r="Q1508" i="31"/>
  <c r="Q1529" i="31"/>
  <c r="Q1530" i="31"/>
  <c r="Q1531" i="31"/>
  <c r="Q1532" i="31"/>
  <c r="Q1533" i="31"/>
  <c r="Q1535" i="31"/>
  <c r="Q1564" i="31"/>
  <c r="Q1565" i="31"/>
  <c r="Q1518" i="31"/>
  <c r="Q1513" i="31"/>
  <c r="Q1515" i="31"/>
  <c r="Q1516" i="31"/>
  <c r="Q1517" i="31"/>
  <c r="Q1523" i="31"/>
  <c r="Q1521" i="31"/>
  <c r="Q1522" i="31"/>
  <c r="Q1534" i="31"/>
  <c r="Q1524" i="31"/>
  <c r="Q1526" i="31"/>
  <c r="Q1527" i="31"/>
  <c r="Q1537" i="31"/>
  <c r="Q1536" i="31"/>
  <c r="Q1538" i="31"/>
  <c r="Q1539" i="31"/>
  <c r="Q1540" i="31"/>
  <c r="Q1541" i="31"/>
  <c r="Q1542" i="31"/>
  <c r="Q1543" i="31"/>
  <c r="Q1544" i="31"/>
  <c r="Q1545" i="31"/>
  <c r="Q1546" i="31"/>
  <c r="Q1547" i="31"/>
  <c r="Q1548" i="31"/>
  <c r="Q1549" i="31"/>
  <c r="Q1550" i="31"/>
  <c r="Q1551" i="31"/>
  <c r="Q1552" i="31"/>
  <c r="Q1553" i="31"/>
  <c r="Q1554" i="31"/>
  <c r="Q1555" i="31"/>
  <c r="Q1556" i="31"/>
  <c r="Q1557" i="31"/>
  <c r="Q1558" i="31"/>
  <c r="Q1559" i="31"/>
  <c r="Q1560" i="31"/>
  <c r="Q1561" i="31"/>
  <c r="Q1562" i="31"/>
  <c r="Q1563" i="31"/>
  <c r="Q1583" i="31"/>
  <c r="Q1566" i="31"/>
  <c r="Q1568" i="31"/>
  <c r="Q1569" i="31"/>
  <c r="Q1570" i="31"/>
  <c r="Q1571" i="31"/>
  <c r="Q1572" i="31"/>
  <c r="Q1575" i="31"/>
  <c r="Q1576" i="31"/>
  <c r="Q1577" i="31"/>
  <c r="Q1578" i="31"/>
  <c r="Q1582" i="31"/>
  <c r="Q1598" i="31"/>
  <c r="Q1584" i="31"/>
  <c r="Q1585" i="31"/>
  <c r="Q1586" i="31"/>
  <c r="Q1587" i="31"/>
  <c r="Q1589" i="31"/>
  <c r="Q1590" i="31"/>
  <c r="Q1593" i="31"/>
  <c r="Q1600" i="31"/>
  <c r="Q1567" i="31"/>
  <c r="Q1573" i="31"/>
  <c r="Q1574" i="31"/>
  <c r="Q1579" i="31"/>
  <c r="Q1580" i="31"/>
  <c r="Q1581" i="31"/>
  <c r="Q1588" i="31"/>
  <c r="Q1591" i="31"/>
  <c r="Q1592" i="31"/>
  <c r="Q1594" i="31"/>
  <c r="Q1595" i="31"/>
  <c r="Q1596" i="31"/>
  <c r="Q1597" i="31"/>
  <c r="Q1599" i="31"/>
  <c r="Q1601" i="31"/>
  <c r="Q1602" i="31"/>
  <c r="Q1603" i="31"/>
  <c r="Q1604" i="31"/>
  <c r="Q1605" i="31"/>
  <c r="Q1614" i="31"/>
  <c r="Q1616" i="31"/>
  <c r="Q1611" i="31"/>
  <c r="Q1612" i="31"/>
  <c r="Q1613" i="31"/>
  <c r="Q1615" i="31"/>
  <c r="Q1617" i="31"/>
  <c r="Q1618" i="31"/>
  <c r="Q1620" i="31"/>
  <c r="Q1621" i="31"/>
  <c r="Q1622" i="31"/>
  <c r="Q1623" i="31"/>
  <c r="Q1624" i="31"/>
  <c r="Q1627" i="31"/>
  <c r="Q1629" i="31"/>
  <c r="Q1630" i="31"/>
  <c r="Q1631" i="31"/>
  <c r="Q1632" i="31"/>
  <c r="Q1633" i="31"/>
  <c r="Q1634" i="31"/>
  <c r="Q1635" i="31"/>
  <c r="Q661" i="31"/>
  <c r="Q1639" i="31"/>
  <c r="Q1641" i="31"/>
  <c r="Q1642" i="31"/>
  <c r="Q1643" i="31"/>
  <c r="Q1625" i="31"/>
  <c r="Q1619" i="31"/>
  <c r="Q1628" i="31"/>
  <c r="Q1626" i="31"/>
  <c r="Q1636" i="31"/>
  <c r="Q1640" i="31"/>
  <c r="Q1645" i="31"/>
  <c r="Q1647" i="31"/>
  <c r="Q1644" i="31"/>
  <c r="Q1646" i="31"/>
  <c r="Q1648" i="31"/>
  <c r="Q663" i="31"/>
  <c r="Q1649" i="31"/>
  <c r="Q1654" i="31"/>
  <c r="Q1657" i="31"/>
  <c r="Q1658" i="31"/>
  <c r="Q1663" i="31"/>
  <c r="Q1665" i="31"/>
  <c r="Q1666" i="31"/>
  <c r="Q1671" i="31"/>
  <c r="Q1672" i="31"/>
  <c r="Q1650" i="31"/>
  <c r="Q1651" i="31"/>
  <c r="Q1652" i="31"/>
  <c r="Q1653" i="31"/>
  <c r="Q1655" i="31"/>
  <c r="Q1656" i="31"/>
  <c r="Q1659" i="31"/>
  <c r="Q1660" i="31"/>
  <c r="Q1661" i="31"/>
  <c r="Q1662" i="31"/>
  <c r="Q1664" i="31"/>
  <c r="Q1667" i="31"/>
  <c r="Q1668" i="31"/>
  <c r="Q1669" i="31"/>
  <c r="Q1670" i="31"/>
  <c r="Q1673" i="31"/>
  <c r="Q1676" i="31"/>
  <c r="Q1678" i="31"/>
  <c r="Q1674" i="31"/>
  <c r="Q1675" i="31"/>
  <c r="Q1677" i="31"/>
  <c r="Q1679" i="31"/>
  <c r="Q1680" i="31"/>
  <c r="Q1681" i="31"/>
  <c r="Q1683" i="31"/>
  <c r="Q1684" i="31"/>
  <c r="Q1685" i="31"/>
  <c r="Q1687" i="31"/>
  <c r="Q1689" i="31"/>
  <c r="Q1690" i="31"/>
  <c r="Q1691" i="31"/>
  <c r="Q1697" i="31"/>
  <c r="Q1698" i="31"/>
  <c r="Q1699" i="31"/>
  <c r="Q1704" i="31"/>
  <c r="Q1705" i="31"/>
  <c r="Q1706" i="31"/>
  <c r="Q1707" i="31"/>
  <c r="Q1708" i="31"/>
  <c r="Q1682" i="31"/>
  <c r="Q1686" i="31"/>
  <c r="Q1688" i="31"/>
  <c r="Q1692" i="31"/>
  <c r="Q1693" i="31"/>
  <c r="Q1694" i="31"/>
  <c r="Q1695" i="31"/>
  <c r="Q1696" i="31"/>
  <c r="Q1700" i="31"/>
  <c r="Q1701" i="31"/>
  <c r="Q1702" i="31"/>
  <c r="Q1703" i="31"/>
  <c r="Q1709" i="31"/>
  <c r="Q1710" i="31"/>
  <c r="Q1711" i="31"/>
  <c r="Q1712" i="31"/>
  <c r="Q1713" i="31"/>
  <c r="Q1714" i="31"/>
  <c r="Q1715" i="31"/>
  <c r="Q1716" i="31"/>
  <c r="Q1717" i="31"/>
  <c r="Q1720" i="31"/>
  <c r="Q1722" i="31"/>
  <c r="Q1726" i="31"/>
  <c r="Q1727" i="31"/>
  <c r="Q1730" i="31"/>
  <c r="Q1731" i="31"/>
  <c r="Q1732" i="31"/>
  <c r="Q1733" i="31"/>
  <c r="Q1737" i="31"/>
  <c r="Q1740" i="31"/>
  <c r="Q1743" i="31"/>
  <c r="Q1745" i="31"/>
  <c r="Q1746" i="31"/>
  <c r="Q1749" i="31"/>
  <c r="Q1750" i="31"/>
  <c r="Q1752" i="31"/>
  <c r="Q1756" i="31"/>
  <c r="Q1757" i="31"/>
  <c r="Q1758" i="31"/>
  <c r="Q1760" i="31"/>
  <c r="Q1761" i="31"/>
  <c r="Q1762" i="31"/>
  <c r="Q1718" i="31"/>
  <c r="Q1719" i="31"/>
  <c r="Q1721" i="31"/>
  <c r="Q1723" i="31"/>
  <c r="Q1724" i="31"/>
  <c r="Q1725" i="31"/>
  <c r="Q1728" i="31"/>
  <c r="Q1729" i="31"/>
  <c r="Q1734" i="31"/>
  <c r="Q1735" i="31"/>
  <c r="Q1736" i="31"/>
  <c r="Q1738" i="31"/>
  <c r="Q1739" i="31"/>
  <c r="Q1741" i="31"/>
  <c r="Q1742" i="31"/>
  <c r="Q1744" i="31"/>
  <c r="Q1747" i="31"/>
  <c r="Q1748" i="31"/>
  <c r="Q1751" i="31"/>
  <c r="Q1637" i="31"/>
  <c r="Q1638" i="31"/>
  <c r="Q1753" i="31"/>
  <c r="Q1754" i="31"/>
  <c r="Q1755" i="31"/>
  <c r="Q1767" i="31"/>
  <c r="Q1768" i="31"/>
  <c r="Q1764" i="31"/>
  <c r="Q1765" i="31"/>
  <c r="Q1766" i="31"/>
  <c r="Q1769" i="31"/>
  <c r="Q1771" i="31"/>
  <c r="Q1772" i="31"/>
  <c r="Q1776" i="31"/>
  <c r="Q1779" i="31"/>
  <c r="Q1780" i="31"/>
  <c r="Q1790" i="31"/>
  <c r="Q1770" i="31"/>
  <c r="Q1773" i="31"/>
  <c r="Q1774" i="31"/>
  <c r="Q1775" i="31"/>
  <c r="Q1777" i="31"/>
  <c r="Q1778" i="31"/>
  <c r="Q1781" i="31"/>
  <c r="Q1782" i="31"/>
  <c r="Q1783" i="31"/>
  <c r="Q1759" i="31"/>
  <c r="Q1763" i="31"/>
  <c r="Q1788" i="31"/>
  <c r="Q1789" i="31"/>
  <c r="Q1791" i="31"/>
  <c r="Q1792" i="31"/>
  <c r="Q1794" i="31"/>
  <c r="Q1795" i="31"/>
  <c r="Q1797" i="31"/>
  <c r="Q1793" i="31"/>
  <c r="Q1796" i="31"/>
  <c r="Q1807" i="31"/>
  <c r="Q1798" i="31"/>
  <c r="Q1799" i="31"/>
  <c r="Q1800" i="31"/>
  <c r="Q1806" i="31"/>
  <c r="Q1801" i="31"/>
  <c r="Q1802" i="31"/>
  <c r="Q1803" i="31"/>
  <c r="Q1804" i="31"/>
  <c r="Q1805" i="31"/>
  <c r="Q1808" i="31"/>
  <c r="Q1809" i="31"/>
  <c r="Q1810" i="31"/>
  <c r="Q1811" i="31"/>
  <c r="Q1812" i="31"/>
  <c r="Q1814" i="31"/>
  <c r="Q1815" i="31"/>
  <c r="Q1816" i="31"/>
  <c r="Q1819" i="31"/>
  <c r="Q1820" i="31"/>
  <c r="Q1821" i="31"/>
  <c r="Q1829" i="31"/>
  <c r="Q1830" i="31"/>
  <c r="Q1832" i="31"/>
  <c r="Q1866" i="31"/>
  <c r="Q1877" i="31"/>
  <c r="Q1882" i="31"/>
  <c r="Q1883" i="31"/>
  <c r="Q1884" i="31"/>
  <c r="Q1839" i="31"/>
  <c r="Q1813" i="31"/>
  <c r="Q1817" i="31"/>
  <c r="Q1818" i="31"/>
  <c r="Q1822" i="31"/>
  <c r="Q1823" i="31"/>
  <c r="Q1824" i="31"/>
  <c r="Q1825" i="31"/>
  <c r="Q1826" i="31"/>
  <c r="Q1827" i="31"/>
  <c r="Q1828" i="31"/>
  <c r="Q1831" i="31"/>
  <c r="Q1833" i="31"/>
  <c r="Q1834" i="31"/>
  <c r="Q1835" i="31"/>
  <c r="Q1837" i="31"/>
  <c r="Q1838" i="31"/>
  <c r="Q1840" i="31"/>
  <c r="Q1841" i="31"/>
  <c r="Q1842" i="31"/>
  <c r="Q1843" i="31"/>
  <c r="Q1852" i="31"/>
  <c r="Q1844" i="31"/>
  <c r="Q1845" i="31"/>
  <c r="Q1846" i="31"/>
  <c r="Q1847" i="31"/>
  <c r="Q1848" i="31"/>
  <c r="Q1849" i="31"/>
  <c r="Q1850" i="31"/>
  <c r="Q1851" i="31"/>
  <c r="Q1853" i="31"/>
  <c r="Q1854" i="31"/>
  <c r="Q1855" i="31"/>
  <c r="Q1856" i="31"/>
  <c r="Q1836" i="31"/>
  <c r="Q1858" i="31"/>
  <c r="Q1860" i="31"/>
  <c r="Q1861" i="31"/>
  <c r="Q1865" i="31"/>
  <c r="Q1867" i="31"/>
  <c r="Q1869" i="31"/>
  <c r="Q1870" i="31"/>
  <c r="Q1874" i="31"/>
  <c r="Q1857" i="31"/>
  <c r="Q1859" i="31"/>
  <c r="Q1862" i="31"/>
  <c r="Q1863" i="31"/>
  <c r="Q1864" i="31"/>
  <c r="Q1868" i="31"/>
  <c r="Q1871" i="31"/>
  <c r="Q1872" i="31"/>
  <c r="Q1873" i="31"/>
  <c r="Q1876" i="31"/>
  <c r="Q1878" i="31"/>
  <c r="Q1879" i="31"/>
  <c r="Q1880" i="31"/>
  <c r="Q1881" i="31"/>
  <c r="Q1885" i="31"/>
  <c r="Q1875" i="31"/>
  <c r="Q1909" i="31"/>
  <c r="Q1920" i="31"/>
  <c r="Q1933" i="31"/>
  <c r="Q1934" i="31"/>
  <c r="Q1886" i="31"/>
  <c r="Q1887" i="31"/>
  <c r="Q1888" i="31"/>
  <c r="Q1889" i="31"/>
  <c r="Q1890" i="31"/>
  <c r="Q1891" i="31"/>
  <c r="Q1892" i="31"/>
  <c r="Q1893" i="31"/>
  <c r="Q1894" i="31"/>
  <c r="Q1895" i="31"/>
  <c r="Q1896" i="31"/>
  <c r="Q1897" i="31"/>
  <c r="Q1898" i="31"/>
  <c r="Q1899" i="31"/>
  <c r="Q1900" i="31"/>
  <c r="Q1901" i="31"/>
  <c r="Q1902" i="31"/>
  <c r="Q1903" i="31"/>
  <c r="Q1904" i="31"/>
  <c r="Q1905" i="31"/>
  <c r="Q1906" i="31"/>
  <c r="Q1936" i="31"/>
  <c r="Q1907" i="31"/>
  <c r="Q1938" i="31"/>
  <c r="Q1939" i="31"/>
  <c r="Q1942" i="31"/>
  <c r="Q1943" i="31"/>
  <c r="Q1946" i="31"/>
  <c r="Q1947" i="31"/>
  <c r="Q1911" i="31"/>
  <c r="Q1912" i="31"/>
  <c r="Q1913" i="31"/>
  <c r="Q1914" i="31"/>
  <c r="Q1918" i="31"/>
  <c r="Q1925" i="31"/>
  <c r="Q1926" i="31"/>
  <c r="Q1908" i="31"/>
  <c r="Q1910" i="31"/>
  <c r="Q1915" i="31"/>
  <c r="Q1916" i="31"/>
  <c r="Q1917" i="31"/>
  <c r="Q1919" i="31"/>
  <c r="Q1922" i="31"/>
  <c r="Q1927" i="31"/>
  <c r="Q1928" i="31"/>
  <c r="Q1932" i="31"/>
  <c r="Q1935" i="31"/>
  <c r="Q1937" i="31"/>
  <c r="Q1929" i="31"/>
  <c r="Q1954" i="31"/>
  <c r="Q1955" i="31"/>
  <c r="Q1956" i="31"/>
  <c r="Q1921" i="31"/>
  <c r="Q1923" i="31"/>
  <c r="Q1924" i="31"/>
  <c r="Q1930" i="31"/>
  <c r="Q1931" i="31"/>
  <c r="Q1948" i="31"/>
  <c r="Q1949" i="31"/>
  <c r="Q1950" i="31"/>
  <c r="Q1951" i="31"/>
  <c r="Q1952" i="31"/>
  <c r="Q1982" i="31"/>
  <c r="Q1995" i="31"/>
  <c r="Q2001" i="31"/>
  <c r="Q1960" i="31"/>
  <c r="Q1945" i="31"/>
  <c r="Q1940" i="31"/>
  <c r="Q1941" i="31"/>
  <c r="Q1944" i="31"/>
  <c r="Q1966" i="31"/>
  <c r="Q1953" i="31"/>
  <c r="Q1958" i="31"/>
  <c r="Q1961" i="31"/>
  <c r="Q1964" i="31"/>
  <c r="Q1965" i="31"/>
  <c r="Q1969" i="31"/>
  <c r="Q1971" i="31"/>
  <c r="Q1973" i="31"/>
  <c r="Q1974" i="31"/>
  <c r="Q1957" i="31"/>
  <c r="Q1959" i="31"/>
  <c r="Q1962" i="31"/>
  <c r="Q1963" i="31"/>
  <c r="Q1967" i="31"/>
  <c r="Q1968" i="31"/>
  <c r="Q1970" i="31"/>
  <c r="Q1972" i="31"/>
  <c r="Q2003" i="31"/>
  <c r="Q2004" i="31"/>
  <c r="Q2008" i="31"/>
  <c r="Q2009" i="31"/>
  <c r="Q2011" i="31"/>
  <c r="Q2012" i="31"/>
  <c r="Q1975" i="31"/>
  <c r="Q1976" i="31"/>
  <c r="Q1977" i="31"/>
  <c r="Q1978" i="31"/>
  <c r="Q1979" i="31"/>
  <c r="Q1980" i="31"/>
  <c r="Q1981" i="31"/>
  <c r="Q1983" i="31"/>
  <c r="Q1984" i="31"/>
  <c r="Q1985" i="31"/>
  <c r="Q1986" i="31"/>
  <c r="Q1987" i="31"/>
  <c r="Q1988" i="31"/>
  <c r="Q1989" i="31"/>
  <c r="Q1990" i="31"/>
  <c r="Q1991" i="31"/>
  <c r="Q1992" i="31"/>
  <c r="Q1993" i="31"/>
  <c r="Q1994" i="31"/>
  <c r="Q1996" i="31"/>
  <c r="Q1997" i="31"/>
  <c r="Q1998" i="31"/>
  <c r="Q1999" i="31"/>
  <c r="Q2000" i="31"/>
  <c r="Q2002" i="31"/>
  <c r="Q2005" i="31"/>
  <c r="Q2006" i="31"/>
  <c r="Q2007" i="31"/>
  <c r="Q2013" i="31"/>
  <c r="Q2014" i="31"/>
  <c r="Q2016" i="31"/>
  <c r="Q2024" i="31"/>
  <c r="Q2027" i="31"/>
  <c r="Q2028" i="31"/>
  <c r="Q2033" i="31"/>
  <c r="Q2035" i="31"/>
  <c r="Q2036" i="31"/>
  <c r="Q2039" i="31"/>
  <c r="Q2040" i="31"/>
  <c r="Q2097" i="31"/>
  <c r="Q2015" i="31"/>
  <c r="Q2010" i="31"/>
  <c r="Q2020" i="31"/>
  <c r="Q2017" i="31"/>
  <c r="Q2018" i="31"/>
  <c r="Q2019" i="31"/>
  <c r="Q2022" i="31"/>
  <c r="Q2021" i="31"/>
  <c r="Q2029" i="31"/>
  <c r="Q2023" i="31"/>
  <c r="Q2025" i="31"/>
  <c r="Q2026" i="31"/>
  <c r="Q2030" i="31"/>
  <c r="Q2031" i="31"/>
  <c r="Q2034" i="31"/>
  <c r="Q2032" i="31"/>
  <c r="Q2037" i="31"/>
  <c r="Q2038" i="31"/>
  <c r="Q2098" i="31"/>
  <c r="Q2099" i="31"/>
  <c r="Q2100" i="31"/>
  <c r="Q2101" i="31"/>
  <c r="Q2102" i="31"/>
  <c r="Q2041" i="31"/>
  <c r="Q2042" i="31"/>
  <c r="Q2044" i="31"/>
  <c r="Q2045" i="31"/>
  <c r="Q2047" i="31"/>
  <c r="Q2046" i="31"/>
  <c r="Q2050" i="31"/>
  <c r="Q2051" i="31"/>
  <c r="Q2052" i="31"/>
  <c r="Q2053" i="31"/>
  <c r="Q2056" i="31"/>
  <c r="Q2055" i="31"/>
  <c r="Q2058" i="31"/>
  <c r="Q2062" i="31"/>
  <c r="Q2063" i="31"/>
  <c r="Q2067" i="31"/>
  <c r="Q2043" i="31"/>
  <c r="Q2048" i="31"/>
  <c r="Q2049" i="31"/>
  <c r="Q2054" i="31"/>
  <c r="Q2057" i="31"/>
  <c r="Q2059" i="31"/>
  <c r="Q2060" i="31"/>
  <c r="Q2061" i="31"/>
  <c r="Q2066" i="31"/>
  <c r="Q2068" i="31"/>
  <c r="Q2069" i="31"/>
  <c r="Q2070" i="31"/>
  <c r="Q2074" i="31"/>
  <c r="Q2080" i="31"/>
  <c r="Q2081" i="31"/>
  <c r="Q2064" i="31"/>
  <c r="Q2065" i="31"/>
  <c r="Q2071" i="31"/>
  <c r="Q2072" i="31"/>
  <c r="Q2076" i="31"/>
  <c r="Q2073" i="31"/>
  <c r="Q2075" i="31"/>
  <c r="Q2077" i="31"/>
  <c r="Q2078" i="31"/>
  <c r="Q2079" i="31"/>
  <c r="Q2082" i="31"/>
  <c r="Q2083" i="31"/>
  <c r="Q2086" i="31"/>
  <c r="Q2087" i="31"/>
  <c r="Q2088" i="31"/>
  <c r="Q2089" i="31"/>
  <c r="Q2090" i="31"/>
  <c r="Q2091" i="31"/>
  <c r="Q2093" i="31"/>
  <c r="Q2094" i="31"/>
  <c r="Q2095" i="31"/>
  <c r="Q2096" i="31"/>
  <c r="Q2103" i="31"/>
  <c r="Q2105" i="31"/>
  <c r="Q2106" i="31"/>
  <c r="Q2107" i="31"/>
  <c r="Q2092" i="31"/>
  <c r="Q2084" i="31"/>
  <c r="Q2085" i="31"/>
  <c r="Q2104" i="31"/>
  <c r="Q2108" i="31"/>
  <c r="Q2109" i="31"/>
  <c r="Q2110" i="31"/>
  <c r="Q2112" i="31"/>
  <c r="Q2113" i="31"/>
  <c r="Q2136" i="31"/>
  <c r="Q2137" i="31"/>
  <c r="Q2183" i="31"/>
  <c r="Q2190" i="31"/>
  <c r="Q2191" i="31"/>
  <c r="Q2193" i="31"/>
  <c r="Q2111" i="31"/>
  <c r="Q2117" i="31"/>
  <c r="Q2119" i="31"/>
  <c r="Q2120" i="31"/>
  <c r="Q2121" i="31"/>
  <c r="Q2123" i="31"/>
  <c r="Q2126" i="31"/>
  <c r="Q2127" i="31"/>
  <c r="Q2128" i="31"/>
  <c r="Q2129" i="31"/>
  <c r="Q2130" i="31"/>
  <c r="Q2131" i="31"/>
  <c r="Q2133" i="31"/>
  <c r="Q2194" i="31"/>
  <c r="Q2195" i="31"/>
  <c r="Q2196" i="31"/>
  <c r="Q2197" i="31"/>
  <c r="Q2199" i="31"/>
  <c r="Q2200" i="31"/>
  <c r="Q2201" i="31"/>
  <c r="Q2139" i="31"/>
  <c r="Q2144" i="31"/>
  <c r="Q2145" i="31"/>
  <c r="Q2147" i="31"/>
  <c r="Q2135" i="31"/>
  <c r="Q2140" i="31"/>
  <c r="Q2138" i="31"/>
  <c r="Q2153" i="31"/>
  <c r="Q2141" i="31"/>
  <c r="Q2142" i="31"/>
  <c r="Q2143" i="31"/>
  <c r="Q2146" i="31"/>
  <c r="Q2148" i="31"/>
  <c r="Q2149" i="31"/>
  <c r="Q2151" i="31"/>
  <c r="Q2152" i="31"/>
  <c r="Q2161" i="31"/>
  <c r="Q2154" i="31"/>
  <c r="Q2155" i="31"/>
  <c r="Q2156" i="31"/>
  <c r="Q2157" i="31"/>
  <c r="Q2159" i="31"/>
  <c r="Q2160" i="31"/>
  <c r="Q2150" i="31"/>
  <c r="Q2158" i="31"/>
  <c r="Q2162" i="31"/>
  <c r="Q2164" i="31"/>
  <c r="Q2170" i="31"/>
  <c r="Q2171" i="31"/>
  <c r="Q2175" i="31"/>
  <c r="Q2176" i="31"/>
  <c r="Q2177" i="31"/>
  <c r="Q2180" i="31"/>
  <c r="Q2181" i="31"/>
  <c r="Q2182" i="31"/>
  <c r="Q2184" i="31"/>
  <c r="Q2185" i="31"/>
  <c r="Q2186" i="31"/>
  <c r="Q2163" i="31"/>
  <c r="Q2165" i="31"/>
  <c r="Q2166" i="31"/>
  <c r="Q2167" i="31"/>
  <c r="Q2168" i="31"/>
  <c r="Q2169" i="31"/>
  <c r="Q2172" i="31"/>
  <c r="Q2173" i="31"/>
  <c r="Q2174" i="31"/>
  <c r="Q2178" i="31"/>
  <c r="Q2179" i="31"/>
  <c r="Q2187" i="31"/>
  <c r="Q2188" i="31"/>
  <c r="Q2189" i="31"/>
  <c r="Q629" i="31"/>
  <c r="Q2202" i="31"/>
  <c r="Q630" i="31"/>
  <c r="Q2203" i="31"/>
  <c r="Q2204" i="31"/>
  <c r="Q2205" i="31"/>
  <c r="Q2206" i="31"/>
  <c r="Q631" i="31"/>
  <c r="Q2207" i="31"/>
  <c r="Q2208" i="31"/>
  <c r="Q2209" i="31"/>
  <c r="Q2210" i="31"/>
  <c r="Q2211" i="31"/>
  <c r="Q2212" i="31"/>
  <c r="Q2213" i="31"/>
  <c r="Q2214" i="31"/>
  <c r="Q2215" i="31"/>
  <c r="Q2216" i="31"/>
  <c r="Q2217" i="31"/>
  <c r="Q2218" i="31"/>
  <c r="Q2284" i="31"/>
  <c r="Q2192" i="31"/>
  <c r="Q2198" i="31"/>
  <c r="Q636" i="31"/>
  <c r="Q638" i="31"/>
  <c r="Q639" i="31"/>
  <c r="Q2289" i="31"/>
  <c r="Q2297" i="31"/>
  <c r="Q645" i="31"/>
  <c r="Q2219" i="31"/>
  <c r="Q2220" i="31"/>
  <c r="Q2221" i="31"/>
  <c r="Q2222" i="31"/>
  <c r="Q2230" i="31"/>
  <c r="Q2232" i="31"/>
  <c r="Q2237" i="31"/>
  <c r="Q2248" i="31"/>
  <c r="Q2250" i="31"/>
  <c r="Q2252" i="31"/>
  <c r="Q2253" i="31"/>
  <c r="Q2254" i="31"/>
  <c r="Q2256" i="31"/>
  <c r="Q2260" i="31"/>
  <c r="Q2261" i="31"/>
  <c r="Q2263" i="31"/>
  <c r="Q2231" i="31"/>
  <c r="Q2233" i="31"/>
  <c r="Q2234" i="31"/>
  <c r="Q2235" i="31"/>
  <c r="Q2236" i="31"/>
  <c r="Q2238" i="31"/>
  <c r="Q2239" i="31"/>
  <c r="Q2240" i="31"/>
  <c r="Q2241" i="31"/>
  <c r="Q2242" i="31"/>
  <c r="Q2243" i="31"/>
  <c r="Q2244" i="31"/>
  <c r="Q2245" i="31"/>
  <c r="Q2268" i="31"/>
  <c r="Q2271" i="31"/>
  <c r="Q2273" i="31"/>
  <c r="Q2274" i="31"/>
  <c r="Q2275" i="31"/>
  <c r="Q2277" i="31"/>
  <c r="Q2223" i="31"/>
  <c r="Q2224" i="31"/>
  <c r="Q2225" i="31"/>
  <c r="Q2226" i="31"/>
  <c r="Q2227" i="31"/>
  <c r="Q2228" i="31"/>
  <c r="Q2249" i="31"/>
  <c r="Q2246" i="31"/>
  <c r="Q2247" i="31"/>
  <c r="Q2259" i="31"/>
  <c r="Q2251" i="31"/>
  <c r="Q2255" i="31"/>
  <c r="Q2257" i="31"/>
  <c r="Q2258" i="31"/>
  <c r="Q2267" i="31"/>
  <c r="Q2262" i="31"/>
  <c r="Q2264" i="31"/>
  <c r="Q2265" i="31"/>
  <c r="Q2266" i="31"/>
  <c r="Q2272" i="31"/>
  <c r="Q2269" i="31"/>
  <c r="Q2270" i="31"/>
  <c r="Q2229" i="31"/>
  <c r="Q2280" i="31"/>
  <c r="Q2283" i="31"/>
  <c r="Q658" i="31"/>
  <c r="Q2304" i="31"/>
  <c r="Q2278" i="31"/>
  <c r="Q2276" i="31"/>
  <c r="Q2282" i="31"/>
  <c r="Q2279" i="31"/>
  <c r="Q2281" i="31"/>
  <c r="Q2285" i="31"/>
  <c r="Q2288" i="31"/>
  <c r="Q2286" i="31"/>
  <c r="Q2287" i="31"/>
  <c r="Q2291" i="31"/>
  <c r="Q2290" i="31"/>
  <c r="Q2306" i="31"/>
  <c r="Q2309" i="31"/>
  <c r="Q2292" i="31"/>
  <c r="Q2293" i="31"/>
  <c r="Q2294" i="31"/>
  <c r="Q2295" i="31"/>
  <c r="Q2296" i="31"/>
  <c r="Q2298" i="31"/>
  <c r="Q2299" i="31"/>
  <c r="Q2300" i="31"/>
  <c r="Q2301" i="31"/>
  <c r="Q2302" i="31"/>
  <c r="Q2303" i="31"/>
  <c r="Q2305" i="31"/>
  <c r="Q2310" i="31"/>
  <c r="Q2311" i="31"/>
  <c r="Q2313" i="31"/>
  <c r="Q2314" i="31"/>
  <c r="Q2315" i="31"/>
  <c r="Q2316" i="31"/>
  <c r="Q2307" i="31"/>
  <c r="Q2308" i="31"/>
  <c r="Q2312" i="31"/>
  <c r="Q659" i="31"/>
  <c r="Q2317" i="31"/>
  <c r="Q2319" i="31"/>
  <c r="Q2324" i="31"/>
  <c r="Q2326" i="31"/>
  <c r="Q2366" i="31"/>
  <c r="Q2327" i="31"/>
  <c r="Q2318" i="31"/>
  <c r="Q2320" i="31"/>
  <c r="Q2321" i="31"/>
  <c r="Q2322" i="31"/>
  <c r="Q2323" i="31"/>
  <c r="Q2328" i="31"/>
  <c r="Q2329" i="31"/>
  <c r="Q2330" i="31"/>
  <c r="Q2331" i="31"/>
  <c r="Q2336" i="31"/>
  <c r="Q2338" i="31"/>
  <c r="Q2325" i="31"/>
  <c r="Q2332" i="31"/>
  <c r="Q2333" i="31"/>
  <c r="Q2334" i="31"/>
  <c r="Q2335" i="31"/>
  <c r="Q2337" i="31"/>
  <c r="Q2340" i="31"/>
  <c r="Q2346" i="31"/>
  <c r="Q2339" i="31"/>
  <c r="Q2341" i="31"/>
  <c r="Q2342" i="31"/>
  <c r="Q2343" i="31"/>
  <c r="Q2344" i="31"/>
  <c r="Q2345" i="31"/>
  <c r="Q2347" i="31"/>
  <c r="Q2348" i="31"/>
  <c r="Q2349" i="31"/>
  <c r="Q2350" i="31"/>
  <c r="Q2351" i="31"/>
  <c r="Q2357" i="31"/>
  <c r="Q2358" i="31"/>
  <c r="Q2359" i="31"/>
  <c r="Q2368" i="31"/>
  <c r="Q2369" i="31"/>
  <c r="Q2370" i="31"/>
  <c r="Q2353" i="31"/>
  <c r="Q2352" i="31"/>
  <c r="Q2355" i="31"/>
  <c r="Q2354" i="31"/>
  <c r="Q2356" i="31"/>
  <c r="Q2360" i="31"/>
  <c r="Q2361" i="31"/>
  <c r="Q2362" i="31"/>
  <c r="Q2363" i="31"/>
  <c r="Q2364" i="31"/>
  <c r="Q2365" i="31"/>
  <c r="Q2371" i="31"/>
  <c r="Q2372" i="31"/>
  <c r="Q2374" i="31"/>
  <c r="Q660" i="31"/>
  <c r="Q2376" i="31"/>
  <c r="Q2377" i="31"/>
  <c r="Q2379" i="31"/>
  <c r="Q2381" i="31"/>
  <c r="Q2384" i="31"/>
  <c r="Q2385" i="31"/>
  <c r="Q2367" i="31"/>
  <c r="Q2373" i="31"/>
  <c r="Q2375" i="31"/>
  <c r="Q2378" i="31"/>
  <c r="Q2380" i="31"/>
  <c r="Q2388" i="31"/>
  <c r="Q2399" i="31"/>
  <c r="Q2405" i="31"/>
  <c r="Q2412" i="31"/>
  <c r="Q2413" i="31"/>
  <c r="Q2396" i="31"/>
  <c r="Q2428" i="31"/>
  <c r="Q979" i="31"/>
  <c r="Q2444" i="31"/>
  <c r="Q2414" i="31"/>
  <c r="Q2415" i="31"/>
  <c r="Q2416" i="31"/>
  <c r="Q978" i="31"/>
  <c r="Q2420" i="31"/>
  <c r="Q2382" i="31"/>
  <c r="Q2383" i="31"/>
  <c r="Q2386" i="31"/>
  <c r="Q2387" i="31"/>
  <c r="Q2389" i="31"/>
  <c r="Q2390" i="31"/>
  <c r="Q2391" i="31"/>
  <c r="Q2392" i="31"/>
  <c r="Q2393" i="31"/>
  <c r="Q2394" i="31"/>
  <c r="Q2395" i="31"/>
  <c r="Q2397" i="31"/>
  <c r="Q2398" i="31"/>
  <c r="Q2400" i="31"/>
  <c r="Q2401" i="31"/>
  <c r="Q2402" i="31"/>
  <c r="Q2403" i="31"/>
  <c r="Q2404" i="31"/>
  <c r="Q2406" i="31"/>
  <c r="Q2407" i="31"/>
  <c r="Q2408" i="31"/>
  <c r="Q2409" i="31"/>
  <c r="Q2410" i="31"/>
  <c r="Q2411" i="31"/>
  <c r="Q2417" i="31"/>
  <c r="Q2418" i="31"/>
  <c r="Q2419" i="31"/>
  <c r="Q2421" i="31"/>
  <c r="Q2422" i="31"/>
  <c r="Q2423" i="31"/>
  <c r="Q2425" i="31"/>
  <c r="Q2426" i="31"/>
  <c r="Q2427" i="31"/>
  <c r="Q2429" i="31"/>
  <c r="Q2430" i="31"/>
  <c r="Q2431" i="31"/>
  <c r="Q2432" i="31"/>
  <c r="Q2433" i="31"/>
  <c r="Q2434" i="31"/>
  <c r="Q2435" i="31"/>
  <c r="Q2436" i="31"/>
  <c r="Q2437" i="31"/>
  <c r="Q2438" i="31"/>
  <c r="Q2439" i="31"/>
  <c r="Q2440" i="31"/>
  <c r="Q2441" i="31"/>
  <c r="Q2442" i="31"/>
  <c r="Q2424" i="31"/>
  <c r="Q2454" i="31"/>
  <c r="Q2456" i="31"/>
  <c r="Q2460" i="31"/>
  <c r="Q2461" i="31"/>
  <c r="Q2464" i="31"/>
  <c r="Q2468" i="31"/>
  <c r="Q2443" i="31"/>
  <c r="Q2445" i="31"/>
  <c r="Q2446" i="31"/>
  <c r="Q2447" i="31"/>
  <c r="Q2448" i="31"/>
  <c r="Q2449" i="31"/>
  <c r="Q2450" i="31"/>
  <c r="Q2452" i="31"/>
  <c r="Q2455" i="31"/>
  <c r="Q2457" i="31"/>
  <c r="Q2458" i="31"/>
  <c r="Q2459" i="31"/>
  <c r="Q2462" i="31"/>
  <c r="Q2470" i="31"/>
  <c r="Q2451" i="31"/>
  <c r="Q2453" i="31"/>
  <c r="Q2466" i="31"/>
  <c r="Q2471" i="31"/>
  <c r="Q2474" i="31"/>
  <c r="Q2480" i="31"/>
  <c r="Q2481" i="31"/>
  <c r="Q2493" i="31"/>
  <c r="Q2494" i="31"/>
  <c r="Q2501" i="31"/>
  <c r="Q2463" i="31"/>
  <c r="Q2465" i="31"/>
  <c r="Q2467" i="31"/>
  <c r="Q2469" i="31"/>
  <c r="Q2472" i="31"/>
  <c r="Q2473" i="31"/>
  <c r="Q2478" i="31"/>
  <c r="Q2483" i="31"/>
  <c r="Q2484" i="31"/>
  <c r="Q2485" i="31"/>
  <c r="Q2487" i="31"/>
  <c r="Q2489" i="31"/>
  <c r="Q2490" i="31"/>
  <c r="Q2495" i="31"/>
  <c r="Q2496" i="31"/>
  <c r="Q2497" i="31"/>
  <c r="Q2498" i="31"/>
  <c r="Q2499" i="31"/>
  <c r="Q2500" i="31"/>
  <c r="Q2502" i="31"/>
  <c r="Q2503" i="31"/>
  <c r="Q2504" i="31"/>
  <c r="Q2505" i="31"/>
  <c r="Q2507" i="31"/>
  <c r="Q2506" i="31"/>
  <c r="Q2482" i="31"/>
  <c r="Q2486" i="31"/>
  <c r="Q2488" i="31"/>
  <c r="Q2491" i="31"/>
  <c r="Q2492" i="31"/>
  <c r="Q2475" i="31"/>
  <c r="Q2476" i="31"/>
  <c r="Q2477" i="31"/>
  <c r="Q2479" i="31"/>
  <c r="Q2508" i="31"/>
  <c r="Q2512" i="31"/>
  <c r="Q2513" i="31"/>
  <c r="Q2516" i="31"/>
  <c r="Q2521" i="31"/>
  <c r="Q2523" i="31"/>
  <c r="Q2525" i="31"/>
  <c r="Q2526" i="31"/>
  <c r="Q2527" i="31"/>
  <c r="Q2529" i="31"/>
  <c r="Q2530" i="31"/>
  <c r="Q2524" i="31"/>
  <c r="Q2532" i="31"/>
  <c r="Q2541" i="31"/>
  <c r="Q2536" i="31"/>
  <c r="Q2538" i="31"/>
  <c r="Q2543" i="31"/>
  <c r="Q2547" i="31"/>
  <c r="Q2549" i="31"/>
  <c r="Q2604" i="31"/>
  <c r="Q2606" i="31"/>
  <c r="Q2509" i="31"/>
  <c r="Q2510" i="31"/>
  <c r="Q2511" i="31"/>
  <c r="Q2514" i="31"/>
  <c r="Q2515" i="31"/>
  <c r="Q2517" i="31"/>
  <c r="Q2518" i="31"/>
  <c r="Q2519" i="31"/>
  <c r="Q2520" i="31"/>
  <c r="Q2522" i="31"/>
  <c r="Q2528" i="31"/>
  <c r="Q2531" i="31"/>
  <c r="Q2533" i="31"/>
  <c r="Q2534" i="31"/>
  <c r="Q2535" i="31"/>
  <c r="Q2537" i="31"/>
  <c r="Q2539" i="31"/>
  <c r="Q2540" i="31"/>
  <c r="Q2542" i="31"/>
  <c r="Q2544" i="31"/>
  <c r="Q2545" i="31"/>
  <c r="Q2546" i="31"/>
  <c r="Q2548" i="31"/>
  <c r="Q2567" i="31"/>
  <c r="Q2552" i="31"/>
  <c r="Q2553" i="31"/>
  <c r="Q2554" i="31"/>
  <c r="Q2555" i="31"/>
  <c r="Q2556" i="31"/>
  <c r="Q2557" i="31"/>
  <c r="Q2558" i="31"/>
  <c r="Q2559" i="31"/>
  <c r="Q2560" i="31"/>
  <c r="Q2561" i="31"/>
  <c r="Q2562" i="31"/>
  <c r="Q2563" i="31"/>
  <c r="Q2564" i="31"/>
  <c r="Q2565" i="31"/>
  <c r="Q2566" i="31"/>
  <c r="Q2568" i="31"/>
  <c r="Q2569" i="31"/>
  <c r="Q2570" i="31"/>
  <c r="Q2571" i="31"/>
  <c r="Q2572" i="31"/>
  <c r="Q2609" i="31"/>
  <c r="Q2611" i="31"/>
  <c r="Q2579" i="31"/>
  <c r="Q2581" i="31"/>
  <c r="Q2582" i="31"/>
  <c r="Q2583" i="31"/>
  <c r="Q2585" i="31"/>
  <c r="Q2550" i="31"/>
  <c r="Q2551" i="31"/>
  <c r="Q2574" i="31"/>
  <c r="Q2576" i="31"/>
  <c r="Q2613" i="31"/>
  <c r="Q2573" i="31"/>
  <c r="Q2575" i="31"/>
  <c r="Q2577" i="31"/>
  <c r="Q2580" i="31"/>
  <c r="Q2584" i="31"/>
  <c r="Q2586" i="31"/>
  <c r="Q2588" i="31"/>
  <c r="Q2589" i="31"/>
  <c r="Q2590" i="31"/>
  <c r="Q2591" i="31"/>
  <c r="Q2592" i="31"/>
  <c r="Q2596" i="31"/>
  <c r="Q2616" i="31"/>
  <c r="Q2621" i="31"/>
  <c r="Q2625" i="31"/>
  <c r="Q2578" i="31"/>
  <c r="Q2587" i="31"/>
  <c r="Q2593" i="31"/>
  <c r="Q2594" i="31"/>
  <c r="Q2595" i="31"/>
  <c r="Q2597" i="31"/>
  <c r="Q2599" i="31"/>
  <c r="Q2630" i="31"/>
  <c r="Q2626" i="31"/>
  <c r="Q2631" i="31"/>
  <c r="Q2633" i="31"/>
  <c r="Q2598" i="31"/>
  <c r="Q2600" i="31"/>
  <c r="Q2601" i="31"/>
  <c r="Q2602" i="31"/>
  <c r="Q2603" i="31"/>
  <c r="Q2605" i="31"/>
  <c r="Q2607" i="31"/>
  <c r="Q2608" i="31"/>
  <c r="Q2610" i="31"/>
  <c r="Q2612" i="31"/>
  <c r="Q2614" i="31"/>
  <c r="Q2615" i="31"/>
  <c r="Q2617" i="31"/>
  <c r="Q2618" i="31"/>
  <c r="Q2619" i="31"/>
  <c r="Q2620" i="31"/>
  <c r="Q2622" i="31"/>
  <c r="Q2623" i="31"/>
  <c r="Q2624" i="31"/>
  <c r="Q2627" i="31"/>
  <c r="Q2628" i="31"/>
  <c r="Q2629" i="31"/>
  <c r="Q2632" i="31"/>
  <c r="Q2638" i="31"/>
  <c r="Q2639" i="31"/>
  <c r="Q2640" i="31"/>
  <c r="Q2641" i="31"/>
  <c r="Q2642" i="31"/>
  <c r="Q2648" i="31"/>
  <c r="Q2650" i="31"/>
  <c r="Q2651" i="31"/>
  <c r="Q2653" i="31"/>
  <c r="Q2655" i="31"/>
  <c r="Q2634" i="31"/>
  <c r="Q2635" i="31"/>
  <c r="Q2636" i="31"/>
  <c r="Q2637" i="31"/>
  <c r="Q2644" i="31"/>
  <c r="Q2645" i="31"/>
  <c r="Q2646" i="31"/>
  <c r="Q2647" i="31"/>
  <c r="Q2649" i="31"/>
  <c r="Q2652" i="31"/>
  <c r="Q2654" i="31"/>
  <c r="Q2656" i="31"/>
  <c r="Q2657" i="31"/>
  <c r="Q2658" i="31"/>
  <c r="Q2659" i="31"/>
  <c r="Q2660" i="31"/>
  <c r="Q2661" i="31"/>
  <c r="Q2663" i="31"/>
  <c r="Q2665" i="31"/>
  <c r="Q2668" i="31"/>
  <c r="Q2643" i="31"/>
  <c r="Q2662" i="31"/>
  <c r="Q2664" i="31"/>
  <c r="Q2666" i="31"/>
  <c r="Q2667" i="31"/>
  <c r="Q2674" i="31"/>
  <c r="Q2675" i="31"/>
  <c r="Q2679" i="31"/>
  <c r="Q2669" i="31"/>
  <c r="Q2670" i="31"/>
  <c r="Q2671" i="31"/>
  <c r="Q2672" i="31"/>
  <c r="Q2677" i="31"/>
  <c r="Q2678" i="31"/>
  <c r="Q2681" i="31"/>
  <c r="Q2682" i="31"/>
  <c r="Q2683" i="31"/>
  <c r="Q2684" i="31"/>
  <c r="Q2673" i="31"/>
  <c r="Q2676" i="31"/>
  <c r="Q2680" i="31"/>
  <c r="Q2686" i="31"/>
  <c r="Q2685" i="31"/>
  <c r="Q2687" i="31"/>
  <c r="Q2688" i="31"/>
  <c r="Q2689" i="31"/>
  <c r="Q2690" i="31"/>
  <c r="Q2693" i="31"/>
  <c r="Q2691" i="31"/>
  <c r="Q2692" i="31"/>
  <c r="Q2694" i="31"/>
  <c r="Q2695" i="31"/>
  <c r="Q2696" i="31"/>
  <c r="Q2697" i="31"/>
  <c r="Q2698" i="31"/>
  <c r="Q2701" i="31"/>
  <c r="Q2702" i="31"/>
  <c r="Q2703" i="31"/>
  <c r="Q2704" i="31"/>
  <c r="Q2705" i="31"/>
  <c r="Q2699" i="31"/>
  <c r="Q2700" i="31"/>
  <c r="Q2706" i="31"/>
  <c r="Q2712" i="31"/>
  <c r="Q2714" i="31"/>
  <c r="Q2715" i="31"/>
  <c r="Q2717" i="31"/>
  <c r="Q2718" i="31"/>
  <c r="Q2707" i="31"/>
  <c r="Q2708" i="31"/>
  <c r="Q2709" i="31"/>
  <c r="Q2710" i="31"/>
  <c r="Q2711" i="31"/>
  <c r="Q2713" i="31"/>
  <c r="Q2716" i="31"/>
  <c r="Q2727" i="31"/>
  <c r="Q2728" i="31"/>
  <c r="Q2730" i="31"/>
  <c r="Q2731" i="31"/>
  <c r="Q2732" i="31"/>
  <c r="Q2733" i="31"/>
  <c r="Q2720" i="31"/>
  <c r="Q2722" i="31"/>
  <c r="Q2724" i="31"/>
  <c r="Q2725" i="31"/>
  <c r="Q2726" i="31"/>
  <c r="Q2729" i="31"/>
  <c r="Q2719" i="31"/>
  <c r="Q2721" i="31"/>
  <c r="Q2723" i="31"/>
  <c r="Q2735" i="31"/>
  <c r="Q2739" i="31"/>
  <c r="Q2744" i="31"/>
  <c r="Q2745" i="31"/>
  <c r="Q2748" i="31"/>
  <c r="Q2749" i="31"/>
  <c r="Q2750" i="31"/>
  <c r="Q2752" i="31"/>
  <c r="Q2754" i="31"/>
  <c r="Q2755" i="31"/>
  <c r="Q2734" i="31"/>
  <c r="Q2736" i="31"/>
  <c r="Q2737" i="31"/>
  <c r="Q2738" i="31"/>
  <c r="Q2740" i="31"/>
  <c r="Q2741" i="31"/>
  <c r="Q2742" i="31"/>
  <c r="Q2743" i="31"/>
  <c r="Q2746" i="31"/>
  <c r="Q2747" i="31"/>
  <c r="Q2751" i="31"/>
  <c r="Q2753" i="31"/>
  <c r="Q2756" i="31"/>
  <c r="Q2757" i="31"/>
  <c r="Q2758" i="31"/>
  <c r="Q2759" i="31"/>
  <c r="Q2760" i="31"/>
  <c r="Q2761" i="31"/>
  <c r="Q2762" i="31"/>
  <c r="Q2763" i="31"/>
  <c r="Q2764" i="31"/>
  <c r="Q2765" i="31"/>
  <c r="Q2767" i="31"/>
  <c r="Q2768" i="31"/>
  <c r="Q2769" i="31"/>
  <c r="Q2770" i="31"/>
  <c r="Q2771" i="31"/>
  <c r="Q2772" i="31"/>
  <c r="Q2773" i="31"/>
  <c r="Q2774" i="31"/>
  <c r="Q2775" i="31"/>
  <c r="Q2776" i="31"/>
  <c r="Q2778" i="31"/>
  <c r="Q2779" i="31"/>
  <c r="Q2780" i="31"/>
  <c r="Q2782" i="31"/>
  <c r="Q2783" i="31"/>
  <c r="Q2784" i="31"/>
  <c r="Q2785" i="31"/>
  <c r="Q2786" i="31"/>
  <c r="Q2787" i="31"/>
  <c r="Q2790" i="31"/>
  <c r="Q2791" i="31"/>
  <c r="Q2792" i="31"/>
  <c r="Q2793" i="31"/>
  <c r="Q2794" i="31"/>
  <c r="Q2800" i="31"/>
  <c r="Q2802" i="31"/>
  <c r="Q2803" i="31"/>
  <c r="Q2795" i="31"/>
  <c r="Q2797" i="31"/>
  <c r="Q2798" i="31"/>
  <c r="Q2799" i="31"/>
  <c r="Q2806" i="31"/>
  <c r="Q2808" i="31"/>
  <c r="Q2810" i="31"/>
  <c r="Q2812" i="31"/>
  <c r="Q2813" i="31"/>
  <c r="Q2781" i="31"/>
  <c r="Q2789" i="31"/>
  <c r="Q2820" i="31"/>
  <c r="Q2821" i="31"/>
  <c r="Q2828" i="31"/>
  <c r="Q2766" i="31"/>
  <c r="Q2777" i="31"/>
  <c r="Q2788" i="31"/>
  <c r="Q2796" i="31"/>
  <c r="Q2801" i="31"/>
  <c r="Q2804" i="31"/>
  <c r="Q2805" i="31"/>
  <c r="Q2807" i="31"/>
  <c r="Q2809" i="31"/>
  <c r="Q2811" i="31"/>
  <c r="Q2815" i="31"/>
  <c r="Q2816" i="31"/>
  <c r="Q2819" i="31"/>
  <c r="Q2822" i="31"/>
  <c r="Q2833" i="31"/>
  <c r="Q2814" i="31"/>
  <c r="Q2817" i="31"/>
  <c r="Q2818" i="31"/>
  <c r="Q2823" i="31"/>
  <c r="Q2824" i="31"/>
  <c r="Q2825" i="31"/>
  <c r="Q2826" i="31"/>
  <c r="Q2827" i="31"/>
  <c r="Q2856" i="31"/>
  <c r="Q2943" i="31"/>
  <c r="Q2944" i="31"/>
  <c r="Q2945" i="31"/>
  <c r="Q2946" i="31"/>
  <c r="Q2829" i="31"/>
  <c r="Q2849" i="31"/>
  <c r="Q2834" i="31"/>
  <c r="Q2835" i="31"/>
  <c r="Q2836" i="31"/>
  <c r="Q2837" i="31"/>
  <c r="Q2838" i="31"/>
  <c r="Q2839" i="31"/>
  <c r="Q2840" i="31"/>
  <c r="Q2841" i="31"/>
  <c r="Q2842" i="31"/>
  <c r="Q2843" i="31"/>
  <c r="Q2844" i="31"/>
  <c r="Q2845" i="31"/>
  <c r="Q2846" i="31"/>
  <c r="Q2847" i="31"/>
  <c r="Q2848" i="31"/>
  <c r="Q2850" i="31"/>
  <c r="Q2851" i="31"/>
  <c r="Q2852" i="31"/>
  <c r="Q2853" i="31"/>
  <c r="Q2855" i="31"/>
  <c r="Q2857" i="31"/>
  <c r="Q2858" i="31"/>
  <c r="Q2859" i="31"/>
  <c r="Q2860" i="31"/>
  <c r="Q2861" i="31"/>
  <c r="Q2862" i="31"/>
  <c r="Q2863" i="31"/>
  <c r="Q2864" i="31"/>
  <c r="Q2865" i="31"/>
  <c r="Q2866" i="31"/>
  <c r="Q2867" i="31"/>
  <c r="Q2868" i="31"/>
  <c r="Q2869" i="31"/>
  <c r="Q2870" i="31"/>
  <c r="Q2871" i="31"/>
  <c r="Q2872" i="31"/>
  <c r="Q2873" i="31"/>
  <c r="Q2874" i="31"/>
  <c r="Q2875" i="31"/>
  <c r="Q2876" i="31"/>
  <c r="Q2877" i="31"/>
  <c r="Q2878" i="31"/>
  <c r="Q2879" i="31"/>
  <c r="Q2880" i="31"/>
  <c r="Q2881" i="31"/>
  <c r="Q2882" i="31"/>
  <c r="Q2883" i="31"/>
  <c r="Q2884" i="31"/>
  <c r="Q2885" i="31"/>
  <c r="Q2886" i="31"/>
  <c r="Q2887" i="31"/>
  <c r="Q2888" i="31"/>
  <c r="Q2889" i="31"/>
  <c r="Q2890" i="31"/>
  <c r="Q2891" i="31"/>
  <c r="Q2892" i="31"/>
  <c r="Q2893" i="31"/>
  <c r="Q2894" i="31"/>
  <c r="Q2895" i="31"/>
  <c r="Q2896" i="31"/>
  <c r="Q2897" i="31"/>
  <c r="Q2898" i="31"/>
  <c r="Q2899" i="31"/>
  <c r="Q2900" i="31"/>
  <c r="Q2901" i="31"/>
  <c r="Q2902" i="31"/>
  <c r="Q2903" i="31"/>
  <c r="Q2904" i="31"/>
  <c r="Q2905" i="31"/>
  <c r="Q2906" i="31"/>
  <c r="Q2907" i="31"/>
  <c r="Q2908" i="31"/>
  <c r="Q2909" i="31"/>
  <c r="Q2910" i="31"/>
  <c r="Q2911" i="31"/>
  <c r="Q2912" i="31"/>
  <c r="Q2913" i="31"/>
  <c r="Q2914" i="31"/>
  <c r="Q2915" i="31"/>
  <c r="Q2916" i="31"/>
  <c r="Q2917" i="31"/>
  <c r="Q2918" i="31"/>
  <c r="Q2919" i="31"/>
  <c r="Q2920" i="31"/>
  <c r="Q2921" i="31"/>
  <c r="Q2922" i="31"/>
  <c r="Q2923" i="31"/>
  <c r="Q2924" i="31"/>
  <c r="Q2925" i="31"/>
  <c r="Q2926" i="31"/>
  <c r="Q2927" i="31"/>
  <c r="Q2928" i="31"/>
  <c r="Q2929" i="31"/>
  <c r="Q2930" i="31"/>
  <c r="Q2931" i="31"/>
  <c r="Q2932" i="31"/>
  <c r="Q2933" i="31"/>
  <c r="Q2934" i="31"/>
  <c r="Q2935" i="31"/>
  <c r="Q2936" i="31"/>
  <c r="Q2937" i="31"/>
  <c r="Q2938" i="31"/>
  <c r="Q2939" i="31"/>
  <c r="Q2940" i="31"/>
  <c r="Q2941" i="31"/>
  <c r="Q2942" i="31"/>
  <c r="Q2830" i="31"/>
  <c r="Q2831" i="31"/>
  <c r="Q2832" i="31"/>
  <c r="Q2854" i="31"/>
  <c r="Q2947" i="31"/>
  <c r="Q2948" i="31"/>
  <c r="Q2949" i="31"/>
  <c r="Q2950" i="31"/>
  <c r="Q2951" i="31"/>
  <c r="Q2952" i="31"/>
  <c r="Q2953" i="31"/>
  <c r="Q2954" i="31"/>
  <c r="Q2955" i="31"/>
  <c r="Q2956" i="31"/>
  <c r="Q2957" i="31"/>
  <c r="Q2958" i="31"/>
  <c r="Q2959" i="31"/>
  <c r="Q2960" i="31"/>
  <c r="Q2961" i="31"/>
  <c r="Q2962" i="31"/>
  <c r="Q2963" i="31"/>
  <c r="Q2971" i="31"/>
  <c r="Q2964" i="31"/>
  <c r="Q2965" i="31"/>
  <c r="Q2966" i="31"/>
  <c r="Q2967" i="31"/>
  <c r="Q2968" i="31"/>
  <c r="Q2969" i="31"/>
  <c r="Q2970" i="31"/>
  <c r="Q2972" i="31"/>
  <c r="Q2973" i="31"/>
  <c r="Q2974" i="31"/>
  <c r="Q2975" i="31"/>
  <c r="Q2976" i="31"/>
  <c r="Q2977" i="31"/>
  <c r="Q2978" i="31"/>
  <c r="Q2979" i="31"/>
  <c r="Q2980" i="31"/>
  <c r="Q2981" i="31"/>
  <c r="Q2982" i="31"/>
  <c r="Q2983" i="31"/>
  <c r="Q2984" i="31"/>
  <c r="Q2985" i="31"/>
  <c r="Q2986" i="31"/>
  <c r="Q3019" i="31"/>
  <c r="Q2987" i="31"/>
  <c r="Q2988" i="31"/>
  <c r="Q2989" i="31"/>
  <c r="Q2990" i="31"/>
  <c r="Q2991" i="31"/>
  <c r="Q2992" i="31"/>
  <c r="Q2993" i="31"/>
  <c r="Q2994" i="31"/>
  <c r="Q2995" i="31"/>
  <c r="Q2996" i="31"/>
  <c r="Q2997" i="31"/>
  <c r="Q2999" i="31"/>
  <c r="Q3000" i="31"/>
  <c r="Q3001" i="31"/>
  <c r="Q3002" i="31"/>
  <c r="Q3003" i="31"/>
  <c r="Q3004" i="31"/>
  <c r="Q3005" i="31"/>
  <c r="Q3006" i="31"/>
  <c r="Q3007" i="31"/>
  <c r="Q3008" i="31"/>
  <c r="Q3009" i="31"/>
  <c r="Q3010" i="31"/>
  <c r="Q3011" i="31"/>
  <c r="Q3012" i="31"/>
  <c r="Q3013" i="31"/>
  <c r="Q3014" i="31"/>
  <c r="Q3015" i="31"/>
  <c r="Q3016" i="31"/>
  <c r="Q3017" i="31"/>
  <c r="Q3018" i="31"/>
  <c r="Q3041" i="31"/>
  <c r="Q3020" i="31"/>
  <c r="Q3021" i="31"/>
  <c r="Q3022" i="31"/>
  <c r="Q3023" i="31"/>
  <c r="Q3024" i="31"/>
  <c r="Q3025" i="31"/>
  <c r="Q3026" i="31"/>
  <c r="Q3027" i="31"/>
  <c r="Q3028" i="31"/>
  <c r="Q3029" i="31"/>
  <c r="Q3030" i="31"/>
  <c r="Q3031" i="31"/>
  <c r="Q3032" i="31"/>
  <c r="Q3033" i="31"/>
  <c r="Q3034" i="31"/>
  <c r="Q3035" i="31"/>
  <c r="Q3036" i="31"/>
  <c r="Q3037" i="31"/>
  <c r="Q3038" i="31"/>
  <c r="Q3039" i="31"/>
  <c r="Q3040" i="31"/>
  <c r="Q3042" i="31"/>
  <c r="Q3043" i="31"/>
  <c r="Q3044" i="31"/>
  <c r="Q3045" i="31"/>
  <c r="Q3046" i="31"/>
  <c r="Q3047" i="31"/>
  <c r="Q3048" i="31"/>
  <c r="Q3066" i="31"/>
  <c r="Q3049" i="31"/>
  <c r="Q3050" i="31"/>
  <c r="Q3051" i="31"/>
  <c r="Q3052" i="31"/>
  <c r="Q3053" i="31"/>
  <c r="Q3054" i="31"/>
  <c r="Q3055" i="31"/>
  <c r="Q3056" i="31"/>
  <c r="Q3057" i="31"/>
  <c r="Q3058" i="31"/>
  <c r="Q3059" i="31"/>
  <c r="Q3060" i="31"/>
  <c r="Q3061" i="31"/>
  <c r="Q3062" i="31"/>
  <c r="Q3063" i="31"/>
  <c r="Q3064" i="31"/>
  <c r="Q3065" i="31"/>
  <c r="Q1037" i="31"/>
  <c r="Q3067" i="31"/>
  <c r="Q3068" i="31"/>
  <c r="Q3069" i="31"/>
  <c r="Q3070" i="31"/>
  <c r="Q3071" i="31"/>
  <c r="Q3072" i="31"/>
  <c r="Q3073" i="31"/>
  <c r="Q3074" i="31"/>
  <c r="Q3075" i="31"/>
  <c r="Q3076" i="31"/>
  <c r="Q3077" i="31"/>
  <c r="Q3078" i="31"/>
  <c r="Q3079" i="31"/>
  <c r="Q3080" i="31"/>
  <c r="Q3081" i="31"/>
  <c r="Q3082" i="31"/>
  <c r="Q3083" i="31"/>
  <c r="Q3084" i="31"/>
  <c r="Q3085" i="31"/>
  <c r="Q3086" i="31"/>
  <c r="Q3087" i="31"/>
  <c r="Q3088" i="31"/>
  <c r="Q3089" i="31"/>
  <c r="Q3090" i="31"/>
  <c r="Q3095" i="31"/>
  <c r="Q3091" i="31"/>
  <c r="Q3092" i="31"/>
  <c r="Q3093" i="31"/>
  <c r="Q3094" i="31"/>
  <c r="Q3096" i="31"/>
  <c r="Q3097" i="31"/>
  <c r="Q3098" i="31"/>
  <c r="Q3099" i="31"/>
  <c r="Q3100" i="31"/>
  <c r="Q3101" i="31"/>
  <c r="Q3102" i="31"/>
  <c r="Q3103" i="31"/>
  <c r="Q3104" i="31"/>
  <c r="Q3105" i="31"/>
  <c r="Q3106" i="31"/>
  <c r="Q2" i="31"/>
  <c r="P520" i="31"/>
  <c r="P3" i="31"/>
  <c r="P4" i="31"/>
  <c r="P5" i="31"/>
  <c r="P6" i="31"/>
  <c r="P7" i="31"/>
  <c r="P8" i="31"/>
  <c r="P9" i="31"/>
  <c r="P10" i="31"/>
  <c r="P11" i="31"/>
  <c r="P12" i="31"/>
  <c r="P13" i="31"/>
  <c r="P14" i="31"/>
  <c r="P15" i="31"/>
  <c r="P16" i="31"/>
  <c r="P17" i="31"/>
  <c r="P18" i="31"/>
  <c r="P19" i="31"/>
  <c r="P20" i="31"/>
  <c r="P21" i="31"/>
  <c r="P22" i="31"/>
  <c r="P23" i="31"/>
  <c r="P24" i="31"/>
  <c r="P25" i="31"/>
  <c r="P26" i="31"/>
  <c r="P27" i="31"/>
  <c r="P28" i="31"/>
  <c r="P29" i="31"/>
  <c r="P30" i="31"/>
  <c r="P31" i="31"/>
  <c r="P32" i="31"/>
  <c r="P33" i="31"/>
  <c r="P34" i="31"/>
  <c r="P35" i="31"/>
  <c r="P36" i="31"/>
  <c r="P37" i="31"/>
  <c r="P38" i="31"/>
  <c r="P39" i="31"/>
  <c r="P40" i="31"/>
  <c r="P41" i="31"/>
  <c r="P42" i="31"/>
  <c r="P43" i="31"/>
  <c r="P44" i="31"/>
  <c r="P45" i="31"/>
  <c r="P46" i="31"/>
  <c r="P47" i="31"/>
  <c r="P48" i="31"/>
  <c r="P49" i="31"/>
  <c r="P50" i="31"/>
  <c r="P51" i="31"/>
  <c r="P52" i="31"/>
  <c r="P53" i="31"/>
  <c r="P54" i="31"/>
  <c r="P55" i="31"/>
  <c r="P56" i="31"/>
  <c r="P57" i="31"/>
  <c r="P58" i="31"/>
  <c r="P59" i="31"/>
  <c r="P60" i="31"/>
  <c r="P61" i="31"/>
  <c r="P62" i="31"/>
  <c r="P63" i="31"/>
  <c r="P64" i="31"/>
  <c r="P65" i="31"/>
  <c r="P66" i="31"/>
  <c r="P67" i="31"/>
  <c r="P68" i="31"/>
  <c r="P69" i="31"/>
  <c r="P70" i="31"/>
  <c r="P71" i="31"/>
  <c r="P72" i="31"/>
  <c r="P73" i="31"/>
  <c r="P75" i="31"/>
  <c r="P76" i="31"/>
  <c r="P77" i="31"/>
  <c r="P78" i="31"/>
  <c r="P79" i="31"/>
  <c r="P80" i="31"/>
  <c r="P81" i="31"/>
  <c r="P82" i="31"/>
  <c r="P83" i="31"/>
  <c r="P84" i="31"/>
  <c r="P85" i="31"/>
  <c r="P86" i="31"/>
  <c r="P87" i="31"/>
  <c r="P88" i="31"/>
  <c r="P89" i="31"/>
  <c r="P90" i="31"/>
  <c r="P91" i="31"/>
  <c r="P92" i="31"/>
  <c r="P93" i="31"/>
  <c r="P94" i="31"/>
  <c r="P74" i="31"/>
  <c r="P95" i="31"/>
  <c r="P96" i="31"/>
  <c r="P97" i="31"/>
  <c r="P98" i="31"/>
  <c r="P99" i="31"/>
  <c r="P100" i="31"/>
  <c r="P101" i="31"/>
  <c r="P102" i="31"/>
  <c r="P103" i="31"/>
  <c r="P104" i="31"/>
  <c r="P105" i="31"/>
  <c r="P106" i="31"/>
  <c r="P107" i="31"/>
  <c r="P108" i="31"/>
  <c r="P109" i="31"/>
  <c r="P110" i="31"/>
  <c r="P111" i="31"/>
  <c r="P112" i="31"/>
  <c r="P113" i="31"/>
  <c r="P114" i="31"/>
  <c r="P115" i="31"/>
  <c r="P116" i="31"/>
  <c r="P117" i="31"/>
  <c r="P118" i="31"/>
  <c r="P119" i="31"/>
  <c r="P120" i="31"/>
  <c r="P121" i="31"/>
  <c r="P122" i="31"/>
  <c r="P123" i="31"/>
  <c r="P124" i="31"/>
  <c r="P125" i="31"/>
  <c r="P126" i="31"/>
  <c r="P127" i="31"/>
  <c r="P128" i="31"/>
  <c r="P129" i="31"/>
  <c r="P130" i="31"/>
  <c r="P131" i="31"/>
  <c r="P132" i="31"/>
  <c r="P133" i="31"/>
  <c r="P134" i="31"/>
  <c r="P135" i="31"/>
  <c r="P136" i="31"/>
  <c r="P137" i="31"/>
  <c r="P138" i="31"/>
  <c r="P139" i="31"/>
  <c r="P140" i="31"/>
  <c r="P141" i="31"/>
  <c r="P142" i="31"/>
  <c r="P143" i="31"/>
  <c r="P144" i="31"/>
  <c r="P145" i="31"/>
  <c r="P146" i="31"/>
  <c r="P147" i="31"/>
  <c r="P148" i="31"/>
  <c r="P149" i="31"/>
  <c r="P150" i="31"/>
  <c r="P151" i="31"/>
  <c r="P152" i="31"/>
  <c r="P153" i="31"/>
  <c r="P154" i="31"/>
  <c r="P155" i="31"/>
  <c r="P156" i="31"/>
  <c r="P157" i="31"/>
  <c r="P158" i="31"/>
  <c r="P159" i="31"/>
  <c r="P160" i="31"/>
  <c r="P161" i="31"/>
  <c r="P162" i="31"/>
  <c r="P163" i="31"/>
  <c r="P164" i="31"/>
  <c r="P165" i="31"/>
  <c r="P166" i="31"/>
  <c r="P167" i="31"/>
  <c r="P168" i="31"/>
  <c r="P169" i="31"/>
  <c r="P170" i="31"/>
  <c r="P171" i="31"/>
  <c r="P172" i="31"/>
  <c r="P173" i="31"/>
  <c r="P174" i="31"/>
  <c r="P175" i="31"/>
  <c r="P176" i="31"/>
  <c r="P177" i="31"/>
  <c r="P178" i="31"/>
  <c r="P179" i="31"/>
  <c r="P180" i="31"/>
  <c r="P181" i="31"/>
  <c r="P182" i="31"/>
  <c r="P183" i="31"/>
  <c r="P184" i="31"/>
  <c r="P185" i="31"/>
  <c r="P186" i="31"/>
  <c r="P187" i="31"/>
  <c r="P188" i="31"/>
  <c r="P189" i="31"/>
  <c r="P190" i="31"/>
  <c r="P191" i="31"/>
  <c r="P192" i="31"/>
  <c r="P193" i="31"/>
  <c r="P194" i="31"/>
  <c r="P195" i="31"/>
  <c r="P196" i="31"/>
  <c r="P197" i="31"/>
  <c r="P198" i="31"/>
  <c r="P199" i="31"/>
  <c r="P200" i="31"/>
  <c r="P210" i="31"/>
  <c r="P201" i="31"/>
  <c r="P202" i="31"/>
  <c r="P203" i="31"/>
  <c r="P204" i="31"/>
  <c r="P205" i="31"/>
  <c r="P206" i="31"/>
  <c r="P207" i="31"/>
  <c r="P208" i="31"/>
  <c r="P209" i="31"/>
  <c r="P224" i="31"/>
  <c r="P211" i="31"/>
  <c r="P212" i="31"/>
  <c r="P213" i="31"/>
  <c r="P214" i="31"/>
  <c r="P215" i="31"/>
  <c r="P216" i="31"/>
  <c r="P217" i="31"/>
  <c r="P218" i="31"/>
  <c r="P219" i="31"/>
  <c r="P220" i="31"/>
  <c r="P221" i="31"/>
  <c r="P222" i="31"/>
  <c r="P223" i="31"/>
  <c r="P225" i="31"/>
  <c r="P226" i="31"/>
  <c r="P227" i="31"/>
  <c r="P228" i="31"/>
  <c r="P229" i="31"/>
  <c r="P230" i="31"/>
  <c r="P231" i="31"/>
  <c r="P232" i="31"/>
  <c r="P233" i="31"/>
  <c r="P234" i="31"/>
  <c r="P235" i="31"/>
  <c r="P236" i="31"/>
  <c r="P237" i="31"/>
  <c r="P238" i="31"/>
  <c r="P239" i="31"/>
  <c r="P240" i="31"/>
  <c r="P241" i="31"/>
  <c r="P242" i="31"/>
  <c r="P243" i="31"/>
  <c r="P244" i="31"/>
  <c r="P245" i="31"/>
  <c r="P246" i="31"/>
  <c r="P247" i="31"/>
  <c r="P248" i="31"/>
  <c r="P249" i="31"/>
  <c r="P250" i="31"/>
  <c r="P251" i="31"/>
  <c r="P252" i="31"/>
  <c r="P253" i="31"/>
  <c r="P254" i="31"/>
  <c r="P255" i="31"/>
  <c r="P256" i="31"/>
  <c r="P257" i="31"/>
  <c r="P258" i="31"/>
  <c r="P259" i="31"/>
  <c r="P260" i="31"/>
  <c r="P261" i="31"/>
  <c r="P262" i="31"/>
  <c r="P263" i="31"/>
  <c r="P264" i="31"/>
  <c r="P265" i="31"/>
  <c r="P266" i="31"/>
  <c r="P267" i="31"/>
  <c r="P268" i="31"/>
  <c r="P269" i="31"/>
  <c r="P270" i="31"/>
  <c r="P271" i="31"/>
  <c r="P272" i="31"/>
  <c r="P273" i="31"/>
  <c r="P274" i="31"/>
  <c r="P275" i="31"/>
  <c r="P276" i="31"/>
  <c r="P277" i="31"/>
  <c r="P278" i="31"/>
  <c r="P279" i="31"/>
  <c r="P280" i="31"/>
  <c r="P281" i="31"/>
  <c r="P292" i="31"/>
  <c r="P282" i="31"/>
  <c r="P283" i="31"/>
  <c r="P284" i="31"/>
  <c r="P285" i="31"/>
  <c r="P286" i="31"/>
  <c r="P287" i="31"/>
  <c r="P288" i="31"/>
  <c r="P289" i="31"/>
  <c r="P290" i="31"/>
  <c r="P291" i="31"/>
  <c r="P293" i="31"/>
  <c r="P294" i="31"/>
  <c r="P295" i="31"/>
  <c r="P296" i="31"/>
  <c r="P297" i="31"/>
  <c r="P298" i="31"/>
  <c r="P299" i="31"/>
  <c r="P300" i="31"/>
  <c r="P301" i="31"/>
  <c r="P302" i="31"/>
  <c r="P303" i="31"/>
  <c r="P304" i="31"/>
  <c r="P305" i="31"/>
  <c r="P306" i="31"/>
  <c r="P307" i="31"/>
  <c r="P308" i="31"/>
  <c r="P309" i="31"/>
  <c r="P310" i="31"/>
  <c r="P311" i="31"/>
  <c r="P312" i="31"/>
  <c r="P313" i="31"/>
  <c r="P314" i="31"/>
  <c r="P315" i="31"/>
  <c r="P316" i="31"/>
  <c r="P317" i="31"/>
  <c r="P318" i="31"/>
  <c r="P319" i="31"/>
  <c r="P320" i="31"/>
  <c r="P321" i="31"/>
  <c r="P322" i="31"/>
  <c r="P323" i="31"/>
  <c r="P324" i="31"/>
  <c r="P325" i="31"/>
  <c r="P326" i="31"/>
  <c r="P327" i="31"/>
  <c r="P328" i="31"/>
  <c r="P329" i="31"/>
  <c r="P330" i="31"/>
  <c r="P331" i="31"/>
  <c r="P332" i="31"/>
  <c r="P333" i="31"/>
  <c r="P339" i="31"/>
  <c r="P334" i="31"/>
  <c r="P335" i="31"/>
  <c r="P336" i="31"/>
  <c r="P337" i="31"/>
  <c r="P338" i="31"/>
  <c r="P340" i="31"/>
  <c r="P341" i="31"/>
  <c r="P342" i="31"/>
  <c r="P343" i="31"/>
  <c r="P344" i="31"/>
  <c r="P345" i="31"/>
  <c r="P346" i="31"/>
  <c r="P347" i="31"/>
  <c r="P348" i="31"/>
  <c r="P349" i="31"/>
  <c r="P350" i="31"/>
  <c r="P351" i="31"/>
  <c r="P352" i="31"/>
  <c r="P353" i="31"/>
  <c r="P354" i="31"/>
  <c r="P355" i="31"/>
  <c r="P356" i="31"/>
  <c r="P357" i="31"/>
  <c r="P358" i="31"/>
  <c r="P359" i="31"/>
  <c r="P360" i="31"/>
  <c r="P361" i="31"/>
  <c r="P362" i="31"/>
  <c r="P363" i="31"/>
  <c r="P364" i="31"/>
  <c r="P365" i="31"/>
  <c r="P366" i="31"/>
  <c r="P367" i="31"/>
  <c r="P368" i="31"/>
  <c r="P369" i="31"/>
  <c r="P370" i="31"/>
  <c r="P371" i="31"/>
  <c r="P372" i="31"/>
  <c r="P373" i="31"/>
  <c r="P374" i="31"/>
  <c r="P375" i="31"/>
  <c r="P376" i="31"/>
  <c r="P377" i="31"/>
  <c r="P378" i="31"/>
  <c r="P379" i="31"/>
  <c r="P380" i="31"/>
  <c r="P381" i="31"/>
  <c r="P382" i="31"/>
  <c r="P383" i="31"/>
  <c r="P384" i="31"/>
  <c r="P385" i="31"/>
  <c r="P386" i="31"/>
  <c r="P387" i="31"/>
  <c r="P388" i="31"/>
  <c r="P389" i="31"/>
  <c r="P393" i="31"/>
  <c r="P390" i="31"/>
  <c r="P391" i="31"/>
  <c r="P392" i="31"/>
  <c r="P396" i="31"/>
  <c r="P394" i="31"/>
  <c r="P395" i="31"/>
  <c r="P397" i="31"/>
  <c r="P401" i="31"/>
  <c r="P398" i="31"/>
  <c r="P399" i="31"/>
  <c r="P400" i="31"/>
  <c r="P402" i="31"/>
  <c r="P403" i="31"/>
  <c r="P404" i="31"/>
  <c r="P405" i="31"/>
  <c r="P406" i="31"/>
  <c r="P407" i="31"/>
  <c r="P408" i="31"/>
  <c r="P409" i="31"/>
  <c r="P410" i="31"/>
  <c r="P411" i="31"/>
  <c r="P412" i="31"/>
  <c r="P413" i="31"/>
  <c r="P414" i="31"/>
  <c r="P417" i="31"/>
  <c r="P418" i="31"/>
  <c r="P419" i="31"/>
  <c r="P421" i="31"/>
  <c r="P422" i="31"/>
  <c r="P426" i="31"/>
  <c r="P427" i="31"/>
  <c r="P428" i="31"/>
  <c r="P429" i="31"/>
  <c r="P431" i="31"/>
  <c r="P432" i="31"/>
  <c r="P433" i="31"/>
  <c r="P434" i="31"/>
  <c r="P435" i="31"/>
  <c r="P436" i="31"/>
  <c r="P437" i="31"/>
  <c r="P438" i="31"/>
  <c r="P439" i="31"/>
  <c r="P441" i="31"/>
  <c r="P415" i="31"/>
  <c r="P416" i="31"/>
  <c r="P420" i="31"/>
  <c r="P423" i="31"/>
  <c r="P424" i="31"/>
  <c r="P425" i="31"/>
  <c r="P430" i="31"/>
  <c r="P440" i="31"/>
  <c r="P442" i="31"/>
  <c r="P443" i="31"/>
  <c r="P444" i="31"/>
  <c r="P445" i="31"/>
  <c r="P448" i="31"/>
  <c r="P446" i="31"/>
  <c r="P447" i="31"/>
  <c r="P450" i="31"/>
  <c r="P449" i="31"/>
  <c r="P455" i="31"/>
  <c r="P451" i="31"/>
  <c r="P452" i="31"/>
  <c r="P453" i="31"/>
  <c r="P454" i="31"/>
  <c r="P456" i="31"/>
  <c r="P458" i="31"/>
  <c r="P457" i="31"/>
  <c r="P459" i="31"/>
  <c r="P460" i="31"/>
  <c r="P461" i="31"/>
  <c r="P462" i="31"/>
  <c r="P463" i="31"/>
  <c r="P464" i="31"/>
  <c r="P465" i="31"/>
  <c r="P466" i="31"/>
  <c r="P467" i="31"/>
  <c r="P468" i="31"/>
  <c r="P469" i="31"/>
  <c r="P470" i="31"/>
  <c r="P471" i="31"/>
  <c r="P472" i="31"/>
  <c r="P473" i="31"/>
  <c r="P474" i="31"/>
  <c r="P480" i="31"/>
  <c r="P475" i="31"/>
  <c r="P476" i="31"/>
  <c r="P477" i="31"/>
  <c r="P481" i="31"/>
  <c r="P483" i="31"/>
  <c r="P482" i="31"/>
  <c r="P485" i="31"/>
  <c r="P486" i="31"/>
  <c r="P487" i="31"/>
  <c r="P478" i="31"/>
  <c r="P479" i="31"/>
  <c r="P484" i="31"/>
  <c r="P488" i="31"/>
  <c r="P492" i="31"/>
  <c r="P493" i="31"/>
  <c r="P489" i="31"/>
  <c r="P490" i="31"/>
  <c r="P491" i="31"/>
  <c r="P494" i="31"/>
  <c r="P495" i="31"/>
  <c r="P496" i="31"/>
  <c r="P498" i="31"/>
  <c r="P500" i="31"/>
  <c r="P505" i="31"/>
  <c r="P508" i="31"/>
  <c r="P509" i="31"/>
  <c r="P511" i="31"/>
  <c r="P514" i="31"/>
  <c r="P517" i="31"/>
  <c r="P497" i="31"/>
  <c r="P499" i="31"/>
  <c r="P501" i="31"/>
  <c r="P502" i="31"/>
  <c r="P503" i="31"/>
  <c r="P504" i="31"/>
  <c r="P506" i="31"/>
  <c r="P507" i="31"/>
  <c r="P510" i="31"/>
  <c r="P512" i="31"/>
  <c r="P513" i="31"/>
  <c r="P515" i="31"/>
  <c r="P516" i="31"/>
  <c r="P526" i="31"/>
  <c r="P518" i="31"/>
  <c r="P519" i="31"/>
  <c r="P522" i="31"/>
  <c r="P524" i="31"/>
  <c r="P525" i="31"/>
  <c r="P537" i="31"/>
  <c r="P527" i="31"/>
  <c r="P528" i="31"/>
  <c r="P529" i="31"/>
  <c r="P533" i="31"/>
  <c r="P534" i="31"/>
  <c r="P536" i="31"/>
  <c r="P553" i="31"/>
  <c r="P539" i="31"/>
  <c r="P540" i="31"/>
  <c r="P541" i="31"/>
  <c r="P542" i="31"/>
  <c r="P543" i="31"/>
  <c r="P544" i="31"/>
  <c r="P545" i="31"/>
  <c r="P547" i="31"/>
  <c r="P548" i="31"/>
  <c r="P551" i="31"/>
  <c r="P552" i="31"/>
  <c r="P560" i="31"/>
  <c r="P554" i="31"/>
  <c r="P555" i="31"/>
  <c r="P556" i="31"/>
  <c r="P557" i="31"/>
  <c r="P558" i="31"/>
  <c r="P559" i="31"/>
  <c r="P562" i="31"/>
  <c r="P563" i="31"/>
  <c r="P564" i="31"/>
  <c r="P565" i="31"/>
  <c r="P566" i="31"/>
  <c r="P567" i="31"/>
  <c r="P568" i="31"/>
  <c r="P521" i="31"/>
  <c r="P523" i="31"/>
  <c r="P530" i="31"/>
  <c r="P531" i="31"/>
  <c r="P532" i="31"/>
  <c r="P535" i="31"/>
  <c r="P538" i="31"/>
  <c r="P546" i="31"/>
  <c r="P549" i="31"/>
  <c r="P550" i="31"/>
  <c r="P561" i="31"/>
  <c r="P569" i="31"/>
  <c r="P570" i="31"/>
  <c r="P571" i="31"/>
  <c r="P572" i="31"/>
  <c r="P573" i="31"/>
  <c r="P576" i="31"/>
  <c r="P577" i="31"/>
  <c r="P578" i="31"/>
  <c r="P579" i="31"/>
  <c r="P580" i="31"/>
  <c r="P581" i="31"/>
  <c r="P583" i="31"/>
  <c r="P584" i="31"/>
  <c r="P585" i="31"/>
  <c r="P586" i="31"/>
  <c r="P587" i="31"/>
  <c r="P588" i="31"/>
  <c r="P589" i="31"/>
  <c r="P590" i="31"/>
  <c r="P591" i="31"/>
  <c r="P592" i="31"/>
  <c r="P593" i="31"/>
  <c r="P574" i="31"/>
  <c r="P575" i="31"/>
  <c r="P582" i="31"/>
  <c r="P594" i="31"/>
  <c r="P595" i="31"/>
  <c r="P598" i="31"/>
  <c r="P599" i="31"/>
  <c r="P600" i="31"/>
  <c r="P596" i="31"/>
  <c r="P597" i="31"/>
  <c r="P601" i="31"/>
  <c r="P608" i="31"/>
  <c r="P611" i="31"/>
  <c r="P614" i="31"/>
  <c r="P616" i="31"/>
  <c r="P617" i="31"/>
  <c r="P620" i="31"/>
  <c r="P627" i="31"/>
  <c r="P632" i="31"/>
  <c r="P640" i="31"/>
  <c r="P641" i="31"/>
  <c r="P642" i="31"/>
  <c r="P643" i="31"/>
  <c r="P644" i="31"/>
  <c r="P647" i="31"/>
  <c r="P649" i="31"/>
  <c r="P650" i="31"/>
  <c r="P651" i="31"/>
  <c r="P602" i="31"/>
  <c r="P603" i="31"/>
  <c r="P604" i="31"/>
  <c r="P605" i="31"/>
  <c r="P606" i="31"/>
  <c r="P607" i="31"/>
  <c r="P609" i="31"/>
  <c r="P610" i="31"/>
  <c r="P612" i="31"/>
  <c r="P615" i="31"/>
  <c r="P613" i="31"/>
  <c r="P618" i="31"/>
  <c r="P619" i="31"/>
  <c r="P621" i="31"/>
  <c r="P622" i="31"/>
  <c r="P623" i="31"/>
  <c r="P624" i="31"/>
  <c r="P625" i="31"/>
  <c r="P626" i="31"/>
  <c r="P628" i="31"/>
  <c r="P2118" i="31"/>
  <c r="P2122" i="31"/>
  <c r="P2124" i="31"/>
  <c r="P634" i="31"/>
  <c r="P635" i="31"/>
  <c r="P2125" i="31"/>
  <c r="P637" i="31"/>
  <c r="P2132" i="31"/>
  <c r="P2134" i="31"/>
  <c r="P919" i="31"/>
  <c r="P646" i="31"/>
  <c r="P648" i="31"/>
  <c r="P652" i="31"/>
  <c r="P653" i="31"/>
  <c r="P654" i="31"/>
  <c r="P655" i="31"/>
  <c r="P656" i="31"/>
  <c r="P657" i="31"/>
  <c r="P662" i="31"/>
  <c r="P2114" i="31"/>
  <c r="P2115" i="31"/>
  <c r="P2116" i="31"/>
  <c r="P664" i="31"/>
  <c r="P665" i="31"/>
  <c r="P666" i="31"/>
  <c r="P667" i="31"/>
  <c r="P668" i="31"/>
  <c r="P669" i="31"/>
  <c r="P670" i="31"/>
  <c r="P671" i="31"/>
  <c r="P672" i="31"/>
  <c r="P673" i="31"/>
  <c r="P674" i="31"/>
  <c r="P675" i="31"/>
  <c r="P676" i="31"/>
  <c r="P677" i="31"/>
  <c r="P678" i="31"/>
  <c r="P685" i="31"/>
  <c r="P679" i="31"/>
  <c r="P680" i="31"/>
  <c r="P681" i="31"/>
  <c r="P682" i="31"/>
  <c r="P683" i="31"/>
  <c r="P684" i="31"/>
  <c r="P686" i="31"/>
  <c r="P687" i="31"/>
  <c r="P695" i="31"/>
  <c r="P701" i="31"/>
  <c r="P688" i="31"/>
  <c r="P689" i="31"/>
  <c r="P690" i="31"/>
  <c r="P691" i="31"/>
  <c r="P692" i="31"/>
  <c r="P693" i="31"/>
  <c r="P694" i="31"/>
  <c r="P696" i="31"/>
  <c r="P697" i="31"/>
  <c r="P698" i="31"/>
  <c r="P699" i="31"/>
  <c r="P700" i="31"/>
  <c r="P702" i="31"/>
  <c r="P703" i="31"/>
  <c r="P704" i="31"/>
  <c r="P705" i="31"/>
  <c r="P706" i="31"/>
  <c r="P707" i="31"/>
  <c r="P708" i="31"/>
  <c r="P710" i="31"/>
  <c r="P712" i="31"/>
  <c r="P713" i="31"/>
  <c r="P714" i="31"/>
  <c r="P715" i="31"/>
  <c r="P716" i="31"/>
  <c r="P718" i="31"/>
  <c r="P719" i="31"/>
  <c r="P720" i="31"/>
  <c r="P709" i="31"/>
  <c r="P711" i="31"/>
  <c r="P717" i="31"/>
  <c r="P721" i="31"/>
  <c r="P722" i="31"/>
  <c r="P723" i="31"/>
  <c r="P724" i="31"/>
  <c r="P726" i="31"/>
  <c r="P727" i="31"/>
  <c r="P733" i="31"/>
  <c r="P725" i="31"/>
  <c r="P728" i="31"/>
  <c r="P729" i="31"/>
  <c r="P730" i="31"/>
  <c r="P731" i="31"/>
  <c r="P732" i="31"/>
  <c r="P735" i="31"/>
  <c r="P738" i="31"/>
  <c r="P744" i="31"/>
  <c r="P734" i="31"/>
  <c r="P736" i="31"/>
  <c r="P737" i="31"/>
  <c r="P739" i="31"/>
  <c r="P740" i="31"/>
  <c r="P741" i="31"/>
  <c r="P742" i="31"/>
  <c r="P743" i="31"/>
  <c r="P745" i="31"/>
  <c r="P746" i="31"/>
  <c r="P748" i="31"/>
  <c r="P749" i="31"/>
  <c r="P750" i="31"/>
  <c r="P751" i="31"/>
  <c r="P752" i="31"/>
  <c r="P756" i="31"/>
  <c r="P757" i="31"/>
  <c r="P758" i="31"/>
  <c r="P761" i="31"/>
  <c r="P747" i="31"/>
  <c r="P753" i="31"/>
  <c r="P754" i="31"/>
  <c r="P755" i="31"/>
  <c r="P759" i="31"/>
  <c r="P760" i="31"/>
  <c r="P762" i="31"/>
  <c r="P763" i="31"/>
  <c r="P764" i="31"/>
  <c r="P765" i="31"/>
  <c r="P766" i="31"/>
  <c r="P771" i="31"/>
  <c r="P768" i="31"/>
  <c r="P776" i="31"/>
  <c r="P772" i="31"/>
  <c r="P773" i="31"/>
  <c r="P774" i="31"/>
  <c r="P777" i="31"/>
  <c r="P779" i="31"/>
  <c r="P780" i="31"/>
  <c r="P767" i="31"/>
  <c r="P1062" i="31"/>
  <c r="P769" i="31"/>
  <c r="P770" i="31"/>
  <c r="P1280" i="31"/>
  <c r="P781" i="31"/>
  <c r="P782" i="31"/>
  <c r="P783" i="31"/>
  <c r="P784" i="31"/>
  <c r="P785" i="31"/>
  <c r="P787" i="31"/>
  <c r="P788" i="31"/>
  <c r="P789" i="31"/>
  <c r="P790" i="31"/>
  <c r="P791" i="31"/>
  <c r="P792" i="31"/>
  <c r="P793" i="31"/>
  <c r="P794" i="31"/>
  <c r="P795" i="31"/>
  <c r="P796" i="31"/>
  <c r="P797" i="31"/>
  <c r="P798" i="31"/>
  <c r="P799" i="31"/>
  <c r="P775" i="31"/>
  <c r="P806" i="31"/>
  <c r="P800" i="31"/>
  <c r="P801" i="31"/>
  <c r="P802" i="31"/>
  <c r="P803" i="31"/>
  <c r="P804" i="31"/>
  <c r="P807" i="31"/>
  <c r="P809" i="31"/>
  <c r="P808" i="31"/>
  <c r="P813" i="31"/>
  <c r="P810" i="31"/>
  <c r="P811" i="31"/>
  <c r="P812" i="31"/>
  <c r="P818" i="31"/>
  <c r="P814" i="31"/>
  <c r="P815" i="31"/>
  <c r="P816" i="31"/>
  <c r="P817" i="31"/>
  <c r="P778" i="31"/>
  <c r="P786" i="31"/>
  <c r="P805" i="31"/>
  <c r="P819" i="31"/>
  <c r="P1460" i="31"/>
  <c r="P820" i="31"/>
  <c r="P824" i="31"/>
  <c r="P825" i="31"/>
  <c r="P826" i="31"/>
  <c r="P821" i="31"/>
  <c r="P823" i="31"/>
  <c r="P834" i="31"/>
  <c r="P835" i="31"/>
  <c r="P836" i="31"/>
  <c r="P851" i="31"/>
  <c r="P827" i="31"/>
  <c r="P828" i="31"/>
  <c r="P829" i="31"/>
  <c r="P830" i="31"/>
  <c r="P831" i="31"/>
  <c r="P832" i="31"/>
  <c r="P833" i="31"/>
  <c r="P837" i="31"/>
  <c r="P838" i="31"/>
  <c r="P839" i="31"/>
  <c r="P840" i="31"/>
  <c r="P841" i="31"/>
  <c r="P842" i="31"/>
  <c r="P844" i="31"/>
  <c r="P845" i="31"/>
  <c r="P846" i="31"/>
  <c r="P847" i="31"/>
  <c r="P848" i="31"/>
  <c r="P849" i="31"/>
  <c r="P850" i="31"/>
  <c r="P854" i="31"/>
  <c r="P855" i="31"/>
  <c r="P857" i="31"/>
  <c r="P858" i="31"/>
  <c r="P860" i="31"/>
  <c r="P861" i="31"/>
  <c r="P862" i="31"/>
  <c r="P863" i="31"/>
  <c r="P864" i="31"/>
  <c r="P865" i="31"/>
  <c r="P866" i="31"/>
  <c r="P867" i="31"/>
  <c r="P869" i="31"/>
  <c r="P856" i="31"/>
  <c r="P859" i="31"/>
  <c r="P868" i="31"/>
  <c r="P870" i="31"/>
  <c r="P885" i="31"/>
  <c r="P888" i="31"/>
  <c r="P892" i="31"/>
  <c r="P873" i="31"/>
  <c r="P874" i="31"/>
  <c r="P875" i="31"/>
  <c r="P876" i="31"/>
  <c r="P877" i="31"/>
  <c r="P871" i="31"/>
  <c r="P872" i="31"/>
  <c r="P878" i="31"/>
  <c r="P879" i="31"/>
  <c r="P880" i="31"/>
  <c r="P881" i="31"/>
  <c r="P882" i="31"/>
  <c r="P883" i="31"/>
  <c r="P884" i="31"/>
  <c r="P886" i="31"/>
  <c r="P887" i="31"/>
  <c r="P889" i="31"/>
  <c r="P890" i="31"/>
  <c r="P891" i="31"/>
  <c r="P895" i="31"/>
  <c r="P896" i="31"/>
  <c r="P897" i="31"/>
  <c r="P898" i="31"/>
  <c r="P899" i="31"/>
  <c r="P900" i="31"/>
  <c r="P901" i="31"/>
  <c r="P902" i="31"/>
  <c r="P903" i="31"/>
  <c r="P906" i="31"/>
  <c r="P911" i="31"/>
  <c r="P914" i="31"/>
  <c r="P915" i="31"/>
  <c r="P916" i="31"/>
  <c r="P917" i="31"/>
  <c r="P918" i="31"/>
  <c r="P904" i="31"/>
  <c r="P905" i="31"/>
  <c r="P907" i="31"/>
  <c r="P908" i="31"/>
  <c r="P909" i="31"/>
  <c r="P910" i="31"/>
  <c r="P912" i="31"/>
  <c r="P913" i="31"/>
  <c r="P920" i="31"/>
  <c r="P930" i="31"/>
  <c r="P935" i="31"/>
  <c r="P921" i="31"/>
  <c r="P922" i="31"/>
  <c r="P923" i="31"/>
  <c r="P924" i="31"/>
  <c r="P925" i="31"/>
  <c r="P633" i="31"/>
  <c r="P926" i="31"/>
  <c r="P927" i="31"/>
  <c r="P928" i="31"/>
  <c r="P929" i="31"/>
  <c r="P931" i="31"/>
  <c r="P932" i="31"/>
  <c r="P933" i="31"/>
  <c r="P934" i="31"/>
  <c r="P936" i="31"/>
  <c r="P937" i="31"/>
  <c r="P938" i="31"/>
  <c r="P942" i="31"/>
  <c r="P939" i="31"/>
  <c r="P940" i="31"/>
  <c r="P941" i="31"/>
  <c r="P943" i="31"/>
  <c r="P944" i="31"/>
  <c r="P945" i="31"/>
  <c r="P946" i="31"/>
  <c r="P949" i="31"/>
  <c r="P951" i="31"/>
  <c r="P954" i="31"/>
  <c r="P956" i="31"/>
  <c r="P947" i="31"/>
  <c r="P893" i="31"/>
  <c r="P894" i="31"/>
  <c r="P948" i="31"/>
  <c r="P950" i="31"/>
  <c r="P952" i="31"/>
  <c r="P953" i="31"/>
  <c r="P955" i="31"/>
  <c r="P957" i="31"/>
  <c r="P958" i="31"/>
  <c r="P961" i="31"/>
  <c r="P962" i="31"/>
  <c r="P965" i="31"/>
  <c r="P969" i="31"/>
  <c r="P970" i="31"/>
  <c r="P971" i="31"/>
  <c r="P972" i="31"/>
  <c r="P966" i="31"/>
  <c r="P963" i="31"/>
  <c r="P964" i="31"/>
  <c r="P981" i="31"/>
  <c r="P967" i="31"/>
  <c r="P968" i="31"/>
  <c r="P974" i="31"/>
  <c r="P976" i="31"/>
  <c r="P980" i="31"/>
  <c r="P982" i="31"/>
  <c r="P985" i="31"/>
  <c r="P973" i="31"/>
  <c r="P975" i="31"/>
  <c r="P1786" i="31"/>
  <c r="P977" i="31"/>
  <c r="P1787" i="31"/>
  <c r="P983" i="31"/>
  <c r="P984" i="31"/>
  <c r="P986" i="31"/>
  <c r="P987" i="31"/>
  <c r="P988" i="31"/>
  <c r="P989" i="31"/>
  <c r="P990" i="31"/>
  <c r="P995" i="31"/>
  <c r="P994" i="31"/>
  <c r="P999" i="31"/>
  <c r="P998" i="31"/>
  <c r="P1001" i="31"/>
  <c r="P1002" i="31"/>
  <c r="P1005" i="31"/>
  <c r="P1006" i="31"/>
  <c r="P1007" i="31"/>
  <c r="P1009" i="31"/>
  <c r="P1011" i="31"/>
  <c r="P1012" i="31"/>
  <c r="P1014" i="31"/>
  <c r="P996" i="31"/>
  <c r="P997" i="31"/>
  <c r="P1000" i="31"/>
  <c r="P991" i="31"/>
  <c r="P992" i="31"/>
  <c r="P993" i="31"/>
  <c r="P1003" i="31"/>
  <c r="P1004" i="31"/>
  <c r="P1008" i="31"/>
  <c r="P1010" i="31"/>
  <c r="P1013" i="31"/>
  <c r="P1015" i="31"/>
  <c r="P1016" i="31"/>
  <c r="P1018" i="31"/>
  <c r="P1019" i="31"/>
  <c r="P1020" i="31"/>
  <c r="P1021" i="31"/>
  <c r="P1022" i="31"/>
  <c r="P1023" i="31"/>
  <c r="P1024" i="31"/>
  <c r="P959" i="31"/>
  <c r="P960" i="31"/>
  <c r="P1025" i="31"/>
  <c r="P1026" i="31"/>
  <c r="P1017" i="31"/>
  <c r="P1028" i="31"/>
  <c r="P1032" i="31"/>
  <c r="P1033" i="31"/>
  <c r="P1034" i="31"/>
  <c r="P1043" i="31"/>
  <c r="P1046" i="31"/>
  <c r="P1047" i="31"/>
  <c r="P1051" i="31"/>
  <c r="P1068" i="31"/>
  <c r="P1052" i="31"/>
  <c r="P1056" i="31"/>
  <c r="P1059" i="31"/>
  <c r="P1060" i="31"/>
  <c r="P1061" i="31"/>
  <c r="P1063" i="31"/>
  <c r="P1064" i="31"/>
  <c r="P1067" i="31"/>
  <c r="P1070" i="31"/>
  <c r="P1073" i="31"/>
  <c r="P1074" i="31"/>
  <c r="P1076" i="31"/>
  <c r="P1080" i="31"/>
  <c r="P1082" i="31"/>
  <c r="P1083" i="31"/>
  <c r="P1085" i="31"/>
  <c r="P1086" i="31"/>
  <c r="P1093" i="31"/>
  <c r="P1098" i="31"/>
  <c r="P1100" i="31"/>
  <c r="P1104" i="31"/>
  <c r="P1027" i="31"/>
  <c r="P1029" i="31"/>
  <c r="P1030" i="31"/>
  <c r="P1031" i="31"/>
  <c r="P1035" i="31"/>
  <c r="P1036" i="31"/>
  <c r="P1042" i="31"/>
  <c r="P1044" i="31"/>
  <c r="P1045" i="31"/>
  <c r="P1038" i="31"/>
  <c r="P1039" i="31"/>
  <c r="P1040" i="31"/>
  <c r="P1041" i="31"/>
  <c r="P1048" i="31"/>
  <c r="P1049" i="31"/>
  <c r="P1050" i="31"/>
  <c r="P1053" i="31"/>
  <c r="P1054" i="31"/>
  <c r="P1055" i="31"/>
  <c r="P2998" i="31"/>
  <c r="P1065" i="31"/>
  <c r="P1066" i="31"/>
  <c r="P1069" i="31"/>
  <c r="P1071" i="31"/>
  <c r="P1072" i="31"/>
  <c r="P1075" i="31"/>
  <c r="P1077" i="31"/>
  <c r="P1078" i="31"/>
  <c r="P1079" i="31"/>
  <c r="P1081" i="31"/>
  <c r="P1084" i="31"/>
  <c r="P1087" i="31"/>
  <c r="P1088" i="31"/>
  <c r="P1089" i="31"/>
  <c r="P1090" i="31"/>
  <c r="P1091" i="31"/>
  <c r="P1092" i="31"/>
  <c r="P1094" i="31"/>
  <c r="P1095" i="31"/>
  <c r="P1096" i="31"/>
  <c r="P1097" i="31"/>
  <c r="P1099" i="31"/>
  <c r="P1101" i="31"/>
  <c r="P1102" i="31"/>
  <c r="P1103" i="31"/>
  <c r="P1106" i="31"/>
  <c r="P1110" i="31"/>
  <c r="P1124" i="31"/>
  <c r="P1125" i="31"/>
  <c r="P1126" i="31"/>
  <c r="P1127" i="31"/>
  <c r="P1128" i="31"/>
  <c r="P1130" i="31"/>
  <c r="P1108" i="31"/>
  <c r="P1105" i="31"/>
  <c r="P1107" i="31"/>
  <c r="P1122" i="31"/>
  <c r="P1109" i="31"/>
  <c r="P1111" i="31"/>
  <c r="P1112" i="31"/>
  <c r="P1113" i="31"/>
  <c r="P1114" i="31"/>
  <c r="P1115" i="31"/>
  <c r="P1116" i="31"/>
  <c r="P1117" i="31"/>
  <c r="P1118" i="31"/>
  <c r="P1119" i="31"/>
  <c r="P1120" i="31"/>
  <c r="P1121" i="31"/>
  <c r="P1123" i="31"/>
  <c r="P1133" i="31"/>
  <c r="P1134" i="31"/>
  <c r="P1135" i="31"/>
  <c r="P1139" i="31"/>
  <c r="P1129" i="31"/>
  <c r="P1131" i="31"/>
  <c r="P1132" i="31"/>
  <c r="P1136" i="31"/>
  <c r="P1137" i="31"/>
  <c r="P1138" i="31"/>
  <c r="P1140" i="31"/>
  <c r="P1141" i="31"/>
  <c r="P1142" i="31"/>
  <c r="P1143" i="31"/>
  <c r="P853" i="31"/>
  <c r="P1144" i="31"/>
  <c r="P1149" i="31"/>
  <c r="P1170" i="31"/>
  <c r="P1171" i="31"/>
  <c r="P1157" i="31"/>
  <c r="P1145" i="31"/>
  <c r="P1146" i="31"/>
  <c r="P1147" i="31"/>
  <c r="P1148" i="31"/>
  <c r="P1150" i="31"/>
  <c r="P1151" i="31"/>
  <c r="P1152" i="31"/>
  <c r="P1153" i="31"/>
  <c r="P1154" i="31"/>
  <c r="P1155" i="31"/>
  <c r="P1156" i="31"/>
  <c r="P1158" i="31"/>
  <c r="P1162" i="31"/>
  <c r="P1159" i="31"/>
  <c r="P1160" i="31"/>
  <c r="P1161" i="31"/>
  <c r="P1163" i="31"/>
  <c r="P1164" i="31"/>
  <c r="P1165" i="31"/>
  <c r="P1166" i="31"/>
  <c r="P1167" i="31"/>
  <c r="P1174" i="31"/>
  <c r="P1177" i="31"/>
  <c r="P1168" i="31"/>
  <c r="P1169" i="31"/>
  <c r="P1172" i="31"/>
  <c r="P1173" i="31"/>
  <c r="P1175" i="31"/>
  <c r="P1176" i="31"/>
  <c r="P1178" i="31"/>
  <c r="P1180" i="31"/>
  <c r="P1182" i="31"/>
  <c r="P1183" i="31"/>
  <c r="P1184" i="31"/>
  <c r="P1185" i="31"/>
  <c r="P1186" i="31"/>
  <c r="P1179" i="31"/>
  <c r="P1181" i="31"/>
  <c r="P1187" i="31"/>
  <c r="P1193" i="31"/>
  <c r="P1194" i="31"/>
  <c r="P1188" i="31"/>
  <c r="P1189" i="31"/>
  <c r="P1190" i="31"/>
  <c r="P1191" i="31"/>
  <c r="P1192" i="31"/>
  <c r="P1195" i="31"/>
  <c r="P1196" i="31"/>
  <c r="P1197" i="31"/>
  <c r="P1198" i="31"/>
  <c r="P1057" i="31"/>
  <c r="P1058" i="31"/>
  <c r="P1199" i="31"/>
  <c r="P1200" i="31"/>
  <c r="P1202" i="31"/>
  <c r="P1204" i="31"/>
  <c r="P1205" i="31"/>
  <c r="P1210" i="31"/>
  <c r="P1216" i="31"/>
  <c r="P1227" i="31"/>
  <c r="P1201" i="31"/>
  <c r="P1203" i="31"/>
  <c r="P1277" i="31"/>
  <c r="P1208" i="31"/>
  <c r="P1209" i="31"/>
  <c r="P1211" i="31"/>
  <c r="P1212" i="31"/>
  <c r="P1213" i="31"/>
  <c r="P1214" i="31"/>
  <c r="P1215" i="31"/>
  <c r="P1217" i="31"/>
  <c r="P1218" i="31"/>
  <c r="P1219" i="31"/>
  <c r="P1220" i="31"/>
  <c r="P1221" i="31"/>
  <c r="P1222" i="31"/>
  <c r="P1223" i="31"/>
  <c r="P1224" i="31"/>
  <c r="P1225" i="31"/>
  <c r="P1226" i="31"/>
  <c r="P1228" i="31"/>
  <c r="P1229" i="31"/>
  <c r="P1230" i="31"/>
  <c r="P1231" i="31"/>
  <c r="P1232" i="31"/>
  <c r="P1233" i="31"/>
  <c r="P1234" i="31"/>
  <c r="P1235" i="31"/>
  <c r="P1236" i="31"/>
  <c r="P1237" i="31"/>
  <c r="P1238" i="31"/>
  <c r="P1239" i="31"/>
  <c r="P1240" i="31"/>
  <c r="P1241" i="31"/>
  <c r="P1242" i="31"/>
  <c r="P1243" i="31"/>
  <c r="P1244" i="31"/>
  <c r="P1245" i="31"/>
  <c r="P1246" i="31"/>
  <c r="P1247" i="31"/>
  <c r="P1248" i="31"/>
  <c r="P1249" i="31"/>
  <c r="P1250" i="31"/>
  <c r="P1251" i="31"/>
  <c r="P1253" i="31"/>
  <c r="P1257" i="31"/>
  <c r="P1252" i="31"/>
  <c r="P1267" i="31"/>
  <c r="P1269" i="31"/>
  <c r="P1271" i="31"/>
  <c r="P1274" i="31"/>
  <c r="P1258" i="31"/>
  <c r="P1254" i="31"/>
  <c r="P1255" i="31"/>
  <c r="P1256" i="31"/>
  <c r="P1263" i="31"/>
  <c r="P1264" i="31"/>
  <c r="P1265" i="31"/>
  <c r="P1266" i="31"/>
  <c r="P1268" i="31"/>
  <c r="P1270" i="31"/>
  <c r="P1272" i="31"/>
  <c r="P1273" i="31"/>
  <c r="P1259" i="31"/>
  <c r="P1260" i="31"/>
  <c r="P1261" i="31"/>
  <c r="P1262" i="31"/>
  <c r="P1275" i="31"/>
  <c r="P1276" i="31"/>
  <c r="P1206" i="31"/>
  <c r="P1207" i="31"/>
  <c r="P1281" i="31"/>
  <c r="P1282" i="31"/>
  <c r="P1283" i="31"/>
  <c r="P1284" i="31"/>
  <c r="P1285" i="31"/>
  <c r="P1286" i="31"/>
  <c r="P1287" i="31"/>
  <c r="P1289" i="31"/>
  <c r="P1292" i="31"/>
  <c r="P1293" i="31"/>
  <c r="P1296" i="31"/>
  <c r="P1298" i="31"/>
  <c r="P1300" i="31"/>
  <c r="P1301" i="31"/>
  <c r="P1302" i="31"/>
  <c r="P1303" i="31"/>
  <c r="P1305" i="31"/>
  <c r="P1307" i="31"/>
  <c r="P1309" i="31"/>
  <c r="P1310" i="31"/>
  <c r="P1311" i="31"/>
  <c r="P1312" i="31"/>
  <c r="P1326" i="31"/>
  <c r="P1288" i="31"/>
  <c r="P1290" i="31"/>
  <c r="P1291" i="31"/>
  <c r="P1294" i="31"/>
  <c r="P1295" i="31"/>
  <c r="P1297" i="31"/>
  <c r="P1299" i="31"/>
  <c r="P1304" i="31"/>
  <c r="P1306" i="31"/>
  <c r="P1308" i="31"/>
  <c r="P1313" i="31"/>
  <c r="P1321" i="31"/>
  <c r="P1333" i="31"/>
  <c r="P1335" i="31"/>
  <c r="P1336" i="31"/>
  <c r="P1337" i="31"/>
  <c r="P1338" i="31"/>
  <c r="P1342" i="31"/>
  <c r="P1344" i="31"/>
  <c r="P1349" i="31"/>
  <c r="P1314" i="31"/>
  <c r="P1315" i="31"/>
  <c r="P1316" i="31"/>
  <c r="P1317" i="31"/>
  <c r="P1318" i="31"/>
  <c r="P1319" i="31"/>
  <c r="P1320" i="31"/>
  <c r="P1322" i="31"/>
  <c r="P1323" i="31"/>
  <c r="P1324" i="31"/>
  <c r="P1325" i="31"/>
  <c r="P1327" i="31"/>
  <c r="P1328" i="31"/>
  <c r="P1329" i="31"/>
  <c r="P1330" i="31"/>
  <c r="P1331" i="31"/>
  <c r="P1332" i="31"/>
  <c r="P1334" i="31"/>
  <c r="P1339" i="31"/>
  <c r="P1340" i="31"/>
  <c r="P1341" i="31"/>
  <c r="P1278" i="31"/>
  <c r="P1279" i="31"/>
  <c r="P1343" i="31"/>
  <c r="P1346" i="31"/>
  <c r="P1347" i="31"/>
  <c r="P1348" i="31"/>
  <c r="P1350" i="31"/>
  <c r="P1378" i="31"/>
  <c r="P1380" i="31"/>
  <c r="P1372" i="31"/>
  <c r="P1351" i="31"/>
  <c r="P1352" i="31"/>
  <c r="P1353" i="31"/>
  <c r="P1354" i="31"/>
  <c r="P1355" i="31"/>
  <c r="P1356" i="31"/>
  <c r="P1357" i="31"/>
  <c r="P1358" i="31"/>
  <c r="P1359" i="31"/>
  <c r="P1360" i="31"/>
  <c r="P1361" i="31"/>
  <c r="P1362" i="31"/>
  <c r="P1363" i="31"/>
  <c r="P1364" i="31"/>
  <c r="P1365" i="31"/>
  <c r="P1366" i="31"/>
  <c r="P1367" i="31"/>
  <c r="P1368" i="31"/>
  <c r="P1369" i="31"/>
  <c r="P1370" i="31"/>
  <c r="P1371" i="31"/>
  <c r="P1373" i="31"/>
  <c r="P1374" i="31"/>
  <c r="P1375" i="31"/>
  <c r="P1376" i="31"/>
  <c r="P1377" i="31"/>
  <c r="P852" i="31"/>
  <c r="P1381" i="31"/>
  <c r="P1382" i="31"/>
  <c r="P1383" i="31"/>
  <c r="P1384" i="31"/>
  <c r="P1385" i="31"/>
  <c r="P1386" i="31"/>
  <c r="P1388" i="31"/>
  <c r="P1389" i="31"/>
  <c r="P1390" i="31"/>
  <c r="P1392" i="31"/>
  <c r="P1394" i="31"/>
  <c r="P1379" i="31"/>
  <c r="P1387" i="31"/>
  <c r="P1391" i="31"/>
  <c r="P1393" i="31"/>
  <c r="P1395" i="31"/>
  <c r="P1398" i="31"/>
  <c r="P1399" i="31"/>
  <c r="P1400" i="31"/>
  <c r="P1401" i="31"/>
  <c r="P1403" i="31"/>
  <c r="P1406" i="31"/>
  <c r="P1396" i="31"/>
  <c r="P1397" i="31"/>
  <c r="P1402" i="31"/>
  <c r="P1404" i="31"/>
  <c r="P1405" i="31"/>
  <c r="P1415" i="31"/>
  <c r="P1416" i="31"/>
  <c r="P1418" i="31"/>
  <c r="P1422" i="31"/>
  <c r="P1424" i="31"/>
  <c r="P1431" i="31"/>
  <c r="P1419" i="31"/>
  <c r="P1407" i="31"/>
  <c r="P1408" i="31"/>
  <c r="P1409" i="31"/>
  <c r="P1410" i="31"/>
  <c r="P1411" i="31"/>
  <c r="P1412" i="31"/>
  <c r="P1413" i="31"/>
  <c r="P1414" i="31"/>
  <c r="P1417" i="31"/>
  <c r="P1420" i="31"/>
  <c r="P1421" i="31"/>
  <c r="P1423" i="31"/>
  <c r="P1425" i="31"/>
  <c r="P1426" i="31"/>
  <c r="P1427" i="31"/>
  <c r="P1438" i="31"/>
  <c r="P1428" i="31"/>
  <c r="P1429" i="31"/>
  <c r="P1430" i="31"/>
  <c r="P1432" i="31"/>
  <c r="P1434" i="31"/>
  <c r="P1435" i="31"/>
  <c r="P1436" i="31"/>
  <c r="P1437" i="31"/>
  <c r="P1447" i="31"/>
  <c r="P1439" i="31"/>
  <c r="P1442" i="31"/>
  <c r="P1444" i="31"/>
  <c r="P1445" i="31"/>
  <c r="P1446" i="31"/>
  <c r="P1449" i="31"/>
  <c r="P1450" i="31"/>
  <c r="P1451" i="31"/>
  <c r="P1433" i="31"/>
  <c r="P1440" i="31"/>
  <c r="P1441" i="31"/>
  <c r="P1443" i="31"/>
  <c r="P1448" i="31"/>
  <c r="P1452" i="31"/>
  <c r="P1453" i="31"/>
  <c r="P1454" i="31"/>
  <c r="P1455" i="31"/>
  <c r="P1456" i="31"/>
  <c r="P1457" i="31"/>
  <c r="P1458" i="31"/>
  <c r="P1459" i="31"/>
  <c r="P1461" i="31"/>
  <c r="P1462" i="31"/>
  <c r="P822" i="31"/>
  <c r="P1463" i="31"/>
  <c r="P1464" i="31"/>
  <c r="P1465" i="31"/>
  <c r="P1466" i="31"/>
  <c r="P1467" i="31"/>
  <c r="P1468" i="31"/>
  <c r="P1469" i="31"/>
  <c r="P1470" i="31"/>
  <c r="P1471" i="31"/>
  <c r="P1472" i="31"/>
  <c r="P1473" i="31"/>
  <c r="P1474" i="31"/>
  <c r="P1475" i="31"/>
  <c r="P1476" i="31"/>
  <c r="P1477" i="31"/>
  <c r="P1478" i="31"/>
  <c r="P1480" i="31"/>
  <c r="P1481" i="31"/>
  <c r="P1484" i="31"/>
  <c r="P1485" i="31"/>
  <c r="P1493" i="31"/>
  <c r="P1496" i="31"/>
  <c r="P1479" i="31"/>
  <c r="P1482" i="31"/>
  <c r="P1486" i="31"/>
  <c r="P1483" i="31"/>
  <c r="P1502" i="31"/>
  <c r="P1487" i="31"/>
  <c r="P1488" i="31"/>
  <c r="P1489" i="31"/>
  <c r="P1490" i="31"/>
  <c r="P1491" i="31"/>
  <c r="P1492" i="31"/>
  <c r="P1494" i="31"/>
  <c r="P1495" i="31"/>
  <c r="P1503" i="31"/>
  <c r="P1507" i="31"/>
  <c r="P1509" i="31"/>
  <c r="P1510" i="31"/>
  <c r="P1511" i="31"/>
  <c r="P1345" i="31"/>
  <c r="P1504" i="31"/>
  <c r="P1497" i="31"/>
  <c r="P1498" i="31"/>
  <c r="P1499" i="31"/>
  <c r="P1500" i="31"/>
  <c r="P1501" i="31"/>
  <c r="P1505" i="31"/>
  <c r="P1506" i="31"/>
  <c r="P1508" i="31"/>
  <c r="P1529" i="31"/>
  <c r="P1530" i="31"/>
  <c r="P1531" i="31"/>
  <c r="P1532" i="31"/>
  <c r="P1533" i="31"/>
  <c r="P1535" i="31"/>
  <c r="P1564" i="31"/>
  <c r="P1565" i="31"/>
  <c r="P1518" i="31"/>
  <c r="P1513" i="31"/>
  <c r="P1515" i="31"/>
  <c r="P1516" i="31"/>
  <c r="P1517" i="31"/>
  <c r="P1523" i="31"/>
  <c r="P1521" i="31"/>
  <c r="P1522" i="31"/>
  <c r="P1534" i="31"/>
  <c r="P1524" i="31"/>
  <c r="P1526" i="31"/>
  <c r="P1527" i="31"/>
  <c r="P1537" i="31"/>
  <c r="P1536" i="31"/>
  <c r="P1538" i="31"/>
  <c r="P1539" i="31"/>
  <c r="P1540" i="31"/>
  <c r="P1541" i="31"/>
  <c r="P1542" i="31"/>
  <c r="P1543" i="31"/>
  <c r="P1544" i="31"/>
  <c r="P1545" i="31"/>
  <c r="P1546" i="31"/>
  <c r="P1547" i="31"/>
  <c r="P1548" i="31"/>
  <c r="P1549" i="31"/>
  <c r="P1550" i="31"/>
  <c r="P1551" i="31"/>
  <c r="P1552" i="31"/>
  <c r="P1553" i="31"/>
  <c r="P1554" i="31"/>
  <c r="P1555" i="31"/>
  <c r="P1556" i="31"/>
  <c r="P1557" i="31"/>
  <c r="P1558" i="31"/>
  <c r="P1559" i="31"/>
  <c r="P1560" i="31"/>
  <c r="P1561" i="31"/>
  <c r="P1562" i="31"/>
  <c r="P1563" i="31"/>
  <c r="P1583" i="31"/>
  <c r="P1566" i="31"/>
  <c r="P1568" i="31"/>
  <c r="P1569" i="31"/>
  <c r="P1570" i="31"/>
  <c r="P1571" i="31"/>
  <c r="P1572" i="31"/>
  <c r="P1575" i="31"/>
  <c r="P1576" i="31"/>
  <c r="P1577" i="31"/>
  <c r="P1578" i="31"/>
  <c r="P1582" i="31"/>
  <c r="P1598" i="31"/>
  <c r="P1584" i="31"/>
  <c r="P1585" i="31"/>
  <c r="P1586" i="31"/>
  <c r="P1587" i="31"/>
  <c r="P1589" i="31"/>
  <c r="P1590" i="31"/>
  <c r="P1593" i="31"/>
  <c r="P1600" i="31"/>
  <c r="P1567" i="31"/>
  <c r="P1573" i="31"/>
  <c r="P1574" i="31"/>
  <c r="P1579" i="31"/>
  <c r="P1580" i="31"/>
  <c r="P1581" i="31"/>
  <c r="P1588" i="31"/>
  <c r="P1591" i="31"/>
  <c r="P1592" i="31"/>
  <c r="P1594" i="31"/>
  <c r="P1595" i="31"/>
  <c r="P1596" i="31"/>
  <c r="P1597" i="31"/>
  <c r="P1599" i="31"/>
  <c r="P1601" i="31"/>
  <c r="P1602" i="31"/>
  <c r="P1603" i="31"/>
  <c r="P1604" i="31"/>
  <c r="P1605" i="31"/>
  <c r="P1614" i="31"/>
  <c r="P1616" i="31"/>
  <c r="P1611" i="31"/>
  <c r="P1612" i="31"/>
  <c r="P1613" i="31"/>
  <c r="P1615" i="31"/>
  <c r="P1617" i="31"/>
  <c r="P1618" i="31"/>
  <c r="P1620" i="31"/>
  <c r="P1621" i="31"/>
  <c r="P1622" i="31"/>
  <c r="P1623" i="31"/>
  <c r="P1624" i="31"/>
  <c r="P1627" i="31"/>
  <c r="P1629" i="31"/>
  <c r="P1630" i="31"/>
  <c r="P1631" i="31"/>
  <c r="P1632" i="31"/>
  <c r="P1633" i="31"/>
  <c r="P1634" i="31"/>
  <c r="P1635" i="31"/>
  <c r="P661" i="31"/>
  <c r="P1639" i="31"/>
  <c r="P1641" i="31"/>
  <c r="P1642" i="31"/>
  <c r="P1643" i="31"/>
  <c r="P1625" i="31"/>
  <c r="P1619" i="31"/>
  <c r="P1628" i="31"/>
  <c r="P1626" i="31"/>
  <c r="P1636" i="31"/>
  <c r="P1640" i="31"/>
  <c r="P1645" i="31"/>
  <c r="P1647" i="31"/>
  <c r="P1644" i="31"/>
  <c r="P1646" i="31"/>
  <c r="P1648" i="31"/>
  <c r="P663" i="31"/>
  <c r="P1649" i="31"/>
  <c r="P1654" i="31"/>
  <c r="P1657" i="31"/>
  <c r="P1658" i="31"/>
  <c r="P1663" i="31"/>
  <c r="P1665" i="31"/>
  <c r="P1666" i="31"/>
  <c r="P1671" i="31"/>
  <c r="P1672" i="31"/>
  <c r="P1650" i="31"/>
  <c r="P1651" i="31"/>
  <c r="P1652" i="31"/>
  <c r="P1653" i="31"/>
  <c r="P1655" i="31"/>
  <c r="P1656" i="31"/>
  <c r="P1659" i="31"/>
  <c r="P1660" i="31"/>
  <c r="P1661" i="31"/>
  <c r="P1662" i="31"/>
  <c r="P1664" i="31"/>
  <c r="P1667" i="31"/>
  <c r="P1668" i="31"/>
  <c r="P1669" i="31"/>
  <c r="P1670" i="31"/>
  <c r="P1673" i="31"/>
  <c r="P1676" i="31"/>
  <c r="P1678" i="31"/>
  <c r="P1674" i="31"/>
  <c r="P1675" i="31"/>
  <c r="P1677" i="31"/>
  <c r="P1679" i="31"/>
  <c r="P1680" i="31"/>
  <c r="P1681" i="31"/>
  <c r="P1683" i="31"/>
  <c r="P1684" i="31"/>
  <c r="P1685" i="31"/>
  <c r="P1687" i="31"/>
  <c r="P1689" i="31"/>
  <c r="P1690" i="31"/>
  <c r="P1691" i="31"/>
  <c r="P1697" i="31"/>
  <c r="P1698" i="31"/>
  <c r="P1699" i="31"/>
  <c r="P1704" i="31"/>
  <c r="P1705" i="31"/>
  <c r="P1706" i="31"/>
  <c r="P1707" i="31"/>
  <c r="P1708" i="31"/>
  <c r="P1682" i="31"/>
  <c r="P1686" i="31"/>
  <c r="P1688" i="31"/>
  <c r="P1692" i="31"/>
  <c r="P1693" i="31"/>
  <c r="P1694" i="31"/>
  <c r="P1695" i="31"/>
  <c r="P1696" i="31"/>
  <c r="P1700" i="31"/>
  <c r="P1701" i="31"/>
  <c r="P1702" i="31"/>
  <c r="P1703" i="31"/>
  <c r="P1709" i="31"/>
  <c r="P1710" i="31"/>
  <c r="P1711" i="31"/>
  <c r="P1712" i="31"/>
  <c r="P1713" i="31"/>
  <c r="P1714" i="31"/>
  <c r="P1715" i="31"/>
  <c r="P1716" i="31"/>
  <c r="P1717" i="31"/>
  <c r="P1720" i="31"/>
  <c r="P1722" i="31"/>
  <c r="P1726" i="31"/>
  <c r="P1727" i="31"/>
  <c r="P1730" i="31"/>
  <c r="P1731" i="31"/>
  <c r="P1732" i="31"/>
  <c r="P1733" i="31"/>
  <c r="P1737" i="31"/>
  <c r="P1740" i="31"/>
  <c r="P1743" i="31"/>
  <c r="P1745" i="31"/>
  <c r="P1746" i="31"/>
  <c r="P1749" i="31"/>
  <c r="P1750" i="31"/>
  <c r="P1752" i="31"/>
  <c r="P1756" i="31"/>
  <c r="P1757" i="31"/>
  <c r="P1758" i="31"/>
  <c r="P1760" i="31"/>
  <c r="P1761" i="31"/>
  <c r="P1762" i="31"/>
  <c r="P1718" i="31"/>
  <c r="P1719" i="31"/>
  <c r="P1721" i="31"/>
  <c r="P1723" i="31"/>
  <c r="P1724" i="31"/>
  <c r="P1725" i="31"/>
  <c r="P1728" i="31"/>
  <c r="P1729" i="31"/>
  <c r="P1734" i="31"/>
  <c r="P1735" i="31"/>
  <c r="P1736" i="31"/>
  <c r="P1738" i="31"/>
  <c r="P1739" i="31"/>
  <c r="P1741" i="31"/>
  <c r="P1742" i="31"/>
  <c r="P1744" i="31"/>
  <c r="P1747" i="31"/>
  <c r="P1748" i="31"/>
  <c r="P1751" i="31"/>
  <c r="P1637" i="31"/>
  <c r="P1638" i="31"/>
  <c r="P1753" i="31"/>
  <c r="P1754" i="31"/>
  <c r="P1755" i="31"/>
  <c r="P1767" i="31"/>
  <c r="P1768" i="31"/>
  <c r="P1764" i="31"/>
  <c r="P1765" i="31"/>
  <c r="P1766" i="31"/>
  <c r="P1769" i="31"/>
  <c r="P1771" i="31"/>
  <c r="P1772" i="31"/>
  <c r="P1776" i="31"/>
  <c r="P1779" i="31"/>
  <c r="P1780" i="31"/>
  <c r="P1790" i="31"/>
  <c r="P1770" i="31"/>
  <c r="P1773" i="31"/>
  <c r="P1774" i="31"/>
  <c r="P1775" i="31"/>
  <c r="P1777" i="31"/>
  <c r="P1778" i="31"/>
  <c r="P1781" i="31"/>
  <c r="P1782" i="31"/>
  <c r="P1783" i="31"/>
  <c r="P1759" i="31"/>
  <c r="P1763" i="31"/>
  <c r="P1788" i="31"/>
  <c r="P1789" i="31"/>
  <c r="P1791" i="31"/>
  <c r="P1792" i="31"/>
  <c r="P1794" i="31"/>
  <c r="P1795" i="31"/>
  <c r="P1797" i="31"/>
  <c r="P1793" i="31"/>
  <c r="P1796" i="31"/>
  <c r="P1807" i="31"/>
  <c r="P1798" i="31"/>
  <c r="P1799" i="31"/>
  <c r="P1800" i="31"/>
  <c r="P1806" i="31"/>
  <c r="P1801" i="31"/>
  <c r="P1802" i="31"/>
  <c r="P1803" i="31"/>
  <c r="P1804" i="31"/>
  <c r="P1805" i="31"/>
  <c r="P1808" i="31"/>
  <c r="P1809" i="31"/>
  <c r="P1810" i="31"/>
  <c r="P1811" i="31"/>
  <c r="P1812" i="31"/>
  <c r="P1814" i="31"/>
  <c r="P1815" i="31"/>
  <c r="P1816" i="31"/>
  <c r="P1819" i="31"/>
  <c r="P1820" i="31"/>
  <c r="P1821" i="31"/>
  <c r="P1829" i="31"/>
  <c r="P1830" i="31"/>
  <c r="P1832" i="31"/>
  <c r="P1866" i="31"/>
  <c r="P1877" i="31"/>
  <c r="P1882" i="31"/>
  <c r="P1883" i="31"/>
  <c r="P1884" i="31"/>
  <c r="P1839" i="31"/>
  <c r="P1813" i="31"/>
  <c r="P1817" i="31"/>
  <c r="P1818" i="31"/>
  <c r="P1822" i="31"/>
  <c r="P1823" i="31"/>
  <c r="P1824" i="31"/>
  <c r="P1825" i="31"/>
  <c r="P1826" i="31"/>
  <c r="P1827" i="31"/>
  <c r="P1828" i="31"/>
  <c r="P1831" i="31"/>
  <c r="P1833" i="31"/>
  <c r="P1834" i="31"/>
  <c r="P1835" i="31"/>
  <c r="P1837" i="31"/>
  <c r="P1838" i="31"/>
  <c r="P1840" i="31"/>
  <c r="P1841" i="31"/>
  <c r="P1842" i="31"/>
  <c r="P1843" i="31"/>
  <c r="P1852" i="31"/>
  <c r="P1844" i="31"/>
  <c r="P1845" i="31"/>
  <c r="P1846" i="31"/>
  <c r="P1847" i="31"/>
  <c r="P1848" i="31"/>
  <c r="P1849" i="31"/>
  <c r="P1850" i="31"/>
  <c r="P1851" i="31"/>
  <c r="P1853" i="31"/>
  <c r="P1854" i="31"/>
  <c r="P1855" i="31"/>
  <c r="P1856" i="31"/>
  <c r="P1836" i="31"/>
  <c r="P1858" i="31"/>
  <c r="P1860" i="31"/>
  <c r="P1861" i="31"/>
  <c r="P1865" i="31"/>
  <c r="P1867" i="31"/>
  <c r="P1869" i="31"/>
  <c r="P1870" i="31"/>
  <c r="P1874" i="31"/>
  <c r="P1857" i="31"/>
  <c r="P1859" i="31"/>
  <c r="P1862" i="31"/>
  <c r="P1863" i="31"/>
  <c r="P1864" i="31"/>
  <c r="P1868" i="31"/>
  <c r="P1871" i="31"/>
  <c r="P1872" i="31"/>
  <c r="P1873" i="31"/>
  <c r="P1876" i="31"/>
  <c r="P1878" i="31"/>
  <c r="P1879" i="31"/>
  <c r="P1880" i="31"/>
  <c r="P1881" i="31"/>
  <c r="P1885" i="31"/>
  <c r="P1875" i="31"/>
  <c r="P1909" i="31"/>
  <c r="P1920" i="31"/>
  <c r="P1933" i="31"/>
  <c r="P1934" i="31"/>
  <c r="P1886" i="31"/>
  <c r="P1887" i="31"/>
  <c r="P1888" i="31"/>
  <c r="P1889" i="31"/>
  <c r="P1890" i="31"/>
  <c r="P1891" i="31"/>
  <c r="P1892" i="31"/>
  <c r="P1893" i="31"/>
  <c r="P1894" i="31"/>
  <c r="P1895" i="31"/>
  <c r="P1896" i="31"/>
  <c r="P1897" i="31"/>
  <c r="P1898" i="31"/>
  <c r="P1899" i="31"/>
  <c r="P1900" i="31"/>
  <c r="P1901" i="31"/>
  <c r="P1902" i="31"/>
  <c r="P1903" i="31"/>
  <c r="P1904" i="31"/>
  <c r="P1905" i="31"/>
  <c r="P1906" i="31"/>
  <c r="P1936" i="31"/>
  <c r="P1907" i="31"/>
  <c r="P1938" i="31"/>
  <c r="P1939" i="31"/>
  <c r="P1942" i="31"/>
  <c r="P1943" i="31"/>
  <c r="P1946" i="31"/>
  <c r="P1947" i="31"/>
  <c r="P1911" i="31"/>
  <c r="P1912" i="31"/>
  <c r="P1913" i="31"/>
  <c r="P1914" i="31"/>
  <c r="P1918" i="31"/>
  <c r="P1925" i="31"/>
  <c r="P1926" i="31"/>
  <c r="P1908" i="31"/>
  <c r="P1910" i="31"/>
  <c r="P1915" i="31"/>
  <c r="P1916" i="31"/>
  <c r="P1917" i="31"/>
  <c r="P1919" i="31"/>
  <c r="P1922" i="31"/>
  <c r="P1927" i="31"/>
  <c r="P1928" i="31"/>
  <c r="P1932" i="31"/>
  <c r="P1935" i="31"/>
  <c r="P1937" i="31"/>
  <c r="P1929" i="31"/>
  <c r="P1954" i="31"/>
  <c r="P1955" i="31"/>
  <c r="P1956" i="31"/>
  <c r="P1921" i="31"/>
  <c r="P1923" i="31"/>
  <c r="P1924" i="31"/>
  <c r="P1930" i="31"/>
  <c r="P1931" i="31"/>
  <c r="P1948" i="31"/>
  <c r="P1949" i="31"/>
  <c r="P1950" i="31"/>
  <c r="P1951" i="31"/>
  <c r="P1952" i="31"/>
  <c r="P1982" i="31"/>
  <c r="P1995" i="31"/>
  <c r="P2001" i="31"/>
  <c r="P1960" i="31"/>
  <c r="P1945" i="31"/>
  <c r="P1940" i="31"/>
  <c r="P1941" i="31"/>
  <c r="P1944" i="31"/>
  <c r="P1966" i="31"/>
  <c r="P1953" i="31"/>
  <c r="P1958" i="31"/>
  <c r="P1961" i="31"/>
  <c r="P1964" i="31"/>
  <c r="P1965" i="31"/>
  <c r="P1969" i="31"/>
  <c r="P1971" i="31"/>
  <c r="P1973" i="31"/>
  <c r="P1974" i="31"/>
  <c r="P1957" i="31"/>
  <c r="P1959" i="31"/>
  <c r="P1962" i="31"/>
  <c r="P1963" i="31"/>
  <c r="P1967" i="31"/>
  <c r="P1968" i="31"/>
  <c r="P1970" i="31"/>
  <c r="P1972" i="31"/>
  <c r="P2003" i="31"/>
  <c r="P2004" i="31"/>
  <c r="P2008" i="31"/>
  <c r="P2009" i="31"/>
  <c r="P2011" i="31"/>
  <c r="P2012" i="31"/>
  <c r="P1975" i="31"/>
  <c r="P1976" i="31"/>
  <c r="P1977" i="31"/>
  <c r="P1978" i="31"/>
  <c r="P1979" i="31"/>
  <c r="P1980" i="31"/>
  <c r="P1981" i="31"/>
  <c r="P1983" i="31"/>
  <c r="P1984" i="31"/>
  <c r="P1985" i="31"/>
  <c r="P1986" i="31"/>
  <c r="P1987" i="31"/>
  <c r="P1988" i="31"/>
  <c r="P1989" i="31"/>
  <c r="P1990" i="31"/>
  <c r="P1991" i="31"/>
  <c r="P1992" i="31"/>
  <c r="P1993" i="31"/>
  <c r="P1994" i="31"/>
  <c r="P1996" i="31"/>
  <c r="P1997" i="31"/>
  <c r="P1998" i="31"/>
  <c r="P1999" i="31"/>
  <c r="P2000" i="31"/>
  <c r="P2002" i="31"/>
  <c r="P2005" i="31"/>
  <c r="P2006" i="31"/>
  <c r="P2007" i="31"/>
  <c r="P2013" i="31"/>
  <c r="P2014" i="31"/>
  <c r="P2016" i="31"/>
  <c r="P2024" i="31"/>
  <c r="P2027" i="31"/>
  <c r="P2028" i="31"/>
  <c r="P2033" i="31"/>
  <c r="P2035" i="31"/>
  <c r="P2036" i="31"/>
  <c r="P2039" i="31"/>
  <c r="P2040" i="31"/>
  <c r="P2097" i="31"/>
  <c r="P2015" i="31"/>
  <c r="P2010" i="31"/>
  <c r="P2020" i="31"/>
  <c r="P2017" i="31"/>
  <c r="P2018" i="31"/>
  <c r="P2019" i="31"/>
  <c r="P2022" i="31"/>
  <c r="P2021" i="31"/>
  <c r="P2029" i="31"/>
  <c r="P2023" i="31"/>
  <c r="P2025" i="31"/>
  <c r="P2026" i="31"/>
  <c r="P2030" i="31"/>
  <c r="P2031" i="31"/>
  <c r="P2034" i="31"/>
  <c r="P2032" i="31"/>
  <c r="P2037" i="31"/>
  <c r="P2038" i="31"/>
  <c r="P2098" i="31"/>
  <c r="P2099" i="31"/>
  <c r="P2100" i="31"/>
  <c r="P2101" i="31"/>
  <c r="P2102" i="31"/>
  <c r="P2041" i="31"/>
  <c r="P2042" i="31"/>
  <c r="P2044" i="31"/>
  <c r="P2045" i="31"/>
  <c r="P2047" i="31"/>
  <c r="P2046" i="31"/>
  <c r="P2050" i="31"/>
  <c r="P2051" i="31"/>
  <c r="P2052" i="31"/>
  <c r="P2053" i="31"/>
  <c r="P2056" i="31"/>
  <c r="P2055" i="31"/>
  <c r="P2058" i="31"/>
  <c r="P2062" i="31"/>
  <c r="P2063" i="31"/>
  <c r="P2067" i="31"/>
  <c r="P2043" i="31"/>
  <c r="P2048" i="31"/>
  <c r="P2049" i="31"/>
  <c r="P2054" i="31"/>
  <c r="P2057" i="31"/>
  <c r="P2059" i="31"/>
  <c r="P2060" i="31"/>
  <c r="P2061" i="31"/>
  <c r="P2066" i="31"/>
  <c r="P2068" i="31"/>
  <c r="P2069" i="31"/>
  <c r="P2070" i="31"/>
  <c r="P2074" i="31"/>
  <c r="P2080" i="31"/>
  <c r="P2081" i="31"/>
  <c r="P2064" i="31"/>
  <c r="P2065" i="31"/>
  <c r="P2071" i="31"/>
  <c r="P2072" i="31"/>
  <c r="P2076" i="31"/>
  <c r="P2073" i="31"/>
  <c r="P2075" i="31"/>
  <c r="P2077" i="31"/>
  <c r="P2078" i="31"/>
  <c r="P2079" i="31"/>
  <c r="P2082" i="31"/>
  <c r="P2083" i="31"/>
  <c r="P2086" i="31"/>
  <c r="P2087" i="31"/>
  <c r="P2088" i="31"/>
  <c r="P2089" i="31"/>
  <c r="P2090" i="31"/>
  <c r="P2091" i="31"/>
  <c r="P2093" i="31"/>
  <c r="P2094" i="31"/>
  <c r="P2095" i="31"/>
  <c r="P2096" i="31"/>
  <c r="P2103" i="31"/>
  <c r="P2105" i="31"/>
  <c r="P2106" i="31"/>
  <c r="P2107" i="31"/>
  <c r="P2092" i="31"/>
  <c r="P2084" i="31"/>
  <c r="P2085" i="31"/>
  <c r="P2104" i="31"/>
  <c r="P2108" i="31"/>
  <c r="P2109" i="31"/>
  <c r="P2110" i="31"/>
  <c r="P2112" i="31"/>
  <c r="P2113" i="31"/>
  <c r="P2136" i="31"/>
  <c r="P2137" i="31"/>
  <c r="P2183" i="31"/>
  <c r="P2190" i="31"/>
  <c r="P2191" i="31"/>
  <c r="P2193" i="31"/>
  <c r="P2111" i="31"/>
  <c r="P2117" i="31"/>
  <c r="P2119" i="31"/>
  <c r="P2120" i="31"/>
  <c r="P2121" i="31"/>
  <c r="P2123" i="31"/>
  <c r="P2126" i="31"/>
  <c r="P2127" i="31"/>
  <c r="P2128" i="31"/>
  <c r="P2129" i="31"/>
  <c r="P2130" i="31"/>
  <c r="P2131" i="31"/>
  <c r="P2133" i="31"/>
  <c r="P2194" i="31"/>
  <c r="P2195" i="31"/>
  <c r="P2196" i="31"/>
  <c r="P2197" i="31"/>
  <c r="P2199" i="31"/>
  <c r="P2200" i="31"/>
  <c r="P2201" i="31"/>
  <c r="P2139" i="31"/>
  <c r="P2144" i="31"/>
  <c r="P2145" i="31"/>
  <c r="P2147" i="31"/>
  <c r="P2135" i="31"/>
  <c r="P2140" i="31"/>
  <c r="P2138" i="31"/>
  <c r="P2153" i="31"/>
  <c r="P2141" i="31"/>
  <c r="P2142" i="31"/>
  <c r="P2143" i="31"/>
  <c r="P2146" i="31"/>
  <c r="P2148" i="31"/>
  <c r="P2149" i="31"/>
  <c r="P2151" i="31"/>
  <c r="P2152" i="31"/>
  <c r="P2161" i="31"/>
  <c r="P2154" i="31"/>
  <c r="P2155" i="31"/>
  <c r="P2156" i="31"/>
  <c r="P2157" i="31"/>
  <c r="P2159" i="31"/>
  <c r="P2160" i="31"/>
  <c r="P2150" i="31"/>
  <c r="P2158" i="31"/>
  <c r="P2162" i="31"/>
  <c r="P2164" i="31"/>
  <c r="P2170" i="31"/>
  <c r="P2171" i="31"/>
  <c r="P2175" i="31"/>
  <c r="P2176" i="31"/>
  <c r="P2177" i="31"/>
  <c r="P2180" i="31"/>
  <c r="P2181" i="31"/>
  <c r="P2182" i="31"/>
  <c r="P2184" i="31"/>
  <c r="P2185" i="31"/>
  <c r="P2186" i="31"/>
  <c r="P2163" i="31"/>
  <c r="P2165" i="31"/>
  <c r="P2166" i="31"/>
  <c r="P2167" i="31"/>
  <c r="P2168" i="31"/>
  <c r="P2169" i="31"/>
  <c r="P2172" i="31"/>
  <c r="P2173" i="31"/>
  <c r="P2174" i="31"/>
  <c r="P2178" i="31"/>
  <c r="P2179" i="31"/>
  <c r="P2187" i="31"/>
  <c r="P2188" i="31"/>
  <c r="P2189" i="31"/>
  <c r="P629" i="31"/>
  <c r="P2202" i="31"/>
  <c r="P630" i="31"/>
  <c r="P2203" i="31"/>
  <c r="P2204" i="31"/>
  <c r="P2205" i="31"/>
  <c r="P2206" i="31"/>
  <c r="P631" i="31"/>
  <c r="P2207" i="31"/>
  <c r="P2208" i="31"/>
  <c r="P2209" i="31"/>
  <c r="P2210" i="31"/>
  <c r="P2211" i="31"/>
  <c r="P2212" i="31"/>
  <c r="P2213" i="31"/>
  <c r="P2214" i="31"/>
  <c r="P2215" i="31"/>
  <c r="P2216" i="31"/>
  <c r="P2217" i="31"/>
  <c r="P2218" i="31"/>
  <c r="P2284" i="31"/>
  <c r="P2192" i="31"/>
  <c r="P2198" i="31"/>
  <c r="P636" i="31"/>
  <c r="P638" i="31"/>
  <c r="P639" i="31"/>
  <c r="P2289" i="31"/>
  <c r="P2297" i="31"/>
  <c r="P645" i="31"/>
  <c r="P2219" i="31"/>
  <c r="P2220" i="31"/>
  <c r="P2221" i="31"/>
  <c r="P2222" i="31"/>
  <c r="P2230" i="31"/>
  <c r="P2232" i="31"/>
  <c r="P2237" i="31"/>
  <c r="P2248" i="31"/>
  <c r="P2250" i="31"/>
  <c r="P2252" i="31"/>
  <c r="P2253" i="31"/>
  <c r="P2254" i="31"/>
  <c r="P2256" i="31"/>
  <c r="P2260" i="31"/>
  <c r="P2261" i="31"/>
  <c r="P2263" i="31"/>
  <c r="P2231" i="31"/>
  <c r="P2233" i="31"/>
  <c r="P2234" i="31"/>
  <c r="P2235" i="31"/>
  <c r="P2236" i="31"/>
  <c r="P2238" i="31"/>
  <c r="P2239" i="31"/>
  <c r="P2240" i="31"/>
  <c r="P2241" i="31"/>
  <c r="P2242" i="31"/>
  <c r="P2243" i="31"/>
  <c r="P2244" i="31"/>
  <c r="P2245" i="31"/>
  <c r="P2268" i="31"/>
  <c r="P2271" i="31"/>
  <c r="P2273" i="31"/>
  <c r="P2274" i="31"/>
  <c r="P2275" i="31"/>
  <c r="P2277" i="31"/>
  <c r="P2223" i="31"/>
  <c r="P2224" i="31"/>
  <c r="P2225" i="31"/>
  <c r="P2226" i="31"/>
  <c r="P2227" i="31"/>
  <c r="P2228" i="31"/>
  <c r="P2249" i="31"/>
  <c r="P2246" i="31"/>
  <c r="P2247" i="31"/>
  <c r="P2259" i="31"/>
  <c r="P2251" i="31"/>
  <c r="P2255" i="31"/>
  <c r="P2257" i="31"/>
  <c r="P2258" i="31"/>
  <c r="P2267" i="31"/>
  <c r="P2262" i="31"/>
  <c r="P2264" i="31"/>
  <c r="P2265" i="31"/>
  <c r="P2266" i="31"/>
  <c r="P2272" i="31"/>
  <c r="P2269" i="31"/>
  <c r="P2270" i="31"/>
  <c r="P2229" i="31"/>
  <c r="P2280" i="31"/>
  <c r="P2283" i="31"/>
  <c r="P658" i="31"/>
  <c r="P2304" i="31"/>
  <c r="P2278" i="31"/>
  <c r="P2276" i="31"/>
  <c r="P2282" i="31"/>
  <c r="P2279" i="31"/>
  <c r="P2281" i="31"/>
  <c r="P2285" i="31"/>
  <c r="P2288" i="31"/>
  <c r="P2286" i="31"/>
  <c r="P2287" i="31"/>
  <c r="P2291" i="31"/>
  <c r="P2290" i="31"/>
  <c r="P2306" i="31"/>
  <c r="P2309" i="31"/>
  <c r="P2292" i="31"/>
  <c r="P2293" i="31"/>
  <c r="P2294" i="31"/>
  <c r="P2295" i="31"/>
  <c r="P2296" i="31"/>
  <c r="P2298" i="31"/>
  <c r="P2299" i="31"/>
  <c r="P2300" i="31"/>
  <c r="P2301" i="31"/>
  <c r="P2302" i="31"/>
  <c r="P2303" i="31"/>
  <c r="P2305" i="31"/>
  <c r="P2310" i="31"/>
  <c r="P2311" i="31"/>
  <c r="P2313" i="31"/>
  <c r="P2314" i="31"/>
  <c r="P2315" i="31"/>
  <c r="P2316" i="31"/>
  <c r="P2307" i="31"/>
  <c r="P2308" i="31"/>
  <c r="P2312" i="31"/>
  <c r="P659" i="31"/>
  <c r="P2317" i="31"/>
  <c r="P2319" i="31"/>
  <c r="P2324" i="31"/>
  <c r="P2326" i="31"/>
  <c r="P2366" i="31"/>
  <c r="P2327" i="31"/>
  <c r="P2318" i="31"/>
  <c r="P2320" i="31"/>
  <c r="P2321" i="31"/>
  <c r="P2322" i="31"/>
  <c r="P2323" i="31"/>
  <c r="P2328" i="31"/>
  <c r="P2329" i="31"/>
  <c r="P2330" i="31"/>
  <c r="P2331" i="31"/>
  <c r="P2336" i="31"/>
  <c r="P2338" i="31"/>
  <c r="P2325" i="31"/>
  <c r="P2332" i="31"/>
  <c r="P2333" i="31"/>
  <c r="P2334" i="31"/>
  <c r="P2335" i="31"/>
  <c r="P2337" i="31"/>
  <c r="P2340" i="31"/>
  <c r="P2346" i="31"/>
  <c r="P2339" i="31"/>
  <c r="P2341" i="31"/>
  <c r="P2342" i="31"/>
  <c r="P2343" i="31"/>
  <c r="P2344" i="31"/>
  <c r="P2345" i="31"/>
  <c r="P2347" i="31"/>
  <c r="P2348" i="31"/>
  <c r="P2349" i="31"/>
  <c r="P2350" i="31"/>
  <c r="P2351" i="31"/>
  <c r="P2357" i="31"/>
  <c r="P2358" i="31"/>
  <c r="P2359" i="31"/>
  <c r="P2368" i="31"/>
  <c r="P2369" i="31"/>
  <c r="P2370" i="31"/>
  <c r="P2353" i="31"/>
  <c r="P2352" i="31"/>
  <c r="P2355" i="31"/>
  <c r="P2354" i="31"/>
  <c r="P2356" i="31"/>
  <c r="P2360" i="31"/>
  <c r="P2361" i="31"/>
  <c r="P2362" i="31"/>
  <c r="P2363" i="31"/>
  <c r="P2364" i="31"/>
  <c r="P2365" i="31"/>
  <c r="P2371" i="31"/>
  <c r="P2372" i="31"/>
  <c r="P2374" i="31"/>
  <c r="P660" i="31"/>
  <c r="P2376" i="31"/>
  <c r="P2377" i="31"/>
  <c r="P2379" i="31"/>
  <c r="P2381" i="31"/>
  <c r="P2384" i="31"/>
  <c r="P2385" i="31"/>
  <c r="P2367" i="31"/>
  <c r="P2373" i="31"/>
  <c r="P2375" i="31"/>
  <c r="P2378" i="31"/>
  <c r="P2380" i="31"/>
  <c r="P2388" i="31"/>
  <c r="P2399" i="31"/>
  <c r="P2405" i="31"/>
  <c r="P2412" i="31"/>
  <c r="P2413" i="31"/>
  <c r="P2396" i="31"/>
  <c r="P2428" i="31"/>
  <c r="P979" i="31"/>
  <c r="P2444" i="31"/>
  <c r="P2414" i="31"/>
  <c r="P2415" i="31"/>
  <c r="P2416" i="31"/>
  <c r="P978" i="31"/>
  <c r="P2420" i="31"/>
  <c r="P2382" i="31"/>
  <c r="P2383" i="31"/>
  <c r="P2386" i="31"/>
  <c r="P2387" i="31"/>
  <c r="P2389" i="31"/>
  <c r="P2390" i="31"/>
  <c r="P2391" i="31"/>
  <c r="P2392" i="31"/>
  <c r="P2393" i="31"/>
  <c r="P2394" i="31"/>
  <c r="P2395" i="31"/>
  <c r="P2397" i="31"/>
  <c r="P2398" i="31"/>
  <c r="P2400" i="31"/>
  <c r="P2401" i="31"/>
  <c r="P2402" i="31"/>
  <c r="P2403" i="31"/>
  <c r="P2404" i="31"/>
  <c r="P2406" i="31"/>
  <c r="P2407" i="31"/>
  <c r="P2408" i="31"/>
  <c r="P2409" i="31"/>
  <c r="P2410" i="31"/>
  <c r="P2411" i="31"/>
  <c r="P2417" i="31"/>
  <c r="P2418" i="31"/>
  <c r="P2419" i="31"/>
  <c r="P2421" i="31"/>
  <c r="P2422" i="31"/>
  <c r="P2423" i="31"/>
  <c r="P2425" i="31"/>
  <c r="P2426" i="31"/>
  <c r="P2427" i="31"/>
  <c r="P2429" i="31"/>
  <c r="P2430" i="31"/>
  <c r="P2431" i="31"/>
  <c r="P2432" i="31"/>
  <c r="P2433" i="31"/>
  <c r="P2434" i="31"/>
  <c r="P2435" i="31"/>
  <c r="P2436" i="31"/>
  <c r="P2437" i="31"/>
  <c r="P2438" i="31"/>
  <c r="P2439" i="31"/>
  <c r="P2440" i="31"/>
  <c r="P2441" i="31"/>
  <c r="P2442" i="31"/>
  <c r="P2424" i="31"/>
  <c r="P2454" i="31"/>
  <c r="P2456" i="31"/>
  <c r="P2460" i="31"/>
  <c r="P2461" i="31"/>
  <c r="P2464" i="31"/>
  <c r="P2468" i="31"/>
  <c r="P2443" i="31"/>
  <c r="P2445" i="31"/>
  <c r="P2446" i="31"/>
  <c r="P2447" i="31"/>
  <c r="P2448" i="31"/>
  <c r="P2449" i="31"/>
  <c r="P2450" i="31"/>
  <c r="P2452" i="31"/>
  <c r="P2455" i="31"/>
  <c r="P2457" i="31"/>
  <c r="P2458" i="31"/>
  <c r="P2459" i="31"/>
  <c r="P2462" i="31"/>
  <c r="P2470" i="31"/>
  <c r="P2451" i="31"/>
  <c r="P2453" i="31"/>
  <c r="P2466" i="31"/>
  <c r="P2471" i="31"/>
  <c r="P2474" i="31"/>
  <c r="P2480" i="31"/>
  <c r="P2481" i="31"/>
  <c r="P2493" i="31"/>
  <c r="P2494" i="31"/>
  <c r="P2501" i="31"/>
  <c r="P2463" i="31"/>
  <c r="P2465" i="31"/>
  <c r="P2467" i="31"/>
  <c r="P2469" i="31"/>
  <c r="P2472" i="31"/>
  <c r="P2473" i="31"/>
  <c r="P2478" i="31"/>
  <c r="P2483" i="31"/>
  <c r="P2484" i="31"/>
  <c r="P2485" i="31"/>
  <c r="P2487" i="31"/>
  <c r="P2489" i="31"/>
  <c r="P2490" i="31"/>
  <c r="P2495" i="31"/>
  <c r="P2496" i="31"/>
  <c r="P2497" i="31"/>
  <c r="P2498" i="31"/>
  <c r="P2499" i="31"/>
  <c r="P2500" i="31"/>
  <c r="P2502" i="31"/>
  <c r="P2503" i="31"/>
  <c r="P2504" i="31"/>
  <c r="P2505" i="31"/>
  <c r="P2507" i="31"/>
  <c r="P2506" i="31"/>
  <c r="P2482" i="31"/>
  <c r="P2486" i="31"/>
  <c r="P2488" i="31"/>
  <c r="P2491" i="31"/>
  <c r="P2492" i="31"/>
  <c r="P2475" i="31"/>
  <c r="P2476" i="31"/>
  <c r="P2477" i="31"/>
  <c r="P2479" i="31"/>
  <c r="P2508" i="31"/>
  <c r="P2512" i="31"/>
  <c r="P2513" i="31"/>
  <c r="P2516" i="31"/>
  <c r="P2521" i="31"/>
  <c r="P2523" i="31"/>
  <c r="P2525" i="31"/>
  <c r="P2526" i="31"/>
  <c r="P2527" i="31"/>
  <c r="P2529" i="31"/>
  <c r="P2530" i="31"/>
  <c r="P2524" i="31"/>
  <c r="P2532" i="31"/>
  <c r="P2541" i="31"/>
  <c r="P2536" i="31"/>
  <c r="P2538" i="31"/>
  <c r="P2543" i="31"/>
  <c r="P2547" i="31"/>
  <c r="P2549" i="31"/>
  <c r="P2604" i="31"/>
  <c r="P2606" i="31"/>
  <c r="P2509" i="31"/>
  <c r="P2510" i="31"/>
  <c r="P2511" i="31"/>
  <c r="P2514" i="31"/>
  <c r="P2515" i="31"/>
  <c r="P2517" i="31"/>
  <c r="P2518" i="31"/>
  <c r="P2519" i="31"/>
  <c r="P2520" i="31"/>
  <c r="P2522" i="31"/>
  <c r="P2528" i="31"/>
  <c r="P2531" i="31"/>
  <c r="P2533" i="31"/>
  <c r="P2534" i="31"/>
  <c r="P2535" i="31"/>
  <c r="P2537" i="31"/>
  <c r="P2539" i="31"/>
  <c r="P2540" i="31"/>
  <c r="P2542" i="31"/>
  <c r="P2544" i="31"/>
  <c r="P2545" i="31"/>
  <c r="P2546" i="31"/>
  <c r="P2548" i="31"/>
  <c r="P2567" i="31"/>
  <c r="P2552" i="31"/>
  <c r="P2553" i="31"/>
  <c r="P2554" i="31"/>
  <c r="P2555" i="31"/>
  <c r="P2556" i="31"/>
  <c r="P2557" i="31"/>
  <c r="P2558" i="31"/>
  <c r="P2559" i="31"/>
  <c r="P2560" i="31"/>
  <c r="P2561" i="31"/>
  <c r="P2562" i="31"/>
  <c r="P2563" i="31"/>
  <c r="P2564" i="31"/>
  <c r="P2565" i="31"/>
  <c r="P2566" i="31"/>
  <c r="P2568" i="31"/>
  <c r="P2569" i="31"/>
  <c r="P2570" i="31"/>
  <c r="P2571" i="31"/>
  <c r="P2572" i="31"/>
  <c r="P2609" i="31"/>
  <c r="P2611" i="31"/>
  <c r="P2579" i="31"/>
  <c r="P2581" i="31"/>
  <c r="P2582" i="31"/>
  <c r="P2583" i="31"/>
  <c r="P2585" i="31"/>
  <c r="P2550" i="31"/>
  <c r="P2551" i="31"/>
  <c r="P2574" i="31"/>
  <c r="P2576" i="31"/>
  <c r="P2613" i="31"/>
  <c r="P2573" i="31"/>
  <c r="P2575" i="31"/>
  <c r="P2577" i="31"/>
  <c r="P2580" i="31"/>
  <c r="P2584" i="31"/>
  <c r="P2586" i="31"/>
  <c r="P2588" i="31"/>
  <c r="P2589" i="31"/>
  <c r="P2590" i="31"/>
  <c r="P2591" i="31"/>
  <c r="P2592" i="31"/>
  <c r="P2596" i="31"/>
  <c r="P2616" i="31"/>
  <c r="P2621" i="31"/>
  <c r="P2625" i="31"/>
  <c r="P2578" i="31"/>
  <c r="P2587" i="31"/>
  <c r="P2593" i="31"/>
  <c r="P2594" i="31"/>
  <c r="P2595" i="31"/>
  <c r="P2597" i="31"/>
  <c r="P2599" i="31"/>
  <c r="P2630" i="31"/>
  <c r="P2626" i="31"/>
  <c r="P2631" i="31"/>
  <c r="P2633" i="31"/>
  <c r="P2598" i="31"/>
  <c r="P2600" i="31"/>
  <c r="P2601" i="31"/>
  <c r="P2602" i="31"/>
  <c r="P2603" i="31"/>
  <c r="P2605" i="31"/>
  <c r="P2607" i="31"/>
  <c r="P2608" i="31"/>
  <c r="P2610" i="31"/>
  <c r="P2612" i="31"/>
  <c r="P2614" i="31"/>
  <c r="P2615" i="31"/>
  <c r="P2617" i="31"/>
  <c r="P2618" i="31"/>
  <c r="P2619" i="31"/>
  <c r="P2620" i="31"/>
  <c r="P2622" i="31"/>
  <c r="P2623" i="31"/>
  <c r="P2624" i="31"/>
  <c r="P2627" i="31"/>
  <c r="P2628" i="31"/>
  <c r="P2629" i="31"/>
  <c r="P2632" i="31"/>
  <c r="P2638" i="31"/>
  <c r="P2639" i="31"/>
  <c r="P2640" i="31"/>
  <c r="P2641" i="31"/>
  <c r="P2642" i="31"/>
  <c r="P2648" i="31"/>
  <c r="P2650" i="31"/>
  <c r="P2651" i="31"/>
  <c r="P2653" i="31"/>
  <c r="P2655" i="31"/>
  <c r="P2634" i="31"/>
  <c r="P2635" i="31"/>
  <c r="P2636" i="31"/>
  <c r="P2637" i="31"/>
  <c r="P2644" i="31"/>
  <c r="P2645" i="31"/>
  <c r="P2646" i="31"/>
  <c r="P2647" i="31"/>
  <c r="P2649" i="31"/>
  <c r="P2652" i="31"/>
  <c r="P2654" i="31"/>
  <c r="P2656" i="31"/>
  <c r="P2657" i="31"/>
  <c r="P2658" i="31"/>
  <c r="P2659" i="31"/>
  <c r="P2660" i="31"/>
  <c r="P2661" i="31"/>
  <c r="P2663" i="31"/>
  <c r="P2665" i="31"/>
  <c r="P2668" i="31"/>
  <c r="P2643" i="31"/>
  <c r="P2662" i="31"/>
  <c r="P2664" i="31"/>
  <c r="P2666" i="31"/>
  <c r="P2667" i="31"/>
  <c r="P2674" i="31"/>
  <c r="P2675" i="31"/>
  <c r="P2679" i="31"/>
  <c r="P2669" i="31"/>
  <c r="P2670" i="31"/>
  <c r="P2671" i="31"/>
  <c r="P2672" i="31"/>
  <c r="P2677" i="31"/>
  <c r="P2678" i="31"/>
  <c r="P2681" i="31"/>
  <c r="P2682" i="31"/>
  <c r="P2683" i="31"/>
  <c r="P2684" i="31"/>
  <c r="P2673" i="31"/>
  <c r="P2676" i="31"/>
  <c r="P2680" i="31"/>
  <c r="P2686" i="31"/>
  <c r="P2685" i="31"/>
  <c r="P2687" i="31"/>
  <c r="P2688" i="31"/>
  <c r="P2689" i="31"/>
  <c r="P2690" i="31"/>
  <c r="P2693" i="31"/>
  <c r="P2691" i="31"/>
  <c r="P2692" i="31"/>
  <c r="P2694" i="31"/>
  <c r="P2695" i="31"/>
  <c r="P2696" i="31"/>
  <c r="P2697" i="31"/>
  <c r="P2698" i="31"/>
  <c r="P2701" i="31"/>
  <c r="P2702" i="31"/>
  <c r="P2703" i="31"/>
  <c r="P2704" i="31"/>
  <c r="P2705" i="31"/>
  <c r="P2699" i="31"/>
  <c r="P2700" i="31"/>
  <c r="P2706" i="31"/>
  <c r="P2712" i="31"/>
  <c r="P2714" i="31"/>
  <c r="P2715" i="31"/>
  <c r="P2717" i="31"/>
  <c r="P2718" i="31"/>
  <c r="P2707" i="31"/>
  <c r="P2708" i="31"/>
  <c r="P2709" i="31"/>
  <c r="P2710" i="31"/>
  <c r="P2711" i="31"/>
  <c r="P2713" i="31"/>
  <c r="P2716" i="31"/>
  <c r="P2727" i="31"/>
  <c r="P2728" i="31"/>
  <c r="P2730" i="31"/>
  <c r="P2731" i="31"/>
  <c r="P2732" i="31"/>
  <c r="P2733" i="31"/>
  <c r="P2720" i="31"/>
  <c r="P2722" i="31"/>
  <c r="P2724" i="31"/>
  <c r="P2725" i="31"/>
  <c r="P2726" i="31"/>
  <c r="P2729" i="31"/>
  <c r="P2719" i="31"/>
  <c r="P2721" i="31"/>
  <c r="P2723" i="31"/>
  <c r="P2735" i="31"/>
  <c r="P2739" i="31"/>
  <c r="P2744" i="31"/>
  <c r="P2745" i="31"/>
  <c r="P2748" i="31"/>
  <c r="P2749" i="31"/>
  <c r="P2750" i="31"/>
  <c r="P2752" i="31"/>
  <c r="P2754" i="31"/>
  <c r="P2755" i="31"/>
  <c r="P2734" i="31"/>
  <c r="P2736" i="31"/>
  <c r="P2737" i="31"/>
  <c r="P2738" i="31"/>
  <c r="P2740" i="31"/>
  <c r="P2741" i="31"/>
  <c r="P2742" i="31"/>
  <c r="P2743" i="31"/>
  <c r="P2746" i="31"/>
  <c r="P2747" i="31"/>
  <c r="P2751" i="31"/>
  <c r="P2753" i="31"/>
  <c r="P2756" i="31"/>
  <c r="P2757" i="31"/>
  <c r="P2758" i="31"/>
  <c r="P2759" i="31"/>
  <c r="P2760" i="31"/>
  <c r="P2761" i="31"/>
  <c r="P2762" i="31"/>
  <c r="P2763" i="31"/>
  <c r="P2764" i="31"/>
  <c r="P2765" i="31"/>
  <c r="P2767" i="31"/>
  <c r="P2768" i="31"/>
  <c r="P2769" i="31"/>
  <c r="P2770" i="31"/>
  <c r="P2771" i="31"/>
  <c r="P2772" i="31"/>
  <c r="P2773" i="31"/>
  <c r="P2774" i="31"/>
  <c r="P2775" i="31"/>
  <c r="P2776" i="31"/>
  <c r="P2778" i="31"/>
  <c r="P2779" i="31"/>
  <c r="P2780" i="31"/>
  <c r="P2782" i="31"/>
  <c r="P2783" i="31"/>
  <c r="P2784" i="31"/>
  <c r="P2785" i="31"/>
  <c r="P2786" i="31"/>
  <c r="P2787" i="31"/>
  <c r="P2790" i="31"/>
  <c r="P2791" i="31"/>
  <c r="P2792" i="31"/>
  <c r="P2793" i="31"/>
  <c r="P2794" i="31"/>
  <c r="P2800" i="31"/>
  <c r="P2802" i="31"/>
  <c r="P2803" i="31"/>
  <c r="P2795" i="31"/>
  <c r="P2797" i="31"/>
  <c r="P2798" i="31"/>
  <c r="P2799" i="31"/>
  <c r="P2806" i="31"/>
  <c r="P2808" i="31"/>
  <c r="P2810" i="31"/>
  <c r="P2812" i="31"/>
  <c r="P2813" i="31"/>
  <c r="P2781" i="31"/>
  <c r="P2789" i="31"/>
  <c r="P2820" i="31"/>
  <c r="P2821" i="31"/>
  <c r="P2828" i="31"/>
  <c r="P2766" i="31"/>
  <c r="P2777" i="31"/>
  <c r="P2788" i="31"/>
  <c r="P2796" i="31"/>
  <c r="P2801" i="31"/>
  <c r="P2804" i="31"/>
  <c r="P2805" i="31"/>
  <c r="P2807" i="31"/>
  <c r="P2809" i="31"/>
  <c r="P2811" i="31"/>
  <c r="P2815" i="31"/>
  <c r="P2816" i="31"/>
  <c r="P2819" i="31"/>
  <c r="P2822" i="31"/>
  <c r="P2833" i="31"/>
  <c r="P2814" i="31"/>
  <c r="P2817" i="31"/>
  <c r="P2818" i="31"/>
  <c r="P2823" i="31"/>
  <c r="P2824" i="31"/>
  <c r="P2825" i="31"/>
  <c r="P2826" i="31"/>
  <c r="P2827" i="31"/>
  <c r="P2856" i="31"/>
  <c r="P2943" i="31"/>
  <c r="P2944" i="31"/>
  <c r="P2945" i="31"/>
  <c r="P2946" i="31"/>
  <c r="P2829" i="31"/>
  <c r="P2849" i="31"/>
  <c r="P2834" i="31"/>
  <c r="P2835" i="31"/>
  <c r="P2836" i="31"/>
  <c r="P2837" i="31"/>
  <c r="P2838" i="31"/>
  <c r="P2839" i="31"/>
  <c r="P2840" i="31"/>
  <c r="P2841" i="31"/>
  <c r="P2842" i="31"/>
  <c r="P2843" i="31"/>
  <c r="P2844" i="31"/>
  <c r="P2845" i="31"/>
  <c r="P2846" i="31"/>
  <c r="P2847" i="31"/>
  <c r="P2848" i="31"/>
  <c r="P2850" i="31"/>
  <c r="P2851" i="31"/>
  <c r="P2852" i="31"/>
  <c r="P2853" i="31"/>
  <c r="P2855" i="31"/>
  <c r="P2857" i="31"/>
  <c r="P2858" i="31"/>
  <c r="P2859" i="31"/>
  <c r="P2860" i="31"/>
  <c r="P2861" i="31"/>
  <c r="P2862" i="31"/>
  <c r="P2863" i="31"/>
  <c r="P2864" i="31"/>
  <c r="P2865" i="31"/>
  <c r="P2866" i="31"/>
  <c r="P2867" i="31"/>
  <c r="P2868" i="31"/>
  <c r="P2869" i="31"/>
  <c r="P2870" i="31"/>
  <c r="P2871" i="31"/>
  <c r="P2872" i="31"/>
  <c r="P2873" i="31"/>
  <c r="P2874" i="31"/>
  <c r="P2875" i="31"/>
  <c r="P2876" i="31"/>
  <c r="P2877" i="31"/>
  <c r="P2878" i="31"/>
  <c r="P2879" i="31"/>
  <c r="P2880" i="31"/>
  <c r="P2881" i="31"/>
  <c r="P2882" i="31"/>
  <c r="P2883" i="31"/>
  <c r="P2884" i="31"/>
  <c r="P2885" i="31"/>
  <c r="P2886" i="31"/>
  <c r="P2887" i="31"/>
  <c r="P2888" i="31"/>
  <c r="P2889" i="31"/>
  <c r="P2890" i="31"/>
  <c r="P2891" i="31"/>
  <c r="P2892" i="31"/>
  <c r="P2893" i="31"/>
  <c r="P2894" i="31"/>
  <c r="P2895" i="31"/>
  <c r="P2896" i="31"/>
  <c r="P2897" i="31"/>
  <c r="P2898" i="31"/>
  <c r="P2899" i="31"/>
  <c r="P2900" i="31"/>
  <c r="P2901" i="31"/>
  <c r="P2902" i="31"/>
  <c r="P2903" i="31"/>
  <c r="P2904" i="31"/>
  <c r="P2905" i="31"/>
  <c r="P2906" i="31"/>
  <c r="P2907" i="31"/>
  <c r="P2908" i="31"/>
  <c r="P2909" i="31"/>
  <c r="P2910" i="31"/>
  <c r="P2911" i="31"/>
  <c r="P2912" i="31"/>
  <c r="P2913" i="31"/>
  <c r="P2914" i="31"/>
  <c r="P2915" i="31"/>
  <c r="P2916" i="31"/>
  <c r="P2917" i="31"/>
  <c r="P2918" i="31"/>
  <c r="P2919" i="31"/>
  <c r="P2920" i="31"/>
  <c r="P2921" i="31"/>
  <c r="P2922" i="31"/>
  <c r="P2923" i="31"/>
  <c r="P2924" i="31"/>
  <c r="P2925" i="31"/>
  <c r="P2926" i="31"/>
  <c r="P2927" i="31"/>
  <c r="P2928" i="31"/>
  <c r="P2929" i="31"/>
  <c r="P2930" i="31"/>
  <c r="P2931" i="31"/>
  <c r="P2932" i="31"/>
  <c r="P2933" i="31"/>
  <c r="P2934" i="31"/>
  <c r="P2935" i="31"/>
  <c r="P2936" i="31"/>
  <c r="P2937" i="31"/>
  <c r="P2938" i="31"/>
  <c r="P2939" i="31"/>
  <c r="P2940" i="31"/>
  <c r="P2941" i="31"/>
  <c r="P2942" i="31"/>
  <c r="P2830" i="31"/>
  <c r="P2831" i="31"/>
  <c r="P2832" i="31"/>
  <c r="P2854" i="31"/>
  <c r="P2947" i="31"/>
  <c r="P2948" i="31"/>
  <c r="P2949" i="31"/>
  <c r="P2950" i="31"/>
  <c r="P2951" i="31"/>
  <c r="P2952" i="31"/>
  <c r="P2953" i="31"/>
  <c r="P2954" i="31"/>
  <c r="P2955" i="31"/>
  <c r="P2956" i="31"/>
  <c r="P2957" i="31"/>
  <c r="P2958" i="31"/>
  <c r="P2959" i="31"/>
  <c r="P2960" i="31"/>
  <c r="P2961" i="31"/>
  <c r="P2962" i="31"/>
  <c r="P2963" i="31"/>
  <c r="P2971" i="31"/>
  <c r="P2964" i="31"/>
  <c r="P2965" i="31"/>
  <c r="P2966" i="31"/>
  <c r="P2967" i="31"/>
  <c r="P2968" i="31"/>
  <c r="P2969" i="31"/>
  <c r="P2970" i="31"/>
  <c r="P2972" i="31"/>
  <c r="P2973" i="31"/>
  <c r="P2974" i="31"/>
  <c r="P2975" i="31"/>
  <c r="P2976" i="31"/>
  <c r="P2977" i="31"/>
  <c r="P2978" i="31"/>
  <c r="P2979" i="31"/>
  <c r="P2980" i="31"/>
  <c r="P2981" i="31"/>
  <c r="P2982" i="31"/>
  <c r="P2983" i="31"/>
  <c r="P2984" i="31"/>
  <c r="P2985" i="31"/>
  <c r="P2986" i="31"/>
  <c r="P3019" i="31"/>
  <c r="P2987" i="31"/>
  <c r="P2988" i="31"/>
  <c r="P2989" i="31"/>
  <c r="P2990" i="31"/>
  <c r="P2991" i="31"/>
  <c r="P2992" i="31"/>
  <c r="P2993" i="31"/>
  <c r="P2994" i="31"/>
  <c r="P2995" i="31"/>
  <c r="P2996" i="31"/>
  <c r="P2997" i="31"/>
  <c r="P2999" i="31"/>
  <c r="P3000" i="31"/>
  <c r="P3001" i="31"/>
  <c r="P3002" i="31"/>
  <c r="P3003" i="31"/>
  <c r="P3004" i="31"/>
  <c r="P3005" i="31"/>
  <c r="P3006" i="31"/>
  <c r="P3007" i="31"/>
  <c r="P3008" i="31"/>
  <c r="P3009" i="31"/>
  <c r="P3010" i="31"/>
  <c r="P3011" i="31"/>
  <c r="P3012" i="31"/>
  <c r="P3013" i="31"/>
  <c r="P3014" i="31"/>
  <c r="P3015" i="31"/>
  <c r="P3016" i="31"/>
  <c r="P3017" i="31"/>
  <c r="P3018" i="31"/>
  <c r="P3041" i="31"/>
  <c r="P3020" i="31"/>
  <c r="P3021" i="31"/>
  <c r="P3022" i="31"/>
  <c r="P3023" i="31"/>
  <c r="P3024" i="31"/>
  <c r="P3025" i="31"/>
  <c r="P3026" i="31"/>
  <c r="P3027" i="31"/>
  <c r="P3028" i="31"/>
  <c r="P3029" i="31"/>
  <c r="P3030" i="31"/>
  <c r="P3031" i="31"/>
  <c r="P3032" i="31"/>
  <c r="P3033" i="31"/>
  <c r="P3034" i="31"/>
  <c r="P3035" i="31"/>
  <c r="P3036" i="31"/>
  <c r="P3037" i="31"/>
  <c r="P3038" i="31"/>
  <c r="P3039" i="31"/>
  <c r="P3040" i="31"/>
  <c r="P3042" i="31"/>
  <c r="P3043" i="31"/>
  <c r="P3044" i="31"/>
  <c r="P3045" i="31"/>
  <c r="P3046" i="31"/>
  <c r="P3047" i="31"/>
  <c r="P3048" i="31"/>
  <c r="P3066" i="31"/>
  <c r="P3049" i="31"/>
  <c r="P3050" i="31"/>
  <c r="P3051" i="31"/>
  <c r="P3052" i="31"/>
  <c r="P3053" i="31"/>
  <c r="P3054" i="31"/>
  <c r="P3055" i="31"/>
  <c r="P3056" i="31"/>
  <c r="P3057" i="31"/>
  <c r="P3058" i="31"/>
  <c r="P3059" i="31"/>
  <c r="P3060" i="31"/>
  <c r="P3061" i="31"/>
  <c r="P3062" i="31"/>
  <c r="P3063" i="31"/>
  <c r="P3064" i="31"/>
  <c r="P3065" i="31"/>
  <c r="P1037" i="31"/>
  <c r="P3067" i="31"/>
  <c r="P3068" i="31"/>
  <c r="P3069" i="31"/>
  <c r="P3070" i="31"/>
  <c r="P3071" i="31"/>
  <c r="P3072" i="31"/>
  <c r="P3073" i="31"/>
  <c r="P3074" i="31"/>
  <c r="P3075" i="31"/>
  <c r="P3076" i="31"/>
  <c r="P3077" i="31"/>
  <c r="P3078" i="31"/>
  <c r="P3079" i="31"/>
  <c r="P3080" i="31"/>
  <c r="P3081" i="31"/>
  <c r="P3082" i="31"/>
  <c r="P3083" i="31"/>
  <c r="P3084" i="31"/>
  <c r="P3085" i="31"/>
  <c r="P3086" i="31"/>
  <c r="P3087" i="31"/>
  <c r="P3088" i="31"/>
  <c r="P3089" i="31"/>
  <c r="P3090" i="31"/>
  <c r="P3095" i="31"/>
  <c r="P3091" i="31"/>
  <c r="P3092" i="31"/>
  <c r="P3093" i="31"/>
  <c r="P3094" i="31"/>
  <c r="P3096" i="31"/>
  <c r="P3097" i="31"/>
  <c r="P3098" i="31"/>
  <c r="P3099" i="31"/>
  <c r="P3100" i="31"/>
  <c r="P3101" i="31"/>
  <c r="P3102" i="31"/>
  <c r="P3103" i="31"/>
  <c r="P3104" i="31"/>
  <c r="P3105" i="31"/>
  <c r="P3106" i="31"/>
  <c r="AA8" i="1"/>
  <c r="BC3" i="1"/>
  <c r="BC4" i="1"/>
  <c r="BC5" i="1"/>
  <c r="BC7" i="1"/>
  <c r="BC6" i="1"/>
  <c r="BB7" i="1"/>
  <c r="BB2" i="1"/>
  <c r="BB3" i="1"/>
  <c r="BB4" i="1"/>
  <c r="BB5" i="1"/>
  <c r="BB6" i="1"/>
  <c r="H28" i="1"/>
  <c r="I9" i="6"/>
  <c r="H9" i="27"/>
  <c r="H11" i="27"/>
  <c r="H10" i="27"/>
  <c r="AD4" i="27"/>
  <c r="C11" i="1"/>
  <c r="Z6" i="1"/>
  <c r="AA5" i="1"/>
  <c r="H2" i="27"/>
  <c r="T2" i="27"/>
  <c r="U2" i="27"/>
  <c r="V2" i="27"/>
  <c r="W2" i="27"/>
  <c r="H3" i="27"/>
  <c r="T3" i="27"/>
  <c r="U3" i="27"/>
  <c r="V3" i="27"/>
  <c r="W3" i="27"/>
  <c r="H6" i="27"/>
  <c r="T6" i="27"/>
  <c r="U6" i="27"/>
  <c r="V6" i="27"/>
  <c r="W6" i="27"/>
  <c r="H5" i="27"/>
  <c r="T5" i="27"/>
  <c r="U5" i="27"/>
  <c r="V5" i="27"/>
  <c r="W5" i="27"/>
  <c r="H7" i="27"/>
  <c r="T7" i="27"/>
  <c r="U7" i="27"/>
  <c r="V7" i="27"/>
  <c r="W7" i="27"/>
  <c r="H4" i="27"/>
  <c r="T4" i="27"/>
  <c r="U4" i="27"/>
  <c r="V4" i="27"/>
  <c r="W4" i="27"/>
  <c r="H8" i="27"/>
  <c r="T8" i="27"/>
  <c r="U8" i="27"/>
  <c r="V8" i="27"/>
  <c r="W8" i="27"/>
  <c r="T9" i="27"/>
  <c r="U9" i="27"/>
  <c r="V9" i="27"/>
  <c r="W9" i="27"/>
  <c r="T10" i="27"/>
  <c r="U10" i="27"/>
  <c r="V10" i="27"/>
  <c r="W10" i="27"/>
  <c r="T11" i="27"/>
  <c r="U11" i="27"/>
  <c r="V11" i="27"/>
  <c r="W11" i="27"/>
  <c r="H12" i="27"/>
  <c r="T12" i="27"/>
  <c r="U12" i="27"/>
  <c r="V12" i="27"/>
  <c r="W12" i="27"/>
  <c r="H13" i="27"/>
  <c r="T13" i="27"/>
  <c r="U13" i="27"/>
  <c r="V13" i="27"/>
  <c r="W13" i="27"/>
  <c r="H14" i="27"/>
  <c r="T14" i="27"/>
  <c r="U14" i="27"/>
  <c r="V14" i="27"/>
  <c r="W14" i="27"/>
  <c r="H15" i="27"/>
  <c r="T15" i="27"/>
  <c r="U15" i="27"/>
  <c r="V15" i="27"/>
  <c r="W15" i="27"/>
  <c r="H16" i="27"/>
  <c r="T16" i="27"/>
  <c r="U16" i="27"/>
  <c r="V16" i="27"/>
  <c r="W16" i="27"/>
  <c r="H17" i="27"/>
  <c r="T17" i="27"/>
  <c r="U17" i="27"/>
  <c r="V17" i="27"/>
  <c r="W17" i="27"/>
  <c r="H18" i="27"/>
  <c r="T18" i="27"/>
  <c r="U18" i="27"/>
  <c r="V18" i="27"/>
  <c r="W18" i="27"/>
  <c r="H19" i="27"/>
  <c r="T19" i="27"/>
  <c r="U19" i="27"/>
  <c r="V19" i="27"/>
  <c r="W19" i="27"/>
  <c r="H20" i="27"/>
  <c r="T20" i="27"/>
  <c r="U20" i="27"/>
  <c r="V20" i="27"/>
  <c r="W20" i="27"/>
  <c r="H21" i="27"/>
  <c r="T21" i="27"/>
  <c r="U21" i="27"/>
  <c r="V21" i="27"/>
  <c r="W21" i="27"/>
  <c r="H22" i="27"/>
  <c r="T22" i="27"/>
  <c r="U22" i="27"/>
  <c r="V22" i="27"/>
  <c r="W22" i="27"/>
  <c r="H23" i="27"/>
  <c r="T23" i="27"/>
  <c r="U23" i="27"/>
  <c r="V23" i="27"/>
  <c r="W23" i="27"/>
  <c r="H24" i="27"/>
  <c r="T24" i="27"/>
  <c r="U24" i="27"/>
  <c r="V24" i="27"/>
  <c r="W24" i="27"/>
  <c r="H25" i="27"/>
  <c r="T25" i="27"/>
  <c r="U25" i="27"/>
  <c r="V25" i="27"/>
  <c r="W25" i="27"/>
  <c r="H26" i="27"/>
  <c r="T26" i="27"/>
  <c r="U26" i="27"/>
  <c r="V26" i="27"/>
  <c r="W26" i="27"/>
  <c r="H27" i="27"/>
  <c r="T27" i="27"/>
  <c r="U27" i="27"/>
  <c r="V27" i="27"/>
  <c r="W27" i="27"/>
  <c r="H28" i="27"/>
  <c r="T28" i="27"/>
  <c r="U28" i="27"/>
  <c r="V28" i="27"/>
  <c r="W28" i="27"/>
  <c r="H29" i="27"/>
  <c r="T29" i="27"/>
  <c r="U29" i="27"/>
  <c r="V29" i="27"/>
  <c r="W29" i="27"/>
  <c r="H30" i="27"/>
  <c r="T30" i="27"/>
  <c r="U30" i="27"/>
  <c r="V30" i="27"/>
  <c r="W30" i="27"/>
  <c r="H31" i="27"/>
  <c r="T31" i="27"/>
  <c r="U31" i="27"/>
  <c r="V31" i="27"/>
  <c r="W31" i="27"/>
  <c r="H32" i="27"/>
  <c r="T32" i="27"/>
  <c r="U32" i="27"/>
  <c r="V32" i="27"/>
  <c r="W32" i="27"/>
  <c r="T33" i="27"/>
  <c r="U33" i="27"/>
  <c r="V33" i="27"/>
  <c r="W33" i="27"/>
  <c r="H34" i="27"/>
  <c r="T34" i="27"/>
  <c r="U34" i="27"/>
  <c r="V34" i="27"/>
  <c r="W34" i="27"/>
  <c r="H35" i="27"/>
  <c r="T35" i="27"/>
  <c r="U35" i="27"/>
  <c r="V35" i="27"/>
  <c r="W35" i="27"/>
  <c r="H36" i="27"/>
  <c r="T36" i="27"/>
  <c r="U36" i="27"/>
  <c r="V36" i="27"/>
  <c r="W36" i="27"/>
  <c r="T37" i="27"/>
  <c r="U37" i="27"/>
  <c r="V37" i="27"/>
  <c r="W37" i="27"/>
  <c r="H38" i="27"/>
  <c r="T38" i="27"/>
  <c r="U38" i="27"/>
  <c r="V38" i="27"/>
  <c r="W38" i="27"/>
  <c r="H39" i="27"/>
  <c r="T39" i="27"/>
  <c r="U39" i="27"/>
  <c r="V39" i="27"/>
  <c r="W39" i="27"/>
  <c r="H40" i="27"/>
  <c r="T40" i="27"/>
  <c r="U40" i="27"/>
  <c r="V40" i="27"/>
  <c r="W40" i="27"/>
  <c r="T41" i="27"/>
  <c r="U41" i="27"/>
  <c r="V41" i="27"/>
  <c r="W41" i="27"/>
  <c r="H42" i="27"/>
  <c r="T42" i="27"/>
  <c r="U42" i="27"/>
  <c r="V42" i="27"/>
  <c r="W42" i="27"/>
  <c r="H43" i="27"/>
  <c r="T43" i="27"/>
  <c r="U43" i="27"/>
  <c r="V43" i="27"/>
  <c r="W43" i="27"/>
  <c r="H44" i="27"/>
  <c r="T44" i="27"/>
  <c r="U44" i="27"/>
  <c r="V44" i="27"/>
  <c r="W44" i="27"/>
  <c r="T45" i="27"/>
  <c r="U45" i="27"/>
  <c r="V45" i="27"/>
  <c r="W45" i="27"/>
  <c r="H46" i="27"/>
  <c r="T46" i="27"/>
  <c r="U46" i="27"/>
  <c r="V46" i="27"/>
  <c r="W46" i="27"/>
  <c r="H47" i="27"/>
  <c r="T47" i="27"/>
  <c r="U47" i="27"/>
  <c r="V47" i="27"/>
  <c r="W47" i="27"/>
  <c r="T48" i="27"/>
  <c r="U48" i="27"/>
  <c r="V48" i="27"/>
  <c r="W48" i="27"/>
  <c r="H49" i="27"/>
  <c r="T49" i="27"/>
  <c r="U49" i="27"/>
  <c r="V49" i="27"/>
  <c r="W49" i="27"/>
  <c r="H50" i="27"/>
  <c r="T50" i="27"/>
  <c r="U50" i="27"/>
  <c r="V50" i="27"/>
  <c r="W50" i="27"/>
  <c r="H51" i="27"/>
  <c r="T51" i="27"/>
  <c r="U51" i="27"/>
  <c r="V51" i="27"/>
  <c r="W51" i="27"/>
  <c r="H52" i="27"/>
  <c r="T52" i="27"/>
  <c r="U52" i="27"/>
  <c r="V52" i="27"/>
  <c r="W52" i="27"/>
  <c r="H53" i="27"/>
  <c r="T53" i="27"/>
  <c r="U53" i="27"/>
  <c r="V53" i="27"/>
  <c r="W53" i="27"/>
  <c r="H54" i="27"/>
  <c r="T54" i="27"/>
  <c r="U54" i="27"/>
  <c r="V54" i="27"/>
  <c r="W54" i="27"/>
  <c r="H55" i="27"/>
  <c r="T55" i="27"/>
  <c r="U55" i="27"/>
  <c r="V55" i="27"/>
  <c r="W55" i="27"/>
  <c r="H56" i="27"/>
  <c r="T56" i="27"/>
  <c r="U56" i="27"/>
  <c r="V56" i="27"/>
  <c r="W56" i="27"/>
  <c r="H57" i="27"/>
  <c r="T57" i="27"/>
  <c r="U57" i="27"/>
  <c r="V57" i="27"/>
  <c r="W57" i="27"/>
  <c r="H58" i="27"/>
  <c r="T58" i="27"/>
  <c r="U58" i="27"/>
  <c r="V58" i="27"/>
  <c r="W58" i="27"/>
  <c r="H59" i="27"/>
  <c r="T59" i="27"/>
  <c r="U59" i="27"/>
  <c r="V59" i="27"/>
  <c r="W59" i="27"/>
  <c r="H60" i="27"/>
  <c r="T60" i="27"/>
  <c r="U60" i="27"/>
  <c r="V60" i="27"/>
  <c r="W60" i="27"/>
  <c r="H61" i="27"/>
  <c r="T61" i="27"/>
  <c r="U61" i="27"/>
  <c r="V61" i="27"/>
  <c r="W61" i="27"/>
  <c r="H62" i="27"/>
  <c r="T62" i="27"/>
  <c r="U62" i="27"/>
  <c r="V62" i="27"/>
  <c r="W62" i="27"/>
  <c r="H63" i="27"/>
  <c r="T63" i="27"/>
  <c r="U63" i="27"/>
  <c r="V63" i="27"/>
  <c r="W63" i="27"/>
  <c r="H64" i="27"/>
  <c r="T64" i="27"/>
  <c r="U64" i="27"/>
  <c r="V64" i="27"/>
  <c r="W64" i="27"/>
  <c r="H65" i="27"/>
  <c r="T65" i="27"/>
  <c r="U65" i="27"/>
  <c r="V65" i="27"/>
  <c r="W65" i="27"/>
  <c r="H66" i="27"/>
  <c r="T66" i="27"/>
  <c r="U66" i="27"/>
  <c r="V66" i="27"/>
  <c r="W66" i="27"/>
  <c r="H67" i="27"/>
  <c r="T67" i="27"/>
  <c r="U67" i="27"/>
  <c r="V67" i="27"/>
  <c r="W67" i="27"/>
  <c r="H68" i="27"/>
  <c r="T68" i="27"/>
  <c r="U68" i="27"/>
  <c r="V68" i="27"/>
  <c r="W68" i="27"/>
  <c r="T69" i="27"/>
  <c r="U69" i="27"/>
  <c r="V69" i="27"/>
  <c r="W69" i="27"/>
  <c r="H70" i="27"/>
  <c r="T70" i="27"/>
  <c r="U70" i="27"/>
  <c r="V70" i="27"/>
  <c r="W70" i="27"/>
  <c r="H71" i="27"/>
  <c r="T71" i="27"/>
  <c r="U71" i="27"/>
  <c r="V71" i="27"/>
  <c r="W71" i="27"/>
  <c r="H72" i="27"/>
  <c r="T72" i="27"/>
  <c r="U72" i="27"/>
  <c r="V72" i="27"/>
  <c r="W72" i="27"/>
  <c r="H73" i="27"/>
  <c r="T73" i="27"/>
  <c r="U73" i="27"/>
  <c r="V73" i="27"/>
  <c r="W73" i="27"/>
  <c r="H74" i="27"/>
  <c r="T74" i="27"/>
  <c r="U74" i="27"/>
  <c r="V74" i="27"/>
  <c r="W74" i="27"/>
  <c r="T75" i="27"/>
  <c r="U75" i="27"/>
  <c r="V75" i="27"/>
  <c r="W75" i="27"/>
  <c r="H77" i="27"/>
  <c r="T77" i="27"/>
  <c r="U77" i="27"/>
  <c r="V77" i="27"/>
  <c r="W77" i="27"/>
  <c r="H78" i="27"/>
  <c r="T78" i="27"/>
  <c r="U78" i="27"/>
  <c r="V78" i="27"/>
  <c r="W78" i="27"/>
  <c r="H79" i="27"/>
  <c r="T79" i="27"/>
  <c r="U79" i="27"/>
  <c r="V79" i="27"/>
  <c r="W79" i="27"/>
  <c r="H80" i="27"/>
  <c r="T80" i="27"/>
  <c r="U80" i="27"/>
  <c r="V80" i="27"/>
  <c r="W80" i="27"/>
  <c r="N39" i="35"/>
  <c r="M39" i="35"/>
  <c r="L39" i="35"/>
  <c r="K39" i="35"/>
  <c r="J39" i="35"/>
  <c r="I39" i="35"/>
  <c r="G39" i="35"/>
  <c r="F39" i="35"/>
  <c r="E39" i="35"/>
  <c r="D39" i="35"/>
  <c r="C39" i="35"/>
  <c r="B39" i="35"/>
  <c r="N38" i="35"/>
  <c r="N37" i="35" s="1"/>
  <c r="M38" i="35"/>
  <c r="M37" i="35" s="1"/>
  <c r="L38" i="35"/>
  <c r="K38" i="35"/>
  <c r="I38" i="35"/>
  <c r="J38" i="35"/>
  <c r="G38" i="35"/>
  <c r="G37" i="35" s="1"/>
  <c r="F38" i="35"/>
  <c r="F37" i="35" s="1"/>
  <c r="E38" i="35"/>
  <c r="D38" i="35"/>
  <c r="D37" i="35" s="1"/>
  <c r="C38" i="35"/>
  <c r="B38" i="35"/>
  <c r="N36" i="35"/>
  <c r="M36" i="35"/>
  <c r="L36" i="35"/>
  <c r="K36" i="35"/>
  <c r="J36" i="35"/>
  <c r="I36" i="35"/>
  <c r="G36" i="35"/>
  <c r="F36" i="35"/>
  <c r="E36" i="35"/>
  <c r="D36" i="35"/>
  <c r="C36" i="35"/>
  <c r="B36" i="35"/>
  <c r="N35" i="35"/>
  <c r="M35" i="35"/>
  <c r="L35" i="35"/>
  <c r="K35" i="35"/>
  <c r="J35" i="35"/>
  <c r="I35" i="35"/>
  <c r="G35" i="35"/>
  <c r="F35" i="35"/>
  <c r="E35" i="35"/>
  <c r="E34" i="35" s="1"/>
  <c r="D35" i="35"/>
  <c r="C35" i="35"/>
  <c r="C34" i="35" s="1"/>
  <c r="B35" i="35"/>
  <c r="B34" i="35" s="1"/>
  <c r="N32" i="35"/>
  <c r="M32" i="35"/>
  <c r="M31" i="35" s="1"/>
  <c r="L32" i="35"/>
  <c r="L31" i="35" s="1"/>
  <c r="K32" i="35"/>
  <c r="K31" i="35" s="1"/>
  <c r="J32" i="35"/>
  <c r="J31" i="35" s="1"/>
  <c r="I32" i="35"/>
  <c r="G32" i="35"/>
  <c r="G31" i="35" s="1"/>
  <c r="F32" i="35"/>
  <c r="F31" i="35" s="1"/>
  <c r="E32" i="35"/>
  <c r="E31" i="35" s="1"/>
  <c r="D32" i="35"/>
  <c r="D31" i="35" s="1"/>
  <c r="C32" i="35"/>
  <c r="C31" i="35" s="1"/>
  <c r="H32" i="35"/>
  <c r="B32" i="35"/>
  <c r="B31" i="35" s="1"/>
  <c r="N30" i="35"/>
  <c r="M30" i="35"/>
  <c r="L30" i="35"/>
  <c r="K30" i="35"/>
  <c r="J30" i="35"/>
  <c r="I30" i="35"/>
  <c r="O30" i="35" s="1"/>
  <c r="G30" i="35"/>
  <c r="F30" i="35"/>
  <c r="E30" i="35"/>
  <c r="D30" i="35"/>
  <c r="C30" i="35"/>
  <c r="B30" i="35"/>
  <c r="H30" i="35" s="1"/>
  <c r="H28" i="35" s="1"/>
  <c r="N29" i="35"/>
  <c r="M29" i="35"/>
  <c r="L29" i="35"/>
  <c r="K29" i="35"/>
  <c r="J29" i="35"/>
  <c r="I29" i="35"/>
  <c r="G29" i="35"/>
  <c r="E29" i="35"/>
  <c r="F29" i="35"/>
  <c r="D29" i="35"/>
  <c r="C29" i="35"/>
  <c r="B29" i="35"/>
  <c r="N27" i="35"/>
  <c r="M27" i="35"/>
  <c r="L27" i="35"/>
  <c r="K27" i="35"/>
  <c r="J27" i="35"/>
  <c r="I27" i="35"/>
  <c r="G27" i="35"/>
  <c r="F27" i="35"/>
  <c r="E27" i="35"/>
  <c r="D27" i="35"/>
  <c r="C27" i="35"/>
  <c r="B27" i="35"/>
  <c r="N26" i="35"/>
  <c r="N25" i="35" s="1"/>
  <c r="M26" i="35"/>
  <c r="L26" i="35"/>
  <c r="K26" i="35"/>
  <c r="K25" i="35" s="1"/>
  <c r="J26" i="35"/>
  <c r="I26" i="35"/>
  <c r="G26" i="35"/>
  <c r="G25" i="35" s="1"/>
  <c r="F26" i="35"/>
  <c r="E26" i="35"/>
  <c r="D26" i="35"/>
  <c r="D25" i="35" s="1"/>
  <c r="C26" i="35"/>
  <c r="O36" i="35"/>
  <c r="H36" i="35"/>
  <c r="H34" i="35" s="1"/>
  <c r="H35" i="35"/>
  <c r="H29" i="35"/>
  <c r="H26" i="35"/>
  <c r="B26" i="35"/>
  <c r="N24" i="35"/>
  <c r="M24" i="35"/>
  <c r="L24" i="35"/>
  <c r="K24" i="35"/>
  <c r="J24" i="35"/>
  <c r="I24" i="35"/>
  <c r="G24" i="35"/>
  <c r="N23" i="35"/>
  <c r="M23" i="35"/>
  <c r="L23" i="35"/>
  <c r="L22" i="35" s="1"/>
  <c r="K23" i="35"/>
  <c r="J23" i="35"/>
  <c r="I23" i="35"/>
  <c r="F24" i="35"/>
  <c r="E24" i="35"/>
  <c r="D24" i="35"/>
  <c r="C24" i="35"/>
  <c r="B24" i="35"/>
  <c r="G23" i="35"/>
  <c r="G22" i="35" s="1"/>
  <c r="F23" i="35"/>
  <c r="E23" i="35"/>
  <c r="E22" i="35" s="1"/>
  <c r="D23" i="35"/>
  <c r="C23" i="35"/>
  <c r="H23" i="35"/>
  <c r="B23" i="35"/>
  <c r="N19" i="35"/>
  <c r="M19" i="35"/>
  <c r="L19" i="35"/>
  <c r="K19" i="35"/>
  <c r="J19" i="35"/>
  <c r="I19" i="35"/>
  <c r="G19" i="35"/>
  <c r="F19" i="35"/>
  <c r="E19" i="35"/>
  <c r="D19" i="35"/>
  <c r="C19" i="35"/>
  <c r="B18" i="35"/>
  <c r="I18" i="35"/>
  <c r="J18" i="35"/>
  <c r="K18" i="35"/>
  <c r="L18" i="35"/>
  <c r="M18" i="35"/>
  <c r="N18" i="35"/>
  <c r="C18" i="35"/>
  <c r="D18" i="35"/>
  <c r="E18" i="35"/>
  <c r="F18" i="35"/>
  <c r="G18" i="35"/>
  <c r="N17" i="35"/>
  <c r="N16" i="35" s="1"/>
  <c r="M17" i="35"/>
  <c r="L17" i="35"/>
  <c r="K17" i="35"/>
  <c r="J17" i="35"/>
  <c r="I17" i="35"/>
  <c r="H17" i="35"/>
  <c r="G17" i="35"/>
  <c r="F17" i="35"/>
  <c r="E17" i="35"/>
  <c r="E16" i="35" s="1"/>
  <c r="D17" i="35"/>
  <c r="D16" i="35" s="1"/>
  <c r="C17" i="35"/>
  <c r="B17" i="35"/>
  <c r="B16" i="35" s="1"/>
  <c r="N15" i="35"/>
  <c r="M15" i="35"/>
  <c r="L15" i="35"/>
  <c r="K15" i="35"/>
  <c r="J15" i="35"/>
  <c r="I15" i="35"/>
  <c r="G15" i="35"/>
  <c r="F15" i="35"/>
  <c r="E15" i="35"/>
  <c r="D15" i="35"/>
  <c r="C15" i="35"/>
  <c r="N14" i="35"/>
  <c r="M14" i="35"/>
  <c r="L14" i="35"/>
  <c r="K14" i="35"/>
  <c r="J14" i="35"/>
  <c r="I14" i="35"/>
  <c r="G14" i="35"/>
  <c r="F14" i="35"/>
  <c r="E14" i="35"/>
  <c r="D14" i="35"/>
  <c r="C14" i="35"/>
  <c r="B14" i="35"/>
  <c r="N34" i="35"/>
  <c r="M34" i="35"/>
  <c r="L34" i="35"/>
  <c r="K34" i="35"/>
  <c r="J34" i="35"/>
  <c r="I34" i="35"/>
  <c r="G34" i="35"/>
  <c r="F34" i="35"/>
  <c r="D34" i="35"/>
  <c r="N31" i="35"/>
  <c r="H31" i="35"/>
  <c r="N28" i="35"/>
  <c r="M28" i="35"/>
  <c r="L28" i="35"/>
  <c r="K28" i="35"/>
  <c r="J28" i="35"/>
  <c r="I28" i="35"/>
  <c r="G28" i="35"/>
  <c r="F28" i="35"/>
  <c r="E28" i="35"/>
  <c r="D28" i="35"/>
  <c r="C28" i="35"/>
  <c r="B28" i="35"/>
  <c r="M25" i="35"/>
  <c r="L25" i="35"/>
  <c r="J25" i="35"/>
  <c r="I25" i="35"/>
  <c r="F25" i="35"/>
  <c r="E25" i="35"/>
  <c r="C25" i="35"/>
  <c r="B25" i="35"/>
  <c r="N22" i="35"/>
  <c r="M22" i="35"/>
  <c r="O19" i="35"/>
  <c r="H19" i="35"/>
  <c r="M16" i="35"/>
  <c r="K16" i="35"/>
  <c r="N12" i="35"/>
  <c r="M12" i="35"/>
  <c r="L12" i="35"/>
  <c r="K12" i="35"/>
  <c r="J12" i="35"/>
  <c r="I12" i="35"/>
  <c r="G12" i="35"/>
  <c r="F12" i="35"/>
  <c r="E12" i="35"/>
  <c r="D12" i="35"/>
  <c r="C12" i="35"/>
  <c r="B12" i="35"/>
  <c r="I11" i="35"/>
  <c r="J11" i="35"/>
  <c r="K11" i="35"/>
  <c r="L11" i="35"/>
  <c r="M11" i="35"/>
  <c r="N11" i="35"/>
  <c r="B11" i="35"/>
  <c r="C11" i="35"/>
  <c r="D11" i="35"/>
  <c r="E11" i="35"/>
  <c r="F11" i="35"/>
  <c r="F10" i="35" s="1"/>
  <c r="G11" i="35"/>
  <c r="N7" i="35"/>
  <c r="BC119" i="1"/>
  <c r="BC21" i="1"/>
  <c r="BC22" i="1"/>
  <c r="BC23" i="1"/>
  <c r="BC24" i="1"/>
  <c r="BC25" i="1"/>
  <c r="BC26" i="1"/>
  <c r="BC27" i="1"/>
  <c r="BC28" i="1"/>
  <c r="BC29" i="1"/>
  <c r="BC30" i="1"/>
  <c r="BC32" i="1"/>
  <c r="BC33" i="1"/>
  <c r="BC31" i="1"/>
  <c r="BC36" i="1"/>
  <c r="BC37" i="1"/>
  <c r="BC38" i="1"/>
  <c r="BC39" i="1"/>
  <c r="BC40" i="1"/>
  <c r="BC41" i="1"/>
  <c r="BC42" i="1"/>
  <c r="BC43" i="1"/>
  <c r="BC44" i="1"/>
  <c r="BC45" i="1"/>
  <c r="BC46" i="1"/>
  <c r="BC47" i="1"/>
  <c r="BC34" i="1"/>
  <c r="BC35" i="1"/>
  <c r="BC48" i="1"/>
  <c r="BC49" i="1"/>
  <c r="BC50" i="1"/>
  <c r="BC51" i="1"/>
  <c r="BC52" i="1"/>
  <c r="BC53" i="1"/>
  <c r="BC54" i="1"/>
  <c r="BC55" i="1"/>
  <c r="BC56" i="1"/>
  <c r="BC57" i="1"/>
  <c r="BC58" i="1"/>
  <c r="BC59" i="1"/>
  <c r="BC60" i="1"/>
  <c r="BC62" i="1"/>
  <c r="BC63" i="1"/>
  <c r="BC61" i="1"/>
  <c r="BC65" i="1"/>
  <c r="BC66" i="1"/>
  <c r="BC67" i="1"/>
  <c r="BC68" i="1"/>
  <c r="BC69" i="1"/>
  <c r="BC70" i="1"/>
  <c r="BC71" i="1"/>
  <c r="BC72" i="1"/>
  <c r="BC73" i="1"/>
  <c r="BC74" i="1"/>
  <c r="BC75" i="1"/>
  <c r="BC64" i="1"/>
  <c r="BC76" i="1"/>
  <c r="BC78" i="1"/>
  <c r="BC77"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20" i="1"/>
  <c r="BC79" i="1"/>
  <c r="BC80" i="1"/>
  <c r="BC81" i="1"/>
  <c r="BC82" i="1"/>
  <c r="BC121" i="1"/>
  <c r="BC122" i="1"/>
  <c r="BC123" i="1"/>
  <c r="BC124" i="1"/>
  <c r="BC125" i="1"/>
  <c r="BC126" i="1"/>
  <c r="BC127" i="1"/>
  <c r="BB119" i="1"/>
  <c r="BB23" i="1"/>
  <c r="BB24" i="1"/>
  <c r="BB25" i="1"/>
  <c r="BB26" i="1"/>
  <c r="BB27" i="1"/>
  <c r="BB28" i="1"/>
  <c r="BB29" i="1"/>
  <c r="BB30" i="1"/>
  <c r="BB32" i="1"/>
  <c r="BB33" i="1"/>
  <c r="BB31" i="1"/>
  <c r="BB36" i="1"/>
  <c r="BB37" i="1"/>
  <c r="BB38" i="1"/>
  <c r="BB39" i="1"/>
  <c r="BB40" i="1"/>
  <c r="BB41" i="1"/>
  <c r="BB42" i="1"/>
  <c r="BB43" i="1"/>
  <c r="BB44" i="1"/>
  <c r="BB45" i="1"/>
  <c r="BB46" i="1"/>
  <c r="BB47" i="1"/>
  <c r="BB34" i="1"/>
  <c r="BB35" i="1"/>
  <c r="BB48" i="1"/>
  <c r="BB49" i="1"/>
  <c r="BB50" i="1"/>
  <c r="BB51" i="1"/>
  <c r="BB52" i="1"/>
  <c r="BB53" i="1"/>
  <c r="BB54" i="1"/>
  <c r="BB55" i="1"/>
  <c r="BB56" i="1"/>
  <c r="BB57" i="1"/>
  <c r="BB58" i="1"/>
  <c r="BB59" i="1"/>
  <c r="BB60" i="1"/>
  <c r="BB62" i="1"/>
  <c r="BB63" i="1"/>
  <c r="BB61" i="1"/>
  <c r="BB65" i="1"/>
  <c r="BB66" i="1"/>
  <c r="BB67" i="1"/>
  <c r="BB68" i="1"/>
  <c r="BB69" i="1"/>
  <c r="BB70" i="1"/>
  <c r="BB71" i="1"/>
  <c r="BB72" i="1"/>
  <c r="BB73" i="1"/>
  <c r="BB74" i="1"/>
  <c r="BB75" i="1"/>
  <c r="BB64" i="1"/>
  <c r="BB76" i="1"/>
  <c r="BB78" i="1"/>
  <c r="BB77"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20" i="1"/>
  <c r="BB79" i="1"/>
  <c r="BB80" i="1"/>
  <c r="BB81" i="1"/>
  <c r="BB82" i="1"/>
  <c r="BB121" i="1"/>
  <c r="BB122" i="1"/>
  <c r="BB123" i="1"/>
  <c r="BB124" i="1"/>
  <c r="BB125" i="1"/>
  <c r="BB126" i="1"/>
  <c r="BB127" i="1"/>
  <c r="BC2" i="1"/>
  <c r="S3" i="31"/>
  <c r="S4" i="31"/>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57" i="31"/>
  <c r="S58" i="31"/>
  <c r="S59" i="31"/>
  <c r="S60" i="31"/>
  <c r="S61" i="31"/>
  <c r="S62" i="31"/>
  <c r="S63" i="31"/>
  <c r="S64" i="31"/>
  <c r="S65" i="31"/>
  <c r="S66" i="31"/>
  <c r="S67" i="31"/>
  <c r="S68" i="31"/>
  <c r="S69" i="31"/>
  <c r="S70" i="31"/>
  <c r="S71" i="31"/>
  <c r="S72" i="31"/>
  <c r="S73" i="31"/>
  <c r="S75" i="31"/>
  <c r="S76" i="31"/>
  <c r="S77" i="31"/>
  <c r="S78" i="31"/>
  <c r="S79" i="31"/>
  <c r="S80" i="31"/>
  <c r="S81" i="31"/>
  <c r="S82" i="31"/>
  <c r="S83" i="31"/>
  <c r="S84" i="31"/>
  <c r="S85" i="31"/>
  <c r="S86" i="31"/>
  <c r="S87" i="31"/>
  <c r="S88" i="31"/>
  <c r="S89" i="31"/>
  <c r="S90" i="31"/>
  <c r="S91" i="31"/>
  <c r="S92" i="31"/>
  <c r="S93" i="31"/>
  <c r="S94" i="31"/>
  <c r="S74" i="31"/>
  <c r="S95" i="31"/>
  <c r="S96" i="31"/>
  <c r="S97" i="31"/>
  <c r="S98" i="31"/>
  <c r="S99" i="31"/>
  <c r="S100" i="31"/>
  <c r="S101" i="31"/>
  <c r="S102" i="31"/>
  <c r="S103" i="31"/>
  <c r="S104" i="31"/>
  <c r="S105" i="31"/>
  <c r="S106" i="31"/>
  <c r="S107" i="31"/>
  <c r="S108" i="31"/>
  <c r="S109" i="31"/>
  <c r="S110" i="31"/>
  <c r="S111" i="31"/>
  <c r="S112" i="31"/>
  <c r="S113" i="31"/>
  <c r="S114" i="31"/>
  <c r="S115" i="31"/>
  <c r="S116" i="31"/>
  <c r="S117" i="31"/>
  <c r="S118" i="31"/>
  <c r="S119" i="31"/>
  <c r="S120" i="31"/>
  <c r="S121" i="31"/>
  <c r="S122" i="31"/>
  <c r="S123" i="31"/>
  <c r="S124" i="31"/>
  <c r="S125" i="31"/>
  <c r="S126" i="31"/>
  <c r="S127" i="31"/>
  <c r="S128" i="31"/>
  <c r="S129" i="31"/>
  <c r="S130" i="31"/>
  <c r="S131" i="31"/>
  <c r="S132" i="31"/>
  <c r="S133" i="31"/>
  <c r="S134" i="31"/>
  <c r="S135" i="31"/>
  <c r="S136" i="31"/>
  <c r="S137" i="31"/>
  <c r="S138" i="31"/>
  <c r="S139" i="31"/>
  <c r="S140" i="31"/>
  <c r="S141" i="31"/>
  <c r="S142" i="31"/>
  <c r="S143" i="31"/>
  <c r="S144" i="31"/>
  <c r="S145" i="31"/>
  <c r="S146" i="31"/>
  <c r="S147" i="31"/>
  <c r="S148" i="31"/>
  <c r="S149" i="31"/>
  <c r="S150" i="31"/>
  <c r="S151" i="31"/>
  <c r="S152" i="31"/>
  <c r="S153" i="31"/>
  <c r="S154" i="31"/>
  <c r="S155" i="31"/>
  <c r="S156" i="31"/>
  <c r="S157" i="31"/>
  <c r="S158" i="31"/>
  <c r="S159" i="31"/>
  <c r="S160" i="31"/>
  <c r="S161" i="31"/>
  <c r="S162" i="31"/>
  <c r="S163" i="31"/>
  <c r="S164" i="31"/>
  <c r="S165" i="31"/>
  <c r="S166" i="31"/>
  <c r="S167" i="31"/>
  <c r="S168" i="31"/>
  <c r="S169" i="31"/>
  <c r="S170" i="31"/>
  <c r="S171" i="31"/>
  <c r="S172" i="31"/>
  <c r="S173" i="31"/>
  <c r="S174" i="31"/>
  <c r="S175" i="31"/>
  <c r="S176" i="31"/>
  <c r="S177" i="31"/>
  <c r="S178" i="31"/>
  <c r="S179" i="31"/>
  <c r="S180" i="31"/>
  <c r="S181" i="31"/>
  <c r="S182" i="31"/>
  <c r="S183" i="31"/>
  <c r="S184" i="31"/>
  <c r="S185" i="31"/>
  <c r="S186" i="31"/>
  <c r="S187" i="31"/>
  <c r="S188" i="31"/>
  <c r="S189" i="31"/>
  <c r="S190" i="31"/>
  <c r="S191" i="31"/>
  <c r="S192" i="31"/>
  <c r="S193" i="31"/>
  <c r="S194" i="31"/>
  <c r="S195" i="31"/>
  <c r="S196" i="31"/>
  <c r="S197" i="31"/>
  <c r="S198" i="31"/>
  <c r="S199" i="31"/>
  <c r="S200" i="31"/>
  <c r="S210" i="31"/>
  <c r="S201" i="31"/>
  <c r="S202" i="31"/>
  <c r="S203" i="31"/>
  <c r="S204" i="31"/>
  <c r="S205" i="31"/>
  <c r="S206" i="31"/>
  <c r="S207" i="31"/>
  <c r="S208" i="31"/>
  <c r="S209" i="31"/>
  <c r="S224" i="31"/>
  <c r="S211" i="31"/>
  <c r="S212" i="31"/>
  <c r="S213" i="31"/>
  <c r="S214" i="31"/>
  <c r="S215" i="31"/>
  <c r="S216" i="31"/>
  <c r="S217" i="31"/>
  <c r="S218" i="31"/>
  <c r="S219" i="31"/>
  <c r="S220" i="31"/>
  <c r="S221" i="31"/>
  <c r="S222" i="31"/>
  <c r="S223" i="31"/>
  <c r="S225" i="31"/>
  <c r="S226" i="31"/>
  <c r="S227" i="31"/>
  <c r="S228" i="31"/>
  <c r="S229" i="31"/>
  <c r="S230" i="31"/>
  <c r="S231" i="31"/>
  <c r="S232" i="31"/>
  <c r="S233" i="31"/>
  <c r="S234" i="31"/>
  <c r="S235" i="31"/>
  <c r="S236" i="31"/>
  <c r="S237" i="31"/>
  <c r="S238" i="31"/>
  <c r="S239" i="31"/>
  <c r="S240" i="31"/>
  <c r="S241" i="31"/>
  <c r="S242" i="31"/>
  <c r="S243" i="31"/>
  <c r="S244" i="31"/>
  <c r="S245" i="31"/>
  <c r="S246" i="31"/>
  <c r="S247" i="31"/>
  <c r="S248" i="31"/>
  <c r="S249" i="31"/>
  <c r="S250" i="31"/>
  <c r="S251" i="31"/>
  <c r="S252" i="31"/>
  <c r="S253" i="31"/>
  <c r="S254" i="31"/>
  <c r="S255" i="31"/>
  <c r="S256" i="31"/>
  <c r="S257" i="31"/>
  <c r="S258" i="31"/>
  <c r="S259" i="31"/>
  <c r="S260" i="31"/>
  <c r="S261" i="31"/>
  <c r="S262" i="31"/>
  <c r="S263" i="31"/>
  <c r="S264" i="31"/>
  <c r="S265" i="31"/>
  <c r="S266" i="31"/>
  <c r="S267" i="31"/>
  <c r="S268" i="31"/>
  <c r="S269" i="31"/>
  <c r="S270" i="31"/>
  <c r="S271" i="31"/>
  <c r="S272" i="31"/>
  <c r="S273" i="31"/>
  <c r="S274" i="31"/>
  <c r="S275" i="31"/>
  <c r="S276" i="31"/>
  <c r="S277" i="31"/>
  <c r="S278" i="31"/>
  <c r="S279" i="31"/>
  <c r="S280" i="31"/>
  <c r="S281" i="31"/>
  <c r="S292" i="31"/>
  <c r="S282" i="31"/>
  <c r="S283" i="31"/>
  <c r="S284" i="31"/>
  <c r="S285" i="31"/>
  <c r="S286" i="31"/>
  <c r="S287" i="31"/>
  <c r="S288" i="31"/>
  <c r="S289" i="31"/>
  <c r="S290" i="31"/>
  <c r="S291" i="31"/>
  <c r="S293" i="31"/>
  <c r="S294" i="31"/>
  <c r="S295" i="31"/>
  <c r="S296" i="31"/>
  <c r="S297" i="31"/>
  <c r="S298" i="31"/>
  <c r="S299" i="31"/>
  <c r="S300" i="31"/>
  <c r="S301" i="31"/>
  <c r="S302" i="31"/>
  <c r="S303" i="31"/>
  <c r="S304" i="31"/>
  <c r="S305" i="31"/>
  <c r="S306" i="31"/>
  <c r="S307" i="31"/>
  <c r="S308" i="31"/>
  <c r="S309" i="31"/>
  <c r="S310" i="31"/>
  <c r="S311" i="31"/>
  <c r="S312" i="31"/>
  <c r="S313" i="31"/>
  <c r="S314" i="31"/>
  <c r="S315" i="31"/>
  <c r="S316" i="31"/>
  <c r="S317" i="31"/>
  <c r="S318" i="31"/>
  <c r="S319" i="31"/>
  <c r="S320" i="31"/>
  <c r="S321" i="31"/>
  <c r="S322" i="31"/>
  <c r="S323" i="31"/>
  <c r="S324" i="31"/>
  <c r="S325" i="31"/>
  <c r="S326" i="31"/>
  <c r="S327" i="31"/>
  <c r="S328" i="31"/>
  <c r="S329" i="31"/>
  <c r="S330" i="31"/>
  <c r="S331" i="31"/>
  <c r="S332" i="31"/>
  <c r="S333" i="31"/>
  <c r="S339" i="31"/>
  <c r="S334" i="31"/>
  <c r="S335" i="31"/>
  <c r="S336" i="31"/>
  <c r="S337" i="31"/>
  <c r="S338" i="31"/>
  <c r="S340" i="31"/>
  <c r="S341" i="31"/>
  <c r="S342" i="31"/>
  <c r="S343" i="31"/>
  <c r="S344" i="31"/>
  <c r="S345" i="31"/>
  <c r="S346" i="31"/>
  <c r="S347" i="31"/>
  <c r="S348" i="31"/>
  <c r="S349" i="31"/>
  <c r="S350" i="31"/>
  <c r="S351" i="31"/>
  <c r="S352" i="31"/>
  <c r="S353" i="31"/>
  <c r="S354" i="31"/>
  <c r="S355" i="31"/>
  <c r="S356" i="31"/>
  <c r="S357" i="31"/>
  <c r="S358" i="31"/>
  <c r="S359" i="31"/>
  <c r="S360" i="31"/>
  <c r="S361" i="31"/>
  <c r="S362" i="31"/>
  <c r="S363" i="31"/>
  <c r="S364" i="31"/>
  <c r="S365" i="31"/>
  <c r="S366" i="31"/>
  <c r="S367" i="31"/>
  <c r="S368" i="31"/>
  <c r="S369" i="31"/>
  <c r="S370" i="31"/>
  <c r="S371" i="31"/>
  <c r="S372" i="31"/>
  <c r="S373" i="31"/>
  <c r="S374" i="31"/>
  <c r="S375" i="31"/>
  <c r="S376" i="31"/>
  <c r="S377" i="31"/>
  <c r="S378" i="31"/>
  <c r="S379" i="31"/>
  <c r="S380" i="31"/>
  <c r="S381" i="31"/>
  <c r="S382" i="31"/>
  <c r="S383" i="31"/>
  <c r="S384" i="31"/>
  <c r="S385" i="31"/>
  <c r="S386" i="31"/>
  <c r="S387" i="31"/>
  <c r="S388" i="31"/>
  <c r="S389" i="31"/>
  <c r="S393" i="31"/>
  <c r="S390" i="31"/>
  <c r="S391" i="31"/>
  <c r="S392" i="31"/>
  <c r="S396" i="31"/>
  <c r="S394" i="31"/>
  <c r="S395" i="31"/>
  <c r="S397" i="31"/>
  <c r="S401" i="31"/>
  <c r="S398" i="31"/>
  <c r="S399" i="31"/>
  <c r="S400" i="31"/>
  <c r="S402" i="31"/>
  <c r="S403" i="31"/>
  <c r="S404" i="31"/>
  <c r="S405" i="31"/>
  <c r="S406" i="31"/>
  <c r="S407" i="31"/>
  <c r="S408" i="31"/>
  <c r="S409" i="31"/>
  <c r="S410" i="31"/>
  <c r="S411" i="31"/>
  <c r="S412" i="31"/>
  <c r="S413" i="31"/>
  <c r="S414" i="31"/>
  <c r="S417" i="31"/>
  <c r="S418" i="31"/>
  <c r="S419" i="31"/>
  <c r="S421" i="31"/>
  <c r="S422" i="31"/>
  <c r="S426" i="31"/>
  <c r="S427" i="31"/>
  <c r="S428" i="31"/>
  <c r="S429" i="31"/>
  <c r="S431" i="31"/>
  <c r="S432" i="31"/>
  <c r="S433" i="31"/>
  <c r="S434" i="31"/>
  <c r="S435" i="31"/>
  <c r="S436" i="31"/>
  <c r="S437" i="31"/>
  <c r="S438" i="31"/>
  <c r="S439" i="31"/>
  <c r="S441" i="31"/>
  <c r="S1065" i="31"/>
  <c r="S1066" i="31"/>
  <c r="S1069" i="31"/>
  <c r="S1071" i="31"/>
  <c r="S1072" i="31"/>
  <c r="S1281" i="31"/>
  <c r="S1282" i="31"/>
  <c r="S1283" i="31"/>
  <c r="S442" i="31"/>
  <c r="S443" i="31"/>
  <c r="S444" i="31"/>
  <c r="S445" i="31"/>
  <c r="S448" i="31"/>
  <c r="S446" i="31"/>
  <c r="S447" i="31"/>
  <c r="S450" i="31"/>
  <c r="S449" i="31"/>
  <c r="S455" i="31"/>
  <c r="S451" i="31"/>
  <c r="S452" i="31"/>
  <c r="S453" i="31"/>
  <c r="S454" i="31"/>
  <c r="S456" i="31"/>
  <c r="S458" i="31"/>
  <c r="S457" i="31"/>
  <c r="S459" i="31"/>
  <c r="S460" i="31"/>
  <c r="S461" i="31"/>
  <c r="S462" i="31"/>
  <c r="S463" i="31"/>
  <c r="S464" i="31"/>
  <c r="S465" i="31"/>
  <c r="S466" i="31"/>
  <c r="S467" i="31"/>
  <c r="S468" i="31"/>
  <c r="S469" i="31"/>
  <c r="S470" i="31"/>
  <c r="S471" i="31"/>
  <c r="S472" i="31"/>
  <c r="S473" i="31"/>
  <c r="S474" i="31"/>
  <c r="S480" i="31"/>
  <c r="S475" i="31"/>
  <c r="S476" i="31"/>
  <c r="S477" i="31"/>
  <c r="S481" i="31"/>
  <c r="S483" i="31"/>
  <c r="S482" i="31"/>
  <c r="S485" i="31"/>
  <c r="S486" i="31"/>
  <c r="S487" i="31"/>
  <c r="S531" i="31"/>
  <c r="S532" i="31"/>
  <c r="S535" i="31"/>
  <c r="S538" i="31"/>
  <c r="S415" i="31"/>
  <c r="S489" i="31"/>
  <c r="S490" i="31"/>
  <c r="S491" i="31"/>
  <c r="S494" i="31"/>
  <c r="S495" i="31"/>
  <c r="S496" i="31"/>
  <c r="S498" i="31"/>
  <c r="S500" i="31"/>
  <c r="S505" i="31"/>
  <c r="S508" i="31"/>
  <c r="S509" i="31"/>
  <c r="S511" i="31"/>
  <c r="S514" i="31"/>
  <c r="S517" i="31"/>
  <c r="S546" i="31"/>
  <c r="S549" i="31"/>
  <c r="S550" i="31"/>
  <c r="S1284" i="31"/>
  <c r="S1285" i="31"/>
  <c r="S1286" i="31"/>
  <c r="S1529" i="31"/>
  <c r="S1530" i="31"/>
  <c r="S854" i="31"/>
  <c r="S855" i="31"/>
  <c r="S526" i="31"/>
  <c r="S518" i="31"/>
  <c r="S519" i="31"/>
  <c r="S522" i="31"/>
  <c r="S524" i="31"/>
  <c r="S525" i="31"/>
  <c r="S537" i="31"/>
  <c r="S527" i="31"/>
  <c r="S528" i="31"/>
  <c r="S529" i="31"/>
  <c r="S533" i="31"/>
  <c r="S534" i="31"/>
  <c r="S536" i="31"/>
  <c r="S553" i="31"/>
  <c r="S539" i="31"/>
  <c r="S540" i="31"/>
  <c r="S541" i="31"/>
  <c r="S542" i="31"/>
  <c r="S543" i="31"/>
  <c r="S544" i="31"/>
  <c r="S545" i="31"/>
  <c r="S547" i="31"/>
  <c r="S548" i="31"/>
  <c r="S551" i="31"/>
  <c r="S552" i="31"/>
  <c r="S560" i="31"/>
  <c r="S554" i="31"/>
  <c r="S555" i="31"/>
  <c r="S556" i="31"/>
  <c r="S557" i="31"/>
  <c r="S558" i="31"/>
  <c r="S559" i="31"/>
  <c r="S562" i="31"/>
  <c r="S563" i="31"/>
  <c r="S564" i="31"/>
  <c r="S565" i="31"/>
  <c r="S566" i="31"/>
  <c r="S567" i="31"/>
  <c r="S568" i="31"/>
  <c r="S561" i="31"/>
  <c r="S574" i="31"/>
  <c r="S575" i="31"/>
  <c r="S1788" i="31"/>
  <c r="S1789" i="31"/>
  <c r="S1791" i="31"/>
  <c r="S1792" i="31"/>
  <c r="S1794" i="31"/>
  <c r="S1795" i="31"/>
  <c r="S1797" i="31"/>
  <c r="S1798" i="31"/>
  <c r="S1799" i="31"/>
  <c r="S569" i="31"/>
  <c r="S570" i="31"/>
  <c r="S571" i="31"/>
  <c r="S572" i="31"/>
  <c r="S573" i="31"/>
  <c r="S576" i="31"/>
  <c r="S577" i="31"/>
  <c r="S578" i="31"/>
  <c r="S579" i="31"/>
  <c r="S580" i="31"/>
  <c r="S581" i="31"/>
  <c r="S583" i="31"/>
  <c r="S584" i="31"/>
  <c r="S585" i="31"/>
  <c r="S586" i="31"/>
  <c r="S587" i="31"/>
  <c r="S588" i="31"/>
  <c r="S589" i="31"/>
  <c r="S590" i="31"/>
  <c r="S591" i="31"/>
  <c r="S592" i="31"/>
  <c r="S593" i="31"/>
  <c r="S1800" i="31"/>
  <c r="S1287" i="31"/>
  <c r="S1289" i="31"/>
  <c r="S857" i="31"/>
  <c r="S423" i="31"/>
  <c r="S596" i="31"/>
  <c r="S597" i="31"/>
  <c r="S601" i="31"/>
  <c r="S608" i="31"/>
  <c r="S611" i="31"/>
  <c r="S614" i="31"/>
  <c r="S616" i="31"/>
  <c r="S617" i="31"/>
  <c r="S620" i="31"/>
  <c r="S627" i="31"/>
  <c r="S632" i="31"/>
  <c r="S640" i="31"/>
  <c r="S641" i="31"/>
  <c r="S642" i="31"/>
  <c r="S643" i="31"/>
  <c r="S644" i="31"/>
  <c r="S647" i="31"/>
  <c r="S649" i="31"/>
  <c r="S650" i="31"/>
  <c r="S651" i="31"/>
  <c r="S582" i="31"/>
  <c r="S594" i="31"/>
  <c r="S595" i="31"/>
  <c r="S598" i="31"/>
  <c r="S599" i="31"/>
  <c r="S600" i="31"/>
  <c r="S602" i="31"/>
  <c r="S603" i="31"/>
  <c r="S604" i="31"/>
  <c r="S1806" i="31"/>
  <c r="S858" i="31"/>
  <c r="S860" i="31"/>
  <c r="S861" i="31"/>
  <c r="S862" i="31"/>
  <c r="S863" i="31"/>
  <c r="S1075" i="31"/>
  <c r="S1077" i="31"/>
  <c r="S1078" i="31"/>
  <c r="S1079" i="31"/>
  <c r="S1292" i="31"/>
  <c r="S1293" i="31"/>
  <c r="S1531" i="31"/>
  <c r="S1532" i="31"/>
  <c r="S1533" i="31"/>
  <c r="S1535" i="31"/>
  <c r="S1564" i="31"/>
  <c r="S1801" i="31"/>
  <c r="S1802" i="31"/>
  <c r="S1803" i="31"/>
  <c r="S1804" i="31"/>
  <c r="S1805" i="31"/>
  <c r="S1808" i="31"/>
  <c r="S1809" i="31"/>
  <c r="S1810" i="31"/>
  <c r="S1811" i="31"/>
  <c r="S1812" i="31"/>
  <c r="S1814" i="31"/>
  <c r="S1815" i="31"/>
  <c r="S657" i="31"/>
  <c r="S662" i="31"/>
  <c r="S864" i="31"/>
  <c r="S1296" i="31"/>
  <c r="S1298" i="31"/>
  <c r="S1300" i="31"/>
  <c r="S1301" i="31"/>
  <c r="S1302" i="31"/>
  <c r="S665" i="31"/>
  <c r="S666" i="31"/>
  <c r="S667" i="31"/>
  <c r="S668" i="31"/>
  <c r="S669" i="31"/>
  <c r="S670" i="31"/>
  <c r="S671" i="31"/>
  <c r="S672" i="31"/>
  <c r="S673" i="31"/>
  <c r="S674" i="31"/>
  <c r="S675" i="31"/>
  <c r="S676" i="31"/>
  <c r="S677" i="31"/>
  <c r="S678" i="31"/>
  <c r="S1816" i="31"/>
  <c r="S679" i="31"/>
  <c r="S680" i="31"/>
  <c r="S681" i="31"/>
  <c r="S682" i="31"/>
  <c r="S683" i="31"/>
  <c r="S684" i="31"/>
  <c r="S686" i="31"/>
  <c r="S687" i="31"/>
  <c r="S695" i="31"/>
  <c r="S701" i="31"/>
  <c r="S605" i="31"/>
  <c r="S606" i="31"/>
  <c r="S607" i="31"/>
  <c r="S609" i="31"/>
  <c r="S610" i="31"/>
  <c r="S865" i="31"/>
  <c r="S866" i="31"/>
  <c r="S867" i="31"/>
  <c r="S869" i="31"/>
  <c r="S1081" i="31"/>
  <c r="S1084" i="31"/>
  <c r="S1087" i="31"/>
  <c r="S1088" i="31"/>
  <c r="S1089" i="31"/>
  <c r="S1565" i="31"/>
  <c r="S705" i="31"/>
  <c r="S706" i="31"/>
  <c r="S707" i="31"/>
  <c r="S708" i="31"/>
  <c r="S710" i="31"/>
  <c r="S712" i="31"/>
  <c r="S713" i="31"/>
  <c r="S714" i="31"/>
  <c r="S715" i="31"/>
  <c r="S716" i="31"/>
  <c r="S718" i="31"/>
  <c r="S719" i="31"/>
  <c r="S720" i="31"/>
  <c r="S873" i="31"/>
  <c r="S874" i="31"/>
  <c r="S875" i="31"/>
  <c r="S721" i="31"/>
  <c r="S722" i="31"/>
  <c r="S723" i="31"/>
  <c r="S724" i="31"/>
  <c r="S726" i="31"/>
  <c r="S727" i="31"/>
  <c r="S733" i="31"/>
  <c r="S876" i="31"/>
  <c r="S877" i="31"/>
  <c r="S1819" i="31"/>
  <c r="S1567" i="31"/>
  <c r="S1573" i="31"/>
  <c r="S1574" i="31"/>
  <c r="S735" i="31"/>
  <c r="S738" i="31"/>
  <c r="S744" i="31"/>
  <c r="S1090" i="31"/>
  <c r="S1091" i="31"/>
  <c r="S1092" i="31"/>
  <c r="S1094" i="31"/>
  <c r="S1095" i="31"/>
  <c r="S1303" i="31"/>
  <c r="S1305" i="31"/>
  <c r="S1820" i="31"/>
  <c r="S745" i="31"/>
  <c r="S746" i="31"/>
  <c r="S748" i="31"/>
  <c r="S749" i="31"/>
  <c r="S750" i="31"/>
  <c r="S751" i="31"/>
  <c r="S752" i="31"/>
  <c r="S756" i="31"/>
  <c r="S757" i="31"/>
  <c r="S758" i="31"/>
  <c r="S761" i="31"/>
  <c r="S871" i="31"/>
  <c r="S872" i="31"/>
  <c r="S1096" i="31"/>
  <c r="S1097" i="31"/>
  <c r="S1099" i="31"/>
  <c r="S1101" i="31"/>
  <c r="S1102" i="31"/>
  <c r="S1307" i="31"/>
  <c r="S1309" i="31"/>
  <c r="S1310" i="31"/>
  <c r="S1821" i="31"/>
  <c r="S771" i="31"/>
  <c r="S768" i="31"/>
  <c r="S776" i="31"/>
  <c r="S772" i="31"/>
  <c r="S773" i="31"/>
  <c r="S774" i="31"/>
  <c r="S777" i="31"/>
  <c r="S779" i="31"/>
  <c r="S780" i="31"/>
  <c r="S612" i="31"/>
  <c r="S615" i="31"/>
  <c r="S613" i="31"/>
  <c r="S618" i="31"/>
  <c r="S878" i="31"/>
  <c r="S781" i="31"/>
  <c r="S782" i="31"/>
  <c r="S783" i="31"/>
  <c r="S784" i="31"/>
  <c r="S785" i="31"/>
  <c r="S787" i="31"/>
  <c r="S788" i="31"/>
  <c r="S789" i="31"/>
  <c r="S790" i="31"/>
  <c r="S791" i="31"/>
  <c r="S792" i="31"/>
  <c r="S793" i="31"/>
  <c r="S794" i="31"/>
  <c r="S795" i="31"/>
  <c r="S796" i="31"/>
  <c r="S797" i="31"/>
  <c r="S798" i="31"/>
  <c r="S799" i="31"/>
  <c r="S879" i="31"/>
  <c r="S806" i="31"/>
  <c r="S800" i="31"/>
  <c r="S801" i="31"/>
  <c r="S802" i="31"/>
  <c r="S803" i="31"/>
  <c r="S804" i="31"/>
  <c r="S807" i="31"/>
  <c r="S809" i="31"/>
  <c r="S808" i="31"/>
  <c r="S813" i="31"/>
  <c r="S810" i="31"/>
  <c r="S811" i="31"/>
  <c r="S812" i="31"/>
  <c r="S818" i="31"/>
  <c r="S814" i="31"/>
  <c r="S815" i="31"/>
  <c r="S816" i="31"/>
  <c r="S817" i="31"/>
  <c r="S880" i="31"/>
  <c r="S1829" i="31"/>
  <c r="S1830" i="31"/>
  <c r="S1832" i="31"/>
  <c r="S1866" i="31"/>
  <c r="S1877" i="31"/>
  <c r="S1882" i="31"/>
  <c r="S1883" i="31"/>
  <c r="S1884" i="31"/>
  <c r="S821" i="31"/>
  <c r="S823" i="31"/>
  <c r="S834" i="31"/>
  <c r="S835" i="31"/>
  <c r="S836" i="31"/>
  <c r="S851" i="31"/>
  <c r="S1103" i="31"/>
  <c r="S1311" i="31"/>
  <c r="S1312" i="31"/>
  <c r="S1314" i="31"/>
  <c r="S1315" i="31"/>
  <c r="S1316" i="31"/>
  <c r="S1579" i="31"/>
  <c r="S1839" i="31"/>
  <c r="S1841" i="31"/>
  <c r="S1842" i="31"/>
  <c r="S1843" i="31"/>
  <c r="S1856" i="31"/>
  <c r="S1836" i="31"/>
  <c r="S1858" i="31"/>
  <c r="S1860" i="31"/>
  <c r="S1861" i="31"/>
  <c r="S1865" i="31"/>
  <c r="S1867" i="31"/>
  <c r="S1869" i="31"/>
  <c r="S1870" i="31"/>
  <c r="S1874" i="31"/>
  <c r="S1875" i="31"/>
  <c r="S1909" i="31"/>
  <c r="S1920" i="31"/>
  <c r="S1933" i="31"/>
  <c r="S1934" i="31"/>
  <c r="S1936" i="31"/>
  <c r="S1907" i="31"/>
  <c r="S1938" i="31"/>
  <c r="S1939" i="31"/>
  <c r="S1942" i="31"/>
  <c r="S1943" i="31"/>
  <c r="S1946" i="31"/>
  <c r="S1947" i="31"/>
  <c r="S856" i="31"/>
  <c r="S859" i="31"/>
  <c r="S868" i="31"/>
  <c r="S870" i="31"/>
  <c r="S885" i="31"/>
  <c r="S888" i="31"/>
  <c r="S892" i="31"/>
  <c r="S1580" i="31"/>
  <c r="S1581" i="31"/>
  <c r="S1588" i="31"/>
  <c r="S1591" i="31"/>
  <c r="S1592" i="31"/>
  <c r="S1594" i="31"/>
  <c r="S1595" i="31"/>
  <c r="S1596" i="31"/>
  <c r="S1597" i="31"/>
  <c r="S1911" i="31"/>
  <c r="S1912" i="31"/>
  <c r="S1913" i="31"/>
  <c r="S1914" i="31"/>
  <c r="S1918" i="31"/>
  <c r="S1925" i="31"/>
  <c r="S1927" i="31"/>
  <c r="S1929" i="31"/>
  <c r="S1954" i="31"/>
  <c r="S1955" i="31"/>
  <c r="S1956" i="31"/>
  <c r="S1921" i="31"/>
  <c r="S1923" i="31"/>
  <c r="S1924" i="31"/>
  <c r="S1930" i="31"/>
  <c r="S1931" i="31"/>
  <c r="S1948" i="31"/>
  <c r="S1949" i="31"/>
  <c r="S1950" i="31"/>
  <c r="S1951" i="31"/>
  <c r="S1952" i="31"/>
  <c r="S1982" i="31"/>
  <c r="S1995" i="31"/>
  <c r="S2001" i="31"/>
  <c r="S1960" i="31"/>
  <c r="S1974" i="31"/>
  <c r="S904" i="31"/>
  <c r="S905" i="31"/>
  <c r="S907" i="31"/>
  <c r="S908" i="31"/>
  <c r="S909" i="31"/>
  <c r="S910" i="31"/>
  <c r="S912" i="31"/>
  <c r="S913" i="31"/>
  <c r="S920" i="31"/>
  <c r="S930" i="31"/>
  <c r="S935" i="31"/>
  <c r="S1599" i="31"/>
  <c r="S1957" i="31"/>
  <c r="S1959" i="31"/>
  <c r="S1962" i="31"/>
  <c r="S1963" i="31"/>
  <c r="S1967" i="31"/>
  <c r="S1968" i="31"/>
  <c r="S1970" i="31"/>
  <c r="S1972" i="31"/>
  <c r="S2003" i="31"/>
  <c r="S2004" i="31"/>
  <c r="S2008" i="31"/>
  <c r="S2009" i="31"/>
  <c r="S2011" i="31"/>
  <c r="S2012" i="31"/>
  <c r="S2013" i="31"/>
  <c r="S2014" i="31"/>
  <c r="S2016" i="31"/>
  <c r="S939" i="31"/>
  <c r="S940" i="31"/>
  <c r="S941" i="31"/>
  <c r="S943" i="31"/>
  <c r="S944" i="31"/>
  <c r="S945" i="31"/>
  <c r="S946" i="31"/>
  <c r="S949" i="31"/>
  <c r="S951" i="31"/>
  <c r="S954" i="31"/>
  <c r="S956" i="31"/>
  <c r="S881" i="31"/>
  <c r="S882" i="31"/>
  <c r="S883" i="31"/>
  <c r="S884" i="31"/>
  <c r="S886" i="31"/>
  <c r="S2024" i="31"/>
  <c r="S2027" i="31"/>
  <c r="S2028" i="31"/>
  <c r="S2033" i="31"/>
  <c r="S2035" i="31"/>
  <c r="S2036" i="31"/>
  <c r="S2039" i="31"/>
  <c r="S2040" i="31"/>
  <c r="S966" i="31"/>
  <c r="S963" i="31"/>
  <c r="S964" i="31"/>
  <c r="S981" i="31"/>
  <c r="S967" i="31"/>
  <c r="S968" i="31"/>
  <c r="S974" i="31"/>
  <c r="S976" i="31"/>
  <c r="S980" i="31"/>
  <c r="S982" i="31"/>
  <c r="S985" i="31"/>
  <c r="S1106" i="31"/>
  <c r="S1110" i="31"/>
  <c r="S1124" i="31"/>
  <c r="S1125" i="31"/>
  <c r="S1126" i="31"/>
  <c r="S1317" i="31"/>
  <c r="S1318" i="31"/>
  <c r="S1319" i="31"/>
  <c r="S1320" i="31"/>
  <c r="S1322" i="31"/>
  <c r="S1323" i="31"/>
  <c r="S484" i="31"/>
  <c r="S994" i="31"/>
  <c r="S999" i="31"/>
  <c r="S998" i="31"/>
  <c r="S1001" i="31"/>
  <c r="S1002" i="31"/>
  <c r="S1005" i="31"/>
  <c r="S1006" i="31"/>
  <c r="S1007" i="31"/>
  <c r="S1009" i="31"/>
  <c r="S1011" i="31"/>
  <c r="S1012" i="31"/>
  <c r="S1014" i="31"/>
  <c r="S1127" i="31"/>
  <c r="S1128" i="31"/>
  <c r="S1130" i="31"/>
  <c r="S1133" i="31"/>
  <c r="S1134" i="31"/>
  <c r="S1324" i="31"/>
  <c r="S1325" i="31"/>
  <c r="S1327" i="31"/>
  <c r="S1328" i="31"/>
  <c r="S1329" i="31"/>
  <c r="S1330" i="31"/>
  <c r="S1331" i="31"/>
  <c r="S1332" i="31"/>
  <c r="S1334" i="31"/>
  <c r="S887" i="31"/>
  <c r="S889" i="31"/>
  <c r="S890" i="31"/>
  <c r="S891" i="31"/>
  <c r="S2097" i="31"/>
  <c r="S2098" i="31"/>
  <c r="S2099" i="31"/>
  <c r="S2100" i="31"/>
  <c r="S2101" i="31"/>
  <c r="S2102" i="31"/>
  <c r="S1017" i="31"/>
  <c r="S1028" i="31"/>
  <c r="S1032" i="31"/>
  <c r="S1033" i="31"/>
  <c r="S1034" i="31"/>
  <c r="S1043" i="31"/>
  <c r="S1046" i="31"/>
  <c r="S1047" i="31"/>
  <c r="S1051" i="31"/>
  <c r="S1068" i="31"/>
  <c r="S1052" i="31"/>
  <c r="S1056" i="31"/>
  <c r="S1059" i="31"/>
  <c r="S1060" i="31"/>
  <c r="S1061" i="31"/>
  <c r="S1063" i="31"/>
  <c r="S1064" i="31"/>
  <c r="S1067" i="31"/>
  <c r="S1070" i="31"/>
  <c r="S1073" i="31"/>
  <c r="S1074" i="31"/>
  <c r="S1076" i="31"/>
  <c r="S1080" i="31"/>
  <c r="S1082" i="31"/>
  <c r="S1083" i="31"/>
  <c r="S1085" i="31"/>
  <c r="S1086" i="31"/>
  <c r="S1093" i="31"/>
  <c r="S1098" i="31"/>
  <c r="S1100" i="31"/>
  <c r="S1104" i="31"/>
  <c r="S2041" i="31"/>
  <c r="S2042" i="31"/>
  <c r="S2044" i="31"/>
  <c r="S2045" i="31"/>
  <c r="S2047" i="31"/>
  <c r="S2046" i="31"/>
  <c r="S2050" i="31"/>
  <c r="S2051" i="31"/>
  <c r="S2052" i="31"/>
  <c r="S2053" i="31"/>
  <c r="S2056" i="31"/>
  <c r="S2055" i="31"/>
  <c r="S2058" i="31"/>
  <c r="S2062" i="31"/>
  <c r="S2063" i="31"/>
  <c r="S2064" i="31"/>
  <c r="S2065" i="31"/>
  <c r="S2071" i="31"/>
  <c r="S2072" i="31"/>
  <c r="S2076" i="31"/>
  <c r="S2073" i="31"/>
  <c r="S2075" i="31"/>
  <c r="S2077" i="31"/>
  <c r="S2078" i="31"/>
  <c r="S2079" i="31"/>
  <c r="S2082" i="31"/>
  <c r="S2083" i="31"/>
  <c r="S2086" i="31"/>
  <c r="S2087" i="31"/>
  <c r="S2088" i="31"/>
  <c r="S2089" i="31"/>
  <c r="S2090" i="31"/>
  <c r="S2091" i="31"/>
  <c r="S2093" i="31"/>
  <c r="S2094" i="31"/>
  <c r="S2095" i="31"/>
  <c r="S2096" i="31"/>
  <c r="S2103" i="31"/>
  <c r="S2105" i="31"/>
  <c r="S2106" i="31"/>
  <c r="S2107" i="31"/>
  <c r="S2108" i="31"/>
  <c r="S2109" i="31"/>
  <c r="S2110" i="31"/>
  <c r="S2112" i="31"/>
  <c r="S2113" i="31"/>
  <c r="S623" i="31"/>
  <c r="S1108" i="31"/>
  <c r="S1105" i="31"/>
  <c r="S1107" i="31"/>
  <c r="S1122" i="31"/>
  <c r="S1109" i="31"/>
  <c r="S1111" i="31"/>
  <c r="S1112" i="31"/>
  <c r="S1113" i="31"/>
  <c r="S1114" i="31"/>
  <c r="S1115" i="31"/>
  <c r="S1116" i="31"/>
  <c r="S1117" i="31"/>
  <c r="S1118" i="31"/>
  <c r="S1119" i="31"/>
  <c r="S1120" i="31"/>
  <c r="S1121" i="31"/>
  <c r="S1123" i="31"/>
  <c r="S1135" i="31"/>
  <c r="S1129" i="31"/>
  <c r="S1131" i="31"/>
  <c r="S1132" i="31"/>
  <c r="S1136" i="31"/>
  <c r="S1137" i="31"/>
  <c r="S1138" i="31"/>
  <c r="S1140" i="31"/>
  <c r="S1141" i="31"/>
  <c r="S1139" i="31"/>
  <c r="S1142" i="31"/>
  <c r="S1143" i="31"/>
  <c r="S853" i="31"/>
  <c r="S2136" i="31"/>
  <c r="S2137" i="31"/>
  <c r="S628" i="31"/>
  <c r="S1157" i="31"/>
  <c r="S1145" i="31"/>
  <c r="S1146" i="31"/>
  <c r="S1147" i="31"/>
  <c r="S1148" i="31"/>
  <c r="S1150" i="31"/>
  <c r="S1151" i="31"/>
  <c r="S1152" i="31"/>
  <c r="S1153" i="31"/>
  <c r="S1154" i="31"/>
  <c r="S1155" i="31"/>
  <c r="S1156" i="31"/>
  <c r="S1158" i="31"/>
  <c r="S1162" i="31"/>
  <c r="S1159" i="31"/>
  <c r="S1160" i="31"/>
  <c r="S1161" i="31"/>
  <c r="S1163" i="31"/>
  <c r="S1164" i="31"/>
  <c r="S1165" i="31"/>
  <c r="S1166" i="31"/>
  <c r="S1167" i="31"/>
  <c r="S1168" i="31"/>
  <c r="S1169" i="31"/>
  <c r="S1172" i="31"/>
  <c r="S1173" i="31"/>
  <c r="S1175" i="31"/>
  <c r="S1176" i="31"/>
  <c r="S1178" i="31"/>
  <c r="S1180" i="31"/>
  <c r="S1182" i="31"/>
  <c r="S1183" i="31"/>
  <c r="S1184" i="31"/>
  <c r="S1185" i="31"/>
  <c r="S1186" i="31"/>
  <c r="S1339" i="31"/>
  <c r="S1340" i="31"/>
  <c r="S1341" i="31"/>
  <c r="S2183" i="31"/>
  <c r="S2190" i="31"/>
  <c r="S2191" i="31"/>
  <c r="S2193" i="31"/>
  <c r="S2194" i="31"/>
  <c r="S2195" i="31"/>
  <c r="S2196" i="31"/>
  <c r="S2197" i="31"/>
  <c r="S2199" i="31"/>
  <c r="S2118" i="31"/>
  <c r="S2122" i="31"/>
  <c r="S2124" i="31"/>
  <c r="S1202" i="31"/>
  <c r="S1204" i="31"/>
  <c r="S1205" i="31"/>
  <c r="S1210" i="31"/>
  <c r="S1216" i="31"/>
  <c r="S1227" i="31"/>
  <c r="S2200" i="31"/>
  <c r="S2201" i="31"/>
  <c r="S1278" i="31"/>
  <c r="S1279" i="31"/>
  <c r="S1343" i="31"/>
  <c r="S2139" i="31"/>
  <c r="S1601" i="31"/>
  <c r="S1602" i="31"/>
  <c r="S1603" i="31"/>
  <c r="S1604" i="31"/>
  <c r="S1605" i="31"/>
  <c r="S2144" i="31"/>
  <c r="S2145" i="31"/>
  <c r="S2147" i="31"/>
  <c r="S2150" i="31"/>
  <c r="S2158" i="31"/>
  <c r="S2162" i="31"/>
  <c r="S2164" i="31"/>
  <c r="S2170" i="31"/>
  <c r="S2171" i="31"/>
  <c r="S2175" i="31"/>
  <c r="S2176" i="31"/>
  <c r="S2177" i="31"/>
  <c r="S2180" i="31"/>
  <c r="S2181" i="31"/>
  <c r="S2182" i="31"/>
  <c r="S895" i="31"/>
  <c r="S896" i="31"/>
  <c r="S897" i="31"/>
  <c r="S898" i="31"/>
  <c r="S899" i="31"/>
  <c r="S1144" i="31"/>
  <c r="S1149" i="31"/>
  <c r="S1170" i="31"/>
  <c r="S1171" i="31"/>
  <c r="S1174" i="31"/>
  <c r="S2184" i="31"/>
  <c r="S2185" i="31"/>
  <c r="S2186" i="31"/>
  <c r="S2187" i="31"/>
  <c r="S2188" i="31"/>
  <c r="S2189" i="31"/>
  <c r="S900" i="31"/>
  <c r="S901" i="31"/>
  <c r="S902" i="31"/>
  <c r="S903" i="31"/>
  <c r="S906" i="31"/>
  <c r="S1254" i="31"/>
  <c r="S1255" i="31"/>
  <c r="S1256" i="31"/>
  <c r="S1263" i="31"/>
  <c r="S1264" i="31"/>
  <c r="S1265" i="31"/>
  <c r="S1266" i="31"/>
  <c r="S1268" i="31"/>
  <c r="S1270" i="31"/>
  <c r="S1272" i="31"/>
  <c r="S1273" i="31"/>
  <c r="S1177" i="31"/>
  <c r="S1179" i="31"/>
  <c r="S1181" i="31"/>
  <c r="S1187" i="31"/>
  <c r="S1193" i="31"/>
  <c r="S1194" i="31"/>
  <c r="S911" i="31"/>
  <c r="S914" i="31"/>
  <c r="S915" i="31"/>
  <c r="S916" i="31"/>
  <c r="S917" i="31"/>
  <c r="S918" i="31"/>
  <c r="S1188" i="31"/>
  <c r="S1189" i="31"/>
  <c r="S1190" i="31"/>
  <c r="S1191" i="31"/>
  <c r="S1192" i="31"/>
  <c r="S634" i="31"/>
  <c r="S635" i="31"/>
  <c r="S2125" i="31"/>
  <c r="S637" i="31"/>
  <c r="S2132" i="31"/>
  <c r="S2134" i="31"/>
  <c r="S919" i="31"/>
  <c r="S921" i="31"/>
  <c r="S922" i="31"/>
  <c r="S923" i="31"/>
  <c r="S924" i="31"/>
  <c r="S925" i="31"/>
  <c r="S633" i="31"/>
  <c r="S1326" i="31"/>
  <c r="S1288" i="31"/>
  <c r="S1290" i="31"/>
  <c r="S1291" i="31"/>
  <c r="S1294" i="31"/>
  <c r="S1295" i="31"/>
  <c r="S1297" i="31"/>
  <c r="S1299" i="31"/>
  <c r="S1304" i="31"/>
  <c r="S1306" i="31"/>
  <c r="S1308" i="31"/>
  <c r="S1313" i="31"/>
  <c r="S1321" i="31"/>
  <c r="S1333" i="31"/>
  <c r="S1335" i="31"/>
  <c r="S1336" i="31"/>
  <c r="S1337" i="31"/>
  <c r="S1338" i="31"/>
  <c r="S1342" i="31"/>
  <c r="S1344" i="31"/>
  <c r="S1349" i="31"/>
  <c r="S1346" i="31"/>
  <c r="S1347" i="31"/>
  <c r="S1348" i="31"/>
  <c r="S1350" i="31"/>
  <c r="S1378" i="31"/>
  <c r="S1380" i="31"/>
  <c r="S852" i="31"/>
  <c r="S1381" i="31"/>
  <c r="S1382" i="31"/>
  <c r="S629" i="31"/>
  <c r="S2202" i="31"/>
  <c r="S630" i="31"/>
  <c r="S2203" i="31"/>
  <c r="S2204" i="31"/>
  <c r="S2205" i="31"/>
  <c r="S2206" i="31"/>
  <c r="S631" i="31"/>
  <c r="S2207" i="31"/>
  <c r="S2208" i="31"/>
  <c r="S2209" i="31"/>
  <c r="S2210" i="31"/>
  <c r="S2211" i="31"/>
  <c r="S2212" i="31"/>
  <c r="S2213" i="31"/>
  <c r="S2214" i="31"/>
  <c r="S2215" i="31"/>
  <c r="S2216" i="31"/>
  <c r="S2217" i="31"/>
  <c r="S2218" i="31"/>
  <c r="S2284" i="31"/>
  <c r="S1372" i="31"/>
  <c r="S1351" i="31"/>
  <c r="S1352" i="31"/>
  <c r="S1353" i="31"/>
  <c r="S1354" i="31"/>
  <c r="S1355" i="31"/>
  <c r="S1356" i="31"/>
  <c r="S1357" i="31"/>
  <c r="S1358" i="31"/>
  <c r="S1359" i="31"/>
  <c r="S1360" i="31"/>
  <c r="S1361" i="31"/>
  <c r="S1362" i="31"/>
  <c r="S1363" i="31"/>
  <c r="S1364" i="31"/>
  <c r="S1365" i="31"/>
  <c r="S1366" i="31"/>
  <c r="S1367" i="31"/>
  <c r="S1368" i="31"/>
  <c r="S1369" i="31"/>
  <c r="S1370" i="31"/>
  <c r="S1371" i="31"/>
  <c r="S1373" i="31"/>
  <c r="S1374" i="31"/>
  <c r="S1375" i="31"/>
  <c r="S1376" i="31"/>
  <c r="S1377" i="31"/>
  <c r="S926" i="31"/>
  <c r="S927" i="31"/>
  <c r="S928" i="31"/>
  <c r="S929" i="31"/>
  <c r="S931" i="31"/>
  <c r="S653" i="31"/>
  <c r="S656" i="31"/>
  <c r="S1379" i="31"/>
  <c r="S1387" i="31"/>
  <c r="S1391" i="31"/>
  <c r="S1393" i="31"/>
  <c r="S1383" i="31"/>
  <c r="S932" i="31"/>
  <c r="S933" i="31"/>
  <c r="S934" i="31"/>
  <c r="S936" i="31"/>
  <c r="S937" i="31"/>
  <c r="S938" i="31"/>
  <c r="S1396" i="31"/>
  <c r="S1397" i="31"/>
  <c r="S1402" i="31"/>
  <c r="S1404" i="31"/>
  <c r="S1405" i="31"/>
  <c r="S942" i="31"/>
  <c r="S947" i="31"/>
  <c r="S1195" i="31"/>
  <c r="S1196" i="31"/>
  <c r="S1197" i="31"/>
  <c r="S1198" i="31"/>
  <c r="S1419" i="31"/>
  <c r="S1407" i="31"/>
  <c r="S1408" i="31"/>
  <c r="S1409" i="31"/>
  <c r="S1410" i="31"/>
  <c r="S1411" i="31"/>
  <c r="S1412" i="31"/>
  <c r="S1413" i="31"/>
  <c r="S1414" i="31"/>
  <c r="S1417" i="31"/>
  <c r="S1420" i="31"/>
  <c r="S1421" i="31"/>
  <c r="S1423" i="31"/>
  <c r="S1425" i="31"/>
  <c r="S1426" i="31"/>
  <c r="S1427" i="31"/>
  <c r="S1438" i="31"/>
  <c r="S1428" i="31"/>
  <c r="S1429" i="31"/>
  <c r="S1430" i="31"/>
  <c r="S1432" i="31"/>
  <c r="S1434" i="31"/>
  <c r="S1435" i="31"/>
  <c r="S1436" i="31"/>
  <c r="S1437" i="31"/>
  <c r="S1447" i="31"/>
  <c r="S1439" i="31"/>
  <c r="S1442" i="31"/>
  <c r="S1444" i="31"/>
  <c r="S1445" i="31"/>
  <c r="S1446" i="31"/>
  <c r="S1449" i="31"/>
  <c r="S1450" i="31"/>
  <c r="S1451" i="31"/>
  <c r="S636" i="31"/>
  <c r="S638" i="31"/>
  <c r="S639" i="31"/>
  <c r="S2289" i="31"/>
  <c r="S2297" i="31"/>
  <c r="S645" i="31"/>
  <c r="S2114" i="31"/>
  <c r="S2115" i="31"/>
  <c r="S2116" i="31"/>
  <c r="S893" i="31"/>
  <c r="S894" i="31"/>
  <c r="S948" i="31"/>
  <c r="S950" i="31"/>
  <c r="S952" i="31"/>
  <c r="S1057" i="31"/>
  <c r="S1058" i="31"/>
  <c r="S1199" i="31"/>
  <c r="S1200" i="31"/>
  <c r="S1201" i="31"/>
  <c r="S1203" i="31"/>
  <c r="S1277" i="31"/>
  <c r="S664" i="31"/>
  <c r="S685" i="31"/>
  <c r="S688" i="31"/>
  <c r="S689" i="31"/>
  <c r="S690" i="31"/>
  <c r="S691" i="31"/>
  <c r="S692" i="31"/>
  <c r="S693" i="31"/>
  <c r="S961" i="31"/>
  <c r="S962" i="31"/>
  <c r="S965" i="31"/>
  <c r="S1479" i="31"/>
  <c r="S1482" i="31"/>
  <c r="S1486" i="31"/>
  <c r="S1487" i="31"/>
  <c r="S1488" i="31"/>
  <c r="S1489" i="31"/>
  <c r="S1490" i="31"/>
  <c r="S1491" i="31"/>
  <c r="S1492" i="31"/>
  <c r="S1494" i="31"/>
  <c r="S1495" i="31"/>
  <c r="S698" i="31"/>
  <c r="S700" i="31"/>
  <c r="S703" i="31"/>
  <c r="S704" i="31"/>
  <c r="S1504" i="31"/>
  <c r="S1497" i="31"/>
  <c r="S1498" i="31"/>
  <c r="S1499" i="31"/>
  <c r="S1500" i="31"/>
  <c r="S1501" i="31"/>
  <c r="S1505" i="31"/>
  <c r="S1506" i="31"/>
  <c r="S1508" i="31"/>
  <c r="S728" i="31"/>
  <c r="S730" i="31"/>
  <c r="S969" i="31"/>
  <c r="S970" i="31"/>
  <c r="S971" i="31"/>
  <c r="S972" i="31"/>
  <c r="S1518" i="31"/>
  <c r="S1513" i="31"/>
  <c r="S1515" i="31"/>
  <c r="S1516" i="31"/>
  <c r="S1517" i="31"/>
  <c r="S1523" i="31"/>
  <c r="S1521" i="31"/>
  <c r="S1522" i="31"/>
  <c r="S1534" i="31"/>
  <c r="S1524" i="31"/>
  <c r="S1526" i="31"/>
  <c r="S1527" i="31"/>
  <c r="S1537" i="31"/>
  <c r="S1536" i="31"/>
  <c r="S1538" i="31"/>
  <c r="S1539" i="31"/>
  <c r="S1540" i="31"/>
  <c r="S1541" i="31"/>
  <c r="S1542" i="31"/>
  <c r="S1543" i="31"/>
  <c r="S1544" i="31"/>
  <c r="S1545" i="31"/>
  <c r="S1546" i="31"/>
  <c r="S1547" i="31"/>
  <c r="S1548" i="31"/>
  <c r="S1549" i="31"/>
  <c r="S1550" i="31"/>
  <c r="S1551" i="31"/>
  <c r="S1552" i="31"/>
  <c r="S1553" i="31"/>
  <c r="S1554" i="31"/>
  <c r="S1555" i="31"/>
  <c r="S1556" i="31"/>
  <c r="S1557" i="31"/>
  <c r="S1558" i="31"/>
  <c r="S1559" i="31"/>
  <c r="S1560" i="31"/>
  <c r="S1561" i="31"/>
  <c r="S1562" i="31"/>
  <c r="S1563" i="31"/>
  <c r="S1583" i="31"/>
  <c r="S1566" i="31"/>
  <c r="S1568" i="31"/>
  <c r="S1569" i="31"/>
  <c r="S1570" i="31"/>
  <c r="S1571" i="31"/>
  <c r="S1572" i="31"/>
  <c r="S1575" i="31"/>
  <c r="S1576" i="31"/>
  <c r="S1577" i="31"/>
  <c r="S1578" i="31"/>
  <c r="S1582" i="31"/>
  <c r="S1598" i="31"/>
  <c r="S1584" i="31"/>
  <c r="S1585" i="31"/>
  <c r="S1586" i="31"/>
  <c r="S1587" i="31"/>
  <c r="S1589" i="31"/>
  <c r="S1590" i="31"/>
  <c r="S1593" i="31"/>
  <c r="S1600" i="31"/>
  <c r="S1384" i="31"/>
  <c r="S1385" i="31"/>
  <c r="S1386" i="31"/>
  <c r="S1388" i="31"/>
  <c r="S1389" i="31"/>
  <c r="S1390" i="31"/>
  <c r="S1392" i="31"/>
  <c r="S1394" i="31"/>
  <c r="S1395" i="31"/>
  <c r="S1398" i="31"/>
  <c r="S1611" i="31"/>
  <c r="S1612" i="31"/>
  <c r="S1613" i="31"/>
  <c r="S2219" i="31"/>
  <c r="S2220" i="31"/>
  <c r="S2221" i="31"/>
  <c r="S2222" i="31"/>
  <c r="S1399" i="31"/>
  <c r="S1400" i="31"/>
  <c r="S1401" i="31"/>
  <c r="S1614" i="31"/>
  <c r="S1403" i="31"/>
  <c r="S1616" i="31"/>
  <c r="S1406" i="31"/>
  <c r="S1415" i="31"/>
  <c r="S1416" i="31"/>
  <c r="S1418" i="31"/>
  <c r="S1615" i="31"/>
  <c r="S1617" i="31"/>
  <c r="S1618" i="31"/>
  <c r="S1620" i="31"/>
  <c r="S1621" i="31"/>
  <c r="S2230" i="31"/>
  <c r="S2232" i="31"/>
  <c r="S2237" i="31"/>
  <c r="S2248" i="31"/>
  <c r="S2250" i="31"/>
  <c r="S2252" i="31"/>
  <c r="S2253" i="31"/>
  <c r="S2254" i="31"/>
  <c r="S2256" i="31"/>
  <c r="S2260" i="31"/>
  <c r="S2261" i="31"/>
  <c r="S2263" i="31"/>
  <c r="S2268" i="31"/>
  <c r="S2271" i="31"/>
  <c r="S2273" i="31"/>
  <c r="S2274" i="31"/>
  <c r="S2275" i="31"/>
  <c r="S2277" i="31"/>
  <c r="S1625" i="31"/>
  <c r="S1619" i="31"/>
  <c r="S1628" i="31"/>
  <c r="S1626" i="31"/>
  <c r="S1636" i="31"/>
  <c r="S1640" i="31"/>
  <c r="S1645" i="31"/>
  <c r="S1647" i="31"/>
  <c r="S2223" i="31"/>
  <c r="S2224" i="31"/>
  <c r="S2225" i="31"/>
  <c r="S2226" i="31"/>
  <c r="S2227" i="31"/>
  <c r="S2228" i="31"/>
  <c r="S2229" i="31"/>
  <c r="S1208" i="31"/>
  <c r="S1209" i="31"/>
  <c r="S1211" i="31"/>
  <c r="S1212" i="31"/>
  <c r="S1213" i="31"/>
  <c r="S1214" i="31"/>
  <c r="S1650" i="31"/>
  <c r="S1651" i="31"/>
  <c r="S1652" i="31"/>
  <c r="S1653" i="31"/>
  <c r="S1655" i="31"/>
  <c r="S1656" i="31"/>
  <c r="S1659" i="31"/>
  <c r="S1660" i="31"/>
  <c r="S1661" i="31"/>
  <c r="S1662" i="31"/>
  <c r="S1664" i="31"/>
  <c r="S1667" i="31"/>
  <c r="S1668" i="31"/>
  <c r="S1669" i="31"/>
  <c r="S1670" i="31"/>
  <c r="S1673" i="31"/>
  <c r="S2280" i="31"/>
  <c r="S2283" i="31"/>
  <c r="S1674" i="31"/>
  <c r="S1675" i="31"/>
  <c r="S1677" i="31"/>
  <c r="S1679" i="31"/>
  <c r="S1680" i="31"/>
  <c r="S1681" i="31"/>
  <c r="S1683" i="31"/>
  <c r="S1684" i="31"/>
  <c r="S1685" i="31"/>
  <c r="S1687" i="31"/>
  <c r="S1689" i="31"/>
  <c r="S1690" i="31"/>
  <c r="S1691" i="31"/>
  <c r="S1697" i="31"/>
  <c r="S1698" i="31"/>
  <c r="S1699" i="31"/>
  <c r="S1704" i="31"/>
  <c r="S1705" i="31"/>
  <c r="S1706" i="31"/>
  <c r="S1707" i="31"/>
  <c r="S1708" i="31"/>
  <c r="S658" i="31"/>
  <c r="S2304" i="31"/>
  <c r="S2306" i="31"/>
  <c r="S2309" i="31"/>
  <c r="S2310" i="31"/>
  <c r="S2311" i="31"/>
  <c r="S2313" i="31"/>
  <c r="S2314" i="31"/>
  <c r="S2315" i="31"/>
  <c r="S2316" i="31"/>
  <c r="S659" i="31"/>
  <c r="S2317" i="31"/>
  <c r="S2319" i="31"/>
  <c r="S2324" i="31"/>
  <c r="S2326" i="31"/>
  <c r="S2366" i="31"/>
  <c r="S1713" i="31"/>
  <c r="S1714" i="31"/>
  <c r="S1715" i="31"/>
  <c r="S1716" i="31"/>
  <c r="S1717" i="31"/>
  <c r="S1720" i="31"/>
  <c r="S1722" i="31"/>
  <c r="S1726" i="31"/>
  <c r="S1727" i="31"/>
  <c r="S1730" i="31"/>
  <c r="S1731" i="31"/>
  <c r="S1732" i="31"/>
  <c r="S1733" i="31"/>
  <c r="S1737" i="31"/>
  <c r="S1740" i="31"/>
  <c r="S1743" i="31"/>
  <c r="S1745" i="31"/>
  <c r="S1746" i="31"/>
  <c r="S1749" i="31"/>
  <c r="S1750" i="31"/>
  <c r="S1752" i="31"/>
  <c r="S1756" i="31"/>
  <c r="S1757" i="31"/>
  <c r="S1758" i="31"/>
  <c r="S1760" i="31"/>
  <c r="S1761" i="31"/>
  <c r="S1762" i="31"/>
  <c r="S1622" i="31"/>
  <c r="S1623" i="31"/>
  <c r="S1624" i="31"/>
  <c r="S1627" i="31"/>
  <c r="S1629" i="31"/>
  <c r="S1630" i="31"/>
  <c r="S1631" i="31"/>
  <c r="S1632" i="31"/>
  <c r="S1633" i="31"/>
  <c r="S1634" i="31"/>
  <c r="S1635" i="31"/>
  <c r="S2327" i="31"/>
  <c r="S2328" i="31"/>
  <c r="S2329" i="31"/>
  <c r="S2330" i="31"/>
  <c r="S2331" i="31"/>
  <c r="S2336" i="31"/>
  <c r="S2338" i="31"/>
  <c r="S2340" i="31"/>
  <c r="S2346" i="31"/>
  <c r="S2349" i="31"/>
  <c r="S2350" i="31"/>
  <c r="S2351" i="31"/>
  <c r="S2357" i="31"/>
  <c r="S2358" i="31"/>
  <c r="S2359" i="31"/>
  <c r="S1764" i="31"/>
  <c r="S1765" i="31"/>
  <c r="S1766" i="31"/>
  <c r="S1769" i="31"/>
  <c r="S1771" i="31"/>
  <c r="S1772" i="31"/>
  <c r="S1776" i="31"/>
  <c r="S1779" i="31"/>
  <c r="S1780" i="31"/>
  <c r="S1790" i="31"/>
  <c r="S661" i="31"/>
  <c r="S1639" i="31"/>
  <c r="S1641" i="31"/>
  <c r="S1642" i="31"/>
  <c r="S1643" i="31"/>
  <c r="S1644" i="31"/>
  <c r="S1646" i="31"/>
  <c r="S1648" i="31"/>
  <c r="S663" i="31"/>
  <c r="S1649" i="31"/>
  <c r="S2368" i="31"/>
  <c r="S2369" i="31"/>
  <c r="S2370" i="31"/>
  <c r="S2371" i="31"/>
  <c r="S2372" i="31"/>
  <c r="S2374" i="31"/>
  <c r="S660" i="31"/>
  <c r="S2376" i="31"/>
  <c r="S1793" i="31"/>
  <c r="S1796" i="31"/>
  <c r="S1807" i="31"/>
  <c r="S1654" i="31"/>
  <c r="S1657" i="31"/>
  <c r="S1658" i="31"/>
  <c r="S1663" i="31"/>
  <c r="S1665" i="31"/>
  <c r="S1666" i="31"/>
  <c r="S1671" i="31"/>
  <c r="S1672" i="31"/>
  <c r="S1676" i="31"/>
  <c r="S1678" i="31"/>
  <c r="S2377" i="31"/>
  <c r="S2379" i="31"/>
  <c r="S2381" i="31"/>
  <c r="S2384" i="31"/>
  <c r="S2385" i="31"/>
  <c r="S2388" i="31"/>
  <c r="S503" i="31"/>
  <c r="S731" i="31"/>
  <c r="S732" i="31"/>
  <c r="S734" i="31"/>
  <c r="S736" i="31"/>
  <c r="S737" i="31"/>
  <c r="S1422" i="31"/>
  <c r="S1424" i="31"/>
  <c r="S1431" i="31"/>
  <c r="S1433" i="31"/>
  <c r="S1440" i="31"/>
  <c r="S1813" i="31"/>
  <c r="S1817" i="31"/>
  <c r="S1818" i="31"/>
  <c r="S1822" i="31"/>
  <c r="S1823" i="31"/>
  <c r="S1824" i="31"/>
  <c r="S1825" i="31"/>
  <c r="S1826" i="31"/>
  <c r="S1827" i="31"/>
  <c r="S1828" i="31"/>
  <c r="S1831" i="31"/>
  <c r="S1833" i="31"/>
  <c r="S1834" i="31"/>
  <c r="S1835" i="31"/>
  <c r="S1837" i="31"/>
  <c r="S1838" i="31"/>
  <c r="S1840" i="31"/>
  <c r="S1682" i="31"/>
  <c r="S1686" i="31"/>
  <c r="S1688" i="31"/>
  <c r="S1852" i="31"/>
  <c r="S1844" i="31"/>
  <c r="S1845" i="31"/>
  <c r="S1846" i="31"/>
  <c r="S1847" i="31"/>
  <c r="S1848" i="31"/>
  <c r="S1849" i="31"/>
  <c r="S1850" i="31"/>
  <c r="S1851" i="31"/>
  <c r="S1853" i="31"/>
  <c r="S1854" i="31"/>
  <c r="S1855" i="31"/>
  <c r="S1215" i="31"/>
  <c r="S1217" i="31"/>
  <c r="S739" i="31"/>
  <c r="S740" i="31"/>
  <c r="S741" i="31"/>
  <c r="S742" i="31"/>
  <c r="S1857" i="31"/>
  <c r="S1859" i="31"/>
  <c r="S1862" i="31"/>
  <c r="S1863" i="31"/>
  <c r="S1864" i="31"/>
  <c r="S1868" i="31"/>
  <c r="S1871" i="31"/>
  <c r="S1872" i="31"/>
  <c r="S1873" i="31"/>
  <c r="S1876" i="31"/>
  <c r="S1878" i="31"/>
  <c r="S1879" i="31"/>
  <c r="S1880" i="31"/>
  <c r="S1881" i="31"/>
  <c r="S1885" i="31"/>
  <c r="S2399" i="31"/>
  <c r="S2405" i="31"/>
  <c r="S2412" i="31"/>
  <c r="S2413" i="31"/>
  <c r="S2396" i="31"/>
  <c r="S1886" i="31"/>
  <c r="S1887" i="31"/>
  <c r="S1888" i="31"/>
  <c r="S1889" i="31"/>
  <c r="S1890" i="31"/>
  <c r="S1891" i="31"/>
  <c r="S1892" i="31"/>
  <c r="S1893" i="31"/>
  <c r="S1894" i="31"/>
  <c r="S1895" i="31"/>
  <c r="S1896" i="31"/>
  <c r="S1897" i="31"/>
  <c r="S1898" i="31"/>
  <c r="S1899" i="31"/>
  <c r="S1900" i="31"/>
  <c r="S1901" i="31"/>
  <c r="S1902" i="31"/>
  <c r="S1903" i="31"/>
  <c r="S1904" i="31"/>
  <c r="S1905" i="31"/>
  <c r="S1906" i="31"/>
  <c r="S2428" i="31"/>
  <c r="S979" i="31"/>
  <c r="S2444" i="31"/>
  <c r="S747" i="31"/>
  <c r="S973" i="31"/>
  <c r="S975" i="31"/>
  <c r="S1786" i="31"/>
  <c r="S977" i="31"/>
  <c r="S1787" i="31"/>
  <c r="S1926" i="31"/>
  <c r="S1908" i="31"/>
  <c r="S1910" i="31"/>
  <c r="S1915" i="31"/>
  <c r="S1916" i="31"/>
  <c r="S1917" i="31"/>
  <c r="S1919" i="31"/>
  <c r="S1922" i="31"/>
  <c r="S1692" i="31"/>
  <c r="S1928" i="31"/>
  <c r="S1932" i="31"/>
  <c r="S1935" i="31"/>
  <c r="S1937" i="31"/>
  <c r="S2414" i="31"/>
  <c r="S2415" i="31"/>
  <c r="S2416" i="31"/>
  <c r="S978" i="31"/>
  <c r="S2420" i="31"/>
  <c r="S2424" i="31"/>
  <c r="S760" i="31"/>
  <c r="S762" i="31"/>
  <c r="S763" i="31"/>
  <c r="S764" i="31"/>
  <c r="S765" i="31"/>
  <c r="S1218" i="31"/>
  <c r="S1219" i="31"/>
  <c r="S1220" i="31"/>
  <c r="S1221" i="31"/>
  <c r="S1222" i="31"/>
  <c r="S1693" i="31"/>
  <c r="S1694" i="31"/>
  <c r="S1945" i="31"/>
  <c r="S1940" i="31"/>
  <c r="S1941" i="31"/>
  <c r="S1944" i="31"/>
  <c r="S1966" i="31"/>
  <c r="S1953" i="31"/>
  <c r="S1958" i="31"/>
  <c r="S1961" i="31"/>
  <c r="S1964" i="31"/>
  <c r="S1965" i="31"/>
  <c r="S1969" i="31"/>
  <c r="S1971" i="31"/>
  <c r="S1973" i="31"/>
  <c r="S2454" i="31"/>
  <c r="S2456" i="31"/>
  <c r="S2460" i="31"/>
  <c r="S2461" i="31"/>
  <c r="S2464" i="31"/>
  <c r="S2468" i="31"/>
  <c r="S2470" i="31"/>
  <c r="S2451" i="31"/>
  <c r="S2453" i="31"/>
  <c r="S2466" i="31"/>
  <c r="S983" i="31"/>
  <c r="S984" i="31"/>
  <c r="S986" i="31"/>
  <c r="S987" i="31"/>
  <c r="S988" i="31"/>
  <c r="S1975" i="31"/>
  <c r="S1976" i="31"/>
  <c r="S1977" i="31"/>
  <c r="S1978" i="31"/>
  <c r="S1979" i="31"/>
  <c r="S1980" i="31"/>
  <c r="S1981" i="31"/>
  <c r="S1983" i="31"/>
  <c r="S1984" i="31"/>
  <c r="S1985" i="31"/>
  <c r="S1986" i="31"/>
  <c r="S1987" i="31"/>
  <c r="S1988" i="31"/>
  <c r="S1989" i="31"/>
  <c r="S1990" i="31"/>
  <c r="S1991" i="31"/>
  <c r="S1992" i="31"/>
  <c r="S1993" i="31"/>
  <c r="S1994" i="31"/>
  <c r="S1996" i="31"/>
  <c r="S1997" i="31"/>
  <c r="S1998" i="31"/>
  <c r="S1999" i="31"/>
  <c r="S2000" i="31"/>
  <c r="S2002" i="31"/>
  <c r="S2005" i="31"/>
  <c r="S2006" i="31"/>
  <c r="S2007" i="31"/>
  <c r="S2471" i="31"/>
  <c r="S766" i="31"/>
  <c r="S767" i="31"/>
  <c r="S1062" i="31"/>
  <c r="S769" i="31"/>
  <c r="S770" i="31"/>
  <c r="S989" i="31"/>
  <c r="S990" i="31"/>
  <c r="S1695" i="31"/>
  <c r="S1696" i="31"/>
  <c r="S1700" i="31"/>
  <c r="S1701" i="31"/>
  <c r="S2015" i="31"/>
  <c r="S2010" i="31"/>
  <c r="S2020" i="31"/>
  <c r="S2017" i="31"/>
  <c r="S2018" i="31"/>
  <c r="S2019" i="31"/>
  <c r="S2022" i="31"/>
  <c r="S2021" i="31"/>
  <c r="S2029" i="31"/>
  <c r="S2023" i="31"/>
  <c r="S2025" i="31"/>
  <c r="S2026" i="31"/>
  <c r="S2030" i="31"/>
  <c r="S2031" i="31"/>
  <c r="S2034" i="31"/>
  <c r="S2032" i="31"/>
  <c r="S2037" i="31"/>
  <c r="S2038" i="31"/>
  <c r="S2474" i="31"/>
  <c r="S2480" i="31"/>
  <c r="S2481" i="31"/>
  <c r="S2493" i="31"/>
  <c r="S2494" i="31"/>
  <c r="S995" i="31"/>
  <c r="S996" i="31"/>
  <c r="S997" i="31"/>
  <c r="S1000" i="31"/>
  <c r="S2501" i="31"/>
  <c r="S2506" i="31"/>
  <c r="S1280" i="31"/>
  <c r="S991" i="31"/>
  <c r="S992" i="31"/>
  <c r="S993" i="31"/>
  <c r="S1223" i="31"/>
  <c r="S1224" i="31"/>
  <c r="S1225" i="31"/>
  <c r="S1226" i="31"/>
  <c r="S1228" i="31"/>
  <c r="S2067" i="31"/>
  <c r="S2043" i="31"/>
  <c r="S2048" i="31"/>
  <c r="S2049" i="31"/>
  <c r="S2054" i="31"/>
  <c r="S2057" i="31"/>
  <c r="S2059" i="31"/>
  <c r="S2060" i="31"/>
  <c r="S2061" i="31"/>
  <c r="S2066" i="31"/>
  <c r="S2068" i="31"/>
  <c r="S2069" i="31"/>
  <c r="S2070" i="31"/>
  <c r="S2074" i="31"/>
  <c r="S2080" i="31"/>
  <c r="S2081" i="31"/>
  <c r="S2482" i="31"/>
  <c r="S2486" i="31"/>
  <c r="S2488" i="31"/>
  <c r="S2491" i="31"/>
  <c r="S2492" i="31"/>
  <c r="S2475" i="31"/>
  <c r="S2476" i="31"/>
  <c r="S2477" i="31"/>
  <c r="S2479" i="31"/>
  <c r="S775" i="31"/>
  <c r="S778" i="31"/>
  <c r="S1003" i="31"/>
  <c r="S1004" i="31"/>
  <c r="S1008" i="31"/>
  <c r="S1010" i="31"/>
  <c r="S1013" i="31"/>
  <c r="S1441" i="31"/>
  <c r="S1443" i="31"/>
  <c r="S1448" i="31"/>
  <c r="S1452" i="31"/>
  <c r="S1453" i="31"/>
  <c r="S1702" i="31"/>
  <c r="S1703" i="31"/>
  <c r="S1709" i="31"/>
  <c r="S1710" i="31"/>
  <c r="S1711" i="31"/>
  <c r="S2092" i="31"/>
  <c r="S2084" i="31"/>
  <c r="S2085" i="31"/>
  <c r="S2104" i="31"/>
  <c r="S2508" i="31"/>
  <c r="S2512" i="31"/>
  <c r="S2513" i="31"/>
  <c r="S2516" i="31"/>
  <c r="S2521" i="31"/>
  <c r="S2523" i="31"/>
  <c r="S1712" i="31"/>
  <c r="S1718" i="31"/>
  <c r="S1719" i="31"/>
  <c r="S1721" i="31"/>
  <c r="S1723" i="31"/>
  <c r="S2111" i="31"/>
  <c r="S2117" i="31"/>
  <c r="S2119" i="31"/>
  <c r="S2120" i="31"/>
  <c r="S2121" i="31"/>
  <c r="S2123" i="31"/>
  <c r="S2126" i="31"/>
  <c r="S2127" i="31"/>
  <c r="S2128" i="31"/>
  <c r="S2129" i="31"/>
  <c r="S2130" i="31"/>
  <c r="S2131" i="31"/>
  <c r="S2133" i="31"/>
  <c r="S2525" i="31"/>
  <c r="S2526" i="31"/>
  <c r="S2527" i="31"/>
  <c r="S2529" i="31"/>
  <c r="S2530" i="31"/>
  <c r="S2524" i="31"/>
  <c r="S2532" i="31"/>
  <c r="S1454" i="31"/>
  <c r="S1455" i="31"/>
  <c r="S1456" i="31"/>
  <c r="S1457" i="31"/>
  <c r="S1458" i="31"/>
  <c r="S2135" i="31"/>
  <c r="S2140" i="31"/>
  <c r="S2138" i="31"/>
  <c r="S2153" i="31"/>
  <c r="S2141" i="31"/>
  <c r="S2142" i="31"/>
  <c r="S2143" i="31"/>
  <c r="S2146" i="31"/>
  <c r="S2148" i="31"/>
  <c r="S2149" i="31"/>
  <c r="S2151" i="31"/>
  <c r="S2152" i="31"/>
  <c r="S2161" i="31"/>
  <c r="S2154" i="31"/>
  <c r="S2155" i="31"/>
  <c r="S2156" i="31"/>
  <c r="S2157" i="31"/>
  <c r="S2159" i="31"/>
  <c r="S2160" i="31"/>
  <c r="S2541" i="31"/>
  <c r="S2536" i="31"/>
  <c r="S2538" i="31"/>
  <c r="S786" i="31"/>
  <c r="S805" i="31"/>
  <c r="S819" i="31"/>
  <c r="S1460" i="31"/>
  <c r="S820" i="31"/>
  <c r="S1229" i="31"/>
  <c r="S1230" i="31"/>
  <c r="S1459" i="31"/>
  <c r="S1461" i="31"/>
  <c r="S1462" i="31"/>
  <c r="S822" i="31"/>
  <c r="S1463" i="31"/>
  <c r="S2163" i="31"/>
  <c r="S2165" i="31"/>
  <c r="S2166" i="31"/>
  <c r="S2167" i="31"/>
  <c r="S2168" i="31"/>
  <c r="S2169" i="31"/>
  <c r="S2172" i="31"/>
  <c r="S2173" i="31"/>
  <c r="S2174" i="31"/>
  <c r="S2178" i="31"/>
  <c r="S2179" i="31"/>
  <c r="S2543" i="31"/>
  <c r="S2547" i="31"/>
  <c r="S2549" i="31"/>
  <c r="S2604" i="31"/>
  <c r="S2606" i="31"/>
  <c r="S2609" i="31"/>
  <c r="S2611" i="31"/>
  <c r="S1231" i="31"/>
  <c r="S1232" i="31"/>
  <c r="S1233" i="31"/>
  <c r="S1234" i="31"/>
  <c r="S1464" i="31"/>
  <c r="S1465" i="31"/>
  <c r="S1466" i="31"/>
  <c r="S1467" i="31"/>
  <c r="S1468" i="31"/>
  <c r="S1469" i="31"/>
  <c r="S1470" i="31"/>
  <c r="S1471" i="31"/>
  <c r="S1724" i="31"/>
  <c r="S1725" i="31"/>
  <c r="S1728" i="31"/>
  <c r="S1729" i="31"/>
  <c r="S1734" i="31"/>
  <c r="S2192" i="31"/>
  <c r="S2198" i="31"/>
  <c r="S2579" i="31"/>
  <c r="S2581" i="31"/>
  <c r="S2582" i="31"/>
  <c r="S2583" i="31"/>
  <c r="S2585" i="31"/>
  <c r="S2550" i="31"/>
  <c r="S2551" i="31"/>
  <c r="S2574" i="31"/>
  <c r="S2576" i="31"/>
  <c r="S2613" i="31"/>
  <c r="S2616" i="31"/>
  <c r="S2621" i="31"/>
  <c r="S2625" i="31"/>
  <c r="S2578" i="31"/>
  <c r="S2587" i="31"/>
  <c r="S2593" i="31"/>
  <c r="S2594" i="31"/>
  <c r="S2595" i="31"/>
  <c r="S2597" i="31"/>
  <c r="S2599" i="31"/>
  <c r="S1235" i="31"/>
  <c r="S1236" i="31"/>
  <c r="S2231" i="31"/>
  <c r="S2233" i="31"/>
  <c r="S2234" i="31"/>
  <c r="S2235" i="31"/>
  <c r="S2236" i="31"/>
  <c r="S2238" i="31"/>
  <c r="S2239" i="31"/>
  <c r="S2240" i="31"/>
  <c r="S2241" i="31"/>
  <c r="S2242" i="31"/>
  <c r="S2243" i="31"/>
  <c r="S2244" i="31"/>
  <c r="S2245" i="31"/>
  <c r="S1015" i="31"/>
  <c r="S1016" i="31"/>
  <c r="S1018" i="31"/>
  <c r="S1019" i="31"/>
  <c r="S1020" i="31"/>
  <c r="S1237" i="31"/>
  <c r="S1735" i="31"/>
  <c r="S1736" i="31"/>
  <c r="S1738" i="31"/>
  <c r="S1739" i="31"/>
  <c r="S1741" i="31"/>
  <c r="S2630" i="31"/>
  <c r="S2249" i="31"/>
  <c r="S2246" i="31"/>
  <c r="S2247" i="31"/>
  <c r="S2259" i="31"/>
  <c r="S2251" i="31"/>
  <c r="S2255" i="31"/>
  <c r="S2257" i="31"/>
  <c r="S2258" i="31"/>
  <c r="S2267" i="31"/>
  <c r="S2262" i="31"/>
  <c r="S2264" i="31"/>
  <c r="S2265" i="31"/>
  <c r="S2266" i="31"/>
  <c r="S2272" i="31"/>
  <c r="S2269" i="31"/>
  <c r="S2270" i="31"/>
  <c r="S2626" i="31"/>
  <c r="S2631" i="31"/>
  <c r="S2633" i="31"/>
  <c r="S2638" i="31"/>
  <c r="S2639" i="31"/>
  <c r="S2278" i="31"/>
  <c r="S2276" i="31"/>
  <c r="S2282" i="31"/>
  <c r="S2279" i="31"/>
  <c r="S2281" i="31"/>
  <c r="S2285" i="31"/>
  <c r="S2288" i="31"/>
  <c r="S2286" i="31"/>
  <c r="S2287" i="31"/>
  <c r="S2291" i="31"/>
  <c r="S2290" i="31"/>
  <c r="S2640" i="31"/>
  <c r="S2641" i="31"/>
  <c r="S2292" i="31"/>
  <c r="S2293" i="31"/>
  <c r="S2294" i="31"/>
  <c r="S2295" i="31"/>
  <c r="S2296" i="31"/>
  <c r="S2298" i="31"/>
  <c r="S2299" i="31"/>
  <c r="S2300" i="31"/>
  <c r="S2301" i="31"/>
  <c r="S2302" i="31"/>
  <c r="S2303" i="31"/>
  <c r="S2305" i="31"/>
  <c r="S2642" i="31"/>
  <c r="S2648" i="31"/>
  <c r="S1021" i="31"/>
  <c r="S1022" i="31"/>
  <c r="S1023" i="31"/>
  <c r="S1472" i="31"/>
  <c r="S2307" i="31"/>
  <c r="S2308" i="31"/>
  <c r="S2312" i="31"/>
  <c r="S1024" i="31"/>
  <c r="S1238" i="31"/>
  <c r="S1239" i="31"/>
  <c r="S1240" i="31"/>
  <c r="S1241" i="31"/>
  <c r="S2650" i="31"/>
  <c r="S2651" i="31"/>
  <c r="S2318" i="31"/>
  <c r="S2320" i="31"/>
  <c r="S2321" i="31"/>
  <c r="S2322" i="31"/>
  <c r="S2323" i="31"/>
  <c r="S1242" i="31"/>
  <c r="S1243" i="31"/>
  <c r="S1244" i="31"/>
  <c r="S1245" i="31"/>
  <c r="S2653" i="31"/>
  <c r="S2655" i="31"/>
  <c r="S2325" i="31"/>
  <c r="S2332" i="31"/>
  <c r="S2333" i="31"/>
  <c r="S2334" i="31"/>
  <c r="S2335" i="31"/>
  <c r="S2337" i="31"/>
  <c r="S2662" i="31"/>
  <c r="S2664" i="31"/>
  <c r="S2339" i="31"/>
  <c r="S2341" i="31"/>
  <c r="S2342" i="31"/>
  <c r="S2343" i="31"/>
  <c r="S2344" i="31"/>
  <c r="S2345" i="31"/>
  <c r="S2347" i="31"/>
  <c r="S2348" i="31"/>
  <c r="S2666" i="31"/>
  <c r="S2667" i="31"/>
  <c r="S2674" i="31"/>
  <c r="S2675" i="31"/>
  <c r="S2679" i="31"/>
  <c r="S2686" i="31"/>
  <c r="S2706" i="31"/>
  <c r="S2712" i="31"/>
  <c r="S2714" i="31"/>
  <c r="S2353" i="31"/>
  <c r="S2352" i="31"/>
  <c r="S2355" i="31"/>
  <c r="S2354" i="31"/>
  <c r="S2356" i="31"/>
  <c r="S2360" i="31"/>
  <c r="S2361" i="31"/>
  <c r="S2362" i="31"/>
  <c r="S2363" i="31"/>
  <c r="S2364" i="31"/>
  <c r="S2365" i="31"/>
  <c r="S1246" i="31"/>
  <c r="S1247" i="31"/>
  <c r="S1248" i="31"/>
  <c r="S1249" i="31"/>
  <c r="S1250" i="31"/>
  <c r="S1251" i="31"/>
  <c r="S2715" i="31"/>
  <c r="S2717" i="31"/>
  <c r="S2718" i="31"/>
  <c r="S2727" i="31"/>
  <c r="S2367" i="31"/>
  <c r="S2373" i="31"/>
  <c r="S2375" i="31"/>
  <c r="S2378" i="31"/>
  <c r="S2380" i="31"/>
  <c r="S959" i="31"/>
  <c r="S960" i="31"/>
  <c r="S1025" i="31"/>
  <c r="S1026" i="31"/>
  <c r="S1027" i="31"/>
  <c r="S1029" i="31"/>
  <c r="S1030" i="31"/>
  <c r="S1031" i="31"/>
  <c r="S1035" i="31"/>
  <c r="S1036" i="31"/>
  <c r="S2728" i="31"/>
  <c r="S2730" i="31"/>
  <c r="S2731" i="31"/>
  <c r="S2732" i="31"/>
  <c r="S2382" i="31"/>
  <c r="S2383" i="31"/>
  <c r="S2386" i="31"/>
  <c r="S2387" i="31"/>
  <c r="S2389" i="31"/>
  <c r="S2390" i="31"/>
  <c r="S2391" i="31"/>
  <c r="S2392" i="31"/>
  <c r="S2393" i="31"/>
  <c r="S2394" i="31"/>
  <c r="S2395" i="31"/>
  <c r="S2397" i="31"/>
  <c r="S2398" i="31"/>
  <c r="S2400" i="31"/>
  <c r="S2401" i="31"/>
  <c r="S2402" i="31"/>
  <c r="S2403" i="31"/>
  <c r="S2404" i="31"/>
  <c r="S2406" i="31"/>
  <c r="S2407" i="31"/>
  <c r="S2408" i="31"/>
  <c r="S2409" i="31"/>
  <c r="S2410" i="31"/>
  <c r="S2411" i="31"/>
  <c r="S2417" i="31"/>
  <c r="S2418" i="31"/>
  <c r="S2419" i="31"/>
  <c r="S2421" i="31"/>
  <c r="S2422" i="31"/>
  <c r="S2423" i="31"/>
  <c r="S2425" i="31"/>
  <c r="S2426" i="31"/>
  <c r="S2427" i="31"/>
  <c r="S2429" i="31"/>
  <c r="S2430" i="31"/>
  <c r="S2431" i="31"/>
  <c r="S2432" i="31"/>
  <c r="S2433" i="31"/>
  <c r="S2434" i="31"/>
  <c r="S2435" i="31"/>
  <c r="S2436" i="31"/>
  <c r="S2437" i="31"/>
  <c r="S2438" i="31"/>
  <c r="S2439" i="31"/>
  <c r="S2440" i="31"/>
  <c r="S2441" i="31"/>
  <c r="S2442" i="31"/>
  <c r="S1742" i="31"/>
  <c r="S1744" i="31"/>
  <c r="S1747" i="31"/>
  <c r="S1748" i="31"/>
  <c r="S1751" i="31"/>
  <c r="S824" i="31"/>
  <c r="S825" i="31"/>
  <c r="S2443" i="31"/>
  <c r="S2445" i="31"/>
  <c r="S2446" i="31"/>
  <c r="S2447" i="31"/>
  <c r="S2448" i="31"/>
  <c r="S2449" i="31"/>
  <c r="S2450" i="31"/>
  <c r="S2452" i="31"/>
  <c r="S2455" i="31"/>
  <c r="S2457" i="31"/>
  <c r="S2458" i="31"/>
  <c r="S2459" i="31"/>
  <c r="S2462" i="31"/>
  <c r="S1042" i="31"/>
  <c r="S1044" i="31"/>
  <c r="S1045" i="31"/>
  <c r="S1253" i="31"/>
  <c r="S1257" i="31"/>
  <c r="S1038" i="31"/>
  <c r="S1039" i="31"/>
  <c r="S1040" i="31"/>
  <c r="S1041" i="31"/>
  <c r="S1252" i="31"/>
  <c r="S2733" i="31"/>
  <c r="S2463" i="31"/>
  <c r="S2465" i="31"/>
  <c r="S2467" i="31"/>
  <c r="S2469" i="31"/>
  <c r="S2472" i="31"/>
  <c r="S2473" i="31"/>
  <c r="S2478" i="31"/>
  <c r="S2483" i="31"/>
  <c r="S2484" i="31"/>
  <c r="S2485" i="31"/>
  <c r="S2487" i="31"/>
  <c r="S2489" i="31"/>
  <c r="S2490" i="31"/>
  <c r="S2495" i="31"/>
  <c r="S2496" i="31"/>
  <c r="S2497" i="31"/>
  <c r="S2498" i="31"/>
  <c r="S2499" i="31"/>
  <c r="S2500" i="31"/>
  <c r="S2502" i="31"/>
  <c r="S2503" i="31"/>
  <c r="S2504" i="31"/>
  <c r="S2505" i="31"/>
  <c r="S2507" i="31"/>
  <c r="S1473" i="31"/>
  <c r="S1474" i="31"/>
  <c r="S1475" i="31"/>
  <c r="S1476" i="31"/>
  <c r="S1477" i="31"/>
  <c r="S2735" i="31"/>
  <c r="S2739" i="31"/>
  <c r="S2744" i="31"/>
  <c r="S2745" i="31"/>
  <c r="S2748" i="31"/>
  <c r="S2749" i="31"/>
  <c r="S2750" i="31"/>
  <c r="S2752" i="31"/>
  <c r="S2754" i="31"/>
  <c r="S2755" i="31"/>
  <c r="S2758" i="31"/>
  <c r="S2759" i="31"/>
  <c r="S2760" i="31"/>
  <c r="S2761" i="31"/>
  <c r="S2762" i="31"/>
  <c r="S2763" i="31"/>
  <c r="S2764" i="31"/>
  <c r="S2765" i="31"/>
  <c r="S2767" i="31"/>
  <c r="S2768" i="31"/>
  <c r="S1637" i="31"/>
  <c r="S826" i="31"/>
  <c r="S827" i="31"/>
  <c r="S830" i="31"/>
  <c r="S2509" i="31"/>
  <c r="S2510" i="31"/>
  <c r="S2511" i="31"/>
  <c r="S2514" i="31"/>
  <c r="S2515" i="31"/>
  <c r="S2517" i="31"/>
  <c r="S2518" i="31"/>
  <c r="S2519" i="31"/>
  <c r="S2520" i="31"/>
  <c r="S2522" i="31"/>
  <c r="S2528" i="31"/>
  <c r="S2531" i="31"/>
  <c r="S2533" i="31"/>
  <c r="S2534" i="31"/>
  <c r="S2535" i="31"/>
  <c r="S2537" i="31"/>
  <c r="S2539" i="31"/>
  <c r="S2540" i="31"/>
  <c r="S2542" i="31"/>
  <c r="S2544" i="31"/>
  <c r="S2545" i="31"/>
  <c r="S2546" i="31"/>
  <c r="S2548" i="31"/>
  <c r="S2567" i="31"/>
  <c r="S2552" i="31"/>
  <c r="S2553" i="31"/>
  <c r="S2554" i="31"/>
  <c r="S2555" i="31"/>
  <c r="S2556" i="31"/>
  <c r="S2557" i="31"/>
  <c r="S2558" i="31"/>
  <c r="S2559" i="31"/>
  <c r="S2560" i="31"/>
  <c r="S2561" i="31"/>
  <c r="S2562" i="31"/>
  <c r="S2563" i="31"/>
  <c r="S2564" i="31"/>
  <c r="S2565" i="31"/>
  <c r="S2566" i="31"/>
  <c r="S2568" i="31"/>
  <c r="S2569" i="31"/>
  <c r="S2570" i="31"/>
  <c r="S2571" i="31"/>
  <c r="S2572" i="31"/>
  <c r="S2769" i="31"/>
  <c r="S2770" i="31"/>
  <c r="S2771" i="31"/>
  <c r="S2772" i="31"/>
  <c r="S2773" i="31"/>
  <c r="S2774" i="31"/>
  <c r="S2775" i="31"/>
  <c r="S2776" i="31"/>
  <c r="S1638" i="31"/>
  <c r="S1753" i="31"/>
  <c r="S1754" i="31"/>
  <c r="S1755" i="31"/>
  <c r="S2573" i="31"/>
  <c r="S2575" i="31"/>
  <c r="S2577" i="31"/>
  <c r="S2580" i="31"/>
  <c r="S2584" i="31"/>
  <c r="S2586" i="31"/>
  <c r="S2588" i="31"/>
  <c r="S2589" i="31"/>
  <c r="S2590" i="31"/>
  <c r="S2591" i="31"/>
  <c r="S2592" i="31"/>
  <c r="S2596" i="31"/>
  <c r="S2778" i="31"/>
  <c r="S2779" i="31"/>
  <c r="S2780" i="31"/>
  <c r="S2782" i="31"/>
  <c r="S2783" i="31"/>
  <c r="S2784" i="31"/>
  <c r="S2785" i="31"/>
  <c r="S2786" i="31"/>
  <c r="S2787" i="31"/>
  <c r="S2790" i="31"/>
  <c r="S2791" i="31"/>
  <c r="S2792" i="31"/>
  <c r="S2793" i="31"/>
  <c r="S2794" i="31"/>
  <c r="S2598" i="31"/>
  <c r="S2600" i="31"/>
  <c r="S2601" i="31"/>
  <c r="S2602" i="31"/>
  <c r="S2603" i="31"/>
  <c r="S2605" i="31"/>
  <c r="S2607" i="31"/>
  <c r="S2608" i="31"/>
  <c r="S2610" i="31"/>
  <c r="S2612" i="31"/>
  <c r="S2614" i="31"/>
  <c r="S2615" i="31"/>
  <c r="S2617" i="31"/>
  <c r="S2618" i="31"/>
  <c r="S2619" i="31"/>
  <c r="S2620" i="31"/>
  <c r="S2622" i="31"/>
  <c r="S2623" i="31"/>
  <c r="S2624" i="31"/>
  <c r="S2627" i="31"/>
  <c r="S2628" i="31"/>
  <c r="S2629" i="31"/>
  <c r="S2632" i="31"/>
  <c r="S2800" i="31"/>
  <c r="S2802" i="31"/>
  <c r="S2803" i="31"/>
  <c r="S837" i="31"/>
  <c r="S838" i="31"/>
  <c r="S839" i="31"/>
  <c r="S840" i="31"/>
  <c r="S2634" i="31"/>
  <c r="S2635" i="31"/>
  <c r="S2636" i="31"/>
  <c r="S2637" i="31"/>
  <c r="S2644" i="31"/>
  <c r="S2645" i="31"/>
  <c r="S2646" i="31"/>
  <c r="S2647" i="31"/>
  <c r="S2649" i="31"/>
  <c r="S2652" i="31"/>
  <c r="S2654" i="31"/>
  <c r="S2656" i="31"/>
  <c r="S2657" i="31"/>
  <c r="S2658" i="31"/>
  <c r="S2659" i="31"/>
  <c r="S2660" i="31"/>
  <c r="S2661" i="31"/>
  <c r="S2663" i="31"/>
  <c r="S2665" i="31"/>
  <c r="S2668" i="31"/>
  <c r="S2643" i="31"/>
  <c r="S2795" i="31"/>
  <c r="S2797" i="31"/>
  <c r="S2798" i="31"/>
  <c r="S2799" i="31"/>
  <c r="S2669" i="31"/>
  <c r="S2670" i="31"/>
  <c r="S2671" i="31"/>
  <c r="S2672" i="31"/>
  <c r="S2677" i="31"/>
  <c r="S2678" i="31"/>
  <c r="S2681" i="31"/>
  <c r="S2682" i="31"/>
  <c r="S2683" i="31"/>
  <c r="S2684" i="31"/>
  <c r="S2673" i="31"/>
  <c r="S2676" i="31"/>
  <c r="S2680" i="31"/>
  <c r="S2806" i="31"/>
  <c r="S2685" i="31"/>
  <c r="S2687" i="31"/>
  <c r="S2688" i="31"/>
  <c r="S2689" i="31"/>
  <c r="S2690" i="31"/>
  <c r="S2693" i="31"/>
  <c r="S2691" i="31"/>
  <c r="S2692" i="31"/>
  <c r="S2694" i="31"/>
  <c r="S2695" i="31"/>
  <c r="S2696" i="31"/>
  <c r="S2697" i="31"/>
  <c r="S2698" i="31"/>
  <c r="S2701" i="31"/>
  <c r="S2702" i="31"/>
  <c r="S2703" i="31"/>
  <c r="S2704" i="31"/>
  <c r="S2705" i="31"/>
  <c r="S2699" i="31"/>
  <c r="S2700" i="31"/>
  <c r="S2808" i="31"/>
  <c r="S2810" i="31"/>
  <c r="S2812" i="31"/>
  <c r="S2813" i="31"/>
  <c r="S2814" i="31"/>
  <c r="S2817" i="31"/>
  <c r="S2707" i="31"/>
  <c r="S2708" i="31"/>
  <c r="S2709" i="31"/>
  <c r="S2710" i="31"/>
  <c r="S2711" i="31"/>
  <c r="S2713" i="31"/>
  <c r="S2716" i="31"/>
  <c r="S2818" i="31"/>
  <c r="S2823" i="31"/>
  <c r="S2824" i="31"/>
  <c r="S2825" i="31"/>
  <c r="S2826" i="31"/>
  <c r="S2827" i="31"/>
  <c r="S2720" i="31"/>
  <c r="S2722" i="31"/>
  <c r="S2724" i="31"/>
  <c r="S2725" i="31"/>
  <c r="S2726" i="31"/>
  <c r="S2729" i="31"/>
  <c r="S2719" i="31"/>
  <c r="S2721" i="31"/>
  <c r="S2723" i="31"/>
  <c r="S2856" i="31"/>
  <c r="S2943" i="31"/>
  <c r="S2944" i="31"/>
  <c r="S2945" i="31"/>
  <c r="S2946" i="31"/>
  <c r="S2829" i="31"/>
  <c r="S2830" i="31"/>
  <c r="S2831" i="31"/>
  <c r="S2832" i="31"/>
  <c r="S2854" i="31"/>
  <c r="S2734" i="31"/>
  <c r="S2736" i="31"/>
  <c r="S2737" i="31"/>
  <c r="S2738" i="31"/>
  <c r="S2740" i="31"/>
  <c r="S2741" i="31"/>
  <c r="S2742" i="31"/>
  <c r="S2743" i="31"/>
  <c r="S2746" i="31"/>
  <c r="S2747" i="31"/>
  <c r="S2751" i="31"/>
  <c r="S2753" i="31"/>
  <c r="S2756" i="31"/>
  <c r="S2757" i="31"/>
  <c r="S1267" i="31"/>
  <c r="S1269" i="31"/>
  <c r="S1271" i="31"/>
  <c r="S1274" i="31"/>
  <c r="S1767" i="31"/>
  <c r="S1768" i="31"/>
  <c r="S1770" i="31"/>
  <c r="S1478" i="31"/>
  <c r="S1048" i="31"/>
  <c r="S1049" i="31"/>
  <c r="S1050" i="31"/>
  <c r="S1053" i="31"/>
  <c r="S1054" i="31"/>
  <c r="S1055" i="31"/>
  <c r="S1258" i="31"/>
  <c r="S1259" i="31"/>
  <c r="S1260" i="31"/>
  <c r="S1261" i="31"/>
  <c r="S1262" i="31"/>
  <c r="S1480" i="31"/>
  <c r="S1481" i="31"/>
  <c r="S1484" i="31"/>
  <c r="S1485" i="31"/>
  <c r="S1493" i="31"/>
  <c r="S1496" i="31"/>
  <c r="S1483" i="31"/>
  <c r="S1502" i="31"/>
  <c r="S1503" i="31"/>
  <c r="S1507" i="31"/>
  <c r="S1509" i="31"/>
  <c r="S1510" i="31"/>
  <c r="S1511" i="31"/>
  <c r="S847" i="31"/>
  <c r="S848" i="31"/>
  <c r="S2781" i="31"/>
  <c r="S2789" i="31"/>
  <c r="S2820" i="31"/>
  <c r="S2821" i="31"/>
  <c r="S2828" i="31"/>
  <c r="S2766" i="31"/>
  <c r="S2777" i="31"/>
  <c r="S2788" i="31"/>
  <c r="S2796" i="31"/>
  <c r="S2801" i="31"/>
  <c r="S2804" i="31"/>
  <c r="S2805" i="31"/>
  <c r="S2807" i="31"/>
  <c r="S2809" i="31"/>
  <c r="S2811" i="31"/>
  <c r="S2815" i="31"/>
  <c r="S2816" i="31"/>
  <c r="S2819" i="31"/>
  <c r="S2822" i="31"/>
  <c r="S2833" i="31"/>
  <c r="S2947" i="31"/>
  <c r="S2948" i="31"/>
  <c r="S2949" i="31"/>
  <c r="S2971" i="31"/>
  <c r="S1773" i="31"/>
  <c r="S1774" i="31"/>
  <c r="S1775" i="31"/>
  <c r="S1777" i="31"/>
  <c r="S1778" i="31"/>
  <c r="S1781" i="31"/>
  <c r="S1782" i="31"/>
  <c r="S1783" i="31"/>
  <c r="S1275" i="31"/>
  <c r="S1276" i="31"/>
  <c r="S2849" i="31"/>
  <c r="S2834" i="31"/>
  <c r="S2835" i="31"/>
  <c r="S2836" i="31"/>
  <c r="S2837" i="31"/>
  <c r="S2838" i="31"/>
  <c r="S2839" i="31"/>
  <c r="S2840" i="31"/>
  <c r="S2841" i="31"/>
  <c r="S2842" i="31"/>
  <c r="S2843" i="31"/>
  <c r="S2844" i="31"/>
  <c r="S2845" i="31"/>
  <c r="S2846" i="31"/>
  <c r="S2847" i="31"/>
  <c r="S2848" i="31"/>
  <c r="S2850" i="31"/>
  <c r="S2851" i="31"/>
  <c r="S2852" i="31"/>
  <c r="S2853" i="31"/>
  <c r="S2855" i="31"/>
  <c r="S2857" i="31"/>
  <c r="S2858" i="31"/>
  <c r="S2859" i="31"/>
  <c r="S2860" i="31"/>
  <c r="S2861" i="31"/>
  <c r="S2862" i="31"/>
  <c r="S2863" i="31"/>
  <c r="S2864" i="31"/>
  <c r="S2865" i="31"/>
  <c r="S2866" i="31"/>
  <c r="S2867" i="31"/>
  <c r="S2868" i="31"/>
  <c r="S2869" i="31"/>
  <c r="S2870" i="31"/>
  <c r="S2871" i="31"/>
  <c r="S2872" i="31"/>
  <c r="S2873" i="31"/>
  <c r="S2874" i="31"/>
  <c r="S2875" i="31"/>
  <c r="S2876" i="31"/>
  <c r="S2877" i="31"/>
  <c r="S2878" i="31"/>
  <c r="S2879" i="31"/>
  <c r="S2880" i="31"/>
  <c r="S2881" i="31"/>
  <c r="S2882" i="31"/>
  <c r="S2883" i="31"/>
  <c r="S2884" i="31"/>
  <c r="S2885" i="31"/>
  <c r="S2886" i="31"/>
  <c r="S2887" i="31"/>
  <c r="S2888" i="31"/>
  <c r="S2889" i="31"/>
  <c r="S2890" i="31"/>
  <c r="S2891" i="31"/>
  <c r="S2892" i="31"/>
  <c r="S2893" i="31"/>
  <c r="S2894" i="31"/>
  <c r="S2895" i="31"/>
  <c r="S2896" i="31"/>
  <c r="S2897" i="31"/>
  <c r="S2898" i="31"/>
  <c r="S2899" i="31"/>
  <c r="S2900" i="31"/>
  <c r="S2901" i="31"/>
  <c r="S2902" i="31"/>
  <c r="S2903" i="31"/>
  <c r="S2904" i="31"/>
  <c r="S2905" i="31"/>
  <c r="S2906" i="31"/>
  <c r="S2907" i="31"/>
  <c r="S2908" i="31"/>
  <c r="S2909" i="31"/>
  <c r="S2910" i="31"/>
  <c r="S2911" i="31"/>
  <c r="S2912" i="31"/>
  <c r="S2913" i="31"/>
  <c r="S2914" i="31"/>
  <c r="S2915" i="31"/>
  <c r="S2916" i="31"/>
  <c r="S2917" i="31"/>
  <c r="S2918" i="31"/>
  <c r="S2919" i="31"/>
  <c r="S2920" i="31"/>
  <c r="S2921" i="31"/>
  <c r="S2922" i="31"/>
  <c r="S2923" i="31"/>
  <c r="S2924" i="31"/>
  <c r="S2925" i="31"/>
  <c r="S2926" i="31"/>
  <c r="S2927" i="31"/>
  <c r="S2928" i="31"/>
  <c r="S2929" i="31"/>
  <c r="S2930" i="31"/>
  <c r="S2931" i="31"/>
  <c r="S2932" i="31"/>
  <c r="S2933" i="31"/>
  <c r="S2934" i="31"/>
  <c r="S2935" i="31"/>
  <c r="S2936" i="31"/>
  <c r="S2937" i="31"/>
  <c r="S2938" i="31"/>
  <c r="S2939" i="31"/>
  <c r="S2940" i="31"/>
  <c r="S2941" i="31"/>
  <c r="S2942" i="31"/>
  <c r="S2998" i="31"/>
  <c r="S3019" i="31"/>
  <c r="S1759" i="31"/>
  <c r="S3041" i="31"/>
  <c r="S1206" i="31"/>
  <c r="S3066" i="31"/>
  <c r="S2950" i="31"/>
  <c r="S2951" i="31"/>
  <c r="S2952" i="31"/>
  <c r="S2953" i="31"/>
  <c r="S2954" i="31"/>
  <c r="S2955" i="31"/>
  <c r="S2956" i="31"/>
  <c r="S2957" i="31"/>
  <c r="S2958" i="31"/>
  <c r="S2959" i="31"/>
  <c r="S2960" i="31"/>
  <c r="S2961" i="31"/>
  <c r="S2962" i="31"/>
  <c r="S2963" i="31"/>
  <c r="S850" i="31"/>
  <c r="S2964" i="31"/>
  <c r="S2965" i="31"/>
  <c r="S2966" i="31"/>
  <c r="S2967" i="31"/>
  <c r="S2968" i="31"/>
  <c r="S2969" i="31"/>
  <c r="S2970" i="31"/>
  <c r="S2972" i="31"/>
  <c r="S2973" i="31"/>
  <c r="S2974" i="31"/>
  <c r="S2975" i="31"/>
  <c r="S2976" i="31"/>
  <c r="S2977" i="31"/>
  <c r="S2978" i="31"/>
  <c r="S2979" i="31"/>
  <c r="S2980" i="31"/>
  <c r="S2981" i="31"/>
  <c r="S2982" i="31"/>
  <c r="S2983" i="31"/>
  <c r="S2984" i="31"/>
  <c r="S2985" i="31"/>
  <c r="S2986" i="31"/>
  <c r="S1345" i="31"/>
  <c r="S2987" i="31"/>
  <c r="S2988" i="31"/>
  <c r="S2989" i="31"/>
  <c r="S2990" i="31"/>
  <c r="S2991" i="31"/>
  <c r="S2992" i="31"/>
  <c r="S2993" i="31"/>
  <c r="S2994" i="31"/>
  <c r="S2995" i="31"/>
  <c r="S2996" i="31"/>
  <c r="S2997" i="31"/>
  <c r="S2999" i="31"/>
  <c r="S3000" i="31"/>
  <c r="S3001" i="31"/>
  <c r="S3002" i="31"/>
  <c r="S3003" i="31"/>
  <c r="S3004" i="31"/>
  <c r="S3005" i="31"/>
  <c r="S3006" i="31"/>
  <c r="S3007" i="31"/>
  <c r="S3008" i="31"/>
  <c r="S3009" i="31"/>
  <c r="S3010" i="31"/>
  <c r="S3011" i="31"/>
  <c r="S3012" i="31"/>
  <c r="S3013" i="31"/>
  <c r="S3014" i="31"/>
  <c r="S3015" i="31"/>
  <c r="S3016" i="31"/>
  <c r="S3017" i="31"/>
  <c r="S3018" i="31"/>
  <c r="S1763" i="31"/>
  <c r="S3020" i="31"/>
  <c r="S3021" i="31"/>
  <c r="S3022" i="31"/>
  <c r="S3023" i="31"/>
  <c r="S3024" i="31"/>
  <c r="S3025" i="31"/>
  <c r="S3026" i="31"/>
  <c r="S3027" i="31"/>
  <c r="S3028" i="31"/>
  <c r="S3029" i="31"/>
  <c r="S3030" i="31"/>
  <c r="S3031" i="31"/>
  <c r="S3032" i="31"/>
  <c r="S3033" i="31"/>
  <c r="S3034" i="31"/>
  <c r="S3035" i="31"/>
  <c r="S3036" i="31"/>
  <c r="S3037" i="31"/>
  <c r="S3038" i="31"/>
  <c r="S3039" i="31"/>
  <c r="S3040" i="31"/>
  <c r="S3042" i="31"/>
  <c r="S3043" i="31"/>
  <c r="S3044" i="31"/>
  <c r="S3045" i="31"/>
  <c r="S3046" i="31"/>
  <c r="S3047" i="31"/>
  <c r="S3048" i="31"/>
  <c r="S1207" i="31"/>
  <c r="S3049" i="31"/>
  <c r="S3050" i="31"/>
  <c r="S3051" i="31"/>
  <c r="S3052" i="31"/>
  <c r="S3053" i="31"/>
  <c r="S3054" i="31"/>
  <c r="S3055" i="31"/>
  <c r="S3056" i="31"/>
  <c r="S3057" i="31"/>
  <c r="S3058" i="31"/>
  <c r="S3059" i="31"/>
  <c r="S3060" i="31"/>
  <c r="S3061" i="31"/>
  <c r="S3062" i="31"/>
  <c r="S3063" i="31"/>
  <c r="S3064" i="31"/>
  <c r="S3065" i="31"/>
  <c r="S1037" i="31"/>
  <c r="S3067" i="31"/>
  <c r="S3068" i="31"/>
  <c r="S3069" i="31"/>
  <c r="S3070" i="31"/>
  <c r="S3071" i="31"/>
  <c r="S3072" i="31"/>
  <c r="S3073" i="31"/>
  <c r="S3074" i="31"/>
  <c r="S3075" i="31"/>
  <c r="S3076" i="31"/>
  <c r="S3077" i="31"/>
  <c r="S3078" i="31"/>
  <c r="S3079" i="31"/>
  <c r="S3080" i="31"/>
  <c r="S3081" i="31"/>
  <c r="S3082" i="31"/>
  <c r="S3083" i="31"/>
  <c r="S3084" i="31"/>
  <c r="S3085" i="31"/>
  <c r="S3086" i="31"/>
  <c r="S3087" i="31"/>
  <c r="S3088" i="31"/>
  <c r="S3089" i="31"/>
  <c r="S3090" i="31"/>
  <c r="S3095" i="31"/>
  <c r="S3091" i="31"/>
  <c r="S3092" i="31"/>
  <c r="S3093" i="31"/>
  <c r="S3094" i="31"/>
  <c r="S3096" i="31"/>
  <c r="S3097" i="31"/>
  <c r="S3098" i="31"/>
  <c r="S3099" i="31"/>
  <c r="S3100" i="31"/>
  <c r="S3101" i="31"/>
  <c r="S3102" i="31"/>
  <c r="S3103" i="31"/>
  <c r="S3104" i="31"/>
  <c r="S3105" i="31"/>
  <c r="S3106" i="31"/>
  <c r="S2" i="31"/>
  <c r="V2" i="8"/>
  <c r="U2" i="8"/>
  <c r="T2" i="8"/>
  <c r="S2" i="8"/>
  <c r="AC15" i="16"/>
  <c r="AC21" i="16"/>
  <c r="AC7" i="16"/>
  <c r="AC19" i="16"/>
  <c r="AC5" i="16"/>
  <c r="AC17" i="16"/>
  <c r="AC6" i="16"/>
  <c r="AC12" i="16"/>
  <c r="AC2" i="16"/>
  <c r="AC16" i="16"/>
  <c r="AC20" i="16"/>
  <c r="AC3" i="16"/>
  <c r="AC4" i="16"/>
  <c r="AC9" i="16"/>
  <c r="AC18" i="16"/>
  <c r="AC22" i="16"/>
  <c r="AC8" i="16"/>
  <c r="AC13" i="16"/>
  <c r="AC14" i="16"/>
  <c r="AC10" i="16"/>
  <c r="AC11" i="16"/>
  <c r="AB11" i="16"/>
  <c r="AA15" i="16"/>
  <c r="AA21" i="16"/>
  <c r="AA7" i="16"/>
  <c r="AA19" i="16"/>
  <c r="AA5" i="16"/>
  <c r="AA17" i="16"/>
  <c r="AA6" i="16"/>
  <c r="AA12" i="16"/>
  <c r="AA2" i="16"/>
  <c r="AA16" i="16"/>
  <c r="AA20" i="16"/>
  <c r="AA3" i="16"/>
  <c r="AA4" i="16"/>
  <c r="AA9" i="16"/>
  <c r="AA18" i="16"/>
  <c r="AA22" i="16"/>
  <c r="AA8" i="16"/>
  <c r="AA13" i="16"/>
  <c r="AA14" i="16"/>
  <c r="AA10" i="16"/>
  <c r="AA11" i="16"/>
  <c r="Z15" i="16"/>
  <c r="Z21" i="16"/>
  <c r="Z7" i="16"/>
  <c r="Z19" i="16"/>
  <c r="Z5" i="16"/>
  <c r="Z17" i="16"/>
  <c r="Z6" i="16"/>
  <c r="Z12" i="16"/>
  <c r="Z2" i="16"/>
  <c r="Z16" i="16"/>
  <c r="Z20" i="16"/>
  <c r="Z3" i="16"/>
  <c r="Z4" i="16"/>
  <c r="Z9" i="16"/>
  <c r="Z18" i="16"/>
  <c r="Z22" i="16"/>
  <c r="Z8" i="16"/>
  <c r="Z13" i="16"/>
  <c r="Z14" i="16"/>
  <c r="Z10" i="16"/>
  <c r="Z11" i="16"/>
  <c r="V3" i="17"/>
  <c r="V4" i="17"/>
  <c r="V5" i="17"/>
  <c r="V6" i="17"/>
  <c r="V7" i="17"/>
  <c r="V8" i="17"/>
  <c r="V9" i="17"/>
  <c r="V10" i="17"/>
  <c r="V11" i="17"/>
  <c r="V12" i="17"/>
  <c r="V13" i="17"/>
  <c r="V14" i="17"/>
  <c r="V15" i="17"/>
  <c r="V16" i="17"/>
  <c r="V17" i="17"/>
  <c r="V18" i="17"/>
  <c r="V19" i="17"/>
  <c r="V20" i="17"/>
  <c r="V21" i="17"/>
  <c r="V22" i="17"/>
  <c r="V23" i="17"/>
  <c r="V24" i="17"/>
  <c r="V25" i="17"/>
  <c r="V26" i="17"/>
  <c r="V27" i="17"/>
  <c r="V28" i="17"/>
  <c r="V29" i="17"/>
  <c r="V30" i="17"/>
  <c r="V31" i="17"/>
  <c r="V32" i="17"/>
  <c r="V33" i="17"/>
  <c r="V34" i="17"/>
  <c r="V35" i="17"/>
  <c r="V36" i="17"/>
  <c r="V37" i="17"/>
  <c r="V38" i="17"/>
  <c r="V39" i="17"/>
  <c r="V40" i="17"/>
  <c r="V41" i="17"/>
  <c r="V42" i="17"/>
  <c r="V43" i="17"/>
  <c r="V44" i="17"/>
  <c r="V45" i="17"/>
  <c r="V46" i="17"/>
  <c r="V47" i="17"/>
  <c r="V48" i="17"/>
  <c r="V49" i="17"/>
  <c r="V50" i="17"/>
  <c r="V51" i="17"/>
  <c r="V52" i="17"/>
  <c r="V53" i="17"/>
  <c r="V54" i="17"/>
  <c r="V55" i="17"/>
  <c r="V56" i="17"/>
  <c r="V57" i="17"/>
  <c r="V58" i="17"/>
  <c r="V59" i="17"/>
  <c r="V60" i="17"/>
  <c r="V61" i="17"/>
  <c r="V62" i="17"/>
  <c r="V63" i="17"/>
  <c r="V64" i="17"/>
  <c r="V65" i="17"/>
  <c r="V66" i="17"/>
  <c r="V67" i="17"/>
  <c r="V68" i="17"/>
  <c r="V69" i="17"/>
  <c r="V70" i="17"/>
  <c r="V71" i="17"/>
  <c r="V72" i="17"/>
  <c r="V73" i="17"/>
  <c r="V74" i="17"/>
  <c r="V75" i="17"/>
  <c r="V76" i="17"/>
  <c r="V77" i="17"/>
  <c r="V78" i="17"/>
  <c r="V79" i="17"/>
  <c r="V80" i="17"/>
  <c r="V81" i="17"/>
  <c r="V82" i="17"/>
  <c r="V83" i="17"/>
  <c r="V84" i="17"/>
  <c r="V85" i="17"/>
  <c r="V86" i="17"/>
  <c r="V87" i="17"/>
  <c r="V88" i="17"/>
  <c r="V89" i="17"/>
  <c r="V90" i="17"/>
  <c r="V91" i="17"/>
  <c r="V92" i="17"/>
  <c r="V93" i="17"/>
  <c r="V94" i="17"/>
  <c r="V95" i="17"/>
  <c r="V96" i="17"/>
  <c r="V97" i="17"/>
  <c r="V98" i="17"/>
  <c r="V99" i="17"/>
  <c r="V100" i="17"/>
  <c r="V101" i="17"/>
  <c r="V102" i="17"/>
  <c r="V103" i="17"/>
  <c r="V104" i="17"/>
  <c r="V105" i="17"/>
  <c r="V106" i="17"/>
  <c r="V107" i="17"/>
  <c r="V108" i="17"/>
  <c r="V109" i="17"/>
  <c r="V110" i="17"/>
  <c r="V111" i="17"/>
  <c r="V112" i="17"/>
  <c r="V113" i="17"/>
  <c r="V114" i="17"/>
  <c r="V115" i="17"/>
  <c r="V116" i="17"/>
  <c r="V117" i="17"/>
  <c r="V118" i="17"/>
  <c r="V119" i="17"/>
  <c r="V120" i="17"/>
  <c r="V121" i="17"/>
  <c r="V122" i="17"/>
  <c r="V123" i="17"/>
  <c r="V124" i="17"/>
  <c r="V125" i="17"/>
  <c r="V126" i="17"/>
  <c r="V127" i="17"/>
  <c r="V128" i="17"/>
  <c r="V129" i="17"/>
  <c r="V130" i="17"/>
  <c r="V131" i="17"/>
  <c r="V132" i="17"/>
  <c r="V133" i="17"/>
  <c r="V134" i="17"/>
  <c r="V135" i="17"/>
  <c r="V136" i="17"/>
  <c r="V137" i="17"/>
  <c r="V138" i="17"/>
  <c r="V139" i="17"/>
  <c r="V140" i="17"/>
  <c r="V141" i="17"/>
  <c r="V142" i="17"/>
  <c r="V143" i="17"/>
  <c r="V144" i="17"/>
  <c r="V2" i="17"/>
  <c r="V2" i="9"/>
  <c r="U3" i="17"/>
  <c r="U4" i="17"/>
  <c r="U5" i="17"/>
  <c r="U6" i="17"/>
  <c r="U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2" i="17"/>
  <c r="U2" i="9"/>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2" i="17"/>
  <c r="T2" i="9"/>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63" i="17"/>
  <c r="S64" i="17"/>
  <c r="S65" i="17"/>
  <c r="S66" i="17"/>
  <c r="S67" i="17"/>
  <c r="S68" i="17"/>
  <c r="S69" i="17"/>
  <c r="S70" i="17"/>
  <c r="S71" i="17"/>
  <c r="S72" i="17"/>
  <c r="S73" i="17"/>
  <c r="S74" i="17"/>
  <c r="S75" i="17"/>
  <c r="S76" i="17"/>
  <c r="S77" i="17"/>
  <c r="S78" i="17"/>
  <c r="S79" i="17"/>
  <c r="S80" i="17"/>
  <c r="S81" i="17"/>
  <c r="S82" i="17"/>
  <c r="S83" i="17"/>
  <c r="S84" i="17"/>
  <c r="S85" i="17"/>
  <c r="S86" i="17"/>
  <c r="S87" i="17"/>
  <c r="S88" i="17"/>
  <c r="S89" i="17"/>
  <c r="S90" i="17"/>
  <c r="S91" i="17"/>
  <c r="S92" i="17"/>
  <c r="S93" i="17"/>
  <c r="S94" i="17"/>
  <c r="S95" i="17"/>
  <c r="S96" i="17"/>
  <c r="S97" i="17"/>
  <c r="S98" i="17"/>
  <c r="S99" i="17"/>
  <c r="S100" i="17"/>
  <c r="S101" i="17"/>
  <c r="S102" i="17"/>
  <c r="S103" i="17"/>
  <c r="S104" i="17"/>
  <c r="S105" i="17"/>
  <c r="S106" i="17"/>
  <c r="S107" i="17"/>
  <c r="S108" i="17"/>
  <c r="S109" i="17"/>
  <c r="S110" i="17"/>
  <c r="S111" i="17"/>
  <c r="S112" i="17"/>
  <c r="S113" i="17"/>
  <c r="S114" i="17"/>
  <c r="S115" i="17"/>
  <c r="S116" i="17"/>
  <c r="S117" i="17"/>
  <c r="S118" i="17"/>
  <c r="S119" i="17"/>
  <c r="S120" i="17"/>
  <c r="S121" i="17"/>
  <c r="S122" i="17"/>
  <c r="S123" i="17"/>
  <c r="S124" i="17"/>
  <c r="S125" i="17"/>
  <c r="S126" i="17"/>
  <c r="S127" i="17"/>
  <c r="S128" i="17"/>
  <c r="S129" i="17"/>
  <c r="S130" i="17"/>
  <c r="S131" i="17"/>
  <c r="S132" i="17"/>
  <c r="S133" i="17"/>
  <c r="S134" i="17"/>
  <c r="S135" i="17"/>
  <c r="S136" i="17"/>
  <c r="S137" i="17"/>
  <c r="S138" i="17"/>
  <c r="S139" i="17"/>
  <c r="S140" i="17"/>
  <c r="S141" i="17"/>
  <c r="S142" i="17"/>
  <c r="S143" i="17"/>
  <c r="S144" i="17"/>
  <c r="S2" i="17"/>
  <c r="S2" i="9"/>
  <c r="V3" i="9"/>
  <c r="V4" i="9"/>
  <c r="V5" i="9"/>
  <c r="V6" i="9"/>
  <c r="V7" i="9"/>
  <c r="V8" i="9"/>
  <c r="V9" i="9"/>
  <c r="V10" i="9"/>
  <c r="U3" i="9"/>
  <c r="U4" i="9"/>
  <c r="U5" i="9"/>
  <c r="U6" i="9"/>
  <c r="U7" i="9"/>
  <c r="U8" i="9"/>
  <c r="U9" i="9"/>
  <c r="U10" i="9"/>
  <c r="T3" i="9"/>
  <c r="T4" i="9"/>
  <c r="T5" i="9"/>
  <c r="T6" i="9"/>
  <c r="T7" i="9"/>
  <c r="T8" i="9"/>
  <c r="T9" i="9"/>
  <c r="T10" i="9"/>
  <c r="S3" i="9"/>
  <c r="S4" i="9"/>
  <c r="S5" i="9"/>
  <c r="S6" i="9"/>
  <c r="S7" i="9"/>
  <c r="S8" i="9"/>
  <c r="S9" i="9"/>
  <c r="S10" i="9"/>
  <c r="T3" i="8"/>
  <c r="V3" i="8"/>
  <c r="V4" i="8"/>
  <c r="V5" i="8"/>
  <c r="V6" i="8"/>
  <c r="V7" i="8"/>
  <c r="V8" i="8"/>
  <c r="V9" i="8"/>
  <c r="V10" i="8"/>
  <c r="V11" i="8"/>
  <c r="V12" i="8"/>
  <c r="V13" i="8"/>
  <c r="V14" i="8"/>
  <c r="V15" i="8"/>
  <c r="V16" i="8"/>
  <c r="V17" i="8"/>
  <c r="V18" i="8"/>
  <c r="U3" i="8"/>
  <c r="U4" i="8"/>
  <c r="U5" i="8"/>
  <c r="U6" i="8"/>
  <c r="U7" i="8"/>
  <c r="U8" i="8"/>
  <c r="U9" i="8"/>
  <c r="U10" i="8"/>
  <c r="U11" i="8"/>
  <c r="U12" i="8"/>
  <c r="U13" i="8"/>
  <c r="U14" i="8"/>
  <c r="U15" i="8"/>
  <c r="U16" i="8"/>
  <c r="U17" i="8"/>
  <c r="U18" i="8"/>
  <c r="T10" i="8"/>
  <c r="T11" i="8"/>
  <c r="T12" i="8"/>
  <c r="T13" i="8"/>
  <c r="T14" i="8"/>
  <c r="T15" i="8"/>
  <c r="T16" i="8"/>
  <c r="T17" i="8"/>
  <c r="T18" i="8"/>
  <c r="T4" i="8"/>
  <c r="T5" i="8"/>
  <c r="T6" i="8"/>
  <c r="T7" i="8"/>
  <c r="T8" i="8"/>
  <c r="T9" i="8"/>
  <c r="S10" i="8"/>
  <c r="S11" i="8"/>
  <c r="S12" i="8"/>
  <c r="S13" i="8"/>
  <c r="S14" i="8"/>
  <c r="S15" i="8"/>
  <c r="S16" i="8"/>
  <c r="S17" i="8"/>
  <c r="S18" i="8"/>
  <c r="S3" i="8"/>
  <c r="S4" i="8"/>
  <c r="S5" i="8"/>
  <c r="S6" i="8"/>
  <c r="S7" i="8"/>
  <c r="S8" i="8"/>
  <c r="S9" i="8"/>
  <c r="AB36" i="1"/>
  <c r="AA36" i="1"/>
  <c r="Z36" i="1"/>
  <c r="Y36" i="1"/>
  <c r="T68" i="6"/>
  <c r="T85" i="6"/>
  <c r="T52" i="6"/>
  <c r="T10" i="6"/>
  <c r="T36" i="6"/>
  <c r="T69" i="6"/>
  <c r="T86" i="6"/>
  <c r="T87" i="6"/>
  <c r="T11" i="6"/>
  <c r="T37" i="6"/>
  <c r="T88" i="6"/>
  <c r="T2" i="6"/>
  <c r="T22" i="6"/>
  <c r="T23" i="6"/>
  <c r="T53" i="6"/>
  <c r="T89" i="6"/>
  <c r="T12" i="6"/>
  <c r="T90" i="6"/>
  <c r="T91" i="6"/>
  <c r="T13" i="6"/>
  <c r="T38" i="6"/>
  <c r="T92" i="6"/>
  <c r="T14" i="6"/>
  <c r="T70" i="6"/>
  <c r="T71" i="6"/>
  <c r="T93" i="6"/>
  <c r="T24" i="6"/>
  <c r="T94" i="6"/>
  <c r="T95" i="6"/>
  <c r="T96" i="6"/>
  <c r="T25" i="6"/>
  <c r="T39" i="6"/>
  <c r="T3" i="6"/>
  <c r="T40" i="6"/>
  <c r="T97" i="6"/>
  <c r="T72" i="6"/>
  <c r="T54" i="6"/>
  <c r="T98" i="6"/>
  <c r="T55" i="6"/>
  <c r="T26" i="6"/>
  <c r="T56" i="6"/>
  <c r="T27" i="6"/>
  <c r="T57" i="6"/>
  <c r="T99" i="6"/>
  <c r="T100" i="6"/>
  <c r="T101" i="6"/>
  <c r="T102" i="6"/>
  <c r="T73" i="6"/>
  <c r="T28" i="6"/>
  <c r="T58" i="6"/>
  <c r="T103" i="6"/>
  <c r="T104" i="6"/>
  <c r="T4" i="6"/>
  <c r="T105" i="6"/>
  <c r="T106" i="6"/>
  <c r="T59" i="6"/>
  <c r="T29" i="6"/>
  <c r="T107" i="6"/>
  <c r="T60" i="6"/>
  <c r="T108" i="6"/>
  <c r="T15" i="6"/>
  <c r="T109" i="6"/>
  <c r="T41" i="6"/>
  <c r="T30" i="6"/>
  <c r="T74" i="6"/>
  <c r="T5" i="6"/>
  <c r="T42" i="6"/>
  <c r="T110" i="6"/>
  <c r="T43" i="6"/>
  <c r="T75" i="6"/>
  <c r="T16" i="6"/>
  <c r="T44" i="6"/>
  <c r="T76" i="6"/>
  <c r="T6" i="6"/>
  <c r="T77" i="6"/>
  <c r="T111" i="6"/>
  <c r="T112" i="6"/>
  <c r="T113" i="6"/>
  <c r="T7" i="6"/>
  <c r="T61" i="6"/>
  <c r="T114" i="6"/>
  <c r="T62" i="6"/>
  <c r="T115" i="6"/>
  <c r="T116" i="6"/>
  <c r="T117" i="6"/>
  <c r="T63" i="6"/>
  <c r="T45" i="6"/>
  <c r="T118" i="6"/>
  <c r="T78" i="6"/>
  <c r="T31" i="6"/>
  <c r="T79" i="6"/>
  <c r="T17" i="6"/>
  <c r="T46" i="6"/>
  <c r="T32" i="6"/>
  <c r="T47" i="6"/>
  <c r="T119" i="6"/>
  <c r="T120" i="6"/>
  <c r="T121" i="6"/>
  <c r="T122" i="6"/>
  <c r="T123" i="6"/>
  <c r="T18" i="6"/>
  <c r="T64" i="6"/>
  <c r="T19" i="6"/>
  <c r="T20" i="6"/>
  <c r="T8" i="6"/>
  <c r="T65" i="6"/>
  <c r="T124" i="6"/>
  <c r="T125" i="6"/>
  <c r="T126" i="6"/>
  <c r="T80" i="6"/>
  <c r="T127" i="6"/>
  <c r="T128" i="6"/>
  <c r="T21" i="6"/>
  <c r="T129" i="6"/>
  <c r="T48" i="6"/>
  <c r="T49" i="6"/>
  <c r="T81" i="6"/>
  <c r="T130" i="6"/>
  <c r="T33" i="6"/>
  <c r="T131" i="6"/>
  <c r="T34" i="6"/>
  <c r="T66" i="6"/>
  <c r="T82" i="6"/>
  <c r="T50" i="6"/>
  <c r="T132" i="6"/>
  <c r="T133" i="6"/>
  <c r="T9" i="6"/>
  <c r="T83" i="6"/>
  <c r="T134" i="6"/>
  <c r="T35" i="6"/>
  <c r="T135" i="6"/>
  <c r="T51" i="6"/>
  <c r="T136" i="6"/>
  <c r="T67" i="6"/>
  <c r="U68" i="6"/>
  <c r="U85" i="6"/>
  <c r="U52" i="6"/>
  <c r="U10" i="6"/>
  <c r="U36" i="6"/>
  <c r="U69" i="6"/>
  <c r="U86" i="6"/>
  <c r="U87" i="6"/>
  <c r="U11" i="6"/>
  <c r="U37" i="6"/>
  <c r="U88" i="6"/>
  <c r="U2" i="6"/>
  <c r="U22" i="6"/>
  <c r="U23" i="6"/>
  <c r="U53" i="6"/>
  <c r="U89" i="6"/>
  <c r="U12" i="6"/>
  <c r="U90" i="6"/>
  <c r="U91" i="6"/>
  <c r="U13" i="6"/>
  <c r="U38" i="6"/>
  <c r="U92" i="6"/>
  <c r="U14" i="6"/>
  <c r="U70" i="6"/>
  <c r="U71" i="6"/>
  <c r="U93" i="6"/>
  <c r="U24" i="6"/>
  <c r="U94" i="6"/>
  <c r="U95" i="6"/>
  <c r="U96" i="6"/>
  <c r="U25" i="6"/>
  <c r="U39" i="6"/>
  <c r="U3" i="6"/>
  <c r="U40" i="6"/>
  <c r="U97" i="6"/>
  <c r="U72" i="6"/>
  <c r="U54" i="6"/>
  <c r="U98" i="6"/>
  <c r="U55" i="6"/>
  <c r="U26" i="6"/>
  <c r="U56" i="6"/>
  <c r="U27" i="6"/>
  <c r="U57" i="6"/>
  <c r="U99" i="6"/>
  <c r="U100" i="6"/>
  <c r="U101" i="6"/>
  <c r="U102" i="6"/>
  <c r="U73" i="6"/>
  <c r="U28" i="6"/>
  <c r="U58" i="6"/>
  <c r="U103" i="6"/>
  <c r="U104" i="6"/>
  <c r="U4" i="6"/>
  <c r="U105" i="6"/>
  <c r="U106" i="6"/>
  <c r="U59" i="6"/>
  <c r="U29" i="6"/>
  <c r="U107" i="6"/>
  <c r="U60" i="6"/>
  <c r="U108" i="6"/>
  <c r="U15" i="6"/>
  <c r="U109" i="6"/>
  <c r="U41" i="6"/>
  <c r="U30" i="6"/>
  <c r="U74" i="6"/>
  <c r="U5" i="6"/>
  <c r="U42" i="6"/>
  <c r="U110" i="6"/>
  <c r="U43" i="6"/>
  <c r="U75" i="6"/>
  <c r="U16" i="6"/>
  <c r="U44" i="6"/>
  <c r="U76" i="6"/>
  <c r="U6" i="6"/>
  <c r="U77" i="6"/>
  <c r="U111" i="6"/>
  <c r="U112" i="6"/>
  <c r="U113" i="6"/>
  <c r="U7" i="6"/>
  <c r="U61" i="6"/>
  <c r="U114" i="6"/>
  <c r="U62" i="6"/>
  <c r="U115" i="6"/>
  <c r="U116" i="6"/>
  <c r="U117" i="6"/>
  <c r="U63" i="6"/>
  <c r="U45" i="6"/>
  <c r="U118" i="6"/>
  <c r="U78" i="6"/>
  <c r="U31" i="6"/>
  <c r="U79" i="6"/>
  <c r="U17" i="6"/>
  <c r="U46" i="6"/>
  <c r="U32" i="6"/>
  <c r="U47" i="6"/>
  <c r="U119" i="6"/>
  <c r="U120" i="6"/>
  <c r="U121" i="6"/>
  <c r="U122" i="6"/>
  <c r="U123" i="6"/>
  <c r="U18" i="6"/>
  <c r="U64" i="6"/>
  <c r="U19" i="6"/>
  <c r="U20" i="6"/>
  <c r="U8" i="6"/>
  <c r="U65" i="6"/>
  <c r="U124" i="6"/>
  <c r="U125" i="6"/>
  <c r="U126" i="6"/>
  <c r="U80" i="6"/>
  <c r="U127" i="6"/>
  <c r="U128" i="6"/>
  <c r="U21" i="6"/>
  <c r="U129" i="6"/>
  <c r="U48" i="6"/>
  <c r="U49" i="6"/>
  <c r="U81" i="6"/>
  <c r="U130" i="6"/>
  <c r="U33" i="6"/>
  <c r="U131" i="6"/>
  <c r="U34" i="6"/>
  <c r="U66" i="6"/>
  <c r="U82" i="6"/>
  <c r="U50" i="6"/>
  <c r="U132" i="6"/>
  <c r="U133" i="6"/>
  <c r="U9" i="6"/>
  <c r="U83" i="6"/>
  <c r="U134" i="6"/>
  <c r="U35" i="6"/>
  <c r="U135" i="6"/>
  <c r="U51" i="6"/>
  <c r="U136" i="6"/>
  <c r="U67" i="6"/>
  <c r="W68" i="6"/>
  <c r="W85" i="6"/>
  <c r="W52" i="6"/>
  <c r="W10" i="6"/>
  <c r="W36" i="6"/>
  <c r="W69" i="6"/>
  <c r="W86" i="6"/>
  <c r="W87" i="6"/>
  <c r="W11" i="6"/>
  <c r="W37" i="6"/>
  <c r="W88" i="6"/>
  <c r="W2" i="6"/>
  <c r="W22" i="6"/>
  <c r="W23" i="6"/>
  <c r="W53" i="6"/>
  <c r="W89" i="6"/>
  <c r="W12" i="6"/>
  <c r="W90" i="6"/>
  <c r="W91" i="6"/>
  <c r="W13" i="6"/>
  <c r="W38" i="6"/>
  <c r="W92" i="6"/>
  <c r="W14" i="6"/>
  <c r="W70" i="6"/>
  <c r="W71" i="6"/>
  <c r="W93" i="6"/>
  <c r="W24" i="6"/>
  <c r="W94" i="6"/>
  <c r="W95" i="6"/>
  <c r="W96" i="6"/>
  <c r="W25" i="6"/>
  <c r="W39" i="6"/>
  <c r="W3" i="6"/>
  <c r="W40" i="6"/>
  <c r="W97" i="6"/>
  <c r="W72" i="6"/>
  <c r="W54" i="6"/>
  <c r="W98" i="6"/>
  <c r="W55" i="6"/>
  <c r="W26" i="6"/>
  <c r="W56" i="6"/>
  <c r="W27" i="6"/>
  <c r="W57" i="6"/>
  <c r="W99" i="6"/>
  <c r="W100" i="6"/>
  <c r="W101" i="6"/>
  <c r="W102" i="6"/>
  <c r="W73" i="6"/>
  <c r="W28" i="6"/>
  <c r="W58" i="6"/>
  <c r="W103" i="6"/>
  <c r="W104" i="6"/>
  <c r="W4" i="6"/>
  <c r="W105" i="6"/>
  <c r="W106" i="6"/>
  <c r="W59" i="6"/>
  <c r="W29" i="6"/>
  <c r="W107" i="6"/>
  <c r="W60" i="6"/>
  <c r="W108" i="6"/>
  <c r="W15" i="6"/>
  <c r="W109" i="6"/>
  <c r="W41" i="6"/>
  <c r="W30" i="6"/>
  <c r="W74" i="6"/>
  <c r="W5" i="6"/>
  <c r="W42" i="6"/>
  <c r="W110" i="6"/>
  <c r="W43" i="6"/>
  <c r="W75" i="6"/>
  <c r="W16" i="6"/>
  <c r="W44" i="6"/>
  <c r="W76" i="6"/>
  <c r="W6" i="6"/>
  <c r="W77" i="6"/>
  <c r="W111" i="6"/>
  <c r="W112" i="6"/>
  <c r="W113" i="6"/>
  <c r="W7" i="6"/>
  <c r="W61" i="6"/>
  <c r="W114" i="6"/>
  <c r="W62" i="6"/>
  <c r="W115" i="6"/>
  <c r="W116" i="6"/>
  <c r="W117" i="6"/>
  <c r="W63" i="6"/>
  <c r="W45" i="6"/>
  <c r="W118" i="6"/>
  <c r="W78" i="6"/>
  <c r="W31" i="6"/>
  <c r="W79" i="6"/>
  <c r="W17" i="6"/>
  <c r="W46" i="6"/>
  <c r="W32" i="6"/>
  <c r="W47" i="6"/>
  <c r="W119" i="6"/>
  <c r="W120" i="6"/>
  <c r="W121" i="6"/>
  <c r="W122" i="6"/>
  <c r="W123" i="6"/>
  <c r="W18" i="6"/>
  <c r="W64" i="6"/>
  <c r="W19" i="6"/>
  <c r="W20" i="6"/>
  <c r="W8" i="6"/>
  <c r="W65" i="6"/>
  <c r="W124" i="6"/>
  <c r="W125" i="6"/>
  <c r="W126" i="6"/>
  <c r="W80" i="6"/>
  <c r="W127" i="6"/>
  <c r="W128" i="6"/>
  <c r="W21" i="6"/>
  <c r="W129" i="6"/>
  <c r="W48" i="6"/>
  <c r="W49" i="6"/>
  <c r="W81" i="6"/>
  <c r="W130" i="6"/>
  <c r="W33" i="6"/>
  <c r="W131" i="6"/>
  <c r="W34" i="6"/>
  <c r="W66" i="6"/>
  <c r="W82" i="6"/>
  <c r="W50" i="6"/>
  <c r="W132" i="6"/>
  <c r="W133" i="6"/>
  <c r="W9" i="6"/>
  <c r="W83" i="6"/>
  <c r="W134" i="6"/>
  <c r="W35" i="6"/>
  <c r="W135" i="6"/>
  <c r="W51" i="6"/>
  <c r="W136" i="6"/>
  <c r="W67" i="6"/>
  <c r="V68" i="6"/>
  <c r="V85" i="6"/>
  <c r="V52" i="6"/>
  <c r="V10" i="6"/>
  <c r="V36" i="6"/>
  <c r="V69" i="6"/>
  <c r="V86" i="6"/>
  <c r="V87" i="6"/>
  <c r="V11" i="6"/>
  <c r="V37" i="6"/>
  <c r="V88" i="6"/>
  <c r="V2" i="6"/>
  <c r="V22" i="6"/>
  <c r="V23" i="6"/>
  <c r="V53" i="6"/>
  <c r="V89" i="6"/>
  <c r="V12" i="6"/>
  <c r="V90" i="6"/>
  <c r="V91" i="6"/>
  <c r="V13" i="6"/>
  <c r="V38" i="6"/>
  <c r="V92" i="6"/>
  <c r="V14" i="6"/>
  <c r="V70" i="6"/>
  <c r="V71" i="6"/>
  <c r="V93" i="6"/>
  <c r="V24" i="6"/>
  <c r="V94" i="6"/>
  <c r="V95" i="6"/>
  <c r="V96" i="6"/>
  <c r="V25" i="6"/>
  <c r="V39" i="6"/>
  <c r="V3" i="6"/>
  <c r="V40" i="6"/>
  <c r="V97" i="6"/>
  <c r="V72" i="6"/>
  <c r="V54" i="6"/>
  <c r="V98" i="6"/>
  <c r="V55" i="6"/>
  <c r="V26" i="6"/>
  <c r="V56" i="6"/>
  <c r="V27" i="6"/>
  <c r="V57" i="6"/>
  <c r="V99" i="6"/>
  <c r="V100" i="6"/>
  <c r="V101" i="6"/>
  <c r="V102" i="6"/>
  <c r="V73" i="6"/>
  <c r="V28" i="6"/>
  <c r="V58" i="6"/>
  <c r="V103" i="6"/>
  <c r="V104" i="6"/>
  <c r="V4" i="6"/>
  <c r="V105" i="6"/>
  <c r="V106" i="6"/>
  <c r="V59" i="6"/>
  <c r="V29" i="6"/>
  <c r="V107" i="6"/>
  <c r="V60" i="6"/>
  <c r="V108" i="6"/>
  <c r="V15" i="6"/>
  <c r="V109" i="6"/>
  <c r="V41" i="6"/>
  <c r="V30" i="6"/>
  <c r="V74" i="6"/>
  <c r="V5" i="6"/>
  <c r="V42" i="6"/>
  <c r="V110" i="6"/>
  <c r="V43" i="6"/>
  <c r="V75" i="6"/>
  <c r="V16" i="6"/>
  <c r="V44" i="6"/>
  <c r="V76" i="6"/>
  <c r="V6" i="6"/>
  <c r="V77" i="6"/>
  <c r="V111" i="6"/>
  <c r="V112" i="6"/>
  <c r="V113" i="6"/>
  <c r="V7" i="6"/>
  <c r="V61" i="6"/>
  <c r="V114" i="6"/>
  <c r="V62" i="6"/>
  <c r="V115" i="6"/>
  <c r="V116" i="6"/>
  <c r="V117" i="6"/>
  <c r="V63" i="6"/>
  <c r="V45" i="6"/>
  <c r="V118" i="6"/>
  <c r="V78" i="6"/>
  <c r="V31" i="6"/>
  <c r="V79" i="6"/>
  <c r="V17" i="6"/>
  <c r="V46" i="6"/>
  <c r="V32" i="6"/>
  <c r="V47" i="6"/>
  <c r="V119" i="6"/>
  <c r="V120" i="6"/>
  <c r="V121" i="6"/>
  <c r="V122" i="6"/>
  <c r="V123" i="6"/>
  <c r="V18" i="6"/>
  <c r="V64" i="6"/>
  <c r="V19" i="6"/>
  <c r="V20" i="6"/>
  <c r="V8" i="6"/>
  <c r="V65" i="6"/>
  <c r="V124" i="6"/>
  <c r="V125" i="6"/>
  <c r="V126" i="6"/>
  <c r="V80" i="6"/>
  <c r="V127" i="6"/>
  <c r="V128" i="6"/>
  <c r="V21" i="6"/>
  <c r="V129" i="6"/>
  <c r="V48" i="6"/>
  <c r="V49" i="6"/>
  <c r="V81" i="6"/>
  <c r="V130" i="6"/>
  <c r="V33" i="6"/>
  <c r="V131" i="6"/>
  <c r="V34" i="6"/>
  <c r="V66" i="6"/>
  <c r="V82" i="6"/>
  <c r="V50" i="6"/>
  <c r="V132" i="6"/>
  <c r="V133" i="6"/>
  <c r="V9" i="6"/>
  <c r="V83" i="6"/>
  <c r="V134" i="6"/>
  <c r="V35" i="6"/>
  <c r="V135" i="6"/>
  <c r="V51" i="6"/>
  <c r="V136" i="6"/>
  <c r="V67" i="6"/>
  <c r="W84" i="6"/>
  <c r="V84" i="6"/>
  <c r="U84" i="6"/>
  <c r="T84" i="6"/>
  <c r="AE2" i="4"/>
  <c r="AE3" i="4"/>
  <c r="AE4" i="4"/>
  <c r="AE13" i="4"/>
  <c r="AE5" i="4"/>
  <c r="AE14" i="4"/>
  <c r="AE15" i="4"/>
  <c r="AE6" i="4"/>
  <c r="AE16" i="4"/>
  <c r="AE7" i="4"/>
  <c r="AE8" i="4"/>
  <c r="AE9" i="4"/>
  <c r="AE10" i="4"/>
  <c r="AE11" i="4"/>
  <c r="AE17" i="4"/>
  <c r="AE12" i="4"/>
  <c r="AC2" i="4"/>
  <c r="AC3" i="4"/>
  <c r="AC4" i="4"/>
  <c r="AC13" i="4"/>
  <c r="AC5" i="4"/>
  <c r="AC14" i="4"/>
  <c r="AC15" i="4"/>
  <c r="AC6" i="4"/>
  <c r="AC16" i="4"/>
  <c r="AC7" i="4"/>
  <c r="AC8" i="4"/>
  <c r="AC9" i="4"/>
  <c r="AC10" i="4"/>
  <c r="AC11" i="4"/>
  <c r="AC17" i="4"/>
  <c r="AD2" i="4"/>
  <c r="AD3" i="4"/>
  <c r="AD4" i="4"/>
  <c r="AD13" i="4"/>
  <c r="AD5" i="4"/>
  <c r="AD14" i="4"/>
  <c r="AD15" i="4"/>
  <c r="AD6" i="4"/>
  <c r="AD16" i="4"/>
  <c r="AD7" i="4"/>
  <c r="AD8" i="4"/>
  <c r="AD9" i="4"/>
  <c r="AD10" i="4"/>
  <c r="AD11" i="4"/>
  <c r="AD17" i="4"/>
  <c r="AD12" i="4"/>
  <c r="AC12" i="4"/>
  <c r="AB2" i="4"/>
  <c r="AB3" i="4"/>
  <c r="AB4" i="4"/>
  <c r="AB13" i="4"/>
  <c r="AB5" i="4"/>
  <c r="AB14" i="4"/>
  <c r="AB15" i="4"/>
  <c r="AB6" i="4"/>
  <c r="AB16" i="4"/>
  <c r="AB7" i="4"/>
  <c r="AB8" i="4"/>
  <c r="AB9" i="4"/>
  <c r="AB10" i="4"/>
  <c r="AB11" i="4"/>
  <c r="AB17" i="4"/>
  <c r="AB12" i="4"/>
  <c r="Z30" i="2"/>
  <c r="Z43" i="2"/>
  <c r="Z57" i="2"/>
  <c r="Z56" i="2"/>
  <c r="Z31" i="2"/>
  <c r="Z44" i="2"/>
  <c r="Z45" i="2"/>
  <c r="Z71" i="2"/>
  <c r="Z69" i="2"/>
  <c r="Z70" i="2"/>
  <c r="Z73" i="2"/>
  <c r="Z72" i="2"/>
  <c r="Z58" i="2"/>
  <c r="Z9" i="2"/>
  <c r="Z76" i="2"/>
  <c r="Z19" i="2"/>
  <c r="Z75" i="2"/>
  <c r="Z59" i="2"/>
  <c r="Z74" i="2"/>
  <c r="Z20" i="2"/>
  <c r="Z10" i="2"/>
  <c r="Z77" i="2"/>
  <c r="Z78" i="2"/>
  <c r="Z79" i="2"/>
  <c r="Z33" i="2"/>
  <c r="Z34" i="2"/>
  <c r="Z47" i="2"/>
  <c r="Z46" i="2"/>
  <c r="Z81" i="2"/>
  <c r="Z82" i="2"/>
  <c r="Z80" i="2"/>
  <c r="Z83" i="2"/>
  <c r="Z84" i="2"/>
  <c r="Z48" i="2"/>
  <c r="Z11" i="2"/>
  <c r="Z35" i="2"/>
  <c r="Z21" i="2"/>
  <c r="Z36" i="2"/>
  <c r="Z22" i="2"/>
  <c r="Z49" i="2"/>
  <c r="Z3" i="2"/>
  <c r="Z12" i="2"/>
  <c r="Z60" i="2"/>
  <c r="Z61" i="2"/>
  <c r="Z23" i="2"/>
  <c r="Z85" i="2"/>
  <c r="Z86" i="2"/>
  <c r="Z87" i="2"/>
  <c r="Z88" i="2"/>
  <c r="Z37" i="2"/>
  <c r="Z89" i="2"/>
  <c r="Z90" i="2"/>
  <c r="Z62" i="2"/>
  <c r="Z91" i="2"/>
  <c r="Z92" i="2"/>
  <c r="Z93" i="2"/>
  <c r="Z94" i="2"/>
  <c r="Z95" i="2"/>
  <c r="Z96" i="2"/>
  <c r="Z97" i="2"/>
  <c r="Z98" i="2"/>
  <c r="Z99" i="2"/>
  <c r="Z100" i="2"/>
  <c r="Z24" i="2"/>
  <c r="Z101" i="2"/>
  <c r="Z4" i="2"/>
  <c r="Z13" i="2"/>
  <c r="Z50" i="2"/>
  <c r="Z14" i="2"/>
  <c r="Z15" i="2"/>
  <c r="Z25" i="2"/>
  <c r="Z38" i="2"/>
  <c r="Z102" i="2"/>
  <c r="Z51" i="2"/>
  <c r="Z63" i="2"/>
  <c r="Z26" i="2"/>
  <c r="Z64" i="2"/>
  <c r="Z103" i="2"/>
  <c r="Z104" i="2"/>
  <c r="Z105" i="2"/>
  <c r="Z5" i="2"/>
  <c r="Z39" i="2"/>
  <c r="Z52" i="2"/>
  <c r="Z65" i="2"/>
  <c r="Z27" i="2"/>
  <c r="Z106" i="2"/>
  <c r="Z107" i="2"/>
  <c r="Z16" i="2"/>
  <c r="Z40" i="2"/>
  <c r="Z17" i="2"/>
  <c r="Z18" i="2"/>
  <c r="Z66" i="2"/>
  <c r="Z28" i="2"/>
  <c r="Z108" i="2"/>
  <c r="Z53" i="2"/>
  <c r="Z41" i="2"/>
  <c r="Z67" i="2"/>
  <c r="Z6" i="2"/>
  <c r="Z54" i="2"/>
  <c r="Z7" i="2"/>
  <c r="Z109" i="2"/>
  <c r="Z110" i="2"/>
  <c r="Z111" i="2"/>
  <c r="Z42" i="2"/>
  <c r="Z55" i="2"/>
  <c r="Z112" i="2"/>
  <c r="Z29" i="2"/>
  <c r="Z113" i="2"/>
  <c r="Y30" i="2"/>
  <c r="Y43" i="2"/>
  <c r="Y57" i="2"/>
  <c r="Y56" i="2"/>
  <c r="Y31" i="2"/>
  <c r="Y44" i="2"/>
  <c r="Y45" i="2"/>
  <c r="Y71" i="2"/>
  <c r="Y69" i="2"/>
  <c r="Y70" i="2"/>
  <c r="Y73" i="2"/>
  <c r="Y72" i="2"/>
  <c r="Y58" i="2"/>
  <c r="Y9" i="2"/>
  <c r="Y76" i="2"/>
  <c r="Y19" i="2"/>
  <c r="Y75" i="2"/>
  <c r="Y59" i="2"/>
  <c r="Y74" i="2"/>
  <c r="Y20" i="2"/>
  <c r="Y10" i="2"/>
  <c r="Y77" i="2"/>
  <c r="Y78" i="2"/>
  <c r="Y79" i="2"/>
  <c r="Y33" i="2"/>
  <c r="Y34" i="2"/>
  <c r="Y47" i="2"/>
  <c r="Y46" i="2"/>
  <c r="Y81" i="2"/>
  <c r="Y82" i="2"/>
  <c r="Y80" i="2"/>
  <c r="Y83" i="2"/>
  <c r="Y84" i="2"/>
  <c r="Y48" i="2"/>
  <c r="Y11" i="2"/>
  <c r="Y35" i="2"/>
  <c r="Y21" i="2"/>
  <c r="Y36" i="2"/>
  <c r="Y22" i="2"/>
  <c r="Y49" i="2"/>
  <c r="Y3" i="2"/>
  <c r="Y12" i="2"/>
  <c r="Y60" i="2"/>
  <c r="Y61" i="2"/>
  <c r="Y23" i="2"/>
  <c r="Y85" i="2"/>
  <c r="Y86" i="2"/>
  <c r="Y87" i="2"/>
  <c r="Y88" i="2"/>
  <c r="Y37" i="2"/>
  <c r="Y89" i="2"/>
  <c r="Y90" i="2"/>
  <c r="Y62" i="2"/>
  <c r="Y91" i="2"/>
  <c r="Y92" i="2"/>
  <c r="Y93" i="2"/>
  <c r="Y94" i="2"/>
  <c r="Y95" i="2"/>
  <c r="Y96" i="2"/>
  <c r="Y97" i="2"/>
  <c r="Y98" i="2"/>
  <c r="Y99" i="2"/>
  <c r="Y100" i="2"/>
  <c r="Y24" i="2"/>
  <c r="Y101" i="2"/>
  <c r="Y4" i="2"/>
  <c r="Y13" i="2"/>
  <c r="Y50" i="2"/>
  <c r="Y14" i="2"/>
  <c r="Y15" i="2"/>
  <c r="Y25" i="2"/>
  <c r="Y38" i="2"/>
  <c r="Y102" i="2"/>
  <c r="Y51" i="2"/>
  <c r="Y63" i="2"/>
  <c r="Y26" i="2"/>
  <c r="Y64" i="2"/>
  <c r="Y103" i="2"/>
  <c r="Y104" i="2"/>
  <c r="Y105" i="2"/>
  <c r="Y5" i="2"/>
  <c r="Y39" i="2"/>
  <c r="Y52" i="2"/>
  <c r="Y65" i="2"/>
  <c r="Y27" i="2"/>
  <c r="Y106" i="2"/>
  <c r="Y107" i="2"/>
  <c r="Y16" i="2"/>
  <c r="Y40" i="2"/>
  <c r="Y17" i="2"/>
  <c r="Y18" i="2"/>
  <c r="Y66" i="2"/>
  <c r="Y28" i="2"/>
  <c r="Y108" i="2"/>
  <c r="Y53" i="2"/>
  <c r="Y41" i="2"/>
  <c r="Y67" i="2"/>
  <c r="Y6" i="2"/>
  <c r="Y54" i="2"/>
  <c r="Y7" i="2"/>
  <c r="Y109" i="2"/>
  <c r="Y110" i="2"/>
  <c r="Y111" i="2"/>
  <c r="Y42" i="2"/>
  <c r="Y55" i="2"/>
  <c r="Y112" i="2"/>
  <c r="Y29" i="2"/>
  <c r="Y113" i="2"/>
  <c r="X30" i="2"/>
  <c r="X43" i="2"/>
  <c r="X57" i="2"/>
  <c r="X56" i="2"/>
  <c r="X31" i="2"/>
  <c r="X44" i="2"/>
  <c r="X45" i="2"/>
  <c r="X71" i="2"/>
  <c r="X69" i="2"/>
  <c r="X70" i="2"/>
  <c r="X73" i="2"/>
  <c r="X72" i="2"/>
  <c r="X58" i="2"/>
  <c r="X9" i="2"/>
  <c r="X76" i="2"/>
  <c r="X19" i="2"/>
  <c r="X75" i="2"/>
  <c r="X59" i="2"/>
  <c r="X74" i="2"/>
  <c r="X20" i="2"/>
  <c r="X10" i="2"/>
  <c r="X77" i="2"/>
  <c r="X78" i="2"/>
  <c r="X79" i="2"/>
  <c r="X33" i="2"/>
  <c r="X34" i="2"/>
  <c r="X47" i="2"/>
  <c r="X46" i="2"/>
  <c r="X81" i="2"/>
  <c r="X82" i="2"/>
  <c r="X80" i="2"/>
  <c r="X83" i="2"/>
  <c r="X84" i="2"/>
  <c r="X48" i="2"/>
  <c r="X11" i="2"/>
  <c r="X35" i="2"/>
  <c r="X21" i="2"/>
  <c r="X36" i="2"/>
  <c r="X22" i="2"/>
  <c r="X49" i="2"/>
  <c r="X3" i="2"/>
  <c r="X12" i="2"/>
  <c r="X60" i="2"/>
  <c r="X61" i="2"/>
  <c r="X23" i="2"/>
  <c r="X85" i="2"/>
  <c r="X86" i="2"/>
  <c r="X87" i="2"/>
  <c r="X88" i="2"/>
  <c r="X37" i="2"/>
  <c r="X89" i="2"/>
  <c r="X90" i="2"/>
  <c r="X62" i="2"/>
  <c r="X91" i="2"/>
  <c r="X92" i="2"/>
  <c r="X93" i="2"/>
  <c r="X94" i="2"/>
  <c r="X95" i="2"/>
  <c r="X96" i="2"/>
  <c r="X97" i="2"/>
  <c r="X98" i="2"/>
  <c r="X99" i="2"/>
  <c r="X100" i="2"/>
  <c r="X24" i="2"/>
  <c r="X101" i="2"/>
  <c r="X4" i="2"/>
  <c r="X13" i="2"/>
  <c r="X50" i="2"/>
  <c r="X14" i="2"/>
  <c r="X15" i="2"/>
  <c r="X25" i="2"/>
  <c r="X38" i="2"/>
  <c r="X102" i="2"/>
  <c r="X51" i="2"/>
  <c r="X63" i="2"/>
  <c r="X26" i="2"/>
  <c r="X64" i="2"/>
  <c r="X103" i="2"/>
  <c r="X104" i="2"/>
  <c r="X105" i="2"/>
  <c r="X5" i="2"/>
  <c r="X39" i="2"/>
  <c r="X52" i="2"/>
  <c r="X65" i="2"/>
  <c r="X27" i="2"/>
  <c r="X106" i="2"/>
  <c r="X107" i="2"/>
  <c r="X16" i="2"/>
  <c r="X40" i="2"/>
  <c r="X17" i="2"/>
  <c r="X18" i="2"/>
  <c r="X66" i="2"/>
  <c r="X28" i="2"/>
  <c r="X108" i="2"/>
  <c r="X53" i="2"/>
  <c r="X41" i="2"/>
  <c r="X67" i="2"/>
  <c r="X6" i="2"/>
  <c r="X54" i="2"/>
  <c r="X7" i="2"/>
  <c r="X109" i="2"/>
  <c r="X110" i="2"/>
  <c r="X111" i="2"/>
  <c r="X42" i="2"/>
  <c r="X55" i="2"/>
  <c r="X112" i="2"/>
  <c r="X29" i="2"/>
  <c r="X113" i="2"/>
  <c r="W30" i="2"/>
  <c r="W43" i="2"/>
  <c r="W57" i="2"/>
  <c r="W56" i="2"/>
  <c r="W31" i="2"/>
  <c r="W44" i="2"/>
  <c r="W45" i="2"/>
  <c r="W71" i="2"/>
  <c r="W69" i="2"/>
  <c r="W70" i="2"/>
  <c r="W73" i="2"/>
  <c r="W72" i="2"/>
  <c r="W58" i="2"/>
  <c r="W9" i="2"/>
  <c r="W76" i="2"/>
  <c r="W19" i="2"/>
  <c r="W75" i="2"/>
  <c r="W59" i="2"/>
  <c r="W74" i="2"/>
  <c r="W20" i="2"/>
  <c r="W10" i="2"/>
  <c r="W77" i="2"/>
  <c r="W78" i="2"/>
  <c r="W79" i="2"/>
  <c r="W33" i="2"/>
  <c r="W34" i="2"/>
  <c r="W47" i="2"/>
  <c r="W46" i="2"/>
  <c r="W81" i="2"/>
  <c r="W82" i="2"/>
  <c r="W80" i="2"/>
  <c r="W83" i="2"/>
  <c r="W84" i="2"/>
  <c r="W48" i="2"/>
  <c r="W11" i="2"/>
  <c r="W35" i="2"/>
  <c r="W21" i="2"/>
  <c r="W36" i="2"/>
  <c r="W22" i="2"/>
  <c r="W49" i="2"/>
  <c r="W3" i="2"/>
  <c r="W12" i="2"/>
  <c r="W60" i="2"/>
  <c r="W61" i="2"/>
  <c r="W23" i="2"/>
  <c r="W85" i="2"/>
  <c r="W86" i="2"/>
  <c r="W87" i="2"/>
  <c r="W88" i="2"/>
  <c r="W37" i="2"/>
  <c r="W89" i="2"/>
  <c r="W90" i="2"/>
  <c r="W62" i="2"/>
  <c r="W91" i="2"/>
  <c r="W92" i="2"/>
  <c r="W93" i="2"/>
  <c r="W94" i="2"/>
  <c r="W95" i="2"/>
  <c r="W96" i="2"/>
  <c r="W97" i="2"/>
  <c r="W98" i="2"/>
  <c r="W99" i="2"/>
  <c r="W100" i="2"/>
  <c r="W24" i="2"/>
  <c r="W101" i="2"/>
  <c r="W4" i="2"/>
  <c r="W13" i="2"/>
  <c r="W50" i="2"/>
  <c r="W14" i="2"/>
  <c r="W15" i="2"/>
  <c r="W25" i="2"/>
  <c r="W38" i="2"/>
  <c r="W102" i="2"/>
  <c r="W51" i="2"/>
  <c r="W63" i="2"/>
  <c r="W26" i="2"/>
  <c r="W64" i="2"/>
  <c r="W103" i="2"/>
  <c r="W104" i="2"/>
  <c r="W105" i="2"/>
  <c r="W5" i="2"/>
  <c r="W39" i="2"/>
  <c r="W52" i="2"/>
  <c r="W65" i="2"/>
  <c r="W27" i="2"/>
  <c r="W106" i="2"/>
  <c r="W107" i="2"/>
  <c r="W16" i="2"/>
  <c r="W40" i="2"/>
  <c r="W17" i="2"/>
  <c r="W18" i="2"/>
  <c r="W66" i="2"/>
  <c r="W28" i="2"/>
  <c r="W108" i="2"/>
  <c r="W53" i="2"/>
  <c r="W41" i="2"/>
  <c r="W67" i="2"/>
  <c r="W6" i="2"/>
  <c r="W54" i="2"/>
  <c r="W7" i="2"/>
  <c r="W109" i="2"/>
  <c r="W110" i="2"/>
  <c r="W111" i="2"/>
  <c r="W42" i="2"/>
  <c r="W55" i="2"/>
  <c r="W112" i="2"/>
  <c r="W29" i="2"/>
  <c r="W113" i="2"/>
  <c r="Y2" i="2"/>
  <c r="Z2" i="2"/>
  <c r="X2" i="2"/>
  <c r="W2" i="2"/>
  <c r="AB21" i="1"/>
  <c r="AB83" i="1"/>
  <c r="AB84" i="1"/>
  <c r="AB85" i="1"/>
  <c r="AB86" i="1"/>
  <c r="AB8" i="1"/>
  <c r="AB87" i="1"/>
  <c r="AB88" i="1"/>
  <c r="AB9" i="1"/>
  <c r="AB10" i="1"/>
  <c r="AB2" i="1"/>
  <c r="AB89" i="1"/>
  <c r="AB90" i="1"/>
  <c r="AB22" i="1"/>
  <c r="AB91" i="1"/>
  <c r="AB92" i="1"/>
  <c r="AB37" i="1"/>
  <c r="AB49" i="1"/>
  <c r="AB65" i="1"/>
  <c r="AB93" i="1"/>
  <c r="AB50" i="1"/>
  <c r="AB51" i="1"/>
  <c r="AB94" i="1"/>
  <c r="AB95" i="1"/>
  <c r="AB52" i="1"/>
  <c r="AB96" i="1"/>
  <c r="AB11" i="1"/>
  <c r="AB23" i="1"/>
  <c r="AB38" i="1"/>
  <c r="AB97" i="1"/>
  <c r="AB24" i="1"/>
  <c r="AB3" i="1"/>
  <c r="AB66" i="1"/>
  <c r="AB67" i="1"/>
  <c r="AB98" i="1"/>
  <c r="AB99" i="1"/>
  <c r="AB12" i="1"/>
  <c r="AB100" i="1"/>
  <c r="AB68" i="1"/>
  <c r="AB69" i="1"/>
  <c r="AB39" i="1"/>
  <c r="AB40" i="1"/>
  <c r="AB41" i="1"/>
  <c r="AB42" i="1"/>
  <c r="AB53" i="1"/>
  <c r="AB54" i="1"/>
  <c r="AB4" i="1"/>
  <c r="AB70" i="1"/>
  <c r="AB101" i="1"/>
  <c r="AB102" i="1"/>
  <c r="AB43" i="1"/>
  <c r="AB13" i="1"/>
  <c r="AB103" i="1"/>
  <c r="AB104" i="1"/>
  <c r="AB25" i="1"/>
  <c r="AB26" i="1"/>
  <c r="AB105" i="1"/>
  <c r="AB106" i="1"/>
  <c r="AB14" i="1"/>
  <c r="AB107" i="1"/>
  <c r="AB108" i="1"/>
  <c r="AB27" i="1"/>
  <c r="AB55" i="1"/>
  <c r="AB71" i="1"/>
  <c r="AB15" i="1"/>
  <c r="AB109" i="1"/>
  <c r="AB44" i="1"/>
  <c r="AB110" i="1"/>
  <c r="AB111" i="1"/>
  <c r="AB112" i="1"/>
  <c r="AB56" i="1"/>
  <c r="AB72" i="1"/>
  <c r="AB113" i="1"/>
  <c r="AB114" i="1"/>
  <c r="AB28" i="1"/>
  <c r="AB45" i="1"/>
  <c r="AB57" i="1"/>
  <c r="AB29" i="1"/>
  <c r="AB16" i="1"/>
  <c r="AB5" i="1"/>
  <c r="AB73" i="1"/>
  <c r="AB30" i="1"/>
  <c r="AB115" i="1"/>
  <c r="AB116" i="1"/>
  <c r="AB117" i="1"/>
  <c r="AB17" i="1"/>
  <c r="AB118" i="1"/>
  <c r="AB46" i="1"/>
  <c r="AB58" i="1"/>
  <c r="AB59" i="1"/>
  <c r="AB74" i="1"/>
  <c r="AB75" i="1"/>
  <c r="AB119" i="1"/>
  <c r="AB47" i="1"/>
  <c r="AB120" i="1"/>
  <c r="AB64" i="1"/>
  <c r="AB34" i="1"/>
  <c r="AB35" i="1"/>
  <c r="AB79" i="1"/>
  <c r="AB80" i="1"/>
  <c r="AB7" i="1"/>
  <c r="AB81" i="1"/>
  <c r="AB18" i="1"/>
  <c r="AB60" i="1"/>
  <c r="AB19" i="1"/>
  <c r="AB62" i="1"/>
  <c r="AB76" i="1"/>
  <c r="AB82" i="1"/>
  <c r="AB121" i="1"/>
  <c r="AB63" i="1"/>
  <c r="AB32" i="1"/>
  <c r="AB78" i="1"/>
  <c r="AB33" i="1"/>
  <c r="AB20" i="1"/>
  <c r="AB122" i="1"/>
  <c r="AB123" i="1"/>
  <c r="AB48" i="1"/>
  <c r="AB6" i="1"/>
  <c r="AB61" i="1"/>
  <c r="AB77" i="1"/>
  <c r="AB124" i="1"/>
  <c r="AB125" i="1"/>
  <c r="AB31" i="1"/>
  <c r="AB126" i="1"/>
  <c r="AB127" i="1"/>
  <c r="AA21" i="1"/>
  <c r="AA83" i="1"/>
  <c r="AA84" i="1"/>
  <c r="AA85" i="1"/>
  <c r="AA86" i="1"/>
  <c r="AA87" i="1"/>
  <c r="AA88" i="1"/>
  <c r="AA9" i="1"/>
  <c r="AA10" i="1"/>
  <c r="AA89" i="1"/>
  <c r="AA90" i="1"/>
  <c r="AA22" i="1"/>
  <c r="AA91" i="1"/>
  <c r="AA92" i="1"/>
  <c r="AA37" i="1"/>
  <c r="AA49" i="1"/>
  <c r="AA65" i="1"/>
  <c r="AA93" i="1"/>
  <c r="AA50" i="1"/>
  <c r="AA51" i="1"/>
  <c r="AA94" i="1"/>
  <c r="AA95" i="1"/>
  <c r="AA52" i="1"/>
  <c r="AA96" i="1"/>
  <c r="AA11" i="1"/>
  <c r="AA23" i="1"/>
  <c r="AA38" i="1"/>
  <c r="AA97" i="1"/>
  <c r="AA24" i="1"/>
  <c r="AA3" i="1"/>
  <c r="AA66" i="1"/>
  <c r="AA67" i="1"/>
  <c r="AA98" i="1"/>
  <c r="AA99" i="1"/>
  <c r="AA12" i="1"/>
  <c r="AA100" i="1"/>
  <c r="AA68" i="1"/>
  <c r="AA69" i="1"/>
  <c r="AA39" i="1"/>
  <c r="AA40" i="1"/>
  <c r="AA41" i="1"/>
  <c r="AA42" i="1"/>
  <c r="AA53" i="1"/>
  <c r="AA54" i="1"/>
  <c r="AA4" i="1"/>
  <c r="AA70" i="1"/>
  <c r="AA101" i="1"/>
  <c r="AA102" i="1"/>
  <c r="AA43" i="1"/>
  <c r="AA13" i="1"/>
  <c r="AA103" i="1"/>
  <c r="AA104" i="1"/>
  <c r="AA25" i="1"/>
  <c r="AA26" i="1"/>
  <c r="AA105" i="1"/>
  <c r="AA106" i="1"/>
  <c r="AA14" i="1"/>
  <c r="AA107" i="1"/>
  <c r="AA108" i="1"/>
  <c r="AA27" i="1"/>
  <c r="AA55" i="1"/>
  <c r="AA71" i="1"/>
  <c r="AA15" i="1"/>
  <c r="AA109" i="1"/>
  <c r="AA44" i="1"/>
  <c r="AA110" i="1"/>
  <c r="AA111" i="1"/>
  <c r="AA112" i="1"/>
  <c r="AA56" i="1"/>
  <c r="AA72" i="1"/>
  <c r="AA113" i="1"/>
  <c r="AA114" i="1"/>
  <c r="AA28" i="1"/>
  <c r="AA45" i="1"/>
  <c r="AA57" i="1"/>
  <c r="AA29" i="1"/>
  <c r="AA16" i="1"/>
  <c r="AA73" i="1"/>
  <c r="AA30" i="1"/>
  <c r="AA115" i="1"/>
  <c r="AA116" i="1"/>
  <c r="AA117" i="1"/>
  <c r="AA17" i="1"/>
  <c r="AA118" i="1"/>
  <c r="AA46" i="1"/>
  <c r="AA58" i="1"/>
  <c r="AA59" i="1"/>
  <c r="AA74" i="1"/>
  <c r="AA75" i="1"/>
  <c r="AA119" i="1"/>
  <c r="AA47" i="1"/>
  <c r="AA120" i="1"/>
  <c r="AA64" i="1"/>
  <c r="AA34" i="1"/>
  <c r="AA35" i="1"/>
  <c r="AA79" i="1"/>
  <c r="AA80" i="1"/>
  <c r="AA7" i="1"/>
  <c r="AA81" i="1"/>
  <c r="AA18" i="1"/>
  <c r="AA60" i="1"/>
  <c r="AA19" i="1"/>
  <c r="AA62" i="1"/>
  <c r="AA76" i="1"/>
  <c r="AA82" i="1"/>
  <c r="AA121" i="1"/>
  <c r="AA63" i="1"/>
  <c r="AA32" i="1"/>
  <c r="AA78" i="1"/>
  <c r="AA33" i="1"/>
  <c r="AA20" i="1"/>
  <c r="AA122" i="1"/>
  <c r="AA123" i="1"/>
  <c r="AA48" i="1"/>
  <c r="AA6" i="1"/>
  <c r="AA61" i="1"/>
  <c r="AA77" i="1"/>
  <c r="AA124" i="1"/>
  <c r="AA125" i="1"/>
  <c r="AA31" i="1"/>
  <c r="AA126" i="1"/>
  <c r="AA127" i="1"/>
  <c r="Z21" i="1"/>
  <c r="Z83" i="1"/>
  <c r="Z84" i="1"/>
  <c r="Z85" i="1"/>
  <c r="Z86" i="1"/>
  <c r="Z8" i="1"/>
  <c r="Z87" i="1"/>
  <c r="Z88" i="1"/>
  <c r="Z9" i="1"/>
  <c r="Z10" i="1"/>
  <c r="Z89" i="1"/>
  <c r="Z90" i="1"/>
  <c r="Z22" i="1"/>
  <c r="Z91" i="1"/>
  <c r="Z92" i="1"/>
  <c r="Z37" i="1"/>
  <c r="Z49" i="1"/>
  <c r="Z65" i="1"/>
  <c r="Z93" i="1"/>
  <c r="Z50" i="1"/>
  <c r="Z51" i="1"/>
  <c r="Z94" i="1"/>
  <c r="Z95" i="1"/>
  <c r="Z52" i="1"/>
  <c r="Z96" i="1"/>
  <c r="Z11" i="1"/>
  <c r="Z23" i="1"/>
  <c r="Z38" i="1"/>
  <c r="Z97" i="1"/>
  <c r="Z24" i="1"/>
  <c r="Z3" i="1"/>
  <c r="Z66" i="1"/>
  <c r="Z67" i="1"/>
  <c r="Z98" i="1"/>
  <c r="Z99" i="1"/>
  <c r="Z12" i="1"/>
  <c r="Z100" i="1"/>
  <c r="Z68" i="1"/>
  <c r="Z69" i="1"/>
  <c r="Z39" i="1"/>
  <c r="Z40" i="1"/>
  <c r="Z41" i="1"/>
  <c r="Z42" i="1"/>
  <c r="Z53" i="1"/>
  <c r="Z54" i="1"/>
  <c r="Z4" i="1"/>
  <c r="Z70" i="1"/>
  <c r="Z101" i="1"/>
  <c r="Z102" i="1"/>
  <c r="Z43" i="1"/>
  <c r="Z13" i="1"/>
  <c r="Z103" i="1"/>
  <c r="Z104" i="1"/>
  <c r="Z25" i="1"/>
  <c r="Z26" i="1"/>
  <c r="Z105" i="1"/>
  <c r="Z106" i="1"/>
  <c r="Z14" i="1"/>
  <c r="Z107" i="1"/>
  <c r="Z108" i="1"/>
  <c r="Z27" i="1"/>
  <c r="Z55" i="1"/>
  <c r="Z71" i="1"/>
  <c r="Z15" i="1"/>
  <c r="Z109" i="1"/>
  <c r="Z44" i="1"/>
  <c r="Z110" i="1"/>
  <c r="Z111" i="1"/>
  <c r="Z112" i="1"/>
  <c r="Z56" i="1"/>
  <c r="Z72" i="1"/>
  <c r="Z113" i="1"/>
  <c r="Z114" i="1"/>
  <c r="Z28" i="1"/>
  <c r="Z45" i="1"/>
  <c r="Z57" i="1"/>
  <c r="Z29" i="1"/>
  <c r="Z16" i="1"/>
  <c r="Z5" i="1"/>
  <c r="Z73" i="1"/>
  <c r="Z30" i="1"/>
  <c r="Z115" i="1"/>
  <c r="Z116" i="1"/>
  <c r="Z117" i="1"/>
  <c r="Z17" i="1"/>
  <c r="Z118" i="1"/>
  <c r="Z46" i="1"/>
  <c r="Z58" i="1"/>
  <c r="Z59" i="1"/>
  <c r="Z74" i="1"/>
  <c r="Z75" i="1"/>
  <c r="Z119" i="1"/>
  <c r="Z47" i="1"/>
  <c r="Z120" i="1"/>
  <c r="Z64" i="1"/>
  <c r="Z34" i="1"/>
  <c r="Z35" i="1"/>
  <c r="Z79" i="1"/>
  <c r="Z80" i="1"/>
  <c r="Z7" i="1"/>
  <c r="Z81" i="1"/>
  <c r="Z18" i="1"/>
  <c r="Z60" i="1"/>
  <c r="Z19" i="1"/>
  <c r="Z62" i="1"/>
  <c r="Z76" i="1"/>
  <c r="Z82" i="1"/>
  <c r="Z121" i="1"/>
  <c r="Z63" i="1"/>
  <c r="Z32" i="1"/>
  <c r="Z78" i="1"/>
  <c r="Z33" i="1"/>
  <c r="Z20" i="1"/>
  <c r="Z122" i="1"/>
  <c r="Z123" i="1"/>
  <c r="Z48" i="1"/>
  <c r="Z61" i="1"/>
  <c r="Z77" i="1"/>
  <c r="Z124" i="1"/>
  <c r="Z125" i="1"/>
  <c r="Z31" i="1"/>
  <c r="Z126" i="1"/>
  <c r="Z127" i="1"/>
  <c r="Y21" i="1"/>
  <c r="Y83" i="1"/>
  <c r="Y84" i="1"/>
  <c r="Y85" i="1"/>
  <c r="Y86" i="1"/>
  <c r="Y8" i="1"/>
  <c r="Y87" i="1"/>
  <c r="Y88" i="1"/>
  <c r="Y9" i="1"/>
  <c r="Y10" i="1"/>
  <c r="Y89" i="1"/>
  <c r="Y90" i="1"/>
  <c r="Y22" i="1"/>
  <c r="Y91" i="1"/>
  <c r="Y92" i="1"/>
  <c r="Y37" i="1"/>
  <c r="Y49" i="1"/>
  <c r="Y65" i="1"/>
  <c r="Y93" i="1"/>
  <c r="Y50" i="1"/>
  <c r="Y51" i="1"/>
  <c r="Y94" i="1"/>
  <c r="Y95" i="1"/>
  <c r="Y52" i="1"/>
  <c r="Y96" i="1"/>
  <c r="Y23" i="1"/>
  <c r="Y38" i="1"/>
  <c r="Y97" i="1"/>
  <c r="Y24" i="1"/>
  <c r="Y66" i="1"/>
  <c r="Y67" i="1"/>
  <c r="Y98" i="1"/>
  <c r="Y99" i="1"/>
  <c r="Y12" i="1"/>
  <c r="Y100" i="1"/>
  <c r="Y68" i="1"/>
  <c r="Y69" i="1"/>
  <c r="Y39" i="1"/>
  <c r="Y40" i="1"/>
  <c r="Y41" i="1"/>
  <c r="Y42" i="1"/>
  <c r="Y53" i="1"/>
  <c r="Y54" i="1"/>
  <c r="Y4" i="1"/>
  <c r="Y70" i="1"/>
  <c r="Y101" i="1"/>
  <c r="Y102" i="1"/>
  <c r="Y43" i="1"/>
  <c r="Y13" i="1"/>
  <c r="Y103" i="1"/>
  <c r="Y104" i="1"/>
  <c r="Y25" i="1"/>
  <c r="Y26" i="1"/>
  <c r="Y105" i="1"/>
  <c r="Y106" i="1"/>
  <c r="Y14" i="1"/>
  <c r="Y107" i="1"/>
  <c r="Y108" i="1"/>
  <c r="Y27" i="1"/>
  <c r="Y55" i="1"/>
  <c r="Y71" i="1"/>
  <c r="Y15" i="1"/>
  <c r="Y109" i="1"/>
  <c r="Y44" i="1"/>
  <c r="Y110" i="1"/>
  <c r="Y111" i="1"/>
  <c r="Y112" i="1"/>
  <c r="Y56" i="1"/>
  <c r="Y72" i="1"/>
  <c r="Y113" i="1"/>
  <c r="Y114" i="1"/>
  <c r="Y28" i="1"/>
  <c r="Y45" i="1"/>
  <c r="Y57" i="1"/>
  <c r="Y29" i="1"/>
  <c r="Y16" i="1"/>
  <c r="Y5" i="1"/>
  <c r="Y73" i="1"/>
  <c r="Y30" i="1"/>
  <c r="Y115" i="1"/>
  <c r="Y116" i="1"/>
  <c r="Y117" i="1"/>
  <c r="Y17" i="1"/>
  <c r="Y118" i="1"/>
  <c r="Y46" i="1"/>
  <c r="Y58" i="1"/>
  <c r="Y59" i="1"/>
  <c r="Y74" i="1"/>
  <c r="Y75" i="1"/>
  <c r="Y119" i="1"/>
  <c r="Y47" i="1"/>
  <c r="Y120" i="1"/>
  <c r="Y64" i="1"/>
  <c r="Y34" i="1"/>
  <c r="Y35" i="1"/>
  <c r="Y79" i="1"/>
  <c r="Y80" i="1"/>
  <c r="Y7" i="1"/>
  <c r="Y81" i="1"/>
  <c r="Y18" i="1"/>
  <c r="Y60" i="1"/>
  <c r="Y19" i="1"/>
  <c r="Y62" i="1"/>
  <c r="Y76" i="1"/>
  <c r="Y82" i="1"/>
  <c r="Y121" i="1"/>
  <c r="Y63" i="1"/>
  <c r="Y32" i="1"/>
  <c r="Y78" i="1"/>
  <c r="Y33" i="1"/>
  <c r="Y20" i="1"/>
  <c r="Y122" i="1"/>
  <c r="Y123" i="1"/>
  <c r="Y48" i="1"/>
  <c r="Y6" i="1"/>
  <c r="Y61" i="1"/>
  <c r="Y77" i="1"/>
  <c r="Y124" i="1"/>
  <c r="Y125" i="1"/>
  <c r="Y31" i="1"/>
  <c r="Y126" i="1"/>
  <c r="Y127" i="1"/>
  <c r="H79" i="2"/>
  <c r="C125" i="1"/>
  <c r="C31" i="1"/>
  <c r="C126" i="1"/>
  <c r="C127" i="1"/>
  <c r="C85" i="1"/>
  <c r="C8" i="1"/>
  <c r="C36" i="1"/>
  <c r="C21" i="1"/>
  <c r="C87" i="1"/>
  <c r="C84" i="1"/>
  <c r="C86" i="1"/>
  <c r="C88" i="1"/>
  <c r="C9" i="1"/>
  <c r="C10" i="1"/>
  <c r="C2" i="1"/>
  <c r="C89" i="1"/>
  <c r="C90" i="1"/>
  <c r="C22" i="1"/>
  <c r="C91" i="1"/>
  <c r="C92" i="1"/>
  <c r="C37" i="1"/>
  <c r="C49" i="1"/>
  <c r="C65" i="1"/>
  <c r="C68" i="1"/>
  <c r="C39" i="1"/>
  <c r="C69" i="1"/>
  <c r="C95" i="1"/>
  <c r="C96" i="1"/>
  <c r="C51" i="1"/>
  <c r="C24" i="1"/>
  <c r="C99" i="1"/>
  <c r="C52" i="1"/>
  <c r="C94" i="1"/>
  <c r="C3" i="1"/>
  <c r="C97" i="1"/>
  <c r="C12" i="1"/>
  <c r="C100" i="1"/>
  <c r="C93" i="1"/>
  <c r="C98" i="1"/>
  <c r="C40" i="1"/>
  <c r="C38" i="1"/>
  <c r="C66" i="1"/>
  <c r="C23" i="1"/>
  <c r="C50" i="1"/>
  <c r="C67" i="1"/>
  <c r="C54" i="1"/>
  <c r="C56" i="1"/>
  <c r="C112" i="1"/>
  <c r="C72" i="1"/>
  <c r="C107" i="1"/>
  <c r="C4" i="1"/>
  <c r="C14" i="1"/>
  <c r="C71" i="1"/>
  <c r="C15" i="1"/>
  <c r="C113" i="1"/>
  <c r="C53" i="1"/>
  <c r="C70" i="1"/>
  <c r="C109" i="1"/>
  <c r="C110" i="1"/>
  <c r="C111" i="1"/>
  <c r="C103" i="1"/>
  <c r="C27" i="1"/>
  <c r="C42" i="1"/>
  <c r="C101" i="1"/>
  <c r="C106" i="1"/>
  <c r="C108" i="1"/>
  <c r="C44" i="1"/>
  <c r="C43" i="1"/>
  <c r="C13" i="1"/>
  <c r="C26" i="1"/>
  <c r="C104" i="1"/>
  <c r="C105" i="1"/>
  <c r="C55" i="1"/>
  <c r="C41" i="1"/>
  <c r="C25" i="1"/>
  <c r="C114" i="1"/>
  <c r="C102" i="1"/>
  <c r="C57" i="1"/>
  <c r="C5" i="1"/>
  <c r="C74" i="1"/>
  <c r="C16" i="1"/>
  <c r="C45" i="1"/>
  <c r="C46" i="1"/>
  <c r="C120" i="1"/>
  <c r="C30" i="1"/>
  <c r="C47" i="1"/>
  <c r="C73" i="1"/>
  <c r="C58" i="1"/>
  <c r="C116" i="1"/>
  <c r="C117" i="1"/>
  <c r="C28" i="1"/>
  <c r="C17" i="1"/>
  <c r="C59" i="1"/>
  <c r="C75" i="1"/>
  <c r="C29" i="1"/>
  <c r="C118" i="1"/>
  <c r="C115" i="1"/>
  <c r="C60" i="1"/>
  <c r="C78" i="1"/>
  <c r="C34" i="1"/>
  <c r="C79" i="1"/>
  <c r="C7" i="1"/>
  <c r="C35" i="1"/>
  <c r="C80" i="1"/>
  <c r="C33" i="1"/>
  <c r="C19" i="1"/>
  <c r="C32" i="1"/>
  <c r="C82" i="1"/>
  <c r="C63" i="1"/>
  <c r="C119" i="1"/>
  <c r="C18" i="1"/>
  <c r="C64" i="1"/>
  <c r="C62" i="1"/>
  <c r="C81" i="1"/>
  <c r="C76" i="1"/>
  <c r="C121" i="1"/>
  <c r="C20" i="1"/>
  <c r="C122" i="1"/>
  <c r="C123" i="1"/>
  <c r="C48" i="1"/>
  <c r="C61" i="1"/>
  <c r="C77" i="1"/>
  <c r="C6" i="1"/>
  <c r="C124" i="1"/>
  <c r="C83" i="1"/>
  <c r="AA3" i="26"/>
  <c r="Z3" i="26"/>
  <c r="Y3" i="26"/>
  <c r="X3" i="26"/>
  <c r="AA2" i="26"/>
  <c r="Z2" i="26"/>
  <c r="Y2" i="26"/>
  <c r="X2" i="26"/>
  <c r="G96" i="17"/>
  <c r="G95" i="17"/>
  <c r="G18" i="17"/>
  <c r="G142" i="17"/>
  <c r="G32" i="17"/>
  <c r="G17" i="17"/>
  <c r="G143" i="17"/>
  <c r="G91" i="17"/>
  <c r="G109" i="17"/>
  <c r="G94" i="17"/>
  <c r="G110" i="17"/>
  <c r="G92" i="17"/>
  <c r="G136" i="17"/>
  <c r="G137" i="17"/>
  <c r="AB5" i="16"/>
  <c r="G10" i="17"/>
  <c r="G11" i="17"/>
  <c r="G88" i="17"/>
  <c r="G87" i="17"/>
  <c r="G102" i="17"/>
  <c r="G101" i="17"/>
  <c r="G26" i="17"/>
  <c r="G57" i="17"/>
  <c r="G56" i="17"/>
  <c r="G55" i="17"/>
  <c r="G58" i="17"/>
  <c r="G132" i="17"/>
  <c r="H83" i="2"/>
  <c r="G49" i="17"/>
  <c r="G111" i="17"/>
  <c r="G48" i="17"/>
  <c r="G50" i="17"/>
  <c r="I21" i="16"/>
  <c r="G19" i="17"/>
  <c r="G112" i="17"/>
  <c r="G128" i="17"/>
  <c r="G45" i="17"/>
  <c r="G126" i="17"/>
  <c r="G125" i="17"/>
  <c r="G29" i="17"/>
  <c r="G28" i="17"/>
  <c r="G106" i="17"/>
  <c r="G140" i="17"/>
  <c r="G44" i="17"/>
  <c r="G107" i="17"/>
  <c r="G15" i="17"/>
  <c r="G77" i="17"/>
  <c r="G76" i="17"/>
  <c r="G141" i="17"/>
  <c r="G43" i="17"/>
  <c r="G81" i="17"/>
  <c r="G80" i="17"/>
  <c r="G64" i="17"/>
  <c r="G63" i="17"/>
  <c r="Z9" i="3"/>
  <c r="G39" i="17"/>
  <c r="G38" i="17"/>
  <c r="G67" i="17"/>
  <c r="G8" i="17"/>
  <c r="G134" i="17"/>
  <c r="G103" i="17"/>
  <c r="G115" i="17"/>
  <c r="G116" i="17"/>
  <c r="G69" i="17"/>
  <c r="G60" i="17"/>
  <c r="H21" i="1"/>
  <c r="G31" i="17"/>
  <c r="G59" i="17"/>
  <c r="G13" i="17"/>
  <c r="G62" i="17"/>
  <c r="G135" i="17"/>
  <c r="AB15" i="16"/>
  <c r="AB21" i="16"/>
  <c r="AB7" i="16"/>
  <c r="AB19" i="16"/>
  <c r="AB17" i="16"/>
  <c r="AB6" i="16"/>
  <c r="AB12" i="16"/>
  <c r="AB2" i="16"/>
  <c r="AB16" i="16"/>
  <c r="AB20" i="16"/>
  <c r="AB3" i="16"/>
  <c r="AB4" i="16"/>
  <c r="AB9" i="16"/>
  <c r="AB18" i="16"/>
  <c r="AB22" i="16"/>
  <c r="AB8" i="16"/>
  <c r="AB13" i="16"/>
  <c r="AB14" i="16"/>
  <c r="AB10" i="16"/>
  <c r="AA2" i="12"/>
  <c r="AA21" i="12"/>
  <c r="AA22" i="12"/>
  <c r="AA13" i="12"/>
  <c r="AA3" i="12"/>
  <c r="AA4" i="12"/>
  <c r="AA5" i="12"/>
  <c r="AA6" i="12"/>
  <c r="AA7" i="12"/>
  <c r="AA8" i="12"/>
  <c r="AA9" i="12"/>
  <c r="AA10" i="12"/>
  <c r="AA11" i="12"/>
  <c r="AA12" i="12"/>
  <c r="AA14" i="12"/>
  <c r="AA15" i="12"/>
  <c r="AA16" i="12"/>
  <c r="AA17" i="12"/>
  <c r="AA18" i="12"/>
  <c r="AA19" i="12"/>
  <c r="AA20" i="12"/>
  <c r="Z2" i="12"/>
  <c r="Y2" i="12"/>
  <c r="AB3" i="12"/>
  <c r="AB4" i="12"/>
  <c r="AB5" i="12"/>
  <c r="AB6" i="12"/>
  <c r="AB7" i="12"/>
  <c r="AB8" i="12"/>
  <c r="AB9" i="12"/>
  <c r="AB10" i="12"/>
  <c r="AB11" i="12"/>
  <c r="AB12" i="12"/>
  <c r="AB13" i="12"/>
  <c r="AB14" i="12"/>
  <c r="AB15" i="12"/>
  <c r="AB16" i="12"/>
  <c r="AB17" i="12"/>
  <c r="AB18" i="12"/>
  <c r="AB19" i="12"/>
  <c r="AB20" i="12"/>
  <c r="AB21" i="12"/>
  <c r="AB22" i="12"/>
  <c r="Z3" i="12"/>
  <c r="Z4" i="12"/>
  <c r="Z5" i="12"/>
  <c r="Z6" i="12"/>
  <c r="Z7" i="12"/>
  <c r="Z8" i="12"/>
  <c r="Z9" i="12"/>
  <c r="Z10" i="12"/>
  <c r="Z11" i="12"/>
  <c r="Z12" i="12"/>
  <c r="Z13" i="12"/>
  <c r="Z14" i="12"/>
  <c r="Z15" i="12"/>
  <c r="Z16" i="12"/>
  <c r="Z17" i="12"/>
  <c r="Z18" i="12"/>
  <c r="Z19" i="12"/>
  <c r="Z20" i="12"/>
  <c r="Z21" i="12"/>
  <c r="Z22" i="12"/>
  <c r="Y3" i="12"/>
  <c r="Y4" i="12"/>
  <c r="Y5" i="12"/>
  <c r="Y6" i="12"/>
  <c r="Y7" i="12"/>
  <c r="Y8" i="12"/>
  <c r="Y9" i="12"/>
  <c r="Y10" i="12"/>
  <c r="Y11" i="12"/>
  <c r="Y12" i="12"/>
  <c r="Y13" i="12"/>
  <c r="Y14" i="12"/>
  <c r="Y15" i="12"/>
  <c r="Y16" i="12"/>
  <c r="Y17" i="12"/>
  <c r="Y18" i="12"/>
  <c r="Y19" i="12"/>
  <c r="Y20" i="12"/>
  <c r="Y21" i="12"/>
  <c r="Y22" i="12"/>
  <c r="AB2" i="12"/>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Z2" i="3"/>
  <c r="Z3" i="3"/>
  <c r="Z4" i="3"/>
  <c r="Z5" i="3"/>
  <c r="Z6" i="3"/>
  <c r="Z7" i="3"/>
  <c r="Z8"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Y2" i="3"/>
  <c r="X2" i="3"/>
  <c r="H20" i="2"/>
  <c r="H5" i="9"/>
  <c r="I19" i="6"/>
  <c r="I64" i="6"/>
  <c r="I18" i="6"/>
  <c r="I122" i="6"/>
  <c r="I123" i="6"/>
  <c r="I121" i="6"/>
  <c r="I120" i="6"/>
  <c r="I119" i="6"/>
  <c r="I35" i="6"/>
  <c r="I81" i="6"/>
  <c r="I49" i="6"/>
  <c r="I48" i="6"/>
  <c r="I65" i="6"/>
  <c r="I20" i="6"/>
  <c r="I27" i="6"/>
  <c r="I52" i="6"/>
  <c r="I51" i="6"/>
  <c r="I50" i="6"/>
  <c r="I82" i="6"/>
  <c r="I33" i="6"/>
  <c r="I130" i="6"/>
  <c r="I128" i="6"/>
  <c r="I28" i="6"/>
  <c r="I10" i="6"/>
  <c r="I85" i="6"/>
  <c r="I68" i="6"/>
  <c r="I67" i="6"/>
  <c r="I136" i="6"/>
  <c r="I135" i="6"/>
  <c r="I134" i="6"/>
  <c r="I83" i="6"/>
  <c r="I133" i="6"/>
  <c r="I132" i="6"/>
  <c r="I66" i="6"/>
  <c r="I131" i="6"/>
  <c r="I129" i="6"/>
  <c r="I21" i="6"/>
  <c r="I80" i="6"/>
  <c r="I36" i="6"/>
  <c r="I84" i="6"/>
  <c r="I34" i="6"/>
  <c r="I125" i="6"/>
  <c r="I127" i="6"/>
  <c r="I126" i="6"/>
  <c r="I124" i="6"/>
  <c r="I8" i="6"/>
  <c r="I47" i="6"/>
  <c r="I17" i="6"/>
  <c r="I46" i="6"/>
  <c r="I32" i="6"/>
  <c r="I79" i="6"/>
  <c r="I31" i="6"/>
  <c r="I7" i="6"/>
  <c r="I78" i="6"/>
  <c r="I118" i="6"/>
  <c r="I45" i="6"/>
  <c r="I63" i="6"/>
  <c r="I117" i="6"/>
  <c r="I116" i="6"/>
  <c r="I115" i="6"/>
  <c r="I62" i="6"/>
  <c r="I114" i="6"/>
  <c r="I61" i="6"/>
  <c r="I112" i="6"/>
  <c r="I111" i="6"/>
  <c r="I77" i="6"/>
  <c r="I6" i="6"/>
  <c r="I113" i="6"/>
  <c r="I76" i="6"/>
  <c r="I44" i="6"/>
  <c r="I16" i="6"/>
  <c r="I43" i="6"/>
  <c r="I110" i="6"/>
  <c r="I42" i="6"/>
  <c r="I5" i="6"/>
  <c r="I74" i="6"/>
  <c r="I30" i="6"/>
  <c r="I41" i="6"/>
  <c r="I109" i="6"/>
  <c r="I15" i="6"/>
  <c r="I108" i="6"/>
  <c r="I73" i="6"/>
  <c r="I60" i="6"/>
  <c r="I107" i="6"/>
  <c r="I29" i="6"/>
  <c r="I59" i="6"/>
  <c r="I106" i="6"/>
  <c r="I105" i="6"/>
  <c r="I4" i="6"/>
  <c r="I104" i="6"/>
  <c r="I103" i="6"/>
  <c r="I102" i="6"/>
  <c r="I58" i="6"/>
  <c r="I100" i="6"/>
  <c r="I99" i="6"/>
  <c r="I101" i="6"/>
  <c r="I57" i="6"/>
  <c r="I56" i="6"/>
  <c r="I26" i="6"/>
  <c r="I55" i="6"/>
  <c r="I24" i="6"/>
  <c r="I98" i="6"/>
  <c r="I54" i="6"/>
  <c r="I72" i="6"/>
  <c r="I97" i="6"/>
  <c r="I40" i="6"/>
  <c r="I3" i="6"/>
  <c r="I39" i="6"/>
  <c r="I93" i="6"/>
  <c r="I25" i="6"/>
  <c r="I71" i="6"/>
  <c r="I96" i="6"/>
  <c r="I95" i="6"/>
  <c r="I94" i="6"/>
  <c r="I14" i="6"/>
  <c r="I92" i="6"/>
  <c r="I38" i="6"/>
  <c r="I13" i="6"/>
  <c r="I70" i="6"/>
  <c r="I91" i="6"/>
  <c r="I90" i="6"/>
  <c r="I12" i="6"/>
  <c r="I89" i="6"/>
  <c r="I53" i="6"/>
  <c r="I23" i="6"/>
  <c r="I22" i="6"/>
  <c r="I2" i="6"/>
  <c r="I88" i="6"/>
  <c r="I37" i="6"/>
  <c r="I11" i="6"/>
  <c r="I87" i="6"/>
  <c r="I86" i="6"/>
  <c r="I69" i="6"/>
  <c r="H7" i="9"/>
  <c r="H6" i="9"/>
  <c r="H8" i="9"/>
  <c r="H9" i="9"/>
  <c r="H3" i="9"/>
  <c r="H4" i="9"/>
  <c r="H10" i="9"/>
  <c r="H2" i="9"/>
  <c r="H11" i="8"/>
  <c r="H2" i="8"/>
  <c r="H5" i="8"/>
  <c r="H3" i="8"/>
  <c r="H8" i="8"/>
  <c r="H12" i="8"/>
  <c r="H13" i="8"/>
  <c r="H6" i="8"/>
  <c r="H14" i="8"/>
  <c r="H15" i="8"/>
  <c r="H9" i="8"/>
  <c r="H17" i="8"/>
  <c r="H16" i="8"/>
  <c r="H7" i="8"/>
  <c r="H18" i="8"/>
  <c r="H4" i="8"/>
  <c r="H94" i="2"/>
  <c r="H62" i="2"/>
  <c r="H31" i="2"/>
  <c r="H44" i="2"/>
  <c r="H73" i="2"/>
  <c r="H8" i="2"/>
  <c r="H32" i="2"/>
  <c r="H58" i="2"/>
  <c r="H84" i="2"/>
  <c r="H59" i="2"/>
  <c r="H33" i="2"/>
  <c r="H34" i="2"/>
  <c r="H48" i="2"/>
  <c r="H11" i="2"/>
  <c r="H35" i="2"/>
  <c r="H21" i="2"/>
  <c r="H36" i="2"/>
  <c r="H12" i="2"/>
  <c r="H60" i="2"/>
  <c r="H23" i="2"/>
  <c r="H88" i="2"/>
  <c r="H37" i="2"/>
  <c r="H90" i="2"/>
  <c r="H92" i="2"/>
  <c r="H95" i="2"/>
  <c r="H96" i="2"/>
  <c r="H97" i="2"/>
  <c r="H98" i="2"/>
  <c r="H24" i="2"/>
  <c r="H101" i="2"/>
  <c r="H4" i="2"/>
  <c r="H13" i="2"/>
  <c r="H50" i="2"/>
  <c r="H14" i="2"/>
  <c r="H15" i="2"/>
  <c r="H25" i="2"/>
  <c r="H38" i="2"/>
  <c r="H102" i="2"/>
  <c r="H51" i="2"/>
  <c r="H63" i="2"/>
  <c r="H26" i="2"/>
  <c r="H64" i="2"/>
  <c r="H103" i="2"/>
  <c r="H104" i="2"/>
  <c r="H105" i="2"/>
  <c r="H5" i="2"/>
  <c r="H39" i="2"/>
  <c r="H52" i="2"/>
  <c r="H65" i="2"/>
  <c r="H27" i="2"/>
  <c r="H107" i="2"/>
  <c r="H106" i="2"/>
  <c r="H16" i="2"/>
  <c r="H40" i="2"/>
  <c r="H17" i="2"/>
  <c r="H66" i="2"/>
  <c r="H28" i="2"/>
  <c r="H108" i="2"/>
  <c r="H18" i="2"/>
  <c r="H53" i="2"/>
  <c r="H41" i="2"/>
  <c r="H67" i="2"/>
  <c r="H55" i="2"/>
  <c r="H112" i="2"/>
  <c r="H29" i="2"/>
  <c r="H113" i="2"/>
  <c r="H56" i="2"/>
  <c r="H30" i="2"/>
  <c r="H43" i="2"/>
  <c r="H68" i="2"/>
  <c r="H57" i="2"/>
  <c r="H45" i="2"/>
  <c r="H69" i="2"/>
  <c r="H70" i="2"/>
  <c r="H71" i="2"/>
  <c r="H72" i="2"/>
  <c r="H74" i="2"/>
  <c r="H19" i="2"/>
  <c r="H9" i="2"/>
  <c r="H75" i="2"/>
  <c r="H76" i="2"/>
  <c r="H77" i="2"/>
  <c r="H78" i="2"/>
  <c r="H10" i="2"/>
  <c r="H46" i="2"/>
  <c r="H47" i="2"/>
  <c r="H80" i="2"/>
  <c r="H81" i="2"/>
  <c r="H82" i="2"/>
  <c r="H61" i="2"/>
  <c r="H3" i="2"/>
  <c r="H85" i="2"/>
  <c r="H86" i="2"/>
  <c r="H22" i="2"/>
  <c r="H49" i="2"/>
  <c r="H87" i="2"/>
  <c r="H89" i="2"/>
  <c r="H91" i="2"/>
  <c r="H93" i="2"/>
  <c r="H99" i="2"/>
  <c r="H100" i="2"/>
  <c r="H54" i="2"/>
  <c r="H6" i="2"/>
  <c r="H109" i="2"/>
  <c r="H7" i="2"/>
  <c r="H110" i="2"/>
  <c r="H111" i="2"/>
  <c r="H42" i="2"/>
  <c r="H2" i="2"/>
  <c r="H83" i="1"/>
  <c r="H84" i="1"/>
  <c r="H85" i="1"/>
  <c r="H86" i="1"/>
  <c r="H8" i="1"/>
  <c r="H87" i="1"/>
  <c r="H88" i="1"/>
  <c r="H9" i="1"/>
  <c r="H10" i="1"/>
  <c r="H2" i="1"/>
  <c r="H89" i="1"/>
  <c r="H90" i="1"/>
  <c r="H22" i="1"/>
  <c r="H91" i="1"/>
  <c r="H92" i="1"/>
  <c r="H37" i="1"/>
  <c r="H49" i="1"/>
  <c r="H65" i="1"/>
  <c r="H93" i="1"/>
  <c r="H50" i="1"/>
  <c r="H52" i="1"/>
  <c r="H51" i="1"/>
  <c r="H94" i="1"/>
  <c r="H95" i="1"/>
  <c r="H38" i="1"/>
  <c r="H97" i="1"/>
  <c r="H24" i="1"/>
  <c r="H96" i="1"/>
  <c r="H3" i="1"/>
  <c r="H11" i="1"/>
  <c r="H66" i="1"/>
  <c r="H67" i="1"/>
  <c r="H98" i="1"/>
  <c r="H99" i="1"/>
  <c r="H12" i="1"/>
  <c r="H100" i="1"/>
  <c r="H68" i="1"/>
  <c r="H23" i="1"/>
  <c r="H69" i="1"/>
  <c r="H39" i="1"/>
  <c r="H40" i="1"/>
  <c r="H41" i="1"/>
  <c r="H42" i="1"/>
  <c r="H4" i="1"/>
  <c r="H53" i="1"/>
  <c r="H54" i="1"/>
  <c r="H102" i="1"/>
  <c r="H43" i="1"/>
  <c r="H70" i="1"/>
  <c r="H13" i="1"/>
  <c r="H103" i="1"/>
  <c r="H104" i="1"/>
  <c r="H25" i="1"/>
  <c r="H26" i="1"/>
  <c r="H105" i="1"/>
  <c r="H106" i="1"/>
  <c r="H14" i="1"/>
  <c r="H107" i="1"/>
  <c r="H101" i="1"/>
  <c r="H108" i="1"/>
  <c r="H27" i="1"/>
  <c r="H55" i="1"/>
  <c r="H71" i="1"/>
  <c r="H15" i="1"/>
  <c r="H109" i="1"/>
  <c r="H44" i="1"/>
  <c r="H110" i="1"/>
  <c r="H111" i="1"/>
  <c r="H56" i="1"/>
  <c r="H112" i="1"/>
  <c r="H72" i="1"/>
  <c r="H113" i="1"/>
  <c r="H114" i="1"/>
  <c r="H16" i="1"/>
  <c r="H45" i="1"/>
  <c r="H57" i="1"/>
  <c r="H29" i="1"/>
  <c r="H5" i="1"/>
  <c r="H73" i="1"/>
  <c r="H30" i="1"/>
  <c r="H115" i="1"/>
  <c r="H116" i="1"/>
  <c r="H117" i="1"/>
  <c r="H17" i="1"/>
  <c r="H118" i="1"/>
  <c r="H46" i="1"/>
  <c r="H58" i="1"/>
  <c r="H59" i="1"/>
  <c r="H74" i="1"/>
  <c r="H47" i="1"/>
  <c r="H75" i="1"/>
  <c r="H119" i="1"/>
  <c r="H120" i="1"/>
  <c r="H64" i="1"/>
  <c r="H34" i="1"/>
  <c r="H35" i="1"/>
  <c r="H79" i="1"/>
  <c r="H7" i="1"/>
  <c r="H81" i="1"/>
  <c r="H18" i="1"/>
  <c r="H60" i="1"/>
  <c r="H19" i="1"/>
  <c r="H62" i="1"/>
  <c r="H76" i="1"/>
  <c r="H82" i="1"/>
  <c r="H121" i="1"/>
  <c r="H63" i="1"/>
  <c r="H32" i="1"/>
  <c r="H78" i="1"/>
  <c r="H80" i="1"/>
  <c r="H33" i="1"/>
  <c r="H20" i="1"/>
  <c r="H122" i="1"/>
  <c r="H123" i="1"/>
  <c r="H48" i="1"/>
  <c r="H61" i="1"/>
  <c r="H77" i="1"/>
  <c r="H6" i="1"/>
  <c r="H124" i="1"/>
  <c r="H125" i="1"/>
  <c r="H31" i="1"/>
  <c r="H126" i="1"/>
  <c r="H127" i="1"/>
  <c r="H36" i="1"/>
  <c r="O8" i="35" l="1"/>
  <c r="C37" i="35"/>
  <c r="F22" i="35"/>
  <c r="C22" i="35"/>
  <c r="D22" i="35"/>
  <c r="Z42" i="35"/>
  <c r="Z16" i="35"/>
  <c r="Z46" i="35"/>
  <c r="Z140" i="35"/>
  <c r="X21" i="35"/>
  <c r="M4" i="35"/>
  <c r="AA76" i="35"/>
  <c r="W2" i="35"/>
  <c r="W16" i="35"/>
  <c r="AA57" i="35"/>
  <c r="AA97" i="35"/>
  <c r="J10" i="35"/>
  <c r="W57" i="35"/>
  <c r="N4" i="35"/>
  <c r="M10" i="35"/>
  <c r="C10" i="35"/>
  <c r="W11" i="35"/>
  <c r="W157" i="35" s="1"/>
  <c r="J7" i="35"/>
  <c r="D7" i="35"/>
  <c r="G7" i="35"/>
  <c r="E4" i="35"/>
  <c r="L4" i="35"/>
  <c r="C13" i="35"/>
  <c r="J13" i="35"/>
  <c r="X2" i="35"/>
  <c r="X11" i="35"/>
  <c r="X157" i="35" s="1"/>
  <c r="D4" i="35"/>
  <c r="K4" i="35"/>
  <c r="F4" i="35"/>
  <c r="J4" i="35"/>
  <c r="H8" i="35"/>
  <c r="V2" i="35"/>
  <c r="V11" i="35"/>
  <c r="B4" i="35"/>
  <c r="B10" i="35"/>
  <c r="Z11" i="35"/>
  <c r="Z26" i="35"/>
  <c r="Z33" i="35"/>
  <c r="Z93" i="35"/>
  <c r="AC21" i="35"/>
  <c r="AC2" i="35"/>
  <c r="AC11" i="35"/>
  <c r="AC42" i="35"/>
  <c r="P19" i="35"/>
  <c r="U145" i="35"/>
  <c r="E10" i="35"/>
  <c r="L10" i="35"/>
  <c r="C4" i="35"/>
  <c r="K22" i="35"/>
  <c r="Z110" i="35"/>
  <c r="O12" i="35"/>
  <c r="I10" i="35"/>
  <c r="P30" i="35"/>
  <c r="U51" i="35"/>
  <c r="U76" i="35"/>
  <c r="U93" i="35"/>
  <c r="U97" i="35"/>
  <c r="U104" i="35"/>
  <c r="U135" i="35"/>
  <c r="Z2" i="35"/>
  <c r="AD157" i="35"/>
  <c r="AA157" i="35"/>
  <c r="Z97" i="35"/>
  <c r="Z104" i="35"/>
  <c r="Z119" i="35"/>
  <c r="Z130" i="35"/>
  <c r="Z135" i="35"/>
  <c r="Z145" i="35"/>
  <c r="Z57" i="35"/>
  <c r="Z67" i="35"/>
  <c r="Z84" i="35"/>
  <c r="Y157" i="35"/>
  <c r="P36" i="35"/>
  <c r="O35" i="35"/>
  <c r="O34" i="35" s="1"/>
  <c r="P34" i="35" s="1"/>
  <c r="AE157" i="35"/>
  <c r="Z21" i="35"/>
  <c r="Z37" i="35"/>
  <c r="Z51" i="35"/>
  <c r="U110" i="35"/>
  <c r="U130" i="35"/>
  <c r="V157" i="35"/>
  <c r="AB157" i="35"/>
  <c r="U11" i="35"/>
  <c r="H14" i="35"/>
  <c r="E13" i="35"/>
  <c r="F13" i="35"/>
  <c r="G16" i="35"/>
  <c r="J16" i="35"/>
  <c r="O27" i="35"/>
  <c r="U119" i="35"/>
  <c r="U140" i="35"/>
  <c r="U2" i="35"/>
  <c r="U26" i="35"/>
  <c r="U33" i="35"/>
  <c r="U37" i="35"/>
  <c r="U42" i="35"/>
  <c r="U46" i="35"/>
  <c r="H12" i="35"/>
  <c r="O17" i="35"/>
  <c r="P17" i="35" s="1"/>
  <c r="F16" i="35"/>
  <c r="H18" i="35"/>
  <c r="H16" i="35" s="1"/>
  <c r="L16" i="35"/>
  <c r="O18" i="35"/>
  <c r="H11" i="35"/>
  <c r="G10" i="35"/>
  <c r="D10" i="35"/>
  <c r="N10" i="35"/>
  <c r="K10" i="35"/>
  <c r="D13" i="35"/>
  <c r="G13" i="35"/>
  <c r="K13" i="35"/>
  <c r="N13" i="35"/>
  <c r="H15" i="35"/>
  <c r="O15" i="35"/>
  <c r="B22" i="35"/>
  <c r="H27" i="35"/>
  <c r="H25" i="35" s="1"/>
  <c r="U16" i="35"/>
  <c r="U21" i="35"/>
  <c r="U57" i="35"/>
  <c r="U67" i="35"/>
  <c r="U84" i="35"/>
  <c r="O11" i="35"/>
  <c r="C16" i="35"/>
  <c r="I16" i="35"/>
  <c r="M13" i="35"/>
  <c r="J22" i="35"/>
  <c r="O24" i="35"/>
  <c r="O26" i="35"/>
  <c r="O29" i="35"/>
  <c r="O28" i="35" s="1"/>
  <c r="P28" i="35" s="1"/>
  <c r="I37" i="35"/>
  <c r="P26" i="35"/>
  <c r="P29" i="35"/>
  <c r="O32" i="35"/>
  <c r="O31" i="35" s="1"/>
  <c r="P31" i="35" s="1"/>
  <c r="I13" i="35"/>
  <c r="L13" i="35"/>
  <c r="O23" i="35"/>
  <c r="H24" i="35"/>
  <c r="H22" i="35" s="1"/>
  <c r="H9" i="35"/>
  <c r="H7" i="35" s="1"/>
  <c r="O9" i="35"/>
  <c r="P15" i="35"/>
  <c r="J37" i="35"/>
  <c r="P8" i="35"/>
  <c r="I7" i="35"/>
  <c r="B7" i="35"/>
  <c r="O14" i="35"/>
  <c r="B13" i="35"/>
  <c r="I22" i="35"/>
  <c r="O5" i="35"/>
  <c r="O6" i="35"/>
  <c r="H6" i="35"/>
  <c r="I31" i="35"/>
  <c r="K37" i="35"/>
  <c r="H38" i="35"/>
  <c r="B37" i="35"/>
  <c r="H39" i="35"/>
  <c r="I4" i="35"/>
  <c r="H5" i="35"/>
  <c r="L37" i="35"/>
  <c r="O39" i="35"/>
  <c r="O38" i="35"/>
  <c r="E37" i="35"/>
  <c r="H13" i="35" l="1"/>
  <c r="P12" i="35"/>
  <c r="H10" i="35"/>
  <c r="P32" i="35"/>
  <c r="AC157" i="35"/>
  <c r="P35" i="35"/>
  <c r="Z157" i="35"/>
  <c r="O22" i="35"/>
  <c r="O25" i="35"/>
  <c r="P18" i="35"/>
  <c r="U157" i="35"/>
  <c r="P25" i="35"/>
  <c r="O16" i="35"/>
  <c r="P16" i="35" s="1"/>
  <c r="P27" i="35"/>
  <c r="P22" i="35"/>
  <c r="O10" i="35"/>
  <c r="P10" i="35" s="1"/>
  <c r="P11" i="35"/>
  <c r="P23" i="35"/>
  <c r="P9" i="35"/>
  <c r="O7" i="35"/>
  <c r="P7" i="35" s="1"/>
  <c r="P24" i="35"/>
  <c r="P6" i="35"/>
  <c r="P14" i="35"/>
  <c r="O13" i="35"/>
  <c r="P38" i="35"/>
  <c r="O4" i="35"/>
  <c r="H37" i="35"/>
  <c r="P39" i="35"/>
  <c r="P5" i="35"/>
  <c r="H4" i="35"/>
  <c r="O37" i="35"/>
  <c r="P13" i="35" l="1"/>
  <c r="P4" i="35"/>
  <c r="P37"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S4" authorId="0" shapeId="0" xr:uid="{1961E463-A899-4DB2-979A-9A49A097BC92}">
      <text>
        <r>
          <rPr>
            <sz val="11"/>
            <color theme="1"/>
            <rFont val="Calibri"/>
            <family val="2"/>
            <scheme val="minor"/>
          </rPr>
          <t>R3PISMU:
R3-2026-001893 - 1st Report</t>
        </r>
      </text>
    </comment>
    <comment ref="AF11" authorId="0" shapeId="0" xr:uid="{9A43576A-9AEC-4B50-9889-1EB44222ED2D}">
      <text>
        <r>
          <rPr>
            <sz val="11"/>
            <color theme="1"/>
            <rFont val="Calibri"/>
            <family val="2"/>
            <scheme val="minor"/>
          </rPr>
          <t>R3PISMU:
But the breakdown was 77.44</t>
        </r>
      </text>
    </comment>
    <comment ref="AF13" authorId="0" shapeId="0" xr:uid="{88B574F0-5883-4786-9243-3BF39E54FFF6}">
      <text>
        <r>
          <rPr>
            <sz val="11"/>
            <color theme="1"/>
            <rFont val="Calibri"/>
            <family val="2"/>
            <scheme val="minor"/>
          </rPr>
          <t>R3PISMU:
Computation is 90.40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R3PISMU</author>
    <author>tc={02C65C32-82B4-433D-AEA5-1461F5F894C0}</author>
    <author>tc={19879D29-9D36-4203-9E62-E03084FB55CC}</author>
    <author>tc={44C08A5F-053E-4BC5-98AD-DC2A4316E70D}</author>
    <author>tc={4609EC34-ADDB-4D53-98FE-7D1B2C57ED65}</author>
    <author>tc={6AB2F66B-4844-4FC5-88CB-477DC57F8BB8}</author>
  </authors>
  <commentList>
    <comment ref="AF3" authorId="0" shapeId="0" xr:uid="{1DEF467B-E570-4A8B-B7D2-2EBCA80B3898}">
      <text>
        <r>
          <rPr>
            <sz val="11"/>
            <color theme="1"/>
            <rFont val="Calibri"/>
            <family val="2"/>
            <scheme val="minor"/>
          </rPr>
          <t>R3PISMU:
Actual Waste Generation</t>
        </r>
      </text>
    </comment>
    <comment ref="C6" authorId="1" shapeId="0" xr:uid="{02C65C32-82B4-433D-AEA5-1461F5F894C0}">
      <text>
        <t>[Threaded comment]
Your version of Excel allows you to read this threaded comment; however, any edits to it will get removed if the file is opened in a newer version of Excel. Learn more: https://go.microsoft.com/fwlink/?linkid=870924
Comment:
    Clustered to South Poblacion</t>
      </text>
    </comment>
    <comment ref="AB6" authorId="0" shapeId="0" xr:uid="{95423B9F-2BCD-4C09-B613-6666842166A7}">
      <text>
        <r>
          <rPr>
            <sz val="11"/>
            <color theme="1"/>
            <rFont val="Calibri"/>
            <family val="2"/>
            <scheme val="minor"/>
          </rPr>
          <t>R3PISMU:
2</t>
        </r>
      </text>
    </comment>
    <comment ref="AB7" authorId="0" shapeId="0" xr:uid="{0C8C2D53-C463-447D-BFEA-930E5C90DE5B}">
      <text>
        <r>
          <rPr>
            <sz val="11"/>
            <color theme="1"/>
            <rFont val="Calibri"/>
            <family val="2"/>
            <scheme val="minor"/>
          </rPr>
          <t xml:space="preserve">R3PISMU:
Technically 2
</t>
        </r>
      </text>
    </comment>
    <comment ref="AB12" authorId="0" shapeId="0" xr:uid="{082B9B18-42D2-4AE1-B08F-37440F19CE24}">
      <text>
        <r>
          <rPr>
            <sz val="11"/>
            <color theme="1"/>
            <rFont val="Calibri"/>
            <family val="2"/>
            <scheme val="minor"/>
          </rPr>
          <t>R3PISMU:
Non-operational</t>
        </r>
      </text>
    </comment>
    <comment ref="C42" authorId="2" shapeId="0" xr:uid="{19879D29-9D36-4203-9E62-E03084FB55CC}">
      <text>
        <t xml:space="preserve">[Threaded comment]
Your version of Excel allows you to read this threaded comment; however, any edits to it will get removed if the file is opened in a newer version of Excel. Learn more: https://go.microsoft.com/fwlink/?linkid=870924
Comment:
    Clustered to Sta Rita
</t>
      </text>
    </comment>
    <comment ref="B66" authorId="3" shapeId="0" xr:uid="{44C08A5F-053E-4BC5-98AD-DC2A4316E70D}">
      <text>
        <t>[Threaded comment]
Your version of Excel allows you to read this threaded comment; however, any edits to it will get removed if the file is opened in a newer version of Excel. Learn more: https://go.microsoft.com/fwlink/?linkid=870924
Comment:
    Returned Funds</t>
      </text>
    </comment>
    <comment ref="C112" authorId="4" shapeId="0" xr:uid="{4609EC34-ADDB-4D53-98FE-7D1B2C57ED65}">
      <text>
        <t>[Threaded comment]
Your version of Excel allows you to read this threaded comment; however, any edits to it will get removed if the file is opened in a newer version of Excel. Learn more: https://go.microsoft.com/fwlink/?linkid=870924
Comment:
    Transferred to Brgy Manglicmot</t>
      </text>
    </comment>
    <comment ref="B113" authorId="5" shapeId="0" xr:uid="{6AB2F66B-4844-4FC5-88CB-477DC57F8BB8}">
      <text>
        <t>[Threaded comment]
Your version of Excel allows you to read this threaded comment; however, any edits to it will get removed if the file is opened in a newer version of Excel. Learn more: https://go.microsoft.com/fwlink/?linkid=870924
Comment:
    Returned Funds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Y65" authorId="0" shapeId="0" xr:uid="{5CF4D6C1-684D-4620-A67C-28A8F5BA337C}">
      <text>
        <r>
          <rPr>
            <sz val="11"/>
            <color theme="1"/>
            <rFont val="Calibri"/>
            <family val="2"/>
            <scheme val="minor"/>
          </rPr>
          <t>R3PISMU:
not functional</t>
        </r>
      </text>
    </comment>
    <comment ref="O95" authorId="0" shapeId="0" xr:uid="{3D3F9107-0562-4B71-85A2-C3F340E7E800}">
      <text>
        <r>
          <rPr>
            <sz val="11"/>
            <color theme="1"/>
            <rFont val="Calibri"/>
            <family val="2"/>
            <scheme val="minor"/>
          </rPr>
          <t>R3PISMU:
Date Monitored based on the report: February 7 and 14, 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AB13" authorId="0" shapeId="0" xr:uid="{947A1924-EA5D-406E-A44D-178D0AF9426C}">
      <text>
        <r>
          <rPr>
            <sz val="11"/>
            <color theme="1"/>
            <rFont val="Calibri"/>
            <family val="2"/>
            <scheme val="minor"/>
          </rPr>
          <t>R3PISMU:
per day</t>
        </r>
      </text>
    </comment>
    <comment ref="C74" authorId="0" shapeId="0" xr:uid="{EB98B646-1D34-4302-9DB5-A82279FDBBEE}">
      <text>
        <r>
          <rPr>
            <sz val="11"/>
            <color theme="1"/>
            <rFont val="Calibri"/>
            <family val="2"/>
            <scheme val="minor"/>
          </rPr>
          <t>R3PISMU:
Pance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M8" authorId="0" shapeId="0" xr:uid="{A19D80AF-D4AF-4C0C-BC3A-9F9C9082A772}">
      <text>
        <r>
          <rPr>
            <sz val="11"/>
            <color theme="1"/>
            <rFont val="Calibri"/>
            <family val="2"/>
            <scheme val="minor"/>
          </rPr>
          <t>R3-2025-021082</t>
        </r>
      </text>
    </comment>
    <comment ref="M9" authorId="0" shapeId="0" xr:uid="{6C2E6C77-B1EC-4D72-9EBF-A4E300BA0875}">
      <text>
        <r>
          <rPr>
            <sz val="11"/>
            <color theme="1"/>
            <rFont val="Calibri"/>
            <family val="2"/>
            <scheme val="minor"/>
          </rPr>
          <t>R3-2025-020811</t>
        </r>
      </text>
    </comment>
    <comment ref="M59" authorId="0" shapeId="0" xr:uid="{559E324C-A5C8-4E48-8EEC-619F90C78F2C}">
      <text>
        <r>
          <rPr>
            <sz val="11"/>
            <color theme="1"/>
            <rFont val="Calibri"/>
            <family val="2"/>
            <scheme val="minor"/>
          </rPr>
          <t>R3PISMU:
R3-2025-018655</t>
        </r>
      </text>
    </comment>
    <comment ref="M60" authorId="0" shapeId="0" xr:uid="{2B03970B-42A4-418E-9289-ED46C5453F0C}">
      <text>
        <r>
          <rPr>
            <sz val="11"/>
            <color theme="1"/>
            <rFont val="Calibri"/>
            <family val="2"/>
            <scheme val="minor"/>
          </rPr>
          <t>R3PISMU:
R3-2025-020104</t>
        </r>
      </text>
    </comment>
    <comment ref="M61" authorId="0" shapeId="0" xr:uid="{E4B981E9-7951-4A6A-9FCC-A0A064B0FEEB}">
      <text>
        <r>
          <rPr>
            <sz val="11"/>
            <color theme="1"/>
            <rFont val="Calibri"/>
            <family val="2"/>
            <scheme val="minor"/>
          </rPr>
          <t>R3PISMU:
R3-2025-020103</t>
        </r>
      </text>
    </comment>
    <comment ref="M79" authorId="0" shapeId="0" xr:uid="{3EA0A26D-9D23-4A53-8F63-9D16E72DE2A1}">
      <text>
        <r>
          <rPr>
            <sz val="11"/>
            <color theme="1"/>
            <rFont val="Calibri"/>
            <family val="2"/>
            <scheme val="minor"/>
          </rPr>
          <t>R3PISMU:
R3-2025-018802</t>
        </r>
      </text>
    </comment>
    <comment ref="M80" authorId="0" shapeId="0" xr:uid="{7906A6D7-B965-4DC9-B1D4-0099832FC2A6}">
      <text>
        <r>
          <rPr>
            <sz val="11"/>
            <color theme="1"/>
            <rFont val="Calibri"/>
            <family val="2"/>
            <scheme val="minor"/>
          </rPr>
          <t>R3PISMU:
R3-2025-018803</t>
        </r>
      </text>
    </comment>
    <comment ref="M81" authorId="0" shapeId="0" xr:uid="{3EF33574-B3FE-4523-B2B5-D702113D521A}">
      <text>
        <r>
          <rPr>
            <sz val="11"/>
            <color theme="1"/>
            <rFont val="Calibri"/>
            <family val="2"/>
            <scheme val="minor"/>
          </rPr>
          <t>R3PISMU:
R3-2025-018900</t>
        </r>
      </text>
    </comment>
    <comment ref="M82" authorId="0" shapeId="0" xr:uid="{4AE1479E-C404-4DCA-943D-C35061866EDD}">
      <text>
        <r>
          <rPr>
            <sz val="11"/>
            <color theme="1"/>
            <rFont val="Calibri"/>
            <family val="2"/>
            <scheme val="minor"/>
          </rPr>
          <t>R3PISMU:
R3-2025-019422</t>
        </r>
      </text>
    </comment>
    <comment ref="M91" authorId="0" shapeId="0" xr:uid="{44B4A92E-D85F-423F-97A4-63DAE39BF63B}">
      <text>
        <r>
          <rPr>
            <sz val="11"/>
            <color theme="1"/>
            <rFont val="Calibri"/>
            <family val="2"/>
            <scheme val="minor"/>
          </rPr>
          <t xml:space="preserve">R3-2025-005295
</t>
        </r>
      </text>
    </comment>
    <comment ref="M103" authorId="0" shapeId="0" xr:uid="{3DA0E0A1-DAFC-460A-9CEC-66E000222390}">
      <text>
        <r>
          <rPr>
            <sz val="11"/>
            <color theme="1"/>
            <rFont val="Calibri"/>
            <family val="2"/>
            <scheme val="minor"/>
          </rPr>
          <t>R3-2025-021080</t>
        </r>
      </text>
    </comment>
    <comment ref="M110" authorId="0" shapeId="0" xr:uid="{5FBD74AC-0F8E-44CD-B3C9-08868FC72189}">
      <text>
        <r>
          <rPr>
            <sz val="11"/>
            <color theme="1"/>
            <rFont val="Calibri"/>
            <family val="2"/>
            <scheme val="minor"/>
          </rPr>
          <t>R3PISMU:
R3-2025-019424</t>
        </r>
      </text>
    </comment>
    <comment ref="M115" authorId="0" shapeId="0" xr:uid="{2BFC5209-3CF0-4E9A-8933-720EF7AEA153}">
      <text>
        <r>
          <rPr>
            <sz val="11"/>
            <color theme="1"/>
            <rFont val="Calibri"/>
            <family val="2"/>
            <scheme val="minor"/>
          </rPr>
          <t xml:space="preserve">R3-2025-020812
</t>
        </r>
      </text>
    </comment>
    <comment ref="M116" authorId="0" shapeId="0" xr:uid="{455E737C-FDFC-4B3F-AC48-04D42C8227C2}">
      <text>
        <r>
          <rPr>
            <sz val="11"/>
            <color theme="1"/>
            <rFont val="Calibri"/>
            <family val="2"/>
            <scheme val="minor"/>
          </rPr>
          <t xml:space="preserve">R3-2025-020815
</t>
        </r>
      </text>
    </comment>
    <comment ref="M125" authorId="0" shapeId="0" xr:uid="{84AE60C0-D5BC-453E-882B-CC1C54EBBDD9}">
      <text>
        <r>
          <rPr>
            <sz val="11"/>
            <color theme="1"/>
            <rFont val="Calibri"/>
            <family val="2"/>
            <scheme val="minor"/>
          </rPr>
          <t>R3-2025-018652</t>
        </r>
      </text>
    </comment>
    <comment ref="M134" authorId="0" shapeId="0" xr:uid="{23D8A61F-1C9E-49F3-8EB4-4D56ACB78E99}">
      <text>
        <r>
          <rPr>
            <sz val="11"/>
            <color theme="1"/>
            <rFont val="Calibri"/>
            <family val="2"/>
            <scheme val="minor"/>
          </rPr>
          <t>R3-2025-021081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C7" authorId="0" shapeId="0" xr:uid="{9F6FBA9E-0BA1-48A7-A784-AA5D14F6850F}">
      <text>
        <r>
          <rPr>
            <sz val="11"/>
            <color theme="1"/>
            <rFont val="Calibri"/>
            <family val="2"/>
            <scheme val="minor"/>
          </rPr>
          <t>R3PISMU:
PROVINCIAL CAPITOL, CAPITOL DRIVE, 2100, CITY OF BALANGA, BATAAN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AC11" authorId="0" shapeId="0" xr:uid="{83690DF2-C86C-4D3D-96D3-0A718CE6B674}">
      <text>
        <r>
          <rPr>
            <sz val="11"/>
            <color theme="1"/>
            <rFont val="Calibri"/>
            <family val="2"/>
            <scheme val="minor"/>
          </rPr>
          <t>R3PISMU:
Florida Blanca Enviro Corp</t>
        </r>
      </text>
    </comment>
    <comment ref="AD16" authorId="0" shapeId="0" xr:uid="{CF49B53C-59F1-4BD3-A6C3-003BC143ADC9}">
      <text>
        <r>
          <rPr>
            <sz val="11"/>
            <color theme="1"/>
            <rFont val="Calibri"/>
            <family val="2"/>
            <scheme val="minor"/>
          </rPr>
          <t>R3PISMU:
residual waste to be disposed at Florida Enviro Corp. SLF</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Holidays_Suspensions" description="Connection to the 'Holidays_Suspensions' query in the workbook." type="5" refreshedVersion="8" background="1" saveData="1">
    <dbPr connection="Provider=Microsoft.Mashup.OleDb.1;Data Source=$Workbook$;Location=Holidays_Suspensions;Extended Properties=&quot;&quot;" command="SELECT * FROM [Holidays_Suspensions]"/>
  </connection>
</connections>
</file>

<file path=xl/sharedStrings.xml><?xml version="1.0" encoding="utf-8"?>
<sst xmlns="http://schemas.openxmlformats.org/spreadsheetml/2006/main" count="52196" uniqueCount="6420">
  <si>
    <t>No.</t>
  </si>
  <si>
    <t>PROVINCE</t>
  </si>
  <si>
    <t>ENMO</t>
  </si>
  <si>
    <t>10 Year Plan</t>
  </si>
  <si>
    <t>MRF</t>
  </si>
  <si>
    <t>Equipment</t>
  </si>
  <si>
    <t>ODS</t>
  </si>
  <si>
    <t>SLF</t>
  </si>
  <si>
    <t>Transfer Station</t>
  </si>
  <si>
    <t>RCA</t>
  </si>
  <si>
    <t>Trash Trap</t>
  </si>
  <si>
    <t>Preliminary Disinpection Facility</t>
  </si>
  <si>
    <t>AURORA</t>
  </si>
  <si>
    <t>Zaila Mae R. Leander</t>
  </si>
  <si>
    <t>Nikko Jay M. Valenzuela</t>
  </si>
  <si>
    <t>Queenyvel R. Laguisma</t>
  </si>
  <si>
    <t>BATAAN</t>
  </si>
  <si>
    <t>Dennis G. Tolentino</t>
  </si>
  <si>
    <t>John-lester C. Signio</t>
  </si>
  <si>
    <t>Laurence Radasa</t>
  </si>
  <si>
    <t>BULACAN</t>
  </si>
  <si>
    <t>Jasmine Marie J. Nicolas</t>
  </si>
  <si>
    <t>Ronaldo P. Roque Jr.</t>
  </si>
  <si>
    <t>Vacant</t>
  </si>
  <si>
    <t>James Wilson T.  Peña</t>
  </si>
  <si>
    <t>NUEVA ECIJA</t>
  </si>
  <si>
    <t>Hosannah R. Sabio</t>
  </si>
  <si>
    <t>Gem C.  Vicencio</t>
  </si>
  <si>
    <t>Jan Emerson C. Gonzales</t>
  </si>
  <si>
    <t>Aser A. Inocencio, Jr.</t>
  </si>
  <si>
    <t>Christine Ann V. Ramos</t>
  </si>
  <si>
    <t>PAMPANGA</t>
  </si>
  <si>
    <t>Roger T. Encarnacion II</t>
  </si>
  <si>
    <t>Elyza A. Evilla</t>
  </si>
  <si>
    <t>Glaiza S.Gaza</t>
  </si>
  <si>
    <t>Ivy M. Castro</t>
  </si>
  <si>
    <t>TARLAC</t>
  </si>
  <si>
    <t>Joshua A. Capones</t>
  </si>
  <si>
    <t>Jasper Kieht B. Pili</t>
  </si>
  <si>
    <t>Gretzhen M. Apolonio</t>
  </si>
  <si>
    <t>ZAMBALES</t>
  </si>
  <si>
    <t>Larizze A. Santos</t>
  </si>
  <si>
    <t>Ryan Ace R. Angel</t>
  </si>
  <si>
    <t>Target Month</t>
  </si>
  <si>
    <t>Province</t>
  </si>
  <si>
    <t>3.March</t>
  </si>
  <si>
    <t>Grand Total</t>
  </si>
  <si>
    <t>Aurora</t>
  </si>
  <si>
    <t>Bataan</t>
  </si>
  <si>
    <t>Bulacan</t>
  </si>
  <si>
    <t>Nueva Ecija</t>
  </si>
  <si>
    <t>Pampanga</t>
  </si>
  <si>
    <t>Tarlac</t>
  </si>
  <si>
    <t>Zambales</t>
  </si>
  <si>
    <t>FUNDED MRF</t>
  </si>
  <si>
    <t>Sanitary landfill</t>
  </si>
  <si>
    <t>Open Dumpsite</t>
  </si>
  <si>
    <t>4.April</t>
  </si>
  <si>
    <t>(blank)</t>
  </si>
  <si>
    <t>Funded Equipment</t>
  </si>
  <si>
    <t>LGU Intiated MRF</t>
  </si>
  <si>
    <t>Transfer Stations</t>
  </si>
  <si>
    <t>2.February</t>
  </si>
  <si>
    <t>5.May</t>
  </si>
  <si>
    <t>6.June</t>
  </si>
  <si>
    <t>Nueva_Ecija</t>
  </si>
  <si>
    <t>PDSF</t>
  </si>
  <si>
    <t xml:space="preserve">
Target Month</t>
  </si>
  <si>
    <t>Trashtrap</t>
  </si>
  <si>
    <t>7.July</t>
  </si>
  <si>
    <t>8.August</t>
  </si>
  <si>
    <t>9.September</t>
  </si>
  <si>
    <t>10.October</t>
  </si>
  <si>
    <t>Barangay Technical Assistance</t>
  </si>
  <si>
    <t>January</t>
  </si>
  <si>
    <t>February</t>
  </si>
  <si>
    <t>March</t>
  </si>
  <si>
    <t>April</t>
  </si>
  <si>
    <t>May</t>
  </si>
  <si>
    <t>June</t>
  </si>
  <si>
    <t>July</t>
  </si>
  <si>
    <t>August</t>
  </si>
  <si>
    <t>September</t>
  </si>
  <si>
    <t>October</t>
  </si>
  <si>
    <t>November</t>
  </si>
  <si>
    <t>December</t>
  </si>
  <si>
    <t>TOTAL</t>
  </si>
  <si>
    <t>Target</t>
  </si>
  <si>
    <t>MBA</t>
  </si>
  <si>
    <t>OUTSIDE MBA</t>
  </si>
  <si>
    <t>LGU ASST. TO WASTE DIVERSION</t>
  </si>
  <si>
    <t>TARGET MONTH</t>
  </si>
  <si>
    <t>1.January</t>
  </si>
  <si>
    <t>Count of Target Month</t>
  </si>
  <si>
    <t>Type of Plan</t>
  </si>
  <si>
    <t>EQUIPEMENT</t>
  </si>
  <si>
    <t>PDS</t>
  </si>
  <si>
    <t>TRASH TRAP</t>
  </si>
  <si>
    <t>TRANSFER STATION</t>
  </si>
  <si>
    <t>Municipal / City Plan</t>
  </si>
  <si>
    <t>YES</t>
  </si>
  <si>
    <t>OPERATIONAL</t>
  </si>
  <si>
    <t>FULLY REHABILITATED</t>
  </si>
  <si>
    <t>COMPLIANT</t>
  </si>
  <si>
    <t>FACILITY</t>
  </si>
  <si>
    <t>LGU</t>
  </si>
  <si>
    <t>Provincial Plan</t>
  </si>
  <si>
    <t>NO</t>
  </si>
  <si>
    <t>NON-OPERATIONAL</t>
  </si>
  <si>
    <t>PARTIAL REHABILITATED</t>
  </si>
  <si>
    <t>NOT COMPLIANT</t>
  </si>
  <si>
    <t>BIN</t>
  </si>
  <si>
    <t>PRIVATE OWNERSHIP</t>
  </si>
  <si>
    <t>UNDER CONSTRUCTION</t>
  </si>
  <si>
    <t>PLANNING TO TRANSFER</t>
  </si>
  <si>
    <t>NOT YET REHABILITATED</t>
  </si>
  <si>
    <t>OPERATING AS OPEN DUMPSITE</t>
  </si>
  <si>
    <t>PLANNING TO RETURN</t>
  </si>
  <si>
    <t>OTHER</t>
  </si>
  <si>
    <t>Type of MRF</t>
  </si>
  <si>
    <t>N/A</t>
  </si>
  <si>
    <t>EMB FUNDED MRF</t>
  </si>
  <si>
    <t>EMB FUNDED BRGY MRF</t>
  </si>
  <si>
    <t>LGU FUNDED MRF</t>
  </si>
  <si>
    <t>LIST OF ENMO</t>
  </si>
  <si>
    <t>ESWM STAFF</t>
  </si>
  <si>
    <t>ESWM FOCAL</t>
  </si>
  <si>
    <t>Maria Cecilia S. Pascual</t>
  </si>
  <si>
    <t>Diozelle L. Cabalar</t>
  </si>
  <si>
    <t>Christle D. David</t>
  </si>
  <si>
    <t>Zosimo P. Suyat</t>
  </si>
  <si>
    <t xml:space="preserve"> Sherwin John Y. Loquellano</t>
  </si>
  <si>
    <t>John-Lester C. Signio</t>
  </si>
  <si>
    <t>Jun D. Guillermo</t>
  </si>
  <si>
    <t>Ronaldo P. Roque Jr</t>
  </si>
  <si>
    <t>Jasmin Marie N. Siapco</t>
  </si>
  <si>
    <t>James Wilson T. Peña</t>
  </si>
  <si>
    <t>11.November</t>
  </si>
  <si>
    <t>Aser A. Inocencio Jr.</t>
  </si>
  <si>
    <t>12.December</t>
  </si>
  <si>
    <t>Gem C. Vicencio</t>
  </si>
  <si>
    <t>Christian Jem L. Buluran</t>
  </si>
  <si>
    <t>Glaiza S. Gaza</t>
  </si>
  <si>
    <t>Gretzhen A. Collado</t>
  </si>
  <si>
    <t>Larizze Anne A. Santos</t>
  </si>
  <si>
    <t>Sebastian Josh V.  Manalang</t>
  </si>
  <si>
    <t>Monitoring of Approved 10 Year Plan</t>
  </si>
  <si>
    <t>Based on WFP 2026 Target is 126</t>
  </si>
  <si>
    <t>Approved Plan is 126 LGU and 4 Province</t>
  </si>
  <si>
    <t>EMB Funded MRF</t>
  </si>
  <si>
    <t>Removal of Duplicate EMB Funded MRF of Brgy Binuangan Obando Bulacan 2017</t>
  </si>
  <si>
    <t>Concerned regarding the status of the Funded MRF that has remarks of unsed/demolished/transform to another facility and closed due to land ownership</t>
  </si>
  <si>
    <t>MCWMC Removal to Monitoring Target</t>
  </si>
  <si>
    <t>Brgy Technical Assistance</t>
  </si>
  <si>
    <t>Based on  WFP 2026 Target is 1,677</t>
  </si>
  <si>
    <t>The number barangay that are not monitored is 1,248 only</t>
  </si>
  <si>
    <t>Removal of the TS that was monitored as component of Central MRF</t>
  </si>
  <si>
    <t>Removal of the RCA that was monitored as component of Central MRF</t>
  </si>
  <si>
    <t>Municipality</t>
  </si>
  <si>
    <t>Concatenate</t>
  </si>
  <si>
    <t>Manila Bay Area (MBA)</t>
  </si>
  <si>
    <t>Congressional District</t>
  </si>
  <si>
    <t>Long.</t>
  </si>
  <si>
    <t>Lat.</t>
  </si>
  <si>
    <t>Location</t>
  </si>
  <si>
    <t>Type of SWM Plan</t>
  </si>
  <si>
    <t xml:space="preserve">Resolution No. </t>
  </si>
  <si>
    <t>Period Covered</t>
  </si>
  <si>
    <t>Year Approved</t>
  </si>
  <si>
    <t>End Period</t>
  </si>
  <si>
    <t>For Renewal</t>
  </si>
  <si>
    <t>ENMO Assigned</t>
  </si>
  <si>
    <t>ESWM Staff</t>
  </si>
  <si>
    <t>Focal Person</t>
  </si>
  <si>
    <t>IIS NUMBER</t>
  </si>
  <si>
    <t>Date of Monitoring</t>
  </si>
  <si>
    <t>Date Report Prepared (Submitted to IIS by ENMO)</t>
  </si>
  <si>
    <t>Date Report Reviewed (by ESWM Staff)</t>
  </si>
  <si>
    <t>Date Report Reviewed (by Focal Person)</t>
  </si>
  <si>
    <t>Date Report Approved</t>
  </si>
  <si>
    <t>Total No. of Days (Report prepared)</t>
  </si>
  <si>
    <t>Total No. of Days (Report Reviewed by ESWM Staff)</t>
  </si>
  <si>
    <t>Total No. of Days (Report Reviewed by Focal)</t>
  </si>
  <si>
    <t>Total No. of Days (Report Approved by C, ESWM)</t>
  </si>
  <si>
    <t>Tracking of Reports
(To be filled out by Planning Section)</t>
  </si>
  <si>
    <t>PCG</t>
  </si>
  <si>
    <t>Total Waste Generation</t>
  </si>
  <si>
    <t>Waste Diversion Rate (%)</t>
  </si>
  <si>
    <t>LGU Final Disposal</t>
  </si>
  <si>
    <t>Remarks and Recommendation
(Compliant/ Non-Compliant)</t>
  </si>
  <si>
    <t>a. source reduction activities at source are present</t>
  </si>
  <si>
    <t>b. Collection segregated collection</t>
  </si>
  <si>
    <t>c. Storage and setout (Segregation at source)</t>
  </si>
  <si>
    <t>d. Processing MRF</t>
  </si>
  <si>
    <t>e. Transfer Station</t>
  </si>
  <si>
    <t>f. Disposal Facilities</t>
  </si>
  <si>
    <t>Advise Letter/Notice Date Issued</t>
  </si>
  <si>
    <t>Compliance to Advise/ Letter Issued</t>
  </si>
  <si>
    <t>Remarks</t>
  </si>
  <si>
    <t>Biodegradable Wastes (kg/day)</t>
  </si>
  <si>
    <t>Bio (%)</t>
  </si>
  <si>
    <t>Recyclable Wastes (kg/day)</t>
  </si>
  <si>
    <t>Recyclable (%)</t>
  </si>
  <si>
    <t>Residual with
potential (kg/day)</t>
  </si>
  <si>
    <t>Residual with Potential (%)</t>
  </si>
  <si>
    <t>Residual Wastes for Disposal (kg/day)</t>
  </si>
  <si>
    <t>Residual (%)</t>
  </si>
  <si>
    <t>Special Wastes
(kg/day)</t>
  </si>
  <si>
    <t>Special (%)</t>
  </si>
  <si>
    <t>Waste Diversion
Rate (%)</t>
  </si>
  <si>
    <t>Disposal
Rate (%)</t>
  </si>
  <si>
    <t>Signed Document</t>
  </si>
  <si>
    <t>Dinalupihan</t>
  </si>
  <si>
    <t>3rd</t>
  </si>
  <si>
    <t>NSWMC Resoution No. 149-A, Series of 2025</t>
  </si>
  <si>
    <t>2025-2034</t>
  </si>
  <si>
    <t>Approved</t>
  </si>
  <si>
    <t>John-lester Signio</t>
  </si>
  <si>
    <t>R3-2026-000641</t>
  </si>
  <si>
    <t>Marshalle Julluice V. Catua</t>
  </si>
  <si>
    <t>Floridablanca Enviro Corporation</t>
  </si>
  <si>
    <t>Compliant</t>
  </si>
  <si>
    <t>https://embco-my.sharepoint.com/:w:/g/personal/eswmr3_emb_gov_ph/IQD7bEqKn0GsTI_TzqPuNDVXAc0qXRdO4blA_DzluhQNwt8?e=94dpdL</t>
  </si>
  <si>
    <t>Marilao</t>
  </si>
  <si>
    <t>4th</t>
  </si>
  <si>
    <t>No.1427 Series of 2020</t>
  </si>
  <si>
    <t>2019 - 2029</t>
  </si>
  <si>
    <t>James Wilson T. Pena</t>
  </si>
  <si>
    <t>R3-2026-001826</t>
  </si>
  <si>
    <t>Eco Protect Management Corp.</t>
  </si>
  <si>
    <t>https://embco-my.sharepoint.com/:w:/g/personal/eswmr3_emb_gov_ph/IQA5WfPi4zdFQrvzvXbj5kDRAVPSzQ2YO7TZTs8ks-501do?e=sPDram</t>
  </si>
  <si>
    <t>City Of Cabanatuan</t>
  </si>
  <si>
    <t>NSWMC RESO NO. 1513 SERIES OF 2022</t>
  </si>
  <si>
    <t>2020 - 2029</t>
  </si>
  <si>
    <t>R3-2026-002129</t>
  </si>
  <si>
    <t>Primewaste Solution Inc</t>
  </si>
  <si>
    <t>https://embco-my.sharepoint.com/:w:/g/personal/eswmr3_emb_gov_ph/IQDdVVBMJoeaS6SuKSU2xPh7Af_OFDLpkLTua37NCNLCOR4?e=EmbUDA</t>
  </si>
  <si>
    <t>City Of San Fernando</t>
  </si>
  <si>
    <t>167A series 2025</t>
  </si>
  <si>
    <t>Sherwin John Y. Loquellano</t>
  </si>
  <si>
    <t>R3-2026-001245</t>
  </si>
  <si>
    <t>https://embco-my.sharepoint.com/:w:/g/personal/eswmr3_emb_gov_ph/IQCyadJTiBCdTraSzEK4FCgcAaqdsntGbrIKiw5WLFauhOQ?e=vL0aPp</t>
  </si>
  <si>
    <t>City Of Olongapo</t>
  </si>
  <si>
    <t>1st</t>
  </si>
  <si>
    <t>NSWMC Resolution No. 1639, Series of 2023</t>
  </si>
  <si>
    <t>2023 - 2032</t>
  </si>
  <si>
    <t>Larizze Ann A. Santos</t>
  </si>
  <si>
    <t>R3-2026-001347</t>
  </si>
  <si>
    <t>LGU Owned SLF</t>
  </si>
  <si>
    <t>https://embco-my.sharepoint.com/:w:/g/personal/eswmr3_emb_gov_ph/IQCq3Z8yK6pDRY7xfHsHb-yrAfdaJkvE8BTLGFYFPAFowPU?e=OG5PVQ</t>
  </si>
  <si>
    <t>Concepcion</t>
  </si>
  <si>
    <t>NSWMC RESO NO. 1404SERIES OF 2020</t>
  </si>
  <si>
    <t>2018 - 2027</t>
  </si>
  <si>
    <t>R3-2026-001299</t>
  </si>
  <si>
    <t xml:space="preserve">88, 316 </t>
  </si>
  <si>
    <t xml:space="preserve">International Solid Waste Integrated Management Specialist Inc. </t>
  </si>
  <si>
    <t xml:space="preserve">56, 725.53 </t>
  </si>
  <si>
    <t>https://embco-my.sharepoint.com/:w:/g/personal/eswmr3_emb_gov_ph/IQAoXqD_P-YDQoQvY1444AYSAcRHbghpemlxV3Ql5FKXax8?e=jvcigM</t>
  </si>
  <si>
    <t>Maria Aurora</t>
  </si>
  <si>
    <t>Lone</t>
  </si>
  <si>
    <t>NSWMC Resolution No. 139, Series of 2015</t>
  </si>
  <si>
    <t>2015 - 2024</t>
  </si>
  <si>
    <t>R3-2026-004094</t>
  </si>
  <si>
    <t>Maria Aurora SLF</t>
  </si>
  <si>
    <t>https://embco-my.sharepoint.com/:w:/g/personal/eswmr3_emb_gov_ph/IQBIG2IIMgPxTo3UTdguNmkXAY9AMq8I2bvdPXit5HIiqhw?e=ukKJuY</t>
  </si>
  <si>
    <t>Bagac</t>
  </si>
  <si>
    <t>975 SERIES OF 2017</t>
  </si>
  <si>
    <t>R3-2026-004255</t>
  </si>
  <si>
    <t>Eco Protect Management Corporation
Floridablanca Enviro Corporation</t>
  </si>
  <si>
    <t>https://embco-my.sharepoint.com/:w:/g/personal/eswmr3_emb_gov_ph/IQBQM3HpC3GtQLTiWy-TFxP4AZLt3PRtwRxxBpO5-qYEMhk?e=W0qafE</t>
  </si>
  <si>
    <t>City Of Balanga</t>
  </si>
  <si>
    <t>2nd</t>
  </si>
  <si>
    <t>482-A series of 2025</t>
  </si>
  <si>
    <t>Dennis Tolentino</t>
  </si>
  <si>
    <t>R3-2026-002980</t>
  </si>
  <si>
    <t>BEST</t>
  </si>
  <si>
    <t>https://embco-my.sharepoint.com/:w:/g/personal/eswmr3_emb_gov_ph/IQAgMCluM58-SqQi5zpZbqF0AXvustCA0W3GmUhPUmg582k?e=gilkhF</t>
  </si>
  <si>
    <t>City Of Meycauayan</t>
  </si>
  <si>
    <t>NSWMC RESO NO. 1326 SERIES OF 2019</t>
  </si>
  <si>
    <t>2018 -2028</t>
  </si>
  <si>
    <t>R3-2026-005241</t>
  </si>
  <si>
    <t>Retuned to Focal</t>
  </si>
  <si>
    <t>ISWIMS SLF, Montalban, Rizal</t>
  </si>
  <si>
    <t>https://embco-my.sharepoint.com/:w:/g/personal/eswmr3_emb_gov_ph/IQCAVxiIc-99TaOdfKCj2l4zAQKMPl3igA2xNSpjL7qjuWg?e=bJ3gJI</t>
  </si>
  <si>
    <t>Plaridel</t>
  </si>
  <si>
    <t>157-A Series of 2025</t>
  </si>
  <si>
    <t>R3-2026-003662</t>
  </si>
  <si>
    <t>Eco Protect Management Corporation</t>
  </si>
  <si>
    <t>https://embco-my.sharepoint.com/:w:/g/personal/eswmr3_emb_gov_ph/IQAHn3vp5f4nQrQ43iUpqvvmAU99LfYW1ONFGthYz21oHfE?e=hWfGHC</t>
  </si>
  <si>
    <t>Gen. Natividad</t>
  </si>
  <si>
    <t>1076 series 2018</t>
  </si>
  <si>
    <t>2017 - 2027</t>
  </si>
  <si>
    <t>R3-2026-005353</t>
  </si>
  <si>
    <t>Prime Waste Solution</t>
  </si>
  <si>
    <t>https://embco-my.sharepoint.com/:w:/g/personal/eswmr3_emb_gov_ph/IQB2HswZFbenQJlrQ5OvuLOhAUT0Ob9KeuZppjA1rXhA2X4?e=0xDsQ8</t>
  </si>
  <si>
    <t>Lupao</t>
  </si>
  <si>
    <t>1065 Series of 2018</t>
  </si>
  <si>
    <t>2017 - 2026</t>
  </si>
  <si>
    <t>R3-2026-005457</t>
  </si>
  <si>
    <t>Metro Waste Solid Waste Management Corporation</t>
  </si>
  <si>
    <t>https://embco-my.sharepoint.com/:w:/g/personal/eswmr3_emb_gov_ph/IQCwaDpqubn3TYH_bx42jlxwAVkivze19aAPwXpraCl-68g?e=uTdsI3</t>
  </si>
  <si>
    <t>San Antonio_N</t>
  </si>
  <si>
    <t>NSWMC RESO NO. 1490 SERIES OF 2021</t>
  </si>
  <si>
    <t>R3-2026-004721</t>
  </si>
  <si>
    <t>Urdaneta Waste Management</t>
  </si>
  <si>
    <t>https://embco-my.sharepoint.com/:w:/g/personal/eswmr3_emb_gov_ph/IQDp0hTYADdoS5Hr2gs2pslnATByESpmqmHy-VmQpc7i-Yo?e=oS6hRb</t>
  </si>
  <si>
    <t>City Of Angeles</t>
  </si>
  <si>
    <t>NSWMC RESO NO. 196 SERIES OF 2015</t>
  </si>
  <si>
    <t>R3-2026-005383</t>
  </si>
  <si>
    <t>Eco Protect Management Corp</t>
  </si>
  <si>
    <t>Non Compliant</t>
  </si>
  <si>
    <t>https://embco-my.sharepoint.com/:w:/g/personal/eswmr3_emb_gov_ph/IQCOPFe6Yq9yQq33emuhsx8bAXsrfWBFLLqp4Xok8WBmUNk?e=SqsoGj</t>
  </si>
  <si>
    <t>Masantol</t>
  </si>
  <si>
    <t>1028-A series of 2019</t>
  </si>
  <si>
    <t>2014 - 2024</t>
  </si>
  <si>
    <t>R3-2026-005179</t>
  </si>
  <si>
    <t xml:space="preserve">Floridablanca Enviro Corp. </t>
  </si>
  <si>
    <t>https://embco-my.sharepoint.com/:w:/g/personal/eswmr3_emb_gov_ph/IQCCMRVJHkFtTpBAW4auNqw0AeoYIbp0vUlDQI8y7u51Nu0?e=hpwmc6</t>
  </si>
  <si>
    <t>La Paz</t>
  </si>
  <si>
    <t>141, series of 2015</t>
  </si>
  <si>
    <t>2014 - 2023</t>
  </si>
  <si>
    <t>R3-2026-005180</t>
  </si>
  <si>
    <t>MAA Integrated Solid Waste Management Corporation</t>
  </si>
  <si>
    <t>https://embco-my.sharepoint.com/:w:/g/personal/eswmr3_emb_gov_ph/IQC2wZmNbmAaQLYiw7lc9fm5AR_UaEKllCj6-Vb4kUh389w?e=zQb5xZ</t>
  </si>
  <si>
    <t>Moncada</t>
  </si>
  <si>
    <t>NSWMC Resolution No. 237-A</t>
  </si>
  <si>
    <t>2025 - 2034</t>
  </si>
  <si>
    <t>R3-2026-003829</t>
  </si>
  <si>
    <t>https://embco-my.sharepoint.com/:w:/g/personal/eswmr3_emb_gov_ph/IQDbaHxfL6VJR4M9sCxscKgRAQPjPXK81XVQK8jD1sItViE?e=DMh4KK</t>
  </si>
  <si>
    <t>Botolan</t>
  </si>
  <si>
    <t>No. 1415 Series of 2020</t>
  </si>
  <si>
    <t>R3-2026-005273</t>
  </si>
  <si>
    <t>Greentech Total Environmental Solutions Incorporated</t>
  </si>
  <si>
    <t>https://embco-my.sharepoint.com/:w:/g/personal/eswmr3_emb_gov_ph/IQAACyXLumaqTYjQ7zLIUiv6AZWa4r6suKpCoYEUceqSB7U?e=QgYsgA</t>
  </si>
  <si>
    <t>Casiguran</t>
  </si>
  <si>
    <t>Queenyvel Laguisma</t>
  </si>
  <si>
    <t>Mariveles</t>
  </si>
  <si>
    <t>483 SERIES 2016</t>
  </si>
  <si>
    <t>2016 - 2025</t>
  </si>
  <si>
    <t>R3-2026-006188</t>
  </si>
  <si>
    <t>City Of San Jose Del Monte</t>
  </si>
  <si>
    <t>197 Series of 2015</t>
  </si>
  <si>
    <t>Hagonoy</t>
  </si>
  <si>
    <t>499A</t>
  </si>
  <si>
    <t>Ronaldo P. Roque, Jr.</t>
  </si>
  <si>
    <t>Jaen</t>
  </si>
  <si>
    <t>760 Series of 2016</t>
  </si>
  <si>
    <t>Laur</t>
  </si>
  <si>
    <t>Peñaranda</t>
  </si>
  <si>
    <t>1357, Series of 2019</t>
  </si>
  <si>
    <t xml:space="preserve">	R3-2026-007119</t>
  </si>
  <si>
    <t>Apalit</t>
  </si>
  <si>
    <t>Candaba</t>
  </si>
  <si>
    <t>240 series of 2015</t>
  </si>
  <si>
    <t>Guagua</t>
  </si>
  <si>
    <t>San Marcelino</t>
  </si>
  <si>
    <t xml:space="preserve">R3-2026-008553 </t>
  </si>
  <si>
    <t>San Manuel</t>
  </si>
  <si>
    <t>Resolution No. 1604, Series of 2023</t>
  </si>
  <si>
    <t>2022 - 2031</t>
  </si>
  <si>
    <t>Victoria</t>
  </si>
  <si>
    <t>NSWMC RESO NO. 116 SERIES OF 2015</t>
  </si>
  <si>
    <t>2015 - 2025</t>
  </si>
  <si>
    <t>R3-2026-007696</t>
  </si>
  <si>
    <t>M.A.A. Integrated Waset Solutions Corp.</t>
  </si>
  <si>
    <t xml:space="preserve">21.62 %, </t>
  </si>
  <si>
    <t>Bamban</t>
  </si>
  <si>
    <t>2016 - 2027</t>
  </si>
  <si>
    <t>Camiling</t>
  </si>
  <si>
    <t>1090 series of 2018</t>
  </si>
  <si>
    <t>Baler</t>
  </si>
  <si>
    <t>859 series of 2018</t>
  </si>
  <si>
    <t>Zaila Mae Leander</t>
  </si>
  <si>
    <t>Orion</t>
  </si>
  <si>
    <t>nswmc res.974 s2017</t>
  </si>
  <si>
    <t>Doña Remedios Trinidad</t>
  </si>
  <si>
    <t>774 A series of 2017</t>
  </si>
  <si>
    <t>VACANT</t>
  </si>
  <si>
    <t>San Rafael</t>
  </si>
  <si>
    <t>NSWMC RESO NO. 168 SERIES OF 2015</t>
  </si>
  <si>
    <t>Santa Maria</t>
  </si>
  <si>
    <t>6th</t>
  </si>
  <si>
    <t>201 s.2015</t>
  </si>
  <si>
    <t>Aliaga</t>
  </si>
  <si>
    <t>Bongabon</t>
  </si>
  <si>
    <t>1075 series 2018</t>
  </si>
  <si>
    <t>Gabaldon</t>
  </si>
  <si>
    <t>1246 series of 2019</t>
  </si>
  <si>
    <t>San Jose City</t>
  </si>
  <si>
    <t>Arayat</t>
  </si>
  <si>
    <t>1038-A Series of 2019</t>
  </si>
  <si>
    <t>2017 -2028</t>
  </si>
  <si>
    <t>Minalin</t>
  </si>
  <si>
    <t>763 s. 2016</t>
  </si>
  <si>
    <t>Sasmuan</t>
  </si>
  <si>
    <t>NSWMC RESO NO. 1332 SERIES OF 2019</t>
  </si>
  <si>
    <t>2017 - 2028</t>
  </si>
  <si>
    <t>Castillejos</t>
  </si>
  <si>
    <t>No.1414 Series of 2020</t>
  </si>
  <si>
    <t>Pilar</t>
  </si>
  <si>
    <t>NSWMC Res. No. 138 s. 2015</t>
  </si>
  <si>
    <t>Balagtas</t>
  </si>
  <si>
    <t>5th</t>
  </si>
  <si>
    <t>1179 Series of 2018</t>
  </si>
  <si>
    <t>Bulakan</t>
  </si>
  <si>
    <t>City Of Baliwag</t>
  </si>
  <si>
    <t>653 A Series of 2018</t>
  </si>
  <si>
    <t>Cabiao</t>
  </si>
  <si>
    <t>1365 series of 2019</t>
  </si>
  <si>
    <t>Carranglan</t>
  </si>
  <si>
    <t>Quezon</t>
  </si>
  <si>
    <t>1086 series of 2018</t>
  </si>
  <si>
    <t>Science City Of Muñoz</t>
  </si>
  <si>
    <t>1085 s. 2018</t>
  </si>
  <si>
    <t>Bacolor</t>
  </si>
  <si>
    <t>NSWMC Resolution No. 1638, Series of 2023</t>
  </si>
  <si>
    <t>Porac</t>
  </si>
  <si>
    <t>787 A series of 2018</t>
  </si>
  <si>
    <t>San Luis</t>
  </si>
  <si>
    <t>NSWMC RESO NO. 1113 SERIES OF 2018</t>
  </si>
  <si>
    <t>Mayantoc</t>
  </si>
  <si>
    <t>NSWMC Reso No. 1359 s 2019</t>
  </si>
  <si>
    <t>Iba</t>
  </si>
  <si>
    <t>NSWMC RESO NO. 1445 SERIES OF 2021</t>
  </si>
  <si>
    <t>Paniqui</t>
  </si>
  <si>
    <t>1300 series of 2019</t>
  </si>
  <si>
    <t>2019 - 2028</t>
  </si>
  <si>
    <t>San Jose</t>
  </si>
  <si>
    <t>NSWMC RESO NO. 1299 SERIES OF 2019</t>
  </si>
  <si>
    <t>2018 -2027</t>
  </si>
  <si>
    <t>Anao</t>
  </si>
  <si>
    <t>1089 s.2018</t>
  </si>
  <si>
    <t>Samal</t>
  </si>
  <si>
    <t>975 Series of 2017</t>
  </si>
  <si>
    <t>Norzagaray</t>
  </si>
  <si>
    <t>1327 SERIES OF 2019</t>
  </si>
  <si>
    <t>2018 - 2028</t>
  </si>
  <si>
    <t>Obando</t>
  </si>
  <si>
    <t>NSWMC RESO NO. 1328 SERIES OF 2019</t>
  </si>
  <si>
    <t>San Ildefonso</t>
  </si>
  <si>
    <t>San Miguel</t>
  </si>
  <si>
    <t>NSWMC RESO NO. 179A S 2015</t>
  </si>
  <si>
    <t>City Of Gapan</t>
  </si>
  <si>
    <t>1064 S. 2018</t>
  </si>
  <si>
    <t>Rizal</t>
  </si>
  <si>
    <t>1288 SERIES 2019</t>
  </si>
  <si>
    <t>Talavera</t>
  </si>
  <si>
    <t>1063 s. 2018</t>
  </si>
  <si>
    <t>Floridablanca</t>
  </si>
  <si>
    <t>NSWMC NO. 684 A S 2018</t>
  </si>
  <si>
    <t>San Simon</t>
  </si>
  <si>
    <t>1333 series of 2019</t>
  </si>
  <si>
    <t>Santa Ana</t>
  </si>
  <si>
    <t>1244 of 2019</t>
  </si>
  <si>
    <t>Pura</t>
  </si>
  <si>
    <t>1335 series of 2019</t>
  </si>
  <si>
    <t>Masinloc</t>
  </si>
  <si>
    <t>1348 series of 2019</t>
  </si>
  <si>
    <t>Santa Ignacia</t>
  </si>
  <si>
    <t>1334 series of 2019</t>
  </si>
  <si>
    <t>Capas</t>
  </si>
  <si>
    <t>1250 series of 2019</t>
  </si>
  <si>
    <t>City Of Tarlac</t>
  </si>
  <si>
    <t>Gerona</t>
  </si>
  <si>
    <t>685-A series of 2019</t>
  </si>
  <si>
    <t>2016 - 2026</t>
  </si>
  <si>
    <t>Ramos</t>
  </si>
  <si>
    <t>NSWMC RESO NO. 1419 SERIES OF 2021</t>
  </si>
  <si>
    <t>Dilasag</t>
  </si>
  <si>
    <t>504 A series of 2018</t>
  </si>
  <si>
    <t>Dinalungan</t>
  </si>
  <si>
    <t>NSWMC RESO NO. 1368 SERIES OF 2020</t>
  </si>
  <si>
    <t>Dingalan</t>
  </si>
  <si>
    <t>1234 Series 2019</t>
  </si>
  <si>
    <t>Dipaculao</t>
  </si>
  <si>
    <t>NSWMC RESO NO. 502 SERIES OF 2018</t>
  </si>
  <si>
    <t>San Luis_A</t>
  </si>
  <si>
    <t>Abucay</t>
  </si>
  <si>
    <t>1252 Series of 2019</t>
  </si>
  <si>
    <t>2017 -2027</t>
  </si>
  <si>
    <t>Hermosa</t>
  </si>
  <si>
    <t>NSWMC Resolution No. 1173</t>
  </si>
  <si>
    <t>Limay</t>
  </si>
  <si>
    <t>No.501-A Series of 2020</t>
  </si>
  <si>
    <t>Morong</t>
  </si>
  <si>
    <t>NSWMC Res. No. 1083 Series 2017</t>
  </si>
  <si>
    <t>Orani</t>
  </si>
  <si>
    <t>1084 series of 2018</t>
  </si>
  <si>
    <t>Angat</t>
  </si>
  <si>
    <t>1079 Series of 2018</t>
  </si>
  <si>
    <t>Bustos</t>
  </si>
  <si>
    <t>1325 s.2019</t>
  </si>
  <si>
    <t>Calumpit</t>
  </si>
  <si>
    <t>1082 series of 2018</t>
  </si>
  <si>
    <t>City Of Malolos</t>
  </si>
  <si>
    <t>NSWMC RESO NO. 503-A SERIES OF 2019</t>
  </si>
  <si>
    <t>2018-2028</t>
  </si>
  <si>
    <t>Guiguinto</t>
  </si>
  <si>
    <t>1080 series of 2018</t>
  </si>
  <si>
    <t>Pandi</t>
  </si>
  <si>
    <t>No. 1403 Series of 2020</t>
  </si>
  <si>
    <t>Paombong</t>
  </si>
  <si>
    <t>664-A series of 2019</t>
  </si>
  <si>
    <t>Pulilan</t>
  </si>
  <si>
    <t>1142 Series of 2018</t>
  </si>
  <si>
    <t>City Of Palayan</t>
  </si>
  <si>
    <t>1330 series of 2019</t>
  </si>
  <si>
    <t>Cuyapo</t>
  </si>
  <si>
    <t>500-A series of 2019</t>
  </si>
  <si>
    <t>Gen. Tinio</t>
  </si>
  <si>
    <t>no.1247 series of 2019</t>
  </si>
  <si>
    <t>Guimba</t>
  </si>
  <si>
    <t>Licab</t>
  </si>
  <si>
    <t>1361 Series of 2019</t>
  </si>
  <si>
    <t>Llanera</t>
  </si>
  <si>
    <t>No. 1411 Series of 2020</t>
  </si>
  <si>
    <t>Nampicuan</t>
  </si>
  <si>
    <t>No. 1406 Series of 2020</t>
  </si>
  <si>
    <t>Pantabangan</t>
  </si>
  <si>
    <t>1331 Series of 2019</t>
  </si>
  <si>
    <t>San Isidro</t>
  </si>
  <si>
    <t>NSWMC RESO NO. 1444SERIES OF 2021</t>
  </si>
  <si>
    <t>San Leonardo</t>
  </si>
  <si>
    <t>1087 series of 2018</t>
  </si>
  <si>
    <t>Santa Rosa</t>
  </si>
  <si>
    <t>No. 1412 Series of 2020</t>
  </si>
  <si>
    <t>Santo Domingo</t>
  </si>
  <si>
    <t>NSWMC RESO NO. 588-A SERIES OF 2020</t>
  </si>
  <si>
    <t>Talugtug</t>
  </si>
  <si>
    <t>NSWMC RESO NO. 1078 SERIES OF 2018</t>
  </si>
  <si>
    <t>Zaragoza</t>
  </si>
  <si>
    <t>NSWMC RESO NO. 1121 SERIES OF 2018</t>
  </si>
  <si>
    <t>Lubao</t>
  </si>
  <si>
    <t>NSWMC RESO NO. 1088 SERIES OF 2018</t>
  </si>
  <si>
    <t>Mabalacat City</t>
  </si>
  <si>
    <t>Magalang</t>
  </si>
  <si>
    <t>1114s.2018</t>
  </si>
  <si>
    <t>Mexico</t>
  </si>
  <si>
    <t>1242-2019</t>
  </si>
  <si>
    <t>Santa Rita</t>
  </si>
  <si>
    <t>NSWMC RESO NO. 200 SERIES OF 2015</t>
  </si>
  <si>
    <t>Sto. Tomas</t>
  </si>
  <si>
    <t>San Clemente</t>
  </si>
  <si>
    <t>1249 series of 2019</t>
  </si>
  <si>
    <t>Cabangan</t>
  </si>
  <si>
    <t>NSWMC RESO NO. 1492 SERIES OF 2021</t>
  </si>
  <si>
    <t>Candelaria</t>
  </si>
  <si>
    <t>NSWMC RESO NO. 1446 SERIES OF 2021</t>
  </si>
  <si>
    <t>San Antonio_Z</t>
  </si>
  <si>
    <t>Resolution No. 310-A, Series of 2023</t>
  </si>
  <si>
    <t>San Felipe</t>
  </si>
  <si>
    <t>Resolution No. 772-A, Series of 2023</t>
  </si>
  <si>
    <t>San Narciso</t>
  </si>
  <si>
    <t>1349 s2019</t>
  </si>
  <si>
    <t>Santa Cruz</t>
  </si>
  <si>
    <t>NSWMC Resolution No. 1596, Series of 2023</t>
  </si>
  <si>
    <t>Barangay</t>
  </si>
  <si>
    <t>Lat</t>
  </si>
  <si>
    <t>Long</t>
  </si>
  <si>
    <t>Coordinates</t>
  </si>
  <si>
    <t>No Funding Support</t>
  </si>
  <si>
    <t>Year Granted</t>
  </si>
  <si>
    <t>Amount Granted</t>
  </si>
  <si>
    <t>Tracking of Reports
(To be Filled out by Planning Section)</t>
  </si>
  <si>
    <t>No. of Brgy. Served</t>
  </si>
  <si>
    <t>Equipment used in the Operation of the MRF</t>
  </si>
  <si>
    <t>Type of wastes received</t>
  </si>
  <si>
    <t>Quantity of waste diverted (kg)</t>
  </si>
  <si>
    <t>Total Waste Generation (kg/day)</t>
  </si>
  <si>
    <t>Waste Diversion Rate
(%)</t>
  </si>
  <si>
    <t>Status of MRF</t>
  </si>
  <si>
    <t>Remarks
(If Not Operational)</t>
  </si>
  <si>
    <t>Findings
(If not compliant)</t>
  </si>
  <si>
    <t>Compliance of LGU to Issued Advise/ Letter</t>
  </si>
  <si>
    <t>Docket No. / NOV</t>
  </si>
  <si>
    <t>Violation
(Sec. ___ )</t>
  </si>
  <si>
    <t>Date of Issuance of NOV</t>
  </si>
  <si>
    <t>Date of Technical Conference</t>
  </si>
  <si>
    <t>Commitment/s</t>
  </si>
  <si>
    <t>Pingit</t>
  </si>
  <si>
    <t>R3-2026-001747</t>
  </si>
  <si>
    <t>Composter</t>
  </si>
  <si>
    <t>Biowaste</t>
  </si>
  <si>
    <t>15, 440</t>
  </si>
  <si>
    <t>https://embco-my.sharepoint.com/:w:/g/personal/eswmr3_emb_gov_ph/IQBGHioor-MSSJwMAqN8db4PARdBONPqcCDUZ7rATf_Riuw?e=JRdVwL</t>
  </si>
  <si>
    <t>Tungkong Mangga</t>
  </si>
  <si>
    <t>R3-2026-001524</t>
  </si>
  <si>
    <t>Weiging Scale, Electric power</t>
  </si>
  <si>
    <t>Biowaste, Paper, Plastic, Glass, Biodegradable</t>
  </si>
  <si>
    <t>https://embco-my.sharepoint.com/:w:/g/personal/eswmr3_emb_gov_ph/IQATxYnWcWFBR6ntBIhwVQvTAevTLLXNlKNRp3BUOPF269A?e=dvco6t</t>
  </si>
  <si>
    <t>Pantoc</t>
  </si>
  <si>
    <t>R3-2026-001897</t>
  </si>
  <si>
    <t>Bricks Mixer Machine, Plastic shredder, Glass shredder/ pulverizer, Vermicomposting bed/bins, Vermicomposting bed/bins, Bricks maker/molder, Electric power</t>
  </si>
  <si>
    <t>Biodegradable waste, Recyclables, Residual Wastes</t>
  </si>
  <si>
    <t>Del Rosario</t>
  </si>
  <si>
    <t>John Sherwin Loquellano</t>
  </si>
  <si>
    <t>R3-2026-001248</t>
  </si>
  <si>
    <t>None</t>
  </si>
  <si>
    <t>Biowaste, Recyclables</t>
  </si>
  <si>
    <t>No available data</t>
  </si>
  <si>
    <t xml:space="preserve">•	Provide accomplished and precise total weights of waste diversion
•	Assign a personnel for recording of daily waste collected. </t>
  </si>
  <si>
    <t>•	No logbook or records of daily wastes collected presented during the monitoring</t>
  </si>
  <si>
    <t>https://embco-my.sharepoint.com/:w:/g/personal/eswmr3_emb_gov_ph/IQCafMGtJtv8QruYylnMGz3QAfITuShEc0gugkArm5ovznM?e=TH1hLt</t>
  </si>
  <si>
    <t>North Poblacion</t>
  </si>
  <si>
    <t>R3-2026-001337</t>
  </si>
  <si>
    <t xml:space="preserve">The Barangay South Poblacion and North Poblacion are clustered MRF.
The barangay EMB-funded MRF lot is not owned by the LGU, the lease has ended, and the infrastructure is now fenced and inaccessible. </t>
  </si>
  <si>
    <t>https://embco-my.sharepoint.com/:w:/g/personal/eswmr3_emb_gov_ph/IQD9oLbo0KlDS5xQ9QDnadDSAa4h3YHxSTDXep5IBPnUY8Q?e=0dgyk0</t>
  </si>
  <si>
    <t>South Poblacion</t>
  </si>
  <si>
    <t xml:space="preserve"> R3-2026-001340</t>
  </si>
  <si>
    <t>https://embco-my.sharepoint.com/:w:/g/personal/eswmr3_emb_gov_ph/IQAO5Q4md6I7RrvDBL1kMUaOAYUFCDkx0tDP5q5G6shCMu0?e=RlF4ow</t>
  </si>
  <si>
    <t>San Joaquin</t>
  </si>
  <si>
    <t>2015//2020</t>
  </si>
  <si>
    <t>500000/190,000</t>
  </si>
  <si>
    <t>R3-2026-004121</t>
  </si>
  <si>
    <t>Ask clarification</t>
  </si>
  <si>
    <t>https://embco-my.sharepoint.com/:w:/g/personal/eswmr3_emb_gov_ph/IQBzIGae-ZoiQYo4Ej4CvLR3AcUtEHlvx2TTR0XNmUZkmFQ?e=Cn9XuZ</t>
  </si>
  <si>
    <t>Pasyawan</t>
  </si>
  <si>
    <t>R3-2026-002721</t>
  </si>
  <si>
    <t>Biowaste Shredder</t>
  </si>
  <si>
    <t>Biodegradable, Recyclable, Residual</t>
  </si>
  <si>
    <t>https://embco-my.sharepoint.com/:w:/g/personal/eswmr3_emb_gov_ph/IQA3Ea8hTt7yQ4sVG5j-IFbFAUZdJagNWmR5TjPeFVVK2IY?e=4azSz4</t>
  </si>
  <si>
    <t>Cabog Cabog</t>
  </si>
  <si>
    <t>R3-2026-004562</t>
  </si>
  <si>
    <t>Biodegradable, Recyclable</t>
  </si>
  <si>
    <t>No Updated Records</t>
  </si>
  <si>
    <t>Cannot be determined</t>
  </si>
  <si>
    <t>https://embco-my.sharepoint.com/:w:/g/personal/eswmr3_emb_gov_ph/IQAhj2GLY3MwR5Bi51a1WS7DAQtvJwdzYUbKXtQ7BUDbX4Q?e=teUCy7</t>
  </si>
  <si>
    <t>Santol</t>
  </si>
  <si>
    <t>R3-2026-005196</t>
  </si>
  <si>
    <t xml:space="preserve">	To immediately operate the MRF and strict implementation of Ecological Solid Waste Management within the Local Government Unit. 
	To utilize the equipment donated by EMB for the operation of the MRF.
	The LGU of Balagtas shall strictly monitor the MRF and ensure the proper operation of MRFs based on the guidelines on Material Recovery Facility (MRF) as stated in Article 4, Section 33 of RA 9003 or the Ecological Solid Waste Management Act. 
	To conduct information and education campaigns aimed at raising awareness among residents about importance of RA 9003 in solid waste management.
</t>
  </si>
  <si>
    <t>https://embco-my.sharepoint.com/:w:/g/personal/eswmr3_emb_gov_ph/IQAaIzPQAdOpSblYMaAIxTrOAViKZlSSh19qi5n3R8g3Fug?e=tNY4Uq</t>
  </si>
  <si>
    <t>Minuyan III</t>
  </si>
  <si>
    <t>2018 &amp; 2018</t>
  </si>
  <si>
    <t>285000 &amp; 285000</t>
  </si>
  <si>
    <t xml:space="preserve">R3-2026-005243 </t>
  </si>
  <si>
    <t xml:space="preserve">• To immediately operate the Barangay MRF.
• Strict implementation of Ecological Solid Waste Management within the Local Government Unit. 
</t>
  </si>
  <si>
    <t>https://embco-my.sharepoint.com/:w:/g/personal/eswmr3_emb_gov_ph/IQBo9Bub6MHTTrA2JRn3gbTqAY8PP-5Wg73gkxe4FU7hh5g?e=s4jZTk</t>
  </si>
  <si>
    <t>General Mamerto Natividad</t>
  </si>
  <si>
    <t>Balaring</t>
  </si>
  <si>
    <t>R3-2026-005343</t>
  </si>
  <si>
    <t>Weighing scale, Bottle Crusher, Biowaste shredder, Windrows for composting, Electric power, Loader</t>
  </si>
  <si>
    <t>Biodegradable, Recyclables, Residuals</t>
  </si>
  <si>
    <t>https://embco-my.sharepoint.com/:w:/g/personal/eswmr3_emb_gov_ph/IQDGOIigIqYIRp92spdOFP9fAQu3D_NrZECd7k9M-xVHHqY?e=uMxKyJ</t>
  </si>
  <si>
    <t>Niyugan</t>
  </si>
  <si>
    <t>R3-2026-005164</t>
  </si>
  <si>
    <t>Weighing scale</t>
  </si>
  <si>
    <t xml:space="preserve">1.	During the monitoring, a significant volume of piled-up waste was found adjacent to the Material Recovery Facility (MRF) covering approximately 1,500 square meters. and a height of approximately 1 meter.
2.	The solid waste was found outside the covered shed of the MRF. The waste was left exposed to environmental elements,, causing issues such as foul odor dispersion, insect/animal infestation and surface leachate generation.
3.	The solid waste is in direct contact with the soil surface, posing potential leachate and contamination of the groundwater resources due to the absence of proper storage, such as flooring, roof, and drainage canal.
</t>
  </si>
  <si>
    <t>https://embco-my.sharepoint.com/:w:/g/personal/eswmr3_emb_gov_ph/IQADS3wcWNwsTaexAkO_kT3nAf8i2fZB-d2qfLs1PVQY6Zg?e=v3CNgW</t>
  </si>
  <si>
    <t>Villa Rosa</t>
  </si>
  <si>
    <t>R3-2026-002923</t>
  </si>
  <si>
    <t>Rotary Composters, Biowaste shredder</t>
  </si>
  <si>
    <t>Waste piles were present at the entrance and surrounding areas, exposed to rain and environmental elements.
Mixed solid waste inside the facility lacked clearly designated areas for segregation.
Wall panels showed signs of deterioration, including visible holes.
Two rotary composters were installed but not fully utilized.
Housekeeping and sanitation practices were inadequate.
No clear safety markings were present.
Workers did not have or consistently use personal protective equipment (PPE).
Improper storage of recyclables.
Absence of record-keeping.
Operational efficiency and compliance of the facility were negatively affected.</t>
  </si>
  <si>
    <t>https://embco-my.sharepoint.com/:w:/g/personal/eswmr3_emb_gov_ph/IQDD4f04XQcgSYOEbGd72zeOATIn86sOI-5cUuHBPRjLg3M?e=9pHWTO</t>
  </si>
  <si>
    <t>San Vicente</t>
  </si>
  <si>
    <t>R3-2026-003792</t>
  </si>
  <si>
    <t>Wheel Loader, Rotary Composter</t>
  </si>
  <si>
    <t>Biodegradable, Recyclables,Residual</t>
  </si>
  <si>
    <t>•	The LGU Sto. Tomas is advised to comply with Section 37 of RA 9003 or the Prohibition Against the Use of Open Dumps for Solid Waste, which states that “no open dumps shall be established and operated, nor any practice or disposal of solid waste by any person, including LGUs…” 
•	Recommended for issuance of a show cause order/cease and desist order (CDO) to discuss the issue and elicit a formal commitment from the LGU to comply with the provisions of RA 9003.
•	Ensure that there is an adequate power source to utilize the use of both equipment as per agreed in the signed MOA under Article III, Section 4 : Responsibilities of the LGU Paragraphs (a),(c)(d) (e) (f) and (g)</t>
  </si>
  <si>
    <t xml:space="preserve">•	The MRF has an open dumping of waste beside the facility. 
•	As per MENRO Manalese, both equipment were non-functional since there is no electricity in the Municipal MRF and due to lack of knowledge in operating the equipments.
</t>
  </si>
  <si>
    <t>https://embco-my.sharepoint.com/:w:/g/personal/eswmr3_emb_gov_ph/IQCIg2KVghdkTIIYCLM0gFeaAdwWp1-e6e57rggX_kmkDyc?e=E81uzu</t>
  </si>
  <si>
    <t>Cutcut 1st</t>
  </si>
  <si>
    <t>R3-2026-004714</t>
  </si>
  <si>
    <t>Bio shredder, Bio Composter</t>
  </si>
  <si>
    <t>https://embco-my.sharepoint.com/:w:/g/personal/eswmr3_emb_gov_ph/IQCrq8yD-9zgRYo_CnBgc3JwAXW5C7jjkDK0zNir7n04ypA?e=kdITBn</t>
  </si>
  <si>
    <t>Tibag</t>
  </si>
  <si>
    <t>R3-2026-003834</t>
  </si>
  <si>
    <t>Bottle Crusher, Brix mixer Machine, Sand Mixer, BioWaste Shredder, Glass Shredder, Rotary Composter, Vermi Composting, Bricks Maker, Charcoal Briquetting</t>
  </si>
  <si>
    <t>Biodegradable, Recyclables</t>
  </si>
  <si>
    <t>https://embco-my.sharepoint.com/:w:/g/personal/eswmr3_emb_gov_ph/IQDmiAEOWoA5TICVNYuIX7oQAYbBk5z0pUOWpiCpZPt1x_s?e=vyM27X</t>
  </si>
  <si>
    <t>Binuangan</t>
  </si>
  <si>
    <t>R3-2026-006187</t>
  </si>
  <si>
    <t>Recyclable</t>
  </si>
  <si>
    <t>MRS</t>
  </si>
  <si>
    <t>Catacte</t>
  </si>
  <si>
    <t>City Of Meycauyan</t>
  </si>
  <si>
    <t>Caingin</t>
  </si>
  <si>
    <t>Tuktukan</t>
  </si>
  <si>
    <t>2014 &amp; 2021</t>
  </si>
  <si>
    <t>250000 &amp; 179444.44</t>
  </si>
  <si>
    <t>Pagas</t>
  </si>
  <si>
    <t>2014 &amp; 2019 &amp; 2020</t>
  </si>
  <si>
    <t>250000 &amp; 502714.29 &amp; 190000</t>
  </si>
  <si>
    <t>Tabon</t>
  </si>
  <si>
    <t>R3-2026-002000</t>
  </si>
  <si>
    <t>Recyclables, Biodegradables, Residuals</t>
  </si>
  <si>
    <t>Operational</t>
  </si>
  <si>
    <t>n/a</t>
  </si>
  <si>
    <t>Sapang Balen</t>
  </si>
  <si>
    <t>R3-2026-008578</t>
  </si>
  <si>
    <t>Weighing scale Biowaste shredder  Rotary composter</t>
  </si>
  <si>
    <t>Sierra</t>
  </si>
  <si>
    <t>R3-2026-007692</t>
  </si>
  <si>
    <t>Granuling Machine, Bottle Crusher, plastic granulating machine, Bircks Mixer Machine, Rotary Mixre, Bio Shredder, Bio COmposter, Bricks Molder</t>
  </si>
  <si>
    <t>no data</t>
  </si>
  <si>
    <t>San Pascual</t>
  </si>
  <si>
    <t>2019 &amp; 2021</t>
  </si>
  <si>
    <t>682158.73 / 179444.44</t>
  </si>
  <si>
    <t>Larizze Anne Santos</t>
  </si>
  <si>
    <t>R3-2026-008795</t>
  </si>
  <si>
    <t xml:space="preserve">Biowaste shredder    Rotary composter </t>
  </si>
  <si>
    <t>Recyclables,, Residuals</t>
  </si>
  <si>
    <t>No records</t>
  </si>
  <si>
    <t>Buhangin</t>
  </si>
  <si>
    <t>Calantas</t>
  </si>
  <si>
    <t>Bannawag</t>
  </si>
  <si>
    <t xml:space="preserve">Pagalanggang </t>
  </si>
  <si>
    <t>San Franciso De Asis</t>
  </si>
  <si>
    <t>Bocaue</t>
  </si>
  <si>
    <t>Batia</t>
  </si>
  <si>
    <t>2016 &amp; 2017</t>
  </si>
  <si>
    <t>270000 &amp; 460000</t>
  </si>
  <si>
    <t xml:space="preserve"> Calizon</t>
  </si>
  <si>
    <t>2016,2017 &amp; 2020</t>
  </si>
  <si>
    <t>230,000 , 460,000, &amp; 190,000</t>
  </si>
  <si>
    <t>San Antonio</t>
  </si>
  <si>
    <t>Carmencita</t>
  </si>
  <si>
    <t>530642.86 &amp; 179444.44</t>
  </si>
  <si>
    <t>San Nicolas</t>
  </si>
  <si>
    <t>Panan</t>
  </si>
  <si>
    <t>Tapuac</t>
  </si>
  <si>
    <t>Obligasyon</t>
  </si>
  <si>
    <t xml:space="preserve">Dibaraybay </t>
  </si>
  <si>
    <t>Umiray</t>
  </si>
  <si>
    <t>Alas-Asin</t>
  </si>
  <si>
    <t>Alion</t>
  </si>
  <si>
    <t>Borol 1st</t>
  </si>
  <si>
    <t>Saluysoy</t>
  </si>
  <si>
    <t>General Tinio</t>
  </si>
  <si>
    <t>Poblacion East</t>
  </si>
  <si>
    <t>520,714.29 &amp; 179,444.44</t>
  </si>
  <si>
    <t>Bantog</t>
  </si>
  <si>
    <t>502714.29 &amp; 179444.44</t>
  </si>
  <si>
    <t>Bani</t>
  </si>
  <si>
    <t>Palauig</t>
  </si>
  <si>
    <t>Salaza</t>
  </si>
  <si>
    <t>Zabali</t>
  </si>
  <si>
    <t>L. Pimentel</t>
  </si>
  <si>
    <t>Atilano</t>
  </si>
  <si>
    <t>Minuyan Proper</t>
  </si>
  <si>
    <t>Muzon</t>
  </si>
  <si>
    <t>Cacarong Matanda</t>
  </si>
  <si>
    <t>San Gregorio</t>
  </si>
  <si>
    <t>502,714.29.00 &amp; 179.444.44</t>
  </si>
  <si>
    <t>Sto Tomas</t>
  </si>
  <si>
    <t>2018 &amp; 2021</t>
  </si>
  <si>
    <t>475000 &amp;179,444.44</t>
  </si>
  <si>
    <t>Sta. Catalima</t>
  </si>
  <si>
    <t>Nagbayan</t>
  </si>
  <si>
    <t xml:space="preserve">Pingit </t>
  </si>
  <si>
    <t>Dibutonan</t>
  </si>
  <si>
    <t>Dinadiawan</t>
  </si>
  <si>
    <t>Gupa</t>
  </si>
  <si>
    <t>Majires</t>
  </si>
  <si>
    <t>Toytoyan</t>
  </si>
  <si>
    <t>2016 &amp; 2021</t>
  </si>
  <si>
    <t>270000 &amp; 179444.44</t>
  </si>
  <si>
    <t>Banawang</t>
  </si>
  <si>
    <t>Quinawan</t>
  </si>
  <si>
    <t>Puerto Rivas Lote</t>
  </si>
  <si>
    <t>San Jose Proper (Market)</t>
  </si>
  <si>
    <t>Balon-Anito</t>
  </si>
  <si>
    <t>Baseco</t>
  </si>
  <si>
    <t>Malaya</t>
  </si>
  <si>
    <t>Alauli</t>
  </si>
  <si>
    <t>San Juan</t>
  </si>
  <si>
    <t>449444&amp; 179444.44</t>
  </si>
  <si>
    <t>Lambakin</t>
  </si>
  <si>
    <t>Loma de gato</t>
  </si>
  <si>
    <t>Bitungol</t>
  </si>
  <si>
    <t>Matictic</t>
  </si>
  <si>
    <t>Panghulo</t>
  </si>
  <si>
    <t>Tawiran</t>
  </si>
  <si>
    <t>Mapulang Lupa</t>
  </si>
  <si>
    <t>Siling Bata</t>
  </si>
  <si>
    <t>San Isidro II</t>
  </si>
  <si>
    <t>2016 / 2020</t>
  </si>
  <si>
    <t>270000 /  190000</t>
  </si>
  <si>
    <t>Bulihan</t>
  </si>
  <si>
    <t>2014 / 2020</t>
  </si>
  <si>
    <t>500000 / 190000</t>
  </si>
  <si>
    <t>Basuit (Pala Pala)</t>
  </si>
  <si>
    <t>Biak Na Bato</t>
  </si>
  <si>
    <t>Magasawang Sapa</t>
  </si>
  <si>
    <t>Parada</t>
  </si>
  <si>
    <t>Sabit</t>
  </si>
  <si>
    <t>Rahal Norte</t>
  </si>
  <si>
    <t>Sulipan</t>
  </si>
  <si>
    <t>Tabuan (Sto. Nino Tabuan)</t>
  </si>
  <si>
    <t>Dalan Baba</t>
  </si>
  <si>
    <t>Lawacamulag</t>
  </si>
  <si>
    <t>San Lorenzo</t>
  </si>
  <si>
    <t>Sta. Rita</t>
  </si>
  <si>
    <t>Taltal</t>
  </si>
  <si>
    <t>Apostol</t>
  </si>
  <si>
    <t>Sabang</t>
  </si>
  <si>
    <t>.</t>
  </si>
  <si>
    <t>BARANGAY</t>
  </si>
  <si>
    <t>Ownership 
(LGU OR PRIVATE)</t>
  </si>
  <si>
    <t>Year Started Operation</t>
  </si>
  <si>
    <t>Category</t>
  </si>
  <si>
    <t>Volume Capacity
(tons/day) Based on ECC</t>
  </si>
  <si>
    <t>No. of LGU Served</t>
  </si>
  <si>
    <t>ECC NO.</t>
  </si>
  <si>
    <t>DISCHARGE PERMIT</t>
  </si>
  <si>
    <t>PERMIT TO OPERATE</t>
  </si>
  <si>
    <t>HAZWASTE GENERATION ID</t>
  </si>
  <si>
    <t>Total No. of Days (Report Reviewed by Sub Focal)</t>
  </si>
  <si>
    <t>Tracking of Reports
(to be filled out of Planning Section)</t>
  </si>
  <si>
    <t>Status of Sanitary Land Fill</t>
  </si>
  <si>
    <t>Remaining Life Span
(Cell)</t>
  </si>
  <si>
    <t>Actual Residual Waste Received
(Kg/day)</t>
  </si>
  <si>
    <t>Number of Cell</t>
  </si>
  <si>
    <t>Estimated Volume of waste within the cell
(tons)</t>
  </si>
  <si>
    <t>No. of Leachate Pond</t>
  </si>
  <si>
    <t>Number of Gas Vents</t>
  </si>
  <si>
    <t>MRF Estabilished within the Facility
(With or Without)</t>
  </si>
  <si>
    <t>Remarks and
recommendation</t>
  </si>
  <si>
    <t>Capitangan</t>
  </si>
  <si>
    <t>Provice of Bataan/BEST</t>
  </si>
  <si>
    <t>14.700714,120.486939</t>
  </si>
  <si>
    <t xml:space="preserve">748,422 tons </t>
  </si>
  <si>
    <t>R03-10272021-5152</t>
  </si>
  <si>
    <t>DP-R03-26-01501</t>
  </si>
  <si>
    <t>Application No. 214898</t>
  </si>
  <si>
    <t>R3-2026-003902</t>
  </si>
  <si>
    <t>Cell 1 (1.5 years)</t>
  </si>
  <si>
    <t>1,031.04 tons</t>
  </si>
  <si>
    <t>3 Cells (Cell 1 - Operational, Cell 2 and 3 - Reserve Cell)</t>
  </si>
  <si>
    <t>181,629 tons</t>
  </si>
  <si>
    <t>1 Recirculation Pond
1 Temporary Holding Pond</t>
  </si>
  <si>
    <t>Without</t>
  </si>
  <si>
    <t>New Cabalan</t>
  </si>
  <si>
    <t>14.8457,120.3343139</t>
  </si>
  <si>
    <t>150 mtons / day</t>
  </si>
  <si>
    <t>R03-1006-0308</t>
  </si>
  <si>
    <t>OL-GR-R3-71-045719</t>
  </si>
  <si>
    <t>Larizze Ann Santos</t>
  </si>
  <si>
    <t>R3-2026-003027</t>
  </si>
  <si>
    <t>2 - Cell 1A(Closed) and 1B(Operational)</t>
  </si>
  <si>
    <t>23, 841.27  MT</t>
  </si>
  <si>
    <t>With</t>
  </si>
  <si>
    <t>https://embco-my.sharepoint.com/:w:/g/personal/eswmr3_emb_gov_ph/IQCO8xzybm5LTbFJHIc2jl6iAdzxS8cYGlCDrf_6mJNc0tw?e=ZAKcy1</t>
  </si>
  <si>
    <t>lone</t>
  </si>
  <si>
    <t>15.814234, 121.479540</t>
  </si>
  <si>
    <t>15 tons / day</t>
  </si>
  <si>
    <t>ECC-OL-RO3-2020-0520</t>
  </si>
  <si>
    <t>Planas</t>
  </si>
  <si>
    <t>PRIVATE (PRIME WASTE SOLUTION)</t>
  </si>
  <si>
    <t>15.048202, 120.481046</t>
  </si>
  <si>
    <t>3,000 tons/.day</t>
  </si>
  <si>
    <t>R03-2408-0012</t>
  </si>
  <si>
    <t>John Sherwin Y. Loquellano</t>
  </si>
  <si>
    <t>15.87683611,121.5255972</t>
  </si>
  <si>
    <t>R03-0904-094-9999</t>
  </si>
  <si>
    <t>St. Francis I</t>
  </si>
  <si>
    <t>14.56944444,120.5513889</t>
  </si>
  <si>
    <t>75 tons/day</t>
  </si>
  <si>
    <t>R03-07092021-5106</t>
  </si>
  <si>
    <t>Amungan</t>
  </si>
  <si>
    <t>15.3961,120.0251</t>
  </si>
  <si>
    <t>15 mtons / day</t>
  </si>
  <si>
    <t>03ZA 0710 31 570-120A</t>
  </si>
  <si>
    <t>San Jose Mitla</t>
  </si>
  <si>
    <t>PRIVATE ( Eco Protect Waste Management Corp.)</t>
  </si>
  <si>
    <t>15.08266111,120.5736417</t>
  </si>
  <si>
    <t>2500 tons / day</t>
  </si>
  <si>
    <t>R03-07092018-4509</t>
  </si>
  <si>
    <t>Pinagrealan</t>
  </si>
  <si>
    <t>15.599997,119.975247</t>
  </si>
  <si>
    <t>10 tons / day</t>
  </si>
  <si>
    <t>R03-02222017-4035</t>
  </si>
  <si>
    <t>Brgy. Soledad</t>
  </si>
  <si>
    <t>15.39763611,120.9720361</t>
  </si>
  <si>
    <t>14.5 mtons / day</t>
  </si>
  <si>
    <t>ECC-OL-R03-2019-0434</t>
  </si>
  <si>
    <t>Caragsacan</t>
  </si>
  <si>
    <t>15.38261111,121.3800194</t>
  </si>
  <si>
    <t>4.0 mtons/day</t>
  </si>
  <si>
    <t>ECC-OL-R03-2019-0433</t>
  </si>
  <si>
    <t>14.704069,120.487578</t>
  </si>
  <si>
    <t>R03-0908-353-9999</t>
  </si>
  <si>
    <t>San Pedro</t>
  </si>
  <si>
    <t>15.38995,121.0623556</t>
  </si>
  <si>
    <t>1.7 tons / day</t>
  </si>
  <si>
    <t>ECC-OL-R03-2019-0068</t>
  </si>
  <si>
    <t>Christian Jem C. Buluran</t>
  </si>
  <si>
    <t>Lennec</t>
  </si>
  <si>
    <t>15.71451111,120.7461167</t>
  </si>
  <si>
    <t>5 tons/day</t>
  </si>
  <si>
    <t>R03-1304-0208</t>
  </si>
  <si>
    <t>Pabanlag</t>
  </si>
  <si>
    <t>PRIVATE ( Florida Enviro Corp.)</t>
  </si>
  <si>
    <t>14.9876,120.4544667</t>
  </si>
  <si>
    <t>2,500tons / day</t>
  </si>
  <si>
    <t>R03-11192018-4700</t>
  </si>
  <si>
    <t>Baloganon</t>
  </si>
  <si>
    <t>15.58263889,119.9890083</t>
  </si>
  <si>
    <t>R03-2018-0141</t>
  </si>
  <si>
    <t>15.728690, 121.561430</t>
  </si>
  <si>
    <t>30 tons/day</t>
  </si>
  <si>
    <t>RO3-02112021-5026</t>
  </si>
  <si>
    <t>DP-R03-25-09433</t>
  </si>
  <si>
    <t>PTO-OL-R03-2024-10698</t>
  </si>
  <si>
    <t>OL-GR-R3-77-065040</t>
  </si>
  <si>
    <t>Additional to List of Operational</t>
  </si>
  <si>
    <t>Balanga City</t>
  </si>
  <si>
    <t>Tuyo</t>
  </si>
  <si>
    <t>14.678196038868524, 120.47661526504776</t>
  </si>
  <si>
    <t>14.0 tons/day</t>
  </si>
  <si>
    <t>ECC-OL-R03-2025-0558</t>
  </si>
  <si>
    <t>Daang Pare</t>
  </si>
  <si>
    <t>14.567422811143315, 120.55249564316694</t>
  </si>
  <si>
    <t>ECC-OL-R03-2025-0112</t>
  </si>
  <si>
    <t>70-80 cu.m/day</t>
  </si>
  <si>
    <t>Cell 4</t>
  </si>
  <si>
    <t>Type of Equipment</t>
  </si>
  <si>
    <t>Tracking of Reports 
(To be filled out by Planning Section)</t>
  </si>
  <si>
    <t>Status of Bio Shredder</t>
  </si>
  <si>
    <t>Status of Bio Composter</t>
  </si>
  <si>
    <t>Weight of Soil Enhancer Produced (kg)</t>
  </si>
  <si>
    <t>Status of CCTV</t>
  </si>
  <si>
    <t>Status of Plastic Chair Factory</t>
  </si>
  <si>
    <t>No. Plastic Chair Produced</t>
  </si>
  <si>
    <t>Remarks/Reason for the non-operating equipment</t>
  </si>
  <si>
    <t>Advise Letter Issued</t>
  </si>
  <si>
    <t>Signed Documennt</t>
  </si>
  <si>
    <t>Poblacion</t>
  </si>
  <si>
    <t>A-COMPOSTER SET (SUKI)</t>
  </si>
  <si>
    <t>R3-2026-001565</t>
  </si>
  <si>
    <t>Received by Planning</t>
  </si>
  <si>
    <t>As stated by MENRO staff, Ms. Grace Jovillo, the equipment remains non-operational due to the absence of a power source at the Central MRF.
been transferred to the Central MRF; however, MENRO staff report that it remains non-operational due to a fully discharged battery. The unit has not been operational to date, and staff are currently unable to determine whether additional mechanical defects are present.</t>
  </si>
  <si>
    <t>https://embco-my.sharepoint.com/:w:/g/personal/eswmr3_emb_gov_ph/IQDe8cYyQ-8KTLtGVAqkYDptAbC_96q55_wgYl0vpEZy1Zw?e=fPKihB</t>
  </si>
  <si>
    <t>R3-2026-001824</t>
  </si>
  <si>
    <t>Waiting for proper demonstration of equipment and training of personnel.
Need to upgrade the power supply.</t>
  </si>
  <si>
    <t>https://embco-my.sharepoint.com/:w:/g/personal/eswmr3_emb_gov_ph/IQCCZIfblcVtSZCjP5QJCNSEAWtoe9ryDWci9gl_Fz7ACCs?e=YiVjLp</t>
  </si>
  <si>
    <t>R3-2026-001914</t>
  </si>
  <si>
    <t>Unserviceable</t>
  </si>
  <si>
    <t>https://embco-my.sharepoint.com/:w:/g/personal/eswmr3_emb_gov_ph/IQBowGx3oaSATJPlkVFzf5mRAfEujSo0EGoJuhskuYoB-ns?e=74JeRJ</t>
  </si>
  <si>
    <t>SAN JOSE CITY</t>
  </si>
  <si>
    <t>Malasin</t>
  </si>
  <si>
    <t>R3-2026-001135</t>
  </si>
  <si>
    <t>The equipment serves as a back-up unit, at present it is not operational
The drum has holes to which its operation was temporarily stopped</t>
  </si>
  <si>
    <t>https://embco-my.sharepoint.com/:w:/g/personal/eswmr3_emb_gov_ph/IQBjpv9MtRxuTo58YxE040UDAdX5VUzZmnHSWyrEMjtraoU?e=KNr9na</t>
  </si>
  <si>
    <t>R3-2026-001298</t>
  </si>
  <si>
    <t>On-going coordination with the technical staff for technical issue</t>
  </si>
  <si>
    <t>https://embco-my.sharepoint.com/:w:/g/personal/eswmr3_emb_gov_ph/IQBsheCTZ_zKR7HkBc0Pb6LvAS4B1mJ_8HJ0ATzcZYiPKGM?e=JiKrWm</t>
  </si>
  <si>
    <t>Lara</t>
  </si>
  <si>
    <t>R3-2026-001246</t>
  </si>
  <si>
    <t xml:space="preserve">1. The LGU has its own bio shredder 2. The composter equipment was used once but it was malfunctioned that is why the LGU is requesting for pull out. The letter was already submitted and it was endorsed to CO.
</t>
  </si>
  <si>
    <t>https://embco-my.sharepoint.com/:w:/g/personal/eswmr3_emb_gov_ph/IQBJCCzeuPOpTbhj3iFPIjuQAbStU3ezN83Zgr0YOZlSLSE?e=WKLmme</t>
  </si>
  <si>
    <t>Dapdap</t>
  </si>
  <si>
    <t>R3-2026-001110</t>
  </si>
  <si>
    <t>-The equipment was relocated from Brgy. Dapdap to Brgy. Lourdes. Trial operation conducted by the LGU revealed that the shredder is not operating efficiently and is unable to grind materials as intended.
-The equipment was transferred from Brgy. Dapdap to Brgy. Lourdes. However, the LGU has no current plans to operate the composter due to the absence of an electricity supply in the area.</t>
  </si>
  <si>
    <t>https://embco-my.sharepoint.com/:w:/g/personal/eswmr3_emb_gov_ph/IQDQsYyYk23LSJCC9_sioTydAXMmIOgBYuCfxmTTUQKZmDA?e=r8jBxv</t>
  </si>
  <si>
    <t>Dirita-Baloguen</t>
  </si>
  <si>
    <t xml:space="preserve"> R3-2026-001190</t>
  </si>
  <si>
    <t>Nonne</t>
  </si>
  <si>
    <t xml:space="preserve">The equipment is non operational due to no power supply at the facility. </t>
  </si>
  <si>
    <t>https://embco-my.sharepoint.com/:w:/g/personal/eswmr3_emb_gov_ph/IQA1Id1nb0-nRawdkycXaUtzATtLy0GRa4HVTY1WcIrhPro?e=doKOk5</t>
  </si>
  <si>
    <t>B-COMPOSTER SET W/ CCTV (SUKI)</t>
  </si>
  <si>
    <t>R3-2026-003991</t>
  </si>
  <si>
    <t>LGU Dingalan is still requesting a demonstration on how to operate the equipment (Rotary Drum Composter)</t>
  </si>
  <si>
    <t>https://embco-my.sharepoint.com/:w:/g/personal/eswmr3_emb_gov_ph/IQBx31Q_IljvT4YsvMbhGz_mAbB6u_aBGcqyl__mt0xLs1I?e=bDKAci</t>
  </si>
  <si>
    <t>Pagalanggang</t>
  </si>
  <si>
    <t>R3-2026-004152</t>
  </si>
  <si>
    <t>*Shredder - The biodegradable waste shredder is functional but is currently not operational, as it was previously lent to Barangay Colo and only recently returned. The barangay indicated that the volume of waste to be processed is insufficient for the equipment and has requested a larger-capacity shredder.
*Composter - The Rotary Drum Composter is currently non-functional because the CMRF does not yet have the required three-phase electrical connection.</t>
  </si>
  <si>
    <t>https://embco-my.sharepoint.com/:w:/g/personal/eswmr3_emb_gov_ph/IQDuEUXAqc7VQ7fUuRPT8zmFARDTkfGl0ssKEDveybk4c1Y?e=vgvdsW</t>
  </si>
  <si>
    <t>R3-2026-002900</t>
  </si>
  <si>
    <t>*Shedder and Composter - The equipment is currently non-operational. As per Ma’am Sherlot F. Pingol, all old equipment at the MRF shall be disposed of through sale and replaced with new equipment, while all donated equipment shall be subject to repair and rehabilitation</t>
  </si>
  <si>
    <t>https://embco-my.sharepoint.com/:w:/g/personal/eswmr3_emb_gov_ph/IQDIM6vS7Nf7TZ5LdTPf8np2AXkkdzRAIR17GHNvBeYX1fE?e=oHwTYF</t>
  </si>
  <si>
    <t>Igulot</t>
  </si>
  <si>
    <t>R3-2026-005191</t>
  </si>
  <si>
    <t xml:space="preserve">The shredder was not documented as the newly designated has no record or knowledge of its current storage location.
The MENRO will be searched the shredder in order to determine the status of the equipment.
</t>
  </si>
  <si>
    <t>https://embco-my.sharepoint.com/:w:/g/personal/eswmr3_emb_gov_ph/IQB64ztTKWyjTbVZ1u92JNGIAQCRzWjfKUcDgF_VnwzJANI?e=tCRiDR</t>
  </si>
  <si>
    <t>Calizon</t>
  </si>
  <si>
    <t>R3-2026-003707</t>
  </si>
  <si>
    <t>500kg</t>
  </si>
  <si>
    <t>Shredder - Damage in belt and pulley the LGU is currently procuring the replacement</t>
  </si>
  <si>
    <t>https://embco-my.sharepoint.com/:w:/g/personal/eswmr3_emb_gov_ph/IQC3py2t64JuRaOEdC4PxTL6Ab7FC012jkMgbGmtt4unBHc?e=83seoi</t>
  </si>
  <si>
    <t>Penaranda</t>
  </si>
  <si>
    <t>Callos</t>
  </si>
  <si>
    <t xml:space="preserve"> R3-2026-002609 </t>
  </si>
  <si>
    <t>For the demonstration and installation of the supplier</t>
  </si>
  <si>
    <t>Already routed to records section</t>
  </si>
  <si>
    <t>https://embco-my.sharepoint.com/:w:/g/personal/eswmr3_emb_gov_ph/IQAxnCHmMYrqSL8zcHixwE4LAQZIS6x_BUOM1DY7EZJhjEs?e=oAnIgb</t>
  </si>
  <si>
    <t>Bagong Silang</t>
  </si>
  <si>
    <t>R3-2026-002395</t>
  </si>
  <si>
    <t>The engine of shredder is stored in the office</t>
  </si>
  <si>
    <t>https://embco-my.sharepoint.com/:w:/g/personal/eswmr3_emb_gov_ph/IQCADtk_CEk7Tb1lYqV3Pm8wAQ5gwlZ-pPR3P2x1fzs0EW4?e=bZQRqh</t>
  </si>
  <si>
    <t>R3-2026-005216</t>
  </si>
  <si>
    <t>The bio-shredder remains non-operational due to lack power supply and the lack of trained personnel to operate the equipment.
The composter remains non-operational due to lack power supply and the lack of trained personnel to operate the equipment.</t>
  </si>
  <si>
    <t>https://embco-my.sharepoint.com/:w:/g/personal/eswmr3_emb_gov_ph/IQBnr-qhiU2dQrtXKXgC51TkAbR2HYQrXXKR-r6OR1aqUys?e=6K1TIi</t>
  </si>
  <si>
    <t>Province of Pampanga</t>
  </si>
  <si>
    <t>D-PLASTIC CHAIR FACTORY</t>
  </si>
  <si>
    <t>R3-2026-005538</t>
  </si>
  <si>
    <t>As per the Supervisor, the equipment is lack of manpower and materials to be used. Subject to coordination with the Provincial Government of Pampanga</t>
  </si>
  <si>
    <t>https://embco-my.sharepoint.com/:w:/g/personal/eswmr3_emb_gov_ph/IQCe8M7lV9rrT6pub1ft5GhMAcNMXBAxMC0VTz2AyoS-08w?e=rhA3Qf</t>
  </si>
  <si>
    <t>Province of Zambales</t>
  </si>
  <si>
    <t>R3-2026-003851</t>
  </si>
  <si>
    <t>•	It is recommended that the concerned LGU coordinate with this Office regarding the planned utilization of the equipment to ensure its functionality</t>
  </si>
  <si>
    <t>https://embco-my.sharepoint.com/:w:/g/personal/eswmr3_emb_gov_ph/IQDBh-bIMmIzTrkBqs16oEu1AQxorYwBJkXbAJmGdE2fhbw?e=IwRUn2</t>
  </si>
  <si>
    <t>San Jose South</t>
  </si>
  <si>
    <t>C-COMPOSTER SET W/ CCTV (CNG)</t>
  </si>
  <si>
    <t>R3-2026-003656</t>
  </si>
  <si>
    <t xml:space="preserve">- Bio-shredder is not functional and is being stored in the Municipal MRF.
-The Rotary Composter is not functional and is being stored in the Municipal MRF. Additionally, the need for a new transformer to supply the necessary voltage and proper training to operate the equipment are still needed by the LGU to utilize the Composter.
-CCTV Has been installed however, the camera is not functional due to having a stolen memory card according to the MENRO 
</t>
  </si>
  <si>
    <t>https://embco-my.sharepoint.com/:w:/g/personal/eswmr3_emb_gov_ph/IQCXRxGQpQU4Sb4Ffew1xqaJAWvUoCMtAfFfe2jLn2HbsgA?e=pbfnQY</t>
  </si>
  <si>
    <t>Burgos</t>
  </si>
  <si>
    <t>R3-2026-003668</t>
  </si>
  <si>
    <t>- Not utilized due to weak shredding capability. The MENRO was advised to utilize the equipment for other MRF related activities such as upcycling, also modification can be done to the shredder for it to shred properly. 
The menro is waiting for the document of equipment turnover before doing their desired modification and be used for swm activity.
- Equipment is not used, advised to clean an cover the equipment and utilize it as part of maintenance</t>
  </si>
  <si>
    <t>https://embco-my.sharepoint.com/:w:/g/personal/eswmr3_emb_gov_ph/IQCN7PXYX7KdTbPH0CRsDok5ARqX9ScnJWtpiU5gC54S6UQ?e=5T9TeU</t>
  </si>
  <si>
    <t>Binaritan
(Sabang -For Shredder)</t>
  </si>
  <si>
    <t>R3-2026-006318</t>
  </si>
  <si>
    <t>*Shredder - Upon monitoring, we were accompanied by the staff of the Municipal Agriculture Office to the location of the Biodegradable Waste Shredder that was borrowed and currently being utilized by the Agricultural Farmers Association of Morong, Bataan, in Barangay Sabang. The shredder is being used to process coconut husks, which are then utilized as planting for seedlings in their nursery garden.
*Composter - Upon monitoring, it was observed that the control buttons of the composter are already damaged. According to the MENRO, the equipment has not yet been installed or utilized due to the absence of a designated area.</t>
  </si>
  <si>
    <t>Pag-asa</t>
  </si>
  <si>
    <t>R3-2026-006201</t>
  </si>
  <si>
    <t>*Shredder and Composter - As stated by MENRO Jayde Del Valle, the biodegradable waste shredder is currently not operational due to a shortage of personnel. Further, the equipment remains functional
Please note that the location is in Brgy. Mulawin</t>
  </si>
  <si>
    <t>Prenza I</t>
  </si>
  <si>
    <t>Coral Na Bato</t>
  </si>
  <si>
    <t>R3-2026-008236</t>
  </si>
  <si>
    <t>- The shredder was functional but not operational at the time, as another shredder was being used to process the coconut husks.
- Waiting for installation of power supply and demonstration from Suki Trading</t>
  </si>
  <si>
    <t>Santiago</t>
  </si>
  <si>
    <t>R3-2026-007603</t>
  </si>
  <si>
    <t xml:space="preserve">Serves as back up unit. The shredder is fabricated with a new receiver with the same engine.
The LGU repaired and fabricated the composter.
</t>
  </si>
  <si>
    <t>Bagumbayan</t>
  </si>
  <si>
    <t>R3-2026-007574</t>
  </si>
  <si>
    <t>Lanat</t>
  </si>
  <si>
    <t>R3-2026-007694</t>
  </si>
  <si>
    <t xml:space="preserve">-According to Barangay Chairwoman Cleofe Domingo, the shredder is currently inoperable after its battery and several other components were stolen. The barangay is awaiting the release of funds to purchase replacements. To prevent future incidents, a perimeter fence and CCTV cameras have been installed around the equipment area.
- The new assigned personnel are waiting for the demonstration and training on how to utilize the equipment. </t>
  </si>
  <si>
    <t>Manglicmot</t>
  </si>
  <si>
    <t>Mambog</t>
  </si>
  <si>
    <t>Tagumpay</t>
  </si>
  <si>
    <t>Chriatian Jem L. Buluran</t>
  </si>
  <si>
    <t>Buted</t>
  </si>
  <si>
    <t>Suclaban</t>
  </si>
  <si>
    <t>Dila Dila</t>
  </si>
  <si>
    <t>Sto.Tomas</t>
  </si>
  <si>
    <t>Matindeg</t>
  </si>
  <si>
    <t>Coral-iloco</t>
  </si>
  <si>
    <t>Dibaraybay</t>
  </si>
  <si>
    <t>Longos</t>
  </si>
  <si>
    <t>Mag Asawang Sapa</t>
  </si>
  <si>
    <t>Pesa</t>
  </si>
  <si>
    <t>Mabical</t>
  </si>
  <si>
    <t>Sta. Catalina</t>
  </si>
  <si>
    <t>Bebe Anac</t>
  </si>
  <si>
    <t>Province of Tarlac</t>
  </si>
  <si>
    <t>Cristo Rey</t>
  </si>
  <si>
    <t>Bacsay</t>
  </si>
  <si>
    <t>Taugtog</t>
  </si>
  <si>
    <t>Subic</t>
  </si>
  <si>
    <t>Asinan</t>
  </si>
  <si>
    <t>Virgen Dela Flores</t>
  </si>
  <si>
    <t>Singalat</t>
  </si>
  <si>
    <t>Franza</t>
  </si>
  <si>
    <t xml:space="preserve"> </t>
  </si>
  <si>
    <t>Sto. Nino Tubuan</t>
  </si>
  <si>
    <t>Sta. Monica</t>
  </si>
  <si>
    <t>Tagumbao</t>
  </si>
  <si>
    <t>Balloc</t>
  </si>
  <si>
    <t>Maligaya</t>
  </si>
  <si>
    <t>Atilano Ricardo</t>
  </si>
  <si>
    <t>Munting Batangas</t>
  </si>
  <si>
    <t>Alangan</t>
  </si>
  <si>
    <t>Niugan</t>
  </si>
  <si>
    <t>Dalig</t>
  </si>
  <si>
    <t>Tanawan</t>
  </si>
  <si>
    <t>Pajo</t>
  </si>
  <si>
    <t>Camachile</t>
  </si>
  <si>
    <t>Abulalas</t>
  </si>
  <si>
    <t>Palapala</t>
  </si>
  <si>
    <t>TL Padilla</t>
  </si>
  <si>
    <t>Pambuan</t>
  </si>
  <si>
    <t>Dampulan</t>
  </si>
  <si>
    <t>Sagana</t>
  </si>
  <si>
    <t>San Antonio Este</t>
  </si>
  <si>
    <t>Brgy. II</t>
  </si>
  <si>
    <t>Rajal Norte</t>
  </si>
  <si>
    <t>Talba</t>
  </si>
  <si>
    <t>Mandasig</t>
  </si>
  <si>
    <t>Mining</t>
  </si>
  <si>
    <t>Macabebe</t>
  </si>
  <si>
    <t>Sto. Rosario</t>
  </si>
  <si>
    <t>Province of Aurora</t>
  </si>
  <si>
    <t>Calabuanan</t>
  </si>
  <si>
    <t>Province of Bataan</t>
  </si>
  <si>
    <t>Province of Bulacan</t>
  </si>
  <si>
    <t>Province of Nueva Ecija</t>
  </si>
  <si>
    <t>Poblacion Norte</t>
  </si>
  <si>
    <t>Timaguab</t>
  </si>
  <si>
    <t>Pundakit</t>
  </si>
  <si>
    <t>Linasin</t>
  </si>
  <si>
    <t>Poblacion South</t>
  </si>
  <si>
    <t>Complete Address</t>
  </si>
  <si>
    <t>Date of Installation</t>
  </si>
  <si>
    <t>Contract with TSD (TSD No.)</t>
  </si>
  <si>
    <t>Number of Bins Installed</t>
  </si>
  <si>
    <t>Hazardous Waste Generator's Registration Certificate</t>
  </si>
  <si>
    <t>ECC (if applicable)</t>
  </si>
  <si>
    <t>Wastewater Discharge Permit (if applicable)</t>
  </si>
  <si>
    <t>PERMIT TO OPERATE AIR POLLUTION SOURCE INSTALLATIONS (APSI) (if applicable)</t>
  </si>
  <si>
    <t>Tracking of Reports</t>
  </si>
  <si>
    <t>Status of PDS Facility</t>
  </si>
  <si>
    <t xml:space="preserve">HW Generation/Collectedof the reporting month
 (MT) </t>
  </si>
  <si>
    <t>Advise Letterssued</t>
  </si>
  <si>
    <t>PROVINCE OF AURORA</t>
  </si>
  <si>
    <t>PROVINCIAL CAPITOL, QUEZON STREET, BALER, 3200</t>
  </si>
  <si>
    <t>15.806567, 121.540376</t>
  </si>
  <si>
    <t>OL-TR-R3-69-000063, expiry date : June 04, 2025</t>
  </si>
  <si>
    <t>OL-GR-R3-77-012839</t>
  </si>
  <si>
    <t>Ryan Christian R. Nunag</t>
  </si>
  <si>
    <t>R3-2025-007940</t>
  </si>
  <si>
    <t>No Available Data</t>
  </si>
  <si>
    <t>For further monitoring.</t>
  </si>
  <si>
    <t>CASIGURAN</t>
  </si>
  <si>
    <t>LIWAYWAY ST., BRGY. 04 POBLACION 3204 CASIGURAN, PHILIPPINES</t>
  </si>
  <si>
    <t>16.28801439, 122.12212403</t>
  </si>
  <si>
    <t>OL-GR-R3-77-045791</t>
  </si>
  <si>
    <t>R3-2025-015911</t>
  </si>
  <si>
    <t>0.05MT</t>
  </si>
  <si>
    <t>DINGALAN</t>
  </si>
  <si>
    <t>MRF, Butas Na Bato, Dingalan, Aurora</t>
  </si>
  <si>
    <t>15.382, 121.38058</t>
  </si>
  <si>
    <t>OL-GR-R3-77-028423</t>
  </si>
  <si>
    <t>R3-2025-019798</t>
  </si>
  <si>
    <t>ORANI BATAAN - (PROVINCE OF BATAAN)</t>
  </si>
  <si>
    <t>Maria Lourdes St. Ma. Fe, Orani, Bataan, PROVINCIAL CAPITOL, CAPITOL DRIVE, 2100, CITY OF BALANGA, BATAAN</t>
  </si>
  <si>
    <t>Not included in the Delivery Receipt received by the Orani District Hospital</t>
  </si>
  <si>
    <t>14.7895, 120.5357</t>
  </si>
  <si>
    <t>OL-TR-R3-69-000063</t>
  </si>
  <si>
    <t xml:space="preserve"> OL-GR-R3-08-018908</t>
  </si>
  <si>
    <t>R03-04122016-3859</t>
  </si>
  <si>
    <t xml:space="preserve"> Application No. 255909</t>
  </si>
  <si>
    <t>Christle David</t>
  </si>
  <si>
    <t>R3-2025-010804</t>
  </si>
  <si>
    <t>Infectious Waste =550
Hazardous Waste =137
Placenta = 75</t>
  </si>
  <si>
    <t>BALANGA CITY BATAAN</t>
  </si>
  <si>
    <t>Munting Batangas (Cadre), City of Balanga (Capital), Bataan</t>
  </si>
  <si>
    <t>14.671223, 120.494659</t>
  </si>
  <si>
    <t>Udenna Environmental Service Inc. (OL-TR-R3-08-00081)</t>
  </si>
  <si>
    <t xml:space="preserve"> OL-GR-R3-08-027317</t>
  </si>
  <si>
    <t>R03-02262016-3831</t>
  </si>
  <si>
    <t>R3-2025-007103</t>
  </si>
  <si>
    <t>MALOLOS CITY, BULACAN</t>
  </si>
  <si>
    <t>MALOLOS CITY HALL, ESTRELLA STREET, POBLACION, STO. NINO, MALOLOS, 3000 BULACAN</t>
  </si>
  <si>
    <t>14.8079, 120.8445</t>
  </si>
  <si>
    <t>OL-TR-R3-14-000047 (TOTAL ORGANIC ENVIRONMENTAL SOLUTIONS INC)</t>
  </si>
  <si>
    <t>62 Bins used</t>
  </si>
  <si>
    <t>Ronaldo Roque, Jr.</t>
  </si>
  <si>
    <t>Rod Ross S. De Jesus</t>
  </si>
  <si>
    <t>R3-2025-004156</t>
  </si>
  <si>
    <t>MEYCAUAYAN CITY, BULACAN</t>
  </si>
  <si>
    <t>MEYCAUAYAN CITY HALL, MEYCAUAYAN CITY, 3020, BULACAN, 3020</t>
  </si>
  <si>
    <t>14.8078, 120.8445</t>
  </si>
  <si>
    <t>No MOA presented at the time of inspection</t>
  </si>
  <si>
    <t>63 Bins and 31 bins are used</t>
  </si>
  <si>
    <t>R3-2025-018148</t>
  </si>
  <si>
    <t>SAN JOSE DEL MONTE CITY, BULACAN</t>
  </si>
  <si>
    <t>SAN JOSE DEL MONTE MUNICIPAL HALL, SAN JOSE DEL MONTE-MARILAO ROAD, SAN JOSE DEL MONTE CITY, 3023 BULACAN</t>
  </si>
  <si>
    <t>14.7839, 120.0725</t>
  </si>
  <si>
    <t>R3-2025-013980</t>
  </si>
  <si>
    <t>CABANATUAN CITY, NUEVA ECIJA</t>
  </si>
  <si>
    <t>CORNER M. DE LEON AVENUE AND, 2ND ST, LUNGSOD NG CABANATUAN, NUEVA ECIJA</t>
  </si>
  <si>
    <t>15.4898, 120.9936</t>
  </si>
  <si>
    <t>63 Bins and 16 bins are used</t>
  </si>
  <si>
    <t>OL-GR-R3-49-045496</t>
  </si>
  <si>
    <t>Jay Pee S. Ordoñez</t>
  </si>
  <si>
    <t>R3-2025-011651</t>
  </si>
  <si>
    <t>346 kg</t>
  </si>
  <si>
    <t>PALAYAN CITY, NUEVA ECIJA</t>
  </si>
  <si>
    <t>PALAYAN CITY HALL, 3132 NUEVA ECIJA - AURORA RD, PALAYAN CITY, NUEVA ECIJA</t>
  </si>
  <si>
    <t>15.56215, 121.09815</t>
  </si>
  <si>
    <t>OL-TR-R3-69-000094</t>
  </si>
  <si>
    <t>OL-GR-R3-49-012603</t>
  </si>
  <si>
    <t>CNC-OL-R03-2021-01-00639 (PDS- Not Covered)</t>
  </si>
  <si>
    <t>R3-2025-012143</t>
  </si>
  <si>
    <t>1421 kg</t>
  </si>
  <si>
    <t>SAN JOSE CITY, NUEVA ECIJA</t>
  </si>
  <si>
    <t>SAN JOSE CITY HALL, CARDENAS STREET, PAN-PHILIPPINE HIGHWAY, SAN JOSE CITY, 3121 NUEVA ECIJA</t>
  </si>
  <si>
    <t>15.76052, 120.95548</t>
  </si>
  <si>
    <t>OL-GR-R3-49-016695</t>
  </si>
  <si>
    <t>ECC-OL-R03-2021-0207</t>
  </si>
  <si>
    <t>R3-2025-016710</t>
  </si>
  <si>
    <t xml:space="preserve">No waste disposed as of May 2025; The facility is used as storage of collected lightbulbs. The facility was intact and complete, trashbags and the yellow plastic bags remained inside and unutilized. </t>
  </si>
  <si>
    <t>SCIENCE CITY OF MUÑOZ, NUEVA ECIJA</t>
  </si>
  <si>
    <t>CITY HALL PARKING AREA, 3119 TOBIAS ST, SCIENCE CITY OF MUÑOZ, NUEVA ECIJA</t>
  </si>
  <si>
    <t>15.76113, 120.897652</t>
  </si>
  <si>
    <t>On-going Application</t>
  </si>
  <si>
    <t>OL-GR-R3-49-046578</t>
  </si>
  <si>
    <t>On-going application</t>
  </si>
  <si>
    <t>R3-2025-016685</t>
  </si>
  <si>
    <t>The LGU was advised for immidiate disposal</t>
  </si>
  <si>
    <t>SAN FERNANDO CITY, PAMPANGA (UNIT 1)</t>
  </si>
  <si>
    <t>GEN. HIZON EXTENSION, CORNER CONSUNJI STREET, SAN FERNANDO, PAMPANGA</t>
  </si>
  <si>
    <t>15.08195172, 120.6118654</t>
  </si>
  <si>
    <t>OL-TR-R3-69-000736</t>
  </si>
  <si>
    <t>Yves Yshmael M. Balagtas</t>
  </si>
  <si>
    <t>R3-2025-002080</t>
  </si>
  <si>
    <t>SAN FERNANDO CITY, PAMPANGA (UNIT 2)</t>
  </si>
  <si>
    <t>ANGELES CITY, PAMPANGA</t>
  </si>
  <si>
    <t>VISITACION ST., PAMPANG, ANGELES CITY, PAMPANGA</t>
  </si>
  <si>
    <t>15.14598, 120.58114</t>
  </si>
  <si>
    <t>OL-GR-R3-54-001188</t>
  </si>
  <si>
    <t xml:space="preserve"> R03-03132018-4420</t>
  </si>
  <si>
    <t>DP-R03-23-04003</t>
  </si>
  <si>
    <t>PTO-OL-R03-2023-
05936</t>
  </si>
  <si>
    <t>R3-2025-008743</t>
  </si>
  <si>
    <t>PORAC, PAMPANGA</t>
  </si>
  <si>
    <t>CAPITOL BLVD, SAN FERNANDO, 2000 PAMPANGA</t>
  </si>
  <si>
    <t>15.06912, 120.57166</t>
  </si>
  <si>
    <t>NO DATA</t>
  </si>
  <si>
    <t> R3-2025-015375</t>
  </si>
  <si>
    <t>TARLAC CITY</t>
  </si>
  <si>
    <t>PROVINCIAL CAPITOL, MACABULOS DRIVE, 2300, TARLAC CITY, TARLAC</t>
  </si>
  <si>
    <t>15.47169, 120.58632</t>
  </si>
  <si>
    <t>Twenty-One (21) bins presence in the PDS
Thirty-Seven (37) bins are distributed to district hospitals</t>
  </si>
  <si>
    <t>OL-GR-R3-69-009360</t>
  </si>
  <si>
    <t>03TA-0704-14126-116A</t>
  </si>
  <si>
    <t>DP-R03-23-05236</t>
  </si>
  <si>
    <t>POA-20K-03TA-425</t>
  </si>
  <si>
    <t>R3-2025-006093</t>
  </si>
  <si>
    <t xml:space="preserve">The PDS is functional, PDS facility were installed within the compound of Tarlac Provincial Hospital with on-going application of permits to the EMB R3.
The facility is a registered TSD Facility for M501 wastes; PTT is not required for the transport of treated M501 wastes. 
Pallets are all distributed, the facility functions as temporary storage of bins (body) and other materials used in hospitals and solid wastes. 
For further monitoring.
</t>
  </si>
  <si>
    <t>Fifty Three (53) bins presence in the PDS
Five (5) bins are distributed to district hospitals</t>
  </si>
  <si>
    <t>R3-2025-006094</t>
  </si>
  <si>
    <t xml:space="preserve">The PDS is functional, PDS facility were installed within the compound of Tarlac Provincial Hospital with on-going application of permits to the EMB R3.
The facility is a registered TSD Facility for M501 wastes; PTT is not required for the transport of treated M501 wastes. 
Pallets are distributed to district hospitals and currently the facility is used as storage for bins (body). 
For further monitoring.
</t>
  </si>
  <si>
    <t>IBA, ZAMABALES</t>
  </si>
  <si>
    <t>ZAMBALES PROVINCIAL CAPITOL, GARCIA ST, IBA, ZAMBALES</t>
  </si>
  <si>
    <t>15.3133, 119.9989</t>
  </si>
  <si>
    <t>Larizze Santos</t>
  </si>
  <si>
    <t>Jun Guillermo</t>
  </si>
  <si>
    <t>R3-2025-011720</t>
  </si>
  <si>
    <t>R3-2025-011721</t>
  </si>
  <si>
    <t>OLONGAPO CITY, ZAMBALES</t>
  </si>
  <si>
    <t>OLONGAPO CITY HALL, ARTHUR STREET, OLONGAPO, 2200 ZAMBALES</t>
  </si>
  <si>
    <t>14.8456, 120.3292</t>
  </si>
  <si>
    <t>62 bis, 29 are used</t>
  </si>
  <si>
    <t>On process</t>
  </si>
  <si>
    <t>R3-2025-008287</t>
  </si>
  <si>
    <t>Year End Operation</t>
  </si>
  <si>
    <t>Year Fully Rehabilitated</t>
  </si>
  <si>
    <t>ESWM Staff
(Sub Focal)</t>
  </si>
  <si>
    <t>Tracking of Reports
(to be filled out by Planning Section)</t>
  </si>
  <si>
    <t>Status of the 
site area</t>
  </si>
  <si>
    <t>1. Site Clearing</t>
  </si>
  <si>
    <t>2. Site Grading and Stabilization of Critical Slopes</t>
  </si>
  <si>
    <t>3. Application and Maintenance of Soil Cover</t>
  </si>
  <si>
    <t>4. Provision of Drainage Control System</t>
  </si>
  <si>
    <t>5. Leachate Management</t>
  </si>
  <si>
    <t>6. Gas Management</t>
  </si>
  <si>
    <t>7. Fencing and Security</t>
  </si>
  <si>
    <t>8. Putting-up of Signages</t>
  </si>
  <si>
    <t>9. Prohibition of Burning at the Dumpsite</t>
  </si>
  <si>
    <t>Remarks and Recommendation</t>
  </si>
  <si>
    <t xml:space="preserve"> Aurora</t>
  </si>
  <si>
    <t>15.87539,121.5255</t>
  </si>
  <si>
    <t xml:space="preserve">R3-2025-019569 </t>
  </si>
  <si>
    <t>Ma. Erlinda H. Eugenio</t>
  </si>
  <si>
    <t>For further monitoring</t>
  </si>
  <si>
    <t>14.915929,120.451488</t>
  </si>
  <si>
    <t>R3-2025-027766</t>
  </si>
  <si>
    <t>Fully Rehabilitated</t>
  </si>
  <si>
    <t>14.815472,120.479834</t>
  </si>
  <si>
    <t>R3-2025-003337</t>
  </si>
  <si>
    <t>•	A portion of closed dumpsite is being used as Central MRF.</t>
  </si>
  <si>
    <t>14.56982778,120.5517167</t>
  </si>
  <si>
    <t>R3-2025-031513</t>
  </si>
  <si>
    <t>Ipag</t>
  </si>
  <si>
    <t>14.424244,120.479199</t>
  </si>
  <si>
    <t>R3-2025-034924</t>
  </si>
  <si>
    <t>Mabayo</t>
  </si>
  <si>
    <t>14.73439722,120.316425</t>
  </si>
  <si>
    <t>R3-2025-016418</t>
  </si>
  <si>
    <t>14.78626667,120.4752528</t>
  </si>
  <si>
    <t>R3-2025-012393</t>
  </si>
  <si>
    <t>General Lim</t>
  </si>
  <si>
    <t>14.58803056,120.5265667</t>
  </si>
  <si>
    <t>R3-2025-023305</t>
  </si>
  <si>
    <t>The LGU Orion, Bataan, shall proceed with the installation of fences and signage indicating that the facility is already closed</t>
  </si>
  <si>
    <t>14.77468333,120.5082389</t>
  </si>
  <si>
    <t xml:space="preserve">R3-2025-008770	</t>
  </si>
  <si>
    <t>Malolos City</t>
  </si>
  <si>
    <t>14.8070755,120.8471741</t>
  </si>
  <si>
    <t>R3-2025-022970</t>
  </si>
  <si>
    <t>Binagbag</t>
  </si>
  <si>
    <t>14.93241389,121.043125</t>
  </si>
  <si>
    <t>R3-2025-027679</t>
  </si>
  <si>
    <t>Bonga Menor</t>
  </si>
  <si>
    <t>14.95895833,120.9337083</t>
  </si>
  <si>
    <t>R3-2025-012420</t>
  </si>
  <si>
    <t>Sapang Bayan</t>
  </si>
  <si>
    <t>14.927519,120.78781</t>
  </si>
  <si>
    <t>Rod Ross De Jesus</t>
  </si>
  <si>
    <t>R3-2025-005556</t>
  </si>
  <si>
    <t>14.85065556,120.764675</t>
  </si>
  <si>
    <t>R3-2025-008012</t>
  </si>
  <si>
    <t>14.808448,120.843905</t>
  </si>
  <si>
    <t>Ronaldo Roque</t>
  </si>
  <si>
    <t>R3-2025-019626</t>
  </si>
  <si>
    <t>Sta. Rosa II</t>
  </si>
  <si>
    <t>15.447848,121.086785</t>
  </si>
  <si>
    <t>R3-2025-016520</t>
  </si>
  <si>
    <t>For issuance of Notice of Violation (NOV) to Mr. Fredie Doculan in violation to Sec. 37, Art. 6 of Republic Act (RA) 9003 otherwise known as the “Ecological Solid Waste Management Act of 2000” which strictly prohibits the establishment and maintenance of open dumpsites.</t>
  </si>
  <si>
    <t>14.827323,120.763233</t>
  </si>
  <si>
    <t>R3-2025-009168</t>
  </si>
  <si>
    <t>Akle</t>
  </si>
  <si>
    <t>15.04271667,121.0575139</t>
  </si>
  <si>
    <t>R3-2025-034957</t>
  </si>
  <si>
    <t>Biak na Bato</t>
  </si>
  <si>
    <t>15.13490833,121.0599028</t>
  </si>
  <si>
    <t>R3-2025-30121</t>
  </si>
  <si>
    <t>Sta. Maria</t>
  </si>
  <si>
    <t>14.871144,120.972808</t>
  </si>
  <si>
    <t>15.479856,120.818611</t>
  </si>
  <si>
    <t>Jay Pee S. Ordonez</t>
  </si>
  <si>
    <t>R3-2025-031789</t>
  </si>
  <si>
    <t>Cabanatuan City</t>
  </si>
  <si>
    <t>Valle Cruz</t>
  </si>
  <si>
    <t>15.489002,120.992263</t>
  </si>
  <si>
    <t>Christian Jem L. Bularan</t>
  </si>
  <si>
    <t>R3-2025-012149</t>
  </si>
  <si>
    <t>On going site clearing/ collection of old waste</t>
  </si>
  <si>
    <t>15.204658,120.836305</t>
  </si>
  <si>
    <t>R3-2025-003760</t>
  </si>
  <si>
    <t>Gapan City</t>
  </si>
  <si>
    <t>Makabaklay</t>
  </si>
  <si>
    <t>15.291963,121.037785</t>
  </si>
  <si>
    <t>R3-2025-004163</t>
  </si>
  <si>
    <t>A portion of dumpsite was burning.
For issuance of Show Cause Order.</t>
  </si>
  <si>
    <t>Gen. M. Natividad</t>
  </si>
  <si>
    <t>15.606367,121.110737</t>
  </si>
  <si>
    <t>R3-2025-023492</t>
  </si>
  <si>
    <t>Culong</t>
  </si>
  <si>
    <t>15.656574,120.847676</t>
  </si>
  <si>
    <t>R3-2025-016288</t>
  </si>
  <si>
    <t>15.704369,121.047128</t>
  </si>
  <si>
    <t>R3-2025-020225</t>
  </si>
  <si>
    <t>Palayan City</t>
  </si>
  <si>
    <t>Atate</t>
  </si>
  <si>
    <t>15.56444444,121.1145</t>
  </si>
  <si>
    <t>R3-2025-016769</t>
  </si>
  <si>
    <t>Fully Rehabilited</t>
  </si>
  <si>
    <t>Sinasajan</t>
  </si>
  <si>
    <t>15.37093056,121.024525</t>
  </si>
  <si>
    <t>R3-2025-012458</t>
  </si>
  <si>
    <t xml:space="preserve">Completed the rehabilitation </t>
  </si>
  <si>
    <t>II</t>
  </si>
  <si>
    <t>15.54465,120.808993</t>
  </si>
  <si>
    <t>R3-2025-031783</t>
  </si>
  <si>
    <t>15.709440, 121.124510</t>
  </si>
  <si>
    <t>R3-2025-031338</t>
  </si>
  <si>
    <t>For continuous monitoring</t>
  </si>
  <si>
    <t>Luyos</t>
  </si>
  <si>
    <t>15.27068611,120.8432</t>
  </si>
  <si>
    <t>R3-2025-025555</t>
  </si>
  <si>
    <t>15.39692222,120.9704722</t>
  </si>
  <si>
    <t>R3-2025-009217</t>
  </si>
  <si>
    <t>Sto. Domingo</t>
  </si>
  <si>
    <t>15.589195,120.869075</t>
  </si>
  <si>
    <t>R3-2025-035077</t>
  </si>
  <si>
    <t>15.644071,120.90362</t>
  </si>
  <si>
    <t>San Miguel na Munti</t>
  </si>
  <si>
    <t>15.53869,120.9434</t>
  </si>
  <si>
    <t>Sta. Ana</t>
  </si>
  <si>
    <t>15.100111, 120.777356</t>
  </si>
  <si>
    <t>R3-2025-023002</t>
  </si>
  <si>
    <t>Angeles City</t>
  </si>
  <si>
    <t>Pampang</t>
  </si>
  <si>
    <t>15.1489,120.5831562</t>
  </si>
  <si>
    <t>R3-2025-013494</t>
  </si>
  <si>
    <t>Fully Rehabilited and on going construction of a building</t>
  </si>
  <si>
    <t>Capalangan</t>
  </si>
  <si>
    <t>14.92821111,120.7636167</t>
  </si>
  <si>
    <t>Maliwalo</t>
  </si>
  <si>
    <t>15.08459167,120.6056917</t>
  </si>
  <si>
    <t>R3-2025-016671</t>
  </si>
  <si>
    <t>Pansinao</t>
  </si>
  <si>
    <t>15.01660833,120.8866861</t>
  </si>
  <si>
    <t>R3-2025-035171</t>
  </si>
  <si>
    <t>City of San Fernando</t>
  </si>
  <si>
    <t>15.08325278,120.6193694</t>
  </si>
  <si>
    <t>2017 &amp; 2018</t>
  </si>
  <si>
    <t>1147462.51 &amp; 1291852.33</t>
  </si>
  <si>
    <t>R3-2025-002484</t>
  </si>
  <si>
    <t>14.8955,120.724323</t>
  </si>
  <si>
    <t>R3-2025-031124</t>
  </si>
  <si>
    <t xml:space="preserve">REMARKS
An accumulation of mixed wastes on some parts of the rehabilitated area. Also, one (1) gas vent was already damaged due to the dumped mixed wastes. As per OIC-MENRO, Mr.Clarin, the area seen with dumping is their temporary sorting area since the ground going to MRF was very saturated. Hence, the garbage trucks and hauler cannot pass through.
RECOMMENDATION:
	The EnMO advised the LGU to immediately conduct a site clearing in the area. Also, to properly sort and disposed the solid wastes at the accredited Sanitary Landfill. Also, to ensure the wearing of proper PPEs of every personnel/ sorters. A Site inspection Report with IIS No. R3-2025-030330 was already submitted to this office regarding the violation committed of this rehabilitated dumpsite. Further, the EnMO reminds and enjoin the LGU to adhere and comply with the provisions of RA 9003 and other Environmental Laws.
</t>
  </si>
  <si>
    <t>Bebe-Anac</t>
  </si>
  <si>
    <t>14.88279722,120.7110806</t>
  </si>
  <si>
    <t>R3-2025-019742</t>
  </si>
  <si>
    <t>Sta.Catalina</t>
  </si>
  <si>
    <t>14.963733,120.663186</t>
  </si>
  <si>
    <t>R3-2025-005289</t>
  </si>
  <si>
    <t>Sta.Lucia</t>
  </si>
  <si>
    <t>14.93701667,120.6174167</t>
  </si>
  <si>
    <t>R3-2025-008777</t>
  </si>
  <si>
    <t>15.003648,120.697344</t>
  </si>
  <si>
    <t>R3-2025-027292</t>
  </si>
  <si>
    <t>15.63233333,120.3527611</t>
  </si>
  <si>
    <t>R3-2025-026559</t>
  </si>
  <si>
    <t>Issuing a Technical Conference to the LGU of Gerona is recommended</t>
  </si>
  <si>
    <t xml:space="preserve">Paniqui </t>
  </si>
  <si>
    <t>15.64331111,120.5605056</t>
  </si>
  <si>
    <t>R3-2025-020273</t>
  </si>
  <si>
    <t>Returned to Focal Person</t>
  </si>
  <si>
    <t xml:space="preserve"> 15.16056,120.07454</t>
  </si>
  <si>
    <t>Ryan Ace Angel</t>
  </si>
  <si>
    <t>R3-2025-035002</t>
  </si>
  <si>
    <t>Bangantalinga</t>
  </si>
  <si>
    <t xml:space="preserve"> 15.343746,119.981228</t>
  </si>
  <si>
    <t>R3-2025-011718</t>
  </si>
  <si>
    <t xml:space="preserve"> 15.44514167,120.016275</t>
  </si>
  <si>
    <t>Not Rehabilitated</t>
  </si>
  <si>
    <t>R3-2025-023795</t>
  </si>
  <si>
    <t>Recommendation for issuance of Cease and Desist Order for violation of Section 37 and Secction 48 (9) - " Prohibition Against the Use of Open Dumps for Solid Waste" and Section 48 (3) under Prohibited Acts - " The open burning of solid waste"</t>
  </si>
  <si>
    <t>San marcelino</t>
  </si>
  <si>
    <t>14.969268,120.132488</t>
  </si>
  <si>
    <t xml:space="preserve"> R3-2025-005742</t>
  </si>
  <si>
    <t>Naugsol</t>
  </si>
  <si>
    <t>14.87816667,120.2512972</t>
  </si>
  <si>
    <t>2015 Population</t>
  </si>
  <si>
    <t>2020 Population</t>
  </si>
  <si>
    <t>Technical Assisstance</t>
  </si>
  <si>
    <t>Year Monitored</t>
  </si>
  <si>
    <t>Date conducted Technical Assistance</t>
  </si>
  <si>
    <t>Date  Submitted to IIS</t>
  </si>
  <si>
    <t>Activity Report (IIS Number)</t>
  </si>
  <si>
    <t>Date forwarded by ESWM to EMED</t>
  </si>
  <si>
    <t>Accomplishment for the month of</t>
  </si>
  <si>
    <t>Type of Facility</t>
  </si>
  <si>
    <t>Status</t>
  </si>
  <si>
    <t>Interventions conducted</t>
  </si>
  <si>
    <t>Date of TC (if applicable)</t>
  </si>
  <si>
    <t>Date Forwarded to Planning</t>
  </si>
  <si>
    <t>Baler (Capital)</t>
  </si>
  <si>
    <t>Barangay I (Pob.)</t>
  </si>
  <si>
    <t>CONDUCTED TECHNICAL ASSISTANCE</t>
  </si>
  <si>
    <t>R3-2024-010226</t>
  </si>
  <si>
    <t>Technical Assistance</t>
  </si>
  <si>
    <t>Barangay II (Pob.)</t>
  </si>
  <si>
    <t>R3-2024-017263</t>
  </si>
  <si>
    <t>Barangay III (Pob.)</t>
  </si>
  <si>
    <t>R3-2024-014294</t>
  </si>
  <si>
    <t>Barangay IV (Pob.)</t>
  </si>
  <si>
    <t xml:space="preserve">R3-2024-014974	</t>
  </si>
  <si>
    <t>Barangay V (Pob.)</t>
  </si>
  <si>
    <t>R3-2024-025342</t>
  </si>
  <si>
    <t>R3-2024-024391</t>
  </si>
  <si>
    <t>R3-2024-017195</t>
  </si>
  <si>
    <t>Obligacion</t>
  </si>
  <si>
    <t>R3-2024-024394</t>
  </si>
  <si>
    <t xml:space="preserve"> R3-2024-025283</t>
  </si>
  <si>
    <t>Reserva</t>
  </si>
  <si>
    <t>R3-2024-006789</t>
  </si>
  <si>
    <t>R3-2024-017220</t>
  </si>
  <si>
    <t>Suclayin</t>
  </si>
  <si>
    <t>NO TECHNICAL ASSISTANCE CONDUCTED</t>
  </si>
  <si>
    <t>R3-2024-025314</t>
  </si>
  <si>
    <t>Barangay 1 (Pob.)</t>
  </si>
  <si>
    <t>R3-2024-006165</t>
  </si>
  <si>
    <t>Barangay 2 (Pob.)</t>
  </si>
  <si>
    <t>R3-2024-006093</t>
  </si>
  <si>
    <t>Barangay 3 (Pob.)</t>
  </si>
  <si>
    <t>R3-2024-006610</t>
  </si>
  <si>
    <t>Barangay 4 (Pob.)</t>
  </si>
  <si>
    <t>R3-2024-006612</t>
  </si>
  <si>
    <t>Barangay 5 (Pob.)</t>
  </si>
  <si>
    <t>R3-2024-016506</t>
  </si>
  <si>
    <t>Barangay 6 (Pob.)</t>
  </si>
  <si>
    <t>R3-2024-016507</t>
  </si>
  <si>
    <t>Barangay 7 (Pob.)</t>
  </si>
  <si>
    <t>R3-2024-016509</t>
  </si>
  <si>
    <t>Barangay 8 (Pob.)</t>
  </si>
  <si>
    <t>R3-2024-017138</t>
  </si>
  <si>
    <t>Calabgan</t>
  </si>
  <si>
    <t>R3-2024-010128</t>
  </si>
  <si>
    <t>Calangcuasan</t>
  </si>
  <si>
    <t>R3-2024-020843</t>
  </si>
  <si>
    <t>R3-2024-014193</t>
  </si>
  <si>
    <t>Culat</t>
  </si>
  <si>
    <t xml:space="preserve"> R3-2024-021724</t>
  </si>
  <si>
    <t>Dibet</t>
  </si>
  <si>
    <t>R3-2024-036276</t>
  </si>
  <si>
    <t>Received by planning</t>
  </si>
  <si>
    <t>Esperanza</t>
  </si>
  <si>
    <t>R3-2024-040316</t>
  </si>
  <si>
    <t>Lual</t>
  </si>
  <si>
    <t>R3-2024-014192</t>
  </si>
  <si>
    <t>Marikit</t>
  </si>
  <si>
    <t>R3-2024-037224</t>
  </si>
  <si>
    <t>Tabas</t>
  </si>
  <si>
    <t>R3-2024-040318</t>
  </si>
  <si>
    <t>Tinib</t>
  </si>
  <si>
    <t>R3-2024-037223</t>
  </si>
  <si>
    <t>Bianoan</t>
  </si>
  <si>
    <t>R3-2024-032339</t>
  </si>
  <si>
    <t>Cozo</t>
  </si>
  <si>
    <t>R3-2024-042579</t>
  </si>
  <si>
    <t>Dibacong</t>
  </si>
  <si>
    <t>R3-2024-032340</t>
  </si>
  <si>
    <t>Ditinagyan</t>
  </si>
  <si>
    <t>R3-2024-036275</t>
  </si>
  <si>
    <t>Esteves</t>
  </si>
  <si>
    <t>R3-2024-010129</t>
  </si>
  <si>
    <t>R3-2024-042580</t>
  </si>
  <si>
    <t>Diagyan</t>
  </si>
  <si>
    <t>Dicabasan</t>
  </si>
  <si>
    <t>R3-2024-039564</t>
  </si>
  <si>
    <t>Dilaguidi</t>
  </si>
  <si>
    <t>R3-2024-039565</t>
  </si>
  <si>
    <t>Dimaseset</t>
  </si>
  <si>
    <t>R3-2024-033063</t>
  </si>
  <si>
    <t>Diniog</t>
  </si>
  <si>
    <t>R3-2024-039460</t>
  </si>
  <si>
    <t>Lawang</t>
  </si>
  <si>
    <t>Maligaya (Pob.)</t>
  </si>
  <si>
    <t>R3-2024-037072</t>
  </si>
  <si>
    <t>Manggitahan</t>
  </si>
  <si>
    <t>R3-2024-033057</t>
  </si>
  <si>
    <t>Masagana (Pob.)</t>
  </si>
  <si>
    <t>R3-2024-037075</t>
  </si>
  <si>
    <t>Ura</t>
  </si>
  <si>
    <t>R3-2024-040615</t>
  </si>
  <si>
    <t>Abuleg</t>
  </si>
  <si>
    <t>R3-2024-032479</t>
  </si>
  <si>
    <t>Zone I (Pob.)</t>
  </si>
  <si>
    <t>R3-2024-010124</t>
  </si>
  <si>
    <t>Zone II (Pob.)</t>
  </si>
  <si>
    <t>R3-2024-010127</t>
  </si>
  <si>
    <t>Nipoo</t>
  </si>
  <si>
    <t>R3-2024-036436</t>
  </si>
  <si>
    <t>R3-2024-013886</t>
  </si>
  <si>
    <t>Ditawini</t>
  </si>
  <si>
    <t>R3-2024-032477</t>
  </si>
  <si>
    <t>Mapalad</t>
  </si>
  <si>
    <t>R3-2024-020844</t>
  </si>
  <si>
    <t>Paleg</t>
  </si>
  <si>
    <t>R3-2024-013901</t>
  </si>
  <si>
    <t>Simbahan</t>
  </si>
  <si>
    <t>R3-2024-020845</t>
  </si>
  <si>
    <t>Aplaya</t>
  </si>
  <si>
    <t>R3-2024-040792</t>
  </si>
  <si>
    <t>Butas Na Bato</t>
  </si>
  <si>
    <t>R3-2024-040790</t>
  </si>
  <si>
    <t>Cabog</t>
  </si>
  <si>
    <t>R3-2024-040775</t>
  </si>
  <si>
    <t>R3-2024-032364</t>
  </si>
  <si>
    <t>Davildavilan</t>
  </si>
  <si>
    <t>R3-2024-010414</t>
  </si>
  <si>
    <t>Dikapanikian</t>
  </si>
  <si>
    <t>Ibona</t>
  </si>
  <si>
    <t>R3-2024-017190</t>
  </si>
  <si>
    <t>Paltic</t>
  </si>
  <si>
    <t>R3-2024-040765</t>
  </si>
  <si>
    <t>R3-2024-010420</t>
  </si>
  <si>
    <t>R3-2024-017205</t>
  </si>
  <si>
    <t>R3-2024-040789</t>
  </si>
  <si>
    <t>Bayabas</t>
  </si>
  <si>
    <t>R3-2024-036132</t>
  </si>
  <si>
    <t>Buenavista</t>
  </si>
  <si>
    <t>R3-2024-021731</t>
  </si>
  <si>
    <t>Borlongan</t>
  </si>
  <si>
    <t>R3-2024-040526</t>
  </si>
  <si>
    <t>Calaocan</t>
  </si>
  <si>
    <t>R3-2024-040375</t>
  </si>
  <si>
    <t>Dianed</t>
  </si>
  <si>
    <t>R3-2024-040376</t>
  </si>
  <si>
    <t>Diarabasin</t>
  </si>
  <si>
    <t>R3-2024-040527</t>
  </si>
  <si>
    <t>Dibutunan</t>
  </si>
  <si>
    <t>R3-2024-029396</t>
  </si>
  <si>
    <t>Dimabuno</t>
  </si>
  <si>
    <t>R3-2024-029398</t>
  </si>
  <si>
    <t>R3-2024-029392</t>
  </si>
  <si>
    <t>Ditale</t>
  </si>
  <si>
    <t>R3-2024-029391</t>
  </si>
  <si>
    <t>R3-2024-028242</t>
  </si>
  <si>
    <t>Ipil</t>
  </si>
  <si>
    <t>R3-2024-010270</t>
  </si>
  <si>
    <t>Laboy</t>
  </si>
  <si>
    <t>R3-2024-036129</t>
  </si>
  <si>
    <t>Lipit</t>
  </si>
  <si>
    <t>R3-2024-033346</t>
  </si>
  <si>
    <t>Lobbot</t>
  </si>
  <si>
    <t>R3-2024-036443</t>
  </si>
  <si>
    <t>R3-2024-033345</t>
  </si>
  <si>
    <t>Mijares</t>
  </si>
  <si>
    <t>R3-2024-028501</t>
  </si>
  <si>
    <t>Mucdol</t>
  </si>
  <si>
    <t xml:space="preserve"> R3-2024-032671</t>
  </si>
  <si>
    <t>R3-2024-032678</t>
  </si>
  <si>
    <t>No MRF / MRS constructed</t>
  </si>
  <si>
    <t>Puangi</t>
  </si>
  <si>
    <t>R3-2024-021746</t>
  </si>
  <si>
    <t>Salay</t>
  </si>
  <si>
    <t>R3-2024-040183</t>
  </si>
  <si>
    <t>Sapangkawayan</t>
  </si>
  <si>
    <t>R3-2024-036441</t>
  </si>
  <si>
    <t>R3-2024-036588</t>
  </si>
  <si>
    <t>Diamanen</t>
  </si>
  <si>
    <t>Alcala</t>
  </si>
  <si>
    <t>R3-2024-020362</t>
  </si>
  <si>
    <t>Bagtu</t>
  </si>
  <si>
    <t>R3-2024-024879</t>
  </si>
  <si>
    <t>Bangco</t>
  </si>
  <si>
    <t>R3-2024-021205</t>
  </si>
  <si>
    <t>R3-2024-033038</t>
  </si>
  <si>
    <t>R3-2024-013430</t>
  </si>
  <si>
    <t>R3-2024-014063</t>
  </si>
  <si>
    <t>R3-2024-006049</t>
  </si>
  <si>
    <t>R3-2024-027978</t>
  </si>
  <si>
    <t>Baubo</t>
  </si>
  <si>
    <t>R3-2024-027977</t>
  </si>
  <si>
    <t>Bayanihan</t>
  </si>
  <si>
    <t>R3-2024-033046</t>
  </si>
  <si>
    <t>Bazal</t>
  </si>
  <si>
    <t>R3-2024-006041</t>
  </si>
  <si>
    <t>Cabituculan East</t>
  </si>
  <si>
    <t>R3-2024-032046</t>
  </si>
  <si>
    <t>Cabituculan West</t>
  </si>
  <si>
    <t>R3-2024-010026</t>
  </si>
  <si>
    <t>Debucao</t>
  </si>
  <si>
    <t>R3-2024-024881</t>
  </si>
  <si>
    <t>Decoliat</t>
  </si>
  <si>
    <t>R3-2024-036236</t>
  </si>
  <si>
    <t>Detailen</t>
  </si>
  <si>
    <t>R3-2024-016633</t>
  </si>
  <si>
    <t>Diaat</t>
  </si>
  <si>
    <t>R3-2024-028935</t>
  </si>
  <si>
    <t>Dialatman</t>
  </si>
  <si>
    <t>R3-2024-037254</t>
  </si>
  <si>
    <t>Diaman</t>
  </si>
  <si>
    <t>R3-2024-037226</t>
  </si>
  <si>
    <t>Dianawan</t>
  </si>
  <si>
    <t>R3-2024-036555</t>
  </si>
  <si>
    <t>Dikildit</t>
  </si>
  <si>
    <t>R3-2024-006046</t>
  </si>
  <si>
    <t>Dimanpudso</t>
  </si>
  <si>
    <t>R3-2024-010029</t>
  </si>
  <si>
    <t>Diome</t>
  </si>
  <si>
    <t>R3-2024-028936</t>
  </si>
  <si>
    <t>Estonilo(Sto. Cristo)</t>
  </si>
  <si>
    <t>R3-2024-032047</t>
  </si>
  <si>
    <t>Florida</t>
  </si>
  <si>
    <t>R3-2024-040313</t>
  </si>
  <si>
    <t>Galintuja</t>
  </si>
  <si>
    <t>R3-2024-036550</t>
  </si>
  <si>
    <t>Cadayacan</t>
  </si>
  <si>
    <t>R3-2024-024882</t>
  </si>
  <si>
    <t xml:space="preserve">R3-2024-016681 </t>
  </si>
  <si>
    <t>Ponglo</t>
  </si>
  <si>
    <t>Quirino</t>
  </si>
  <si>
    <t>R3-2024-033054</t>
  </si>
  <si>
    <t>Ramada</t>
  </si>
  <si>
    <t>R3-2024-014293</t>
  </si>
  <si>
    <t>R3-2024- 006050</t>
  </si>
  <si>
    <t>R3-2024-012430</t>
  </si>
  <si>
    <t>R3-2024-020513</t>
  </si>
  <si>
    <t>Santa Lucia</t>
  </si>
  <si>
    <t>R3-2024-021204</t>
  </si>
  <si>
    <t>Santo Tomas</t>
  </si>
  <si>
    <t>R3-2024-027976</t>
  </si>
  <si>
    <t>Suguit</t>
  </si>
  <si>
    <t>R3-2024-037260</t>
  </si>
  <si>
    <t>Villa Aurora</t>
  </si>
  <si>
    <t>R3-2024-040590</t>
  </si>
  <si>
    <t>Wenceslao</t>
  </si>
  <si>
    <t>R3-2024-024880</t>
  </si>
  <si>
    <t xml:space="preserve">R3-2024-036244	</t>
  </si>
  <si>
    <t>Bacong</t>
  </si>
  <si>
    <t>R3-2024-014253</t>
  </si>
  <si>
    <t>R3-2024-010349</t>
  </si>
  <si>
    <t>Februay 8, 2024</t>
  </si>
  <si>
    <t>R3-2024-006923</t>
  </si>
  <si>
    <t>R3-2024-006787</t>
  </si>
  <si>
    <t>R3-2024-036137</t>
  </si>
  <si>
    <t>Dibalo</t>
  </si>
  <si>
    <t>R3-2024-040812</t>
  </si>
  <si>
    <t>CATER BY LGU</t>
  </si>
  <si>
    <t>Dibayabay</t>
  </si>
  <si>
    <t>Dibut</t>
  </si>
  <si>
    <t>Dikapinisan</t>
  </si>
  <si>
    <t>Dimanayat</t>
  </si>
  <si>
    <t>Diteki</t>
  </si>
  <si>
    <t>R3-2024-010225</t>
  </si>
  <si>
    <t>Ditumabo</t>
  </si>
  <si>
    <t xml:space="preserve"> R3-2024-021751</t>
  </si>
  <si>
    <t>R3-2024-032366</t>
  </si>
  <si>
    <t>Nonong Senior</t>
  </si>
  <si>
    <t>R3-2024-014265</t>
  </si>
  <si>
    <t>Real</t>
  </si>
  <si>
    <t>R3-2024-006924</t>
  </si>
  <si>
    <t>R3-2024-021838</t>
  </si>
  <si>
    <t>R3-2024-032371</t>
  </si>
  <si>
    <t>Zarah</t>
  </si>
  <si>
    <t>R3-2024-018031</t>
  </si>
  <si>
    <t>Bangkal</t>
  </si>
  <si>
    <t>May 22, 2024</t>
  </si>
  <si>
    <t>May 27, 2024</t>
  </si>
  <si>
    <t>R3-2024-019273</t>
  </si>
  <si>
    <t>Calaylayan (Pob.)</t>
  </si>
  <si>
    <t>R3-2024-007160</t>
  </si>
  <si>
    <t>May 02, 2024</t>
  </si>
  <si>
    <t>May 06, 2024</t>
  </si>
  <si>
    <t>R3-2024-016402</t>
  </si>
  <si>
    <t>May 08, 2024</t>
  </si>
  <si>
    <t>Gabon</t>
  </si>
  <si>
    <t>R3-2024-011440</t>
  </si>
  <si>
    <t>Laon (Pob.)</t>
  </si>
  <si>
    <t>April 17, 2024</t>
  </si>
  <si>
    <t>April 22, 2024</t>
  </si>
  <si>
    <t>R3-2024-014858</t>
  </si>
  <si>
    <t>April 25, 2024</t>
  </si>
  <si>
    <t>Mabatang</t>
  </si>
  <si>
    <t>R3-2024-012090</t>
  </si>
  <si>
    <t>Omboy</t>
  </si>
  <si>
    <t>R3-2024-012088</t>
  </si>
  <si>
    <t>Salian</t>
  </si>
  <si>
    <t>July 03, 2024</t>
  </si>
  <si>
    <t>July 08, 2024</t>
  </si>
  <si>
    <t>R3-2024-024463</t>
  </si>
  <si>
    <t>Wawa (Pob.)</t>
  </si>
  <si>
    <t>April 23, 2024</t>
  </si>
  <si>
    <t>April 29, 2024</t>
  </si>
  <si>
    <t>R3-2024-015645</t>
  </si>
  <si>
    <t>April 08, 2024</t>
  </si>
  <si>
    <t>Bagumbayan (Pob.)</t>
  </si>
  <si>
    <t>October 01, 2024</t>
  </si>
  <si>
    <t>October 02, 2024</t>
  </si>
  <si>
    <t>R3-2024-035242</t>
  </si>
  <si>
    <t>October 04, 2024</t>
  </si>
  <si>
    <t>October 07, 2024</t>
  </si>
  <si>
    <t>R3-2024-035808</t>
  </si>
  <si>
    <t>R3-2024-040003</t>
  </si>
  <si>
    <t>Binukawan</t>
  </si>
  <si>
    <t>September 20, 2024</t>
  </si>
  <si>
    <t>September 23, 2024</t>
  </si>
  <si>
    <t>R3-2024-033888</t>
  </si>
  <si>
    <t>Ibaba</t>
  </si>
  <si>
    <t>Ibis</t>
  </si>
  <si>
    <t>R3-2024-039205</t>
  </si>
  <si>
    <t>R3-2024-038495</t>
  </si>
  <si>
    <t>Parang</t>
  </si>
  <si>
    <t>September 11, 2024</t>
  </si>
  <si>
    <t>September 16, 2024</t>
  </si>
  <si>
    <t>R3-2024-032798</t>
  </si>
  <si>
    <t>Paysawan</t>
  </si>
  <si>
    <t>R3-2024-039998</t>
  </si>
  <si>
    <t>R3-2024-040006</t>
  </si>
  <si>
    <t>September 26, 2024</t>
  </si>
  <si>
    <t>R3-2024-034508</t>
  </si>
  <si>
    <t>Saysain</t>
  </si>
  <si>
    <t>R3-2024-039209</t>
  </si>
  <si>
    <t>Tabing-Ilog (Pob.)</t>
  </si>
  <si>
    <t>R3-2024-038136</t>
  </si>
  <si>
    <t>Atilano L. Ricardo</t>
  </si>
  <si>
    <t>R3-2024-037045</t>
  </si>
  <si>
    <t>City of Balanga (Capital)</t>
  </si>
  <si>
    <t>R3-2024-010987</t>
  </si>
  <si>
    <t>Cabog-Cabog</t>
  </si>
  <si>
    <t>June 14, 2024</t>
  </si>
  <si>
    <t>June 18, 2024</t>
  </si>
  <si>
    <t>R3-2024-021794</t>
  </si>
  <si>
    <t>R3-2024-008375</t>
  </si>
  <si>
    <t>Cataning</t>
  </si>
  <si>
    <t>June 07, 2024</t>
  </si>
  <si>
    <t>June 11, 2024</t>
  </si>
  <si>
    <t>R3-2024-021118</t>
  </si>
  <si>
    <t>Central</t>
  </si>
  <si>
    <t>Cupang Proper</t>
  </si>
  <si>
    <t>Cupang West</t>
  </si>
  <si>
    <t>Dangcol</t>
  </si>
  <si>
    <t>Ibayo</t>
  </si>
  <si>
    <t>R3-2024-008372</t>
  </si>
  <si>
    <t>Malabia</t>
  </si>
  <si>
    <t>R3-2024-007527</t>
  </si>
  <si>
    <t>July 02, 2024</t>
  </si>
  <si>
    <t>R3-2024-024461</t>
  </si>
  <si>
    <t>Pto. Rivas Ibaba</t>
  </si>
  <si>
    <t>R3-2024-012092</t>
  </si>
  <si>
    <t>April 03, 2024</t>
  </si>
  <si>
    <t>Pto. Rivas Itaas</t>
  </si>
  <si>
    <t>R3-2024-012091</t>
  </si>
  <si>
    <t>R3-2024-012563</t>
  </si>
  <si>
    <t>April 11, 2024</t>
  </si>
  <si>
    <t>Sibacan</t>
  </si>
  <si>
    <t>R3-2024-040036</t>
  </si>
  <si>
    <t>Camacho</t>
  </si>
  <si>
    <t>May 23, 2024</t>
  </si>
  <si>
    <t>R3-2024-019280</t>
  </si>
  <si>
    <t>Talisay</t>
  </si>
  <si>
    <t>May 29, 2024</t>
  </si>
  <si>
    <t>May 31, 2024</t>
  </si>
  <si>
    <t>R3-2024-019768</t>
  </si>
  <si>
    <t>Tanato</t>
  </si>
  <si>
    <t>Tenejero</t>
  </si>
  <si>
    <t>May 03, 2024</t>
  </si>
  <si>
    <t>R3-2024-016404</t>
  </si>
  <si>
    <t>Tortugas</t>
  </si>
  <si>
    <t>R3-2024-035900</t>
  </si>
  <si>
    <t>April 26, 2024</t>
  </si>
  <si>
    <t>R3-2024-015648</t>
  </si>
  <si>
    <t>R3-2024-033917</t>
  </si>
  <si>
    <t>Cupang North</t>
  </si>
  <si>
    <t>May 09, 2024</t>
  </si>
  <si>
    <t>May 13, 2024</t>
  </si>
  <si>
    <t>R3-2024-017295</t>
  </si>
  <si>
    <t>May 15, 2024</t>
  </si>
  <si>
    <t>Doña Francisca</t>
  </si>
  <si>
    <t>R3-2024-010988</t>
  </si>
  <si>
    <t>Lote</t>
  </si>
  <si>
    <t>R3-2024-021792</t>
  </si>
  <si>
    <t>Bangal</t>
  </si>
  <si>
    <t>May 21, 2024</t>
  </si>
  <si>
    <t>R3-2024-018942</t>
  </si>
  <si>
    <t>Bonifacio (Pob.)</t>
  </si>
  <si>
    <t>September 24, 2024</t>
  </si>
  <si>
    <t>September 25, 2024</t>
  </si>
  <si>
    <t>R3-2024-034252</t>
  </si>
  <si>
    <t>Burgos (Pob.)</t>
  </si>
  <si>
    <t>October 08, 2024</t>
  </si>
  <si>
    <t>October 11, 2024</t>
  </si>
  <si>
    <t>R3-2024-036566</t>
  </si>
  <si>
    <t>Colo</t>
  </si>
  <si>
    <t>R3-2024-007774</t>
  </si>
  <si>
    <t>Daang Bago</t>
  </si>
  <si>
    <t>Dalao</t>
  </si>
  <si>
    <t>R3-2024-011053</t>
  </si>
  <si>
    <t>Del Pilar (Pob.)</t>
  </si>
  <si>
    <t>August 28, 2024</t>
  </si>
  <si>
    <t>September 02, 2024</t>
  </si>
  <si>
    <t>R3-2024-031009</t>
  </si>
  <si>
    <t>Gen. Luna (Pob.)</t>
  </si>
  <si>
    <t>Gomez (Pob.)</t>
  </si>
  <si>
    <t>September 18, 2024</t>
  </si>
  <si>
    <t>R3-2024-033238</t>
  </si>
  <si>
    <t>Happy Valley</t>
  </si>
  <si>
    <t>June 20, 2024</t>
  </si>
  <si>
    <t>June 24, 2024</t>
  </si>
  <si>
    <t>R3-2024-022532</t>
  </si>
  <si>
    <t>Kataasan</t>
  </si>
  <si>
    <t>R3-2024-012236</t>
  </si>
  <si>
    <t>Layac</t>
  </si>
  <si>
    <t>R3-2024-040057</t>
  </si>
  <si>
    <t>Luacan</t>
  </si>
  <si>
    <t>July 11, 2024</t>
  </si>
  <si>
    <t>July 15, 2024</t>
  </si>
  <si>
    <t>R3-2024-025331</t>
  </si>
  <si>
    <t>Mabini Proper (Pob.)</t>
  </si>
  <si>
    <t>R3-2024-035212</t>
  </si>
  <si>
    <t>Mabini Ext. (Pob.)</t>
  </si>
  <si>
    <t>R3-2024-035201</t>
  </si>
  <si>
    <t>Magsaysay</t>
  </si>
  <si>
    <t>Naparing</t>
  </si>
  <si>
    <t>R3-2024-015545</t>
  </si>
  <si>
    <t>New San Jose</t>
  </si>
  <si>
    <t>R3-2024-012833</t>
  </si>
  <si>
    <t>Old San Jose</t>
  </si>
  <si>
    <t>Padre Dandan (Pob.)</t>
  </si>
  <si>
    <t>R3-2024-007783</t>
  </si>
  <si>
    <t>R3-2024-015057</t>
  </si>
  <si>
    <t>Pinulot</t>
  </si>
  <si>
    <t>Pita</t>
  </si>
  <si>
    <t>R3-2024-010389</t>
  </si>
  <si>
    <t>Rizal (Pob.)</t>
  </si>
  <si>
    <t>R3-2024-034268</t>
  </si>
  <si>
    <t>Roosevelt</t>
  </si>
  <si>
    <t>R3-2024-017278</t>
  </si>
  <si>
    <t>Roxas (Pob.)</t>
  </si>
  <si>
    <t>Saguing</t>
  </si>
  <si>
    <t>San Benito</t>
  </si>
  <si>
    <t>San Isidro (Pob.)</t>
  </si>
  <si>
    <t>August 20, 2024</t>
  </si>
  <si>
    <t>August 26, 2024</t>
  </si>
  <si>
    <t>R3-2024-030219</t>
  </si>
  <si>
    <t>San Pablo</t>
  </si>
  <si>
    <t>June 03, 2024</t>
  </si>
  <si>
    <t>R3-2024-019941</t>
  </si>
  <si>
    <t>San Ramon</t>
  </si>
  <si>
    <t>R3-2024-037784</t>
  </si>
  <si>
    <t>R3-2024-015059</t>
  </si>
  <si>
    <t>Santo Niño</t>
  </si>
  <si>
    <t>R3-2024-012229</t>
  </si>
  <si>
    <t>Sapang Balas</t>
  </si>
  <si>
    <t>Santa Isabel</t>
  </si>
  <si>
    <t>Torres Bugauen (Pob.)</t>
  </si>
  <si>
    <t>Tucop</t>
  </si>
  <si>
    <t>R3-2024-009221</t>
  </si>
  <si>
    <t>Zamora (Pob.)</t>
  </si>
  <si>
    <t>September 10, 2024</t>
  </si>
  <si>
    <t>R3-2024-032746</t>
  </si>
  <si>
    <t>Aquino</t>
  </si>
  <si>
    <t>R3-2024-039210</t>
  </si>
  <si>
    <t>Bayan-bayanan</t>
  </si>
  <si>
    <t>Payangan</t>
  </si>
  <si>
    <t>June 04, 2024</t>
  </si>
  <si>
    <t>R3-2024-020725</t>
  </si>
  <si>
    <t>Pentor</t>
  </si>
  <si>
    <t>August 13, 2024</t>
  </si>
  <si>
    <t>August 19, 2024</t>
  </si>
  <si>
    <t>R3-2024-029377</t>
  </si>
  <si>
    <t>Tubo-tubo</t>
  </si>
  <si>
    <t>June 27, 2024</t>
  </si>
  <si>
    <t>July 01, 2024</t>
  </si>
  <si>
    <t>R3-2024-023411</t>
  </si>
  <si>
    <t>Jose C. Payumo, Jr.</t>
  </si>
  <si>
    <t>A. Rivera (Pob.)</t>
  </si>
  <si>
    <t>R3-2024-009222</t>
  </si>
  <si>
    <t>Almacen</t>
  </si>
  <si>
    <t>April 19, 2024</t>
  </si>
  <si>
    <t>R3-2024-014657</t>
  </si>
  <si>
    <t>June 21, 2024</t>
  </si>
  <si>
    <t>R3-2024-022554</t>
  </si>
  <si>
    <t>Balsic</t>
  </si>
  <si>
    <t>R3-2024-019258</t>
  </si>
  <si>
    <t>May 30, 2024</t>
  </si>
  <si>
    <t>R3-2024-019975</t>
  </si>
  <si>
    <t>Burgos-Soliman (Pob.)</t>
  </si>
  <si>
    <t>R3-2024-010406</t>
  </si>
  <si>
    <t>Cataning (Pob.)</t>
  </si>
  <si>
    <t>R3-2024-008369</t>
  </si>
  <si>
    <t>Culis</t>
  </si>
  <si>
    <t>R3-2024-007334</t>
  </si>
  <si>
    <t>Daungan (Pob.)</t>
  </si>
  <si>
    <t>R3-2024-017256</t>
  </si>
  <si>
    <t>Mabiga</t>
  </si>
  <si>
    <t>June 25, 2024</t>
  </si>
  <si>
    <t>R3-2024-023341</t>
  </si>
  <si>
    <t>Mabuco</t>
  </si>
  <si>
    <t>R3-2024-011516</t>
  </si>
  <si>
    <t>Maite</t>
  </si>
  <si>
    <t>August 14, 2024</t>
  </si>
  <si>
    <t>R3-2024-029467</t>
  </si>
  <si>
    <t>Mambog - Mandama</t>
  </si>
  <si>
    <t>May 16, 2024</t>
  </si>
  <si>
    <t>May 17, 2024</t>
  </si>
  <si>
    <t>R3-2024-018133</t>
  </si>
  <si>
    <t>May 20, 2024</t>
  </si>
  <si>
    <t>Palihan</t>
  </si>
  <si>
    <t>R3-2024-007335</t>
  </si>
  <si>
    <t>Pandatung</t>
  </si>
  <si>
    <t>July 12, 2024</t>
  </si>
  <si>
    <t>R3-2024-025355</t>
  </si>
  <si>
    <t>Pulo</t>
  </si>
  <si>
    <t>June 05, 2024</t>
  </si>
  <si>
    <t>June 10, 2023</t>
  </si>
  <si>
    <t>R3-2024-020884</t>
  </si>
  <si>
    <t>Saba</t>
  </si>
  <si>
    <t>;June 17, 2024</t>
  </si>
  <si>
    <t>R3-2024-021682</t>
  </si>
  <si>
    <t>San Pedro (Pob.)</t>
  </si>
  <si>
    <t>R3-2024-012834</t>
  </si>
  <si>
    <t>Santo Cristo (Pob.)</t>
  </si>
  <si>
    <t>Aparil 23, 2024</t>
  </si>
  <si>
    <t>R3-2024-015281</t>
  </si>
  <si>
    <t>Sumalo</t>
  </si>
  <si>
    <t>August 08, 2024</t>
  </si>
  <si>
    <t>August 12, 2024</t>
  </si>
  <si>
    <t>R3-2024-028581</t>
  </si>
  <si>
    <t>Tipo</t>
  </si>
  <si>
    <t>R3-2024-029419</t>
  </si>
  <si>
    <t>Judge Roman Cruz Sr. (Mandama)</t>
  </si>
  <si>
    <t>R3-2024-008234</t>
  </si>
  <si>
    <t>Sacrifice Valley</t>
  </si>
  <si>
    <t>July 08, 2023</t>
  </si>
  <si>
    <t>R3-2024-024528</t>
  </si>
  <si>
    <t>R3-2024-009537</t>
  </si>
  <si>
    <t>Kitang I</t>
  </si>
  <si>
    <t>September 06, 2024</t>
  </si>
  <si>
    <t>September 09, 2024</t>
  </si>
  <si>
    <t>R3-2024-032045</t>
  </si>
  <si>
    <t>Kitang 2 &amp; Luz</t>
  </si>
  <si>
    <t>R3-2024-013031</t>
  </si>
  <si>
    <t>April 12. 2024</t>
  </si>
  <si>
    <t>Lamao</t>
  </si>
  <si>
    <t>R3-2024-009532</t>
  </si>
  <si>
    <t>Landing</t>
  </si>
  <si>
    <t>August 09, 2024</t>
  </si>
  <si>
    <t>R3-2024-028507</t>
  </si>
  <si>
    <t>R3-2024-014857</t>
  </si>
  <si>
    <t>Reformista</t>
  </si>
  <si>
    <t>June 28, 2024</t>
  </si>
  <si>
    <t>R3-2024-023393</t>
  </si>
  <si>
    <t>Townsite</t>
  </si>
  <si>
    <t>R3-2024-021115</t>
  </si>
  <si>
    <t>Wawa</t>
  </si>
  <si>
    <t>August 30, 2024</t>
  </si>
  <si>
    <t>R3-2024-031055</t>
  </si>
  <si>
    <t>Duale</t>
  </si>
  <si>
    <t>R3-2024-009539</t>
  </si>
  <si>
    <t>San Francisco de Asis</t>
  </si>
  <si>
    <t>R3-2024-022539</t>
  </si>
  <si>
    <t>St. Francis II</t>
  </si>
  <si>
    <t>R3-2024-010344</t>
  </si>
  <si>
    <t>Alas-asin</t>
  </si>
  <si>
    <t>Batangas II</t>
  </si>
  <si>
    <t>Cabcaben</t>
  </si>
  <si>
    <t>R3-2024-037025</t>
  </si>
  <si>
    <t>Lucanin</t>
  </si>
  <si>
    <t>Baseco Country</t>
  </si>
  <si>
    <t>San Carlos</t>
  </si>
  <si>
    <t>R3-2024-039214</t>
  </si>
  <si>
    <t>Sisiman</t>
  </si>
  <si>
    <t>Biaan</t>
  </si>
  <si>
    <t>R3-2024-038045</t>
  </si>
  <si>
    <t>Camaya</t>
  </si>
  <si>
    <t>Mt. View</t>
  </si>
  <si>
    <t>October 10, 2024</t>
  </si>
  <si>
    <t>October 14, 2024</t>
  </si>
  <si>
    <t>R3-2024-036750</t>
  </si>
  <si>
    <t>Binaritan</t>
  </si>
  <si>
    <t>Nagbalayong</t>
  </si>
  <si>
    <t>September 19, 2024</t>
  </si>
  <si>
    <t>Septembr 23, 2024</t>
  </si>
  <si>
    <t>R3-2024-034002</t>
  </si>
  <si>
    <t>R3-2024-032829</t>
  </si>
  <si>
    <t>R3-2024-038137</t>
  </si>
  <si>
    <t>Bagong Paraiso (Pob.)</t>
  </si>
  <si>
    <t>R3-2024-006840</t>
  </si>
  <si>
    <t>Balut (Pob.)</t>
  </si>
  <si>
    <t>May 24, 2024</t>
  </si>
  <si>
    <t>R3-2024-019295</t>
  </si>
  <si>
    <t>Bayan (Pob.)</t>
  </si>
  <si>
    <t>R3-2024-039951</t>
  </si>
  <si>
    <t>Calero (Pob.)</t>
  </si>
  <si>
    <t>September 27, 2024</t>
  </si>
  <si>
    <t>R3-2024-034629</t>
  </si>
  <si>
    <t xml:space="preserve">Technical Assistance
</t>
  </si>
  <si>
    <t>Paking-Carbonero (Pob.)</t>
  </si>
  <si>
    <t>August 22, 2024</t>
  </si>
  <si>
    <t>R3-2024-030221</t>
  </si>
  <si>
    <t>Centro II (Pob.)</t>
  </si>
  <si>
    <t>June 26, 2024</t>
  </si>
  <si>
    <t>R3-2024-023397</t>
  </si>
  <si>
    <t>Dona</t>
  </si>
  <si>
    <t>July 05, 2024</t>
  </si>
  <si>
    <t>R3-2024-024543</t>
  </si>
  <si>
    <t>Kaparangan</t>
  </si>
  <si>
    <t>R3-2024-033838</t>
  </si>
  <si>
    <t>technical Assistance</t>
  </si>
  <si>
    <t>July 09, 2024</t>
  </si>
  <si>
    <t>R3-2024-025306</t>
  </si>
  <si>
    <t>Mulawin</t>
  </si>
  <si>
    <t>R3-2024-007008</t>
  </si>
  <si>
    <t>August 01, 2024</t>
  </si>
  <si>
    <t>August 05, 2024</t>
  </si>
  <si>
    <t>R3-2024-027610</t>
  </si>
  <si>
    <t>Palihan (Pob.)</t>
  </si>
  <si>
    <t>R3-2024-007933</t>
  </si>
  <si>
    <t>Pantalan Bago (Pob.)</t>
  </si>
  <si>
    <t>R3-2024-012923</t>
  </si>
  <si>
    <t>Pantalan Luma (Pob.)</t>
  </si>
  <si>
    <t>May 03. 2024</t>
  </si>
  <si>
    <t>R3-2024-016214</t>
  </si>
  <si>
    <t>Parang Parang (Pob.)</t>
  </si>
  <si>
    <t>R3-2024-007005</t>
  </si>
  <si>
    <t>Centro I (Pob.)</t>
  </si>
  <si>
    <t>May 14, 2024</t>
  </si>
  <si>
    <t>R3-2024-017914</t>
  </si>
  <si>
    <t>Sibul</t>
  </si>
  <si>
    <t>R3-2024-039072</t>
  </si>
  <si>
    <t>Silahis</t>
  </si>
  <si>
    <t>R3-2024-007928</t>
  </si>
  <si>
    <t>Tala</t>
  </si>
  <si>
    <t>April 16, 2024</t>
  </si>
  <si>
    <t>R3-2024-014655</t>
  </si>
  <si>
    <t>Talimundoc</t>
  </si>
  <si>
    <t xml:space="preserve">R3-2024-011056	</t>
  </si>
  <si>
    <t>Tapulao</t>
  </si>
  <si>
    <t>R3-2024-009647</t>
  </si>
  <si>
    <t>Tenejero (Pob.)</t>
  </si>
  <si>
    <t>April 30, 2024</t>
  </si>
  <si>
    <t>R3-2024-015835</t>
  </si>
  <si>
    <t>Tugatog</t>
  </si>
  <si>
    <t>R3-2024-039184</t>
  </si>
  <si>
    <t>May 10, 2024</t>
  </si>
  <si>
    <t>R3-2024-017306</t>
  </si>
  <si>
    <t>Apollo</t>
  </si>
  <si>
    <t>April 24, 2024</t>
  </si>
  <si>
    <t>R3-2024-015286</t>
  </si>
  <si>
    <t>Kabalutan</t>
  </si>
  <si>
    <t>Maria Fe</t>
  </si>
  <si>
    <t>R3-2024-006825</t>
  </si>
  <si>
    <t>Puksuan</t>
  </si>
  <si>
    <t>June 07, 22024</t>
  </si>
  <si>
    <t>June 10, 2024</t>
  </si>
  <si>
    <t>R3-2024-020900</t>
  </si>
  <si>
    <t>September 04, 2024</t>
  </si>
  <si>
    <t>R3-2024-032007</t>
  </si>
  <si>
    <t>Arellano (Pob.)</t>
  </si>
  <si>
    <t>R3-2024-010334</t>
  </si>
  <si>
    <t>September 30, 2024</t>
  </si>
  <si>
    <t>R3-2024-034765</t>
  </si>
  <si>
    <t>Balagtas (Pob.)</t>
  </si>
  <si>
    <t>R3-2024-018360</t>
  </si>
  <si>
    <t>October 03, 2024</t>
  </si>
  <si>
    <t>R3-2024-035906</t>
  </si>
  <si>
    <t>Bantan</t>
  </si>
  <si>
    <t>R3-2024-020295</t>
  </si>
  <si>
    <t>Bilolo</t>
  </si>
  <si>
    <t>Calungusan</t>
  </si>
  <si>
    <t>August 15, 2024</t>
  </si>
  <si>
    <t>R3-2024-029490</t>
  </si>
  <si>
    <t>R3-2024-015651</t>
  </si>
  <si>
    <t>Daang Bago (Pob.)</t>
  </si>
  <si>
    <t>R3-2024-038002</t>
  </si>
  <si>
    <t>Daang Bilolo (Pob.)</t>
  </si>
  <si>
    <t>R3-2024-039204</t>
  </si>
  <si>
    <t>R3-2024-021116</t>
  </si>
  <si>
    <t>Kapunitan</t>
  </si>
  <si>
    <t>August 29, 2024</t>
  </si>
  <si>
    <t>R3-2024-031053</t>
  </si>
  <si>
    <t>Lati (Pob.)</t>
  </si>
  <si>
    <t>R3-2024-024465</t>
  </si>
  <si>
    <t>Lusungan (Pob.)</t>
  </si>
  <si>
    <t>R3-2024-038003</t>
  </si>
  <si>
    <t>Puting Buhangin</t>
  </si>
  <si>
    <t>R3-2024-033915</t>
  </si>
  <si>
    <t>Sabatan</t>
  </si>
  <si>
    <t>San Vicente (Pob.)</t>
  </si>
  <si>
    <t>R3-2024-009527</t>
  </si>
  <si>
    <t>R3-2024-023392</t>
  </si>
  <si>
    <t>Villa Angeles (Pob.)</t>
  </si>
  <si>
    <t>R3-2024-028508</t>
  </si>
  <si>
    <t>Wakas (Pob.)</t>
  </si>
  <si>
    <t>R3-2024-022538</t>
  </si>
  <si>
    <t>R3-2024-007010</t>
  </si>
  <si>
    <t>Santa Elena</t>
  </si>
  <si>
    <t>September 05, 2024</t>
  </si>
  <si>
    <t>R3-2024-032044</t>
  </si>
  <si>
    <t>Ala-uli</t>
  </si>
  <si>
    <t>July 04, 2024</t>
  </si>
  <si>
    <t>R3-2024-024464</t>
  </si>
  <si>
    <t>June 06, 2024</t>
  </si>
  <si>
    <t>R3-2024-021117</t>
  </si>
  <si>
    <t>Balut I</t>
  </si>
  <si>
    <t>R3-2024-023047</t>
  </si>
  <si>
    <t>Balut II</t>
  </si>
  <si>
    <t>July 31, 2024</t>
  </si>
  <si>
    <t>R3-2024-027578</t>
  </si>
  <si>
    <t>Bantan Munti</t>
  </si>
  <si>
    <t>Maya 13, 2024</t>
  </si>
  <si>
    <t>R3-2024-017294</t>
  </si>
  <si>
    <t>R3-2024-020297</t>
  </si>
  <si>
    <t>Del Rosario (Pob.)</t>
  </si>
  <si>
    <t>R3-2024-015650</t>
  </si>
  <si>
    <t>Diwa</t>
  </si>
  <si>
    <t>R3-2024-031052</t>
  </si>
  <si>
    <t>August 21, 2024</t>
  </si>
  <si>
    <t>August 27, 2024</t>
  </si>
  <si>
    <t>R3-2024-030328</t>
  </si>
  <si>
    <t>Liyang</t>
  </si>
  <si>
    <t>R3-2024-035905</t>
  </si>
  <si>
    <t>Nagwaling</t>
  </si>
  <si>
    <t>R3-2024-028714</t>
  </si>
  <si>
    <t>Panilao</t>
  </si>
  <si>
    <t>R3-2024-008376</t>
  </si>
  <si>
    <t>Pantingan</t>
  </si>
  <si>
    <t>R3-2024-035904</t>
  </si>
  <si>
    <t>R3-2024-010993</t>
  </si>
  <si>
    <t>R3-2024-018362</t>
  </si>
  <si>
    <t>R3-2024-007532</t>
  </si>
  <si>
    <t>Wakas North</t>
  </si>
  <si>
    <t>R3-2024-019257</t>
  </si>
  <si>
    <t>Wakas South</t>
  </si>
  <si>
    <t>June 19, 2024</t>
  </si>
  <si>
    <t>R3-2024-022536</t>
  </si>
  <si>
    <t>R3-2024-033916</t>
  </si>
  <si>
    <t>East Calaguiman (Pob.)</t>
  </si>
  <si>
    <t>R3-2024-016384</t>
  </si>
  <si>
    <t>East Daang Bago (Pob.)</t>
  </si>
  <si>
    <t>R3-2024-007326</t>
  </si>
  <si>
    <t>Ibaba (Pob.)</t>
  </si>
  <si>
    <t>R3-2024-012924</t>
  </si>
  <si>
    <t>Imelda</t>
  </si>
  <si>
    <t>R3-2024-008682</t>
  </si>
  <si>
    <t>Lalawigan</t>
  </si>
  <si>
    <t>R3-2024-008681</t>
  </si>
  <si>
    <t>Palili</t>
  </si>
  <si>
    <t>R3-2024-019991</t>
  </si>
  <si>
    <t>San Juan (Pob.)</t>
  </si>
  <si>
    <t>April 18, 2024</t>
  </si>
  <si>
    <t>R3-2024-014656</t>
  </si>
  <si>
    <t>San Roque (Pob.)</t>
  </si>
  <si>
    <t>R3-2024-010434</t>
  </si>
  <si>
    <t>R3-2024-015288</t>
  </si>
  <si>
    <t>Sapa</t>
  </si>
  <si>
    <t>R3-2024-012221</t>
  </si>
  <si>
    <t>Tabing Ilog</t>
  </si>
  <si>
    <t>R3-2024-010463</t>
  </si>
  <si>
    <t>Gugo</t>
  </si>
  <si>
    <t>R3-2024-019079</t>
  </si>
  <si>
    <t>West Calaguiman (Pob.)</t>
  </si>
  <si>
    <t>R3-2024-018298</t>
  </si>
  <si>
    <t>West Daang Bago (Pob.)</t>
  </si>
  <si>
    <t>R3-2024-007328</t>
  </si>
  <si>
    <t>Banaban</t>
  </si>
  <si>
    <t>Baybay</t>
  </si>
  <si>
    <t>Donacion</t>
  </si>
  <si>
    <t>Encanto</t>
  </si>
  <si>
    <t>Laog</t>
  </si>
  <si>
    <t>Marungko</t>
  </si>
  <si>
    <t>Paltok</t>
  </si>
  <si>
    <t>Pulong Yantok</t>
  </si>
  <si>
    <t>Santa Cruz (Pob.)</t>
  </si>
  <si>
    <t>Sulucan</t>
  </si>
  <si>
    <t>Taboc</t>
  </si>
  <si>
    <t>Borol 2nd</t>
  </si>
  <si>
    <t xml:space="preserve">R3-2024-013941	</t>
  </si>
  <si>
    <t xml:space="preserve"> 16-Apr-24</t>
  </si>
  <si>
    <t xml:space="preserve">R3-2024-013942	</t>
  </si>
  <si>
    <t xml:space="preserve">R3-2024-013940	</t>
  </si>
  <si>
    <t xml:space="preserve">R3-2024-013943	</t>
  </si>
  <si>
    <t>Panginay</t>
  </si>
  <si>
    <t xml:space="preserve">R3-2024-013944	</t>
  </si>
  <si>
    <t>Pulong Gubat</t>
  </si>
  <si>
    <t xml:space="preserve">R3-2024-013938	</t>
  </si>
  <si>
    <t xml:space="preserve">R3-2024-010189	</t>
  </si>
  <si>
    <t xml:space="preserve">R3-2024-013939	</t>
  </si>
  <si>
    <t xml:space="preserve">R3-2024-013945	</t>
  </si>
  <si>
    <t>Baliuag</t>
  </si>
  <si>
    <t>Bagong Nayon</t>
  </si>
  <si>
    <t>Barangca</t>
  </si>
  <si>
    <t>Calantipay</t>
  </si>
  <si>
    <t>Catulinan</t>
  </si>
  <si>
    <t xml:space="preserve">R3-2024-025161	</t>
  </si>
  <si>
    <t xml:space="preserve">The area around the MRF is not yet concrete. The plan is to have concrete flooring installed and to start operations within this year. </t>
  </si>
  <si>
    <t>Hinukay</t>
  </si>
  <si>
    <t>Makinabang</t>
  </si>
  <si>
    <t>Matangtubig</t>
  </si>
  <si>
    <t>Pagala</t>
  </si>
  <si>
    <t>Paitan</t>
  </si>
  <si>
    <t>Piel</t>
  </si>
  <si>
    <t>Pinagbarilan</t>
  </si>
  <si>
    <t xml:space="preserve">R3-2024-036303	</t>
  </si>
  <si>
    <t>Due to concerns about soil erosion in the area, as the river is gradually washing away the land. ). Another reason the barangay MRF is not operational is that it is located near a daycare center.</t>
  </si>
  <si>
    <t>San Roque</t>
  </si>
  <si>
    <t>Santa Barbara</t>
  </si>
  <si>
    <t>Santo Cristo</t>
  </si>
  <si>
    <t xml:space="preserve">R3-2024-036300	</t>
  </si>
  <si>
    <t xml:space="preserve">R3-2024-013946	</t>
  </si>
  <si>
    <t>Sulivan</t>
  </si>
  <si>
    <t xml:space="preserve">R3-2024-036304	</t>
  </si>
  <si>
    <t>According to Sir Omar (Barangay Kagawad), the MRF is still under construction, with the compost pit yet to be built and the facility's electricity still in the process of installation. He also mentioned that the barangay does not yet have its own truck for garbage collection.</t>
  </si>
  <si>
    <t>Tangos</t>
  </si>
  <si>
    <t xml:space="preserve">R3-2024-036301	</t>
  </si>
  <si>
    <t>Tarcan</t>
  </si>
  <si>
    <t>Tiaong</t>
  </si>
  <si>
    <t xml:space="preserve">R3-2024-036305	</t>
  </si>
  <si>
    <t>operations were halted due to complaints from nearby residents about the odor of waste coming from the facility. 
The barangay Tiaong has plans to relocate the MRF to a new site, however, the proposed site is prone to flooding, raising concerns about its suitability.</t>
  </si>
  <si>
    <t>Tilapayong</t>
  </si>
  <si>
    <t>Virgen delas Flores</t>
  </si>
  <si>
    <t xml:space="preserve"> R3-2024-021679</t>
  </si>
  <si>
    <t>Antipona</t>
  </si>
  <si>
    <t>Bambang</t>
  </si>
  <si>
    <t>Biñang 1st</t>
  </si>
  <si>
    <t>Biñang 2nd</t>
  </si>
  <si>
    <t>Bolacan</t>
  </si>
  <si>
    <t>Bundukan</t>
  </si>
  <si>
    <t>Bunlo</t>
  </si>
  <si>
    <t>Duhat</t>
  </si>
  <si>
    <t>Lolomboy</t>
  </si>
  <si>
    <t>Taal</t>
  </si>
  <si>
    <t>Tambobong</t>
  </si>
  <si>
    <t>Turo</t>
  </si>
  <si>
    <t>Wakas</t>
  </si>
  <si>
    <t xml:space="preserve">R3-2024-029288	</t>
  </si>
  <si>
    <t>Balubad</t>
  </si>
  <si>
    <t xml:space="preserve">R3-2024-017950	</t>
  </si>
  <si>
    <t xml:space="preserve">R3-2024-029287	</t>
  </si>
  <si>
    <t>Matungao</t>
  </si>
  <si>
    <t xml:space="preserve">R3-2024-029291	</t>
  </si>
  <si>
    <t>Maysantol</t>
  </si>
  <si>
    <t xml:space="preserve">R3-2024-028925	</t>
  </si>
  <si>
    <t>Perez</t>
  </si>
  <si>
    <t xml:space="preserve">R3-2024-028927	</t>
  </si>
  <si>
    <t>Pitpitan</t>
  </si>
  <si>
    <t xml:space="preserve">R3-2024-029293	</t>
  </si>
  <si>
    <t>San Francisco</t>
  </si>
  <si>
    <t xml:space="preserve">R3-2024-017951	</t>
  </si>
  <si>
    <t>San Jose (Pob.)</t>
  </si>
  <si>
    <t xml:space="preserve">R3-2024-029290	</t>
  </si>
  <si>
    <t xml:space="preserve">R3-2024-029292	</t>
  </si>
  <si>
    <t>R3-2024-028376</t>
  </si>
  <si>
    <t>Santa Ines</t>
  </si>
  <si>
    <t xml:space="preserve">R3-2024-028379	</t>
  </si>
  <si>
    <t>Taliptip</t>
  </si>
  <si>
    <t xml:space="preserve">R3-2024-028380	</t>
  </si>
  <si>
    <t>Tibig</t>
  </si>
  <si>
    <t xml:space="preserve">R3-2024-028926	</t>
  </si>
  <si>
    <t>Bonga Mayor</t>
  </si>
  <si>
    <t>Buisan</t>
  </si>
  <si>
    <t>Camachilihan</t>
  </si>
  <si>
    <t>Cambaog</t>
  </si>
  <si>
    <t>Liciada</t>
  </si>
  <si>
    <t>Malamig</t>
  </si>
  <si>
    <t xml:space="preserve"> R3-2024-009569</t>
  </si>
  <si>
    <t>Malawak</t>
  </si>
  <si>
    <t xml:space="preserve">R3-2024-009570 </t>
  </si>
  <si>
    <t>Talampas</t>
  </si>
  <si>
    <t>R3-2024-009566</t>
  </si>
  <si>
    <t xml:space="preserve">R3-2024-009567	</t>
  </si>
  <si>
    <t>Tibagan</t>
  </si>
  <si>
    <t>Balite</t>
  </si>
  <si>
    <t xml:space="preserve">R3-2024-017603	</t>
  </si>
  <si>
    <t>Balungao</t>
  </si>
  <si>
    <t>Buguion</t>
  </si>
  <si>
    <t>Bulusan</t>
  </si>
  <si>
    <t>Calumpang</t>
  </si>
  <si>
    <t>Caniogan</t>
  </si>
  <si>
    <t>Corazon</t>
  </si>
  <si>
    <t>Frances</t>
  </si>
  <si>
    <t>Gatbuca</t>
  </si>
  <si>
    <t>Iba Este</t>
  </si>
  <si>
    <t>Iba O'Este</t>
  </si>
  <si>
    <t>Meysulao</t>
  </si>
  <si>
    <t>Meyto</t>
  </si>
  <si>
    <t>Palimbang</t>
  </si>
  <si>
    <t>Panducot</t>
  </si>
  <si>
    <t>Pio Cruzcosa</t>
  </si>
  <si>
    <t>Pungo</t>
  </si>
  <si>
    <t>San Marcos</t>
  </si>
  <si>
    <t>Sergio Bayan</t>
  </si>
  <si>
    <t>Sucol</t>
  </si>
  <si>
    <t>Cutcut</t>
  </si>
  <si>
    <t>Daungan</t>
  </si>
  <si>
    <t>Ilang-Ilang</t>
  </si>
  <si>
    <t>Malis</t>
  </si>
  <si>
    <t xml:space="preserve">R3-2024-029294	</t>
  </si>
  <si>
    <t>Pritil</t>
  </si>
  <si>
    <t>R3-2024-040349</t>
  </si>
  <si>
    <t xml:space="preserve">R3-2024-040345	</t>
  </si>
  <si>
    <t>R3-2024-040174</t>
  </si>
  <si>
    <t>Tabang</t>
  </si>
  <si>
    <t>Tabe</t>
  </si>
  <si>
    <t>R3-2024-017948</t>
  </si>
  <si>
    <t>R3-2024-020767</t>
  </si>
  <si>
    <t>Carillo</t>
  </si>
  <si>
    <t xml:space="preserve">R3-2024-021396	</t>
  </si>
  <si>
    <t>R3-2024-031408</t>
  </si>
  <si>
    <t>Mercado</t>
  </si>
  <si>
    <t>Palapat</t>
  </si>
  <si>
    <t>Pugad</t>
  </si>
  <si>
    <t>Sagrada Familia</t>
  </si>
  <si>
    <t>San Agustin</t>
  </si>
  <si>
    <t>R3-2024-024995</t>
  </si>
  <si>
    <t>San Sebastian</t>
  </si>
  <si>
    <t>Santa Monica</t>
  </si>
  <si>
    <t>Santo Niño (Pob.)</t>
  </si>
  <si>
    <t>Santo Rosario</t>
  </si>
  <si>
    <t>Tampok</t>
  </si>
  <si>
    <t>Tibaguin</t>
  </si>
  <si>
    <t>Iba-Ibayo</t>
  </si>
  <si>
    <t xml:space="preserve"> R3-2024-031410</t>
  </si>
  <si>
    <t>City of Malolos (Capital)</t>
  </si>
  <si>
    <t>Anilao</t>
  </si>
  <si>
    <t>Atlag</t>
  </si>
  <si>
    <t>Babatnin</t>
  </si>
  <si>
    <t>Bagna</t>
  </si>
  <si>
    <t>Bagong Bayan</t>
  </si>
  <si>
    <t>Balayong</t>
  </si>
  <si>
    <t>Barihan</t>
  </si>
  <si>
    <t xml:space="preserve">R3-2024-036146	</t>
  </si>
  <si>
    <t>Bungahan</t>
  </si>
  <si>
    <t xml:space="preserve"> R3-2024-017728</t>
  </si>
  <si>
    <t>Dakila</t>
  </si>
  <si>
    <t>Guinhawa</t>
  </si>
  <si>
    <t xml:space="preserve">R3-2024-013577	</t>
  </si>
  <si>
    <t>Calero</t>
  </si>
  <si>
    <t>Caliligawan</t>
  </si>
  <si>
    <t>Canalate</t>
  </si>
  <si>
    <t xml:space="preserve">R3-2024-036144	</t>
  </si>
  <si>
    <t>Forwarded to Ms. Diozelle</t>
  </si>
  <si>
    <t>Catmon</t>
  </si>
  <si>
    <t xml:space="preserve"> R3-2024-036143 </t>
  </si>
  <si>
    <t>Ligas</t>
  </si>
  <si>
    <t xml:space="preserve">R3-2024-036147	</t>
  </si>
  <si>
    <t>Look 1st</t>
  </si>
  <si>
    <t>Look 2nd</t>
  </si>
  <si>
    <t>Lugam</t>
  </si>
  <si>
    <t>Mabolo</t>
  </si>
  <si>
    <t xml:space="preserve">R3-2024-036145	</t>
  </si>
  <si>
    <t>Masile</t>
  </si>
  <si>
    <t>Matimbo</t>
  </si>
  <si>
    <t>Mojon</t>
  </si>
  <si>
    <t xml:space="preserve">R3-2024-018109 </t>
  </si>
  <si>
    <t>Namayan</t>
  </si>
  <si>
    <t>Pamarawan</t>
  </si>
  <si>
    <t xml:space="preserve">R3-2024-040715 </t>
  </si>
  <si>
    <t>Panasahan</t>
  </si>
  <si>
    <t>Pinagbakahan</t>
  </si>
  <si>
    <t xml:space="preserve">R3-2024-017727	</t>
  </si>
  <si>
    <t>San Gabriel</t>
  </si>
  <si>
    <t>R3-2024-039721</t>
  </si>
  <si>
    <t xml:space="preserve"> R3-2024-040699</t>
  </si>
  <si>
    <t xml:space="preserve"> R3-2024-039723</t>
  </si>
  <si>
    <t>Santisima Trinidad</t>
  </si>
  <si>
    <t>Santo Rosario (Pob.)</t>
  </si>
  <si>
    <t>Sumapang Bata</t>
  </si>
  <si>
    <t>R3-2024-013576</t>
  </si>
  <si>
    <t>Sumapang Matanda</t>
  </si>
  <si>
    <t xml:space="preserve">R3-2024-013575	</t>
  </si>
  <si>
    <t>Tikay</t>
  </si>
  <si>
    <t xml:space="preserve">R3-2024-028923	</t>
  </si>
  <si>
    <t>Cofradia</t>
  </si>
  <si>
    <t>Abangan Norte</t>
  </si>
  <si>
    <t>Abangan Sur</t>
  </si>
  <si>
    <t>Lias</t>
  </si>
  <si>
    <t>Loma de Gato</t>
  </si>
  <si>
    <t>Nagbalon</t>
  </si>
  <si>
    <t>Patubig</t>
  </si>
  <si>
    <t>Poblacion I</t>
  </si>
  <si>
    <t>Poblacion II</t>
  </si>
  <si>
    <t>Prenza II</t>
  </si>
  <si>
    <t>Santa Rosa I</t>
  </si>
  <si>
    <t>Santa Rosa II</t>
  </si>
  <si>
    <t xml:space="preserve">R3-2024-033136	</t>
  </si>
  <si>
    <t>Received By Planning</t>
  </si>
  <si>
    <t>Saog</t>
  </si>
  <si>
    <t>City of Meycauayan</t>
  </si>
  <si>
    <t>Bagbaguin</t>
  </si>
  <si>
    <t>Bahay Pare</t>
  </si>
  <si>
    <t>R3-2024-007911</t>
  </si>
  <si>
    <t>Bancal</t>
  </si>
  <si>
    <t xml:space="preserve">R3-2024-009944	</t>
  </si>
  <si>
    <t>Banga</t>
  </si>
  <si>
    <t>Bayugo</t>
  </si>
  <si>
    <t>R3-2024-009943</t>
  </si>
  <si>
    <t>Calvario</t>
  </si>
  <si>
    <t>Camalig</t>
  </si>
  <si>
    <t xml:space="preserve">R3-2024-009948	</t>
  </si>
  <si>
    <t>Hulo</t>
  </si>
  <si>
    <t>R3-2024-007917</t>
  </si>
  <si>
    <t>Langka</t>
  </si>
  <si>
    <t>Lawa</t>
  </si>
  <si>
    <t>Libtong</t>
  </si>
  <si>
    <t>Liputan</t>
  </si>
  <si>
    <t xml:space="preserve">R3-2024-009946	</t>
  </si>
  <si>
    <t>Malhacan</t>
  </si>
  <si>
    <t xml:space="preserve">R3-2024-009947	</t>
  </si>
  <si>
    <t>R3-2024-007918</t>
  </si>
  <si>
    <t>Pandayan</t>
  </si>
  <si>
    <t>R3-2024-009949</t>
  </si>
  <si>
    <t>R3-2024-007919</t>
  </si>
  <si>
    <t>R3-2024-007920</t>
  </si>
  <si>
    <t>Saint Francis (Gasak)</t>
  </si>
  <si>
    <t>R3-2024-009945</t>
  </si>
  <si>
    <t>Ubihan</t>
  </si>
  <si>
    <t>Zamora</t>
  </si>
  <si>
    <t>Baraka</t>
  </si>
  <si>
    <t>Bigte</t>
  </si>
  <si>
    <t>R3-2024-007925</t>
  </si>
  <si>
    <t>R3-2024-007924</t>
  </si>
  <si>
    <t>R3-2024-007923</t>
  </si>
  <si>
    <t>Minuyan</t>
  </si>
  <si>
    <t>R3-2024-007921</t>
  </si>
  <si>
    <t>Partida</t>
  </si>
  <si>
    <t>Pinagtulayan</t>
  </si>
  <si>
    <t>San Mateo</t>
  </si>
  <si>
    <t>Tigbe</t>
  </si>
  <si>
    <t xml:space="preserve">R3-2024-017966	</t>
  </si>
  <si>
    <t>Friendship Village Resources</t>
  </si>
  <si>
    <t>Catanghalan</t>
  </si>
  <si>
    <t>Salambao</t>
  </si>
  <si>
    <t>Paco</t>
  </si>
  <si>
    <t xml:space="preserve">R3-2024-021636	</t>
  </si>
  <si>
    <t>Pag-asa (Pob.)</t>
  </si>
  <si>
    <t>Paliwas</t>
  </si>
  <si>
    <t xml:space="preserve">R3-2024-021637	</t>
  </si>
  <si>
    <t>Bagong Barrio</t>
  </si>
  <si>
    <t>R3-2024-007952</t>
  </si>
  <si>
    <t>Bunsuran III</t>
  </si>
  <si>
    <t>Bunsuran I</t>
  </si>
  <si>
    <t>Bunsuran II</t>
  </si>
  <si>
    <t xml:space="preserve"> R3-2024-031596</t>
  </si>
  <si>
    <t>Recieved By Planning</t>
  </si>
  <si>
    <t>Cacarong Bata</t>
  </si>
  <si>
    <t>Cupang</t>
  </si>
  <si>
    <t>Malibong Bata</t>
  </si>
  <si>
    <t>Malibong Matanda</t>
  </si>
  <si>
    <t>Manatal</t>
  </si>
  <si>
    <t xml:space="preserve">R3-2024-031594	</t>
  </si>
  <si>
    <t>Masagana</t>
  </si>
  <si>
    <t>Masuso</t>
  </si>
  <si>
    <t>Pinagkuartelan</t>
  </si>
  <si>
    <t>R3-2024-007958</t>
  </si>
  <si>
    <t>Real de Cacarong</t>
  </si>
  <si>
    <t>Siling Matanda</t>
  </si>
  <si>
    <t>Baka-bakahan</t>
  </si>
  <si>
    <t>Binakod</t>
  </si>
  <si>
    <t>Kapitangan</t>
  </si>
  <si>
    <t>Malumot</t>
  </si>
  <si>
    <t>Masukol</t>
  </si>
  <si>
    <t>Pinalagdan</t>
  </si>
  <si>
    <t xml:space="preserve">R3-2024-020768	</t>
  </si>
  <si>
    <t>San Isidro I</t>
  </si>
  <si>
    <t xml:space="preserve"> R3-2024-024996</t>
  </si>
  <si>
    <t xml:space="preserve"> R3-2024-024998 </t>
  </si>
  <si>
    <t>R3-2024-039720</t>
  </si>
  <si>
    <t>Agnaya</t>
  </si>
  <si>
    <t xml:space="preserve">R3-2024-033127	</t>
  </si>
  <si>
    <t xml:space="preserve"> R3-2024-021541</t>
  </si>
  <si>
    <t>Banga I</t>
  </si>
  <si>
    <t>R3-2024-007959</t>
  </si>
  <si>
    <t>Banga II</t>
  </si>
  <si>
    <t xml:space="preserve"> R3-2024-036803</t>
  </si>
  <si>
    <t>Bintog</t>
  </si>
  <si>
    <t>R3-2024-036812</t>
  </si>
  <si>
    <t>Culianin</t>
  </si>
  <si>
    <t xml:space="preserve"> R3-2024-036811</t>
  </si>
  <si>
    <t>Dampol</t>
  </si>
  <si>
    <t>Lagundi</t>
  </si>
  <si>
    <t>Lalangan</t>
  </si>
  <si>
    <t xml:space="preserve">R3-2024-033129	</t>
  </si>
  <si>
    <t>Lumang Bayan</t>
  </si>
  <si>
    <t xml:space="preserve">R3-2024-033126	</t>
  </si>
  <si>
    <t>Parulan</t>
  </si>
  <si>
    <t xml:space="preserve"> R3-2024-036806 </t>
  </si>
  <si>
    <t>Rueda</t>
  </si>
  <si>
    <t xml:space="preserve"> R3-2024-036810</t>
  </si>
  <si>
    <t xml:space="preserve">R3-2024-017969	</t>
  </si>
  <si>
    <t xml:space="preserve">R3-2024-024842	</t>
  </si>
  <si>
    <t>Sipat</t>
  </si>
  <si>
    <t>R3-2024-021540</t>
  </si>
  <si>
    <t>Balatong A</t>
  </si>
  <si>
    <t>Balatong B</t>
  </si>
  <si>
    <t>Cutcot</t>
  </si>
  <si>
    <t>Dampol I</t>
  </si>
  <si>
    <t>Dampol II-A</t>
  </si>
  <si>
    <t>Dampol II-B</t>
  </si>
  <si>
    <t>Dulong Malabon</t>
  </si>
  <si>
    <t>Inaon</t>
  </si>
  <si>
    <t>Lumbac</t>
  </si>
  <si>
    <t>Paltao</t>
  </si>
  <si>
    <t>Penabatan</t>
  </si>
  <si>
    <t>R3-2024-017952</t>
  </si>
  <si>
    <t>Santa Peregrina</t>
  </si>
  <si>
    <t>Tinejero</t>
  </si>
  <si>
    <t>Alagao</t>
  </si>
  <si>
    <t>Anyatam</t>
  </si>
  <si>
    <t>R3-2024-017968</t>
  </si>
  <si>
    <t>Basuit</t>
  </si>
  <si>
    <t xml:space="preserve"> R3-2024-025159</t>
  </si>
  <si>
    <t>Bubulong Munti</t>
  </si>
  <si>
    <t>Bubulong Malaki</t>
  </si>
  <si>
    <t>Buhol na Mangga</t>
  </si>
  <si>
    <t>Bulusukan</t>
  </si>
  <si>
    <t>Calasag</t>
  </si>
  <si>
    <t>Calawitan</t>
  </si>
  <si>
    <t>Casalat</t>
  </si>
  <si>
    <t>Gabihan</t>
  </si>
  <si>
    <t>Garlang</t>
  </si>
  <si>
    <t>Lapnit</t>
  </si>
  <si>
    <t>Maasim</t>
  </si>
  <si>
    <t xml:space="preserve">R3-2024-031794	</t>
  </si>
  <si>
    <t>Makapilapil</t>
  </si>
  <si>
    <t>R3-2024-029042</t>
  </si>
  <si>
    <t>Malipampang</t>
  </si>
  <si>
    <t xml:space="preserve">R3-2024-031793	</t>
  </si>
  <si>
    <t>Matimbubong</t>
  </si>
  <si>
    <t>Nabaong Garlang</t>
  </si>
  <si>
    <t>Pasong Bangkal</t>
  </si>
  <si>
    <t>Pinaod</t>
  </si>
  <si>
    <t>Pulong Tamo</t>
  </si>
  <si>
    <t>Santa Catalina Bata</t>
  </si>
  <si>
    <t>Santa Catalina Matanda</t>
  </si>
  <si>
    <t>Sapang Dayap</t>
  </si>
  <si>
    <t>Sapang Putik</t>
  </si>
  <si>
    <t>Sapang Putol</t>
  </si>
  <si>
    <t>Sumandig</t>
  </si>
  <si>
    <t xml:space="preserve">R3-2024-025152	</t>
  </si>
  <si>
    <t>Telepatio</t>
  </si>
  <si>
    <t>Upig</t>
  </si>
  <si>
    <t>Umpucan</t>
  </si>
  <si>
    <t>Mataas na Parang</t>
  </si>
  <si>
    <t>City of San Jose Del Monte</t>
  </si>
  <si>
    <t>Bagong Buhay</t>
  </si>
  <si>
    <t>Dulong Bayan</t>
  </si>
  <si>
    <t>R3-2024-037137</t>
  </si>
  <si>
    <t>Gaya-gaya</t>
  </si>
  <si>
    <t>Kaypian</t>
  </si>
  <si>
    <t>Kaybanban</t>
  </si>
  <si>
    <t xml:space="preserve">R3-2024-037135	</t>
  </si>
  <si>
    <t>Sapang Palay</t>
  </si>
  <si>
    <t>Citrus</t>
  </si>
  <si>
    <t>San Martin</t>
  </si>
  <si>
    <t>Fatima</t>
  </si>
  <si>
    <t>Assumption</t>
  </si>
  <si>
    <t>Bagong Buhay II</t>
  </si>
  <si>
    <t>Bagong Buhay III</t>
  </si>
  <si>
    <t>Ciudad Real</t>
  </si>
  <si>
    <t>Fatima II</t>
  </si>
  <si>
    <t>Fatima III</t>
  </si>
  <si>
    <t>Fatima IV</t>
  </si>
  <si>
    <t>Fatima V</t>
  </si>
  <si>
    <t>Francisco Homes-Guijo</t>
  </si>
  <si>
    <t>Francisco Homes-Mulawin</t>
  </si>
  <si>
    <t>R3-2024-037134</t>
  </si>
  <si>
    <t>Francisco Homes-Narra</t>
  </si>
  <si>
    <t>Francisco Homes-Yakal</t>
  </si>
  <si>
    <t>Graceville</t>
  </si>
  <si>
    <t>Gumaoc Central</t>
  </si>
  <si>
    <t>Gumaoc East</t>
  </si>
  <si>
    <t xml:space="preserve">R3-2024-037136	</t>
  </si>
  <si>
    <t>Gumaoc West</t>
  </si>
  <si>
    <t>Lawang Pari</t>
  </si>
  <si>
    <t>Maharlika</t>
  </si>
  <si>
    <t>Minuyan II</t>
  </si>
  <si>
    <t>Minuyan IV</t>
  </si>
  <si>
    <t>Minuyan V</t>
  </si>
  <si>
    <t>Paradise III</t>
  </si>
  <si>
    <t>R3-2024-037133</t>
  </si>
  <si>
    <t>San Martin II</t>
  </si>
  <si>
    <t>San Martin III</t>
  </si>
  <si>
    <t>San Martin IV</t>
  </si>
  <si>
    <t>San Rafael I</t>
  </si>
  <si>
    <t>R3-2024-040625</t>
  </si>
  <si>
    <t>San Rafael II</t>
  </si>
  <si>
    <t xml:space="preserve">R3-2024-040626	</t>
  </si>
  <si>
    <t>San Rafael III</t>
  </si>
  <si>
    <t xml:space="preserve">R3-2024-040627 </t>
  </si>
  <si>
    <t>San Rafael IV</t>
  </si>
  <si>
    <t>R3-2024-017967</t>
  </si>
  <si>
    <t>San Rafael V</t>
  </si>
  <si>
    <t xml:space="preserve"> R3-2024-040624 </t>
  </si>
  <si>
    <t>Santa Cruz II</t>
  </si>
  <si>
    <t>R3-2024-040623</t>
  </si>
  <si>
    <t>Santa Cruz III</t>
  </si>
  <si>
    <t>Santa Cruz IV</t>
  </si>
  <si>
    <t xml:space="preserve">R3-2024-040620	</t>
  </si>
  <si>
    <t>Santa Cruz V</t>
  </si>
  <si>
    <t xml:space="preserve">R3-2024-040621	</t>
  </si>
  <si>
    <t>Santo Niño II</t>
  </si>
  <si>
    <t>St. Martin de Porres</t>
  </si>
  <si>
    <t xml:space="preserve"> R3-2024-039733</t>
  </si>
  <si>
    <t>Balaong</t>
  </si>
  <si>
    <t>R3-2024-039731</t>
  </si>
  <si>
    <t>Bardias</t>
  </si>
  <si>
    <t>Baritan</t>
  </si>
  <si>
    <t>Batasan Bata</t>
  </si>
  <si>
    <t>Batasan Matanda</t>
  </si>
  <si>
    <t>Biak-na-Bato</t>
  </si>
  <si>
    <t>Biclat</t>
  </si>
  <si>
    <t>Buga</t>
  </si>
  <si>
    <t>Buliran</t>
  </si>
  <si>
    <t>Bulualto</t>
  </si>
  <si>
    <t>R3-2024-039732</t>
  </si>
  <si>
    <t>Cambio</t>
  </si>
  <si>
    <t>R3-2024-039734</t>
  </si>
  <si>
    <t>Camias</t>
  </si>
  <si>
    <t>Ilog-Bulo</t>
  </si>
  <si>
    <t>King Kabayo</t>
  </si>
  <si>
    <t>Labne</t>
  </si>
  <si>
    <t>Magmarale</t>
  </si>
  <si>
    <t>Malibay</t>
  </si>
  <si>
    <t>Mandile</t>
  </si>
  <si>
    <t>Masalipit</t>
  </si>
  <si>
    <t>Pacalag</t>
  </si>
  <si>
    <t>Paliwasan</t>
  </si>
  <si>
    <t>Pinambaran</t>
  </si>
  <si>
    <t xml:space="preserve">R3-2024-031484	</t>
  </si>
  <si>
    <t>Pulong Bayabas</t>
  </si>
  <si>
    <t>Sacdalan</t>
  </si>
  <si>
    <t xml:space="preserve"> R3-2024-039730</t>
  </si>
  <si>
    <t>Salacot</t>
  </si>
  <si>
    <t>Salangan</t>
  </si>
  <si>
    <t xml:space="preserve">R3-2024-031485	</t>
  </si>
  <si>
    <t>Santa Rita Bata</t>
  </si>
  <si>
    <t>Santa Rita Matanda</t>
  </si>
  <si>
    <t>Sapang</t>
  </si>
  <si>
    <t>Tartaro</t>
  </si>
  <si>
    <t>Bagong Pag-asa</t>
  </si>
  <si>
    <t>Pulong Duhat</t>
  </si>
  <si>
    <t>Tigpalas</t>
  </si>
  <si>
    <t>BMA-Balagtas</t>
  </si>
  <si>
    <t>Banca-banca</t>
  </si>
  <si>
    <t>Coral na Bato</t>
  </si>
  <si>
    <t>Cruz na Daan</t>
  </si>
  <si>
    <t>Dagat-dagatan</t>
  </si>
  <si>
    <t>Diliman I</t>
  </si>
  <si>
    <t>Diliman II</t>
  </si>
  <si>
    <t>Capihan</t>
  </si>
  <si>
    <t>Libis</t>
  </si>
  <si>
    <t>Lico</t>
  </si>
  <si>
    <t>Mabalas-balas</t>
  </si>
  <si>
    <t>Maguinao</t>
  </si>
  <si>
    <t>Maronguillo</t>
  </si>
  <si>
    <t>Pansumaloc</t>
  </si>
  <si>
    <t>R3-2024-020782</t>
  </si>
  <si>
    <t>Pantubig</t>
  </si>
  <si>
    <t>Pasong Callos</t>
  </si>
  <si>
    <t>Pasong Intsik</t>
  </si>
  <si>
    <t>Pinacpinacan</t>
  </si>
  <si>
    <t>Salapungan</t>
  </si>
  <si>
    <t>Sampaloc</t>
  </si>
  <si>
    <t>R3-2024-020783</t>
  </si>
  <si>
    <t>Talacsan</t>
  </si>
  <si>
    <t>Tambubong</t>
  </si>
  <si>
    <t>R3-2024-020784</t>
  </si>
  <si>
    <t>Tukod</t>
  </si>
  <si>
    <t>Ulingao</t>
  </si>
  <si>
    <t>Sapang Pahalang</t>
  </si>
  <si>
    <t>Balasing</t>
  </si>
  <si>
    <t xml:space="preserve">R3-2024-033132	</t>
  </si>
  <si>
    <t>Bulac</t>
  </si>
  <si>
    <t xml:space="preserve">R3-2024-033131	</t>
  </si>
  <si>
    <t>Camangyanan</t>
  </si>
  <si>
    <t>Cay Pombo</t>
  </si>
  <si>
    <t>Caysio</t>
  </si>
  <si>
    <t>R3-2024-033133</t>
  </si>
  <si>
    <t>Guyong</t>
  </si>
  <si>
    <t xml:space="preserve">R3-2024-033133	</t>
  </si>
  <si>
    <t>Lalakhan</t>
  </si>
  <si>
    <t>Mag-asawang Sapa</t>
  </si>
  <si>
    <t>Mahabang Parang</t>
  </si>
  <si>
    <t xml:space="preserve">R3-2024-025656 </t>
  </si>
  <si>
    <t>Manggahan</t>
  </si>
  <si>
    <t>Pulong Buhangin</t>
  </si>
  <si>
    <t>R3-2024-025655</t>
  </si>
  <si>
    <t>San Jose Patag</t>
  </si>
  <si>
    <t>Santa Clara</t>
  </si>
  <si>
    <t>Silangan</t>
  </si>
  <si>
    <t>Tabing Bakod</t>
  </si>
  <si>
    <t>Tumana</t>
  </si>
  <si>
    <t>DRT</t>
  </si>
  <si>
    <t>Kabayunan</t>
  </si>
  <si>
    <t>Camachin</t>
  </si>
  <si>
    <t>Kalawakan</t>
  </si>
  <si>
    <t>Pulong Sampalok</t>
  </si>
  <si>
    <t>Talbak</t>
  </si>
  <si>
    <t>Sapang Bulak</t>
  </si>
  <si>
    <t>Betes</t>
  </si>
  <si>
    <t>Bibiclat</t>
  </si>
  <si>
    <t>Bucot</t>
  </si>
  <si>
    <t>La Purisima</t>
  </si>
  <si>
    <t>Macabucod</t>
  </si>
  <si>
    <t>Poblacion Centro</t>
  </si>
  <si>
    <t>Poblacion East I</t>
  </si>
  <si>
    <t>Poblacion East II</t>
  </si>
  <si>
    <t>Poblacion West III</t>
  </si>
  <si>
    <t>Poblacion West IV</t>
  </si>
  <si>
    <t>R3-2024-017005</t>
  </si>
  <si>
    <t>San Emiliano</t>
  </si>
  <si>
    <t>San Eustacio</t>
  </si>
  <si>
    <t>San Felipe Bata</t>
  </si>
  <si>
    <t>San Felipe Matanda</t>
  </si>
  <si>
    <t>San Pablo Bata</t>
  </si>
  <si>
    <t>San Pablo Matanda</t>
  </si>
  <si>
    <t>Sunson</t>
  </si>
  <si>
    <t>Umangan</t>
  </si>
  <si>
    <t>Antipolo</t>
  </si>
  <si>
    <t>Ariendo</t>
  </si>
  <si>
    <t>Bantug</t>
  </si>
  <si>
    <t>Calaanan</t>
  </si>
  <si>
    <t>Commercial (Pob.)</t>
  </si>
  <si>
    <t>Cruz</t>
  </si>
  <si>
    <t>Digmala</t>
  </si>
  <si>
    <t>Curva</t>
  </si>
  <si>
    <t>Kaingin (Pob.)</t>
  </si>
  <si>
    <t>Labi</t>
  </si>
  <si>
    <t>Larcon</t>
  </si>
  <si>
    <t>Lusok</t>
  </si>
  <si>
    <t>Macabaclay</t>
  </si>
  <si>
    <t>Magtanggol (Pob.)</t>
  </si>
  <si>
    <t>Mantile (Pob.)</t>
  </si>
  <si>
    <t>Olivete</t>
  </si>
  <si>
    <t>Palo Maria (Pob.)</t>
  </si>
  <si>
    <t>R3-2024-032751</t>
  </si>
  <si>
    <t>Sampalucan (Pob.)</t>
  </si>
  <si>
    <t>Santor</t>
  </si>
  <si>
    <t>R3-2024-012863</t>
  </si>
  <si>
    <t>Sinipit (Pob.)</t>
  </si>
  <si>
    <t>Sisilang na Ligaya (Pob.)</t>
  </si>
  <si>
    <t>R3-2024-039631</t>
  </si>
  <si>
    <t>Social (Pob.)</t>
  </si>
  <si>
    <t>Tugatug</t>
  </si>
  <si>
    <t>Tulay na Bato (Pob.)</t>
  </si>
  <si>
    <t>Vega</t>
  </si>
  <si>
    <t>Aduas Centro</t>
  </si>
  <si>
    <t>Bagong Sikat</t>
  </si>
  <si>
    <t>Bakero</t>
  </si>
  <si>
    <t>Bakod Bayan</t>
  </si>
  <si>
    <t>Bangad</t>
  </si>
  <si>
    <t>Bantug Bulalo</t>
  </si>
  <si>
    <t>Bantug Norte</t>
  </si>
  <si>
    <t>Barlis</t>
  </si>
  <si>
    <t>Barrera District (Pob.)</t>
  </si>
  <si>
    <t>R3-2024-003450</t>
  </si>
  <si>
    <t>Bernardo District (Pob.)</t>
  </si>
  <si>
    <t>Bitas</t>
  </si>
  <si>
    <t>Bonifacio District (Pob.)</t>
  </si>
  <si>
    <t>Caalibangbangan</t>
  </si>
  <si>
    <t>Cabu</t>
  </si>
  <si>
    <t>Campo Tinio</t>
  </si>
  <si>
    <t>Kapitan Pepe (Pob.)</t>
  </si>
  <si>
    <t>R3-2024-027639</t>
  </si>
  <si>
    <t>Cinco-Cinco</t>
  </si>
  <si>
    <t>City Supermarket (Pob.)</t>
  </si>
  <si>
    <t>Caudillo</t>
  </si>
  <si>
    <t>Communal</t>
  </si>
  <si>
    <t>Cruz Roja</t>
  </si>
  <si>
    <t>Daang Sarile</t>
  </si>
  <si>
    <t>Dalampang</t>
  </si>
  <si>
    <t>Dicarma (Pob.)</t>
  </si>
  <si>
    <t>Dimasalang (Pob.)</t>
  </si>
  <si>
    <t>Dionisio S. Garcia</t>
  </si>
  <si>
    <t>Two (2) MRF monitored</t>
  </si>
  <si>
    <t>Fatima (Pob.)</t>
  </si>
  <si>
    <t>General Luna (Pob.)</t>
  </si>
  <si>
    <t>Ibabao Bana</t>
  </si>
  <si>
    <t>Imelda District</t>
  </si>
  <si>
    <t>R3-2024-039619</t>
  </si>
  <si>
    <t>Isla (Pob.)</t>
  </si>
  <si>
    <t>Calawagan</t>
  </si>
  <si>
    <t>Kalikid Norte</t>
  </si>
  <si>
    <t>Kalikid Sur</t>
  </si>
  <si>
    <t>Lagare</t>
  </si>
  <si>
    <t>M. S. Garcia</t>
  </si>
  <si>
    <t>R3-2024-039615</t>
  </si>
  <si>
    <t>Mabini Extension</t>
  </si>
  <si>
    <t>R3-2024-017173</t>
  </si>
  <si>
    <t>Mabini Homesite</t>
  </si>
  <si>
    <t>Macatbong</t>
  </si>
  <si>
    <t>Magsaysay District</t>
  </si>
  <si>
    <t>Matadero (Pob.)</t>
  </si>
  <si>
    <t>Lourdes</t>
  </si>
  <si>
    <t>Mayapyap Norte</t>
  </si>
  <si>
    <t>Mayapyap Sur</t>
  </si>
  <si>
    <t>Melojavilla (Pob.)</t>
  </si>
  <si>
    <t>Obrero</t>
  </si>
  <si>
    <t>Padre Crisostomo</t>
  </si>
  <si>
    <t>R3-2024-034306</t>
  </si>
  <si>
    <t>Palagay</t>
  </si>
  <si>
    <t>Pamaldan</t>
  </si>
  <si>
    <t>Pangatian</t>
  </si>
  <si>
    <t>Patalac</t>
  </si>
  <si>
    <t>Polilio</t>
  </si>
  <si>
    <t>Pula</t>
  </si>
  <si>
    <t>Quezon District (Pob.)</t>
  </si>
  <si>
    <t>Rizdelis (Pob.)</t>
  </si>
  <si>
    <t>R3-2024-040619</t>
  </si>
  <si>
    <t>Samon</t>
  </si>
  <si>
    <t>San Josef Norte</t>
  </si>
  <si>
    <t>R3-2024-035166</t>
  </si>
  <si>
    <t>San Josef Sur</t>
  </si>
  <si>
    <t xml:space="preserve">R3-2024-035154 </t>
  </si>
  <si>
    <t>San Juan Pob.</t>
  </si>
  <si>
    <t>San Roque Norte</t>
  </si>
  <si>
    <t>San Roque Sur</t>
  </si>
  <si>
    <t>Sanbermicristi (Pob.)</t>
  </si>
  <si>
    <t>Sangitan</t>
  </si>
  <si>
    <t>Santa Arcadia</t>
  </si>
  <si>
    <t>R3-2024-029322</t>
  </si>
  <si>
    <t>Sumacab Norte</t>
  </si>
  <si>
    <t>Valdefuente</t>
  </si>
  <si>
    <t>Vijandre District (Pob.)</t>
  </si>
  <si>
    <t>Villa Ofelia-Caridad</t>
  </si>
  <si>
    <t>Zulueta District (Pob.)</t>
  </si>
  <si>
    <t>R3-2024-027644</t>
  </si>
  <si>
    <t>Nabao (Pob.)</t>
  </si>
  <si>
    <t>R3-2024-041130</t>
  </si>
  <si>
    <t>Padre Burgos (Pob.)</t>
  </si>
  <si>
    <t>Talipapa</t>
  </si>
  <si>
    <t>Aduas Norte</t>
  </si>
  <si>
    <t>R3-2024-013584</t>
  </si>
  <si>
    <t>Aduas Sur</t>
  </si>
  <si>
    <t>Hermogenes C. Concepcion, Sr.</t>
  </si>
  <si>
    <t>Sumacab Este</t>
  </si>
  <si>
    <t>Sumacab South</t>
  </si>
  <si>
    <t>R3-2024-030317</t>
  </si>
  <si>
    <t>Caridad</t>
  </si>
  <si>
    <t>Magsaysay South</t>
  </si>
  <si>
    <t>Maria Theresa</t>
  </si>
  <si>
    <t>Sangitan East</t>
  </si>
  <si>
    <t>R3-2024-033284</t>
  </si>
  <si>
    <t xml:space="preserve">Technical Assistance </t>
  </si>
  <si>
    <t>R3-2024-021212</t>
  </si>
  <si>
    <t>Entablado</t>
  </si>
  <si>
    <t>R3-2024-018698</t>
  </si>
  <si>
    <t>Natividad North (Pob.)</t>
  </si>
  <si>
    <t>Natividad South (Pob.)</t>
  </si>
  <si>
    <t>R3-2024-011860</t>
  </si>
  <si>
    <t>Palasinan</t>
  </si>
  <si>
    <t>R3-2024-018702</t>
  </si>
  <si>
    <t>San Fernando Norte</t>
  </si>
  <si>
    <t>R3-2024-004644</t>
  </si>
  <si>
    <t>San Fernando Sur</t>
  </si>
  <si>
    <t>R3-2024-004643</t>
  </si>
  <si>
    <t>R3-2024-027320</t>
  </si>
  <si>
    <t>San Juan North (Pob.)</t>
  </si>
  <si>
    <t>R3-2024-027321</t>
  </si>
  <si>
    <t>San Juan South (Pob.)</t>
  </si>
  <si>
    <t>R3-2024-027322</t>
  </si>
  <si>
    <t>R3-2024-018854</t>
  </si>
  <si>
    <t>Sinipit</t>
  </si>
  <si>
    <t>R3-2024-011859</t>
  </si>
  <si>
    <t>R3-2024-022390</t>
  </si>
  <si>
    <t>R.A.Padilla</t>
  </si>
  <si>
    <t>Bunga</t>
  </si>
  <si>
    <t>Capintalan</t>
  </si>
  <si>
    <t>Joson</t>
  </si>
  <si>
    <t>General Luna</t>
  </si>
  <si>
    <t>Minuli</t>
  </si>
  <si>
    <t>Piut</t>
  </si>
  <si>
    <t>Puncan</t>
  </si>
  <si>
    <t>Putlan</t>
  </si>
  <si>
    <t>Salazar</t>
  </si>
  <si>
    <t>T. L. Padilla Pob.</t>
  </si>
  <si>
    <t>F. C. Otic Pob.</t>
  </si>
  <si>
    <t>D. L. Maglanoc Pob.</t>
  </si>
  <si>
    <t>G. S. Rosario Pob.</t>
  </si>
  <si>
    <t>Baloy</t>
  </si>
  <si>
    <t>Bambanaba</t>
  </si>
  <si>
    <t>Bentigan</t>
  </si>
  <si>
    <t>Bonifacio</t>
  </si>
  <si>
    <t>Bued</t>
  </si>
  <si>
    <t>Bulala</t>
  </si>
  <si>
    <t>Cabileo</t>
  </si>
  <si>
    <t>Cabatuan</t>
  </si>
  <si>
    <t>Cacapasan</t>
  </si>
  <si>
    <t>Calancuasan Norte</t>
  </si>
  <si>
    <t>Calancuasan Sur</t>
  </si>
  <si>
    <t>Colosboa</t>
  </si>
  <si>
    <t>Columbitin</t>
  </si>
  <si>
    <t>District I</t>
  </si>
  <si>
    <t>District II</t>
  </si>
  <si>
    <t>District IV</t>
  </si>
  <si>
    <t>District V</t>
  </si>
  <si>
    <t>District VI</t>
  </si>
  <si>
    <t>District VII</t>
  </si>
  <si>
    <t>District VIII</t>
  </si>
  <si>
    <t>Landig</t>
  </si>
  <si>
    <t>Latap</t>
  </si>
  <si>
    <t>Loob</t>
  </si>
  <si>
    <t>Luna</t>
  </si>
  <si>
    <t>Malbeg-Patalan</t>
  </si>
  <si>
    <t>Malineng</t>
  </si>
  <si>
    <t>Maycaban</t>
  </si>
  <si>
    <t>Nacuralan</t>
  </si>
  <si>
    <t>Nagmisahan</t>
  </si>
  <si>
    <t>Paitan Norte</t>
  </si>
  <si>
    <t>Paitan Sur</t>
  </si>
  <si>
    <t>Piglisan</t>
  </si>
  <si>
    <t>Pugo</t>
  </si>
  <si>
    <t>Salagusog</t>
  </si>
  <si>
    <t>Sinimbaan</t>
  </si>
  <si>
    <t>Tagtagumbao</t>
  </si>
  <si>
    <t>Tutuloy</t>
  </si>
  <si>
    <t>Ungab</t>
  </si>
  <si>
    <t>Villaflores</t>
  </si>
  <si>
    <t>Bagting</t>
  </si>
  <si>
    <t>Bitulok</t>
  </si>
  <si>
    <t>Bugnan</t>
  </si>
  <si>
    <t>Calabasa</t>
  </si>
  <si>
    <t>Cuyapa</t>
  </si>
  <si>
    <t>Ligaya</t>
  </si>
  <si>
    <t>Macasandal</t>
  </si>
  <si>
    <t>Malinao</t>
  </si>
  <si>
    <t>Pinamalisan</t>
  </si>
  <si>
    <t>Sawmill</t>
  </si>
  <si>
    <t>City of Gapan</t>
  </si>
  <si>
    <t>Bulak</t>
  </si>
  <si>
    <t>Kapalangan</t>
  </si>
  <si>
    <t>Mahipon</t>
  </si>
  <si>
    <t>R3-2024-022391</t>
  </si>
  <si>
    <t>Malimba</t>
  </si>
  <si>
    <t>R3-2024-022392</t>
  </si>
  <si>
    <t>Mangino</t>
  </si>
  <si>
    <t>R3-2024-040907</t>
  </si>
  <si>
    <t>Marelo</t>
  </si>
  <si>
    <t>R3-2024-040900</t>
  </si>
  <si>
    <t>Parcutela</t>
  </si>
  <si>
    <t>San Lorenzo (Pob.)</t>
  </si>
  <si>
    <t>R3-2024-003708</t>
  </si>
  <si>
    <t>R3-2024-041258</t>
  </si>
  <si>
    <t>Santo Cristo Norte</t>
  </si>
  <si>
    <t>Santo Cristo Sur</t>
  </si>
  <si>
    <t>Makabaclay</t>
  </si>
  <si>
    <t>Balante</t>
  </si>
  <si>
    <t xml:space="preserve">R3-2024-040905 </t>
  </si>
  <si>
    <t>Bungo</t>
  </si>
  <si>
    <t>Mabuga</t>
  </si>
  <si>
    <t>R3-2024-035620</t>
  </si>
  <si>
    <t>Maburak</t>
  </si>
  <si>
    <t>R3-2024-035619</t>
  </si>
  <si>
    <t>Puting Tubig</t>
  </si>
  <si>
    <t>Gen. Mamerto Natividad</t>
  </si>
  <si>
    <t>Balangkare Norte</t>
  </si>
  <si>
    <t>Balangkare Sur</t>
  </si>
  <si>
    <t>R3-2024-004062</t>
  </si>
  <si>
    <t>Belen</t>
  </si>
  <si>
    <t>Bravo</t>
  </si>
  <si>
    <t>Burol</t>
  </si>
  <si>
    <t>Kabulihan</t>
  </si>
  <si>
    <t>Mag-asawang Sampaloc</t>
  </si>
  <si>
    <t>Manarog</t>
  </si>
  <si>
    <t>Mataas na Kahoy</t>
  </si>
  <si>
    <t>Panacsac</t>
  </si>
  <si>
    <t>R3-2024-004063</t>
  </si>
  <si>
    <t>Picaleon</t>
  </si>
  <si>
    <t>R3-2024-004065</t>
  </si>
  <si>
    <t>Pinahan</t>
  </si>
  <si>
    <t>R3-2024-015691</t>
  </si>
  <si>
    <t>Platero</t>
  </si>
  <si>
    <t>R3-2024-015689</t>
  </si>
  <si>
    <t>Pulong Singkamas</t>
  </si>
  <si>
    <t>R3-2024-015732</t>
  </si>
  <si>
    <t>Sapang Bato</t>
  </si>
  <si>
    <t>Talabutab Norte</t>
  </si>
  <si>
    <t>R3-2024-015692</t>
  </si>
  <si>
    <t>Talabutab Sur</t>
  </si>
  <si>
    <t>Bago</t>
  </si>
  <si>
    <t>Nazareth</t>
  </si>
  <si>
    <t>Padolina</t>
  </si>
  <si>
    <t>Pias</t>
  </si>
  <si>
    <t>Poblacion West</t>
  </si>
  <si>
    <t>Rio Chico</t>
  </si>
  <si>
    <t>Poblacion Central</t>
  </si>
  <si>
    <t>Pulong Matong</t>
  </si>
  <si>
    <t>Sampaguita</t>
  </si>
  <si>
    <t>Palale</t>
  </si>
  <si>
    <t>Agcano</t>
  </si>
  <si>
    <t>Ayos Lomboy</t>
  </si>
  <si>
    <t>R3-2024-034655</t>
  </si>
  <si>
    <t>Bacayao</t>
  </si>
  <si>
    <t>Balbalino</t>
  </si>
  <si>
    <t>Balingog East</t>
  </si>
  <si>
    <t>Balingog West</t>
  </si>
  <si>
    <t>Banitan</t>
  </si>
  <si>
    <t>R3-2024-013546</t>
  </si>
  <si>
    <t>Bulakid</t>
  </si>
  <si>
    <t>Caballero</t>
  </si>
  <si>
    <t>Cabaruan</t>
  </si>
  <si>
    <t>Caingin Tabing Ilog</t>
  </si>
  <si>
    <t>Calem</t>
  </si>
  <si>
    <t>Cardinal</t>
  </si>
  <si>
    <t>Casongsong</t>
  </si>
  <si>
    <t>Catimon</t>
  </si>
  <si>
    <t>Cavite</t>
  </si>
  <si>
    <t>R3-2024-034656</t>
  </si>
  <si>
    <t>Cawayan Bugtong</t>
  </si>
  <si>
    <t>Consuelo</t>
  </si>
  <si>
    <t>Escano</t>
  </si>
  <si>
    <t>Faigal</t>
  </si>
  <si>
    <t>Galvan</t>
  </si>
  <si>
    <t>Guiset</t>
  </si>
  <si>
    <t>R3-2024-034660</t>
  </si>
  <si>
    <t>Lamorito</t>
  </si>
  <si>
    <t>Macamias</t>
  </si>
  <si>
    <t>Macapabellag</t>
  </si>
  <si>
    <t>Macatcatuit</t>
  </si>
  <si>
    <t>Manacsac</t>
  </si>
  <si>
    <t>Manggang Marikit</t>
  </si>
  <si>
    <t>Maturanoc</t>
  </si>
  <si>
    <t>Maybubon</t>
  </si>
  <si>
    <t>Naglabrahan</t>
  </si>
  <si>
    <t>Nagpandayan</t>
  </si>
  <si>
    <t>Narvacan I</t>
  </si>
  <si>
    <t>Narvacan II</t>
  </si>
  <si>
    <t>Pacac</t>
  </si>
  <si>
    <t>Partida I</t>
  </si>
  <si>
    <t>Partida II</t>
  </si>
  <si>
    <t>Pasong Inchic</t>
  </si>
  <si>
    <t>Saint John District (Pob.)</t>
  </si>
  <si>
    <t>San Andres</t>
  </si>
  <si>
    <t>R3-2024-034657</t>
  </si>
  <si>
    <t>San Bernardino</t>
  </si>
  <si>
    <t>R3-2024-034658</t>
  </si>
  <si>
    <t>Santa Veronica District (Pob.)</t>
  </si>
  <si>
    <t>Santo Cristo District (Pob.)</t>
  </si>
  <si>
    <t>Saranay District (Pob.)</t>
  </si>
  <si>
    <t>R3-2024-034659</t>
  </si>
  <si>
    <t>Sinulatan</t>
  </si>
  <si>
    <t>Subol</t>
  </si>
  <si>
    <t>Tampac I</t>
  </si>
  <si>
    <t>Tampac II &amp; III</t>
  </si>
  <si>
    <t>Triala</t>
  </si>
  <si>
    <t>Yuson</t>
  </si>
  <si>
    <t>Bunol</t>
  </si>
  <si>
    <t>Dampulan (Pob.)</t>
  </si>
  <si>
    <t>R3-2024-015466</t>
  </si>
  <si>
    <t>Hilera</t>
  </si>
  <si>
    <t>Imbunia</t>
  </si>
  <si>
    <t xml:space="preserve">R3-2024-039870	</t>
  </si>
  <si>
    <t>Imelda Pob.</t>
  </si>
  <si>
    <t>Langla</t>
  </si>
  <si>
    <t>R3-2024-016075</t>
  </si>
  <si>
    <t>Magsalisi</t>
  </si>
  <si>
    <t>Malabon-Kaingin</t>
  </si>
  <si>
    <t>Marawa</t>
  </si>
  <si>
    <t>R3-2024-004082</t>
  </si>
  <si>
    <t>Don Mariano Marcos (Pob.)</t>
  </si>
  <si>
    <t>San Josef</t>
  </si>
  <si>
    <t>R3-2024-016076</t>
  </si>
  <si>
    <t>Pamacpacan</t>
  </si>
  <si>
    <t>Pakol</t>
  </si>
  <si>
    <t>Pinanggaan</t>
  </si>
  <si>
    <t>Ulanin-Pitak</t>
  </si>
  <si>
    <t>Putlod</t>
  </si>
  <si>
    <t>R3-2024-015464</t>
  </si>
  <si>
    <t>Ocampo-Rivera District (Pob.)</t>
  </si>
  <si>
    <t>R3-2024-015465</t>
  </si>
  <si>
    <t>R3-2024-004081</t>
  </si>
  <si>
    <t>Santo Tomas North</t>
  </si>
  <si>
    <t>Santo Tomas South</t>
  </si>
  <si>
    <t>R3-2024-022293</t>
  </si>
  <si>
    <t>Betania</t>
  </si>
  <si>
    <t>Canantong</t>
  </si>
  <si>
    <t>Nauzon</t>
  </si>
  <si>
    <t>Pangarulong</t>
  </si>
  <si>
    <t>Pinagbayanan</t>
  </si>
  <si>
    <t>R3-2024-011767</t>
  </si>
  <si>
    <t>San Fernando</t>
  </si>
  <si>
    <t>R3-2024-008386</t>
  </si>
  <si>
    <t>Siclong</t>
  </si>
  <si>
    <t>Linao</t>
  </si>
  <si>
    <t>Poblacion Sur</t>
  </si>
  <si>
    <t>San Casimiro</t>
  </si>
  <si>
    <t>San Cristobal</t>
  </si>
  <si>
    <t>Villarosa</t>
  </si>
  <si>
    <t>A. Bonifacio</t>
  </si>
  <si>
    <t>Caridad Norte</t>
  </si>
  <si>
    <t>R3-2024-013980</t>
  </si>
  <si>
    <t>Caridad Sur</t>
  </si>
  <si>
    <t>R3-2024-013981</t>
  </si>
  <si>
    <t>Casile</t>
  </si>
  <si>
    <t>Florida Blanca</t>
  </si>
  <si>
    <t>R3-2024-017051</t>
  </si>
  <si>
    <t>General Ricarte</t>
  </si>
  <si>
    <t>Gomez</t>
  </si>
  <si>
    <t>Inanama</t>
  </si>
  <si>
    <t>Mabini</t>
  </si>
  <si>
    <t>Murcon</t>
  </si>
  <si>
    <t>R3-2024-017050</t>
  </si>
  <si>
    <t>R3-2024-028177</t>
  </si>
  <si>
    <t>R3-2024-028174</t>
  </si>
  <si>
    <t>R3-2024-017052</t>
  </si>
  <si>
    <t>R3-2024-041513</t>
  </si>
  <si>
    <t>R3-2024-013192</t>
  </si>
  <si>
    <t>Villa Viniegas</t>
  </si>
  <si>
    <t>Bosque</t>
  </si>
  <si>
    <t>R3-2024-017049</t>
  </si>
  <si>
    <t>Agupalo Este</t>
  </si>
  <si>
    <t>Agupalo Weste</t>
  </si>
  <si>
    <t>R3-2024-029800</t>
  </si>
  <si>
    <t>Alalay Chica</t>
  </si>
  <si>
    <t>Alalay Grande</t>
  </si>
  <si>
    <t>J. U. Tienzo</t>
  </si>
  <si>
    <t>R3-2024-033035</t>
  </si>
  <si>
    <t xml:space="preserve">Received by Planning </t>
  </si>
  <si>
    <t>Bagong Flores</t>
  </si>
  <si>
    <t>R3-2024-029799</t>
  </si>
  <si>
    <t>Balbalungao</t>
  </si>
  <si>
    <t>R3-2024-029801</t>
  </si>
  <si>
    <t>Cordero</t>
  </si>
  <si>
    <t>R3-2024-033036</t>
  </si>
  <si>
    <t>Mapangpang</t>
  </si>
  <si>
    <t>Namulandayan</t>
  </si>
  <si>
    <t>Parista</t>
  </si>
  <si>
    <t>Poblacion North</t>
  </si>
  <si>
    <t>Salvacion I</t>
  </si>
  <si>
    <t>Salvacion II</t>
  </si>
  <si>
    <t>R3-2024-013547</t>
  </si>
  <si>
    <t>San Antonio Weste</t>
  </si>
  <si>
    <t>Science City of Munoz</t>
  </si>
  <si>
    <t>R3-2024-039997</t>
  </si>
  <si>
    <t>Bical</t>
  </si>
  <si>
    <t>R3-2024-003549</t>
  </si>
  <si>
    <t>Cabisuculan</t>
  </si>
  <si>
    <t>Calabalabaan</t>
  </si>
  <si>
    <t>Calisitan</t>
  </si>
  <si>
    <t>Catalanacan</t>
  </si>
  <si>
    <t>R3-2024-040001</t>
  </si>
  <si>
    <t>Labney</t>
  </si>
  <si>
    <t>Licaong</t>
  </si>
  <si>
    <t>Linglingay</t>
  </si>
  <si>
    <t>R3-2024-032846</t>
  </si>
  <si>
    <t xml:space="preserve">September </t>
  </si>
  <si>
    <t>Mangandingay</t>
  </si>
  <si>
    <t>Magtanggol</t>
  </si>
  <si>
    <t>Maragol</t>
  </si>
  <si>
    <t>Matingkis</t>
  </si>
  <si>
    <t>Palusapis</t>
  </si>
  <si>
    <t>Pandalla</t>
  </si>
  <si>
    <t>R3-2024-040002</t>
  </si>
  <si>
    <t>R3-2024-040004</t>
  </si>
  <si>
    <t>Rang-ayan</t>
  </si>
  <si>
    <t>R3-2024-040005</t>
  </si>
  <si>
    <t>Sapang Cawayan</t>
  </si>
  <si>
    <t>Villa Isla</t>
  </si>
  <si>
    <t>Villa Nati</t>
  </si>
  <si>
    <t>Villa Santos</t>
  </si>
  <si>
    <t>Villa Cuizon</t>
  </si>
  <si>
    <t>Alemania</t>
  </si>
  <si>
    <t>Ambasador Alzate Village</t>
  </si>
  <si>
    <t>Cabaducan East (Pob.)</t>
  </si>
  <si>
    <t>Cabaducan West (Pob.)</t>
  </si>
  <si>
    <t>Cabawangan</t>
  </si>
  <si>
    <t>East Central Poblacion</t>
  </si>
  <si>
    <t>Edy</t>
  </si>
  <si>
    <t>Maeling</t>
  </si>
  <si>
    <t>Medico</t>
  </si>
  <si>
    <t>Monic</t>
  </si>
  <si>
    <t>Northwest Poblacion</t>
  </si>
  <si>
    <t>Estacion (Pob.)</t>
  </si>
  <si>
    <t>West Poblacion</t>
  </si>
  <si>
    <t>Recuerdo</t>
  </si>
  <si>
    <t>South Central Poblacion</t>
  </si>
  <si>
    <t>Southeast Poblacion</t>
  </si>
  <si>
    <t>Southwest Poblacion</t>
  </si>
  <si>
    <t>Tony</t>
  </si>
  <si>
    <t>West Central Poblacion</t>
  </si>
  <si>
    <t>City of Palayan (Capital)</t>
  </si>
  <si>
    <t>Aulo</t>
  </si>
  <si>
    <t>Bo. Militar</t>
  </si>
  <si>
    <t>Ganaderia</t>
  </si>
  <si>
    <t>R3-2024-041545</t>
  </si>
  <si>
    <t>Manacnac</t>
  </si>
  <si>
    <t>Mapait</t>
  </si>
  <si>
    <t>Marcos Village</t>
  </si>
  <si>
    <t>Malate (Pob.)</t>
  </si>
  <si>
    <t xml:space="preserve">R3-2024-041544 </t>
  </si>
  <si>
    <t>Sapang Buho</t>
  </si>
  <si>
    <t>R3-2024-032492</t>
  </si>
  <si>
    <t>R3-2024-032494</t>
  </si>
  <si>
    <t>Caimito</t>
  </si>
  <si>
    <t>R3-2024-041516</t>
  </si>
  <si>
    <t>Doña Josefa</t>
  </si>
  <si>
    <t>Imelda Valley</t>
  </si>
  <si>
    <t>Santolan</t>
  </si>
  <si>
    <t>Popolon Pagas</t>
  </si>
  <si>
    <t>Cadaclan</t>
  </si>
  <si>
    <t>Cambitala</t>
  </si>
  <si>
    <t>Conversion</t>
  </si>
  <si>
    <t>Ganduz</t>
  </si>
  <si>
    <t>Liberty</t>
  </si>
  <si>
    <t>Malbang</t>
  </si>
  <si>
    <t>R3-2024-023520</t>
  </si>
  <si>
    <t>Napon-Napon</t>
  </si>
  <si>
    <t>R3-2024-023519</t>
  </si>
  <si>
    <t>Villarica</t>
  </si>
  <si>
    <t>R3-2024-023521</t>
  </si>
  <si>
    <t>R3-2024-027888</t>
  </si>
  <si>
    <t>Las Piñas</t>
  </si>
  <si>
    <t>Poblacion III</t>
  </si>
  <si>
    <t>Poblacion IV</t>
  </si>
  <si>
    <t>R3-2024-033066</t>
  </si>
  <si>
    <t>Received By Planning Unit</t>
  </si>
  <si>
    <t>San Mariano</t>
  </si>
  <si>
    <t>R3-2024-017601</t>
  </si>
  <si>
    <t>Bertese</t>
  </si>
  <si>
    <t>Doña Lucia</t>
  </si>
  <si>
    <t>Ilog Baliwag</t>
  </si>
  <si>
    <t>Pulong Bahay</t>
  </si>
  <si>
    <t>San Alejandro</t>
  </si>
  <si>
    <t>San Andres I</t>
  </si>
  <si>
    <t>San Andres II</t>
  </si>
  <si>
    <t>Santo Tomas Feria</t>
  </si>
  <si>
    <t>Agbannawag</t>
  </si>
  <si>
    <t>R3-2024-035705</t>
  </si>
  <si>
    <t>Bicos</t>
  </si>
  <si>
    <t>R3-2024-023522</t>
  </si>
  <si>
    <t>Cabucbucan</t>
  </si>
  <si>
    <t>R3-2024-035957</t>
  </si>
  <si>
    <t>Calaocan District</t>
  </si>
  <si>
    <t>R3-2024-026674</t>
  </si>
  <si>
    <t>Canaan East</t>
  </si>
  <si>
    <t>Canaan West</t>
  </si>
  <si>
    <t>Casilagan</t>
  </si>
  <si>
    <t>Aglipay</t>
  </si>
  <si>
    <t>Del Pilar</t>
  </si>
  <si>
    <t>R3-2024-035703</t>
  </si>
  <si>
    <t>Estrella</t>
  </si>
  <si>
    <t>R3-2024-035958</t>
  </si>
  <si>
    <t>Macapsing</t>
  </si>
  <si>
    <t>Paco Roman</t>
  </si>
  <si>
    <t>R3-2024-035956</t>
  </si>
  <si>
    <t>Pagasa</t>
  </si>
  <si>
    <t>R3-2024-035955</t>
  </si>
  <si>
    <t>Portal</t>
  </si>
  <si>
    <t>San Esteban</t>
  </si>
  <si>
    <t>R3-2024-026675</t>
  </si>
  <si>
    <t>Villa Labrador</t>
  </si>
  <si>
    <t>Villa Paraiso</t>
  </si>
  <si>
    <t>Cama Juan</t>
  </si>
  <si>
    <t>R3-2024-037426</t>
  </si>
  <si>
    <t>Julo</t>
  </si>
  <si>
    <t>R3-2024-004834</t>
  </si>
  <si>
    <t>Lawang Kupang</t>
  </si>
  <si>
    <t>Maugat</t>
  </si>
  <si>
    <t>R3-2024-026125</t>
  </si>
  <si>
    <t>Panabingan</t>
  </si>
  <si>
    <t>R3-2024-037425</t>
  </si>
  <si>
    <t>Papaya</t>
  </si>
  <si>
    <t>R3-2024-014535</t>
  </si>
  <si>
    <t>R3-2024-024693</t>
  </si>
  <si>
    <t>R3-2024-037424</t>
  </si>
  <si>
    <t>Tikiw</t>
  </si>
  <si>
    <t>Alua</t>
  </si>
  <si>
    <t>R3-2024-029808</t>
  </si>
  <si>
    <t>Calaba</t>
  </si>
  <si>
    <t>Malapit</t>
  </si>
  <si>
    <t>R3-2024-011940</t>
  </si>
  <si>
    <t>Mangga</t>
  </si>
  <si>
    <t>R3-2024-013455</t>
  </si>
  <si>
    <t>R3-2024-011941</t>
  </si>
  <si>
    <t>R3-2024-014337</t>
  </si>
  <si>
    <t>R3-2024-029807</t>
  </si>
  <si>
    <t>A. Pascual</t>
  </si>
  <si>
    <t>Abar Ist</t>
  </si>
  <si>
    <t>R3-2024-019838</t>
  </si>
  <si>
    <t>Abar 2nd</t>
  </si>
  <si>
    <t>Caanawan</t>
  </si>
  <si>
    <t>R3-2024-021463</t>
  </si>
  <si>
    <t>R3-2024-029712</t>
  </si>
  <si>
    <t>Camanacsacan</t>
  </si>
  <si>
    <t>Culaylay</t>
  </si>
  <si>
    <t>Dizol</t>
  </si>
  <si>
    <t>Kaliwanagan</t>
  </si>
  <si>
    <t>R3-2024-029706</t>
  </si>
  <si>
    <t>Kita-Kita</t>
  </si>
  <si>
    <t>R3-2024-039848</t>
  </si>
  <si>
    <t>R3-2024-039847</t>
  </si>
  <si>
    <t>Manicla</t>
  </si>
  <si>
    <t>Palestina</t>
  </si>
  <si>
    <t>Parang Mangga</t>
  </si>
  <si>
    <t>Villa Joson</t>
  </si>
  <si>
    <t>Pinili</t>
  </si>
  <si>
    <t>Rafael Rueda, Sr. Pob.</t>
  </si>
  <si>
    <t>R3-2024-021464</t>
  </si>
  <si>
    <t>Ferdinand E. Marcos Pob.</t>
  </si>
  <si>
    <t>R3-2024-033697</t>
  </si>
  <si>
    <t>Canuto Ramos Pob.</t>
  </si>
  <si>
    <t>Raymundo Eugenio Pob.</t>
  </si>
  <si>
    <t>R3-2024-021462</t>
  </si>
  <si>
    <t>Crisanto Sanchez Pob.</t>
  </si>
  <si>
    <t>Porais</t>
  </si>
  <si>
    <t>San Mauricio</t>
  </si>
  <si>
    <t>Santo Niño 1st</t>
  </si>
  <si>
    <t>R3-2024-033699</t>
  </si>
  <si>
    <t>Santo Niño 2nd</t>
  </si>
  <si>
    <t>R3-2024-033700</t>
  </si>
  <si>
    <t>Sibut</t>
  </si>
  <si>
    <t>Sinipit Bubon</t>
  </si>
  <si>
    <t>Santo Niño 3rd</t>
  </si>
  <si>
    <t>Tabulac</t>
  </si>
  <si>
    <t>Tayabo</t>
  </si>
  <si>
    <t>Tondod</t>
  </si>
  <si>
    <t>Tulat</t>
  </si>
  <si>
    <t>Villa Floresca</t>
  </si>
  <si>
    <t>Villa Marina</t>
  </si>
  <si>
    <t>Burgos District (Pob.)</t>
  </si>
  <si>
    <t>Castellano</t>
  </si>
  <si>
    <t>Diversion</t>
  </si>
  <si>
    <t>Magpapalayoc</t>
  </si>
  <si>
    <t>Mallorca</t>
  </si>
  <si>
    <t>Mambangnan</t>
  </si>
  <si>
    <t>Nieves</t>
  </si>
  <si>
    <t>San Bartolome (Pob.)</t>
  </si>
  <si>
    <t>Rizal District (Pob.)</t>
  </si>
  <si>
    <t>San Anton</t>
  </si>
  <si>
    <t>Tabuating</t>
  </si>
  <si>
    <t>R3-2024-015456</t>
  </si>
  <si>
    <t>Tambo Adorable</t>
  </si>
  <si>
    <t>Cojuangco (Pob.)</t>
  </si>
  <si>
    <t>La Fuente</t>
  </si>
  <si>
    <t>Liwayway</t>
  </si>
  <si>
    <t>Malacañang</t>
  </si>
  <si>
    <t>Maliolio</t>
  </si>
  <si>
    <t>Rajal Centro</t>
  </si>
  <si>
    <t>Rajal Sur</t>
  </si>
  <si>
    <t>Soledad</t>
  </si>
  <si>
    <t>R3-2024-015368</t>
  </si>
  <si>
    <t>Valenzuela (Pob.)</t>
  </si>
  <si>
    <t>Aguinaldo</t>
  </si>
  <si>
    <t>Berang</t>
  </si>
  <si>
    <t>Inspector</t>
  </si>
  <si>
    <t>Isla</t>
  </si>
  <si>
    <t>San Josep</t>
  </si>
  <si>
    <t>Santa Teresita</t>
  </si>
  <si>
    <t>Sapsap</t>
  </si>
  <si>
    <t>Tagpos</t>
  </si>
  <si>
    <t>Tramo</t>
  </si>
  <si>
    <t>Baloc</t>
  </si>
  <si>
    <t>Buasao</t>
  </si>
  <si>
    <t>Cabugao</t>
  </si>
  <si>
    <t>Casulucan</t>
  </si>
  <si>
    <t>Comitang</t>
  </si>
  <si>
    <t>Dolores</t>
  </si>
  <si>
    <t>R3-2024-012871</t>
  </si>
  <si>
    <t>Malayantoc</t>
  </si>
  <si>
    <t>Mambarao</t>
  </si>
  <si>
    <t>Pulong Buli</t>
  </si>
  <si>
    <t>Sagaba</t>
  </si>
  <si>
    <t>R3-2024-028319</t>
  </si>
  <si>
    <t>R3-2024-040648</t>
  </si>
  <si>
    <t>San Fabian</t>
  </si>
  <si>
    <t>R3-2024-041348</t>
  </si>
  <si>
    <t>Andal Alino (Pob.)</t>
  </si>
  <si>
    <t>Bakal I</t>
  </si>
  <si>
    <t>Bakal II</t>
  </si>
  <si>
    <t>Bakal III</t>
  </si>
  <si>
    <t>Baluga</t>
  </si>
  <si>
    <t>R3-2024-041492</t>
  </si>
  <si>
    <t>Bantug Hacienda</t>
  </si>
  <si>
    <t>Bantug Hamog</t>
  </si>
  <si>
    <t>Bugtong na Buli</t>
  </si>
  <si>
    <t>Burnay</t>
  </si>
  <si>
    <t>Calipahan</t>
  </si>
  <si>
    <t>R3-2024-029056</t>
  </si>
  <si>
    <t>Campos</t>
  </si>
  <si>
    <t>Casulucan Este</t>
  </si>
  <si>
    <t>Collado</t>
  </si>
  <si>
    <t>Dimasalang Norte</t>
  </si>
  <si>
    <t>R3-2024-041635</t>
  </si>
  <si>
    <t>Dimasalang Sur</t>
  </si>
  <si>
    <t>Dinarayat</t>
  </si>
  <si>
    <t>Esguerra District (Pob.)</t>
  </si>
  <si>
    <t>Gulod</t>
  </si>
  <si>
    <t>Homestead I</t>
  </si>
  <si>
    <t>Homestead II</t>
  </si>
  <si>
    <t>R3-2024-040647</t>
  </si>
  <si>
    <t>Cabubulaonan</t>
  </si>
  <si>
    <t>Caaniplahan</t>
  </si>
  <si>
    <t>Caputican</t>
  </si>
  <si>
    <t>Kinalanguyan</t>
  </si>
  <si>
    <t>La Torre</t>
  </si>
  <si>
    <t>Lomboy</t>
  </si>
  <si>
    <t>Mabuhay</t>
  </si>
  <si>
    <t>Maestrang Kikay (Pob.)</t>
  </si>
  <si>
    <t>Mamandil</t>
  </si>
  <si>
    <t>Marcos District (Pob.)</t>
  </si>
  <si>
    <t>Purok Matias (Pob.)</t>
  </si>
  <si>
    <t>Minabuyoc</t>
  </si>
  <si>
    <t>R3-2024-033158</t>
  </si>
  <si>
    <t>Paludpod</t>
  </si>
  <si>
    <t>Pantoc Bulac</t>
  </si>
  <si>
    <t>Pinagpanaan</t>
  </si>
  <si>
    <t>R3-2024-018681</t>
  </si>
  <si>
    <t xml:space="preserve"> R3-2024-033156 </t>
  </si>
  <si>
    <t>Pulong San Miguel (Pob.)</t>
  </si>
  <si>
    <t>R3-2024-003489</t>
  </si>
  <si>
    <t>R3-2024-010045</t>
  </si>
  <si>
    <t>San Ricardo</t>
  </si>
  <si>
    <t>R3-2024-033155</t>
  </si>
  <si>
    <t>Sicsican Matanda</t>
  </si>
  <si>
    <t>Tabacao</t>
  </si>
  <si>
    <t>Tagaytay</t>
  </si>
  <si>
    <t>Valle</t>
  </si>
  <si>
    <t>Alula</t>
  </si>
  <si>
    <t>R3-2024-021615</t>
  </si>
  <si>
    <t>Baybayabas</t>
  </si>
  <si>
    <t>Cabiangan</t>
  </si>
  <si>
    <t>Cinense</t>
  </si>
  <si>
    <t>Culiat</t>
  </si>
  <si>
    <t>Maasin</t>
  </si>
  <si>
    <t>R3-2024-021618</t>
  </si>
  <si>
    <t>Magsaysay (Pob.)</t>
  </si>
  <si>
    <t>R3-2024-021665</t>
  </si>
  <si>
    <t>Mayamot I</t>
  </si>
  <si>
    <t>Mayamot II</t>
  </si>
  <si>
    <t>Nangabulan</t>
  </si>
  <si>
    <t>Osmeña (Pob.)</t>
  </si>
  <si>
    <t>R3-2024-021666</t>
  </si>
  <si>
    <t>Pangit</t>
  </si>
  <si>
    <t>Patola</t>
  </si>
  <si>
    <t>Quezon (Pob.)</t>
  </si>
  <si>
    <t>R3-2024-021667</t>
  </si>
  <si>
    <t>Quirino (Pob.)</t>
  </si>
  <si>
    <t>R3-2024-021614</t>
  </si>
  <si>
    <t>Santa Catalina</t>
  </si>
  <si>
    <t>Saringaya</t>
  </si>
  <si>
    <t>Saverona</t>
  </si>
  <si>
    <t>Tandoc</t>
  </si>
  <si>
    <t>Villa Rosario</t>
  </si>
  <si>
    <t>Villa Boado</t>
  </si>
  <si>
    <t>Batitang</t>
  </si>
  <si>
    <t>Carmen</t>
  </si>
  <si>
    <t>H. Romero</t>
  </si>
  <si>
    <t>Macarse</t>
  </si>
  <si>
    <t>Manaul</t>
  </si>
  <si>
    <t>Mayamot</t>
  </si>
  <si>
    <t>Santa Lucia Old</t>
  </si>
  <si>
    <t>Santa Lucia Young</t>
  </si>
  <si>
    <t>Santo Rosario Old</t>
  </si>
  <si>
    <t>Santo Rosario Young</t>
  </si>
  <si>
    <t>Valeriana</t>
  </si>
  <si>
    <t>Agapito del Rosario</t>
  </si>
  <si>
    <t>Anunas</t>
  </si>
  <si>
    <t>Balibago</t>
  </si>
  <si>
    <t>Capaya</t>
  </si>
  <si>
    <t>Claro M. Recto</t>
  </si>
  <si>
    <t>Cuayan</t>
  </si>
  <si>
    <t>R3-2024-032568</t>
  </si>
  <si>
    <t>Cutud</t>
  </si>
  <si>
    <t>Lourdes North West</t>
  </si>
  <si>
    <t>Lourdes Sur</t>
  </si>
  <si>
    <t>Lourdes Sur East</t>
  </si>
  <si>
    <t>Malabanias</t>
  </si>
  <si>
    <t>R3-2024-036643</t>
  </si>
  <si>
    <t>Margot</t>
  </si>
  <si>
    <t>R3-2024-032569</t>
  </si>
  <si>
    <t>R3-2024-029230</t>
  </si>
  <si>
    <t>R3-2024-032570</t>
  </si>
  <si>
    <t>Pandan</t>
  </si>
  <si>
    <t>R3-2024-029233</t>
  </si>
  <si>
    <t>Pulung Maragul</t>
  </si>
  <si>
    <t>Pulungbulu</t>
  </si>
  <si>
    <t>Pulung Cacutud</t>
  </si>
  <si>
    <t>R3-2024-036644</t>
  </si>
  <si>
    <t>R3-2024-036645</t>
  </si>
  <si>
    <t>Santa Trinidad</t>
  </si>
  <si>
    <t>R3-2024-032571</t>
  </si>
  <si>
    <t>Sapalibutad</t>
  </si>
  <si>
    <t>R3-2024-029231</t>
  </si>
  <si>
    <t>Sapangbato</t>
  </si>
  <si>
    <t>Tabun</t>
  </si>
  <si>
    <t>Virgen Delos Remedios</t>
  </si>
  <si>
    <t>Amsic</t>
  </si>
  <si>
    <t>Ninoy Aquino</t>
  </si>
  <si>
    <t>R3-2024-029232</t>
  </si>
  <si>
    <t>Balucuc</t>
  </si>
  <si>
    <t>Calantipe</t>
  </si>
  <si>
    <t>Cansinala</t>
  </si>
  <si>
    <t>R3-2024-040922</t>
  </si>
  <si>
    <t>Colgante</t>
  </si>
  <si>
    <t>Paligui</t>
  </si>
  <si>
    <t>R3-2024-025797</t>
  </si>
  <si>
    <t>Sucad</t>
  </si>
  <si>
    <t>R3-2024-040923</t>
  </si>
  <si>
    <t>R3-2024-040921</t>
  </si>
  <si>
    <t>Tabuyuc</t>
  </si>
  <si>
    <t>R3-2024-037266</t>
  </si>
  <si>
    <t>Arenas</t>
  </si>
  <si>
    <t>Baliti</t>
  </si>
  <si>
    <t>Batasan</t>
  </si>
  <si>
    <t>Buensuceso</t>
  </si>
  <si>
    <t>R3-2024-031358</t>
  </si>
  <si>
    <t>Candating</t>
  </si>
  <si>
    <t>Gatiawin</t>
  </si>
  <si>
    <t>Guemasan</t>
  </si>
  <si>
    <t>Lacmit</t>
  </si>
  <si>
    <t>Lacquios</t>
  </si>
  <si>
    <t>Mangga-Cacutud</t>
  </si>
  <si>
    <t>R3-2024-021592</t>
  </si>
  <si>
    <t xml:space="preserve">June </t>
  </si>
  <si>
    <t>Panlinlang</t>
  </si>
  <si>
    <t>R3-2024-025796</t>
  </si>
  <si>
    <t>Paralaya</t>
  </si>
  <si>
    <t>Plazang Luma</t>
  </si>
  <si>
    <t>San Agustin Norte</t>
  </si>
  <si>
    <t>San Agustin Sur</t>
  </si>
  <si>
    <t>San Jose Mesulo</t>
  </si>
  <si>
    <t>San Juan Bano</t>
  </si>
  <si>
    <t>R3-2024-021591</t>
  </si>
  <si>
    <t>San Roque Bitas</t>
  </si>
  <si>
    <t>Matamo</t>
  </si>
  <si>
    <t>Santo Niño Tabuan</t>
  </si>
  <si>
    <t>Telapayong</t>
  </si>
  <si>
    <t>Kaledian</t>
  </si>
  <si>
    <t>Balas</t>
  </si>
  <si>
    <t>R3-2024-041089</t>
  </si>
  <si>
    <t>Cabalantian</t>
  </si>
  <si>
    <t>R3-2024-031844</t>
  </si>
  <si>
    <t>Cabambangan (Pob.)</t>
  </si>
  <si>
    <t>Cabetican</t>
  </si>
  <si>
    <t>R3-2024-031843</t>
  </si>
  <si>
    <t>Calibutbut</t>
  </si>
  <si>
    <t>R3-2024-041090</t>
  </si>
  <si>
    <t>R3-2024-031845</t>
  </si>
  <si>
    <t>Duat</t>
  </si>
  <si>
    <t>R3-2024-031846</t>
  </si>
  <si>
    <t>Macabacle</t>
  </si>
  <si>
    <t>R3-2024-041087</t>
  </si>
  <si>
    <t>Magliman</t>
  </si>
  <si>
    <t>R3-2024-031847</t>
  </si>
  <si>
    <t>Maliwalu</t>
  </si>
  <si>
    <t>R3-2024-025831</t>
  </si>
  <si>
    <t>Mesalipit</t>
  </si>
  <si>
    <t>Parulog</t>
  </si>
  <si>
    <t>Potrero</t>
  </si>
  <si>
    <t>R3-2024-032573</t>
  </si>
  <si>
    <t>R3-2024-032572</t>
  </si>
  <si>
    <t>R3-2024-041091</t>
  </si>
  <si>
    <t>Tinajero</t>
  </si>
  <si>
    <t>R3-2024-041094</t>
  </si>
  <si>
    <t>R3-2024-040609</t>
  </si>
  <si>
    <t>Barit</t>
  </si>
  <si>
    <t>Buas (Pob.)</t>
  </si>
  <si>
    <t>Cuayang Bugtong</t>
  </si>
  <si>
    <t>Dalayap</t>
  </si>
  <si>
    <t>Dulong Ilog</t>
  </si>
  <si>
    <t>Gulap</t>
  </si>
  <si>
    <t>R3-2024-013952</t>
  </si>
  <si>
    <t>Lanang</t>
  </si>
  <si>
    <t>R3-2024-040607</t>
  </si>
  <si>
    <t>Magumbali</t>
  </si>
  <si>
    <t>R3-2024-040610</t>
  </si>
  <si>
    <t>Mandili</t>
  </si>
  <si>
    <t>Mapaniqui</t>
  </si>
  <si>
    <t>Pangclara</t>
  </si>
  <si>
    <t>Paralaya (Pob.)</t>
  </si>
  <si>
    <t>Pasig</t>
  </si>
  <si>
    <t>Pescadores (Pob.)</t>
  </si>
  <si>
    <t>R3-2024-040612</t>
  </si>
  <si>
    <t>Pulong Palazan</t>
  </si>
  <si>
    <t>San Agustin (Pob.)</t>
  </si>
  <si>
    <t>R3-2024-040613</t>
  </si>
  <si>
    <t>Tagulod</t>
  </si>
  <si>
    <t>Talang</t>
  </si>
  <si>
    <t>Vizal San Pablo</t>
  </si>
  <si>
    <t>Vizal Santo Cristo</t>
  </si>
  <si>
    <t>Vizal Santo Niño</t>
  </si>
  <si>
    <t>Anon</t>
  </si>
  <si>
    <t>R3-2024-017930</t>
  </si>
  <si>
    <t>Basa Air Base</t>
  </si>
  <si>
    <t>Benedicto</t>
  </si>
  <si>
    <t>R3-2024-017931</t>
  </si>
  <si>
    <t>Bodega</t>
  </si>
  <si>
    <t>R3-2024-017932</t>
  </si>
  <si>
    <t>Cabangcalan</t>
  </si>
  <si>
    <t>R3-2024-025799</t>
  </si>
  <si>
    <t>Dampe</t>
  </si>
  <si>
    <t>R3-2024-025798</t>
  </si>
  <si>
    <t>Del Carmen</t>
  </si>
  <si>
    <t>R3-2024-021600</t>
  </si>
  <si>
    <t>Fortuna</t>
  </si>
  <si>
    <t>Gutad</t>
  </si>
  <si>
    <t>R3-2024-021601</t>
  </si>
  <si>
    <t>R3-2024-040799</t>
  </si>
  <si>
    <t>Nabuclod</t>
  </si>
  <si>
    <t>Paguiruan</t>
  </si>
  <si>
    <t>R3-2024-036642</t>
  </si>
  <si>
    <t>Palmayo</t>
  </si>
  <si>
    <t>R3-2024-021599</t>
  </si>
  <si>
    <t>Pandaguirig</t>
  </si>
  <si>
    <t>R3-2024-040795</t>
  </si>
  <si>
    <t>R3-2024-021598</t>
  </si>
  <si>
    <t>R3-2024-040797</t>
  </si>
  <si>
    <t>Solib</t>
  </si>
  <si>
    <t>R3-2024-040798</t>
  </si>
  <si>
    <t>Valdez</t>
  </si>
  <si>
    <t>R3-2024-040800</t>
  </si>
  <si>
    <t>Mawacat</t>
  </si>
  <si>
    <t>Jose Abad Santos</t>
  </si>
  <si>
    <t>Lambac</t>
  </si>
  <si>
    <t>Maquiapo</t>
  </si>
  <si>
    <t>Natividad</t>
  </si>
  <si>
    <t>Plaza Burgos (Pob.)</t>
  </si>
  <si>
    <t>Pulungmasle</t>
  </si>
  <si>
    <t>R3-2024-037410</t>
  </si>
  <si>
    <t>San Juan Bautista</t>
  </si>
  <si>
    <t>San Juan Nepomuceno</t>
  </si>
  <si>
    <t>San Matias</t>
  </si>
  <si>
    <t>San Nicolas 1st</t>
  </si>
  <si>
    <t>San Nicolas 2nd</t>
  </si>
  <si>
    <t>Santa Filomena (Pob.)</t>
  </si>
  <si>
    <t>Santa Ursula</t>
  </si>
  <si>
    <t>Ascomo</t>
  </si>
  <si>
    <t>Balantacan</t>
  </si>
  <si>
    <t>Bancal Sinubli</t>
  </si>
  <si>
    <t>Bancal Pugad</t>
  </si>
  <si>
    <t>Baruya</t>
  </si>
  <si>
    <t>Calangain</t>
  </si>
  <si>
    <t>R3-2024-025830</t>
  </si>
  <si>
    <t>De La Paz</t>
  </si>
  <si>
    <t>Don Ignacio Dimson</t>
  </si>
  <si>
    <t>Prado Siongco</t>
  </si>
  <si>
    <t>Remedios</t>
  </si>
  <si>
    <t>San Jose Apunan</t>
  </si>
  <si>
    <t>San Jose Gumi</t>
  </si>
  <si>
    <t>R3-2024-025829</t>
  </si>
  <si>
    <t>R3-2024-013953</t>
  </si>
  <si>
    <t>San Nicolas 1st (Pob.)</t>
  </si>
  <si>
    <t>R3-2024-011961</t>
  </si>
  <si>
    <t>R3-2024-013955</t>
  </si>
  <si>
    <t>San Pablo 1st</t>
  </si>
  <si>
    <t>San Pablo 2nd</t>
  </si>
  <si>
    <t>San Pedro Palcarangan</t>
  </si>
  <si>
    <t>San Pedro Saug</t>
  </si>
  <si>
    <t>San Roque Arbol</t>
  </si>
  <si>
    <t>San Roque Dau</t>
  </si>
  <si>
    <t>R3-2024-032634</t>
  </si>
  <si>
    <t>R3-2024-013956</t>
  </si>
  <si>
    <t>R3-2024-037405</t>
  </si>
  <si>
    <t>R3-2024-037407</t>
  </si>
  <si>
    <t>Santa Lucia (Pob.)</t>
  </si>
  <si>
    <t>R3-2024-037408</t>
  </si>
  <si>
    <t>Santa Teresa 1st</t>
  </si>
  <si>
    <t>Santa Teresa 2nd</t>
  </si>
  <si>
    <t>R3-2024-017919</t>
  </si>
  <si>
    <t xml:space="preserve">May </t>
  </si>
  <si>
    <t>Santo Tomas (Pob.)</t>
  </si>
  <si>
    <t>Atlu-Bola</t>
  </si>
  <si>
    <t>Bundagul</t>
  </si>
  <si>
    <t>Cacutud</t>
  </si>
  <si>
    <t>Camachiles</t>
  </si>
  <si>
    <t>Dau</t>
  </si>
  <si>
    <t>Duquit</t>
  </si>
  <si>
    <t>Lakandula</t>
  </si>
  <si>
    <t>Macapagal Village</t>
  </si>
  <si>
    <t>Mamatitang</t>
  </si>
  <si>
    <t>Mangalit</t>
  </si>
  <si>
    <t>Mawaque</t>
  </si>
  <si>
    <t>Paralayunan</t>
  </si>
  <si>
    <t>Sapang Biabas</t>
  </si>
  <si>
    <t>Caduang Tete</t>
  </si>
  <si>
    <t>R3-2024-037261</t>
  </si>
  <si>
    <t>Castuli</t>
  </si>
  <si>
    <t>Mataguiti</t>
  </si>
  <si>
    <t>San Gabriel (Pob.)</t>
  </si>
  <si>
    <t>R3-2024-037262</t>
  </si>
  <si>
    <t>Santa Lutgarda</t>
  </si>
  <si>
    <t>Santa Rita (Pob.)</t>
  </si>
  <si>
    <t>Saplad David</t>
  </si>
  <si>
    <t>Tacasan</t>
  </si>
  <si>
    <t>Telacsan</t>
  </si>
  <si>
    <t>R3-2024-036514</t>
  </si>
  <si>
    <t>Escaler</t>
  </si>
  <si>
    <t>Navaling</t>
  </si>
  <si>
    <t>R3-2024-036512</t>
  </si>
  <si>
    <t>San Franciso</t>
  </si>
  <si>
    <t>R3-2024-031359</t>
  </si>
  <si>
    <t>San Pablo (Pob.)</t>
  </si>
  <si>
    <t>R3-2024-031360</t>
  </si>
  <si>
    <t>San Pedro I</t>
  </si>
  <si>
    <t>R3-2024-036516</t>
  </si>
  <si>
    <t>San Pedro II</t>
  </si>
  <si>
    <t>R3-2024-036513</t>
  </si>
  <si>
    <t>R3-2024-036517</t>
  </si>
  <si>
    <t>R3-2024-025795</t>
  </si>
  <si>
    <t>R3-2024-021593</t>
  </si>
  <si>
    <t>Bucanan</t>
  </si>
  <si>
    <t>Turu</t>
  </si>
  <si>
    <t>Ayala</t>
  </si>
  <si>
    <t>Bagang</t>
  </si>
  <si>
    <t>R3-2024-032330</t>
  </si>
  <si>
    <t>Bebe Matua</t>
  </si>
  <si>
    <t>Bulacus</t>
  </si>
  <si>
    <t>Cambasi</t>
  </si>
  <si>
    <t>R3-2024-032328</t>
  </si>
  <si>
    <t>Malauli</t>
  </si>
  <si>
    <t>R3-2024-029260</t>
  </si>
  <si>
    <t>Nigui</t>
  </si>
  <si>
    <t>Palimpe</t>
  </si>
  <si>
    <t>Puti</t>
  </si>
  <si>
    <t>R3-2024-029261</t>
  </si>
  <si>
    <t>Sagrada</t>
  </si>
  <si>
    <t>R3-2024-029262</t>
  </si>
  <si>
    <t>San Isidro Anac</t>
  </si>
  <si>
    <t>San Isidro Matua (Pob.)</t>
  </si>
  <si>
    <t>San Nicolas (Pob.)</t>
  </si>
  <si>
    <t>R3-2024-032329</t>
  </si>
  <si>
    <t>Santa Lucia Matua</t>
  </si>
  <si>
    <t>Santa Lucia Paguiba</t>
  </si>
  <si>
    <t>Santa Lucia Wakas</t>
  </si>
  <si>
    <t>Santa Lucia Anac (Pob.)</t>
  </si>
  <si>
    <t>Sapang Kawayan</t>
  </si>
  <si>
    <t>Sua</t>
  </si>
  <si>
    <t>Acli</t>
  </si>
  <si>
    <t>Camuning</t>
  </si>
  <si>
    <t>Cawayan</t>
  </si>
  <si>
    <t>Culubasa</t>
  </si>
  <si>
    <t>Divisoria</t>
  </si>
  <si>
    <t>Eden</t>
  </si>
  <si>
    <t>Gandus</t>
  </si>
  <si>
    <t>Laput</t>
  </si>
  <si>
    <t>Laug</t>
  </si>
  <si>
    <t>Masamat</t>
  </si>
  <si>
    <t>Masangsang</t>
  </si>
  <si>
    <t>Nueva Victoria</t>
  </si>
  <si>
    <t>Pandacaqui</t>
  </si>
  <si>
    <t>Pangatlan</t>
  </si>
  <si>
    <t>Panipuan</t>
  </si>
  <si>
    <t>Parian (Pob.)</t>
  </si>
  <si>
    <t>Sabanilla</t>
  </si>
  <si>
    <t>San Jose Malino</t>
  </si>
  <si>
    <t>San Jose Matulid</t>
  </si>
  <si>
    <t>San Patricio</t>
  </si>
  <si>
    <t>Sapang Maisac</t>
  </si>
  <si>
    <t>Tangle</t>
  </si>
  <si>
    <t>R3-2024-017778</t>
  </si>
  <si>
    <t>Dawe</t>
  </si>
  <si>
    <t>R3-2024-013632</t>
  </si>
  <si>
    <t>Maniango</t>
  </si>
  <si>
    <t>R3-2024-021595</t>
  </si>
  <si>
    <t>San Francisco 1st</t>
  </si>
  <si>
    <t>R3-2024-017779</t>
  </si>
  <si>
    <t>San Francisco 2nd</t>
  </si>
  <si>
    <t>R3-2024-017780</t>
  </si>
  <si>
    <t>R3-2024-021597</t>
  </si>
  <si>
    <t>R3-2024-021594</t>
  </si>
  <si>
    <t>R3-2024-017782</t>
  </si>
  <si>
    <t>R3-2024-013635</t>
  </si>
  <si>
    <t>R3-2024-013628</t>
  </si>
  <si>
    <t>R3-2024-013637</t>
  </si>
  <si>
    <t>R3-2024-021596</t>
  </si>
  <si>
    <t>Saplad</t>
  </si>
  <si>
    <t>R3-2024-017781</t>
  </si>
  <si>
    <t>Babo Pangulo</t>
  </si>
  <si>
    <t>Babo Sacan</t>
  </si>
  <si>
    <t>Calzadang Bayu</t>
  </si>
  <si>
    <t>Cangatba</t>
  </si>
  <si>
    <t>R3-2024-013617</t>
  </si>
  <si>
    <t>Diaz</t>
  </si>
  <si>
    <t>Jalung</t>
  </si>
  <si>
    <t>R3-2024-013619</t>
  </si>
  <si>
    <t>Mancatian</t>
  </si>
  <si>
    <t>Manibaug Libutad</t>
  </si>
  <si>
    <t>Manibaug Paralaya</t>
  </si>
  <si>
    <t>Manibaug Pasig</t>
  </si>
  <si>
    <t>Manuali</t>
  </si>
  <si>
    <t>Mitla Proper</t>
  </si>
  <si>
    <t>Palat</t>
  </si>
  <si>
    <t>Pio</t>
  </si>
  <si>
    <t>Pulong Santol</t>
  </si>
  <si>
    <t>Salu</t>
  </si>
  <si>
    <t>Sepung Bulaun</t>
  </si>
  <si>
    <t>Sinura</t>
  </si>
  <si>
    <t>Villa Maria</t>
  </si>
  <si>
    <t>Inararo</t>
  </si>
  <si>
    <t>Sapang Uwak</t>
  </si>
  <si>
    <t>Alasas</t>
  </si>
  <si>
    <t>R3-2024-017933</t>
  </si>
  <si>
    <t>Bulaon</t>
  </si>
  <si>
    <t>Calulut</t>
  </si>
  <si>
    <t>Dela Paz Norte</t>
  </si>
  <si>
    <t>Dela Paz Sur</t>
  </si>
  <si>
    <t>R3-2024-013620</t>
  </si>
  <si>
    <t>APRIL</t>
  </si>
  <si>
    <t>Juliana</t>
  </si>
  <si>
    <t>R3-2024-036640</t>
  </si>
  <si>
    <t>Maimpis</t>
  </si>
  <si>
    <t>Malino</t>
  </si>
  <si>
    <t>Malpitic</t>
  </si>
  <si>
    <t>Pandaras</t>
  </si>
  <si>
    <t>Quebiauan</t>
  </si>
  <si>
    <t>Saguin</t>
  </si>
  <si>
    <t>R3-2024-032349</t>
  </si>
  <si>
    <t>Sindalan</t>
  </si>
  <si>
    <t>Telabastagan</t>
  </si>
  <si>
    <t>Pulung Bulu</t>
  </si>
  <si>
    <t>R3-2024-040927</t>
  </si>
  <si>
    <t>R3-2024-040924</t>
  </si>
  <si>
    <t>Santa Cruz Pambilog</t>
  </si>
  <si>
    <t>Santa Cruz Poblacion</t>
  </si>
  <si>
    <t>R3-2024-037263</t>
  </si>
  <si>
    <t>R3-2024-029259</t>
  </si>
  <si>
    <t>San Pablo Libutad</t>
  </si>
  <si>
    <t>San Pablo Proper</t>
  </si>
  <si>
    <t>R3-2024-037264</t>
  </si>
  <si>
    <t>R3-2024-031261</t>
  </si>
  <si>
    <t>San Bartolome</t>
  </si>
  <si>
    <t>San Joaquin (Pob.)</t>
  </si>
  <si>
    <t>R3-2024-031361</t>
  </si>
  <si>
    <t>Becuran</t>
  </si>
  <si>
    <t>Dila-dila</t>
  </si>
  <si>
    <t>San Basilio</t>
  </si>
  <si>
    <t>Moras De La Paz</t>
  </si>
  <si>
    <t>Batang 1st</t>
  </si>
  <si>
    <t>Batang 2nd</t>
  </si>
  <si>
    <t>Mabuanbuan</t>
  </si>
  <si>
    <t>Malusac</t>
  </si>
  <si>
    <t>R3-2024-017916</t>
  </si>
  <si>
    <t>R3-2024-017910</t>
  </si>
  <si>
    <t>R3-2024-037409</t>
  </si>
  <si>
    <t>Sabitanan</t>
  </si>
  <si>
    <t>Baguindoc</t>
  </si>
  <si>
    <t>Casili</t>
  </si>
  <si>
    <t>Don Ramon</t>
  </si>
  <si>
    <t>Hernando</t>
  </si>
  <si>
    <t>San Francisco East</t>
  </si>
  <si>
    <t>San Francisco West</t>
  </si>
  <si>
    <t>San Jose North</t>
  </si>
  <si>
    <t>R3-2024-037406</t>
  </si>
  <si>
    <t>Sinense</t>
  </si>
  <si>
    <t>R3-2024-020527</t>
  </si>
  <si>
    <t>Suaverdez</t>
  </si>
  <si>
    <t>Anupul</t>
  </si>
  <si>
    <t>Banaba</t>
  </si>
  <si>
    <t>Bangcu</t>
  </si>
  <si>
    <t>Dela Cruz</t>
  </si>
  <si>
    <t>Malonzo</t>
  </si>
  <si>
    <t>Virgen de los Remedios</t>
  </si>
  <si>
    <t>Anoling 1st</t>
  </si>
  <si>
    <t>Anoling 2nd</t>
  </si>
  <si>
    <t>Anoling 3rd</t>
  </si>
  <si>
    <t>Bacabac</t>
  </si>
  <si>
    <t>R3-2024-016499</t>
  </si>
  <si>
    <t>Bancay 1st</t>
  </si>
  <si>
    <t>Bilad</t>
  </si>
  <si>
    <t>Birbira</t>
  </si>
  <si>
    <t>R3-2024-021502</t>
  </si>
  <si>
    <t>Bobon Caarosipan</t>
  </si>
  <si>
    <t>Bobon 1st</t>
  </si>
  <si>
    <t>Bobon 2nd</t>
  </si>
  <si>
    <t>Cabanabaan</t>
  </si>
  <si>
    <t>Cacamilingan Norte</t>
  </si>
  <si>
    <t>Cacamilingan Sur</t>
  </si>
  <si>
    <t>Caniag</t>
  </si>
  <si>
    <t>Carael</t>
  </si>
  <si>
    <t>Cayaoan</t>
  </si>
  <si>
    <t>Cayasan</t>
  </si>
  <si>
    <t>Lasong</t>
  </si>
  <si>
    <t>Libueg</t>
  </si>
  <si>
    <t>Malacampa</t>
  </si>
  <si>
    <t>R3-2024-039705</t>
  </si>
  <si>
    <t>Manakem</t>
  </si>
  <si>
    <t>Manupeg</t>
  </si>
  <si>
    <t>Marawi</t>
  </si>
  <si>
    <t>Matubog</t>
  </si>
  <si>
    <t>Nagrambacan</t>
  </si>
  <si>
    <t>Nagserialan</t>
  </si>
  <si>
    <t>Palimbo Proper</t>
  </si>
  <si>
    <t>Palimbo-Caarosipan</t>
  </si>
  <si>
    <t>Pao 1st</t>
  </si>
  <si>
    <t>Pao 2nd</t>
  </si>
  <si>
    <t>Pao 3rd</t>
  </si>
  <si>
    <t>Papaac</t>
  </si>
  <si>
    <t>Pindangan 1st</t>
  </si>
  <si>
    <t>Pindangan 2nd</t>
  </si>
  <si>
    <t>Poblacion A</t>
  </si>
  <si>
    <t>R3-2024-032354</t>
  </si>
  <si>
    <t>Poblacion B</t>
  </si>
  <si>
    <t>R3-2024-037020</t>
  </si>
  <si>
    <t>Poblacion C</t>
  </si>
  <si>
    <t>Poblacion D</t>
  </si>
  <si>
    <t>Poblacion E</t>
  </si>
  <si>
    <t>Poblacion F</t>
  </si>
  <si>
    <t>Poblacion G</t>
  </si>
  <si>
    <t>Poblacion H</t>
  </si>
  <si>
    <t>Poblacion J</t>
  </si>
  <si>
    <t>Sawat</t>
  </si>
  <si>
    <t>Sinilian 1st</t>
  </si>
  <si>
    <t>Sinilian 2nd</t>
  </si>
  <si>
    <t>Sinilian 3rd</t>
  </si>
  <si>
    <t>Sinilian Cacalibosoan</t>
  </si>
  <si>
    <t>Sinulatan 1st</t>
  </si>
  <si>
    <t>Sinulatan 2nd</t>
  </si>
  <si>
    <t>R3-2024-039582</t>
  </si>
  <si>
    <t>Surgui 1st</t>
  </si>
  <si>
    <t>Surgui 2nd</t>
  </si>
  <si>
    <t>Surgui 3rd</t>
  </si>
  <si>
    <t>R3-2024-039712</t>
  </si>
  <si>
    <t>Tambugan</t>
  </si>
  <si>
    <t>Telbang</t>
  </si>
  <si>
    <t>R3-2024-037561</t>
  </si>
  <si>
    <t>Tuec</t>
  </si>
  <si>
    <t>R3-2024-039709</t>
  </si>
  <si>
    <t>Aranguren</t>
  </si>
  <si>
    <t>Bueno</t>
  </si>
  <si>
    <t>Cubcub (Pob.)</t>
  </si>
  <si>
    <t xml:space="preserve"> R3-2024-025869</t>
  </si>
  <si>
    <t>july</t>
  </si>
  <si>
    <t>Cutcut 2nd</t>
  </si>
  <si>
    <t>R3-2024-021027</t>
  </si>
  <si>
    <t>Estrada</t>
  </si>
  <si>
    <t>R3-2024-040473</t>
  </si>
  <si>
    <t>Lawy</t>
  </si>
  <si>
    <t>Manga</t>
  </si>
  <si>
    <t>R3-2024-014166</t>
  </si>
  <si>
    <t>Manlapig</t>
  </si>
  <si>
    <t>O'Donnell</t>
  </si>
  <si>
    <t>R3-2024-014167</t>
  </si>
  <si>
    <t>Santo Domingo 1st</t>
  </si>
  <si>
    <t>Santo Domingo 2nd</t>
  </si>
  <si>
    <t>Talaga</t>
  </si>
  <si>
    <t>Maruglu</t>
  </si>
  <si>
    <t>Santa Juliana</t>
  </si>
  <si>
    <t>Alfonso</t>
  </si>
  <si>
    <t>R3-2024-028337</t>
  </si>
  <si>
    <t>Balutu</t>
  </si>
  <si>
    <t>Cafe</t>
  </si>
  <si>
    <t>Calius Gueco</t>
  </si>
  <si>
    <t>Caluluan</t>
  </si>
  <si>
    <t>R3-2024-024556</t>
  </si>
  <si>
    <t>Castillo</t>
  </si>
  <si>
    <t>Corazon de Jesus</t>
  </si>
  <si>
    <t>R3-2024-024558</t>
  </si>
  <si>
    <t>Culatingan</t>
  </si>
  <si>
    <t>Dungan</t>
  </si>
  <si>
    <t>Dutung-A-Matas</t>
  </si>
  <si>
    <t>R3-2024-036694</t>
  </si>
  <si>
    <t>Lilibangan</t>
  </si>
  <si>
    <t>Mabilog</t>
  </si>
  <si>
    <t>Magao</t>
  </si>
  <si>
    <t>Malupa</t>
  </si>
  <si>
    <t>Minane</t>
  </si>
  <si>
    <t>R3-2024-016224</t>
  </si>
  <si>
    <t>Panalicsian</t>
  </si>
  <si>
    <t>Pando</t>
  </si>
  <si>
    <t>Parulung</t>
  </si>
  <si>
    <t>Pitabunan</t>
  </si>
  <si>
    <t>R3-2024-024555</t>
  </si>
  <si>
    <t>R3-2024-032355</t>
  </si>
  <si>
    <t>R3-2024-039917</t>
  </si>
  <si>
    <t>R3-2024-016225</t>
  </si>
  <si>
    <t>R3-2024-028335</t>
  </si>
  <si>
    <t>R3-2024-036693</t>
  </si>
  <si>
    <t>San Nicolas Balas</t>
  </si>
  <si>
    <t>R3-2024-021282</t>
  </si>
  <si>
    <t>R3-2024-026630</t>
  </si>
  <si>
    <t>R3-2024-021281</t>
  </si>
  <si>
    <t>R3-2024-026631</t>
  </si>
  <si>
    <t>R3-2024-028338</t>
  </si>
  <si>
    <t>R3-2024-036691</t>
  </si>
  <si>
    <t>R3-2024-024557</t>
  </si>
  <si>
    <t>Talimunduc Marimla</t>
  </si>
  <si>
    <t>Talimunduc San Miguel</t>
  </si>
  <si>
    <t>Telabanca</t>
  </si>
  <si>
    <t>Tinang</t>
  </si>
  <si>
    <t>R3-2024-032357</t>
  </si>
  <si>
    <t>Green Village</t>
  </si>
  <si>
    <t>Abagon</t>
  </si>
  <si>
    <t>Amacalan</t>
  </si>
  <si>
    <t>R3-2024-024739</t>
  </si>
  <si>
    <t>Apsayan</t>
  </si>
  <si>
    <t>Ayson</t>
  </si>
  <si>
    <t>Bawa</t>
  </si>
  <si>
    <t>Buenlag</t>
  </si>
  <si>
    <t>Bularit</t>
  </si>
  <si>
    <t>R3-2024-036130</t>
  </si>
  <si>
    <t>Calayaan</t>
  </si>
  <si>
    <t>R3-2024-012660</t>
  </si>
  <si>
    <t>Carbonel</t>
  </si>
  <si>
    <t>Cardona</t>
  </si>
  <si>
    <t>Caturay</t>
  </si>
  <si>
    <t>R3-2024-033056</t>
  </si>
  <si>
    <t>Danzo</t>
  </si>
  <si>
    <t>R3-2024-021438</t>
  </si>
  <si>
    <t>Dicolor</t>
  </si>
  <si>
    <t>Don Basilio</t>
  </si>
  <si>
    <t>R3-2024-035606</t>
  </si>
  <si>
    <t>Magaspac</t>
  </si>
  <si>
    <t>Malayep</t>
  </si>
  <si>
    <t>Matapitap</t>
  </si>
  <si>
    <t>Matayumcab</t>
  </si>
  <si>
    <t>New Salem</t>
  </si>
  <si>
    <t>Oloybuaya</t>
  </si>
  <si>
    <t>Padapada</t>
  </si>
  <si>
    <t>Parsolingan</t>
  </si>
  <si>
    <t>R3-2024-032409</t>
  </si>
  <si>
    <t>Pinasling</t>
  </si>
  <si>
    <t>Plastado</t>
  </si>
  <si>
    <t>Poblacion 1</t>
  </si>
  <si>
    <t>R3-2024-039590</t>
  </si>
  <si>
    <t>Poblacion 2</t>
  </si>
  <si>
    <t>R3-2024-012655</t>
  </si>
  <si>
    <t>Poblacion 3</t>
  </si>
  <si>
    <t>R3-2024-005978</t>
  </si>
  <si>
    <t>R3-2024-040474</t>
  </si>
  <si>
    <t>Sembrano</t>
  </si>
  <si>
    <t>R3-2024-039578</t>
  </si>
  <si>
    <t>Singat</t>
  </si>
  <si>
    <t>Sulipa</t>
  </si>
  <si>
    <t>R3-2024-040475</t>
  </si>
  <si>
    <t>Tangcaran</t>
  </si>
  <si>
    <t>Villa Paz</t>
  </si>
  <si>
    <t>Balanoy</t>
  </si>
  <si>
    <t>Bantog-Caricutan</t>
  </si>
  <si>
    <t>Caramutan</t>
  </si>
  <si>
    <t>Caut</t>
  </si>
  <si>
    <t>R3-2024-039716</t>
  </si>
  <si>
    <t>Comillas</t>
  </si>
  <si>
    <t>Dumarais</t>
  </si>
  <si>
    <t>R3-2024-035647</t>
  </si>
  <si>
    <t>Guevarra</t>
  </si>
  <si>
    <t>Kapanikian</t>
  </si>
  <si>
    <t>R3-2024-032376</t>
  </si>
  <si>
    <t>R3-2024-021713</t>
  </si>
  <si>
    <t>Laungcupang</t>
  </si>
  <si>
    <t>Macalong</t>
  </si>
  <si>
    <t>R3-2024-014165</t>
  </si>
  <si>
    <t>Matayumtayum</t>
  </si>
  <si>
    <t>R3-2024-016746</t>
  </si>
  <si>
    <t>Mayang</t>
  </si>
  <si>
    <t>R3-2024-032374</t>
  </si>
  <si>
    <t>Motrico</t>
  </si>
  <si>
    <t>Paludpud</t>
  </si>
  <si>
    <t>Ambalingit</t>
  </si>
  <si>
    <t>Baybayaoas</t>
  </si>
  <si>
    <t>Bigbiga</t>
  </si>
  <si>
    <t>Binbinaca</t>
  </si>
  <si>
    <t>Calabtangan</t>
  </si>
  <si>
    <t>R3-2024-014274</t>
  </si>
  <si>
    <t>Caocaoayan</t>
  </si>
  <si>
    <t>Carabaoan</t>
  </si>
  <si>
    <t>Cubcub</t>
  </si>
  <si>
    <t>Gayonggayong</t>
  </si>
  <si>
    <t>Gossood</t>
  </si>
  <si>
    <t>Mamonit</t>
  </si>
  <si>
    <t>Maniniog</t>
  </si>
  <si>
    <t>Mapandan</t>
  </si>
  <si>
    <t>Melecio Manganaan</t>
  </si>
  <si>
    <t>Nambalan</t>
  </si>
  <si>
    <t>Pedro L. Quines</t>
  </si>
  <si>
    <t>Pitombayog</t>
  </si>
  <si>
    <t>Rotrottooc</t>
  </si>
  <si>
    <t>R3-2024-040488</t>
  </si>
  <si>
    <t>Taldiapan</t>
  </si>
  <si>
    <t>Tangcarang</t>
  </si>
  <si>
    <t>Ablang-Sapang</t>
  </si>
  <si>
    <t>Aringin</t>
  </si>
  <si>
    <t>Atencio</t>
  </si>
  <si>
    <t>Banaoang East</t>
  </si>
  <si>
    <t>Banaoang West</t>
  </si>
  <si>
    <t>Baquero Norte</t>
  </si>
  <si>
    <t>R3-2024-012358</t>
  </si>
  <si>
    <t>Baquero Sur</t>
  </si>
  <si>
    <t>Calamay</t>
  </si>
  <si>
    <t>R3-2024-012359</t>
  </si>
  <si>
    <t>Calapan</t>
  </si>
  <si>
    <t>Camangaan East</t>
  </si>
  <si>
    <t>Camangaan West</t>
  </si>
  <si>
    <t>Camposanto 1 - Norte</t>
  </si>
  <si>
    <t>Camposanto 1 - Sur</t>
  </si>
  <si>
    <t>Camposanto 2</t>
  </si>
  <si>
    <t>Capaoayan</t>
  </si>
  <si>
    <t>Lapsing</t>
  </si>
  <si>
    <t>Maluac</t>
  </si>
  <si>
    <t>Poblacion 4</t>
  </si>
  <si>
    <t>R3-2024-035234</t>
  </si>
  <si>
    <t xml:space="preserve">Received By Planning </t>
  </si>
  <si>
    <t>San Julian</t>
  </si>
  <si>
    <t>San Leon</t>
  </si>
  <si>
    <t>R3-2024-035237</t>
  </si>
  <si>
    <t>R3-2024-035244</t>
  </si>
  <si>
    <t>Santa Lucia East</t>
  </si>
  <si>
    <t>Santa Lucia West</t>
  </si>
  <si>
    <t>R3-2024-020757</t>
  </si>
  <si>
    <t>R3-2024-035245</t>
  </si>
  <si>
    <t>Tubectubang</t>
  </si>
  <si>
    <t>Tolega Norte</t>
  </si>
  <si>
    <t>Tolega Sur</t>
  </si>
  <si>
    <t>Villa</t>
  </si>
  <si>
    <t>Abogado</t>
  </si>
  <si>
    <t>Acocolao</t>
  </si>
  <si>
    <t>Aduas</t>
  </si>
  <si>
    <t>Apulid</t>
  </si>
  <si>
    <t>Balaoang</t>
  </si>
  <si>
    <t>Barang</t>
  </si>
  <si>
    <t>Brillante</t>
  </si>
  <si>
    <t>Cabayaoasan</t>
  </si>
  <si>
    <t>Canan</t>
  </si>
  <si>
    <t>Carino</t>
  </si>
  <si>
    <t>Cayanga</t>
  </si>
  <si>
    <t>Colibangbang</t>
  </si>
  <si>
    <t>Coral</t>
  </si>
  <si>
    <t>Estacion</t>
  </si>
  <si>
    <t>Mabilang</t>
  </si>
  <si>
    <t>Manaois</t>
  </si>
  <si>
    <t>Matalapitap</t>
  </si>
  <si>
    <t>Nagmisaan</t>
  </si>
  <si>
    <t>Nancamarinan</t>
  </si>
  <si>
    <t>Nipaco</t>
  </si>
  <si>
    <t>Patalan</t>
  </si>
  <si>
    <t>Salumague</t>
  </si>
  <si>
    <t>Samput</t>
  </si>
  <si>
    <t>R3-2024-033053</t>
  </si>
  <si>
    <t>San Juan de Milla</t>
  </si>
  <si>
    <t>R3-2024-024192</t>
  </si>
  <si>
    <t>Sinigpit</t>
  </si>
  <si>
    <t>Tablang</t>
  </si>
  <si>
    <t>Ventenilla</t>
  </si>
  <si>
    <t>R3-2024-024193</t>
  </si>
  <si>
    <t>R3-2024-039591</t>
  </si>
  <si>
    <t>Cadanglaan</t>
  </si>
  <si>
    <t>Estipona</t>
  </si>
  <si>
    <t>R3-2024-016753</t>
  </si>
  <si>
    <t>Maungib</t>
  </si>
  <si>
    <t>Naya</t>
  </si>
  <si>
    <t>R3-2024-031973</t>
  </si>
  <si>
    <t>Nilasin 1st</t>
  </si>
  <si>
    <t>R3-2024-028201</t>
  </si>
  <si>
    <t>Nilasin 2nd</t>
  </si>
  <si>
    <t>R3-2024-021441</t>
  </si>
  <si>
    <t>Poroc</t>
  </si>
  <si>
    <t>R3-2024-016752</t>
  </si>
  <si>
    <t>R3-2024-032673</t>
  </si>
  <si>
    <t>Coral-Iloco</t>
  </si>
  <si>
    <t>R3-2024-032507</t>
  </si>
  <si>
    <t>Guiteb</t>
  </si>
  <si>
    <t>Pance</t>
  </si>
  <si>
    <t>Poblacion Center</t>
  </si>
  <si>
    <t>R3-2024-035408</t>
  </si>
  <si>
    <t>San Raymundo</t>
  </si>
  <si>
    <t>Toledo</t>
  </si>
  <si>
    <t>R3-2024-035406</t>
  </si>
  <si>
    <t>R3-2024-036582</t>
  </si>
  <si>
    <t>Casipo</t>
  </si>
  <si>
    <t>R3-2024-017456</t>
  </si>
  <si>
    <t>Catagudingan</t>
  </si>
  <si>
    <t>R3-2024-039581</t>
  </si>
  <si>
    <t>Daldalayap</t>
  </si>
  <si>
    <t>Doclong 1</t>
  </si>
  <si>
    <t>Doclong 2</t>
  </si>
  <si>
    <t>R3-2024-016166</t>
  </si>
  <si>
    <t>Nagsabaran</t>
  </si>
  <si>
    <t>R3-2024-031807</t>
  </si>
  <si>
    <t>Pit-ao</t>
  </si>
  <si>
    <t>R3-2024-032377</t>
  </si>
  <si>
    <t>R3-2024-032379</t>
  </si>
  <si>
    <t>Colubot</t>
  </si>
  <si>
    <t>Legaspi</t>
  </si>
  <si>
    <t>R3-2024-016832</t>
  </si>
  <si>
    <t>Matarannoc</t>
  </si>
  <si>
    <t>Pacpaco</t>
  </si>
  <si>
    <t>Salcedo</t>
  </si>
  <si>
    <t>San Jacinto</t>
  </si>
  <si>
    <t>Sta. Ignacia</t>
  </si>
  <si>
    <t>Baldios</t>
  </si>
  <si>
    <t>R3-2024-032404</t>
  </si>
  <si>
    <t>Botbotones</t>
  </si>
  <si>
    <t>Caanamongan</t>
  </si>
  <si>
    <t>Cabugbugan</t>
  </si>
  <si>
    <t>Caduldulaoan</t>
  </si>
  <si>
    <t>Calipayan</t>
  </si>
  <si>
    <t>Macaguing</t>
  </si>
  <si>
    <t>Pilpila</t>
  </si>
  <si>
    <t>Pinpinas</t>
  </si>
  <si>
    <t>R3-2024-016233</t>
  </si>
  <si>
    <t>R3-2024-028200</t>
  </si>
  <si>
    <t>Pugo-Cecilio</t>
  </si>
  <si>
    <t>San Sotero</t>
  </si>
  <si>
    <t>R3-2024-028199</t>
  </si>
  <si>
    <t>Santa Ines Centro</t>
  </si>
  <si>
    <t>Santa Ines East</t>
  </si>
  <si>
    <t>Santa Ines West</t>
  </si>
  <si>
    <t>Taguiporo</t>
  </si>
  <si>
    <t>Timmaguab</t>
  </si>
  <si>
    <t>R3-2024-028198</t>
  </si>
  <si>
    <t>Vargas</t>
  </si>
  <si>
    <t>R3-2024-016234</t>
  </si>
  <si>
    <t>Tarlac City (Capital)</t>
  </si>
  <si>
    <t>Aguso</t>
  </si>
  <si>
    <t>Alvindia Segundo</t>
  </si>
  <si>
    <t>Amucao</t>
  </si>
  <si>
    <t>Armenia</t>
  </si>
  <si>
    <t>Asturias</t>
  </si>
  <si>
    <t>Atioc</t>
  </si>
  <si>
    <t>Balanti</t>
  </si>
  <si>
    <t>Balete</t>
  </si>
  <si>
    <t>Balibago I</t>
  </si>
  <si>
    <t>Balibago II</t>
  </si>
  <si>
    <t>Balingcanaway</t>
  </si>
  <si>
    <t>Baras-baras</t>
  </si>
  <si>
    <t>Batang-batang</t>
  </si>
  <si>
    <t>Binauganan</t>
  </si>
  <si>
    <t>Bora</t>
  </si>
  <si>
    <t>Buhilit</t>
  </si>
  <si>
    <t>Burot</t>
  </si>
  <si>
    <t>Calingcuan</t>
  </si>
  <si>
    <t>Capehan</t>
  </si>
  <si>
    <t>Carangian</t>
  </si>
  <si>
    <t>Culipat</t>
  </si>
  <si>
    <t>Cut-cut I</t>
  </si>
  <si>
    <t>Cut-cut II</t>
  </si>
  <si>
    <t>Dela Paz</t>
  </si>
  <si>
    <t>Laoang</t>
  </si>
  <si>
    <t>Ligtasan</t>
  </si>
  <si>
    <t>Mapalacsiao</t>
  </si>
  <si>
    <t>Matatalaib</t>
  </si>
  <si>
    <t>Paraiso</t>
  </si>
  <si>
    <t>R3-2024-032886</t>
  </si>
  <si>
    <t>R3-2024-036454</t>
  </si>
  <si>
    <t>San Jose de Urquico</t>
  </si>
  <si>
    <t>San Juan de Mata</t>
  </si>
  <si>
    <t>R3-2024-024194</t>
  </si>
  <si>
    <t>Sapang Maragul</t>
  </si>
  <si>
    <t>Sapang Tagalog</t>
  </si>
  <si>
    <t>Sepung Calzada</t>
  </si>
  <si>
    <t>Sinait</t>
  </si>
  <si>
    <t>Suizo</t>
  </si>
  <si>
    <t>Tariji</t>
  </si>
  <si>
    <t>Trinidad</t>
  </si>
  <si>
    <t>Ungot</t>
  </si>
  <si>
    <t>Matadero</t>
  </si>
  <si>
    <t>Villa Bacolor</t>
  </si>
  <si>
    <t>Care</t>
  </si>
  <si>
    <t>Baculong</t>
  </si>
  <si>
    <t>Balayang</t>
  </si>
  <si>
    <t>R3-2024-035216</t>
  </si>
  <si>
    <t>Balbaloto</t>
  </si>
  <si>
    <t>Bangar</t>
  </si>
  <si>
    <t>R3-2024-031476</t>
  </si>
  <si>
    <t>Batangbatang</t>
  </si>
  <si>
    <t>R3-2024-035211</t>
  </si>
  <si>
    <t>Bulo</t>
  </si>
  <si>
    <t>Cabuluan</t>
  </si>
  <si>
    <t>Calibungan</t>
  </si>
  <si>
    <t>R3-2024-014168</t>
  </si>
  <si>
    <t>Canarem</t>
  </si>
  <si>
    <t>Lalapac</t>
  </si>
  <si>
    <t>Maluid</t>
  </si>
  <si>
    <t>R3-2024-032423</t>
  </si>
  <si>
    <t>Mangolago</t>
  </si>
  <si>
    <t>Masalasa</t>
  </si>
  <si>
    <t>Palacpalac</t>
  </si>
  <si>
    <t>San Fernando (Pob.)</t>
  </si>
  <si>
    <t>R3-2024-040981</t>
  </si>
  <si>
    <t>San Gavino (Pob.)</t>
  </si>
  <si>
    <t>R3-2024-035439</t>
  </si>
  <si>
    <t>David</t>
  </si>
  <si>
    <t>R3-2024-017043</t>
  </si>
  <si>
    <t>R3-2024-039913</t>
  </si>
  <si>
    <t>R3-2024-039914</t>
  </si>
  <si>
    <t>Lubigan</t>
  </si>
  <si>
    <t>Maamot</t>
  </si>
  <si>
    <t>Mababanaba</t>
  </si>
  <si>
    <t>R3-2024-031791</t>
  </si>
  <si>
    <t>Moriones</t>
  </si>
  <si>
    <t>Pao</t>
  </si>
  <si>
    <t>San Juan de Valdez</t>
  </si>
  <si>
    <t>Sula</t>
  </si>
  <si>
    <t>Villa Aglipay</t>
  </si>
  <si>
    <t>Bangan</t>
  </si>
  <si>
    <t>Batonlapoc</t>
  </si>
  <si>
    <t>Beneg</t>
  </si>
  <si>
    <t>Capayawan</t>
  </si>
  <si>
    <t>Danacbunga</t>
  </si>
  <si>
    <t>Maguisguis</t>
  </si>
  <si>
    <t>Moraza</t>
  </si>
  <si>
    <t>Paco (Pob.)</t>
  </si>
  <si>
    <t>R3-2024-039882</t>
  </si>
  <si>
    <t>Parel</t>
  </si>
  <si>
    <t>Paudpod</t>
  </si>
  <si>
    <t>R3-2024-039881</t>
  </si>
  <si>
    <t>Poonbato</t>
  </si>
  <si>
    <t>R3-2024-039880</t>
  </si>
  <si>
    <t>R3-2024-039877</t>
  </si>
  <si>
    <t>R3-2024-039878</t>
  </si>
  <si>
    <t>Tampo (Pob.)</t>
  </si>
  <si>
    <t>R3-2024-032117 </t>
  </si>
  <si>
    <t>Villar</t>
  </si>
  <si>
    <t>R3-2024-039879</t>
  </si>
  <si>
    <t>Belbel</t>
  </si>
  <si>
    <t>Binuclutan</t>
  </si>
  <si>
    <t>Malomboy</t>
  </si>
  <si>
    <t>Nacolcol</t>
  </si>
  <si>
    <t>Owaog-Nibloc</t>
  </si>
  <si>
    <t>Palis</t>
  </si>
  <si>
    <t>Anonang</t>
  </si>
  <si>
    <t>Apo-apo</t>
  </si>
  <si>
    <t>R3-2024-037447</t>
  </si>
  <si>
    <t>Arew</t>
  </si>
  <si>
    <t>Banuambayo (Pob.)</t>
  </si>
  <si>
    <t>R3-2024-025209</t>
  </si>
  <si>
    <t>Cadmang-Reserva</t>
  </si>
  <si>
    <t>Casabaan</t>
  </si>
  <si>
    <t>Dolores (Pob.)</t>
  </si>
  <si>
    <t>Del Carmen (Pob.)</t>
  </si>
  <si>
    <t>Laoag</t>
  </si>
  <si>
    <t>R3-2024-032069</t>
  </si>
  <si>
    <t>Mabanglit</t>
  </si>
  <si>
    <t>New San Juan</t>
  </si>
  <si>
    <t>R3-2024-025211</t>
  </si>
  <si>
    <t>R3-2024-025210</t>
  </si>
  <si>
    <t>R3-2024-037448</t>
  </si>
  <si>
    <t>Tondo</t>
  </si>
  <si>
    <t>Felmida-Diaz</t>
  </si>
  <si>
    <t>Babancal</t>
  </si>
  <si>
    <t>Binabalian</t>
  </si>
  <si>
    <t>R3-2024-024975</t>
  </si>
  <si>
    <t>Catol</t>
  </si>
  <si>
    <t>R3-2024-024977</t>
  </si>
  <si>
    <t>Dampay</t>
  </si>
  <si>
    <t>Lauis</t>
  </si>
  <si>
    <t>R3-2024-024978</t>
  </si>
  <si>
    <t>Libertador</t>
  </si>
  <si>
    <t>Malabon</t>
  </si>
  <si>
    <t>R3-2024-040978</t>
  </si>
  <si>
    <t>Malimanga</t>
  </si>
  <si>
    <t>R3-2024-040977</t>
  </si>
  <si>
    <t>Pamibian</t>
  </si>
  <si>
    <t>R3-2024-024979</t>
  </si>
  <si>
    <t>Panayonan</t>
  </si>
  <si>
    <t>Sinabacan</t>
  </si>
  <si>
    <t>R3-2024-040976</t>
  </si>
  <si>
    <t>Taposo</t>
  </si>
  <si>
    <t>Uacon</t>
  </si>
  <si>
    <t>R3-2024-040975</t>
  </si>
  <si>
    <t>Yamot</t>
  </si>
  <si>
    <t>R3-2024-024980</t>
  </si>
  <si>
    <t>Balaybay</t>
  </si>
  <si>
    <t>R3-2024-035594</t>
  </si>
  <si>
    <t>Looc</t>
  </si>
  <si>
    <t>R3-2024-040984</t>
  </si>
  <si>
    <t>Nagbunga</t>
  </si>
  <si>
    <t>R3-2024-040986</t>
  </si>
  <si>
    <t xml:space="preserve">
R3-2024-040987</t>
  </si>
  <si>
    <t>R3-2024-035596</t>
  </si>
  <si>
    <t>R3-2024-040988</t>
  </si>
  <si>
    <t>R3-2024-035595</t>
  </si>
  <si>
    <t>R3-2024-035597</t>
  </si>
  <si>
    <t>R3-2024-017985</t>
  </si>
  <si>
    <t>Iba (Capital)</t>
  </si>
  <si>
    <t>R3-2024-017990</t>
  </si>
  <si>
    <t>Zone 2 Pob.</t>
  </si>
  <si>
    <t>R3-2024-037443</t>
  </si>
  <si>
    <t>Zone 5 Pob.</t>
  </si>
  <si>
    <t>R3-2024-037743</t>
  </si>
  <si>
    <t>R3-2024-025824</t>
  </si>
  <si>
    <t>Zone 6 Pob.</t>
  </si>
  <si>
    <t>R3-2024-018098</t>
  </si>
  <si>
    <t>Zone 3 Pob.</t>
  </si>
  <si>
    <t>R3-2024-018094</t>
  </si>
  <si>
    <t>Zone 1 Pob.</t>
  </si>
  <si>
    <t>R3-2024-033094</t>
  </si>
  <si>
    <t>Lipay-Dingin-Panibuatan</t>
  </si>
  <si>
    <t>R3-2024-025826</t>
  </si>
  <si>
    <t>Palanginan</t>
  </si>
  <si>
    <t>R3-2024-025828</t>
  </si>
  <si>
    <t>Zone 4 Pob.</t>
  </si>
  <si>
    <t>R3-2024-037249</t>
  </si>
  <si>
    <t>R3-2024-025827</t>
  </si>
  <si>
    <t>R3-2024-018096</t>
  </si>
  <si>
    <t>R3-2024-033092</t>
  </si>
  <si>
    <t>R3-2024-029091</t>
  </si>
  <si>
    <t>Collat</t>
  </si>
  <si>
    <t>Inhobol</t>
  </si>
  <si>
    <t>R3-2024-029077</t>
  </si>
  <si>
    <t> R3-2024-029068 </t>
  </si>
  <si>
    <t>San Salvador</t>
  </si>
  <si>
    <t>R3-2024-029070</t>
  </si>
  <si>
    <t>R3-2024-029078</t>
  </si>
  <si>
    <t>R3-2024-029090</t>
  </si>
  <si>
    <t>R3-2024-029071 </t>
  </si>
  <si>
    <t>Olongapo City</t>
  </si>
  <si>
    <t>Banicain</t>
  </si>
  <si>
    <t>Barreto</t>
  </si>
  <si>
    <t>East Bajac-bajac</t>
  </si>
  <si>
    <t>East Tapinac</t>
  </si>
  <si>
    <t>Gordon Heights</t>
  </si>
  <si>
    <t>Kalaklan</t>
  </si>
  <si>
    <t>New Kalalake</t>
  </si>
  <si>
    <t>Mabayuan</t>
  </si>
  <si>
    <t>New Ilalim</t>
  </si>
  <si>
    <t>New Kababae</t>
  </si>
  <si>
    <t>West Bajac-bajac</t>
  </si>
  <si>
    <t>West Tapinac</t>
  </si>
  <si>
    <t>Old Cabalan</t>
  </si>
  <si>
    <t>Alwa</t>
  </si>
  <si>
    <t>R3-2024-021471</t>
  </si>
  <si>
    <t>The storage is currently used as a cage for pigeons.</t>
  </si>
  <si>
    <t>Bato</t>
  </si>
  <si>
    <t>R3-2024-021473</t>
  </si>
  <si>
    <t>Bulawen</t>
  </si>
  <si>
    <t>Cauyan</t>
  </si>
  <si>
    <t>R3-2024-041712</t>
  </si>
  <si>
    <t>NOVEMBER</t>
  </si>
  <si>
    <t>Garreta</t>
  </si>
  <si>
    <t>R3-2024-041710</t>
  </si>
  <si>
    <t>Libaba</t>
  </si>
  <si>
    <t>R3-2024-032384</t>
  </si>
  <si>
    <t>Liozon</t>
  </si>
  <si>
    <t>Lipay</t>
  </si>
  <si>
    <t>Locloc</t>
  </si>
  <si>
    <t>Macarang</t>
  </si>
  <si>
    <t>R3-2024-021474</t>
  </si>
  <si>
    <t>The storage is currently used as equipment storage</t>
  </si>
  <si>
    <t>Magalawa</t>
  </si>
  <si>
    <t>Pangolingan</t>
  </si>
  <si>
    <t>R3-2024-032084</t>
  </si>
  <si>
    <t>East Poblacion</t>
  </si>
  <si>
    <t>R3-2024-032381</t>
  </si>
  <si>
    <t>R3-2024-041711</t>
  </si>
  <si>
    <t>R3-2024-032086</t>
  </si>
  <si>
    <t>R3-2024-032383</t>
  </si>
  <si>
    <t>R3-2024-021470</t>
  </si>
  <si>
    <t>Tition</t>
  </si>
  <si>
    <t>Angeles</t>
  </si>
  <si>
    <t>Antipolo (Pob.)</t>
  </si>
  <si>
    <t>R3-2024-035627</t>
  </si>
  <si>
    <t xml:space="preserve">October </t>
  </si>
  <si>
    <t>West Dirita</t>
  </si>
  <si>
    <t>R3-2024-035629</t>
  </si>
  <si>
    <t>East Dirita</t>
  </si>
  <si>
    <t>R3-2024-035628</t>
  </si>
  <si>
    <t>Luna (Pob.)</t>
  </si>
  <si>
    <t>Pundaquit</t>
  </si>
  <si>
    <t>R3-2024-017984</t>
  </si>
  <si>
    <t>San Gregorio (Pob.)</t>
  </si>
  <si>
    <t>R3-2024-040992</t>
  </si>
  <si>
    <t>R3-2024-017983</t>
  </si>
  <si>
    <t>Amagna (Pob.)</t>
  </si>
  <si>
    <t>Apostol (Pob.)</t>
  </si>
  <si>
    <t>Balincaguing</t>
  </si>
  <si>
    <t>Farañal (Pob.)</t>
  </si>
  <si>
    <t>R3-2024-021910</t>
  </si>
  <si>
    <t>Feria (Pob.)</t>
  </si>
  <si>
    <t>Maloma</t>
  </si>
  <si>
    <t>R3-2024-021917</t>
  </si>
  <si>
    <t>Manglicmot (Pob.)</t>
  </si>
  <si>
    <t>Rosete (Pob.)</t>
  </si>
  <si>
    <t>R3-2024-021912</t>
  </si>
  <si>
    <t>MRF is under construction</t>
  </si>
  <si>
    <t>Sindol</t>
  </si>
  <si>
    <t>Aglao</t>
  </si>
  <si>
    <t>R3-2024-021642</t>
  </si>
  <si>
    <t>Buhawen</t>
  </si>
  <si>
    <t>R3-2024-020483</t>
  </si>
  <si>
    <t>R3-2024-035624</t>
  </si>
  <si>
    <t>Consuelo Norte</t>
  </si>
  <si>
    <t>R3-2024-035626</t>
  </si>
  <si>
    <t>Consuelo Sur (Pob.)</t>
  </si>
  <si>
    <t>La Paz (Pob.)</t>
  </si>
  <si>
    <t>Linusungan</t>
  </si>
  <si>
    <t>Lucero (Pob.)</t>
  </si>
  <si>
    <t>R3-2024-040989</t>
  </si>
  <si>
    <t>R3-2024-040990</t>
  </si>
  <si>
    <t>San Guillermo (Pob.)</t>
  </si>
  <si>
    <t>R3-2024-021795</t>
  </si>
  <si>
    <t>R3-2024-021925</t>
  </si>
  <si>
    <t>Santa Fe</t>
  </si>
  <si>
    <t>Central (Pob.)</t>
  </si>
  <si>
    <t>Rabanes</t>
  </si>
  <si>
    <t>Alusiis</t>
  </si>
  <si>
    <t>Beddeng</t>
  </si>
  <si>
    <t>R3-2024-028915</t>
  </si>
  <si>
    <t>Candelaria (Pob.)</t>
  </si>
  <si>
    <t>Dallipawen</t>
  </si>
  <si>
    <t>R3-2024-028917</t>
  </si>
  <si>
    <t>Grullo</t>
  </si>
  <si>
    <t>R3-2024-028919</t>
  </si>
  <si>
    <t>R3-2024-028920</t>
  </si>
  <si>
    <t>Libertad (Pob.)</t>
  </si>
  <si>
    <t>Namatacan</t>
  </si>
  <si>
    <t>R3-2024-028918</t>
  </si>
  <si>
    <t>Natividad (Pob.)</t>
  </si>
  <si>
    <t>Paite</t>
  </si>
  <si>
    <t>R3-2024-028913</t>
  </si>
  <si>
    <t>Patrocinio (Pob.)</t>
  </si>
  <si>
    <t>San Pascual (Pob.)</t>
  </si>
  <si>
    <t>San Rafael (Pob.)</t>
  </si>
  <si>
    <t>Siminublan</t>
  </si>
  <si>
    <t>R3-2024-028916</t>
  </si>
  <si>
    <t>Omaya</t>
  </si>
  <si>
    <t>R3-2024-028914</t>
  </si>
  <si>
    <t>Sta. Cruz</t>
  </si>
  <si>
    <t>Babuyan</t>
  </si>
  <si>
    <t>Bolitoc</t>
  </si>
  <si>
    <t>Bangcol</t>
  </si>
  <si>
    <t>R3-2024-037345</t>
  </si>
  <si>
    <t>Bayto</t>
  </si>
  <si>
    <t>Biay</t>
  </si>
  <si>
    <t>R3-2024-017885</t>
  </si>
  <si>
    <t>Canaynayan</t>
  </si>
  <si>
    <t>Gama</t>
  </si>
  <si>
    <t>Guinabon</t>
  </si>
  <si>
    <t>Guisguis</t>
  </si>
  <si>
    <t>Lucapon North</t>
  </si>
  <si>
    <t>R3-2024-017892</t>
  </si>
  <si>
    <t>Lucapon South</t>
  </si>
  <si>
    <t>R3-2024-017893</t>
  </si>
  <si>
    <t>Malabago</t>
  </si>
  <si>
    <t>R3-2024-037349</t>
  </si>
  <si>
    <t>Naulo</t>
  </si>
  <si>
    <t>R3-2024-017890</t>
  </si>
  <si>
    <t>R3-2024-037351</t>
  </si>
  <si>
    <t>Pagatpat</t>
  </si>
  <si>
    <t>R3-2024-037350</t>
  </si>
  <si>
    <t>Pamonoran</t>
  </si>
  <si>
    <t>Tabalong</t>
  </si>
  <si>
    <t>Tubotubo North</t>
  </si>
  <si>
    <t>Tubotubo South</t>
  </si>
  <si>
    <t>Bulawon</t>
  </si>
  <si>
    <t>R3-2024-037348</t>
  </si>
  <si>
    <t>Aningway Sacatihan</t>
  </si>
  <si>
    <t>R3-2024-032852</t>
  </si>
  <si>
    <t>Asinan Poblacion</t>
  </si>
  <si>
    <t>Asinan Proper</t>
  </si>
  <si>
    <t>Baraca-Camachile (Pob.)</t>
  </si>
  <si>
    <t>Batiawan</t>
  </si>
  <si>
    <t>Calapacuan</t>
  </si>
  <si>
    <t>Calapandayan (Pob.)</t>
  </si>
  <si>
    <t>Cawag</t>
  </si>
  <si>
    <t>Ilwas (Pob.)</t>
  </si>
  <si>
    <t>Mangan-Vaca</t>
  </si>
  <si>
    <t>Matain</t>
  </si>
  <si>
    <t>R3-2024-032853</t>
  </si>
  <si>
    <t>Pamatawan</t>
  </si>
  <si>
    <t>R3-2024-032854</t>
  </si>
  <si>
    <t>R3-2024-032855</t>
  </si>
  <si>
    <t>R3-2024-032856</t>
  </si>
  <si>
    <t>Wawandue (Pob.)</t>
  </si>
  <si>
    <t>IIS NUMBER C.Y. 2026</t>
  </si>
  <si>
    <t>Conducted Tech. Con.</t>
  </si>
  <si>
    <t>March 1, 2024</t>
  </si>
  <si>
    <t>May 8, 2024</t>
  </si>
  <si>
    <t>July 9, 2024</t>
  </si>
  <si>
    <t>July 5, 2024</t>
  </si>
  <si>
    <t>R3-2024-025283
R3-2025-003933</t>
  </si>
  <si>
    <t>February 6, 2024</t>
  </si>
  <si>
    <t xml:space="preserve">R3-2025-001401 </t>
  </si>
  <si>
    <t>February 7, 2024</t>
  </si>
  <si>
    <t>February 16, 2024</t>
  </si>
  <si>
    <t>March 12, 2024</t>
  </si>
  <si>
    <t>2024/
2025</t>
  </si>
  <si>
    <t>16-Apr-24
12-Feb-25</t>
  </si>
  <si>
    <t>R3-2024-014192
R3-2025-005130</t>
  </si>
  <si>
    <t>R3-2025-003955</t>
  </si>
  <si>
    <t>R3-2025-007479</t>
  </si>
  <si>
    <t>R3-2025-011897</t>
  </si>
  <si>
    <t>10-Oct-24
14-Feb-25</t>
  </si>
  <si>
    <t>R3-2024-036436/
R3-2025-005426</t>
  </si>
  <si>
    <t>12-Apr-24
7-Feb-25</t>
  </si>
  <si>
    <t>R3-2024-013901/
R3-2025-004333</t>
  </si>
  <si>
    <t>March 6, 2024</t>
  </si>
  <si>
    <t>10-Sep-24
5-Feb-25</t>
  </si>
  <si>
    <t>R3-2024-032364/
R3-2025-004583</t>
  </si>
  <si>
    <t>March 14, 2024</t>
  </si>
  <si>
    <t>R3-2025-034983</t>
  </si>
  <si>
    <t>10-May-24
14-Feb-25</t>
  </si>
  <si>
    <t>R3-2024-017205/
R3-2025-005747</t>
  </si>
  <si>
    <t>R3-2025-029657</t>
  </si>
  <si>
    <t>March 15, 2024</t>
  </si>
  <si>
    <t>11-Sep-24
5-Feb-25</t>
  </si>
  <si>
    <t>R3-2024-032678/
R3-2025-004215</t>
  </si>
  <si>
    <t>NO FACILITY</t>
  </si>
  <si>
    <t>Disposal to SLF</t>
  </si>
  <si>
    <t xml:space="preserve"> R3-2025-016646</t>
  </si>
  <si>
    <t>R3-2025-036982</t>
  </si>
  <si>
    <t>April 3, 2024</t>
  </si>
  <si>
    <t>3-Apr-24
13-Feb-25</t>
  </si>
  <si>
    <t>R3-2024-014253/
R3-2025-005414</t>
  </si>
  <si>
    <t>R3-2025-021616</t>
  </si>
  <si>
    <t>R3-2025-021668</t>
  </si>
  <si>
    <t>R3-2025-021600</t>
  </si>
  <si>
    <t>R3-2025-021526</t>
  </si>
  <si>
    <t>February 13, 2024</t>
  </si>
  <si>
    <t>February 21, 2024</t>
  </si>
  <si>
    <t>March 22, 2024</t>
  </si>
  <si>
    <t>March 28, 2024</t>
  </si>
  <si>
    <t>R3-2025-010834</t>
  </si>
  <si>
    <t>Not Applicable</t>
  </si>
  <si>
    <t>March 19, 2024</t>
  </si>
  <si>
    <t>R3-2025-005957</t>
  </si>
  <si>
    <t>R3-2025-016653</t>
  </si>
  <si>
    <t>R3-2025-001998</t>
  </si>
  <si>
    <t>R3-2025-010728</t>
  </si>
  <si>
    <t>February 27, 2024</t>
  </si>
  <si>
    <t>February 23, 2024</t>
  </si>
  <si>
    <t>February 28, 2024</t>
  </si>
  <si>
    <t>March 27, 2024</t>
  </si>
  <si>
    <t>R3-2025-026555</t>
  </si>
  <si>
    <t>R3-2025-035084</t>
  </si>
  <si>
    <t>R3-2025-003340</t>
  </si>
  <si>
    <t>R3-2025-030057</t>
  </si>
  <si>
    <t>R3-2025-020177</t>
  </si>
  <si>
    <t>R3-2025-026574</t>
  </si>
  <si>
    <t>R3-2025-025647</t>
  </si>
  <si>
    <t>April 02, 2024</t>
  </si>
  <si>
    <t>R3-2025-007071</t>
  </si>
  <si>
    <t>R3-2025-031502</t>
  </si>
  <si>
    <t>R3-2025-022302</t>
  </si>
  <si>
    <t>R3-2025-016601</t>
  </si>
  <si>
    <t>R3-2025-015576</t>
  </si>
  <si>
    <t>R3-2025-034104</t>
  </si>
  <si>
    <t>R3-2025-018855</t>
  </si>
  <si>
    <t>R3-2025-023842</t>
  </si>
  <si>
    <t>R3-2025-019599</t>
  </si>
  <si>
    <t>March 07, 2024</t>
  </si>
  <si>
    <t>March 08, 2024</t>
  </si>
  <si>
    <t>March 13, 2024</t>
  </si>
  <si>
    <t>February 29, 2024</t>
  </si>
  <si>
    <t>April 05, 2024</t>
  </si>
  <si>
    <t>R3-2025-004655</t>
  </si>
  <si>
    <t>R3-2025-014306</t>
  </si>
  <si>
    <t>R3-2025-035299</t>
  </si>
  <si>
    <t>R3-2025-023329</t>
  </si>
  <si>
    <t>R3-2025-010807</t>
  </si>
  <si>
    <t>R3-2025-007213</t>
  </si>
  <si>
    <t>R3-2025-026615</t>
  </si>
  <si>
    <t>R3-2025-035295</t>
  </si>
  <si>
    <t>R3-2025-030919</t>
  </si>
  <si>
    <t>R3-2025-029091</t>
  </si>
  <si>
    <t>R3-2025-001880</t>
  </si>
  <si>
    <t>R3-2025-034285</t>
  </si>
  <si>
    <t>R3-2025-023338</t>
  </si>
  <si>
    <t>R3-2025-035297</t>
  </si>
  <si>
    <t>R3-2025-006501</t>
  </si>
  <si>
    <t>R3-2025-023347</t>
  </si>
  <si>
    <t>R3-2025-002003</t>
  </si>
  <si>
    <t>February 22, 2024</t>
  </si>
  <si>
    <t>March 20, 2024</t>
  </si>
  <si>
    <t>R3-2025-031486</t>
  </si>
  <si>
    <t>R3-2025-012953</t>
  </si>
  <si>
    <t>R3-2025-019682</t>
  </si>
  <si>
    <t>March 05, 2024</t>
  </si>
  <si>
    <t>February 20, 2024</t>
  </si>
  <si>
    <t>March 21, 2024</t>
  </si>
  <si>
    <t>April 04, 2024</t>
  </si>
  <si>
    <t>March 26, 2024</t>
  </si>
  <si>
    <t>R3-2025-016519</t>
  </si>
  <si>
    <t>R3-2025-016518 </t>
  </si>
  <si>
    <t>R3-2025-016517 </t>
  </si>
  <si>
    <t>R3-2025-031081</t>
  </si>
  <si>
    <t>R3-2025-037534</t>
  </si>
  <si>
    <t>R3-2025-037536</t>
  </si>
  <si>
    <t>R3-2025-031082</t>
  </si>
  <si>
    <t>R3-2025-031079</t>
  </si>
  <si>
    <t>R3-2025-027546</t>
  </si>
  <si>
    <t>R3-2025-037535</t>
  </si>
  <si>
    <t>R3-2025-027549</t>
  </si>
  <si>
    <t>R3-2025-031085</t>
  </si>
  <si>
    <t>R3-2025-031083</t>
  </si>
  <si>
    <t>R3-2025-031086</t>
  </si>
  <si>
    <t>R3-2025-027548</t>
  </si>
  <si>
    <t>R3-2025-027547</t>
  </si>
  <si>
    <t>R3-2026-001301</t>
  </si>
  <si>
    <t>No Facility</t>
  </si>
  <si>
    <t>Cater By LGU</t>
  </si>
  <si>
    <t>For Monitoring</t>
  </si>
  <si>
    <t>R3-2026-001302</t>
  </si>
  <si>
    <t>R3-2025-037314</t>
  </si>
  <si>
    <t>R3-2025-037312</t>
  </si>
  <si>
    <t>R3-2026-001523 </t>
  </si>
  <si>
    <t>R3-2025-034064</t>
  </si>
  <si>
    <t>R3-2025-037318</t>
  </si>
  <si>
    <t>R3-2026-001522</t>
  </si>
  <si>
    <t>R3-2026-001520</t>
  </si>
  <si>
    <t>R3-2026-001512</t>
  </si>
  <si>
    <t>R3-2025-034057</t>
  </si>
  <si>
    <t>R3-2025-034060</t>
  </si>
  <si>
    <t>R3-2025-034063</t>
  </si>
  <si>
    <t>R3-2026-001143</t>
  </si>
  <si>
    <t>R3-2025-034062</t>
  </si>
  <si>
    <t>R3-2025-001270</t>
  </si>
  <si>
    <t>R3-2025-037311</t>
  </si>
  <si>
    <t>R3-2025-034059</t>
  </si>
  <si>
    <t>R3-2026-001142</t>
  </si>
  <si>
    <t>R3-2025-031074</t>
  </si>
  <si>
    <t>R3-2025-031303</t>
  </si>
  <si>
    <t>R3-2025-031263</t>
  </si>
  <si>
    <t>R3-2025-031302</t>
  </si>
  <si>
    <t>R3-2025-027519</t>
  </si>
  <si>
    <t>R3-2025-019787</t>
  </si>
  <si>
    <t>R3-2025-031076</t>
  </si>
  <si>
    <t>R3-2025-019793</t>
  </si>
  <si>
    <t>R3-2025-031264</t>
  </si>
  <si>
    <t>R3-2025-027518</t>
  </si>
  <si>
    <t>R3-2025-019788</t>
  </si>
  <si>
    <t>R3-2025-019790</t>
  </si>
  <si>
    <t>R3-2025-019998</t>
  </si>
  <si>
    <t>R3-2025-031260</t>
  </si>
  <si>
    <t>R3-2025-031262</t>
  </si>
  <si>
    <t>R3-2025-027517</t>
  </si>
  <si>
    <t>R3-2025-031072</t>
  </si>
  <si>
    <t>R3-2025-031077</t>
  </si>
  <si>
    <t>R3-2025-027520</t>
  </si>
  <si>
    <t>R3-2025-005549</t>
  </si>
  <si>
    <t xml:space="preserve"> R3-2025-005548</t>
  </si>
  <si>
    <t>R3-2025-005898</t>
  </si>
  <si>
    <t>R3-2026-001145</t>
  </si>
  <si>
    <t>R3-2026-001144</t>
  </si>
  <si>
    <t>R3-2025-031331</t>
  </si>
  <si>
    <t>R3-2025-031333</t>
  </si>
  <si>
    <t>R3-2025-031332</t>
  </si>
  <si>
    <t>R3-2026-001894</t>
  </si>
  <si>
    <t>R3-2026-001895</t>
  </si>
  <si>
    <t>R3-2025-016516 </t>
  </si>
  <si>
    <t>R3-2025-008813</t>
  </si>
  <si>
    <t>R3-2026-001584</t>
  </si>
  <si>
    <t>R3-2026-001586</t>
  </si>
  <si>
    <t>R3-2025-034399</t>
  </si>
  <si>
    <t>R3-2025-027870</t>
  </si>
  <si>
    <t>R3-2025-027868</t>
  </si>
  <si>
    <t>R3-2026-001587</t>
  </si>
  <si>
    <t>R3-2025-008815</t>
  </si>
  <si>
    <t>R3-2026-002063</t>
  </si>
  <si>
    <t>R3-2025-027871</t>
  </si>
  <si>
    <t>R3-2026-002050</t>
  </si>
  <si>
    <t>R3-2026-002066</t>
  </si>
  <si>
    <t>R3-2026-001242</t>
  </si>
  <si>
    <t>R3-2026-001240</t>
  </si>
  <si>
    <t>R3-2025-027873</t>
  </si>
  <si>
    <t>R3-2026-001244</t>
  </si>
  <si>
    <t>R3-2026-001277</t>
  </si>
  <si>
    <t>R3-2025-008814</t>
  </si>
  <si>
    <t>R3-2025-034398</t>
  </si>
  <si>
    <t>R3-2026-001279</t>
  </si>
  <si>
    <t>R3-2025-027867</t>
  </si>
  <si>
    <t>R3-2026-001280</t>
  </si>
  <si>
    <t>R3-2026-001569</t>
  </si>
  <si>
    <t>Catered By LGU</t>
  </si>
  <si>
    <t>R3-2025-034397</t>
  </si>
  <si>
    <t>R3-2026-000993</t>
  </si>
  <si>
    <t>R3-2026-000994</t>
  </si>
  <si>
    <t>R3-2025-034396</t>
  </si>
  <si>
    <t>R3-2025-004157</t>
  </si>
  <si>
    <t>R3-2025-008017</t>
  </si>
  <si>
    <t>R3-2026-001116</t>
  </si>
  <si>
    <t>R3-2026-000992</t>
  </si>
  <si>
    <t>R3-2025-034961</t>
  </si>
  <si>
    <t>R3-2026-001705</t>
  </si>
  <si>
    <t>R3-2025-034962</t>
  </si>
  <si>
    <t>R3-2025-033487</t>
  </si>
  <si>
    <t>R3-2025-031006</t>
  </si>
  <si>
    <t>R3-2026-001732</t>
  </si>
  <si>
    <t>R3-2026-005235</t>
  </si>
  <si>
    <t>R3-2026-005236</t>
  </si>
  <si>
    <t>R3-2026-005234</t>
  </si>
  <si>
    <t>R3-2025-037820</t>
  </si>
  <si>
    <t>R3-2025-031008</t>
  </si>
  <si>
    <t>R3-2026-005237</t>
  </si>
  <si>
    <t>R3-2025-024072</t>
  </si>
  <si>
    <t>R3-2025-034958</t>
  </si>
  <si>
    <t>R3-2025-033488</t>
  </si>
  <si>
    <t>R3-2025-034960</t>
  </si>
  <si>
    <t>R3-2025-027668</t>
  </si>
  <si>
    <t>R3-2026-003711</t>
  </si>
  <si>
    <t>Catered by LGU</t>
  </si>
  <si>
    <t>R3-2025-027670</t>
  </si>
  <si>
    <t>R3-2026-003712</t>
  </si>
  <si>
    <t xml:space="preserve">R3-2026-003713	</t>
  </si>
  <si>
    <t>R3-2025-008016</t>
  </si>
  <si>
    <t>R3-2025-031005</t>
  </si>
  <si>
    <t>R3-2025-024073</t>
  </si>
  <si>
    <t>R3-2025-033491</t>
  </si>
  <si>
    <t>R3-2025-031004</t>
  </si>
  <si>
    <t>R3-2026-004817</t>
  </si>
  <si>
    <t>R3-2025-033493</t>
  </si>
  <si>
    <t>R3-2025-033528</t>
  </si>
  <si>
    <t>R3-2025-027667</t>
  </si>
  <si>
    <t>R3-2025-027669</t>
  </si>
  <si>
    <t>R3-2025-012448</t>
  </si>
  <si>
    <t>R3-2025-012449</t>
  </si>
  <si>
    <t>R3-2026-004815</t>
  </si>
  <si>
    <t xml:space="preserve">R3-2026-004816 </t>
  </si>
  <si>
    <t>R3-2025-016531 </t>
  </si>
  <si>
    <t>R3-2025-016463</t>
  </si>
  <si>
    <t>R3-2025-008935</t>
  </si>
  <si>
    <t>R3-2025-008938</t>
  </si>
  <si>
    <t>R3-2025-008939</t>
  </si>
  <si>
    <t xml:space="preserve"> R3-2026-005296 </t>
  </si>
  <si>
    <t>R3-2025-001387</t>
  </si>
  <si>
    <t>R3-2025-027619</t>
  </si>
  <si>
    <t>R3-2025-027620</t>
  </si>
  <si>
    <t>R3-2025-027617</t>
  </si>
  <si>
    <t>R3-2026-005292</t>
  </si>
  <si>
    <t>R3-2026-005301</t>
  </si>
  <si>
    <t>R3-2025-024019</t>
  </si>
  <si>
    <t>R3-2025-024131</t>
  </si>
  <si>
    <t>R3-2026-005300</t>
  </si>
  <si>
    <t>R3-2026-005293</t>
  </si>
  <si>
    <t>Muzon South 2</t>
  </si>
  <si>
    <t>R3-2026-005295</t>
  </si>
  <si>
    <t>Muzon West 2</t>
  </si>
  <si>
    <t>R3-2026-005302</t>
  </si>
  <si>
    <t xml:space="preserve">R3-2026-005298 </t>
  </si>
  <si>
    <t>R3-2026-005291</t>
  </si>
  <si>
    <t>R3-2026-004717</t>
  </si>
  <si>
    <t>R3-2026-004716</t>
  </si>
  <si>
    <t>R3-2026-005250</t>
  </si>
  <si>
    <t>No MRF</t>
  </si>
  <si>
    <t>R3-2026-004718</t>
  </si>
  <si>
    <t>No MRFCatered by LGU</t>
  </si>
  <si>
    <t xml:space="preserve">R3-2026-005251 </t>
  </si>
  <si>
    <t>R3-2025-004778</t>
  </si>
  <si>
    <t>R3-2026-004850</t>
  </si>
  <si>
    <t>R3-2026-004851</t>
  </si>
  <si>
    <t>R3-2026-004849</t>
  </si>
  <si>
    <t>R3-2025-004781</t>
  </si>
  <si>
    <t>R3-2025-024020</t>
  </si>
  <si>
    <t>R3-2026-004848</t>
  </si>
  <si>
    <t>ON GOING CONSTRUCTION</t>
  </si>
  <si>
    <t>R3-2026-002800</t>
  </si>
  <si>
    <t>R3-2025-024021</t>
  </si>
  <si>
    <t xml:space="preserve">R3-2026-003842 </t>
  </si>
  <si>
    <t>R3-2026-004363</t>
  </si>
  <si>
    <t>R3-2026-004360</t>
  </si>
  <si>
    <t>R3-2026-004362</t>
  </si>
  <si>
    <t xml:space="preserve"> R3-2026-004365</t>
  </si>
  <si>
    <t>R3-2026-004361</t>
  </si>
  <si>
    <t>Muzon Proper 2 (Muzon)</t>
  </si>
  <si>
    <t>R3-2025-024022</t>
  </si>
  <si>
    <t>R3-2026-001726</t>
  </si>
  <si>
    <t>R3-2026-005210</t>
  </si>
  <si>
    <t xml:space="preserve"> R3-2026-005211 </t>
  </si>
  <si>
    <t>R3-2026-005212</t>
  </si>
  <si>
    <t>R3-2026-004955</t>
  </si>
  <si>
    <t>R3-2026-005213</t>
  </si>
  <si>
    <t>R3-2026-005214</t>
  </si>
  <si>
    <t>R3-2026-004970</t>
  </si>
  <si>
    <t>R3-2026-005215</t>
  </si>
  <si>
    <t xml:space="preserve">R3-2026-004972 </t>
  </si>
  <si>
    <t xml:space="preserve">R3-2026-004973 </t>
  </si>
  <si>
    <t>R3-2026-004976</t>
  </si>
  <si>
    <t>R3-2026-003720</t>
  </si>
  <si>
    <t>R3-2026-003844</t>
  </si>
  <si>
    <t>R3-2026-003716</t>
  </si>
  <si>
    <t>R3-2026-004585</t>
  </si>
  <si>
    <t>R3-2026-003706</t>
  </si>
  <si>
    <t>R3-2026-003705</t>
  </si>
  <si>
    <t>R3-2026-004588</t>
  </si>
  <si>
    <t>R3-2025-024007</t>
  </si>
  <si>
    <t>R3-2026-004978</t>
  </si>
  <si>
    <t>R3-2026-004979</t>
  </si>
  <si>
    <t>R3-2026-004995</t>
  </si>
  <si>
    <t>R3-2026-004993</t>
  </si>
  <si>
    <t>R3-2025-024008</t>
  </si>
  <si>
    <t>R3-2026-004994</t>
  </si>
  <si>
    <t>R3-2026-004990</t>
  </si>
  <si>
    <t>R3-2025-008762</t>
  </si>
  <si>
    <t>R3-2025-008763</t>
  </si>
  <si>
    <t>R3-2025-008764</t>
  </si>
  <si>
    <t>R3-2025-008766</t>
  </si>
  <si>
    <t>R3-2025-004431</t>
  </si>
  <si>
    <t>R3-2025-008765</t>
  </si>
  <si>
    <t>R3-2025-001382</t>
  </si>
  <si>
    <t>R3-2025-004430</t>
  </si>
  <si>
    <t>R3-2025-005700</t>
  </si>
  <si>
    <t>R3-2025-024069</t>
  </si>
  <si>
    <t>R3-2025-024070</t>
  </si>
  <si>
    <t>R3-2026-005628</t>
  </si>
  <si>
    <t>R3-2025-008817</t>
  </si>
  <si>
    <t>R3-2025-008816</t>
  </si>
  <si>
    <t xml:space="preserve">R3-2026-005629 </t>
  </si>
  <si>
    <t>R3-2026-005466</t>
  </si>
  <si>
    <t xml:space="preserve">	R3-2026-004968</t>
  </si>
  <si>
    <t>R3-2026-005467</t>
  </si>
  <si>
    <t>R3-2026-004965</t>
  </si>
  <si>
    <t>R3-2026-004989</t>
  </si>
  <si>
    <t xml:space="preserve">R3-2026-002610 </t>
  </si>
  <si>
    <t xml:space="preserve"> R3-2026-002611</t>
  </si>
  <si>
    <t>R3-2026-003682</t>
  </si>
  <si>
    <t>R3-2026-004710</t>
  </si>
  <si>
    <t>R3-2026-003683</t>
  </si>
  <si>
    <t>R3-2026-004707</t>
  </si>
  <si>
    <t>R3-2025-024071</t>
  </si>
  <si>
    <t>R3-2026-003681</t>
  </si>
  <si>
    <t>R3-2026-004708</t>
  </si>
  <si>
    <t>R3-2026-004709</t>
  </si>
  <si>
    <t>R3-2025-012450</t>
  </si>
  <si>
    <t>R3-2025-012452</t>
  </si>
  <si>
    <t>R3-2025-020059</t>
  </si>
  <si>
    <t>R3-2025-020062</t>
  </si>
  <si>
    <t>R3-2026-004175</t>
  </si>
  <si>
    <t>R3-2025-016465</t>
  </si>
  <si>
    <t xml:space="preserve">R3-2026-004177 </t>
  </si>
  <si>
    <t>R3-2025-016464</t>
  </si>
  <si>
    <t>R3-2025-020060</t>
  </si>
  <si>
    <t>R3-2025-020061</t>
  </si>
  <si>
    <t>R3-2025-027601</t>
  </si>
  <si>
    <t>R3-2025-027615 </t>
  </si>
  <si>
    <t>R3-2026-004174</t>
  </si>
  <si>
    <t>R3-2025-004788</t>
  </si>
  <si>
    <t>R3-2025-004789</t>
  </si>
  <si>
    <t>R3-2025-008940</t>
  </si>
  <si>
    <t>R3-2025-008941</t>
  </si>
  <si>
    <t>R3-2026-004173</t>
  </si>
  <si>
    <t>R3-2026-004357</t>
  </si>
  <si>
    <t xml:space="preserve">R3-2026-004359 </t>
  </si>
  <si>
    <t>R3-2026-004358</t>
  </si>
  <si>
    <t>R3-2026-003797</t>
  </si>
  <si>
    <t>R3-2026-004832</t>
  </si>
  <si>
    <t>R3-2026-003795</t>
  </si>
  <si>
    <t>R3-2025-008881</t>
  </si>
  <si>
    <t>R3-2026-005390</t>
  </si>
  <si>
    <t>R3-2026-005536</t>
  </si>
  <si>
    <t>R3-2026-004745</t>
  </si>
  <si>
    <t>R3-2026-004744</t>
  </si>
  <si>
    <t>R3-2026-004746</t>
  </si>
  <si>
    <t>R3-2026-005135</t>
  </si>
  <si>
    <t>R3-2026-003684</t>
  </si>
  <si>
    <t>R3-2025-011419</t>
  </si>
  <si>
    <t>R3-2026-004747</t>
  </si>
  <si>
    <t>R3-2025-019628</t>
  </si>
  <si>
    <t>R3-2025-019629</t>
  </si>
  <si>
    <t>R3-2025-019630</t>
  </si>
  <si>
    <t>R3-2025-004439</t>
  </si>
  <si>
    <t>R3-2026-002228</t>
  </si>
  <si>
    <t>R3-2026-002229</t>
  </si>
  <si>
    <t>R3-2026-002230</t>
  </si>
  <si>
    <t>R3-2025-004437</t>
  </si>
  <si>
    <t>R3-2025-011418</t>
  </si>
  <si>
    <t>R3-2026-002231</t>
  </si>
  <si>
    <t>R3-2026-004833</t>
  </si>
  <si>
    <t>R3-2026-004834</t>
  </si>
  <si>
    <t>R3-2026-005386</t>
  </si>
  <si>
    <t>R3-2026-005387</t>
  </si>
  <si>
    <t>R3-2026-005389</t>
  </si>
  <si>
    <t>R3-2026-005530</t>
  </si>
  <si>
    <t>R3-2026-005528</t>
  </si>
  <si>
    <t>R3-2025-012415</t>
  </si>
  <si>
    <t>R3-2026-005531</t>
  </si>
  <si>
    <t>R3-2026-005509</t>
  </si>
  <si>
    <t>R3-2025-026817</t>
  </si>
  <si>
    <t>R3-2025-019643</t>
  </si>
  <si>
    <t xml:space="preserve">R3-2026-005137	</t>
  </si>
  <si>
    <t>R3-2025-026816</t>
  </si>
  <si>
    <t>R3-2026-005140</t>
  </si>
  <si>
    <t>R3-2025-019642</t>
  </si>
  <si>
    <t>R3-2025-012416</t>
  </si>
  <si>
    <t>R3-2026-004806</t>
  </si>
  <si>
    <t>R3-2025-005805</t>
  </si>
  <si>
    <t>R3-2025-004433</t>
  </si>
  <si>
    <t>R3-2025-027514</t>
  </si>
  <si>
    <t>R3-2025-004432</t>
  </si>
  <si>
    <t>R3-2025-008761</t>
  </si>
  <si>
    <t>R3-2025-016446</t>
  </si>
  <si>
    <t>R3-2025-016447</t>
  </si>
  <si>
    <t>R3-2025-016449</t>
  </si>
  <si>
    <t>R3-2025-024004</t>
  </si>
  <si>
    <t>R3-2025-024005</t>
  </si>
  <si>
    <t>R3-2026-004807</t>
  </si>
  <si>
    <t>R3-2025-030552</t>
  </si>
  <si>
    <t>R3-2025-030554</t>
  </si>
  <si>
    <t>R3-2025-016448</t>
  </si>
  <si>
    <t>R3-2025-030551</t>
  </si>
  <si>
    <t>R3-2025-023562 </t>
  </si>
  <si>
    <t>R3-2025-027516</t>
  </si>
  <si>
    <t>R3-2025-030553</t>
  </si>
  <si>
    <t>R3-2025-012631</t>
  </si>
  <si>
    <t>R3-2025-012633</t>
  </si>
  <si>
    <t>R3-2025-013042</t>
  </si>
  <si>
    <t>R3-2025-012635</t>
  </si>
  <si>
    <t>R3-2025-027515</t>
  </si>
  <si>
    <t>R3-2026-004808</t>
  </si>
  <si>
    <t>R3-2026-004809</t>
  </si>
  <si>
    <t>R3-2026-004810</t>
  </si>
  <si>
    <t>R3-2026-005451</t>
  </si>
  <si>
    <t>R3-2026-005414</t>
  </si>
  <si>
    <t>R3-2026-004697</t>
  </si>
  <si>
    <t>R3-2026-004551</t>
  </si>
  <si>
    <t>R3-2026-002051</t>
  </si>
  <si>
    <t>R3-2026-002054</t>
  </si>
  <si>
    <t>R3-2026-004548</t>
  </si>
  <si>
    <t>R3-2026-002055</t>
  </si>
  <si>
    <t>R3-2026-002056</t>
  </si>
  <si>
    <t>R3-2026-002053</t>
  </si>
  <si>
    <t>R3-2026-004696</t>
  </si>
  <si>
    <t>R3-2026-004559</t>
  </si>
  <si>
    <t>R3-2026-004561</t>
  </si>
  <si>
    <t>R3-2026-004695</t>
  </si>
  <si>
    <t>R3-2026-002987</t>
  </si>
  <si>
    <t>R3-2026-002988</t>
  </si>
  <si>
    <t>R3-2026-002989</t>
  </si>
  <si>
    <t>R3-2026-002985</t>
  </si>
  <si>
    <t>R3-2026-002984</t>
  </si>
  <si>
    <t>R3-2026-003828</t>
  </si>
  <si>
    <t xml:space="preserve">	R3-2026-003827</t>
  </si>
  <si>
    <t>R3-2026-003826</t>
  </si>
  <si>
    <t>R3-2026-002986</t>
  </si>
  <si>
    <t>R3-2026-005078</t>
  </si>
  <si>
    <t>R3-2026-004957</t>
  </si>
  <si>
    <t>R3-2026-001588</t>
  </si>
  <si>
    <t xml:space="preserve">R3-2026-007662 </t>
  </si>
  <si>
    <t xml:space="preserve">MRF </t>
  </si>
  <si>
    <t>R3-2026-007667</t>
  </si>
  <si>
    <t xml:space="preserve"> R3-2026-007664 </t>
  </si>
  <si>
    <t>Under construction</t>
  </si>
  <si>
    <t>R3-2026-007666</t>
  </si>
  <si>
    <t>R3-2026-007663</t>
  </si>
  <si>
    <t>R3-2026-007665</t>
  </si>
  <si>
    <t>R3-2026-004853</t>
  </si>
  <si>
    <t>R3-2026-007360</t>
  </si>
  <si>
    <t>R3-2026-007368</t>
  </si>
  <si>
    <t>R3-2026-007361</t>
  </si>
  <si>
    <t>R3-2026-007362</t>
  </si>
  <si>
    <t xml:space="preserve">R3-2026-007612 </t>
  </si>
  <si>
    <t>R3-2026-007613</t>
  </si>
  <si>
    <t>R3-2025-035058</t>
  </si>
  <si>
    <t>R3-2025-035057</t>
  </si>
  <si>
    <t>R3-2025-034065</t>
  </si>
  <si>
    <t>R3-2025-035059</t>
  </si>
  <si>
    <t>R3-2025-035060</t>
  </si>
  <si>
    <t>R3-2025-035061</t>
  </si>
  <si>
    <t>R3-2025-035062</t>
  </si>
  <si>
    <t>R3-2025-035063</t>
  </si>
  <si>
    <t>R3-2026-006703</t>
  </si>
  <si>
    <t>R3-2026-006702</t>
  </si>
  <si>
    <t>R3-2026-006921</t>
  </si>
  <si>
    <t>R3-2026-006922</t>
  </si>
  <si>
    <t xml:space="preserve"> R3-2026-006923</t>
  </si>
  <si>
    <t>R3-2026-006924</t>
  </si>
  <si>
    <t xml:space="preserve"> R3-2026-008349</t>
  </si>
  <si>
    <t>R3-2026-006515</t>
  </si>
  <si>
    <t>R3-2026-006519</t>
  </si>
  <si>
    <t>R3-2026-006516</t>
  </si>
  <si>
    <t>R3-2026-006518</t>
  </si>
  <si>
    <t xml:space="preserve">R3-2026-007371 </t>
  </si>
  <si>
    <t>R3-2026-007370</t>
  </si>
  <si>
    <t>R3-2025-027623</t>
  </si>
  <si>
    <t>R3-2026-008447</t>
  </si>
  <si>
    <t>R3-2025-004785</t>
  </si>
  <si>
    <t>R3-2025-004786</t>
  </si>
  <si>
    <t>R3-2026-008348</t>
  </si>
  <si>
    <t>R3-2026-007614</t>
  </si>
  <si>
    <t>R3-2026-007617</t>
  </si>
  <si>
    <t>R3-2025-027622</t>
  </si>
  <si>
    <t>R3-2026-007619</t>
  </si>
  <si>
    <t>R3-2026-007620</t>
  </si>
  <si>
    <t>R3-2025-027621</t>
  </si>
  <si>
    <t>R3-2026-007621</t>
  </si>
  <si>
    <t>R3-2026-007622</t>
  </si>
  <si>
    <t>R3-2026-006333</t>
  </si>
  <si>
    <t>R3-2026-007315</t>
  </si>
  <si>
    <t>R3-2025-006105</t>
  </si>
  <si>
    <t>R3-2025-006104</t>
  </si>
  <si>
    <t>R3-2025-031715</t>
  </si>
  <si>
    <t>R3-2025-017645</t>
  </si>
  <si>
    <t>R3-2025-032573</t>
  </si>
  <si>
    <t>R3-2026-007594</t>
  </si>
  <si>
    <t>R3-2026-007595</t>
  </si>
  <si>
    <t>R3-2025-032577</t>
  </si>
  <si>
    <t xml:space="preserve">R3-2026-007596 </t>
  </si>
  <si>
    <t>R3-2026-007597</t>
  </si>
  <si>
    <t>R3-2026-007598</t>
  </si>
  <si>
    <t>R3-2025-027554</t>
  </si>
  <si>
    <t>R3-2025-031688</t>
  </si>
  <si>
    <t>R3-2025-032600</t>
  </si>
  <si>
    <t>R3-2026-007625</t>
  </si>
  <si>
    <t>R3-2025-027556</t>
  </si>
  <si>
    <t>R3-2026-007647</t>
  </si>
  <si>
    <t>R3-2026-007650</t>
  </si>
  <si>
    <t>R3-2026-008314</t>
  </si>
  <si>
    <t>R3-2026-008322</t>
  </si>
  <si>
    <t>R3-2026-008316</t>
  </si>
  <si>
    <t>R3-2025-031641</t>
  </si>
  <si>
    <t>Monitored C.Y. 2025</t>
  </si>
  <si>
    <t>R3-2026-008655</t>
  </si>
  <si>
    <t xml:space="preserve">OPERATIONAL </t>
  </si>
  <si>
    <t>R3-2026-008657</t>
  </si>
  <si>
    <t>R3-2025-003541</t>
  </si>
  <si>
    <t>R3-2025-031639</t>
  </si>
  <si>
    <t>R3-2026-008661</t>
  </si>
  <si>
    <t>R3-2025-003538</t>
  </si>
  <si>
    <t>R3-2025-003540</t>
  </si>
  <si>
    <t>R3-2026-008575</t>
  </si>
  <si>
    <t>R3-2026-008577</t>
  </si>
  <si>
    <t>R3-2025-003539</t>
  </si>
  <si>
    <t>R3-2025-002029</t>
  </si>
  <si>
    <t>R3-2026-006618</t>
  </si>
  <si>
    <t>R3-2026-007593</t>
  </si>
  <si>
    <t>R3-2025-003537</t>
  </si>
  <si>
    <t>R3-2026-006619</t>
  </si>
  <si>
    <t>R3-2025-003542</t>
  </si>
  <si>
    <t>R3-2026-008596</t>
  </si>
  <si>
    <t xml:space="preserve">1.	According to Municipal Environment and Natural Resources Officer, Mr. Hernandez, they were conducting IEC in the barangay. Additionally, the barangay is practicing Reduce, Reuse, and Recycle since the barangay is considered an upland – the barangay is far from the town proper.
2.	He also mentioned that the school in the barangay were practicing waste segregation, and they help the barangay through collecting and delivering the waste to the central MRF.
</t>
  </si>
  <si>
    <t>R3-2025-034721</t>
  </si>
  <si>
    <t>R3-2026-007623</t>
  </si>
  <si>
    <t>R3-2026-007624</t>
  </si>
  <si>
    <t>R3-2026-007626</t>
  </si>
  <si>
    <t>R3-2026-007643</t>
  </si>
  <si>
    <t>R3-2026-007318</t>
  </si>
  <si>
    <t>R3-2026-007316</t>
  </si>
  <si>
    <t>R3-2026-006323</t>
  </si>
  <si>
    <t>R3-2026-006329</t>
  </si>
  <si>
    <t>R3-2026-006339</t>
  </si>
  <si>
    <t>R3-2026-006338</t>
  </si>
  <si>
    <t>R3-2025-027687</t>
  </si>
  <si>
    <t>R3-2025-024356</t>
  </si>
  <si>
    <t>R3-2025-014898</t>
  </si>
  <si>
    <t>R3-2026-006336</t>
  </si>
  <si>
    <t>R3-2026-006327</t>
  </si>
  <si>
    <t xml:space="preserve">R3-2026-008567 </t>
  </si>
  <si>
    <t>R3-2025-035199</t>
  </si>
  <si>
    <t>R3-2025-033407</t>
  </si>
  <si>
    <t>R3-2026-008378</t>
  </si>
  <si>
    <t>R3-2026-008377</t>
  </si>
  <si>
    <t>R3-2025-031713</t>
  </si>
  <si>
    <t>R3-2026-008379</t>
  </si>
  <si>
    <t xml:space="preserve"> MRS</t>
  </si>
  <si>
    <t>R3-2026-008381</t>
  </si>
  <si>
    <t>R3-2026-008382</t>
  </si>
  <si>
    <t>MRF /  MRS</t>
  </si>
  <si>
    <t>NON-OPERATIONAL /  OPERATIONAL</t>
  </si>
  <si>
    <t>Magsaysay District (Norte)</t>
  </si>
  <si>
    <t>R3-2025-018159</t>
  </si>
  <si>
    <t>Magsaysay South (Sur)</t>
  </si>
  <si>
    <t>R3-2025-018160</t>
  </si>
  <si>
    <t>R3-2025-027689</t>
  </si>
  <si>
    <t>R3-2025-031718</t>
  </si>
  <si>
    <t>R3-2025-036619</t>
  </si>
  <si>
    <t>R3-2025-027151</t>
  </si>
  <si>
    <t>R3-2025-036620</t>
  </si>
  <si>
    <t>R3-2025-034720</t>
  </si>
  <si>
    <t>R3-2025-031577</t>
  </si>
  <si>
    <t>R3-2025-026164</t>
  </si>
  <si>
    <t>R3-2025-033310</t>
  </si>
  <si>
    <t>R3-2025-031578</t>
  </si>
  <si>
    <t>R3-2025-032648</t>
  </si>
  <si>
    <t>R3-2025-009113</t>
  </si>
  <si>
    <t>R3-2025-032649</t>
  </si>
  <si>
    <t>R3-2025-011888</t>
  </si>
  <si>
    <t>R3-2025-008226</t>
  </si>
  <si>
    <t>R3-2025-009114</t>
  </si>
  <si>
    <t xml:space="preserve">R3-2025-008228 </t>
  </si>
  <si>
    <t>R3-2025-032650</t>
  </si>
  <si>
    <t>R3-2025-036048</t>
  </si>
  <si>
    <t>R3-2025-036042</t>
  </si>
  <si>
    <t>R3-2025-004798</t>
  </si>
  <si>
    <t>R3-2025-029936</t>
  </si>
  <si>
    <t>R3-2025-029947</t>
  </si>
  <si>
    <t>R3-2025-014592</t>
  </si>
  <si>
    <t>R3-2025-001900</t>
  </si>
  <si>
    <t>R3-2025-029944</t>
  </si>
  <si>
    <t>R3-2025-029935</t>
  </si>
  <si>
    <t>R3-2025-018679</t>
  </si>
  <si>
    <t>R3-2025-018680</t>
  </si>
  <si>
    <t>R3-2025-002130</t>
  </si>
  <si>
    <t>R3-2025-027513</t>
  </si>
  <si>
    <t>R3-2025-027512</t>
  </si>
  <si>
    <t>R3-2025-033858</t>
  </si>
  <si>
    <t>R3-2025-027493</t>
  </si>
  <si>
    <t>R3-2025-033857</t>
  </si>
  <si>
    <t>R3-2025-033859</t>
  </si>
  <si>
    <t>R3-2025-027492</t>
  </si>
  <si>
    <t>R3-2025-027511</t>
  </si>
  <si>
    <t>R3-2026-007609</t>
  </si>
  <si>
    <t>Caterd by LGU</t>
  </si>
  <si>
    <t>R3-2026-007611</t>
  </si>
  <si>
    <t>R3-2025-032633</t>
  </si>
  <si>
    <t>R3-2025-014179</t>
  </si>
  <si>
    <t>R3-2025-016072</t>
  </si>
  <si>
    <t>R3-2025-014180</t>
  </si>
  <si>
    <t>R3-2025-032634</t>
  </si>
  <si>
    <t>R3-2025-032635</t>
  </si>
  <si>
    <t>R3-2025-004809</t>
  </si>
  <si>
    <t>R3-2025-004810</t>
  </si>
  <si>
    <t>R3-2025-004808</t>
  </si>
  <si>
    <t>R3-2025-004811</t>
  </si>
  <si>
    <t>R3-2025-027705</t>
  </si>
  <si>
    <t>R3-2025-009115</t>
  </si>
  <si>
    <t>R3-2025-013405</t>
  </si>
  <si>
    <t>R3-2025-014177</t>
  </si>
  <si>
    <t>R3-2025-006649</t>
  </si>
  <si>
    <t>R3-2025-011889</t>
  </si>
  <si>
    <t>R3-2025-017540</t>
  </si>
  <si>
    <t>R3-2025-006650</t>
  </si>
  <si>
    <t>R3-2025-031751</t>
  </si>
  <si>
    <t>R3-2025-027707</t>
  </si>
  <si>
    <t>R3-2025-027708</t>
  </si>
  <si>
    <t>R3-2025-027709</t>
  </si>
  <si>
    <t>R3-2025-015199</t>
  </si>
  <si>
    <t>R3-2025-009116</t>
  </si>
  <si>
    <t>R3-2025-010583</t>
  </si>
  <si>
    <t>R3-2025-021181</t>
  </si>
  <si>
    <t>R3-2025-010582</t>
  </si>
  <si>
    <t>R3-2025-032605</t>
  </si>
  <si>
    <t>R3-2025-018681</t>
  </si>
  <si>
    <t>R3-2025-014584</t>
  </si>
  <si>
    <t>R3-2025-034295</t>
  </si>
  <si>
    <t>R3-2025-032604</t>
  </si>
  <si>
    <t>R3-2025-002300</t>
  </si>
  <si>
    <t>R3-2025-010581</t>
  </si>
  <si>
    <t>R3-2025-010584</t>
  </si>
  <si>
    <t>R3-2025-014587</t>
  </si>
  <si>
    <t>R3-2025-014586</t>
  </si>
  <si>
    <t>R3-2025-032603</t>
  </si>
  <si>
    <t>R3-2025-031575</t>
  </si>
  <si>
    <t>R3-2025-025390</t>
  </si>
  <si>
    <t>R3-2025-025392</t>
  </si>
  <si>
    <t>R3-2025-014585</t>
  </si>
  <si>
    <t>R3-2025-031712</t>
  </si>
  <si>
    <t>R3-2025-034783</t>
  </si>
  <si>
    <t>R3-2025-008757</t>
  </si>
  <si>
    <t>R3-2025-005139</t>
  </si>
  <si>
    <t>R3-2025-026729</t>
  </si>
  <si>
    <t>R3-2025-005140</t>
  </si>
  <si>
    <t xml:space="preserve"> R3-2025-016332</t>
  </si>
  <si>
    <t>R3-2025-027487</t>
  </si>
  <si>
    <t xml:space="preserve"> R3-2025-034635</t>
  </si>
  <si>
    <t>R3-2025-018354</t>
  </si>
  <si>
    <t>R3-2025-034633</t>
  </si>
  <si>
    <t>R3-2025-027488</t>
  </si>
  <si>
    <t>R3-2025-034637</t>
  </si>
  <si>
    <t>R3-2025-034634</t>
  </si>
  <si>
    <t>R3-2025-023911</t>
  </si>
  <si>
    <t>R3-2025-004801</t>
  </si>
  <si>
    <t>R3-2025-009111</t>
  </si>
  <si>
    <t>R3-2025-004803</t>
  </si>
  <si>
    <t>R3-2025-031797</t>
  </si>
  <si>
    <t>R3-2025-005582</t>
  </si>
  <si>
    <t>R3-2025-012808</t>
  </si>
  <si>
    <t>R3-2025-011885</t>
  </si>
  <si>
    <t>R3-2025-011886</t>
  </si>
  <si>
    <t>R3-2025-031745</t>
  </si>
  <si>
    <t>R3-2025-009112</t>
  </si>
  <si>
    <t>R3-2025-009117</t>
  </si>
  <si>
    <t>R3-2025-007742</t>
  </si>
  <si>
    <t>R3-2025-011383</t>
  </si>
  <si>
    <t>R3-2025-033133</t>
  </si>
  <si>
    <t>R3-2025-033134</t>
  </si>
  <si>
    <t>R3-2025-033135</t>
  </si>
  <si>
    <t>R3-2025-010587</t>
  </si>
  <si>
    <t>R3-2025-037343</t>
  </si>
  <si>
    <t>R3-2025-037345</t>
  </si>
  <si>
    <t>R3-2025-004398</t>
  </si>
  <si>
    <t>R3-2025-037342</t>
  </si>
  <si>
    <t>R3-2025-004399</t>
  </si>
  <si>
    <t>R3-2025-031717</t>
  </si>
  <si>
    <t>R3-2025-033277</t>
  </si>
  <si>
    <t>R3-2025-033275</t>
  </si>
  <si>
    <t>R3-2025-024064</t>
  </si>
  <si>
    <t>R3-2026-007607</t>
  </si>
  <si>
    <t>June Target</t>
  </si>
  <si>
    <t>R3-2025-031339</t>
  </si>
  <si>
    <t>R3-2025-031340</t>
  </si>
  <si>
    <t>R3-2025-018353</t>
  </si>
  <si>
    <t>R3-2025-031341</t>
  </si>
  <si>
    <t>R3-2025-031343</t>
  </si>
  <si>
    <t>R3-2025-031344</t>
  </si>
  <si>
    <t>R3-2025-035706</t>
  </si>
  <si>
    <t>R3-2025-035705</t>
  </si>
  <si>
    <t>R3-2025-017384</t>
  </si>
  <si>
    <t>R3-2025-025556</t>
  </si>
  <si>
    <t>R3-2025-004796</t>
  </si>
  <si>
    <t>R3-2025-037237</t>
  </si>
  <si>
    <t>R3-2025-025557</t>
  </si>
  <si>
    <t>R3-2025-014588</t>
  </si>
  <si>
    <t>R3-2025-024612</t>
  </si>
  <si>
    <t>R3-2025-014589</t>
  </si>
  <si>
    <t>R3-2025-008746</t>
  </si>
  <si>
    <t>27-Mar-24
14-Feb-25</t>
  </si>
  <si>
    <t>R3-2024-011940/
R3-2025-005559</t>
  </si>
  <si>
    <t>R3-2025-008750</t>
  </si>
  <si>
    <t>R3-2025-008752</t>
  </si>
  <si>
    <t>R3-2025-008751</t>
  </si>
  <si>
    <t>R3-2025-024461</t>
  </si>
  <si>
    <t>R3-2025-024502</t>
  </si>
  <si>
    <t>R3-2025-003068</t>
  </si>
  <si>
    <t>R3-2025-027473</t>
  </si>
  <si>
    <t>R3-2025-027474</t>
  </si>
  <si>
    <t>R3-2025-001295</t>
  </si>
  <si>
    <t>R3-2025-037436</t>
  </si>
  <si>
    <t>R3-2025-007337</t>
  </si>
  <si>
    <t>R3-2025-031342</t>
  </si>
  <si>
    <t>R3-2025-037435</t>
  </si>
  <si>
    <t>R3-2025-033408</t>
  </si>
  <si>
    <t>R3-2025-020834</t>
  </si>
  <si>
    <t>R3-2025-031672</t>
  </si>
  <si>
    <t>R3-2025-027489</t>
  </si>
  <si>
    <t>R3-2025-031673</t>
  </si>
  <si>
    <t>R3-2025-031674</t>
  </si>
  <si>
    <t>R3-2025-027691</t>
  </si>
  <si>
    <t>R3-2025-033409</t>
  </si>
  <si>
    <t>R3-2025-016207</t>
  </si>
  <si>
    <t>R3-2025-016198</t>
  </si>
  <si>
    <t>R3-2025-006878</t>
  </si>
  <si>
    <t>R3-2025-006247</t>
  </si>
  <si>
    <t>R3-2025-023807</t>
  </si>
  <si>
    <t>R3-2025-002074</t>
  </si>
  <si>
    <t>R3-2025-004397</t>
  </si>
  <si>
    <t>R3-2025-023808</t>
  </si>
  <si>
    <t>R3-2025-007895</t>
  </si>
  <si>
    <t>R3-2025-006248</t>
  </si>
  <si>
    <t>R3-2025-002700</t>
  </si>
  <si>
    <t>R3-2025-023806</t>
  </si>
  <si>
    <t>R3-2025-007743</t>
  </si>
  <si>
    <t>R3-2025-023913</t>
  </si>
  <si>
    <t>R3-2025-023915</t>
  </si>
  <si>
    <t>R3-2025-011883</t>
  </si>
  <si>
    <t>R3-2025-011884</t>
  </si>
  <si>
    <t>R3-2025-023916</t>
  </si>
  <si>
    <t>R3-2025-007744</t>
  </si>
  <si>
    <t>R3-2025-003032</t>
  </si>
  <si>
    <t>R3-2025-009814</t>
  </si>
  <si>
    <t>R3-2025-023917</t>
  </si>
  <si>
    <t>R3-2025-023919</t>
  </si>
  <si>
    <t>R3-2025-015195</t>
  </si>
  <si>
    <t>R3-2025-023904</t>
  </si>
  <si>
    <t>R3-2025-023905</t>
  </si>
  <si>
    <t>R3-2025-004121</t>
  </si>
  <si>
    <t>R3-2025-016194</t>
  </si>
  <si>
    <t>R3-2025-014135</t>
  </si>
  <si>
    <t>R3-2025-027972</t>
  </si>
  <si>
    <t>R3-2025-000978</t>
  </si>
  <si>
    <t>R3-2025-003332</t>
  </si>
  <si>
    <t>R3-2025-003333</t>
  </si>
  <si>
    <t>R3-2025-023088</t>
  </si>
  <si>
    <t>R3-2025-032342</t>
  </si>
  <si>
    <t>R3-2025-011905</t>
  </si>
  <si>
    <t>R3-2025-003330</t>
  </si>
  <si>
    <t>R3-2025-016317</t>
  </si>
  <si>
    <t>R3-2025-027298</t>
  </si>
  <si>
    <t>R3-2025-003074 </t>
  </si>
  <si>
    <t>R3-2025-003231</t>
  </si>
  <si>
    <t>R3-2025-004120</t>
  </si>
  <si>
    <t>R3-2025-003075</t>
  </si>
  <si>
    <t>R3-2025-017543</t>
  </si>
  <si>
    <t>R3-2025-004802</t>
  </si>
  <si>
    <t>R3-2025-017545</t>
  </si>
  <si>
    <t>R3-2026-007601</t>
  </si>
  <si>
    <t>Target for 2nd Semi Annual</t>
  </si>
  <si>
    <t>R3-2026-007600</t>
  </si>
  <si>
    <t>R3-2025-017546</t>
  </si>
  <si>
    <t>R3-2025-004958</t>
  </si>
  <si>
    <t>R3-2025-004959</t>
  </si>
  <si>
    <t>Muzon East 2</t>
  </si>
  <si>
    <t>R3-2025-017388</t>
  </si>
  <si>
    <t>R3-2025-018804</t>
  </si>
  <si>
    <t>R3-2025-008733</t>
  </si>
  <si>
    <t>R3-2025-027287</t>
  </si>
  <si>
    <t>R3-2025-005785</t>
  </si>
  <si>
    <t>R3-2025-016277</t>
  </si>
  <si>
    <t>R3-2025-019664</t>
  </si>
  <si>
    <t>R3-2025-012812</t>
  </si>
  <si>
    <t>R3-2025-012810</t>
  </si>
  <si>
    <t xml:space="preserve">R3-2025-005865	</t>
  </si>
  <si>
    <t>R3-2025-023815</t>
  </si>
  <si>
    <t>R3-2025-016437</t>
  </si>
  <si>
    <t>R3-2025-024186</t>
  </si>
  <si>
    <t>R3-2025-031348</t>
  </si>
  <si>
    <t>R3-2025-018656</t>
  </si>
  <si>
    <t>R3-2025-005427</t>
  </si>
  <si>
    <t>R3-2025-027143</t>
  </si>
  <si>
    <t>R3-2025-022985</t>
  </si>
  <si>
    <t>R3-2025-027146</t>
  </si>
  <si>
    <t>R3-2025-027147</t>
  </si>
  <si>
    <t>R3-2025-027142</t>
  </si>
  <si>
    <t>R3-2025-027148</t>
  </si>
  <si>
    <t>R3-2025-022986</t>
  </si>
  <si>
    <t>R3-2025-034369</t>
  </si>
  <si>
    <t>R3-2025-005428</t>
  </si>
  <si>
    <t>R3-2025-037403</t>
  </si>
  <si>
    <t>R3-2025-019459</t>
  </si>
  <si>
    <t>12-Nov-24
13-Feb-25</t>
  </si>
  <si>
    <t>R3-2024-041090/
R3-2025-005815</t>
  </si>
  <si>
    <t>6-Sep-24
13-Feb-25</t>
  </si>
  <si>
    <t>R3-2024-031846/
R3-2025-005813</t>
  </si>
  <si>
    <t>R3-2025-034152</t>
  </si>
  <si>
    <t>R3-2025-023112</t>
  </si>
  <si>
    <t>R3-2025-024161</t>
  </si>
  <si>
    <t>R3-2025-005808</t>
  </si>
  <si>
    <t>R3-2025-037404</t>
  </si>
  <si>
    <t>R3-2025-034967</t>
  </si>
  <si>
    <t>R3-2024-041094/
R3-2025-005816</t>
  </si>
  <si>
    <t>R3-2025-035177</t>
  </si>
  <si>
    <t>R3-2025-035182</t>
  </si>
  <si>
    <t>R3-2025-035183</t>
  </si>
  <si>
    <t>R3-2025-031398</t>
  </si>
  <si>
    <t>R3-2025-035180</t>
  </si>
  <si>
    <t>R3-2025-035181</t>
  </si>
  <si>
    <t>R3-2025-027286</t>
  </si>
  <si>
    <t>R3-2025-030719</t>
  </si>
  <si>
    <t>R3-2025-008734</t>
  </si>
  <si>
    <t>R3-2025-016275</t>
  </si>
  <si>
    <t>R3-2025-022195</t>
  </si>
  <si>
    <t>R3-2025-030720</t>
  </si>
  <si>
    <t>R3-2025-030721</t>
  </si>
  <si>
    <t>R3-2025-002079</t>
  </si>
  <si>
    <t>R3-2025-005786</t>
  </si>
  <si>
    <t>R3-2025-034336</t>
  </si>
  <si>
    <t>R3-2025-034337</t>
  </si>
  <si>
    <t>R3-2025-033259</t>
  </si>
  <si>
    <t>R3-2025-005788</t>
  </si>
  <si>
    <t>R3-2025-008732</t>
  </si>
  <si>
    <t>R3-2025-034338</t>
  </si>
  <si>
    <t>R3-2025-034339</t>
  </si>
  <si>
    <t>R3-2025-034340</t>
  </si>
  <si>
    <t>R3-2025-034341</t>
  </si>
  <si>
    <t>R3-2025-034342</t>
  </si>
  <si>
    <t>R3-2025-022196</t>
  </si>
  <si>
    <t>R3-2025-011747</t>
  </si>
  <si>
    <t xml:space="preserve">R3-2025-037394 </t>
  </si>
  <si>
    <t>Jose Abad Santos (Siran)</t>
  </si>
  <si>
    <t>R3-2025-009105</t>
  </si>
  <si>
    <t>R3-2025-031228</t>
  </si>
  <si>
    <t>R3-2025-009107</t>
  </si>
  <si>
    <t>R3-2025-034965</t>
  </si>
  <si>
    <t>R3-2025-031221</t>
  </si>
  <si>
    <t>R3-2025-012462</t>
  </si>
  <si>
    <t>R3-2025-031218</t>
  </si>
  <si>
    <t>R3-2025-034966</t>
  </si>
  <si>
    <t>R3-2025-023799</t>
  </si>
  <si>
    <t>R3-2025-034964</t>
  </si>
  <si>
    <t>R3-2025-031222</t>
  </si>
  <si>
    <t xml:space="preserve">R3-2025-031225 </t>
  </si>
  <si>
    <t>R3-2025-031226</t>
  </si>
  <si>
    <t>R3-2025-009108</t>
  </si>
  <si>
    <t>R3-2025-031229</t>
  </si>
  <si>
    <t>R3-2025-034959</t>
  </si>
  <si>
    <t>R3-2025-034963</t>
  </si>
  <si>
    <t>R3-2025-016266</t>
  </si>
  <si>
    <t>R3-2025-016265</t>
  </si>
  <si>
    <t>R3-2025-016260</t>
  </si>
  <si>
    <t>R3-2025-016261</t>
  </si>
  <si>
    <t>R3-2025-016258</t>
  </si>
  <si>
    <t>R3-2025-009209</t>
  </si>
  <si>
    <t>R3-2025-009210</t>
  </si>
  <si>
    <t>R3-2025-031397</t>
  </si>
  <si>
    <t>R3-2025-022983</t>
  </si>
  <si>
    <t>R3-2026-007605</t>
  </si>
  <si>
    <t>R3-2026-007606</t>
  </si>
  <si>
    <t>R3-2025-037399</t>
  </si>
  <si>
    <t>R3-2025-027563</t>
  </si>
  <si>
    <t>R3-2025-034606</t>
  </si>
  <si>
    <t>R3-2025-034609</t>
  </si>
  <si>
    <t>R3-2025-027564</t>
  </si>
  <si>
    <t>R3-2025-034611</t>
  </si>
  <si>
    <t>R3-2025-034613</t>
  </si>
  <si>
    <t>R3-2025-027566</t>
  </si>
  <si>
    <t>R3-2025-034615</t>
  </si>
  <si>
    <t>R3-2025-027567</t>
  </si>
  <si>
    <t xml:space="preserve">R3-2025-005866	</t>
  </si>
  <si>
    <t>R3-2025-031400</t>
  </si>
  <si>
    <t>R3-2025-031405</t>
  </si>
  <si>
    <t>R3-2025-027312</t>
  </si>
  <si>
    <t>R3-2025-016233</t>
  </si>
  <si>
    <t>R3-2025-016232</t>
  </si>
  <si>
    <t>R3-2025-009207</t>
  </si>
  <si>
    <t>R3-2025-031406</t>
  </si>
  <si>
    <t>R3-2025-005425</t>
  </si>
  <si>
    <t>R3-2025-016234</t>
  </si>
  <si>
    <t xml:space="preserve"> R3-2025-031402 </t>
  </si>
  <si>
    <t>R3-2025-019598</t>
  </si>
  <si>
    <t>R3-2025-019600</t>
  </si>
  <si>
    <t>R3-2025-019601</t>
  </si>
  <si>
    <t>R3-2025-019603</t>
  </si>
  <si>
    <t>R3-2025-019604</t>
  </si>
  <si>
    <t>R3-2025-012496</t>
  </si>
  <si>
    <t>R3-2025-012495</t>
  </si>
  <si>
    <t>R3-2025-027288</t>
  </si>
  <si>
    <t>R3-2025-027289</t>
  </si>
  <si>
    <t>R3-2025-030722</t>
  </si>
  <si>
    <t>R3-2025-027290</t>
  </si>
  <si>
    <t>R3-2025-019665</t>
  </si>
  <si>
    <t>R3-2025-030723</t>
  </si>
  <si>
    <t>R3-2025-022197</t>
  </si>
  <si>
    <t>R3-2025-023101</t>
  </si>
  <si>
    <t>R3-2025-005787</t>
  </si>
  <si>
    <t>R3-2025-027291</t>
  </si>
  <si>
    <t>R3-2025-030724</t>
  </si>
  <si>
    <t>R3-2025-019666</t>
  </si>
  <si>
    <t>R3-2025-008731</t>
  </si>
  <si>
    <t>R3-2025-030725</t>
  </si>
  <si>
    <t>R3-2025-012858</t>
  </si>
  <si>
    <t>R3-2025-031361</t>
  </si>
  <si>
    <t xml:space="preserve">R3-2025-009196	</t>
  </si>
  <si>
    <t>R3-2025-031359</t>
  </si>
  <si>
    <t>R3-2025-031357</t>
  </si>
  <si>
    <t>R3-2025-005870</t>
  </si>
  <si>
    <t>R3-2025-002093</t>
  </si>
  <si>
    <t>R3-2025-031349</t>
  </si>
  <si>
    <t>R3-2025-027561</t>
  </si>
  <si>
    <t>R3-2025-031352</t>
  </si>
  <si>
    <t>R3-2025-024184</t>
  </si>
  <si>
    <t>R3-2025-023814</t>
  </si>
  <si>
    <t>R3-2025-016436</t>
  </si>
  <si>
    <t>R3-2025-009187</t>
  </si>
  <si>
    <t xml:space="preserve">R3-2025-005867	</t>
  </si>
  <si>
    <t>R3-2025-009190</t>
  </si>
  <si>
    <t>R3-2025-012814</t>
  </si>
  <si>
    <t xml:space="preserve">R3-2025-009191	</t>
  </si>
  <si>
    <t xml:space="preserve">R3-2025-009193	</t>
  </si>
  <si>
    <t xml:space="preserve">R3-2025-005869	</t>
  </si>
  <si>
    <t>R3-2025-012195</t>
  </si>
  <si>
    <t>R3-2025-011238</t>
  </si>
  <si>
    <t>R3-2025-016276</t>
  </si>
  <si>
    <t>R3-2025-012460</t>
  </si>
  <si>
    <t>R3-2025-009106</t>
  </si>
  <si>
    <t>R3-2025-012507</t>
  </si>
  <si>
    <t>R3-2025-012494</t>
  </si>
  <si>
    <t>R3-2025-005424</t>
  </si>
  <si>
    <t>R3-2025-009208</t>
  </si>
  <si>
    <t>R3-2025-005817</t>
  </si>
  <si>
    <t>R3-2025-023797</t>
  </si>
  <si>
    <t>R3-2025-026448</t>
  </si>
  <si>
    <t>R3-2025-026447</t>
  </si>
  <si>
    <t>R3-2025-021481</t>
  </si>
  <si>
    <t>R3-2025-026450</t>
  </si>
  <si>
    <t>R3-2025-019586</t>
  </si>
  <si>
    <t>R3-2025-023798</t>
  </si>
  <si>
    <t>R3-2025-008945</t>
  </si>
  <si>
    <t>R3-2025-031587</t>
  </si>
  <si>
    <t>R3-2025-019644</t>
  </si>
  <si>
    <t>R3-2025-031588</t>
  </si>
  <si>
    <t>R3-2025-019645</t>
  </si>
  <si>
    <t>R3-2025-011430</t>
  </si>
  <si>
    <t>R3-2025-011433</t>
  </si>
  <si>
    <t>R3-2025-016488</t>
  </si>
  <si>
    <t>R3-2025-008948</t>
  </si>
  <si>
    <t>R3-2025-009052</t>
  </si>
  <si>
    <t>R3-2025-009069</t>
  </si>
  <si>
    <t>R3-2025-008247</t>
  </si>
  <si>
    <t>R3-2025-024051</t>
  </si>
  <si>
    <t>R3-2025-024052</t>
  </si>
  <si>
    <t>R3-2025-016219</t>
  </si>
  <si>
    <t>R3-2025-016220</t>
  </si>
  <si>
    <t>R3-2025-027824</t>
  </si>
  <si>
    <t>R3-2025-026490</t>
  </si>
  <si>
    <t>R3-2025-026491</t>
  </si>
  <si>
    <t>R3-2025-026494</t>
  </si>
  <si>
    <t>R3-2025-020583</t>
  </si>
  <si>
    <t>R3-2025-012523</t>
  </si>
  <si>
    <t>R3-2025-015432</t>
  </si>
  <si>
    <t>R3-2025-032754</t>
  </si>
  <si>
    <t>R3-2025-032752</t>
  </si>
  <si>
    <t>R3-2025-032760</t>
  </si>
  <si>
    <t>R3-2025-015435</t>
  </si>
  <si>
    <t>R3-2025-015436</t>
  </si>
  <si>
    <t>Manaquem</t>
  </si>
  <si>
    <t>R3-2025-026495</t>
  </si>
  <si>
    <t>R3-2025-027829</t>
  </si>
  <si>
    <t>R3-2025-027825</t>
  </si>
  <si>
    <t>R3-2025-026496</t>
  </si>
  <si>
    <t>R3-2025-027841</t>
  </si>
  <si>
    <t>R3-2025-012524</t>
  </si>
  <si>
    <t>R3-2025-023066</t>
  </si>
  <si>
    <t>R3-2025-037169</t>
  </si>
  <si>
    <t>R3-2025-004522</t>
  </si>
  <si>
    <t>R3-2025-006967</t>
  </si>
  <si>
    <t>R3-2025-008076</t>
  </si>
  <si>
    <t>R3-2025-008079</t>
  </si>
  <si>
    <t>R3-2025-004526</t>
  </si>
  <si>
    <t>R3-2025-004536</t>
  </si>
  <si>
    <t>R3-2025-005367</t>
  </si>
  <si>
    <t>R3-2025-023068</t>
  </si>
  <si>
    <t>R3-2025-018923</t>
  </si>
  <si>
    <t>R3-2025-018924</t>
  </si>
  <si>
    <t>R3-2025-018925</t>
  </si>
  <si>
    <t>R3-2025-037168</t>
  </si>
  <si>
    <t>R3-2025-012525</t>
  </si>
  <si>
    <t>R3-2025-005545</t>
  </si>
  <si>
    <t>R3-2025-012527</t>
  </si>
  <si>
    <t>R3-2025-018205</t>
  </si>
  <si>
    <t>R3-2025-001917</t>
  </si>
  <si>
    <t>R3-2025-024045</t>
  </si>
  <si>
    <t>R3-2025-024044</t>
  </si>
  <si>
    <t>R3-2025-030893</t>
  </si>
  <si>
    <t>R3-2025-009082</t>
  </si>
  <si>
    <t>R3-2025-024049</t>
  </si>
  <si>
    <t>R3-2025-001920</t>
  </si>
  <si>
    <t>R3-2025-030894</t>
  </si>
  <si>
    <t>R3-2025-020250</t>
  </si>
  <si>
    <t>R3-2025-005500</t>
  </si>
  <si>
    <t>R3-2025-020247</t>
  </si>
  <si>
    <t>R3-2025-005501</t>
  </si>
  <si>
    <t>R3-2025-005502</t>
  </si>
  <si>
    <t xml:space="preserve"> R3-2025-005566</t>
  </si>
  <si>
    <t>R3-2025-005636</t>
  </si>
  <si>
    <t>R3-2025-011899</t>
  </si>
  <si>
    <t>R3-2025-016542</t>
  </si>
  <si>
    <t>R3-2025-026427</t>
  </si>
  <si>
    <t>R3-2025-019620</t>
  </si>
  <si>
    <t>R3-2025-026428</t>
  </si>
  <si>
    <t>R3-2025-023128</t>
  </si>
  <si>
    <t>R3-2025-023126</t>
  </si>
  <si>
    <t>R3-2025-026429</t>
  </si>
  <si>
    <t>R3-2025-011691</t>
  </si>
  <si>
    <t>R3-2025-027592</t>
  </si>
  <si>
    <t>R3-2025-011693</t>
  </si>
  <si>
    <t>R3-2025-027590</t>
  </si>
  <si>
    <t>R3-2025-027598</t>
  </si>
  <si>
    <t>R3-2025-027597</t>
  </si>
  <si>
    <t>R3-2025-027595</t>
  </si>
  <si>
    <t>R3-2025-027600</t>
  </si>
  <si>
    <t>R3-2025-031318</t>
  </si>
  <si>
    <t>R3-2025-031314</t>
  </si>
  <si>
    <t>R3-2025-031312</t>
  </si>
  <si>
    <t>R3-2025-031307</t>
  </si>
  <si>
    <t>R3-2025-031310</t>
  </si>
  <si>
    <t>R3-2025-031321</t>
  </si>
  <si>
    <t>R3-2025-008069</t>
  </si>
  <si>
    <t>R3-2025-034451</t>
  </si>
  <si>
    <t>R3-2025-008074</t>
  </si>
  <si>
    <t>R3-2025-034453</t>
  </si>
  <si>
    <t>R3-2025-034457</t>
  </si>
  <si>
    <t>R3-2025-034463</t>
  </si>
  <si>
    <t>R3-2025-034466</t>
  </si>
  <si>
    <t>R3-2025-006965</t>
  </si>
  <si>
    <t>R3-2025-009250</t>
  </si>
  <si>
    <t>Tangcarang (Melecio Manganaan)</t>
  </si>
  <si>
    <t>R3-2025-034458</t>
  </si>
  <si>
    <t>R3-2025-004495</t>
  </si>
  <si>
    <t>R3-2025-034170</t>
  </si>
  <si>
    <t>R3-2025-034172</t>
  </si>
  <si>
    <t>R3-2025-034175</t>
  </si>
  <si>
    <t>R3-2025-034176</t>
  </si>
  <si>
    <t>R3-2025-031555</t>
  </si>
  <si>
    <t>R3-2025-008838</t>
  </si>
  <si>
    <t>R3-2025-008837</t>
  </si>
  <si>
    <t>R3-2025-016469</t>
  </si>
  <si>
    <t>R3-2025-016468</t>
  </si>
  <si>
    <t>R3-2025-009290</t>
  </si>
  <si>
    <t>R3-2025-012429</t>
  </si>
  <si>
    <t>R3-2025-012430</t>
  </si>
  <si>
    <t>R3-2025-027534</t>
  </si>
  <si>
    <t>R3-2025-027535</t>
  </si>
  <si>
    <t>R3-2025-031554</t>
  </si>
  <si>
    <t>R3-2025-004348</t>
  </si>
  <si>
    <t>R3-2025-004349</t>
  </si>
  <si>
    <t>R3-2025-004346</t>
  </si>
  <si>
    <t>R3-2025-004350</t>
  </si>
  <si>
    <t>R3-2025-027502</t>
  </si>
  <si>
    <t>R3-2025-034779</t>
  </si>
  <si>
    <t>R3-2025-034780</t>
  </si>
  <si>
    <t>R3-2025-022161</t>
  </si>
  <si>
    <t>R3-2025-034777</t>
  </si>
  <si>
    <t>R3-2025-027503</t>
  </si>
  <si>
    <t>R3-2025-027501</t>
  </si>
  <si>
    <t>R3-2025-034781</t>
  </si>
  <si>
    <t>R3-2025-016255</t>
  </si>
  <si>
    <t>R3-2025-016257</t>
  </si>
  <si>
    <t>R3-2025-016256</t>
  </si>
  <si>
    <t>R3-2025-034778</t>
  </si>
  <si>
    <t>R3-2025-020266</t>
  </si>
  <si>
    <t>R3-2025-020267</t>
  </si>
  <si>
    <t>R3-2025-007910</t>
  </si>
  <si>
    <t>R3-2025-007911</t>
  </si>
  <si>
    <t>R3-2025-030818</t>
  </si>
  <si>
    <t>R3-2025-030820</t>
  </si>
  <si>
    <t>R3-2025-030819</t>
  </si>
  <si>
    <t>R3-2025-037109</t>
  </si>
  <si>
    <t>R3-2025-017515</t>
  </si>
  <si>
    <t>R3-2025-002010</t>
  </si>
  <si>
    <t>R3-2025-017514</t>
  </si>
  <si>
    <t>R3-2025-028931</t>
  </si>
  <si>
    <t>R3-2025-028932</t>
  </si>
  <si>
    <t>R3-2025-021234</t>
  </si>
  <si>
    <t>R3-2025-036975</t>
  </si>
  <si>
    <t>R3-2025-029020</t>
  </si>
  <si>
    <t>R3-2025-029021</t>
  </si>
  <si>
    <t>R3-2025-036972</t>
  </si>
  <si>
    <t>R3-2025-002516</t>
  </si>
  <si>
    <t>R3-2025-020242</t>
  </si>
  <si>
    <t>R3-2025-002517</t>
  </si>
  <si>
    <t>R3-2025-030838</t>
  </si>
  <si>
    <t>R3-2025-002301</t>
  </si>
  <si>
    <t>R3-2025-030842</t>
  </si>
  <si>
    <t>R3-2025-030845</t>
  </si>
  <si>
    <t>R3-2025-032699</t>
  </si>
  <si>
    <t>R3-2025-005365</t>
  </si>
  <si>
    <t>R3-2025-032702</t>
  </si>
  <si>
    <t>R3-2025-032703</t>
  </si>
  <si>
    <t>R3-2025-005304</t>
  </si>
  <si>
    <t>R3-2025-005144</t>
  </si>
  <si>
    <t>R3-2025-018845</t>
  </si>
  <si>
    <t>R3-2025-018846</t>
  </si>
  <si>
    <t>R3-2025-018847</t>
  </si>
  <si>
    <t>R3-2025-011568</t>
  </si>
  <si>
    <t>R3-2025-011569</t>
  </si>
  <si>
    <t>R3-2025-018851</t>
  </si>
  <si>
    <t>R3-2025-017504</t>
  </si>
  <si>
    <t>R3-2025-030686</t>
  </si>
  <si>
    <t>R3-2025-002069</t>
  </si>
  <si>
    <t>R3-2025-030689</t>
  </si>
  <si>
    <t>R3-2025-002070</t>
  </si>
  <si>
    <t>R3-2025-011232</t>
  </si>
  <si>
    <t>R3-2025-007983</t>
  </si>
  <si>
    <t>R3-2025-007981</t>
  </si>
  <si>
    <t>R3-2025-023122</t>
  </si>
  <si>
    <t>R3-2025-023124</t>
  </si>
  <si>
    <t>R3-2025-002078</t>
  </si>
  <si>
    <t>R3-2025-030690</t>
  </si>
  <si>
    <t>R3-2025-030691</t>
  </si>
  <si>
    <t>R3-2025-002077</t>
  </si>
  <si>
    <t>R3-2025-026452</t>
  </si>
  <si>
    <t>R3-2025-011231</t>
  </si>
  <si>
    <t>R3-2025-016244</t>
  </si>
  <si>
    <t>R3-2025-027536</t>
  </si>
  <si>
    <t>R3-2025-027544</t>
  </si>
  <si>
    <t>R3-2025-027527</t>
  </si>
  <si>
    <t>R3-2025-027540</t>
  </si>
  <si>
    <t>R3-2025-005459</t>
  </si>
  <si>
    <t>R3-2025-027533</t>
  </si>
  <si>
    <t>R3-2025-027266</t>
  </si>
  <si>
    <t>R3-2025-005460</t>
  </si>
  <si>
    <t>R3-2025-005461</t>
  </si>
  <si>
    <t>R3-2025-031073</t>
  </si>
  <si>
    <t>R3-2025-031661</t>
  </si>
  <si>
    <t>R3-2025-016612</t>
  </si>
  <si>
    <t>R3-2025-031650</t>
  </si>
  <si>
    <t>R3-2025-016617</t>
  </si>
  <si>
    <t>R3-2025-016247</t>
  </si>
  <si>
    <t>R3-2025-031656</t>
  </si>
  <si>
    <t>R3-2025-034512</t>
  </si>
  <si>
    <t>R3-2025-031058</t>
  </si>
  <si>
    <t>R3-2025-027723</t>
  </si>
  <si>
    <t>R3-2025-034509</t>
  </si>
  <si>
    <t>R3-2025-016768</t>
  </si>
  <si>
    <t>R3-2025-034465</t>
  </si>
  <si>
    <t>R3-2025-031060</t>
  </si>
  <si>
    <t>R3-2025-034511</t>
  </si>
  <si>
    <t>R3-2025-016771</t>
  </si>
  <si>
    <t>R3-2025-034513</t>
  </si>
  <si>
    <t>R3-2025-027720</t>
  </si>
  <si>
    <t>R3-2025-031059</t>
  </si>
  <si>
    <t xml:space="preserve"> R3-2025-034459</t>
  </si>
  <si>
    <t>R3-2025-034461</t>
  </si>
  <si>
    <t>R3-2025-034464</t>
  </si>
  <si>
    <t>R3-2025-027722</t>
  </si>
  <si>
    <t>R3-2025-027718</t>
  </si>
  <si>
    <t>R3-2025-031056</t>
  </si>
  <si>
    <t>R3-2025-034515</t>
  </si>
  <si>
    <t>R3-2025-027721</t>
  </si>
  <si>
    <t>R3-2025-034506</t>
  </si>
  <si>
    <t>R3-2025-031061</t>
  </si>
  <si>
    <t xml:space="preserve">R3-2025-031062	</t>
  </si>
  <si>
    <t>R3-2025-027719</t>
  </si>
  <si>
    <t>R3-2025-016773</t>
  </si>
  <si>
    <t>R3-2025-031063</t>
  </si>
  <si>
    <t xml:space="preserve"> R3-2025-035040</t>
  </si>
  <si>
    <t>R3-2025-019917</t>
  </si>
  <si>
    <t>R3-2025-005888</t>
  </si>
  <si>
    <t>R3-2025-031064</t>
  </si>
  <si>
    <t>R3-2025-009174</t>
  </si>
  <si>
    <t>R3-2025-031067</t>
  </si>
  <si>
    <t>R3-2025-031068</t>
  </si>
  <si>
    <t>R3-2025-019918</t>
  </si>
  <si>
    <t>R3-2025-031069</t>
  </si>
  <si>
    <t>R3-2025-031070</t>
  </si>
  <si>
    <t>R3-2025-031071</t>
  </si>
  <si>
    <t>R3-2025-012821</t>
  </si>
  <si>
    <t>R3-2025-035034</t>
  </si>
  <si>
    <t>R3-2025-016774</t>
  </si>
  <si>
    <t>R3-2025-011518</t>
  </si>
  <si>
    <t>R3-2025-008143</t>
  </si>
  <si>
    <t>R3-2025-008141</t>
  </si>
  <si>
    <t>November 14, 2024</t>
  </si>
  <si>
    <t>R3-2025-037567</t>
  </si>
  <si>
    <t>R3-2025-010766</t>
  </si>
  <si>
    <t>R3-2025-008072</t>
  </si>
  <si>
    <t>R3-2025-011539</t>
  </si>
  <si>
    <t>R3-2025-027578</t>
  </si>
  <si>
    <t>R3-2025-027579</t>
  </si>
  <si>
    <t>R3-2025-027581</t>
  </si>
  <si>
    <t>R3-2025-027580</t>
  </si>
  <si>
    <t>R3-2025-001649</t>
  </si>
  <si>
    <t>R3-2025-008721</t>
  </si>
  <si>
    <t>R3-2025-005837</t>
  </si>
  <si>
    <t>R3-2025-008882</t>
  </si>
  <si>
    <t>R3-2025-005838</t>
  </si>
  <si>
    <t>R3-2025-005836</t>
  </si>
  <si>
    <t>R3-2025-031556</t>
  </si>
  <si>
    <t>R3-2025-031559</t>
  </si>
  <si>
    <t xml:space="preserve"> R3-2025-031557</t>
  </si>
  <si>
    <t>R3-2025-031558</t>
  </si>
  <si>
    <t>R3-2025-031560</t>
  </si>
  <si>
    <t>R3-2025-031561</t>
  </si>
  <si>
    <t>R3-2025-031562</t>
  </si>
  <si>
    <t>R3-2025-031563</t>
  </si>
  <si>
    <t>R3-2025-031564</t>
  </si>
  <si>
    <t>R3-2025-031565</t>
  </si>
  <si>
    <t>R3-2025-002215</t>
  </si>
  <si>
    <t>R3-2025-005514</t>
  </si>
  <si>
    <t>R3-2025-005515</t>
  </si>
  <si>
    <t>R3-2025-005516</t>
  </si>
  <si>
    <t xml:space="preserve">R3-2025-005517 </t>
  </si>
  <si>
    <t>Tition (San Vicente)</t>
  </si>
  <si>
    <t>R3-2025-007991</t>
  </si>
  <si>
    <t>R3-2025-024177</t>
  </si>
  <si>
    <t>R3-2025-024182</t>
  </si>
  <si>
    <t>R3-2025-024059</t>
  </si>
  <si>
    <t>R3-2025-024183</t>
  </si>
  <si>
    <t>R3-2025-024057</t>
  </si>
  <si>
    <t>R3-2025-024185</t>
  </si>
  <si>
    <t>R3-2025-024063</t>
  </si>
  <si>
    <t>R3-2025-035072</t>
  </si>
  <si>
    <t>R3-2025-012822</t>
  </si>
  <si>
    <t>R3-2025-037778</t>
  </si>
  <si>
    <t>R3-2025-035073</t>
  </si>
  <si>
    <t>R3-2025-016727</t>
  </si>
  <si>
    <t>R3-2025-016777</t>
  </si>
  <si>
    <t>R3-2025-016778</t>
  </si>
  <si>
    <t>R3-2025-035070</t>
  </si>
  <si>
    <t>R3-2025-027935</t>
  </si>
  <si>
    <t>R3-2025-027908</t>
  </si>
  <si>
    <t>R3-2025-027937</t>
  </si>
  <si>
    <t>R3-2025-027939</t>
  </si>
  <si>
    <t>R3-2025-027941</t>
  </si>
  <si>
    <t>R3-2025-027907</t>
  </si>
  <si>
    <t>R3-2025-020245</t>
  </si>
  <si>
    <t>R3-2025-027909</t>
  </si>
  <si>
    <t>R3-2025-020094</t>
  </si>
  <si>
    <t>R3-2025-020093</t>
  </si>
  <si>
    <t>R3-2025-027936</t>
  </si>
  <si>
    <t>R3-2025-005887</t>
  </si>
  <si>
    <t>R3-2025-024084</t>
  </si>
  <si>
    <t>R3-2025-009178</t>
  </si>
  <si>
    <t>R3-2025-023909</t>
  </si>
  <si>
    <t>R3-2025-024406</t>
  </si>
  <si>
    <t>R3-2025-024086</t>
  </si>
  <si>
    <t>R3-2025-024085</t>
  </si>
  <si>
    <t>R3-2025-009180</t>
  </si>
  <si>
    <t>R3-2025-023479</t>
  </si>
  <si>
    <t>R3-2025-008891</t>
  </si>
  <si>
    <t>R3-2025-016930</t>
  </si>
  <si>
    <t>R3-2025-016928</t>
  </si>
  <si>
    <t>R3-2025-011560</t>
  </si>
  <si>
    <t>R3-2025-020100</t>
  </si>
  <si>
    <t>R3-2025-020099</t>
  </si>
  <si>
    <t>R3-2025-011639</t>
  </si>
  <si>
    <t>R3-2025-020098</t>
  </si>
  <si>
    <t xml:space="preserve">R3-2025-016927	</t>
  </si>
  <si>
    <t>R3-2025-012600</t>
  </si>
  <si>
    <t>R3-2025-016929</t>
  </si>
  <si>
    <t xml:space="preserve">R3-2025-020096	</t>
  </si>
  <si>
    <t>R3-2025-011571</t>
  </si>
  <si>
    <t>R3-2025-020097</t>
  </si>
  <si>
    <t>R3-2025-037775</t>
  </si>
  <si>
    <t>R3-2025-034647</t>
  </si>
  <si>
    <t>R3-2025-034995</t>
  </si>
  <si>
    <t>R3-2025-034998</t>
  </si>
  <si>
    <t>R3-2025-037562</t>
  </si>
  <si>
    <t>R3-2025-037563</t>
  </si>
  <si>
    <t>R3-2025-034996</t>
  </si>
  <si>
    <t>R3-2025-037564</t>
  </si>
  <si>
    <t>R3-2025-034646</t>
  </si>
  <si>
    <t xml:space="preserve"> R3-2025-037566</t>
  </si>
  <si>
    <t>R3-2025-034997</t>
  </si>
  <si>
    <t>Other Remarks</t>
  </si>
  <si>
    <t>Maria Cecilia Pascual</t>
  </si>
  <si>
    <t>R3-2026-001711</t>
  </si>
  <si>
    <t>Biowaste shredder, Biowaste shredder</t>
  </si>
  <si>
    <t>https://embco-my.sharepoint.com/:w:/g/personal/eswmr3_emb_gov_ph/IQCCW2h6RQkGTbMDNsB8pFRrASk6ci5dP2NJTfKto8er1ZI?e=vKiyD6</t>
  </si>
  <si>
    <t xml:space="preserve">R3-2026-000954 </t>
  </si>
  <si>
    <t>Weighing scale, Conveyor, Pressing Machine, Bricks Mixer, Wheeloader, Bioshredder, Rotary COmposter</t>
  </si>
  <si>
    <t>https://embco-my.sharepoint.com/:w:/g/personal/eswmr3_emb_gov_ph/IQBO_L1BDCUhTbVYFyS3gV7EASiRZihT7X7Mdh743C0cpWw?e=ECeiJS</t>
  </si>
  <si>
    <t>R3-2026-002058</t>
  </si>
  <si>
    <t>Weighing scale, Plastic Granulating Machine, Bricks Mixer Machine, Wheel Loader, Sand Mixer, Biowaste shredder, Plastic shredder,  Glass shredder/ pulverizer, Rotary composter, Windrows for composting, Vermicomposting bed/bins, Bricks maker/molder, Electric power</t>
  </si>
  <si>
    <t>Biodegradable waste, Recyclables, Special Waste, Residual Wastes</t>
  </si>
  <si>
    <t>https://embco-my.sharepoint.com/:w:/g/personal/eswmr3_emb_gov_ph/IQALxb1MT9U9S7F08pxweUHOAbWdhDUKw-hMvLjGiTPBfHM?e=EjVDjB</t>
  </si>
  <si>
    <t>CSFP</t>
  </si>
  <si>
    <t>R3-2026-001249</t>
  </si>
  <si>
    <t>Conveyor, Weigh Loader, Biowaste shredder, Plastic shredder, glass shredder, Rotary composter, plastic densifier, electric power</t>
  </si>
  <si>
    <t>Biowaste, recyclables, special waste, residual</t>
  </si>
  <si>
    <t xml:space="preserve">•	Continuous implementation of waste segregation at source. 
•	Utilization of the equipment
•	The LGU should strictly conduct proper operation of the Material Recovery Facility as stipulated in R.A. 9003, particularly in Section 33
</t>
  </si>
  <si>
    <t>•	Accumulated residual wastes were observed inside the facility.</t>
  </si>
  <si>
    <t>https://embco-my.sharepoint.com/:w:/g/personal/eswmr3_emb_gov_ph/IQCxzBiUzp9oTb_IexLIIqYEAfbwJcfmKABX2verTxP251U?e=mIIt5F</t>
  </si>
  <si>
    <t>R3-2026-001118</t>
  </si>
  <si>
    <t>Bottle Crusher, Weigh Scale, Bio Shredder, Glass Shredder, Composter, Brick Maker</t>
  </si>
  <si>
    <t>Biowaste, recyclables, residual</t>
  </si>
  <si>
    <t>https://embco-my.sharepoint.com/:w:/g/personal/eswmr3_emb_gov_ph/IQA_xWa8XitmTpCBFoGiVFDIAaCfQaiyLEW5BwKkse21N-o?e=HaXUJy</t>
  </si>
  <si>
    <t>R3-2026-001276</t>
  </si>
  <si>
    <t>Biowaste shredder, Plastic shredder,Rotary composter,Electric power</t>
  </si>
  <si>
    <t>Mixed waste, Biowaste, recyclables, special waste, residual</t>
  </si>
  <si>
    <t>https://embco-my.sharepoint.com/:w:/g/personal/eswmr3_emb_gov_ph/IQAs6BCJdDx9QK2okcp_2r7DASOTrCA5hlpCFls5BVvwJ4k?e=muxASC</t>
  </si>
  <si>
    <t>R3-2026-003898</t>
  </si>
  <si>
    <t>Conveyor, Bricks Maker Machine, Biowaste Shredder, Plastic Shredder, Rotary Composter, Bricks maker/molder</t>
  </si>
  <si>
    <t>https://embco-my.sharepoint.com/:w:/g/personal/eswmr3_emb_gov_ph/IQA_focP4uidTIfaGdsWtTdZAdkrHPkRT2e-tcqthC9tUl4?e=flvx96</t>
  </si>
  <si>
    <t>Malolos</t>
  </si>
  <si>
    <t xml:space="preserve">R3-2026-004819 </t>
  </si>
  <si>
    <t>Rotary Mixer Wheel Loader Biowaste shredder  Plastic shredder Rotary composter Vermicomposting bed/bins Bioreactor</t>
  </si>
  <si>
    <t>https://embco-my.sharepoint.com/:w:/g/personal/eswmr3_emb_gov_ph/IQAy39OAb2wCS6JBFr5eZmwaAWv4Whxkfl7ITAezwlsyHK8?e=YHirQ5</t>
  </si>
  <si>
    <t>Carangalan</t>
  </si>
  <si>
    <t>R3-2026-003726</t>
  </si>
  <si>
    <t>Biowaste Shredder, Composter</t>
  </si>
  <si>
    <t>https://embco-my.sharepoint.com/:w:/g/personal/eswmr3_emb_gov_ph/IQAPGBSHd_sbQpRdj6L1regOAYEpWbOamHPdub4G33KJEXI?e=TT5sa4</t>
  </si>
  <si>
    <t>Dos</t>
  </si>
  <si>
    <t>R3-2026-002997</t>
  </si>
  <si>
    <t>Biowaste shredder  Rotary composter</t>
  </si>
  <si>
    <t xml:space="preserve">2.	On going hauling is being conducted by Metro Waste Solid Waste Management based on the commitment and progress report of the LGU. 
3.	According to Mr. Rodrigo Malubag, Jr., they are in the process of proposing a budget for the improvement of the MRF facility of LGU Quezon.
</t>
  </si>
  <si>
    <t>https://embco-my.sharepoint.com/:w:/g/personal/eswmr3_emb_gov_ph/IQDy2yDnh69oRanAfbS9MqutAXTuBVwIkvCwJIMfjlrv3d0?e=fYWH7f</t>
  </si>
  <si>
    <t>R3-2026-003685</t>
  </si>
  <si>
    <t>Section 32 Establishment of LGU Materials Recovery Facility, and Section 1 (a) and (b) “Operations of a Materials Recovery Facility” under Rule XI “Materials Recovery Facilities and Composting” of IRR (DAO 2001-34) of RA 9003.</t>
  </si>
  <si>
    <t>https://embco-my.sharepoint.com/:w:/g/personal/eswmr3_emb_gov_ph/IQAS57pusY7URbNu4fMqPG9YAfWCLwzBbJvU6CghsAREYvg?e=awGSV9</t>
  </si>
  <si>
    <t>Sta Rita</t>
  </si>
  <si>
    <t>R3-2026-001115</t>
  </si>
  <si>
    <t>Conveyor, Biowaste Shredder, Rosary, Composter</t>
  </si>
  <si>
    <t>https://embco-my.sharepoint.com/:w:/g/personal/eswmr3_emb_gov_ph/IQBcL3O2-MQLRKhg8ROxoxKOAaKfxEKZfQBKN6yYLJlCCEg?e=TkC6td</t>
  </si>
  <si>
    <t>R3-2026-005276</t>
  </si>
  <si>
    <t>Conveyor, Biowaste Shredder, Plastic Shredder, Rotary Composter</t>
  </si>
  <si>
    <t>Recyclables</t>
  </si>
  <si>
    <t>Please provide Quantity or data of stored recyclables in the MRF</t>
  </si>
  <si>
    <t>https://embco-my.sharepoint.com/:w:/g/personal/eswmr3_emb_gov_ph/IQD1g6BzoTB_SY1n4QjSWSSoAYjBl4tM987CqcKfiruMTwo?e=eOqNU5</t>
  </si>
  <si>
    <t>Meycauyan</t>
  </si>
  <si>
    <t>Sta Cruz</t>
  </si>
  <si>
    <t>Bebe anac</t>
  </si>
  <si>
    <t>R3-2026-007391</t>
  </si>
  <si>
    <t>Bio- Shredder, Rotary Composter, Vermicomposting Bed</t>
  </si>
  <si>
    <t>no records</t>
  </si>
  <si>
    <t>Sta Ignacia</t>
  </si>
  <si>
    <t>Poblacion sur</t>
  </si>
  <si>
    <t>R3-2026-007494</t>
  </si>
  <si>
    <t>Bio-shredder, Bio COmposter, Vermicompost</t>
  </si>
  <si>
    <t>Baliwag</t>
  </si>
  <si>
    <t xml:space="preserve">Tarcan </t>
  </si>
  <si>
    <t>Dila dila</t>
  </si>
  <si>
    <t>Released - April 10, 2025</t>
  </si>
  <si>
    <t>Prenza</t>
  </si>
  <si>
    <t>Pansilao</t>
  </si>
  <si>
    <t>14.96047,120.46104</t>
  </si>
  <si>
    <t>14.8146,120.8814</t>
  </si>
  <si>
    <t>Jasmine Marie Siapco</t>
  </si>
  <si>
    <t>Zaragosa</t>
  </si>
  <si>
    <t xml:space="preserve">15.78931,120.60471 </t>
  </si>
  <si>
    <t>Released - July 18, 2025</t>
  </si>
  <si>
    <t>14.42460374,120.48033257</t>
  </si>
  <si>
    <t>14.8475, 120.919</t>
  </si>
  <si>
    <t xml:space="preserve">Longos </t>
  </si>
  <si>
    <t>Coral na bato</t>
  </si>
  <si>
    <t>Sta Rosa</t>
  </si>
  <si>
    <t>So. Tomas</t>
  </si>
  <si>
    <t xml:space="preserve"> 4th</t>
  </si>
  <si>
    <t>14.992,120.7593</t>
  </si>
  <si>
    <t>Coral Iloco</t>
  </si>
  <si>
    <t>15.527747,120.706851</t>
  </si>
  <si>
    <t xml:space="preserve">The  Item III. MRF's Daily Records is blank (no provided data), however it is compliant to DAO 2001-34
Rule XI Section 1 (d.1) and stated in the findings that the "Daily logbook records of MRF operations are kept and maintained." </t>
  </si>
  <si>
    <t>Released - June 13, 2025</t>
  </si>
  <si>
    <t>Manila Bay Area</t>
  </si>
  <si>
    <t>Date Installed</t>
  </si>
  <si>
    <t>Status of Trash Traps</t>
  </si>
  <si>
    <t>No. of Trash Traps HDPE Floater</t>
  </si>
  <si>
    <t>Status of Waste Lifter</t>
  </si>
  <si>
    <t>Status of Plastic Boat</t>
  </si>
  <si>
    <t>Estimated Volume of waste hauled
(kg)</t>
  </si>
  <si>
    <t>Date of Last Hauling</t>
  </si>
  <si>
    <t>Signed Report</t>
  </si>
  <si>
    <t>Brgy. Santiago</t>
  </si>
  <si>
    <t>14.84298333,120.80909666</t>
  </si>
  <si>
    <t>Brgy. Caniogan</t>
  </si>
  <si>
    <t>14.84277166,120.80556833</t>
  </si>
  <si>
    <t>Brgy. San Gabriel</t>
  </si>
  <si>
    <t>14.85140833,120.81575166</t>
  </si>
  <si>
    <t>Brgy. Ligas</t>
  </si>
  <si>
    <t>14.863111666,120.89536833</t>
  </si>
  <si>
    <t>Brgy. San Vicente</t>
  </si>
  <si>
    <t>14.84464,120.8154866</t>
  </si>
  <si>
    <t>Brgy. Caingin</t>
  </si>
  <si>
    <t>Brgy. Sapang</t>
  </si>
  <si>
    <t>Brgy. Salangan</t>
  </si>
  <si>
    <t>15.12678555,120.9511182</t>
  </si>
  <si>
    <t>Brgy. Parculeta</t>
  </si>
  <si>
    <t>Brgy. Bayanihan</t>
  </si>
  <si>
    <t>Brgy. Saguin</t>
  </si>
  <si>
    <t>15.09478104, 120.63015307</t>
  </si>
  <si>
    <t>Brgy. Baliti</t>
  </si>
  <si>
    <t>Brgy. De La Paz Sur</t>
  </si>
  <si>
    <t>15.0739, 120.6376</t>
  </si>
  <si>
    <t>Brgy. Panipuan</t>
  </si>
  <si>
    <t>Brgy San Agustin</t>
  </si>
  <si>
    <t>15.04059333,120.666473</t>
  </si>
  <si>
    <t>Brgy. San Pedro</t>
  </si>
  <si>
    <t>Brgy. Sto. Rosario</t>
  </si>
  <si>
    <t>Brgy. Panginay</t>
  </si>
  <si>
    <t>R3-2026-006438</t>
  </si>
  <si>
    <t>Upon checking the Advise letter is already in Records Unit</t>
  </si>
  <si>
    <t>Brgy. Meyto</t>
  </si>
  <si>
    <t>14.88334764,120.73005412</t>
  </si>
  <si>
    <t>R3-2026-005623</t>
  </si>
  <si>
    <t>For Further Monitoring</t>
  </si>
  <si>
    <t>R3-2026-005622</t>
  </si>
  <si>
    <t>Brgy. Sto. Nino</t>
  </si>
  <si>
    <t>14.904822 120.775499</t>
  </si>
  <si>
    <t xml:space="preserve">R3-2026-005624 </t>
  </si>
  <si>
    <t>Brgy. Poblacion</t>
  </si>
  <si>
    <t>14.828137,120.876667</t>
  </si>
  <si>
    <t>Jasmine Marie N. Siapco</t>
  </si>
  <si>
    <t xml:space="preserve"> R3-2026-006435</t>
  </si>
  <si>
    <t>38 sack</t>
  </si>
  <si>
    <t>Monthly</t>
  </si>
  <si>
    <t>●	The trashtrap were relocate and endorsed at the Brgy. Pulong Gubat and Barangay Malis, Guiguinto, Bulacan in order to utilize the floaters</t>
  </si>
  <si>
    <t>R3-2026-006436</t>
  </si>
  <si>
    <t>●	The trashtrap were relocate and endorsed at the Brgy. Pulong Gubat and Barangay Malis, Guiguinto, Bulacan in order to utilize the floaters.</t>
  </si>
  <si>
    <t>Brgy. Sta. Rita</t>
  </si>
  <si>
    <t xml:space="preserve">R3-2026-006437 </t>
  </si>
  <si>
    <t>7-10 sacks</t>
  </si>
  <si>
    <t xml:space="preserve">•	According to Brgy. Captain, they already requested assistance to MENRO Guiguinto 
to clean up the site and informed them that the Barangay Sta Rita will not be able to clean up the said solid waste in the trashtrap since the site was identified under the jurisdiction Barangay Tikay, Malolos, Bulacan. 
•	Brgy. Captain also mentioned that the waste lifter is not fully utilized because it requires a stable foundation and is challenging to operate due to its weight. As a result, they resort to manually hauling the collected waste.
</t>
  </si>
  <si>
    <t>14.851296,120.859726</t>
  </si>
  <si>
    <t>R3-2026-006510</t>
  </si>
  <si>
    <t>Brgy. San Juan</t>
  </si>
  <si>
    <t>R3-2026-003793</t>
  </si>
  <si>
    <t>NO AVAILABLE DATA</t>
  </si>
  <si>
    <t>NO DATA AVAILABLE</t>
  </si>
  <si>
    <t>1.	According to Barangay Chairman some tools and materials were being used during clean-up operations and as a result of use, some of them were torn.</t>
  </si>
  <si>
    <t>https://embco-my.sharepoint.com/:w:/g/personal/eswmr3_emb_gov_ph/IQAqEyUShBC5SZ3B_Xg7kbQ-Aa64MLg3JGGD1mhBcKMGQgk?e=ThaENm</t>
  </si>
  <si>
    <t>R3-2026-003794</t>
  </si>
  <si>
    <t xml:space="preserve">1.	According to the Barangay Chairman, some tools and materials were being used during clean-up operations, and as a result of use, some of them were torn.
2.	According to the Brgy. Chairman, the creek level rose, and the strong water current may have caused the trash trap drift away.
</t>
  </si>
  <si>
    <t>https://embco-my.sharepoint.com/:w:/g/personal/eswmr3_emb_gov_ph/IQCVShKxfLMlQaowllLwh9gYAdW11SX1c1glSA17gwLx1bA?e=L0aB2v</t>
  </si>
  <si>
    <t>Brgy Parian</t>
  </si>
  <si>
    <t>15.06450143,120.72068711</t>
  </si>
  <si>
    <t>R3-2026-004743</t>
  </si>
  <si>
    <t>BOSS NESTY'S IIS</t>
  </si>
  <si>
    <t>80kg</t>
  </si>
  <si>
    <t xml:space="preserve">The equipment and personal protective equipment (PPE) were secured and stored in the designated storage facility under the custody of the Barangay Captain.
-	The waste lifter is kept in the barangay and it is used for different SWM purposes.
-	During inspection, plant growth and scattered trash were observed, covering the floaters.
</t>
  </si>
  <si>
    <t>Brgy. San Antonio</t>
  </si>
  <si>
    <t>R3-2026-004742</t>
  </si>
  <si>
    <t xml:space="preserve">According to Brgy. Captain, the trash trap floaters were uninstalled because the barangay where the trash trap was originally located is no longer under the barangay jurisdiction.
-	The Barangay Captain has requested that the trash trap will be transferred to other barangays.
</t>
  </si>
  <si>
    <t>https://embco-my.sharepoint.com/:w:/g/personal/eswmr3_emb_gov_ph/IQC5g2TkWQ4jS5T-35I9Jfx2AdBrfkkXtYpJNK0sE-liQIs?e=WvhUGQ</t>
  </si>
  <si>
    <t>Brgy. Sta. Catalina 2</t>
  </si>
  <si>
    <t>R3-2026-005113</t>
  </si>
  <si>
    <t>15 pcs</t>
  </si>
  <si>
    <t>1.	According to MENRO, some tools and materials were being used during clean-up operations.</t>
  </si>
  <si>
    <t>https://embco-my.sharepoint.com/:w:/g/personal/eswmr3_emb_gov_ph/IQB-pXqoHpZTQolCTz8S-QH6AbWYzVIQeXdEH181slmpDJM?e=OhrO9l</t>
  </si>
  <si>
    <t>Brgy. Sta. Catalina 1</t>
  </si>
  <si>
    <t>14.9627305,120.67621858</t>
  </si>
  <si>
    <t>R3-2026-005111</t>
  </si>
  <si>
    <t>11 pcs</t>
  </si>
  <si>
    <t>https://embco-my.sharepoint.com/:w:/g/personal/eswmr3_emb_gov_ph/IQBoEIB231QVQKwco0j5OmhhAQsfCuSlvcgTFhF0VvsFsks?e=HFxGMf</t>
  </si>
  <si>
    <t>Brgy. Biniang 2nd</t>
  </si>
  <si>
    <t>14.792328,120.929779</t>
  </si>
  <si>
    <t>Brgy. Biniang 1st</t>
  </si>
  <si>
    <t>14.789800, 120.931100</t>
  </si>
  <si>
    <t>14.792328,120.9299701</t>
  </si>
  <si>
    <t>Brgy. Iba</t>
  </si>
  <si>
    <t>Brgy. Tabon</t>
  </si>
  <si>
    <t>15.26365302,120.91395322</t>
  </si>
  <si>
    <t>R3-2026-007355</t>
  </si>
  <si>
    <t>Subject to further monitoring
The trapped solid waste was manually removed by the collectors</t>
  </si>
  <si>
    <t>15.271058,120.912884</t>
  </si>
  <si>
    <t>R3-2026-007357</t>
  </si>
  <si>
    <t xml:space="preserve">Brgy Magliman(SITE 01) </t>
  </si>
  <si>
    <t>R3-2026-007627</t>
  </si>
  <si>
    <t>8 PCS</t>
  </si>
  <si>
    <t>25 KG</t>
  </si>
  <si>
    <t xml:space="preserve">1.	According to Barangay Kagawad some tools and materials were being used during the clean-up operations. 
2.	The Kagawad also mentioned that the plastic boat is utilized in Purok 3 during periods of heavy rainfall.
</t>
  </si>
  <si>
    <t>Brgy Magliman (SITE 02)</t>
  </si>
  <si>
    <t>R3-2026-007628</t>
  </si>
  <si>
    <t>12 PCS</t>
  </si>
  <si>
    <t>20 KG</t>
  </si>
  <si>
    <t xml:space="preserve"> 1.	The undersigned recommends conducting regular clean-up activities in the area.
2.	The undersigned recommends that the floaters be properly installed and secured to ensure their effectiveness and to prevent displacement, especially during heavy rainfall or strong water currents.
3.	The undersigned also advises the barangay to provide a logbook to serve as a reference for recording the volume of waste collected in the area.
</t>
  </si>
  <si>
    <t xml:space="preserve">Brgy Magliman(SITE 03) </t>
  </si>
  <si>
    <t>R3-2026-007629</t>
  </si>
  <si>
    <t xml:space="preserve"> 1.	The undersigned recommends conducting regular clean-up activities in the area.
2.	The undersigned recommends ensuring that the floaters are properly installed in the area so that the facility can operate effectively.
3.	The undersigned also advises the barangay to provide a logbook to serve as a reference for recording the volume of waste collected in the area.
</t>
  </si>
  <si>
    <t>Brgy. Sta. Lucia</t>
  </si>
  <si>
    <t>15. 0220550</t>
  </si>
  <si>
    <t>R3-2026-007630</t>
  </si>
  <si>
    <t>22 PCS</t>
  </si>
  <si>
    <t>10 KG</t>
  </si>
  <si>
    <t>1.	According to Barangay Secretary some tools and materials were being used during clean-up operations and because of used some of them were torn.</t>
  </si>
  <si>
    <t>Brgy. San Isidro 2</t>
  </si>
  <si>
    <t>14.958755,120.722592</t>
  </si>
  <si>
    <t>Brgy. San Isidro 1</t>
  </si>
  <si>
    <t>14.955854,120.71768335</t>
  </si>
  <si>
    <t>Brgy San Vicente(SITE 02)</t>
  </si>
  <si>
    <t>R3-2026-007669</t>
  </si>
  <si>
    <t>(SITE 02) 1.	According to Barangay Secretary some tools and materials were being used during clean-up operations, but some tools and materials were not presented during inspection.</t>
  </si>
  <si>
    <t>Brgy San Vicente(Site 1)</t>
  </si>
  <si>
    <t>R3-2026-007632</t>
  </si>
  <si>
    <t>10 PCS</t>
  </si>
  <si>
    <t>(SITE 01) According to the Barangay Secretary some tools and materials were being used during clean-up operations, but some tools and materials were not presented during inspection</t>
  </si>
  <si>
    <t>Brgy San Bartolome</t>
  </si>
  <si>
    <t>R3-2026-007631</t>
  </si>
  <si>
    <t xml:space="preserve">1.	According to Barangay Secretary some tools and materials were being used during clean-up operations, but some tools and materials were not presented during inspection. 
2.	The Brgy. Secretary mentioned that the plastic boat and other materials will be sent thru messenger. She also mentioned that she doesn’t know where the other parts of the waste lifter are, but she will coordinate to other staffs regarding this matter.
</t>
  </si>
  <si>
    <t>Brgy. Perez</t>
  </si>
  <si>
    <t>Meycauayan</t>
  </si>
  <si>
    <t>14.758237,120.98994</t>
  </si>
  <si>
    <t>Brgy. Langka</t>
  </si>
  <si>
    <t>14.740622,120.97884</t>
  </si>
  <si>
    <t>14.72572,120.96878</t>
  </si>
  <si>
    <t>Brgy. Tabang</t>
  </si>
  <si>
    <t>Brgy. Banga 1st</t>
  </si>
  <si>
    <t>Brgy. San Roque Bitas</t>
  </si>
  <si>
    <t>Brgy. Mangga Cacutud</t>
  </si>
  <si>
    <t>15.148734,120.763921</t>
  </si>
  <si>
    <t>Brgy Telebastagan</t>
  </si>
  <si>
    <t>Brgy. Wawa</t>
  </si>
  <si>
    <t>14.8168,120.9085</t>
  </si>
  <si>
    <t>Brgy. Malamig</t>
  </si>
  <si>
    <t>14.8426,121.0019</t>
  </si>
  <si>
    <t>Brgy. Talampas</t>
  </si>
  <si>
    <t>Brgy. Tibagan</t>
  </si>
  <si>
    <t>14.95510538,120.9455292</t>
  </si>
  <si>
    <t>Brgy. Poblacion 1</t>
  </si>
  <si>
    <t>San Jose Del Monte</t>
  </si>
  <si>
    <t>14.799087,121.07135</t>
  </si>
  <si>
    <t>Brgy. Tungkong Mangga</t>
  </si>
  <si>
    <t>14.809602,121.05072</t>
  </si>
  <si>
    <t>Brgy. San Josef Norte</t>
  </si>
  <si>
    <t>Cabanatuan</t>
  </si>
  <si>
    <t>15.4859,120.9535</t>
  </si>
  <si>
    <t>Brgy. Mabini Extension</t>
  </si>
  <si>
    <t>15.4846,120.9728</t>
  </si>
  <si>
    <t>Brgy. San Josef Sur</t>
  </si>
  <si>
    <t>15.47277,120.95009</t>
  </si>
  <si>
    <t>Brgy. Dela Paz Norte</t>
  </si>
  <si>
    <t>Brgy Sto Rosario</t>
  </si>
  <si>
    <t>15.039218,120.69381</t>
  </si>
  <si>
    <t>Brgy. Cangatba</t>
  </si>
  <si>
    <t>15.072355,120.542015</t>
  </si>
  <si>
    <t>Brgy.San Juan</t>
  </si>
  <si>
    <t>15.0614801,120.817208</t>
  </si>
  <si>
    <t>Brgy. Bunlo</t>
  </si>
  <si>
    <t>14.7871186,120.9293942</t>
  </si>
  <si>
    <t>Brgy. Gatbuca</t>
  </si>
  <si>
    <t>14.92040054, 120.76576738</t>
  </si>
  <si>
    <t>Brgy. Malis</t>
  </si>
  <si>
    <t>14.839764,120.880842</t>
  </si>
  <si>
    <t>Brgy. San Isidro I</t>
  </si>
  <si>
    <t>Brgy. Pinalagdan</t>
  </si>
  <si>
    <t>14.8495,120.7813</t>
  </si>
  <si>
    <t>Brgy. San Agustin 1</t>
  </si>
  <si>
    <t>14.9248781,120.5848987</t>
  </si>
  <si>
    <t>Brgy Sta Catalina 1</t>
  </si>
  <si>
    <t>Brgy Sta Catalina 2</t>
  </si>
  <si>
    <t>Brgy Sta Catalina 3</t>
  </si>
  <si>
    <t>14.9244250,120.59044166</t>
  </si>
  <si>
    <t>Brgy Sta Catalina 4</t>
  </si>
  <si>
    <t>Brgy. San Agustin 2</t>
  </si>
  <si>
    <t>Brgy Sta Monica 1</t>
  </si>
  <si>
    <t>Brgy Sta Monica 2</t>
  </si>
  <si>
    <t>14.9559799,120.6073548</t>
  </si>
  <si>
    <t>Brgy. Bahay Pare</t>
  </si>
  <si>
    <t>14.77199,121.01845</t>
  </si>
  <si>
    <t>Brgy. Libtong</t>
  </si>
  <si>
    <t>14.747501,120.98659</t>
  </si>
  <si>
    <t>Brgy. Lawa</t>
  </si>
  <si>
    <t>14.727517,120.97875</t>
  </si>
  <si>
    <t>Brgy. Cambio</t>
  </si>
  <si>
    <t>Brgy. Guyong</t>
  </si>
  <si>
    <t>14.830938,120.96434</t>
  </si>
  <si>
    <t>Brgy. Caysio</t>
  </si>
  <si>
    <t>14.837938,120.96456</t>
  </si>
  <si>
    <t>Brgy. Del Carmen</t>
  </si>
  <si>
    <t>Brgy. Calulut</t>
  </si>
  <si>
    <t>Brgy Lagundi</t>
  </si>
  <si>
    <t>15.053599,120.7117367</t>
  </si>
  <si>
    <t>Brgy. Sta. Cruz</t>
  </si>
  <si>
    <t>Brgy. Sto Rosario</t>
  </si>
  <si>
    <t>14.8358337 120.8629526</t>
  </si>
  <si>
    <t>Brgy. Mercado</t>
  </si>
  <si>
    <t>14.8232,120.7257</t>
  </si>
  <si>
    <t>Brgy. Poblacion-Sta. Rita Matanda</t>
  </si>
  <si>
    <t>15.140356,120.968100</t>
  </si>
  <si>
    <t>Brgy. Balasing</t>
  </si>
  <si>
    <t>14.853016,121.00062</t>
  </si>
  <si>
    <t>Brgy. Rizdelis</t>
  </si>
  <si>
    <t>15.4897. 120.9616</t>
  </si>
  <si>
    <t>Brgy. Imelda</t>
  </si>
  <si>
    <t>15.47551717,120.9622255</t>
  </si>
  <si>
    <t>Brgy. Nabao</t>
  </si>
  <si>
    <t>15.49064486,120.96373952</t>
  </si>
  <si>
    <t>Brgy. Barrera</t>
  </si>
  <si>
    <t>15.4810367,120.966427</t>
  </si>
  <si>
    <t>Brgy. San Jose</t>
  </si>
  <si>
    <t>Brgy. Del Pilar</t>
  </si>
  <si>
    <t>14.9668818 120.61168926</t>
  </si>
  <si>
    <t>Brgy. Plaza Burgos</t>
  </si>
  <si>
    <t>Brgy Sta Lucia</t>
  </si>
  <si>
    <t>14.9248781,120.5838987</t>
  </si>
  <si>
    <t>Brgy. Anilao</t>
  </si>
  <si>
    <t>14.846394,120.798666</t>
  </si>
  <si>
    <t>Brgy. Parulan</t>
  </si>
  <si>
    <t>14.888357,120.874924</t>
  </si>
  <si>
    <t>Brgy. Dulong Bayan</t>
  </si>
  <si>
    <t>14.8315170,121.0377707</t>
  </si>
  <si>
    <t>Brgy. Salacot</t>
  </si>
  <si>
    <t>Brgy. Capalangan</t>
  </si>
  <si>
    <t>14.9362N</t>
  </si>
  <si>
    <t>120.7615E</t>
  </si>
  <si>
    <t>Brgy Cabalantian</t>
  </si>
  <si>
    <t>Brgy. Paralaya</t>
  </si>
  <si>
    <t>Brgy. Sta. Rita 2</t>
  </si>
  <si>
    <t>Brgy. San Nicolas</t>
  </si>
  <si>
    <t>Brgy. Sta. Rita 1</t>
  </si>
  <si>
    <t>14.978734,120.6940286</t>
  </si>
  <si>
    <t>Status
of the Facility</t>
  </si>
  <si>
    <t>Facility or Bin</t>
  </si>
  <si>
    <t>Number of Bin used</t>
  </si>
  <si>
    <t>Total Floor Area
(sq.m)</t>
  </si>
  <si>
    <t>Date 
Operationalized</t>
  </si>
  <si>
    <t>Actual Waste Received
(tons per day)</t>
  </si>
  <si>
    <t>RCA Storage Capacity
(cm3)</t>
  </si>
  <si>
    <t>Total Volume of Residual waste stored</t>
  </si>
  <si>
    <t>Date of hauling to an SLF</t>
  </si>
  <si>
    <t>Volume of Waste hauled
(tons)</t>
  </si>
  <si>
    <t>Hauler</t>
  </si>
  <si>
    <t>Final Disposal</t>
  </si>
  <si>
    <t>Co-Processing
Facility</t>
  </si>
  <si>
    <t>No. of Barangay Served</t>
  </si>
  <si>
    <t>Violation</t>
  </si>
  <si>
    <t>R3-2026-003941</t>
  </si>
  <si>
    <t>https://embco-my.sharepoint.com/:w:/g/personal/eswmr3_emb_gov_ph/IQCvICfLLkb8S6zAJoLFuk1vAUAn6C8aXavful6doKZNptU?e=0yvPgS</t>
  </si>
  <si>
    <t>R3-2026-007507</t>
  </si>
  <si>
    <t>Bin</t>
  </si>
  <si>
    <t>32 cum</t>
  </si>
  <si>
    <t>5.28 tons</t>
  </si>
  <si>
    <t>MCWMC</t>
  </si>
  <si>
    <t>Mailing Address</t>
  </si>
  <si>
    <t>Location of the Facility</t>
  </si>
  <si>
    <t>Clean Leaf International Corporation ( OL-TR-R3-69-000094)</t>
  </si>
  <si>
    <t>R3-2026-001766</t>
  </si>
  <si>
    <t>1.3 MT (December 2025)</t>
  </si>
  <si>
    <t>John Sherwin L. Loquellano</t>
  </si>
  <si>
    <t>Maria Lourdes St. Ma. Fe, Orani, Bataan</t>
  </si>
  <si>
    <t>R3-2026-004582</t>
  </si>
  <si>
    <t>1,960 (January 2026)</t>
  </si>
  <si>
    <t>https://embco-my.sharepoint.com/:w:/g/personal/eswmr3_emb_gov_ph/IQCw7WpdGHoyQ4wcsb7CYjlZATeUc1T8X--SjG3j1S2xQ-c?e=wStYu5</t>
  </si>
  <si>
    <t>Tarlac, City</t>
  </si>
  <si>
    <t>OL-TR-R3-69-000521</t>
  </si>
  <si>
    <t>Jan Emerson  C. Gonzales</t>
  </si>
  <si>
    <t>R3-2026-003673</t>
  </si>
  <si>
    <t xml:space="preserve">The PDS is functional, PDS facility were installed within the compound of Tarlac Provincial Hospital with on-going application of permits to the EMB R3.
The facility is a registered TSD Facility for M501 wastes; PTT is not required for the transport of treated M501 wastes. 
</t>
  </si>
  <si>
    <t>https://embco-my.sharepoint.com/:w:/g/personal/eswmr3_emb_gov_ph/IQAuGNi1vEXxSIbkOOAAjT5iAcF8ZjJNEL8pe70MQ0EDaiI?e=yPqwwu</t>
  </si>
  <si>
    <t>Ona Hospital, Angeles City, Pampanga</t>
  </si>
  <si>
    <t>R03-03132018-4420</t>
  </si>
  <si>
    <t>PTO-OL-R03-2023-05936</t>
  </si>
  <si>
    <t>R3-2026-008593</t>
  </si>
  <si>
    <t>A portion of the flooring needs repair, and some of the bins were also broken or have cracked lids.</t>
  </si>
  <si>
    <t>PORAC, PAMPANGA (Province of Pampanga)</t>
  </si>
  <si>
    <t>Ospital ng Lungsod Agham ng Munoz</t>
  </si>
  <si>
    <t>National_Holidays</t>
  </si>
  <si>
    <t>Column2</t>
  </si>
  <si>
    <t>Local_Holidays</t>
  </si>
  <si>
    <t>Column4</t>
  </si>
  <si>
    <t>Column5</t>
  </si>
  <si>
    <t>Suspension</t>
  </si>
  <si>
    <t>Column7</t>
  </si>
  <si>
    <t>Column8</t>
  </si>
  <si>
    <t>Date</t>
  </si>
  <si>
    <t>Activity</t>
  </si>
  <si>
    <t>New Year's Day</t>
  </si>
  <si>
    <t>Maundy Thursday</t>
  </si>
  <si>
    <t>Good Friday</t>
  </si>
  <si>
    <t>Day of Valor</t>
  </si>
  <si>
    <t>Labor Day</t>
  </si>
  <si>
    <t>Independence Day</t>
  </si>
  <si>
    <t>National Heroes Day</t>
  </si>
  <si>
    <t>Bonifacio Day</t>
  </si>
  <si>
    <t>Christmas Day</t>
  </si>
  <si>
    <t>New Year's Eve</t>
  </si>
  <si>
    <t>Type of ownership</t>
  </si>
  <si>
    <t>Distance (km) to the
Final Disposal
(Sanitary Landfill)</t>
  </si>
  <si>
    <t>Brgy. Coral Na Bato</t>
  </si>
  <si>
    <t>R3-2026-003708</t>
  </si>
  <si>
    <t>34tons</t>
  </si>
  <si>
    <t>https://embco-my.sharepoint.com/:w:/g/personal/eswmr3_emb_gov_ph/IQDrFRm0YGPLR4e3WZSMSxNeATkTbUvzNZZN6zlyBourRrQ?e=ck1DQh</t>
  </si>
  <si>
    <t>Brgy. Singalat</t>
  </si>
  <si>
    <t>R3-2026-004364</t>
  </si>
  <si>
    <t xml:space="preserve"> 1,623.34 kg/day</t>
  </si>
  <si>
    <t>Declared as Residual Containment Area</t>
  </si>
  <si>
    <t>https://embco-my.sharepoint.com/:w:/g/personal/eswmr3_emb_gov_ph/IQC1cctMtJZGQp5iTb07I9H8Af_dqUazbUrgBrF00fdA18A?e=pS7jbO</t>
  </si>
  <si>
    <t>Mariveles (AFAB)</t>
  </si>
  <si>
    <t>R3-2026-006622</t>
  </si>
  <si>
    <t>56.5 Tons/day</t>
  </si>
  <si>
    <t>5km</t>
  </si>
  <si>
    <t>•	Advise to coordinate with Metro Clark Waste Management Corporation (MCWMC) to review and optimize the collection schedule, considering the increased waste volume.</t>
  </si>
  <si>
    <t>Brgy. San Isidro</t>
  </si>
  <si>
    <t>Brgy. Sulipan</t>
  </si>
  <si>
    <t>Brgy. Pundaquit</t>
  </si>
  <si>
    <t>Brgy. Callos</t>
  </si>
  <si>
    <t>Brgy. Taugtog</t>
  </si>
  <si>
    <t>Capaya II</t>
  </si>
  <si>
    <t>15.14172, 120.63039</t>
  </si>
  <si>
    <t>Brgy. Santo Nino</t>
  </si>
  <si>
    <t>Ronaldo P. Roque, Jr</t>
  </si>
  <si>
    <t>Brgy. Concepcion</t>
  </si>
  <si>
    <t>Brgy. Tagumbao</t>
  </si>
  <si>
    <t>Brgy. Nagbayan</t>
  </si>
  <si>
    <t>ESWM STaff</t>
  </si>
  <si>
    <t>FOCAL PERSON</t>
  </si>
  <si>
    <t>TOTAL WASTE GENERATION</t>
  </si>
  <si>
    <t>TOTAL WASTE DIVERTED</t>
  </si>
  <si>
    <t>PERCENTAGE OF WASTE DIVERSION</t>
  </si>
  <si>
    <t>STATUS ACCOMPLISHMENT</t>
  </si>
  <si>
    <t>MARIA AURORA</t>
  </si>
  <si>
    <t>R3-2026-001639</t>
  </si>
  <si>
    <t>BALER</t>
  </si>
  <si>
    <t>R3-2026-001535</t>
  </si>
  <si>
    <t>BALANGA CITY</t>
  </si>
  <si>
    <t>R3-2026-001844</t>
  </si>
  <si>
    <t>MONCADA</t>
  </si>
  <si>
    <t>R3-2026-001706</t>
  </si>
  <si>
    <t>BOTOLAN</t>
  </si>
  <si>
    <t>R3-2026-001361</t>
  </si>
  <si>
    <t>DIPACULAO</t>
  </si>
  <si>
    <t>PANTABANGAN</t>
  </si>
  <si>
    <t>CONCEPCION</t>
  </si>
  <si>
    <t>IBA</t>
  </si>
  <si>
    <t>6. June</t>
  </si>
  <si>
    <t>BAGAC</t>
  </si>
  <si>
    <t>PALAYAN CITY</t>
  </si>
  <si>
    <t>LAPAZ</t>
  </si>
  <si>
    <t>SAN MARCELINO</t>
  </si>
  <si>
    <t>SAMAL</t>
  </si>
  <si>
    <t>9. September</t>
  </si>
  <si>
    <t>SAN JOSE</t>
  </si>
  <si>
    <t>GERONA</t>
  </si>
  <si>
    <t>VICTORIA</t>
  </si>
  <si>
    <t>SAN ANTONIO</t>
  </si>
  <si>
    <t>ACCOMPLISHMENT PER MONTH</t>
  </si>
  <si>
    <t>MUNICPALITY</t>
  </si>
  <si>
    <t>10-Year Plan</t>
  </si>
  <si>
    <t>EMB-FUNDED MRF</t>
  </si>
  <si>
    <t>EQUIPMENT</t>
  </si>
  <si>
    <t>TA - MRF/MRS</t>
  </si>
  <si>
    <t>WASTE DIVERSITION</t>
  </si>
  <si>
    <t>Provincial-Wide</t>
  </si>
  <si>
    <t>PAPs</t>
  </si>
  <si>
    <t>1st Semester</t>
  </si>
  <si>
    <t>2nd Semester</t>
  </si>
  <si>
    <t>Total</t>
  </si>
  <si>
    <t>-</t>
  </si>
  <si>
    <t>10-YEAR SWM PLAN</t>
  </si>
  <si>
    <t>Within MBA</t>
  </si>
  <si>
    <t>Outside MBA</t>
  </si>
  <si>
    <t>EMB MRF</t>
  </si>
  <si>
    <t>1st District</t>
  </si>
  <si>
    <t>2nd District</t>
  </si>
  <si>
    <t>WASTE DIVERSION</t>
  </si>
  <si>
    <t>3rd District</t>
  </si>
  <si>
    <t>LGU INITIATED</t>
  </si>
  <si>
    <t>TECHNICAL ASSISTANCE</t>
  </si>
  <si>
    <t>4th District</t>
  </si>
  <si>
    <t>5th District</t>
  </si>
  <si>
    <t>6th District</t>
  </si>
  <si>
    <t>Provincial</t>
  </si>
  <si>
    <t>MBA Area</t>
  </si>
  <si>
    <t>Type of Report</t>
  </si>
  <si>
    <t>Original Target Month</t>
  </si>
  <si>
    <t>LGU INITIATED MRF</t>
  </si>
  <si>
    <t>R3-2026-001566</t>
  </si>
  <si>
    <t>Appproved</t>
  </si>
  <si>
    <t>R3-2026-000810</t>
  </si>
  <si>
    <t>Brgy. technical Assistance MRF</t>
  </si>
  <si>
    <t>Technical Assistance on Waste Diversion Records</t>
  </si>
  <si>
    <t>R3-2026-001677</t>
  </si>
  <si>
    <t>R3-2026-001753</t>
  </si>
  <si>
    <t>R3-2026-001714</t>
  </si>
  <si>
    <t>R3-2026-001300</t>
  </si>
  <si>
    <t>d</t>
  </si>
  <si>
    <t>Brgy. Poblacion West IV</t>
  </si>
  <si>
    <t>Christian Gem Buluran</t>
  </si>
  <si>
    <t xml:space="preserve"> Gretzhen M. Apolonio</t>
  </si>
  <si>
    <t>R3-2026-001574</t>
  </si>
  <si>
    <t xml:space="preserve">R3-2026-001427 </t>
  </si>
  <si>
    <t>R3-2026-002398</t>
  </si>
  <si>
    <t>For issuance of NOV</t>
  </si>
  <si>
    <t>R3-2026-001187</t>
  </si>
  <si>
    <t>Tarlac City</t>
  </si>
  <si>
    <t>Joshua Capones</t>
  </si>
  <si>
    <t>R3-2026-003678</t>
  </si>
  <si>
    <t>R3-2026-004901</t>
  </si>
  <si>
    <t xml:space="preserve"> Aser A. Inocencio</t>
  </si>
  <si>
    <t>Aser A. Inocencio</t>
  </si>
  <si>
    <t xml:space="preserve">	R3-2026-004976</t>
  </si>
  <si>
    <t>Roxas</t>
  </si>
  <si>
    <t>R3-2026-007602</t>
  </si>
  <si>
    <t>Cabaducan East Pob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</si>
</sst>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mmmm\ d\,\ yyyy;@"/>
    <numFmt numFmtId="165" formatCode="0.000"/>
    <numFmt numFmtId="166" formatCode="[$-409]d\-mmm\-yy;@"/>
    <numFmt numFmtId="167" formatCode="mmmm\ d\,\ yyyy"/>
    <numFmt numFmtId="168" formatCode="mmmm\ dd\,\ yyyy"/>
  </numFmts>
  <fonts count="73">
    <font>
      <sz val="11"/>
      <color theme="1"/>
      <name val="Calibri"/>
      <family val="2"/>
      <scheme val="minor"/>
    </font>
    <font>
      <b/>
      <sz val="11"/>
      <color rgb="FF000000"/>
      <name val="Cambria"/>
      <family val="1"/>
    </font>
    <font>
      <b/>
      <sz val="11"/>
      <color rgb="FF000000"/>
      <name val="Times New Roman"/>
      <family val="1"/>
    </font>
    <font>
      <sz val="10"/>
      <color rgb="FF000000"/>
      <name val="Times New Roman"/>
      <family val="1"/>
    </font>
    <font>
      <sz val="11"/>
      <color theme="1"/>
      <name val="Times New Roman"/>
      <family val="1"/>
    </font>
    <font>
      <sz val="11"/>
      <color rgb="FF000000"/>
      <name val="Times New Roman"/>
      <family val="1"/>
    </font>
    <font>
      <sz val="10"/>
      <color theme="1"/>
      <name val="Times New Roman"/>
      <family val="1"/>
    </font>
    <font>
      <sz val="12"/>
      <color rgb="FF000000"/>
      <name val="Times New Roman"/>
      <family val="1"/>
    </font>
    <font>
      <sz val="11"/>
      <color rgb="FF000000"/>
      <name val="Calibri"/>
      <family val="2"/>
    </font>
    <font>
      <sz val="10"/>
      <color rgb="FF000000"/>
      <name val="Cambria"/>
      <family val="1"/>
    </font>
    <font>
      <sz val="10"/>
      <color rgb="FF000000"/>
      <name val="Arial"/>
      <family val="2"/>
    </font>
    <font>
      <sz val="11"/>
      <color rgb="FF000000"/>
      <name val="Cambria"/>
      <family val="1"/>
    </font>
    <font>
      <sz val="10"/>
      <color theme="0"/>
      <name val="Times New Roman"/>
      <family val="1"/>
    </font>
    <font>
      <b/>
      <sz val="10"/>
      <color rgb="FF000000"/>
      <name val="Times New Roman"/>
      <family val="1"/>
    </font>
    <font>
      <b/>
      <sz val="11"/>
      <color theme="1"/>
      <name val="Times New Roman"/>
      <family val="1"/>
    </font>
    <font>
      <sz val="14"/>
      <color rgb="FF545454"/>
      <name val="Arial"/>
      <family val="2"/>
    </font>
    <font>
      <sz val="11"/>
      <color theme="1"/>
      <name val="Cambria"/>
      <family val="1"/>
    </font>
    <font>
      <sz val="11"/>
      <color rgb="FF000000"/>
      <name val="Arial"/>
      <family val="2"/>
    </font>
    <font>
      <b/>
      <sz val="10"/>
      <color rgb="FF000000"/>
      <name val="Cambria"/>
      <family val="1"/>
    </font>
    <font>
      <b/>
      <sz val="11"/>
      <color theme="1"/>
      <name val="Cambria"/>
      <family val="1"/>
    </font>
    <font>
      <sz val="11"/>
      <color rgb="FF545454"/>
      <name val="Cambria"/>
      <family val="1"/>
    </font>
    <font>
      <sz val="12"/>
      <color rgb="FF000000"/>
      <name val="Cambria"/>
      <family val="1"/>
    </font>
    <font>
      <sz val="10"/>
      <color theme="1"/>
      <name val="Cambria"/>
      <family val="1"/>
    </font>
    <font>
      <sz val="10"/>
      <color rgb="FF545454"/>
      <name val="Arial"/>
      <family val="2"/>
    </font>
    <font>
      <sz val="11"/>
      <color theme="1"/>
      <name val="Bookman Old Style"/>
      <family val="1"/>
      <charset val="1"/>
    </font>
    <font>
      <b/>
      <sz val="11"/>
      <color theme="1"/>
      <name val="Bookman Old Style"/>
      <family val="1"/>
      <charset val="1"/>
    </font>
    <font>
      <sz val="11"/>
      <color theme="1"/>
      <name val="Calibri"/>
      <family val="2"/>
      <charset val="1"/>
    </font>
    <font>
      <sz val="11"/>
      <color theme="1"/>
      <name val="tim"/>
    </font>
    <font>
      <sz val="10"/>
      <color rgb="FF000000"/>
      <name val="tim"/>
    </font>
    <font>
      <sz val="11"/>
      <color rgb="FF000000"/>
      <name val="tim"/>
    </font>
    <font>
      <sz val="12"/>
      <color rgb="FF000000"/>
      <name val="Times New Roman"/>
      <family val="1"/>
      <charset val="1"/>
    </font>
    <font>
      <sz val="11"/>
      <color rgb="FFFF0000"/>
      <name val="Times New Roman"/>
      <family val="1"/>
    </font>
    <font>
      <u/>
      <sz val="11"/>
      <color rgb="FF000000"/>
      <name val="Times New Roman"/>
      <family val="1"/>
      <charset val="1"/>
    </font>
    <font>
      <sz val="11"/>
      <color rgb="FFFF0000"/>
      <name val="Calibri"/>
      <family val="2"/>
      <scheme val="minor"/>
    </font>
    <font>
      <sz val="12"/>
      <color theme="1"/>
      <name val="Times New Roman"/>
      <family val="1"/>
      <charset val="1"/>
    </font>
    <font>
      <sz val="11"/>
      <color rgb="FF080809"/>
      <name val="Segoe UI Historic"/>
      <family val="2"/>
    </font>
    <font>
      <b/>
      <u/>
      <sz val="11"/>
      <color theme="1"/>
      <name val="Bookman Old Style"/>
      <family val="1"/>
      <charset val="1"/>
    </font>
    <font>
      <sz val="12"/>
      <color theme="1"/>
      <name val="Times New Roman"/>
      <family val="1"/>
    </font>
    <font>
      <sz val="11"/>
      <color rgb="FF000000"/>
      <name val="Calibri"/>
      <family val="2"/>
      <scheme val="minor"/>
    </font>
    <font>
      <sz val="12"/>
      <name val="Times New Roman"/>
      <family val="1"/>
      <charset val="1"/>
    </font>
    <font>
      <b/>
      <sz val="12"/>
      <color theme="1"/>
      <name val="Times New Roman"/>
      <family val="1"/>
      <charset val="1"/>
    </font>
    <font>
      <sz val="10"/>
      <color rgb="FF0E101A"/>
      <name val="Times New Roman"/>
      <family val="1"/>
      <charset val="1"/>
    </font>
    <font>
      <sz val="11"/>
      <color rgb="FF545454"/>
      <name val="Times New Roman"/>
      <family val="1"/>
    </font>
    <font>
      <b/>
      <u/>
      <sz val="11"/>
      <color rgb="FF000000"/>
      <name val="Bookman Old Style"/>
      <family val="1"/>
      <charset val="1"/>
    </font>
    <font>
      <b/>
      <sz val="11"/>
      <color theme="1"/>
      <name val="Times New Roman"/>
      <family val="1"/>
      <charset val="1"/>
    </font>
    <font>
      <sz val="11"/>
      <color rgb="FF202122"/>
      <name val="Times New Roman"/>
      <family val="1"/>
    </font>
    <font>
      <sz val="11"/>
      <color rgb="FF000000"/>
      <name val="Bookman Old Style"/>
      <family val="1"/>
      <charset val="1"/>
    </font>
    <font>
      <sz val="10"/>
      <color rgb="FF000000"/>
      <name val="Times New Roman"/>
      <family val="1"/>
      <charset val="1"/>
    </font>
    <font>
      <b/>
      <sz val="12"/>
      <color rgb="FF000000"/>
      <name val="Times New Roman"/>
      <family val="1"/>
    </font>
    <font>
      <b/>
      <sz val="12"/>
      <color rgb="FF000000"/>
      <name val="Cambria"/>
      <family val="1"/>
    </font>
    <font>
      <sz val="11"/>
      <color rgb="FF000000"/>
      <name val="Cambria"/>
    </font>
    <font>
      <sz val="11"/>
      <color rgb="FF000000"/>
      <name val="Times New Roman"/>
    </font>
    <font>
      <sz val="10"/>
      <color rgb="FF000000"/>
      <name val="Cambria"/>
    </font>
    <font>
      <sz val="10"/>
      <color rgb="FF000000"/>
      <name val="Arial"/>
      <charset val="1"/>
    </font>
    <font>
      <sz val="11"/>
      <color rgb="FF000000"/>
      <name val="Times New Roman"/>
      <charset val="1"/>
    </font>
    <font>
      <sz val="11"/>
      <color rgb="FF000000"/>
      <name val="ti"/>
    </font>
    <font>
      <b/>
      <sz val="20"/>
      <color theme="1"/>
      <name val="Times New Roman"/>
    </font>
    <font>
      <sz val="12"/>
      <color theme="1"/>
      <name val="Calibri"/>
      <family val="2"/>
      <scheme val="minor"/>
    </font>
    <font>
      <b/>
      <sz val="12"/>
      <color theme="1"/>
      <name val="Calibri"/>
      <family val="2"/>
      <scheme val="minor"/>
    </font>
    <font>
      <sz val="11"/>
      <color rgb="FF000000"/>
      <name val="Arial"/>
    </font>
    <font>
      <sz val="10"/>
      <color rgb="FF000000"/>
      <name val="Arial"/>
    </font>
    <font>
      <sz val="11"/>
      <color theme="1"/>
      <name val="Calibri"/>
    </font>
    <font>
      <sz val="11"/>
      <color rgb="FF000000"/>
      <name val="Calibri"/>
    </font>
    <font>
      <b/>
      <sz val="11"/>
      <color rgb="FF000000"/>
      <name val="Times New Roman"/>
    </font>
    <font>
      <b/>
      <sz val="10"/>
      <color rgb="FF000000"/>
      <name val="Times New Roman"/>
    </font>
    <font>
      <sz val="11"/>
      <color theme="1"/>
      <name val="Times New Roman"/>
    </font>
    <font>
      <sz val="11"/>
      <color rgb="FF000000"/>
      <name val="Arial"/>
      <charset val="1"/>
    </font>
    <font>
      <sz val="11"/>
      <color theme="1"/>
      <name val="Times New Roman"/>
      <family val="1"/>
      <charset val="1"/>
    </font>
    <font>
      <b/>
      <sz val="12"/>
      <color theme="1"/>
      <name val="Times New Roman"/>
      <family val="1"/>
    </font>
    <font>
      <u/>
      <sz val="11"/>
      <color theme="10"/>
      <name val="Calibri"/>
      <family val="2"/>
      <scheme val="minor"/>
    </font>
    <font>
      <sz val="11"/>
      <name val="Calibri"/>
      <family val="2"/>
      <scheme val="minor"/>
    </font>
    <font>
      <b/>
      <sz val="11"/>
      <color theme="1"/>
      <name val="Calibri"/>
      <family val="2"/>
      <scheme val="minor"/>
    </font>
    <font>
      <sz val="11"/>
      <color rgb="FFFF0000"/>
      <name val="Cambria"/>
      <family val="1"/>
    </font>
  </fonts>
  <fills count="31">
    <fill>
      <patternFill patternType="none"/>
    </fill>
    <fill>
      <patternFill patternType="gray125"/>
    </fill>
    <fill>
      <patternFill patternType="solid">
        <fgColor rgb="FF92D050"/>
        <bgColor rgb="FF92D050"/>
      </patternFill>
    </fill>
    <fill>
      <patternFill patternType="solid">
        <fgColor rgb="FFFFFFFF"/>
        <bgColor indexed="64"/>
      </patternFill>
    </fill>
    <fill>
      <patternFill patternType="solid">
        <fgColor rgb="FFFFFFFF"/>
        <bgColor rgb="FFFFFFFF"/>
      </patternFill>
    </fill>
    <fill>
      <patternFill patternType="solid">
        <fgColor theme="8" tint="0.59999389629810485"/>
        <bgColor rgb="FF92D050"/>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2" tint="-0.89999084444715716"/>
        <bgColor indexed="64"/>
      </patternFill>
    </fill>
    <fill>
      <patternFill patternType="solid">
        <fgColor theme="2" tint="-0.249977111117893"/>
        <bgColor indexed="64"/>
      </patternFill>
    </fill>
    <fill>
      <patternFill patternType="solid">
        <fgColor rgb="FFFFC000"/>
        <bgColor indexed="64"/>
      </patternFill>
    </fill>
    <fill>
      <patternFill patternType="solid">
        <fgColor theme="9" tint="0.39997558519241921"/>
        <bgColor indexed="64"/>
      </patternFill>
    </fill>
    <fill>
      <patternFill patternType="solid">
        <fgColor theme="2"/>
        <bgColor indexed="64"/>
      </patternFill>
    </fill>
    <fill>
      <patternFill patternType="solid">
        <fgColor theme="4" tint="0.79998168889431442"/>
        <bgColor indexed="64"/>
      </patternFill>
    </fill>
    <fill>
      <patternFill patternType="solid">
        <fgColor rgb="FFFFFF00"/>
        <bgColor rgb="FF000000"/>
      </patternFill>
    </fill>
    <fill>
      <patternFill patternType="solid">
        <fgColor rgb="FFFFFF00"/>
        <bgColor rgb="FFFFFF00"/>
      </patternFill>
    </fill>
    <fill>
      <patternFill patternType="solid">
        <fgColor theme="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92D05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CCCCCC"/>
      </top>
      <bottom style="thin">
        <color rgb="FF000000"/>
      </bottom>
      <diagonal/>
    </border>
    <border>
      <left style="thin">
        <color rgb="FF000000"/>
      </left>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indexed="64"/>
      </left>
      <right/>
      <top/>
      <bottom style="thin">
        <color indexed="64"/>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style="thin">
        <color indexed="64"/>
      </left>
      <right/>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medium">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69" fillId="0" borderId="0" applyNumberFormat="0" applyFill="0" applyBorder="0" applyAlignment="0" applyProtection="0"/>
  </cellStyleXfs>
  <cellXfs count="685">
    <xf numFmtId="0" fontId="0" fillId="0" borderId="0" xfId="0"/>
    <xf numFmtId="0" fontId="0" fillId="0" borderId="1" xfId="0" applyBorder="1"/>
    <xf numFmtId="0" fontId="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15" fontId="4" fillId="0" borderId="1" xfId="0" applyNumberFormat="1" applyFont="1" applyBorder="1" applyAlignment="1">
      <alignment horizontal="center" vertical="center" wrapText="1"/>
    </xf>
    <xf numFmtId="0" fontId="4" fillId="0" borderId="1" xfId="0" applyFont="1" applyBorder="1"/>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15"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xf numFmtId="0" fontId="0" fillId="0" borderId="0" xfId="0" applyAlignment="1">
      <alignment horizontal="center" vertical="center"/>
    </xf>
    <xf numFmtId="0" fontId="0" fillId="11" borderId="0" xfId="0" applyFill="1"/>
    <xf numFmtId="0" fontId="0" fillId="15" borderId="0" xfId="0" applyFill="1"/>
    <xf numFmtId="0" fontId="2" fillId="11" borderId="3"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8" fillId="0" borderId="1" xfId="0" applyFont="1" applyBorder="1"/>
    <xf numFmtId="0" fontId="1" fillId="5"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xf>
    <xf numFmtId="0" fontId="2" fillId="6" borderId="1" xfId="0" applyFont="1" applyFill="1" applyBorder="1" applyAlignment="1">
      <alignment horizontal="center" vertical="center" wrapText="1"/>
    </xf>
    <xf numFmtId="1" fontId="4" fillId="17" borderId="1" xfId="0" applyNumberFormat="1" applyFont="1" applyFill="1" applyBorder="1" applyAlignment="1">
      <alignment horizontal="center" vertical="center" wrapText="1"/>
    </xf>
    <xf numFmtId="0" fontId="0" fillId="0" borderId="0" xfId="0" applyAlignment="1">
      <alignment vertical="center"/>
    </xf>
    <xf numFmtId="0" fontId="8" fillId="19" borderId="1" xfId="0" applyFont="1" applyFill="1" applyBorder="1"/>
    <xf numFmtId="0" fontId="8" fillId="0" borderId="1" xfId="0" applyFont="1" applyBorder="1" applyAlignment="1">
      <alignment horizontal="center"/>
    </xf>
    <xf numFmtId="0" fontId="8" fillId="9" borderId="1" xfId="0" applyFont="1" applyFill="1" applyBorder="1" applyAlignment="1">
      <alignment horizontal="center"/>
    </xf>
    <xf numFmtId="0" fontId="8" fillId="18" borderId="1" xfId="0" applyFont="1" applyFill="1" applyBorder="1" applyAlignment="1">
      <alignment horizontal="center"/>
    </xf>
    <xf numFmtId="0" fontId="11" fillId="0" borderId="1" xfId="0" applyFont="1" applyBorder="1" applyAlignment="1">
      <alignment horizontal="center" vertical="center" wrapText="1"/>
    </xf>
    <xf numFmtId="0" fontId="5" fillId="0" borderId="0" xfId="0" applyFont="1" applyAlignment="1">
      <alignment horizontal="center" vertical="center"/>
    </xf>
    <xf numFmtId="0" fontId="5" fillId="0" borderId="1" xfId="0" applyFont="1" applyBorder="1" applyAlignment="1">
      <alignment horizontal="center" vertical="center" readingOrder="1"/>
    </xf>
    <xf numFmtId="0" fontId="4" fillId="0" borderId="0" xfId="0" applyFont="1"/>
    <xf numFmtId="0" fontId="3" fillId="0" borderId="0" xfId="0" applyFont="1" applyAlignment="1">
      <alignment horizontal="center" vertical="center"/>
    </xf>
    <xf numFmtId="0" fontId="5" fillId="0" borderId="1" xfId="0" applyFont="1" applyBorder="1" applyAlignment="1">
      <alignment horizontal="center" vertical="center" wrapText="1" indent="1"/>
    </xf>
    <xf numFmtId="0" fontId="5" fillId="0" borderId="1" xfId="0" applyFont="1" applyBorder="1" applyAlignment="1">
      <alignment horizontal="center" vertical="center" indent="1"/>
    </xf>
    <xf numFmtId="0" fontId="7" fillId="0" borderId="1" xfId="0" applyFont="1" applyBorder="1" applyAlignment="1">
      <alignment horizontal="center" vertical="center" wrapText="1"/>
    </xf>
    <xf numFmtId="0" fontId="4" fillId="0" borderId="0" xfId="0" applyFont="1" applyAlignment="1">
      <alignment horizontal="center"/>
    </xf>
    <xf numFmtId="0" fontId="4" fillId="0" borderId="1" xfId="0" applyFont="1" applyBorder="1" applyAlignment="1">
      <alignment horizontal="center" vertical="center" readingOrder="1"/>
    </xf>
    <xf numFmtId="0" fontId="4" fillId="0" borderId="1" xfId="0" applyFont="1" applyBorder="1" applyAlignment="1">
      <alignment horizontal="center" vertical="center" indent="1"/>
    </xf>
    <xf numFmtId="0" fontId="4" fillId="0" borderId="0" xfId="0" applyFont="1" applyAlignment="1">
      <alignment horizontal="center" vertical="center"/>
    </xf>
    <xf numFmtId="0" fontId="4" fillId="0" borderId="1" xfId="0" applyFont="1" applyBorder="1" applyAlignment="1">
      <alignment horizontal="center" vertical="center" wrapText="1" readingOrder="1"/>
    </xf>
    <xf numFmtId="0" fontId="4" fillId="0" borderId="0" xfId="0" applyFont="1" applyAlignment="1">
      <alignment horizontal="center" vertical="center" wrapText="1"/>
    </xf>
    <xf numFmtId="4"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4" xfId="0" applyFont="1" applyBorder="1" applyAlignment="1">
      <alignment horizontal="center" vertical="center"/>
    </xf>
    <xf numFmtId="164" fontId="4" fillId="0" borderId="14" xfId="0" applyNumberFormat="1" applyFont="1" applyBorder="1" applyAlignment="1">
      <alignment horizontal="center" vertical="center"/>
    </xf>
    <xf numFmtId="0" fontId="4" fillId="0" borderId="10" xfId="0" applyFont="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1" xfId="0" applyFont="1" applyBorder="1" applyAlignment="1">
      <alignment horizontal="center" vertical="center" wrapText="1" indent="3"/>
    </xf>
    <xf numFmtId="0" fontId="4" fillId="0" borderId="5" xfId="0" applyFont="1" applyBorder="1" applyAlignment="1">
      <alignment horizontal="center" vertical="center" wrapText="1"/>
    </xf>
    <xf numFmtId="0" fontId="4" fillId="0" borderId="2" xfId="0" applyFont="1" applyBorder="1" applyAlignment="1">
      <alignment horizontal="center" vertical="center" wrapText="1"/>
    </xf>
    <xf numFmtId="0" fontId="5" fillId="0" borderId="1" xfId="0" applyFont="1" applyBorder="1" applyAlignment="1">
      <alignment horizontal="center" vertical="center" wrapText="1" indent="3" readingOrder="1"/>
    </xf>
    <xf numFmtId="0" fontId="5" fillId="0" borderId="2" xfId="0" applyFont="1" applyBorder="1" applyAlignment="1">
      <alignment horizontal="center" vertical="center" wrapText="1" indent="1"/>
    </xf>
    <xf numFmtId="0" fontId="5" fillId="0" borderId="1" xfId="0" applyFont="1" applyBorder="1" applyAlignment="1">
      <alignment horizontal="center" vertical="center" wrapText="1" indent="3"/>
    </xf>
    <xf numFmtId="0" fontId="4" fillId="0" borderId="16" xfId="0" applyFont="1" applyBorder="1" applyAlignment="1">
      <alignment horizontal="center" vertical="center" wrapText="1"/>
    </xf>
    <xf numFmtId="0" fontId="2" fillId="16" borderId="1" xfId="0" applyFont="1" applyFill="1" applyBorder="1" applyAlignment="1">
      <alignment horizontal="center" vertical="center" wrapText="1"/>
    </xf>
    <xf numFmtId="0" fontId="4" fillId="11" borderId="1" xfId="0" applyFont="1" applyFill="1" applyBorder="1" applyAlignment="1">
      <alignment horizontal="center" vertical="center"/>
    </xf>
    <xf numFmtId="0" fontId="9" fillId="0" borderId="0" xfId="0" applyFont="1" applyAlignment="1">
      <alignment horizontal="center" vertical="center" wrapText="1"/>
    </xf>
    <xf numFmtId="3" fontId="4" fillId="0" borderId="1" xfId="0" applyNumberFormat="1"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15" fontId="16" fillId="0" borderId="1" xfId="0" applyNumberFormat="1" applyFont="1" applyBorder="1" applyAlignment="1">
      <alignment horizontal="center" vertical="center" wrapText="1"/>
    </xf>
    <xf numFmtId="0" fontId="4" fillId="0" borderId="5" xfId="0" applyFont="1" applyBorder="1" applyAlignment="1">
      <alignment horizontal="center" vertical="center"/>
    </xf>
    <xf numFmtId="0" fontId="14" fillId="0" borderId="1" xfId="0" applyFont="1" applyBorder="1" applyAlignment="1">
      <alignment horizontal="center" vertical="center" wrapText="1"/>
    </xf>
    <xf numFmtId="0" fontId="4" fillId="0" borderId="14" xfId="0" applyFont="1" applyBorder="1" applyAlignment="1">
      <alignment horizontal="center" vertical="center" wrapText="1"/>
    </xf>
    <xf numFmtId="164" fontId="16" fillId="0" borderId="1" xfId="0" applyNumberFormat="1" applyFont="1" applyBorder="1" applyAlignment="1">
      <alignment horizontal="center" vertical="center" wrapText="1"/>
    </xf>
    <xf numFmtId="0" fontId="11" fillId="0" borderId="10" xfId="0" applyFont="1" applyBorder="1" applyAlignment="1">
      <alignment horizontal="center" vertical="center" wrapText="1"/>
    </xf>
    <xf numFmtId="0" fontId="16" fillId="0" borderId="5" xfId="0" applyFont="1" applyBorder="1" applyAlignment="1">
      <alignment horizontal="center" vertical="center"/>
    </xf>
    <xf numFmtId="0" fontId="11" fillId="0" borderId="11" xfId="0" applyFont="1" applyBorder="1" applyAlignment="1">
      <alignment horizontal="center" vertical="center" wrapText="1"/>
    </xf>
    <xf numFmtId="0" fontId="16" fillId="0" borderId="5" xfId="0" applyFont="1" applyBorder="1" applyAlignment="1">
      <alignment horizontal="center" vertical="center" wrapText="1"/>
    </xf>
    <xf numFmtId="164" fontId="16" fillId="0" borderId="1" xfId="0" applyNumberFormat="1" applyFont="1" applyBorder="1" applyAlignment="1">
      <alignment horizontal="center" vertical="center"/>
    </xf>
    <xf numFmtId="1" fontId="16" fillId="17" borderId="1" xfId="0" applyNumberFormat="1" applyFont="1" applyFill="1" applyBorder="1" applyAlignment="1">
      <alignment horizontal="center" vertical="center" wrapText="1"/>
    </xf>
    <xf numFmtId="0" fontId="16" fillId="0" borderId="16" xfId="0" applyFont="1" applyBorder="1" applyAlignment="1">
      <alignment horizontal="center" vertical="center"/>
    </xf>
    <xf numFmtId="0" fontId="19" fillId="0" borderId="2" xfId="0" applyFont="1" applyBorder="1" applyAlignment="1">
      <alignment horizontal="center" vertical="center" wrapText="1"/>
    </xf>
    <xf numFmtId="0" fontId="19" fillId="4" borderId="2" xfId="0" applyFont="1" applyFill="1" applyBorder="1" applyAlignment="1">
      <alignment horizontal="center" vertical="center" wrapText="1"/>
    </xf>
    <xf numFmtId="0" fontId="19" fillId="0" borderId="2" xfId="0" applyFont="1" applyBorder="1" applyAlignment="1">
      <alignment horizontal="left" vertical="center" wrapText="1" indent="1"/>
    </xf>
    <xf numFmtId="0" fontId="19" fillId="0" borderId="17" xfId="0" applyFont="1" applyBorder="1" applyAlignment="1">
      <alignment horizontal="left" vertical="center" wrapText="1" indent="1"/>
    </xf>
    <xf numFmtId="0" fontId="19" fillId="0" borderId="2" xfId="0" applyFont="1" applyBorder="1" applyAlignment="1">
      <alignment horizontal="left" vertical="center" wrapText="1" indent="2"/>
    </xf>
    <xf numFmtId="0" fontId="19" fillId="0" borderId="0" xfId="0" applyFont="1" applyAlignment="1">
      <alignment horizontal="center" vertical="center" wrapText="1"/>
    </xf>
    <xf numFmtId="0" fontId="18" fillId="0" borderId="0" xfId="0" applyFont="1" applyAlignment="1">
      <alignment horizontal="center" vertical="center" wrapText="1"/>
    </xf>
    <xf numFmtId="0" fontId="9" fillId="0" borderId="0" xfId="0" applyFont="1" applyAlignment="1">
      <alignment wrapText="1"/>
    </xf>
    <xf numFmtId="0" fontId="16" fillId="0" borderId="12" xfId="0" applyFont="1" applyBorder="1" applyAlignment="1">
      <alignment horizontal="center" vertical="center" wrapText="1"/>
    </xf>
    <xf numFmtId="0" fontId="16" fillId="4" borderId="12" xfId="0" applyFont="1" applyFill="1" applyBorder="1" applyAlignment="1">
      <alignment horizontal="center" vertical="center" wrapText="1"/>
    </xf>
    <xf numFmtId="167" fontId="16" fillId="0" borderId="12" xfId="0" applyNumberFormat="1" applyFont="1" applyBorder="1" applyAlignment="1">
      <alignment horizontal="left" vertical="center" wrapText="1" indent="1"/>
    </xf>
    <xf numFmtId="0" fontId="16" fillId="0" borderId="12" xfId="0" applyFont="1" applyBorder="1" applyAlignment="1">
      <alignment horizontal="left" vertical="center" wrapText="1" indent="1"/>
    </xf>
    <xf numFmtId="0" fontId="16" fillId="0" borderId="12" xfId="0" applyFont="1" applyBorder="1" applyAlignment="1">
      <alignment horizontal="left" vertical="center" wrapText="1" indent="2"/>
    </xf>
    <xf numFmtId="0" fontId="16" fillId="0" borderId="1" xfId="0" applyFont="1" applyBorder="1" applyAlignment="1">
      <alignment horizontal="left" vertical="center" wrapText="1" indent="1"/>
    </xf>
    <xf numFmtId="166" fontId="0" fillId="0" borderId="1" xfId="0" applyNumberFormat="1" applyBorder="1" applyAlignment="1">
      <alignment horizontal="center" wrapText="1"/>
    </xf>
    <xf numFmtId="0" fontId="0" fillId="0" borderId="0" xfId="0" applyAlignment="1">
      <alignment horizontal="center" vertical="center" wrapText="1"/>
    </xf>
    <xf numFmtId="0" fontId="0" fillId="0" borderId="0" xfId="0" applyAlignment="1">
      <alignment wrapText="1"/>
    </xf>
    <xf numFmtId="16" fontId="16" fillId="0" borderId="12" xfId="0" applyNumberFormat="1" applyFont="1" applyBorder="1" applyAlignment="1">
      <alignment horizontal="left" vertical="center" wrapText="1" indent="1"/>
    </xf>
    <xf numFmtId="15" fontId="16" fillId="0" borderId="1" xfId="0" applyNumberFormat="1" applyFont="1" applyBorder="1" applyAlignment="1">
      <alignment horizontal="left" vertical="center" wrapText="1" indent="1"/>
    </xf>
    <xf numFmtId="15" fontId="16" fillId="0" borderId="12" xfId="0" applyNumberFormat="1" applyFont="1" applyBorder="1" applyAlignment="1">
      <alignment horizontal="left" vertical="center" wrapText="1" indent="1"/>
    </xf>
    <xf numFmtId="0" fontId="16" fillId="11" borderId="12" xfId="0" applyFont="1" applyFill="1" applyBorder="1" applyAlignment="1">
      <alignment horizontal="center" vertical="center" wrapText="1"/>
    </xf>
    <xf numFmtId="0" fontId="0" fillId="0" borderId="0" xfId="0" applyAlignment="1">
      <alignment horizontal="left" wrapText="1" indent="2"/>
    </xf>
    <xf numFmtId="15" fontId="16" fillId="11" borderId="12" xfId="0" applyNumberFormat="1" applyFont="1" applyFill="1" applyBorder="1" applyAlignment="1">
      <alignment horizontal="left" vertical="center" wrapText="1" indent="1"/>
    </xf>
    <xf numFmtId="0" fontId="11" fillId="0" borderId="12" xfId="0" applyFont="1" applyBorder="1" applyAlignment="1">
      <alignment horizontal="left" vertical="center" wrapText="1" indent="2"/>
    </xf>
    <xf numFmtId="15" fontId="16" fillId="0" borderId="1" xfId="0" quotePrefix="1" applyNumberFormat="1" applyFont="1" applyBorder="1" applyAlignment="1">
      <alignment horizontal="left" vertical="center" wrapText="1" indent="1"/>
    </xf>
    <xf numFmtId="0" fontId="16" fillId="0" borderId="1" xfId="0" applyFont="1" applyBorder="1" applyAlignment="1">
      <alignment horizontal="left" vertical="center" wrapText="1" indent="2"/>
    </xf>
    <xf numFmtId="167" fontId="16" fillId="0" borderId="1" xfId="0" applyNumberFormat="1" applyFont="1" applyBorder="1" applyAlignment="1">
      <alignment horizontal="left" vertical="center" wrapText="1" indent="1"/>
    </xf>
    <xf numFmtId="0" fontId="11" fillId="4" borderId="12" xfId="0" applyFont="1" applyFill="1" applyBorder="1" applyAlignment="1">
      <alignment horizontal="center" vertical="center" wrapText="1"/>
    </xf>
    <xf numFmtId="0" fontId="16" fillId="0" borderId="12" xfId="0" quotePrefix="1" applyFont="1" applyBorder="1" applyAlignment="1">
      <alignment horizontal="left" vertical="center" wrapText="1" indent="1"/>
    </xf>
    <xf numFmtId="0" fontId="11" fillId="0" borderId="12" xfId="0" applyFont="1" applyBorder="1" applyAlignment="1">
      <alignment horizontal="center" vertical="center" wrapText="1"/>
    </xf>
    <xf numFmtId="168" fontId="16" fillId="0" borderId="12" xfId="0" applyNumberFormat="1" applyFont="1" applyBorder="1" applyAlignment="1">
      <alignment horizontal="left" vertical="center" wrapText="1" indent="1"/>
    </xf>
    <xf numFmtId="168" fontId="16" fillId="0" borderId="1" xfId="0" applyNumberFormat="1" applyFont="1" applyBorder="1" applyAlignment="1">
      <alignment horizontal="left" vertical="center" wrapText="1" indent="1"/>
    </xf>
    <xf numFmtId="15" fontId="16" fillId="0" borderId="12" xfId="0" quotePrefix="1" applyNumberFormat="1" applyFont="1" applyBorder="1" applyAlignment="1">
      <alignment horizontal="left" vertical="center" wrapText="1" indent="1"/>
    </xf>
    <xf numFmtId="166" fontId="9" fillId="0" borderId="1" xfId="0" applyNumberFormat="1" applyFont="1" applyBorder="1" applyAlignment="1">
      <alignment horizontal="center" wrapText="1"/>
    </xf>
    <xf numFmtId="0" fontId="16" fillId="0" borderId="1" xfId="0" quotePrefix="1" applyFont="1" applyBorder="1" applyAlignment="1">
      <alignment horizontal="left" vertical="center" wrapText="1" indent="1"/>
    </xf>
    <xf numFmtId="0" fontId="16" fillId="0" borderId="13" xfId="0" applyFont="1" applyBorder="1" applyAlignment="1">
      <alignment horizontal="left" vertical="center" wrapText="1" indent="2"/>
    </xf>
    <xf numFmtId="0" fontId="16" fillId="0" borderId="4" xfId="0" quotePrefix="1" applyFont="1" applyBorder="1" applyAlignment="1">
      <alignment horizontal="left" vertical="center" wrapText="1" indent="1"/>
    </xf>
    <xf numFmtId="15" fontId="16" fillId="0" borderId="2" xfId="0" applyNumberFormat="1" applyFont="1" applyBorder="1" applyAlignment="1">
      <alignment horizontal="left" vertical="center" wrapText="1" indent="1"/>
    </xf>
    <xf numFmtId="167" fontId="16" fillId="0" borderId="4" xfId="0" applyNumberFormat="1" applyFont="1" applyBorder="1" applyAlignment="1">
      <alignment horizontal="left" vertical="center" wrapText="1" indent="1"/>
    </xf>
    <xf numFmtId="167" fontId="16" fillId="0" borderId="2" xfId="0" applyNumberFormat="1" applyFont="1" applyBorder="1" applyAlignment="1">
      <alignment horizontal="left" vertical="center" wrapText="1" indent="1"/>
    </xf>
    <xf numFmtId="0" fontId="16" fillId="0" borderId="13" xfId="0" applyFont="1" applyBorder="1" applyAlignment="1">
      <alignment horizontal="left" vertical="center" wrapText="1" indent="1"/>
    </xf>
    <xf numFmtId="15" fontId="11" fillId="0" borderId="1" xfId="0" applyNumberFormat="1" applyFont="1" applyBorder="1" applyAlignment="1">
      <alignment horizontal="left" vertical="center" indent="2"/>
    </xf>
    <xf numFmtId="168" fontId="16" fillId="0" borderId="4" xfId="0" applyNumberFormat="1" applyFont="1" applyBorder="1" applyAlignment="1">
      <alignment horizontal="left" vertical="center" wrapText="1" indent="1"/>
    </xf>
    <xf numFmtId="0" fontId="16" fillId="0" borderId="2" xfId="0" quotePrefix="1" applyFont="1" applyBorder="1" applyAlignment="1">
      <alignment horizontal="left" vertical="center" wrapText="1" indent="1"/>
    </xf>
    <xf numFmtId="0" fontId="11" fillId="0" borderId="0" xfId="0" applyFont="1" applyAlignment="1">
      <alignment horizontal="left" vertical="center" indent="2"/>
    </xf>
    <xf numFmtId="0" fontId="16" fillId="0" borderId="13" xfId="0" applyFont="1" applyBorder="1" applyAlignment="1">
      <alignment horizontal="center" vertical="center" wrapText="1"/>
    </xf>
    <xf numFmtId="0" fontId="16" fillId="0" borderId="4" xfId="0" applyFont="1" applyBorder="1" applyAlignment="1">
      <alignment horizontal="center" vertical="center" wrapText="1"/>
    </xf>
    <xf numFmtId="0" fontId="11" fillId="0" borderId="1" xfId="0" applyFont="1" applyBorder="1" applyAlignment="1">
      <alignment horizontal="left" vertical="center" wrapText="1" indent="2"/>
    </xf>
    <xf numFmtId="15" fontId="16" fillId="0" borderId="2" xfId="0" quotePrefix="1" applyNumberFormat="1" applyFont="1" applyBorder="1" applyAlignment="1">
      <alignment horizontal="left" vertical="center" wrapText="1" indent="1"/>
    </xf>
    <xf numFmtId="167" fontId="16" fillId="0" borderId="13" xfId="0" applyNumberFormat="1" applyFont="1" applyBorder="1" applyAlignment="1">
      <alignment horizontal="left" vertical="center" wrapText="1" indent="1"/>
    </xf>
    <xf numFmtId="167" fontId="16" fillId="0" borderId="3" xfId="0" applyNumberFormat="1" applyFont="1" applyBorder="1" applyAlignment="1">
      <alignment horizontal="left" vertical="center" wrapText="1" indent="1"/>
    </xf>
    <xf numFmtId="0" fontId="16" fillId="0" borderId="3" xfId="0" applyFont="1" applyBorder="1" applyAlignment="1">
      <alignment horizontal="center" vertical="center" wrapText="1"/>
    </xf>
    <xf numFmtId="0" fontId="16" fillId="0" borderId="7" xfId="0" applyFont="1" applyBorder="1" applyAlignment="1">
      <alignment horizontal="center" vertical="center" wrapText="1"/>
    </xf>
    <xf numFmtId="0" fontId="11" fillId="0" borderId="1" xfId="0" quotePrefix="1" applyFont="1" applyBorder="1" applyAlignment="1">
      <alignment horizontal="left" vertical="center" wrapText="1" indent="1"/>
    </xf>
    <xf numFmtId="15" fontId="11" fillId="0" borderId="1" xfId="0" quotePrefix="1" applyNumberFormat="1" applyFont="1" applyBorder="1" applyAlignment="1">
      <alignment horizontal="left" vertical="center" wrapText="1" indent="1"/>
    </xf>
    <xf numFmtId="0" fontId="11" fillId="0" borderId="5" xfId="0" applyFont="1" applyBorder="1" applyAlignment="1">
      <alignment horizontal="center" vertical="center" wrapText="1"/>
    </xf>
    <xf numFmtId="15" fontId="16" fillId="0" borderId="14" xfId="0" applyNumberFormat="1" applyFont="1" applyBorder="1" applyAlignment="1">
      <alignment horizontal="left" vertical="center" wrapText="1" indent="1"/>
    </xf>
    <xf numFmtId="0" fontId="16" fillId="0" borderId="14" xfId="0" applyFont="1" applyBorder="1" applyAlignment="1">
      <alignment horizontal="center" vertical="center" wrapText="1"/>
    </xf>
    <xf numFmtId="0" fontId="16" fillId="0" borderId="6" xfId="0" applyFont="1" applyBorder="1" applyAlignment="1">
      <alignment horizontal="center" vertical="center" wrapText="1"/>
    </xf>
    <xf numFmtId="0" fontId="11" fillId="0" borderId="0" xfId="0" applyFont="1" applyAlignment="1">
      <alignment horizontal="left" wrapText="1" indent="2"/>
    </xf>
    <xf numFmtId="0" fontId="16" fillId="20" borderId="12" xfId="0" applyFont="1" applyFill="1" applyBorder="1" applyAlignment="1">
      <alignment horizontal="center" vertical="center" wrapText="1"/>
    </xf>
    <xf numFmtId="0" fontId="11" fillId="0" borderId="0" xfId="0" applyFont="1" applyAlignment="1">
      <alignment horizontal="left" vertical="center" wrapText="1" indent="2"/>
    </xf>
    <xf numFmtId="15" fontId="11" fillId="0" borderId="1" xfId="0" applyNumberFormat="1" applyFont="1" applyBorder="1" applyAlignment="1">
      <alignment horizontal="left" vertical="center" wrapText="1" indent="2"/>
    </xf>
    <xf numFmtId="15" fontId="16" fillId="0" borderId="2" xfId="0" applyNumberFormat="1" applyFont="1" applyBorder="1" applyAlignment="1">
      <alignment horizontal="center" vertical="center" wrapText="1"/>
    </xf>
    <xf numFmtId="167" fontId="11" fillId="0" borderId="12" xfId="0" applyNumberFormat="1" applyFont="1" applyBorder="1" applyAlignment="1">
      <alignment horizontal="left" vertical="center" wrapText="1" indent="1"/>
    </xf>
    <xf numFmtId="15" fontId="16" fillId="0" borderId="4" xfId="0" applyNumberFormat="1" applyFont="1" applyBorder="1" applyAlignment="1">
      <alignment horizontal="left" vertical="center" wrapText="1" indent="1"/>
    </xf>
    <xf numFmtId="0" fontId="11" fillId="0" borderId="1" xfId="0" applyFont="1" applyBorder="1" applyAlignment="1">
      <alignment horizontal="left" vertical="center" indent="2"/>
    </xf>
    <xf numFmtId="166" fontId="0" fillId="0" borderId="5" xfId="0" applyNumberFormat="1" applyBorder="1" applyAlignment="1">
      <alignment horizontal="center" wrapText="1"/>
    </xf>
    <xf numFmtId="0" fontId="0" fillId="21" borderId="1" xfId="0" applyFill="1" applyBorder="1" applyAlignment="1">
      <alignment horizontal="center" vertical="center" wrapText="1"/>
    </xf>
    <xf numFmtId="15" fontId="16" fillId="0" borderId="12" xfId="0" applyNumberFormat="1" applyFont="1" applyBorder="1" applyAlignment="1">
      <alignment horizontal="center" vertical="center" wrapText="1"/>
    </xf>
    <xf numFmtId="0" fontId="19" fillId="0" borderId="12" xfId="0" applyFont="1" applyBorder="1" applyAlignment="1">
      <alignment horizontal="left" vertical="center" wrapText="1" indent="1"/>
    </xf>
    <xf numFmtId="0" fontId="19" fillId="0" borderId="12" xfId="0" applyFont="1" applyBorder="1" applyAlignment="1">
      <alignment horizontal="left" vertical="center" wrapText="1" indent="2"/>
    </xf>
    <xf numFmtId="0" fontId="16" fillId="4" borderId="13"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16" fillId="0" borderId="2" xfId="0" applyFont="1" applyBorder="1" applyAlignment="1">
      <alignment horizontal="center" vertical="center" wrapText="1"/>
    </xf>
    <xf numFmtId="0" fontId="16" fillId="22" borderId="12" xfId="0" applyFont="1" applyFill="1" applyBorder="1" applyAlignment="1">
      <alignment horizontal="left" vertical="center" wrapText="1" indent="2"/>
    </xf>
    <xf numFmtId="0" fontId="16" fillId="4" borderId="14" xfId="0" applyFont="1" applyFill="1" applyBorder="1" applyAlignment="1">
      <alignment horizontal="center" vertical="center" wrapText="1"/>
    </xf>
    <xf numFmtId="0" fontId="11" fillId="0" borderId="1" xfId="0" applyFont="1" applyBorder="1" applyAlignment="1">
      <alignment horizontal="left" wrapText="1" indent="2"/>
    </xf>
    <xf numFmtId="0" fontId="16" fillId="0" borderId="4" xfId="0" applyFont="1" applyBorder="1" applyAlignment="1">
      <alignment horizontal="left" vertical="center" wrapText="1" indent="1"/>
    </xf>
    <xf numFmtId="0" fontId="16" fillId="0" borderId="2" xfId="0" applyFont="1" applyBorder="1" applyAlignment="1">
      <alignment horizontal="left" vertical="center" wrapText="1" indent="1"/>
    </xf>
    <xf numFmtId="15" fontId="16" fillId="0" borderId="0" xfId="0" applyNumberFormat="1" applyFont="1" applyAlignment="1">
      <alignment horizontal="left" vertical="center" wrapText="1" indent="1"/>
    </xf>
    <xf numFmtId="0" fontId="11" fillId="0" borderId="1" xfId="0" applyFont="1" applyBorder="1" applyAlignment="1">
      <alignment horizontal="left" indent="2"/>
    </xf>
    <xf numFmtId="0" fontId="16" fillId="0" borderId="14" xfId="0" applyFont="1" applyBorder="1" applyAlignment="1">
      <alignment horizontal="left" vertical="center" wrapText="1" indent="2"/>
    </xf>
    <xf numFmtId="15" fontId="16" fillId="0" borderId="13" xfId="0" applyNumberFormat="1" applyFont="1" applyBorder="1" applyAlignment="1">
      <alignment horizontal="left" vertical="center" wrapText="1" indent="1"/>
    </xf>
    <xf numFmtId="0" fontId="16" fillId="0" borderId="3" xfId="0" applyFont="1" applyBorder="1" applyAlignment="1">
      <alignment horizontal="left" vertical="center" wrapText="1" indent="1"/>
    </xf>
    <xf numFmtId="0" fontId="16" fillId="0" borderId="14" xfId="0" applyFont="1" applyBorder="1" applyAlignment="1">
      <alignment horizontal="left" vertical="center" wrapText="1" indent="1"/>
    </xf>
    <xf numFmtId="0" fontId="16" fillId="0" borderId="18" xfId="0" applyFont="1" applyBorder="1" applyAlignment="1">
      <alignment horizontal="left" vertical="center" wrapText="1" indent="1"/>
    </xf>
    <xf numFmtId="17" fontId="16" fillId="0" borderId="1" xfId="0" applyNumberFormat="1" applyFont="1" applyBorder="1" applyAlignment="1">
      <alignment horizontal="center" vertical="center" wrapText="1"/>
    </xf>
    <xf numFmtId="15" fontId="20" fillId="0" borderId="1" xfId="0" applyNumberFormat="1" applyFont="1" applyBorder="1" applyAlignment="1">
      <alignment horizontal="left" vertical="center" wrapText="1" indent="1"/>
    </xf>
    <xf numFmtId="0" fontId="16" fillId="0" borderId="1" xfId="0" applyFont="1" applyBorder="1" applyAlignment="1">
      <alignment horizontal="left" wrapText="1" indent="2"/>
    </xf>
    <xf numFmtId="0" fontId="11" fillId="0" borderId="14" xfId="0" applyFont="1" applyBorder="1" applyAlignment="1">
      <alignment horizontal="left" wrapText="1" indent="2"/>
    </xf>
    <xf numFmtId="0" fontId="21" fillId="0" borderId="1" xfId="0" applyFont="1" applyBorder="1" applyAlignment="1">
      <alignment horizontal="left" indent="2"/>
    </xf>
    <xf numFmtId="0" fontId="17" fillId="0" borderId="0" xfId="0" applyFont="1" applyAlignment="1">
      <alignment horizontal="left" indent="2"/>
    </xf>
    <xf numFmtId="0" fontId="0" fillId="22" borderId="0" xfId="0" applyFill="1" applyAlignment="1">
      <alignment horizontal="left" wrapText="1" indent="2"/>
    </xf>
    <xf numFmtId="0" fontId="16" fillId="0" borderId="0" xfId="0" applyFont="1" applyAlignment="1">
      <alignment horizontal="left" vertical="center" wrapText="1" indent="2"/>
    </xf>
    <xf numFmtId="15" fontId="0" fillId="0" borderId="0" xfId="0" applyNumberFormat="1" applyAlignment="1">
      <alignment horizontal="left" wrapText="1" indent="1"/>
    </xf>
    <xf numFmtId="15" fontId="16" fillId="0" borderId="3" xfId="0" applyNumberFormat="1" applyFont="1" applyBorder="1" applyAlignment="1">
      <alignment horizontal="left" vertical="center" wrapText="1" indent="1"/>
    </xf>
    <xf numFmtId="0" fontId="16" fillId="22" borderId="12" xfId="0" applyFont="1" applyFill="1" applyBorder="1" applyAlignment="1">
      <alignment horizontal="center" vertical="center" wrapText="1"/>
    </xf>
    <xf numFmtId="15" fontId="16" fillId="22" borderId="12" xfId="0" applyNumberFormat="1" applyFont="1" applyFill="1" applyBorder="1" applyAlignment="1">
      <alignment horizontal="left" vertical="center" wrapText="1" indent="1"/>
    </xf>
    <xf numFmtId="15" fontId="16" fillId="0" borderId="12" xfId="0" applyNumberFormat="1" applyFont="1" applyBorder="1" applyAlignment="1">
      <alignment horizontal="left" vertical="center" wrapText="1" indent="2"/>
    </xf>
    <xf numFmtId="15" fontId="16" fillId="0" borderId="1" xfId="0" applyNumberFormat="1" applyFont="1" applyBorder="1" applyAlignment="1">
      <alignment horizontal="left" vertical="center" wrapText="1" indent="2"/>
    </xf>
    <xf numFmtId="0" fontId="16" fillId="0" borderId="12" xfId="0" applyFont="1" applyBorder="1" applyAlignment="1">
      <alignment horizontal="left" vertical="center" wrapText="1" indent="3"/>
    </xf>
    <xf numFmtId="15" fontId="16" fillId="0" borderId="4" xfId="0" applyNumberFormat="1" applyFont="1" applyBorder="1" applyAlignment="1">
      <alignment horizontal="left" vertical="center" wrapText="1" indent="2"/>
    </xf>
    <xf numFmtId="0" fontId="11" fillId="0" borderId="1" xfId="0" applyFont="1" applyBorder="1" applyAlignment="1">
      <alignment horizontal="left" vertical="center" indent="3"/>
    </xf>
    <xf numFmtId="15" fontId="16" fillId="0" borderId="2" xfId="0" applyNumberFormat="1" applyFont="1" applyBorder="1" applyAlignment="1">
      <alignment horizontal="left" vertical="center" wrapText="1" indent="2"/>
    </xf>
    <xf numFmtId="0" fontId="16" fillId="0" borderId="2" xfId="0" applyFont="1" applyBorder="1" applyAlignment="1">
      <alignment horizontal="left" vertical="center" wrapText="1" indent="2"/>
    </xf>
    <xf numFmtId="0" fontId="16" fillId="0" borderId="1" xfId="0" applyFont="1" applyBorder="1" applyAlignment="1">
      <alignment horizontal="left" vertical="center" wrapText="1" indent="3"/>
    </xf>
    <xf numFmtId="0" fontId="16" fillId="0" borderId="4" xfId="0" applyFont="1" applyBorder="1" applyAlignment="1">
      <alignment horizontal="left" vertical="center" wrapText="1" indent="2"/>
    </xf>
    <xf numFmtId="0" fontId="22" fillId="0" borderId="12" xfId="0" applyFont="1" applyBorder="1" applyAlignment="1">
      <alignment horizontal="left" vertical="center" wrapText="1" indent="3"/>
    </xf>
    <xf numFmtId="0" fontId="23" fillId="0" borderId="0" xfId="0" applyFont="1" applyAlignment="1">
      <alignment horizontal="left" indent="3"/>
    </xf>
    <xf numFmtId="167" fontId="16" fillId="0" borderId="12" xfId="0" applyNumberFormat="1" applyFont="1" applyBorder="1" applyAlignment="1">
      <alignment horizontal="left" vertical="center" wrapText="1" indent="2"/>
    </xf>
    <xf numFmtId="0" fontId="17" fillId="0" borderId="1" xfId="0" applyFont="1" applyBorder="1" applyAlignment="1">
      <alignment horizontal="left" indent="3"/>
    </xf>
    <xf numFmtId="0" fontId="16" fillId="0" borderId="3" xfId="0" applyFont="1" applyBorder="1" applyAlignment="1">
      <alignment horizontal="left" vertical="center" wrapText="1" indent="2"/>
    </xf>
    <xf numFmtId="167" fontId="16" fillId="0" borderId="4" xfId="0" applyNumberFormat="1" applyFont="1" applyBorder="1" applyAlignment="1">
      <alignment horizontal="left" vertical="center" wrapText="1" indent="2"/>
    </xf>
    <xf numFmtId="0" fontId="17" fillId="0" borderId="0" xfId="0" applyFont="1" applyAlignment="1">
      <alignment horizontal="left" indent="3"/>
    </xf>
    <xf numFmtId="0" fontId="16" fillId="0" borderId="3" xfId="0" applyFont="1" applyBorder="1" applyAlignment="1">
      <alignment horizontal="left" vertical="center" wrapText="1" indent="3"/>
    </xf>
    <xf numFmtId="15" fontId="16" fillId="0" borderId="7" xfId="0" applyNumberFormat="1" applyFont="1" applyBorder="1" applyAlignment="1">
      <alignment horizontal="left" vertical="center" wrapText="1" indent="2"/>
    </xf>
    <xf numFmtId="15" fontId="16" fillId="0" borderId="15" xfId="0" applyNumberFormat="1" applyFont="1" applyBorder="1" applyAlignment="1">
      <alignment horizontal="left" vertical="center" wrapText="1" indent="2"/>
    </xf>
    <xf numFmtId="15" fontId="16" fillId="0" borderId="5" xfId="0" applyNumberFormat="1" applyFont="1" applyBorder="1" applyAlignment="1">
      <alignment horizontal="left" vertical="center" wrapText="1" indent="2"/>
    </xf>
    <xf numFmtId="16" fontId="16" fillId="0" borderId="19" xfId="0" applyNumberFormat="1" applyFont="1" applyBorder="1" applyAlignment="1">
      <alignment horizontal="left" vertical="center" wrapText="1" indent="2"/>
    </xf>
    <xf numFmtId="15" fontId="16" fillId="0" borderId="13" xfId="0" applyNumberFormat="1" applyFont="1" applyBorder="1" applyAlignment="1">
      <alignment horizontal="left" vertical="center" wrapText="1" indent="2"/>
    </xf>
    <xf numFmtId="15" fontId="16" fillId="0" borderId="0" xfId="0" applyNumberFormat="1" applyFont="1" applyAlignment="1">
      <alignment horizontal="left" vertical="center" wrapText="1" indent="2"/>
    </xf>
    <xf numFmtId="0" fontId="16" fillId="0" borderId="15" xfId="0" applyFont="1" applyBorder="1" applyAlignment="1">
      <alignment horizontal="left" vertical="center" wrapText="1" indent="1"/>
    </xf>
    <xf numFmtId="0" fontId="11" fillId="3" borderId="1" xfId="0" applyFont="1" applyFill="1" applyBorder="1" applyAlignment="1">
      <alignment horizontal="left" wrapText="1" indent="3"/>
    </xf>
    <xf numFmtId="15" fontId="16" fillId="0" borderId="6" xfId="0" applyNumberFormat="1" applyFont="1" applyBorder="1" applyAlignment="1">
      <alignment horizontal="left" vertical="center" wrapText="1" indent="2"/>
    </xf>
    <xf numFmtId="0" fontId="0" fillId="0" borderId="1" xfId="0" applyBorder="1" applyAlignment="1">
      <alignment horizontal="left" wrapText="1" indent="3"/>
    </xf>
    <xf numFmtId="15" fontId="16" fillId="0" borderId="4" xfId="0" applyNumberFormat="1" applyFont="1" applyBorder="1" applyAlignment="1">
      <alignment horizontal="left" vertical="center" wrapText="1" indent="4"/>
    </xf>
    <xf numFmtId="15" fontId="16" fillId="0" borderId="5" xfId="0" applyNumberFormat="1" applyFont="1" applyBorder="1" applyAlignment="1">
      <alignment horizontal="left" vertical="center" wrapText="1" indent="4"/>
    </xf>
    <xf numFmtId="15" fontId="16" fillId="0" borderId="2" xfId="0" applyNumberFormat="1" applyFont="1" applyBorder="1" applyAlignment="1">
      <alignment horizontal="left" vertical="center" wrapText="1" indent="4"/>
    </xf>
    <xf numFmtId="0" fontId="16" fillId="0" borderId="2" xfId="0" applyFont="1" applyBorder="1" applyAlignment="1">
      <alignment horizontal="left" vertical="center" wrapText="1" indent="3"/>
    </xf>
    <xf numFmtId="0" fontId="16" fillId="0" borderId="1" xfId="0" applyFont="1" applyBorder="1" applyAlignment="1">
      <alignment horizontal="left" vertical="center" wrapText="1" indent="5"/>
    </xf>
    <xf numFmtId="0" fontId="10" fillId="0" borderId="1" xfId="0" applyFont="1" applyBorder="1" applyAlignment="1">
      <alignment horizontal="left" wrapText="1" indent="5"/>
    </xf>
    <xf numFmtId="0" fontId="15" fillId="0" borderId="1" xfId="0" applyFont="1" applyBorder="1" applyAlignment="1">
      <alignment horizontal="left" indent="5"/>
    </xf>
    <xf numFmtId="0" fontId="17" fillId="0" borderId="1" xfId="0" applyFont="1" applyBorder="1" applyAlignment="1">
      <alignment horizontal="left" wrapText="1" indent="5"/>
    </xf>
    <xf numFmtId="15" fontId="16" fillId="0" borderId="12" xfId="0" applyNumberFormat="1" applyFont="1" applyBorder="1" applyAlignment="1">
      <alignment horizontal="left" vertical="center" wrapText="1" indent="4"/>
    </xf>
    <xf numFmtId="15" fontId="16" fillId="0" borderId="1" xfId="0" applyNumberFormat="1" applyFont="1" applyBorder="1" applyAlignment="1">
      <alignment horizontal="left" vertical="center" wrapText="1" indent="3"/>
    </xf>
    <xf numFmtId="15" fontId="16" fillId="0" borderId="12" xfId="0" applyNumberFormat="1" applyFont="1" applyBorder="1" applyAlignment="1">
      <alignment horizontal="left" vertical="center" wrapText="1" indent="3"/>
    </xf>
    <xf numFmtId="0" fontId="11" fillId="0" borderId="0" xfId="0" applyFont="1" applyAlignment="1">
      <alignment horizontal="left" vertical="center" indent="3"/>
    </xf>
    <xf numFmtId="0" fontId="11" fillId="0" borderId="1" xfId="0" applyFont="1" applyBorder="1" applyAlignment="1">
      <alignment horizontal="left" indent="3"/>
    </xf>
    <xf numFmtId="0" fontId="16" fillId="0" borderId="13" xfId="0" applyFont="1" applyBorder="1" applyAlignment="1">
      <alignment horizontal="left" vertical="center" wrapText="1" indent="3"/>
    </xf>
    <xf numFmtId="15" fontId="16" fillId="0" borderId="3" xfId="0" applyNumberFormat="1" applyFont="1" applyBorder="1" applyAlignment="1">
      <alignment horizontal="left" vertical="center" wrapText="1" indent="2"/>
    </xf>
    <xf numFmtId="166" fontId="0" fillId="0" borderId="3" xfId="0" applyNumberFormat="1" applyBorder="1" applyAlignment="1">
      <alignment horizontal="center" wrapText="1"/>
    </xf>
    <xf numFmtId="166" fontId="0" fillId="0" borderId="14" xfId="0" applyNumberFormat="1" applyBorder="1" applyAlignment="1">
      <alignment horizontal="center" wrapText="1"/>
    </xf>
    <xf numFmtId="15" fontId="16" fillId="11" borderId="12" xfId="0" applyNumberFormat="1" applyFont="1" applyFill="1" applyBorder="1" applyAlignment="1">
      <alignment horizontal="left" vertical="center" wrapText="1" indent="2"/>
    </xf>
    <xf numFmtId="0" fontId="16" fillId="11" borderId="12" xfId="0" applyFont="1" applyFill="1" applyBorder="1" applyAlignment="1">
      <alignment horizontal="left" vertical="center" wrapText="1" indent="3"/>
    </xf>
    <xf numFmtId="15" fontId="16" fillId="11" borderId="1" xfId="0" applyNumberFormat="1" applyFont="1" applyFill="1" applyBorder="1" applyAlignment="1">
      <alignment horizontal="left" vertical="center" wrapText="1" indent="2"/>
    </xf>
    <xf numFmtId="0" fontId="16" fillId="11" borderId="1" xfId="0" applyFont="1" applyFill="1" applyBorder="1" applyAlignment="1">
      <alignment horizontal="left" vertical="center" wrapText="1" indent="1"/>
    </xf>
    <xf numFmtId="0" fontId="16" fillId="11" borderId="1" xfId="0" applyFont="1" applyFill="1" applyBorder="1" applyAlignment="1">
      <alignment horizontal="center" vertical="center" wrapText="1"/>
    </xf>
    <xf numFmtId="0" fontId="16" fillId="11" borderId="5" xfId="0" applyFont="1" applyFill="1" applyBorder="1" applyAlignment="1">
      <alignment horizontal="center" vertical="center" wrapText="1"/>
    </xf>
    <xf numFmtId="166" fontId="0" fillId="11" borderId="1" xfId="0" applyNumberFormat="1" applyFill="1" applyBorder="1" applyAlignment="1">
      <alignment horizontal="center" wrapText="1"/>
    </xf>
    <xf numFmtId="0" fontId="0" fillId="11" borderId="0" xfId="0" applyFill="1" applyAlignment="1">
      <alignment horizontal="center" vertical="center" wrapText="1"/>
    </xf>
    <xf numFmtId="0" fontId="0" fillId="11" borderId="0" xfId="0" applyFill="1" applyAlignment="1">
      <alignment wrapText="1"/>
    </xf>
    <xf numFmtId="0" fontId="4" fillId="11" borderId="1" xfId="0" applyFont="1" applyFill="1" applyBorder="1" applyAlignment="1">
      <alignment horizontal="center" vertical="center" wrapText="1"/>
    </xf>
    <xf numFmtId="0" fontId="2" fillId="10" borderId="3" xfId="0" applyFont="1" applyFill="1" applyBorder="1" applyAlignment="1">
      <alignment horizontal="center" vertical="center" wrapText="1" indent="2"/>
    </xf>
    <xf numFmtId="0" fontId="4" fillId="0" borderId="1" xfId="0" applyFont="1" applyBorder="1" applyAlignment="1">
      <alignment horizontal="center" vertical="center" indent="2"/>
    </xf>
    <xf numFmtId="164" fontId="4" fillId="0" borderId="1" xfId="0" applyNumberFormat="1" applyFont="1" applyBorder="1" applyAlignment="1">
      <alignment horizontal="center" vertical="center" indent="2"/>
    </xf>
    <xf numFmtId="0" fontId="4" fillId="0" borderId="3" xfId="0" applyFont="1" applyBorder="1" applyAlignment="1">
      <alignment horizontal="center" vertical="center" indent="2"/>
    </xf>
    <xf numFmtId="164" fontId="4" fillId="0" borderId="2" xfId="0" applyNumberFormat="1" applyFont="1" applyBorder="1" applyAlignment="1">
      <alignment horizontal="center" vertical="center" indent="2"/>
    </xf>
    <xf numFmtId="0" fontId="4" fillId="0" borderId="14" xfId="0" applyFont="1" applyBorder="1" applyAlignment="1">
      <alignment horizontal="center" vertical="center" indent="2"/>
    </xf>
    <xf numFmtId="0" fontId="4" fillId="0" borderId="7" xfId="0" applyFont="1" applyBorder="1" applyAlignment="1">
      <alignment horizontal="center" vertical="center" wrapText="1"/>
    </xf>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indent="1" readingOrder="1"/>
    </xf>
    <xf numFmtId="0" fontId="4" fillId="0" borderId="8" xfId="0" applyFont="1" applyBorder="1" applyAlignment="1">
      <alignment horizontal="center" vertical="center" indent="1" readingOrder="1"/>
    </xf>
    <xf numFmtId="0" fontId="5" fillId="0" borderId="11" xfId="0" applyFont="1" applyBorder="1" applyAlignment="1">
      <alignment horizontal="center" vertical="center"/>
    </xf>
    <xf numFmtId="164" fontId="4" fillId="0" borderId="9" xfId="0" applyNumberFormat="1" applyFont="1" applyBorder="1" applyAlignment="1">
      <alignment horizontal="center" vertical="center" readingOrder="1"/>
    </xf>
    <xf numFmtId="164" fontId="4" fillId="0" borderId="2"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5" fillId="3" borderId="0" xfId="0" applyFont="1" applyFill="1" applyAlignment="1">
      <alignment horizontal="center" vertical="center" wrapText="1"/>
    </xf>
    <xf numFmtId="0" fontId="4" fillId="0" borderId="1" xfId="0" applyFont="1" applyBorder="1" applyAlignment="1">
      <alignment horizontal="left" vertical="center" wrapText="1"/>
    </xf>
    <xf numFmtId="0" fontId="5" fillId="23" borderId="1" xfId="0" applyFont="1" applyFill="1" applyBorder="1" applyAlignment="1">
      <alignment horizontal="center" vertical="center"/>
    </xf>
    <xf numFmtId="0" fontId="4" fillId="0" borderId="0" xfId="0" applyFont="1" applyAlignment="1">
      <alignment horizontal="left" vertical="top"/>
    </xf>
    <xf numFmtId="4" fontId="4" fillId="0" borderId="0" xfId="0" applyNumberFormat="1" applyFont="1" applyAlignment="1">
      <alignment horizontal="center" vertical="center"/>
    </xf>
    <xf numFmtId="0" fontId="4" fillId="23" borderId="1" xfId="0" applyFont="1" applyFill="1" applyBorder="1" applyAlignment="1">
      <alignment horizontal="center" vertical="center"/>
    </xf>
    <xf numFmtId="0" fontId="4" fillId="11" borderId="0" xfId="0" applyFont="1" applyFill="1" applyAlignment="1">
      <alignment horizontal="center" vertical="center"/>
    </xf>
    <xf numFmtId="0" fontId="5" fillId="0" borderId="14" xfId="0" applyFont="1" applyBorder="1" applyAlignment="1">
      <alignment horizontal="center" vertical="center"/>
    </xf>
    <xf numFmtId="1" fontId="4" fillId="17" borderId="14" xfId="0" applyNumberFormat="1" applyFont="1" applyFill="1" applyBorder="1" applyAlignment="1">
      <alignment horizontal="center" vertical="center" wrapText="1"/>
    </xf>
    <xf numFmtId="0" fontId="33" fillId="0" borderId="1" xfId="0" applyFont="1" applyBorder="1"/>
    <xf numFmtId="0" fontId="33" fillId="0" borderId="0" xfId="0" applyFont="1"/>
    <xf numFmtId="0" fontId="0" fillId="0" borderId="0" xfId="0" applyAlignment="1">
      <alignment horizontal="center"/>
    </xf>
    <xf numFmtId="0" fontId="31" fillId="0" borderId="1" xfId="0" applyFont="1" applyBorder="1" applyAlignment="1">
      <alignment horizontal="center" vertical="center" indent="1"/>
    </xf>
    <xf numFmtId="0" fontId="31" fillId="0" borderId="1" xfId="0" applyFont="1" applyBorder="1" applyAlignment="1">
      <alignment horizontal="center" vertical="center" indent="1" readingOrder="1"/>
    </xf>
    <xf numFmtId="0" fontId="31" fillId="0" borderId="8" xfId="0" applyFont="1" applyBorder="1" applyAlignment="1">
      <alignment horizontal="center" vertical="center" indent="1" readingOrder="1"/>
    </xf>
    <xf numFmtId="0" fontId="31" fillId="0" borderId="11" xfId="0" applyFont="1" applyBorder="1" applyAlignment="1">
      <alignment horizontal="center" vertical="center"/>
    </xf>
    <xf numFmtId="164" fontId="31" fillId="0" borderId="9" xfId="0" applyNumberFormat="1" applyFont="1" applyBorder="1" applyAlignment="1">
      <alignment horizontal="center" vertical="center" readingOrder="1"/>
    </xf>
    <xf numFmtId="0" fontId="31" fillId="0" borderId="1" xfId="0" applyFont="1" applyBorder="1" applyAlignment="1">
      <alignment horizontal="center" vertical="center"/>
    </xf>
    <xf numFmtId="164" fontId="31" fillId="0" borderId="1" xfId="0" applyNumberFormat="1" applyFont="1" applyBorder="1" applyAlignment="1">
      <alignment horizontal="center" vertical="center" indent="2"/>
    </xf>
    <xf numFmtId="0" fontId="31" fillId="0" borderId="5" xfId="0" applyFont="1" applyBorder="1" applyAlignment="1">
      <alignment horizontal="center" vertical="center"/>
    </xf>
    <xf numFmtId="0" fontId="4" fillId="0" borderId="1" xfId="0" applyFont="1" applyBorder="1" applyAlignment="1">
      <alignment horizontal="left" vertical="top"/>
    </xf>
    <xf numFmtId="10" fontId="4" fillId="17" borderId="1" xfId="0" applyNumberFormat="1" applyFont="1" applyFill="1" applyBorder="1" applyAlignment="1">
      <alignment horizontal="center" vertical="center"/>
    </xf>
    <xf numFmtId="0" fontId="4" fillId="0" borderId="1" xfId="0" applyFont="1" applyBorder="1" applyAlignment="1">
      <alignment horizontal="left" vertical="top" wrapText="1"/>
    </xf>
    <xf numFmtId="0" fontId="4" fillId="21" borderId="1" xfId="0" applyFont="1" applyFill="1" applyBorder="1" applyAlignment="1">
      <alignment horizontal="center" vertical="center"/>
    </xf>
    <xf numFmtId="0" fontId="4" fillId="22" borderId="1" xfId="0" applyFont="1" applyFill="1" applyBorder="1" applyAlignment="1">
      <alignment horizontal="center" vertical="center"/>
    </xf>
    <xf numFmtId="0" fontId="27" fillId="0" borderId="1" xfId="0" applyFont="1" applyBorder="1" applyAlignment="1">
      <alignment horizontal="center" vertical="center"/>
    </xf>
    <xf numFmtId="4" fontId="4" fillId="0" borderId="1" xfId="0" applyNumberFormat="1" applyFont="1" applyBorder="1" applyAlignment="1">
      <alignment horizontal="center" vertical="center" wrapText="1"/>
    </xf>
    <xf numFmtId="0" fontId="28" fillId="23" borderId="1" xfId="0" applyFont="1" applyFill="1" applyBorder="1" applyAlignment="1">
      <alignment horizontal="center" vertical="center"/>
    </xf>
    <xf numFmtId="0" fontId="28" fillId="0" borderId="1" xfId="0" applyFont="1" applyBorder="1" applyAlignment="1">
      <alignment horizontal="center" vertical="center"/>
    </xf>
    <xf numFmtId="0" fontId="32" fillId="0" borderId="1" xfId="0" applyFont="1" applyBorder="1"/>
    <xf numFmtId="0" fontId="34" fillId="0" borderId="1" xfId="0" applyFont="1" applyBorder="1"/>
    <xf numFmtId="0" fontId="37" fillId="0" borderId="1" xfId="0" applyFont="1" applyBorder="1" applyAlignment="1">
      <alignment horizontal="center" vertical="center" wrapText="1"/>
    </xf>
    <xf numFmtId="0" fontId="17" fillId="0" borderId="1" xfId="0" applyFont="1" applyBorder="1"/>
    <xf numFmtId="0" fontId="0" fillId="0" borderId="1" xfId="0" applyBorder="1" applyAlignment="1">
      <alignment wrapText="1"/>
    </xf>
    <xf numFmtId="0" fontId="4" fillId="22" borderId="1" xfId="0" applyFont="1" applyFill="1" applyBorder="1" applyAlignment="1">
      <alignment horizontal="center" vertical="center" wrapText="1"/>
    </xf>
    <xf numFmtId="0" fontId="5" fillId="22" borderId="1" xfId="0" applyFont="1" applyFill="1" applyBorder="1" applyAlignment="1">
      <alignment horizontal="center" vertical="center"/>
    </xf>
    <xf numFmtId="4" fontId="4" fillId="22" borderId="1" xfId="0" applyNumberFormat="1" applyFont="1" applyFill="1" applyBorder="1" applyAlignment="1">
      <alignment horizontal="center" vertical="center"/>
    </xf>
    <xf numFmtId="164" fontId="4" fillId="22" borderId="1" xfId="0" applyNumberFormat="1" applyFont="1" applyFill="1" applyBorder="1" applyAlignment="1">
      <alignment horizontal="center" vertical="center"/>
    </xf>
    <xf numFmtId="1" fontId="4" fillId="22" borderId="1" xfId="0" applyNumberFormat="1" applyFont="1" applyFill="1" applyBorder="1" applyAlignment="1">
      <alignment horizontal="center" vertical="center" wrapText="1"/>
    </xf>
    <xf numFmtId="0" fontId="4" fillId="22" borderId="0" xfId="0" applyFont="1" applyFill="1" applyAlignment="1">
      <alignment horizontal="center" vertical="center"/>
    </xf>
    <xf numFmtId="0" fontId="5" fillId="0" borderId="0" xfId="0" applyFont="1" applyAlignment="1">
      <alignment horizontal="center" vertical="center" readingOrder="1"/>
    </xf>
    <xf numFmtId="164" fontId="4" fillId="0" borderId="0" xfId="0" applyNumberFormat="1" applyFont="1" applyAlignment="1">
      <alignment horizontal="center" vertical="center"/>
    </xf>
    <xf numFmtId="1" fontId="4" fillId="17" borderId="0" xfId="0" applyNumberFormat="1" applyFont="1" applyFill="1" applyAlignment="1">
      <alignment horizontal="center" vertical="center" wrapText="1"/>
    </xf>
    <xf numFmtId="14" fontId="4" fillId="0" borderId="1" xfId="0" applyNumberFormat="1" applyFont="1" applyBorder="1" applyAlignment="1">
      <alignment horizontal="center" vertical="center"/>
    </xf>
    <xf numFmtId="0" fontId="5" fillId="0" borderId="3" xfId="0" applyFont="1" applyBorder="1" applyAlignment="1">
      <alignment horizontal="center" vertical="center" wrapText="1" indent="3" readingOrder="1"/>
    </xf>
    <xf numFmtId="164" fontId="4" fillId="0" borderId="3" xfId="0" applyNumberFormat="1" applyFont="1" applyBorder="1" applyAlignment="1">
      <alignment horizontal="center" vertical="center" wrapText="1"/>
    </xf>
    <xf numFmtId="0" fontId="5" fillId="0" borderId="20" xfId="0" applyFont="1" applyBorder="1" applyAlignment="1">
      <alignment horizontal="center" vertical="center" wrapText="1" indent="1"/>
    </xf>
    <xf numFmtId="164" fontId="4" fillId="0" borderId="15" xfId="0" applyNumberFormat="1" applyFont="1" applyBorder="1" applyAlignment="1">
      <alignment horizontal="center" vertical="center" wrapText="1"/>
    </xf>
    <xf numFmtId="0" fontId="4" fillId="0" borderId="20" xfId="0" applyFont="1" applyBorder="1" applyAlignment="1">
      <alignment horizontal="center" vertical="center" wrapText="1"/>
    </xf>
    <xf numFmtId="0" fontId="5" fillId="0" borderId="3" xfId="0" applyFont="1" applyBorder="1" applyAlignment="1">
      <alignment horizontal="center" vertical="center"/>
    </xf>
    <xf numFmtId="0" fontId="4" fillId="0" borderId="21" xfId="0" applyFont="1" applyBorder="1" applyAlignment="1">
      <alignment horizontal="center" vertical="center" wrapText="1"/>
    </xf>
    <xf numFmtId="0" fontId="5" fillId="0" borderId="3" xfId="0" applyFont="1" applyBorder="1" applyAlignment="1">
      <alignment horizontal="center" vertical="center" wrapText="1" indent="3"/>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164" fontId="4" fillId="0" borderId="14" xfId="0" applyNumberFormat="1" applyFont="1" applyBorder="1" applyAlignment="1">
      <alignment horizontal="center" vertical="center" wrapText="1"/>
    </xf>
    <xf numFmtId="0" fontId="5" fillId="0" borderId="14" xfId="0" applyFont="1" applyBorder="1" applyAlignment="1">
      <alignment horizontal="center" vertical="center" wrapText="1" indent="3" readingOrder="1"/>
    </xf>
    <xf numFmtId="0" fontId="4" fillId="0" borderId="18" xfId="0" applyFont="1" applyBorder="1" applyAlignment="1">
      <alignment horizontal="center" vertical="center" wrapText="1"/>
    </xf>
    <xf numFmtId="0" fontId="5" fillId="0" borderId="18" xfId="0" applyFont="1" applyBorder="1" applyAlignment="1">
      <alignment horizontal="center" vertical="center" wrapText="1" indent="3" readingOrder="1"/>
    </xf>
    <xf numFmtId="164" fontId="4" fillId="0" borderId="18" xfId="0" applyNumberFormat="1" applyFont="1" applyBorder="1" applyAlignment="1">
      <alignment horizontal="center" vertical="center" wrapText="1"/>
    </xf>
    <xf numFmtId="164" fontId="4" fillId="0" borderId="12" xfId="0" applyNumberFormat="1" applyFont="1" applyBorder="1" applyAlignment="1">
      <alignment horizontal="center" vertical="center" wrapText="1"/>
    </xf>
    <xf numFmtId="0" fontId="5" fillId="0" borderId="14" xfId="0" applyFont="1" applyBorder="1" applyAlignment="1">
      <alignment horizontal="center" vertical="center" wrapText="1" indent="3"/>
    </xf>
    <xf numFmtId="0" fontId="4" fillId="0" borderId="14" xfId="0" applyFont="1" applyBorder="1" applyAlignment="1">
      <alignment horizontal="left" vertical="center" wrapText="1"/>
    </xf>
    <xf numFmtId="164" fontId="5" fillId="0" borderId="1" xfId="0" applyNumberFormat="1" applyFont="1" applyBorder="1" applyAlignment="1">
      <alignment horizontal="center" vertical="center"/>
    </xf>
    <xf numFmtId="10" fontId="5" fillId="17" borderId="1" xfId="0" applyNumberFormat="1" applyFont="1" applyFill="1" applyBorder="1" applyAlignment="1">
      <alignment horizontal="center" vertical="center"/>
    </xf>
    <xf numFmtId="3" fontId="5" fillId="0" borderId="1" xfId="0" applyNumberFormat="1" applyFont="1" applyBorder="1" applyAlignment="1">
      <alignment horizontal="center" vertical="center"/>
    </xf>
    <xf numFmtId="0" fontId="5" fillId="22" borderId="1" xfId="0" applyFont="1" applyFill="1" applyBorder="1" applyAlignment="1">
      <alignment horizontal="center" vertical="center" readingOrder="1"/>
    </xf>
    <xf numFmtId="17" fontId="4" fillId="0" borderId="1" xfId="0" applyNumberFormat="1" applyFont="1" applyBorder="1" applyAlignment="1">
      <alignment horizontal="center" vertical="center"/>
    </xf>
    <xf numFmtId="0" fontId="4" fillId="0" borderId="15" xfId="0" applyFont="1" applyBorder="1" applyAlignment="1">
      <alignment horizontal="center" vertical="center" wrapText="1"/>
    </xf>
    <xf numFmtId="0" fontId="5" fillId="0" borderId="3" xfId="0" applyFont="1" applyBorder="1" applyAlignment="1">
      <alignment horizontal="center" vertical="center" wrapText="1" indent="1"/>
    </xf>
    <xf numFmtId="0" fontId="5" fillId="0" borderId="18" xfId="0" applyFont="1" applyBorder="1" applyAlignment="1">
      <alignment horizontal="center" vertical="center" wrapText="1" indent="3"/>
    </xf>
    <xf numFmtId="0" fontId="5" fillId="0" borderId="14" xfId="0" applyFont="1" applyBorder="1" applyAlignment="1">
      <alignment horizontal="center" vertical="center" wrapText="1"/>
    </xf>
    <xf numFmtId="0" fontId="4" fillId="0" borderId="0" xfId="0" applyFont="1" applyAlignment="1">
      <alignment horizontal="center" wrapText="1"/>
    </xf>
    <xf numFmtId="0" fontId="4" fillId="0" borderId="1" xfId="0" applyFont="1" applyBorder="1" applyAlignment="1">
      <alignment horizontal="center" wrapText="1"/>
    </xf>
    <xf numFmtId="0" fontId="5" fillId="0" borderId="18" xfId="0" applyFont="1" applyBorder="1" applyAlignment="1">
      <alignment horizontal="center" vertical="center"/>
    </xf>
    <xf numFmtId="164" fontId="4" fillId="0" borderId="13"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5" fillId="0" borderId="0" xfId="0" applyFont="1"/>
    <xf numFmtId="0" fontId="36" fillId="0" borderId="1" xfId="0" applyFont="1" applyBorder="1"/>
    <xf numFmtId="3" fontId="40" fillId="0" borderId="1" xfId="0" applyNumberFormat="1" applyFont="1" applyBorder="1"/>
    <xf numFmtId="0" fontId="33" fillId="0" borderId="1" xfId="0" applyFont="1" applyBorder="1" applyAlignment="1">
      <alignment wrapText="1"/>
    </xf>
    <xf numFmtId="0" fontId="2" fillId="5" borderId="10" xfId="0" applyFont="1" applyFill="1" applyBorder="1" applyAlignment="1">
      <alignment horizontal="center" vertical="center"/>
    </xf>
    <xf numFmtId="0" fontId="2" fillId="16" borderId="10" xfId="0" applyFont="1" applyFill="1" applyBorder="1" applyAlignment="1">
      <alignment horizontal="center" vertical="center"/>
    </xf>
    <xf numFmtId="0" fontId="2" fillId="6" borderId="10" xfId="0" applyFont="1" applyFill="1" applyBorder="1" applyAlignment="1">
      <alignment horizontal="center" vertical="center"/>
    </xf>
    <xf numFmtId="0" fontId="2" fillId="2" borderId="10" xfId="0" applyFont="1" applyFill="1" applyBorder="1" applyAlignment="1">
      <alignment horizontal="center" vertical="center"/>
    </xf>
    <xf numFmtId="0" fontId="5" fillId="0" borderId="10" xfId="0" applyFont="1" applyBorder="1" applyAlignment="1">
      <alignment horizontal="center" vertical="center" readingOrder="1"/>
    </xf>
    <xf numFmtId="4" fontId="4" fillId="0" borderId="10" xfId="0" applyNumberFormat="1" applyFont="1" applyBorder="1" applyAlignment="1">
      <alignment horizontal="center" vertical="center"/>
    </xf>
    <xf numFmtId="164" fontId="4" fillId="0" borderId="10" xfId="0" applyNumberFormat="1" applyFont="1" applyBorder="1" applyAlignment="1">
      <alignment horizontal="center" vertical="center"/>
    </xf>
    <xf numFmtId="1" fontId="4" fillId="0" borderId="10" xfId="0" applyNumberFormat="1" applyFont="1" applyBorder="1" applyAlignment="1">
      <alignment horizontal="center" vertical="center"/>
    </xf>
    <xf numFmtId="0" fontId="4" fillId="0" borderId="10" xfId="0" applyFont="1" applyBorder="1" applyAlignment="1">
      <alignment horizontal="center" vertical="center" wrapText="1"/>
    </xf>
    <xf numFmtId="1" fontId="4" fillId="0" borderId="10" xfId="0" applyNumberFormat="1" applyFont="1" applyBorder="1" applyAlignment="1">
      <alignment horizontal="center" vertical="center" wrapText="1"/>
    </xf>
    <xf numFmtId="0" fontId="0" fillId="0" borderId="10" xfId="0" applyBorder="1"/>
    <xf numFmtId="0" fontId="0" fillId="0" borderId="10" xfId="0" applyBorder="1" applyAlignment="1">
      <alignment horizontal="center"/>
    </xf>
    <xf numFmtId="0" fontId="4" fillId="11" borderId="10" xfId="0" applyFont="1" applyFill="1" applyBorder="1" applyAlignment="1">
      <alignment horizontal="center" vertical="center" wrapText="1"/>
    </xf>
    <xf numFmtId="0" fontId="4" fillId="11" borderId="10" xfId="0" applyFont="1" applyFill="1" applyBorder="1" applyAlignment="1">
      <alignment horizontal="center" vertical="center"/>
    </xf>
    <xf numFmtId="0" fontId="5" fillId="21" borderId="1" xfId="0" applyFont="1" applyFill="1" applyBorder="1" applyAlignment="1">
      <alignment horizontal="center" vertical="center" wrapText="1"/>
    </xf>
    <xf numFmtId="0" fontId="5" fillId="21" borderId="1" xfId="0" applyFont="1" applyFill="1" applyBorder="1" applyAlignment="1">
      <alignment horizontal="center" vertical="center"/>
    </xf>
    <xf numFmtId="0" fontId="5" fillId="21" borderId="1" xfId="0" applyFont="1" applyFill="1" applyBorder="1" applyAlignment="1">
      <alignment horizontal="center" vertical="center" readingOrder="1"/>
    </xf>
    <xf numFmtId="164" fontId="5" fillId="21" borderId="1" xfId="0" applyNumberFormat="1" applyFont="1" applyFill="1" applyBorder="1" applyAlignment="1">
      <alignment horizontal="center" vertical="center"/>
    </xf>
    <xf numFmtId="0" fontId="43" fillId="21" borderId="1" xfId="0" applyFont="1" applyFill="1" applyBorder="1"/>
    <xf numFmtId="4" fontId="43" fillId="21" borderId="1" xfId="0" applyNumberFormat="1" applyFont="1" applyFill="1" applyBorder="1"/>
    <xf numFmtId="10" fontId="5" fillId="21" borderId="1" xfId="0" applyNumberFormat="1" applyFont="1" applyFill="1" applyBorder="1" applyAlignment="1">
      <alignment horizontal="center" vertical="center"/>
    </xf>
    <xf numFmtId="0" fontId="4" fillId="21" borderId="0" xfId="0" applyFont="1" applyFill="1" applyAlignment="1">
      <alignment horizontal="center" vertical="center"/>
    </xf>
    <xf numFmtId="0" fontId="5" fillId="21" borderId="14" xfId="0" applyFont="1" applyFill="1" applyBorder="1" applyAlignment="1">
      <alignment horizontal="center" vertical="center"/>
    </xf>
    <xf numFmtId="164" fontId="4" fillId="21" borderId="1" xfId="0" applyNumberFormat="1" applyFont="1" applyFill="1" applyBorder="1" applyAlignment="1">
      <alignment horizontal="center" vertical="center"/>
    </xf>
    <xf numFmtId="0" fontId="4" fillId="0" borderId="18" xfId="0" applyFont="1" applyBorder="1" applyAlignment="1">
      <alignment horizontal="center" vertical="center"/>
    </xf>
    <xf numFmtId="0" fontId="5" fillId="0" borderId="1" xfId="0" applyFont="1" applyBorder="1" applyAlignment="1">
      <alignment horizontal="center"/>
    </xf>
    <xf numFmtId="0" fontId="5" fillId="0" borderId="14" xfId="0" applyFont="1" applyBorder="1"/>
    <xf numFmtId="0" fontId="10" fillId="0" borderId="0" xfId="0" applyFont="1" applyAlignment="1">
      <alignment horizontal="center" vertical="center"/>
    </xf>
    <xf numFmtId="0" fontId="1" fillId="10"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5" fillId="22" borderId="14" xfId="0" applyFont="1" applyFill="1" applyBorder="1"/>
    <xf numFmtId="0" fontId="1" fillId="4" borderId="2" xfId="0" applyFont="1" applyFill="1" applyBorder="1" applyAlignment="1">
      <alignment horizontal="center" vertical="center" wrapText="1"/>
    </xf>
    <xf numFmtId="0" fontId="1" fillId="0" borderId="1" xfId="0" applyFont="1" applyBorder="1" applyAlignment="1">
      <alignment horizontal="left" vertical="center" wrapText="1" indent="1"/>
    </xf>
    <xf numFmtId="166" fontId="1" fillId="0" borderId="1" xfId="0" applyNumberFormat="1" applyFont="1" applyBorder="1" applyAlignment="1">
      <alignment horizontal="center" vertical="center" wrapText="1"/>
    </xf>
    <xf numFmtId="0" fontId="10" fillId="0" borderId="0" xfId="0" applyFont="1" applyAlignment="1">
      <alignment horizontal="left" indent="2"/>
    </xf>
    <xf numFmtId="0" fontId="10" fillId="0" borderId="0" xfId="0" applyFont="1" applyAlignment="1">
      <alignment horizontal="left" indent="3"/>
    </xf>
    <xf numFmtId="0" fontId="10" fillId="3" borderId="1" xfId="0" applyFont="1" applyFill="1" applyBorder="1" applyAlignment="1">
      <alignment horizontal="left" wrapText="1" indent="3"/>
    </xf>
    <xf numFmtId="0" fontId="10" fillId="0" borderId="1" xfId="0" applyFont="1" applyBorder="1" applyAlignment="1">
      <alignment horizontal="left" indent="3"/>
    </xf>
    <xf numFmtId="0" fontId="10" fillId="0" borderId="1" xfId="0" applyFont="1" applyBorder="1" applyAlignment="1">
      <alignment horizontal="left" indent="5"/>
    </xf>
    <xf numFmtId="0" fontId="10" fillId="0" borderId="0" xfId="0" applyFont="1" applyAlignment="1">
      <alignment horizontal="left" wrapText="1" indent="3"/>
    </xf>
    <xf numFmtId="4" fontId="4" fillId="0" borderId="14" xfId="0" applyNumberFormat="1" applyFont="1" applyBorder="1" applyAlignment="1">
      <alignment horizontal="center" vertical="center"/>
    </xf>
    <xf numFmtId="0" fontId="5" fillId="0" borderId="10" xfId="0" applyFont="1" applyBorder="1" applyAlignment="1">
      <alignment horizontal="center"/>
    </xf>
    <xf numFmtId="0" fontId="38" fillId="0" borderId="10" xfId="0" applyFont="1" applyBorder="1" applyAlignment="1">
      <alignment horizontal="center"/>
    </xf>
    <xf numFmtId="0" fontId="38" fillId="11" borderId="10" xfId="0" applyFont="1" applyFill="1" applyBorder="1" applyAlignment="1">
      <alignment horizontal="center"/>
    </xf>
    <xf numFmtId="0" fontId="0" fillId="0" borderId="0" xfId="0" pivotButton="1"/>
    <xf numFmtId="0" fontId="4" fillId="0" borderId="11" xfId="0" applyFont="1" applyBorder="1" applyAlignment="1">
      <alignment horizontal="center" vertical="center" indent="1"/>
    </xf>
    <xf numFmtId="0" fontId="0" fillId="0" borderId="5" xfId="0" applyBorder="1"/>
    <xf numFmtId="0" fontId="41" fillId="0" borderId="5" xfId="0" applyFont="1" applyBorder="1" applyAlignment="1">
      <alignment horizontal="center" vertical="center" wrapText="1"/>
    </xf>
    <xf numFmtId="0" fontId="4" fillId="0" borderId="5" xfId="0" applyFont="1" applyBorder="1" applyAlignment="1">
      <alignment horizontal="center" wrapText="1"/>
    </xf>
    <xf numFmtId="0" fontId="0" fillId="0" borderId="5" xfId="0" applyBorder="1" applyAlignment="1">
      <alignment wrapText="1"/>
    </xf>
    <xf numFmtId="0" fontId="4" fillId="0" borderId="3" xfId="0" applyFont="1" applyBorder="1" applyAlignment="1">
      <alignment horizontal="center" vertical="center" wrapText="1" readingOrder="1"/>
    </xf>
    <xf numFmtId="0" fontId="5" fillId="0" borderId="3" xfId="0" applyFont="1" applyBorder="1" applyAlignment="1">
      <alignment horizontal="center" vertical="center" wrapText="1"/>
    </xf>
    <xf numFmtId="0" fontId="4" fillId="0" borderId="14" xfId="0" applyFont="1" applyBorder="1" applyAlignment="1">
      <alignment horizontal="center" vertical="center" readingOrder="1"/>
    </xf>
    <xf numFmtId="10" fontId="4" fillId="0" borderId="14" xfId="0" applyNumberFormat="1" applyFont="1" applyBorder="1" applyAlignment="1">
      <alignment horizontal="center" vertical="center"/>
    </xf>
    <xf numFmtId="0" fontId="11" fillId="0" borderId="1" xfId="0" applyFont="1" applyBorder="1" applyAlignment="1">
      <alignment horizontal="center" vertical="center"/>
    </xf>
    <xf numFmtId="15" fontId="11" fillId="0" borderId="1" xfId="0" applyNumberFormat="1" applyFont="1" applyBorder="1" applyAlignment="1">
      <alignment horizontal="center" vertical="center"/>
    </xf>
    <xf numFmtId="16" fontId="11" fillId="0" borderId="1" xfId="0" applyNumberFormat="1" applyFont="1" applyBorder="1" applyAlignment="1">
      <alignment horizontal="center" vertical="center"/>
    </xf>
    <xf numFmtId="0" fontId="11" fillId="11" borderId="1" xfId="0" applyFont="1" applyFill="1" applyBorder="1" applyAlignment="1">
      <alignment horizontal="center" vertical="center"/>
    </xf>
    <xf numFmtId="15" fontId="11" fillId="11" borderId="1" xfId="0" applyNumberFormat="1" applyFont="1" applyFill="1" applyBorder="1" applyAlignment="1">
      <alignment horizontal="center" vertical="center"/>
    </xf>
    <xf numFmtId="0" fontId="50" fillId="0" borderId="1" xfId="0" applyFont="1" applyBorder="1" applyAlignment="1">
      <alignment horizontal="center" vertical="center"/>
    </xf>
    <xf numFmtId="17" fontId="11" fillId="0" borderId="1" xfId="0" applyNumberFormat="1" applyFont="1" applyBorder="1" applyAlignment="1">
      <alignment horizontal="center" vertical="center"/>
    </xf>
    <xf numFmtId="15" fontId="20" fillId="0" borderId="1" xfId="0" applyNumberFormat="1" applyFont="1" applyBorder="1" applyAlignment="1">
      <alignment horizontal="center" vertical="center"/>
    </xf>
    <xf numFmtId="0" fontId="0" fillId="0" borderId="1" xfId="0" applyBorder="1" applyAlignment="1">
      <alignment horizontal="center" vertical="center"/>
    </xf>
    <xf numFmtId="0" fontId="52" fillId="0" borderId="1" xfId="0" applyFont="1" applyBorder="1" applyAlignment="1">
      <alignment horizontal="center" vertical="center"/>
    </xf>
    <xf numFmtId="164" fontId="0" fillId="0" borderId="1" xfId="0" applyNumberFormat="1" applyBorder="1" applyAlignment="1">
      <alignment horizontal="center" vertical="center"/>
    </xf>
    <xf numFmtId="15" fontId="50" fillId="0" borderId="1" xfId="0" applyNumberFormat="1" applyFont="1" applyBorder="1" applyAlignment="1">
      <alignment horizontal="center" vertical="center"/>
    </xf>
    <xf numFmtId="15" fontId="11" fillId="0" borderId="1" xfId="0" applyNumberFormat="1" applyFont="1" applyBorder="1" applyAlignment="1">
      <alignment horizontal="center" vertical="center" wrapText="1"/>
    </xf>
    <xf numFmtId="0" fontId="0" fillId="25" borderId="10" xfId="0" applyFill="1" applyBorder="1"/>
    <xf numFmtId="0" fontId="0" fillId="9" borderId="10" xfId="0" applyFill="1" applyBorder="1"/>
    <xf numFmtId="0" fontId="54" fillId="0" borderId="1" xfId="0" applyFont="1" applyBorder="1" applyAlignment="1">
      <alignment horizontal="center"/>
    </xf>
    <xf numFmtId="0" fontId="0" fillId="0" borderId="1" xfId="0" pivotButton="1" applyBorder="1"/>
    <xf numFmtId="0" fontId="55" fillId="0" borderId="1" xfId="0" applyFont="1" applyBorder="1" applyAlignment="1">
      <alignment horizontal="center" vertical="center"/>
    </xf>
    <xf numFmtId="0" fontId="0" fillId="0" borderId="1" xfId="0" applyBorder="1" applyAlignment="1">
      <alignment horizontal="center"/>
    </xf>
    <xf numFmtId="0" fontId="0" fillId="11" borderId="1" xfId="0" applyFill="1" applyBorder="1"/>
    <xf numFmtId="0" fontId="0" fillId="21" borderId="0" xfId="0" applyFill="1"/>
    <xf numFmtId="0" fontId="4" fillId="0" borderId="1" xfId="0" applyFont="1" applyBorder="1" applyAlignment="1">
      <alignment horizontal="center" vertical="center" wrapText="1" indent="2"/>
    </xf>
    <xf numFmtId="0" fontId="4" fillId="0" borderId="18" xfId="0" applyFont="1" applyBorder="1" applyAlignment="1">
      <alignment horizontal="center" vertical="center" indent="2"/>
    </xf>
    <xf numFmtId="0" fontId="3" fillId="3" borderId="1" xfId="0" applyFont="1" applyFill="1" applyBorder="1" applyAlignment="1">
      <alignment horizontal="center" wrapText="1"/>
    </xf>
    <xf numFmtId="164" fontId="4" fillId="0" borderId="0" xfId="0" applyNumberFormat="1" applyFont="1" applyAlignment="1">
      <alignment horizontal="center" vertical="center" wrapText="1"/>
    </xf>
    <xf numFmtId="0" fontId="30" fillId="0" borderId="1" xfId="0" applyFont="1" applyBorder="1" applyAlignment="1">
      <alignment wrapText="1"/>
    </xf>
    <xf numFmtId="0" fontId="39" fillId="0" borderId="1" xfId="0" applyFont="1" applyBorder="1" applyAlignment="1">
      <alignment horizontal="left"/>
    </xf>
    <xf numFmtId="0" fontId="34" fillId="0" borderId="1" xfId="0" applyFont="1" applyBorder="1" applyAlignment="1">
      <alignment wrapText="1"/>
    </xf>
    <xf numFmtId="0" fontId="0" fillId="21" borderId="1" xfId="0" applyFill="1" applyBorder="1" applyAlignment="1">
      <alignment horizontal="center"/>
    </xf>
    <xf numFmtId="0" fontId="0" fillId="11" borderId="1" xfId="0" applyFill="1" applyBorder="1" applyAlignment="1">
      <alignment horizontal="center"/>
    </xf>
    <xf numFmtId="14" fontId="0" fillId="0" borderId="0" xfId="0" applyNumberFormat="1"/>
    <xf numFmtId="4" fontId="5"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0" fontId="31" fillId="0" borderId="1" xfId="0" applyFont="1" applyBorder="1" applyAlignment="1">
      <alignment horizontal="center" vertical="center" wrapText="1"/>
    </xf>
    <xf numFmtId="0" fontId="29" fillId="0" borderId="1" xfId="0" applyFont="1" applyBorder="1" applyAlignment="1">
      <alignment horizontal="center" vertical="center"/>
    </xf>
    <xf numFmtId="164" fontId="4" fillId="0" borderId="2" xfId="0" applyNumberFormat="1" applyFont="1" applyBorder="1" applyAlignment="1">
      <alignment horizontal="center" vertical="center"/>
    </xf>
    <xf numFmtId="4" fontId="25" fillId="0" borderId="1" xfId="0" applyNumberFormat="1" applyFont="1" applyBorder="1"/>
    <xf numFmtId="0" fontId="24" fillId="0" borderId="1" xfId="0" applyFont="1" applyBorder="1"/>
    <xf numFmtId="0" fontId="5" fillId="0" borderId="14" xfId="0" applyFont="1" applyBorder="1" applyAlignment="1">
      <alignment horizontal="center"/>
    </xf>
    <xf numFmtId="0" fontId="4" fillId="0" borderId="1" xfId="0" applyFont="1" applyBorder="1" applyAlignment="1">
      <alignment horizontal="left" vertical="center"/>
    </xf>
    <xf numFmtId="0" fontId="25" fillId="0" borderId="1" xfId="0" applyFont="1" applyBorder="1"/>
    <xf numFmtId="4" fontId="36" fillId="0" borderId="1" xfId="0" applyNumberFormat="1" applyFont="1" applyBorder="1"/>
    <xf numFmtId="10" fontId="4" fillId="0" borderId="0" xfId="0" applyNumberFormat="1" applyFont="1" applyAlignment="1">
      <alignment horizontal="center" vertical="center"/>
    </xf>
    <xf numFmtId="0" fontId="5" fillId="0" borderId="0" xfId="0" applyFont="1" applyAlignment="1">
      <alignment horizontal="center" vertical="center" wrapText="1" indent="1"/>
    </xf>
    <xf numFmtId="0" fontId="4" fillId="0" borderId="17" xfId="0" applyFont="1" applyBorder="1" applyAlignment="1">
      <alignment horizontal="center" vertical="center" wrapText="1"/>
    </xf>
    <xf numFmtId="0" fontId="35" fillId="0" borderId="1" xfId="0" applyFont="1" applyBorder="1" applyAlignment="1">
      <alignment horizontal="center"/>
    </xf>
    <xf numFmtId="0" fontId="17" fillId="0" borderId="0" xfId="0" applyFont="1"/>
    <xf numFmtId="0" fontId="5" fillId="3" borderId="3" xfId="0" applyFont="1" applyFill="1" applyBorder="1" applyAlignment="1">
      <alignment horizontal="center" vertical="center" wrapText="1"/>
    </xf>
    <xf numFmtId="15" fontId="5" fillId="3" borderId="15" xfId="0" applyNumberFormat="1" applyFont="1" applyFill="1" applyBorder="1" applyAlignment="1">
      <alignment horizontal="center" vertical="center" wrapText="1"/>
    </xf>
    <xf numFmtId="0" fontId="4" fillId="11" borderId="18" xfId="0" applyFont="1" applyFill="1" applyBorder="1" applyAlignment="1">
      <alignment horizontal="center" vertical="center" wrapText="1"/>
    </xf>
    <xf numFmtId="0" fontId="14" fillId="0" borderId="3" xfId="0" applyFont="1" applyBorder="1" applyAlignment="1">
      <alignment horizontal="center" vertical="center" wrapText="1"/>
    </xf>
    <xf numFmtId="0" fontId="26" fillId="0" borderId="1" xfId="0" applyFont="1" applyBorder="1"/>
    <xf numFmtId="0" fontId="58" fillId="0" borderId="1" xfId="0" applyFont="1" applyBorder="1" applyAlignment="1">
      <alignment horizontal="center" vertical="center"/>
    </xf>
    <xf numFmtId="0" fontId="57" fillId="0" borderId="1" xfId="0" applyFont="1" applyBorder="1" applyAlignment="1">
      <alignment horizontal="right" vertical="center"/>
    </xf>
    <xf numFmtId="0" fontId="0" fillId="7" borderId="1" xfId="0" applyFill="1" applyBorder="1" applyAlignment="1">
      <alignment horizontal="center" vertical="center"/>
    </xf>
    <xf numFmtId="0" fontId="58" fillId="7" borderId="1" xfId="0" applyFont="1" applyFill="1" applyBorder="1" applyAlignment="1">
      <alignment vertical="center"/>
    </xf>
    <xf numFmtId="0" fontId="59" fillId="0" borderId="1" xfId="0" applyFont="1" applyBorder="1"/>
    <xf numFmtId="1" fontId="5" fillId="17" borderId="1" xfId="0" applyNumberFormat="1" applyFont="1" applyFill="1" applyBorder="1" applyAlignment="1">
      <alignment horizontal="center" vertical="center" wrapText="1"/>
    </xf>
    <xf numFmtId="1" fontId="5" fillId="21" borderId="1" xfId="0" applyNumberFormat="1" applyFont="1" applyFill="1" applyBorder="1" applyAlignment="1">
      <alignment horizontal="center" vertical="center" wrapText="1"/>
    </xf>
    <xf numFmtId="4" fontId="44" fillId="0" borderId="0" xfId="0" applyNumberFormat="1" applyFont="1"/>
    <xf numFmtId="0" fontId="60" fillId="0" borderId="1" xfId="0" applyFont="1" applyBorder="1"/>
    <xf numFmtId="0" fontId="61" fillId="0" borderId="1" xfId="0" applyFont="1" applyBorder="1"/>
    <xf numFmtId="0" fontId="60" fillId="23" borderId="1" xfId="0" applyFont="1" applyFill="1" applyBorder="1"/>
    <xf numFmtId="0" fontId="62" fillId="0" borderId="1" xfId="0" applyFont="1" applyBorder="1"/>
    <xf numFmtId="3" fontId="0" fillId="0" borderId="1" xfId="0" applyNumberFormat="1" applyBorder="1"/>
    <xf numFmtId="0" fontId="4" fillId="0" borderId="13" xfId="0" applyFont="1" applyBorder="1" applyAlignment="1">
      <alignment horizontal="center" vertical="center" wrapText="1"/>
    </xf>
    <xf numFmtId="164" fontId="5" fillId="0" borderId="3" xfId="0" applyNumberFormat="1" applyFont="1" applyBorder="1" applyAlignment="1">
      <alignment horizontal="center" vertical="center"/>
    </xf>
    <xf numFmtId="15" fontId="0" fillId="0" borderId="1" xfId="0" applyNumberFormat="1" applyBorder="1" applyAlignment="1">
      <alignment horizontal="center" vertical="center"/>
    </xf>
    <xf numFmtId="0" fontId="63" fillId="10" borderId="1" xfId="0" applyFont="1" applyFill="1" applyBorder="1" applyAlignment="1">
      <alignment horizontal="center" vertical="center" wrapText="1"/>
    </xf>
    <xf numFmtId="0" fontId="64" fillId="10" borderId="1" xfId="0" applyFont="1" applyFill="1" applyBorder="1" applyAlignment="1">
      <alignment horizontal="center" vertical="center" wrapText="1"/>
    </xf>
    <xf numFmtId="0" fontId="65" fillId="0" borderId="1" xfId="0" applyFont="1" applyBorder="1" applyAlignment="1">
      <alignment horizontal="center" vertical="center"/>
    </xf>
    <xf numFmtId="15" fontId="65" fillId="0" borderId="1" xfId="0" applyNumberFormat="1" applyFont="1" applyBorder="1" applyAlignment="1">
      <alignment horizontal="center" vertical="center"/>
    </xf>
    <xf numFmtId="0" fontId="65" fillId="0" borderId="0" xfId="0" applyFont="1" applyAlignment="1">
      <alignment horizontal="center" vertical="center"/>
    </xf>
    <xf numFmtId="164" fontId="37" fillId="0" borderId="1" xfId="0" applyNumberFormat="1" applyFont="1" applyBorder="1" applyAlignment="1">
      <alignment horizontal="center" vertical="center" wrapText="1"/>
    </xf>
    <xf numFmtId="0" fontId="48" fillId="5" borderId="3" xfId="0" applyFont="1" applyFill="1" applyBorder="1" applyAlignment="1">
      <alignment horizontal="center" vertical="center" wrapText="1"/>
    </xf>
    <xf numFmtId="0" fontId="48" fillId="10" borderId="3" xfId="0" applyFont="1" applyFill="1" applyBorder="1" applyAlignment="1">
      <alignment horizontal="center" vertical="center" wrapText="1"/>
    </xf>
    <xf numFmtId="0" fontId="48" fillId="6" borderId="3" xfId="0" applyFont="1" applyFill="1" applyBorder="1" applyAlignment="1">
      <alignment horizontal="center" vertical="center" wrapText="1"/>
    </xf>
    <xf numFmtId="0" fontId="48" fillId="2" borderId="3" xfId="0" applyFont="1" applyFill="1" applyBorder="1" applyAlignment="1">
      <alignment horizontal="center" vertical="center" wrapText="1"/>
    </xf>
    <xf numFmtId="0" fontId="0" fillId="0" borderId="0" xfId="0" applyAlignment="1">
      <alignment vertical="center" wrapText="1"/>
    </xf>
    <xf numFmtId="0" fontId="46" fillId="0" borderId="1" xfId="0" applyFont="1" applyBorder="1" applyAlignment="1">
      <alignment wrapText="1"/>
    </xf>
    <xf numFmtId="0" fontId="2" fillId="6" borderId="10"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4" fillId="0" borderId="10" xfId="0" applyFont="1" applyBorder="1" applyAlignment="1">
      <alignment horizontal="center" vertical="center" readingOrder="1"/>
    </xf>
    <xf numFmtId="0" fontId="4" fillId="0" borderId="10" xfId="0" applyFont="1" applyBorder="1" applyAlignment="1">
      <alignment horizontal="center" vertical="center" wrapText="1" readingOrder="1"/>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11" borderId="10" xfId="0" applyFont="1" applyFill="1" applyBorder="1" applyAlignment="1">
      <alignment horizontal="center" vertical="center" wrapText="1"/>
    </xf>
    <xf numFmtId="0" fontId="5" fillId="0" borderId="10" xfId="0" applyFont="1" applyBorder="1" applyAlignment="1">
      <alignment horizontal="center" vertical="center" indent="1"/>
    </xf>
    <xf numFmtId="1" fontId="4" fillId="17" borderId="10" xfId="0" applyNumberFormat="1" applyFont="1" applyFill="1" applyBorder="1" applyAlignment="1">
      <alignment horizontal="center" vertical="center" wrapText="1"/>
    </xf>
    <xf numFmtId="2" fontId="4" fillId="0" borderId="10" xfId="0" applyNumberFormat="1" applyFont="1" applyBorder="1" applyAlignment="1">
      <alignment horizontal="center" vertical="center"/>
    </xf>
    <xf numFmtId="0" fontId="4" fillId="17" borderId="10" xfId="0" applyFont="1" applyFill="1" applyBorder="1" applyAlignment="1">
      <alignment horizontal="center" vertical="center" wrapText="1"/>
    </xf>
    <xf numFmtId="0" fontId="6" fillId="0" borderId="10" xfId="0" applyFont="1" applyBorder="1" applyAlignment="1">
      <alignment horizontal="center" vertical="center"/>
    </xf>
    <xf numFmtId="164" fontId="4" fillId="0" borderId="10" xfId="0" applyNumberFormat="1" applyFont="1" applyBorder="1" applyAlignment="1">
      <alignment horizontal="center" vertical="center" wrapText="1"/>
    </xf>
    <xf numFmtId="0" fontId="5" fillId="11" borderId="10" xfId="0" applyFont="1" applyFill="1" applyBorder="1" applyAlignment="1">
      <alignment horizontal="center" vertical="center"/>
    </xf>
    <xf numFmtId="15" fontId="4" fillId="0" borderId="10" xfId="0" applyNumberFormat="1" applyFont="1" applyBorder="1" applyAlignment="1">
      <alignment horizontal="center" vertical="center" wrapText="1"/>
    </xf>
    <xf numFmtId="0" fontId="4" fillId="0" borderId="10" xfId="0" applyFont="1" applyBorder="1" applyAlignment="1">
      <alignment horizontal="center" vertical="center" indent="1"/>
    </xf>
    <xf numFmtId="15" fontId="4" fillId="0" borderId="10" xfId="0" applyNumberFormat="1" applyFont="1" applyBorder="1" applyAlignment="1">
      <alignment horizontal="center" vertical="center"/>
    </xf>
    <xf numFmtId="10" fontId="4" fillId="0" borderId="10" xfId="0" applyNumberFormat="1" applyFont="1" applyBorder="1" applyAlignment="1">
      <alignment horizontal="center" vertical="center"/>
    </xf>
    <xf numFmtId="10" fontId="4" fillId="0" borderId="10" xfId="0" applyNumberFormat="1" applyFont="1" applyBorder="1" applyAlignment="1">
      <alignment horizontal="center" vertical="center" wrapText="1"/>
    </xf>
    <xf numFmtId="164" fontId="6" fillId="0" borderId="10" xfId="0" applyNumberFormat="1" applyFont="1" applyBorder="1" applyAlignment="1">
      <alignment horizontal="center" vertical="center"/>
    </xf>
    <xf numFmtId="4" fontId="4" fillId="0" borderId="10" xfId="0" applyNumberFormat="1" applyFont="1" applyBorder="1"/>
    <xf numFmtId="0" fontId="4" fillId="0" borderId="10" xfId="0" applyFont="1" applyBorder="1"/>
    <xf numFmtId="164" fontId="4" fillId="0" borderId="10" xfId="0" quotePrefix="1" applyNumberFormat="1" applyFont="1" applyBorder="1" applyAlignment="1">
      <alignment horizontal="center" vertical="center"/>
    </xf>
    <xf numFmtId="9" fontId="4" fillId="0" borderId="10" xfId="0" applyNumberFormat="1" applyFont="1" applyBorder="1" applyAlignment="1">
      <alignment horizontal="center" vertical="center"/>
    </xf>
    <xf numFmtId="0" fontId="7" fillId="0" borderId="10" xfId="0" applyFont="1" applyBorder="1" applyAlignment="1">
      <alignment horizontal="center" vertical="center" wrapText="1"/>
    </xf>
    <xf numFmtId="0" fontId="7" fillId="0" borderId="10" xfId="0" applyFont="1" applyBorder="1" applyAlignment="1">
      <alignment horizontal="center" vertical="center"/>
    </xf>
    <xf numFmtId="4" fontId="5" fillId="0" borderId="10" xfId="0" applyNumberFormat="1" applyFont="1" applyBorder="1" applyAlignment="1">
      <alignment horizontal="center"/>
    </xf>
    <xf numFmtId="0" fontId="5" fillId="0" borderId="10" xfId="0" applyFont="1" applyBorder="1"/>
    <xf numFmtId="4" fontId="5" fillId="0" borderId="10" xfId="0" applyNumberFormat="1" applyFont="1" applyBorder="1"/>
    <xf numFmtId="4" fontId="7" fillId="0" borderId="10" xfId="0" applyNumberFormat="1" applyFont="1" applyBorder="1" applyAlignment="1">
      <alignment horizontal="center" vertical="center"/>
    </xf>
    <xf numFmtId="3" fontId="4" fillId="0" borderId="10" xfId="0" applyNumberFormat="1" applyFont="1" applyBorder="1" applyAlignment="1">
      <alignment horizontal="center" vertical="center"/>
    </xf>
    <xf numFmtId="4" fontId="6" fillId="0" borderId="10" xfId="0" applyNumberFormat="1" applyFont="1" applyBorder="1" applyAlignment="1">
      <alignment horizontal="center" vertical="center"/>
    </xf>
    <xf numFmtId="4" fontId="45" fillId="0" borderId="10" xfId="0" applyNumberFormat="1" applyFont="1" applyBorder="1" applyAlignment="1">
      <alignment horizontal="center"/>
    </xf>
    <xf numFmtId="0" fontId="3" fillId="0" borderId="10" xfId="0" applyFont="1" applyBorder="1" applyAlignment="1">
      <alignment horizontal="center" vertical="center"/>
    </xf>
    <xf numFmtId="0" fontId="37" fillId="0" borderId="10" xfId="0" applyFont="1" applyBorder="1" applyAlignment="1">
      <alignment horizontal="center" vertical="center"/>
    </xf>
    <xf numFmtId="4" fontId="37" fillId="0" borderId="10" xfId="0" applyNumberFormat="1" applyFont="1" applyBorder="1" applyAlignment="1">
      <alignment horizontal="center" vertical="center"/>
    </xf>
    <xf numFmtId="0" fontId="37" fillId="0" borderId="10" xfId="0" applyFont="1" applyBorder="1" applyAlignment="1">
      <alignment horizontal="center" vertical="center" wrapText="1"/>
    </xf>
    <xf numFmtId="4" fontId="37" fillId="0" borderId="10" xfId="0" applyNumberFormat="1" applyFont="1" applyBorder="1"/>
    <xf numFmtId="0" fontId="37" fillId="0" borderId="10" xfId="0" applyFont="1" applyBorder="1"/>
    <xf numFmtId="3" fontId="4" fillId="11" borderId="10" xfId="0" applyNumberFormat="1" applyFont="1" applyFill="1" applyBorder="1" applyAlignment="1">
      <alignment horizontal="center" vertical="center"/>
    </xf>
    <xf numFmtId="4" fontId="47" fillId="0" borderId="10" xfId="0" applyNumberFormat="1" applyFont="1" applyBorder="1"/>
    <xf numFmtId="165" fontId="4" fillId="0" borderId="10" xfId="0" applyNumberFormat="1" applyFont="1" applyBorder="1" applyAlignment="1">
      <alignment horizontal="center" vertical="center"/>
    </xf>
    <xf numFmtId="0" fontId="7" fillId="0" borderId="10" xfId="0" applyFont="1" applyBorder="1"/>
    <xf numFmtId="0" fontId="42" fillId="0" borderId="10" xfId="0" applyFont="1" applyBorder="1" applyAlignment="1">
      <alignment horizontal="center" vertical="center"/>
    </xf>
    <xf numFmtId="15" fontId="6" fillId="0" borderId="10" xfId="0" applyNumberFormat="1" applyFont="1" applyBorder="1" applyAlignment="1">
      <alignment horizontal="center" vertical="center"/>
    </xf>
    <xf numFmtId="14" fontId="4" fillId="0" borderId="10" xfId="0" applyNumberFormat="1" applyFont="1" applyBorder="1" applyAlignment="1">
      <alignment horizontal="center" vertical="center"/>
    </xf>
    <xf numFmtId="3" fontId="4" fillId="0" borderId="14" xfId="0" applyNumberFormat="1" applyFont="1" applyBorder="1" applyAlignment="1">
      <alignment horizontal="center" vertical="center"/>
    </xf>
    <xf numFmtId="1" fontId="4" fillId="0" borderId="14" xfId="0" applyNumberFormat="1" applyFont="1" applyBorder="1" applyAlignment="1">
      <alignment horizontal="center" vertical="center" wrapText="1"/>
    </xf>
    <xf numFmtId="1" fontId="37" fillId="0" borderId="1" xfId="0" applyNumberFormat="1" applyFont="1" applyBorder="1" applyAlignment="1">
      <alignment horizontal="center" vertical="center" wrapText="1"/>
    </xf>
    <xf numFmtId="0" fontId="7" fillId="0" borderId="11" xfId="0" applyFont="1" applyBorder="1" applyAlignment="1">
      <alignment horizontal="center" vertical="center" wrapText="1"/>
    </xf>
    <xf numFmtId="0" fontId="37" fillId="0" borderId="5" xfId="0" applyFont="1" applyBorder="1" applyAlignment="1">
      <alignment horizontal="center" vertical="center" wrapText="1"/>
    </xf>
    <xf numFmtId="0" fontId="7" fillId="11" borderId="14" xfId="0" applyFont="1" applyFill="1" applyBorder="1" applyAlignment="1">
      <alignment horizontal="center" vertical="center" wrapText="1"/>
    </xf>
    <xf numFmtId="1" fontId="37" fillId="17" borderId="1" xfId="0" applyNumberFormat="1" applyFont="1" applyFill="1" applyBorder="1" applyAlignment="1">
      <alignment horizontal="center" vertical="center" wrapText="1"/>
    </xf>
    <xf numFmtId="0" fontId="37" fillId="0" borderId="1" xfId="0" applyFont="1" applyBorder="1" applyAlignment="1">
      <alignment wrapText="1"/>
    </xf>
    <xf numFmtId="0" fontId="7" fillId="0" borderId="14" xfId="0" applyFont="1" applyBorder="1" applyAlignment="1">
      <alignment horizontal="center" vertical="center" wrapText="1"/>
    </xf>
    <xf numFmtId="0" fontId="37" fillId="0" borderId="7" xfId="0" applyFont="1" applyBorder="1" applyAlignment="1">
      <alignment horizontal="center" vertical="center" wrapText="1"/>
    </xf>
    <xf numFmtId="0" fontId="37" fillId="0" borderId="3" xfId="0" applyFont="1" applyBorder="1" applyAlignment="1">
      <alignment horizontal="center" vertical="center" wrapText="1"/>
    </xf>
    <xf numFmtId="1" fontId="37" fillId="17" borderId="5" xfId="0" applyNumberFormat="1" applyFont="1" applyFill="1" applyBorder="1" applyAlignment="1">
      <alignment horizontal="center" vertical="center" wrapText="1"/>
    </xf>
    <xf numFmtId="0" fontId="37" fillId="0" borderId="2" xfId="0" applyFont="1" applyBorder="1" applyAlignment="1">
      <alignment wrapText="1"/>
    </xf>
    <xf numFmtId="0" fontId="37" fillId="0" borderId="6" xfId="0" applyFont="1" applyBorder="1" applyAlignment="1">
      <alignment horizontal="center" vertical="center" wrapText="1"/>
    </xf>
    <xf numFmtId="0" fontId="37" fillId="0" borderId="14" xfId="0" applyFont="1" applyBorder="1" applyAlignment="1">
      <alignment horizontal="center" vertical="center" wrapText="1"/>
    </xf>
    <xf numFmtId="0" fontId="50" fillId="0" borderId="1" xfId="0" applyFont="1" applyBorder="1" applyAlignment="1">
      <alignment horizontal="center" wrapText="1"/>
    </xf>
    <xf numFmtId="0" fontId="50" fillId="0" borderId="1" xfId="0" applyFont="1" applyBorder="1" applyAlignment="1">
      <alignment horizontal="center" vertical="center" wrapText="1"/>
    </xf>
    <xf numFmtId="17" fontId="11" fillId="0" borderId="1" xfId="0" applyNumberFormat="1" applyFont="1" applyBorder="1" applyAlignment="1">
      <alignment horizontal="center" vertical="center" wrapText="1"/>
    </xf>
    <xf numFmtId="0" fontId="11" fillId="11" borderId="1" xfId="0" applyFont="1" applyFill="1" applyBorder="1" applyAlignment="1">
      <alignment horizontal="center" vertical="center" wrapText="1"/>
    </xf>
    <xf numFmtId="0" fontId="0" fillId="0" borderId="1" xfId="0" applyBorder="1" applyAlignment="1">
      <alignment horizontal="center" vertical="center" wrapText="1"/>
    </xf>
    <xf numFmtId="0" fontId="53" fillId="0" borderId="1" xfId="0" applyFont="1" applyBorder="1" applyAlignment="1">
      <alignment horizontal="center" wrapText="1"/>
    </xf>
    <xf numFmtId="14" fontId="1" fillId="27" borderId="1" xfId="0" applyNumberFormat="1" applyFont="1" applyFill="1" applyBorder="1" applyAlignment="1">
      <alignment horizontal="center" vertical="center" wrapText="1"/>
    </xf>
    <xf numFmtId="0" fontId="49" fillId="27" borderId="1" xfId="0" applyFont="1" applyFill="1" applyBorder="1" applyAlignment="1">
      <alignment horizontal="center" vertical="center" wrapText="1"/>
    </xf>
    <xf numFmtId="0" fontId="1" fillId="27" borderId="1" xfId="0" applyFont="1" applyFill="1" applyBorder="1" applyAlignment="1">
      <alignment horizontal="center" vertical="center" wrapText="1"/>
    </xf>
    <xf numFmtId="0" fontId="67" fillId="0" borderId="10" xfId="0" applyFont="1" applyBorder="1" applyAlignment="1">
      <alignment horizontal="center" vertical="center"/>
    </xf>
    <xf numFmtId="4" fontId="67" fillId="0" borderId="10" xfId="0" applyNumberFormat="1" applyFont="1" applyBorder="1" applyAlignment="1">
      <alignment horizontal="center" vertical="center"/>
    </xf>
    <xf numFmtId="0" fontId="4" fillId="21" borderId="14" xfId="0" applyFont="1" applyFill="1" applyBorder="1" applyAlignment="1">
      <alignment horizontal="center" vertical="center"/>
    </xf>
    <xf numFmtId="0" fontId="4" fillId="21" borderId="6" xfId="0" applyFont="1" applyFill="1" applyBorder="1" applyAlignment="1">
      <alignment horizontal="center" vertical="center" wrapText="1"/>
    </xf>
    <xf numFmtId="0" fontId="4" fillId="21" borderId="7"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4" fillId="21" borderId="5" xfId="0" applyFont="1" applyFill="1" applyBorder="1" applyAlignment="1">
      <alignment horizontal="center" vertical="center" wrapText="1"/>
    </xf>
    <xf numFmtId="0" fontId="5" fillId="21" borderId="10" xfId="0" applyFont="1" applyFill="1" applyBorder="1" applyAlignment="1">
      <alignment horizontal="center" vertical="center" wrapText="1"/>
    </xf>
    <xf numFmtId="0" fontId="5" fillId="21" borderId="10" xfId="0" applyFont="1" applyFill="1" applyBorder="1" applyAlignment="1">
      <alignment horizontal="center" vertical="center"/>
    </xf>
    <xf numFmtId="0" fontId="4" fillId="21" borderId="10" xfId="0" applyFont="1" applyFill="1" applyBorder="1" applyAlignment="1">
      <alignment horizontal="center" vertical="center"/>
    </xf>
    <xf numFmtId="0" fontId="5" fillId="11" borderId="1" xfId="0" applyFont="1" applyFill="1" applyBorder="1" applyAlignment="1">
      <alignment horizontal="center" vertical="center"/>
    </xf>
    <xf numFmtId="0" fontId="5" fillId="11" borderId="14" xfId="0" applyFont="1" applyFill="1" applyBorder="1" applyAlignment="1">
      <alignment horizontal="center" vertical="center"/>
    </xf>
    <xf numFmtId="1" fontId="4" fillId="17" borderId="18" xfId="0" applyNumberFormat="1" applyFont="1" applyFill="1" applyBorder="1" applyAlignment="1">
      <alignment horizontal="center" vertical="center" wrapText="1"/>
    </xf>
    <xf numFmtId="0" fontId="5" fillId="0" borderId="14" xfId="0" applyFont="1" applyBorder="1" applyAlignment="1">
      <alignment horizontal="center" vertical="center" wrapText="1" indent="1"/>
    </xf>
    <xf numFmtId="164" fontId="5" fillId="0" borderId="2" xfId="0" applyNumberFormat="1" applyFont="1" applyBorder="1" applyAlignment="1">
      <alignment horizontal="center" vertical="center"/>
    </xf>
    <xf numFmtId="0" fontId="5" fillId="21" borderId="3" xfId="0" applyFont="1" applyFill="1" applyBorder="1" applyAlignment="1">
      <alignment horizontal="center" vertical="center"/>
    </xf>
    <xf numFmtId="0" fontId="14" fillId="27" borderId="22" xfId="0" applyFont="1" applyFill="1" applyBorder="1" applyAlignment="1">
      <alignment horizontal="center" vertical="center" wrapText="1"/>
    </xf>
    <xf numFmtId="0" fontId="14" fillId="27" borderId="23" xfId="0" applyFont="1" applyFill="1" applyBorder="1" applyAlignment="1">
      <alignment horizontal="center" vertical="center" wrapText="1"/>
    </xf>
    <xf numFmtId="0" fontId="68" fillId="27" borderId="23" xfId="0" applyFont="1" applyFill="1" applyBorder="1" applyAlignment="1">
      <alignment horizontal="center" vertical="center" wrapText="1"/>
    </xf>
    <xf numFmtId="0" fontId="14" fillId="0" borderId="0" xfId="0" applyFont="1" applyAlignment="1">
      <alignment horizontal="center" vertical="center" wrapText="1"/>
    </xf>
    <xf numFmtId="14" fontId="65" fillId="0" borderId="1" xfId="0" applyNumberFormat="1" applyFont="1" applyBorder="1" applyAlignment="1">
      <alignment horizontal="center" vertical="center"/>
    </xf>
    <xf numFmtId="0" fontId="12" fillId="13" borderId="1" xfId="0" applyFont="1" applyFill="1" applyBorder="1" applyAlignment="1">
      <alignment horizontal="center" vertical="center" wrapText="1"/>
    </xf>
    <xf numFmtId="0" fontId="3" fillId="0" borderId="1" xfId="0" applyFont="1" applyBorder="1" applyAlignment="1">
      <alignment horizontal="center" vertical="center"/>
    </xf>
    <xf numFmtId="2" fontId="4" fillId="14" borderId="1" xfId="0" applyNumberFormat="1" applyFont="1" applyFill="1" applyBorder="1" applyAlignment="1">
      <alignment horizontal="center" vertical="center"/>
    </xf>
    <xf numFmtId="0" fontId="69" fillId="0" borderId="1" xfId="1" applyBorder="1" applyAlignment="1">
      <alignment horizontal="left" vertical="center"/>
    </xf>
    <xf numFmtId="2" fontId="4" fillId="14" borderId="1" xfId="0" applyNumberFormat="1" applyFont="1" applyFill="1" applyBorder="1"/>
    <xf numFmtId="0" fontId="3" fillId="12" borderId="24" xfId="0" applyFont="1" applyFill="1" applyBorder="1" applyAlignment="1">
      <alignment horizontal="center" vertical="center" wrapText="1"/>
    </xf>
    <xf numFmtId="9" fontId="4" fillId="10" borderId="24" xfId="0" applyNumberFormat="1" applyFont="1" applyFill="1" applyBorder="1" applyAlignment="1">
      <alignment horizontal="center" vertical="center"/>
    </xf>
    <xf numFmtId="43" fontId="4" fillId="10" borderId="24" xfId="0" applyNumberFormat="1" applyFont="1" applyFill="1" applyBorder="1"/>
    <xf numFmtId="0" fontId="14" fillId="24" borderId="10" xfId="0" applyFont="1" applyFill="1" applyBorder="1" applyAlignment="1">
      <alignment horizontal="center" vertical="center" wrapText="1"/>
    </xf>
    <xf numFmtId="0" fontId="4" fillId="0" borderId="25" xfId="0" applyFont="1" applyBorder="1" applyAlignment="1">
      <alignment horizontal="center" vertical="center"/>
    </xf>
    <xf numFmtId="0" fontId="4" fillId="0" borderId="12" xfId="0" applyFont="1" applyBorder="1" applyAlignment="1">
      <alignment horizontal="center" vertical="center"/>
    </xf>
    <xf numFmtId="0" fontId="0" fillId="11" borderId="10" xfId="0" applyFill="1" applyBorder="1"/>
    <xf numFmtId="0" fontId="70" fillId="21" borderId="10" xfId="0" applyFont="1" applyFill="1" applyBorder="1"/>
    <xf numFmtId="0" fontId="70" fillId="25" borderId="10" xfId="0" applyFont="1" applyFill="1" applyBorder="1"/>
    <xf numFmtId="0" fontId="70" fillId="9" borderId="10" xfId="0" applyFont="1" applyFill="1" applyBorder="1"/>
    <xf numFmtId="4" fontId="51" fillId="0" borderId="1" xfId="0" applyNumberFormat="1" applyFont="1" applyBorder="1" applyAlignment="1">
      <alignment horizontal="center" vertical="center"/>
    </xf>
    <xf numFmtId="0" fontId="69" fillId="0" borderId="1" xfId="1" applyBorder="1" applyAlignment="1">
      <alignment horizontal="center" vertical="center"/>
    </xf>
    <xf numFmtId="0" fontId="69" fillId="0" borderId="14" xfId="1" applyBorder="1" applyAlignment="1">
      <alignment horizontal="left" vertical="center"/>
    </xf>
    <xf numFmtId="0" fontId="69" fillId="0" borderId="1" xfId="1" applyBorder="1" applyAlignment="1">
      <alignment horizontal="left" vertical="center" wrapText="1"/>
    </xf>
    <xf numFmtId="0" fontId="69" fillId="0" borderId="1" xfId="1" applyBorder="1" applyAlignment="1">
      <alignment horizontal="center" vertical="center" wrapText="1"/>
    </xf>
    <xf numFmtId="0" fontId="2" fillId="2" borderId="3" xfId="0" applyFont="1" applyFill="1" applyBorder="1" applyAlignment="1">
      <alignment horizontal="center" vertical="center" wrapText="1"/>
    </xf>
    <xf numFmtId="0" fontId="71" fillId="11" borderId="0" xfId="0" applyFont="1" applyFill="1"/>
    <xf numFmtId="0" fontId="14" fillId="27" borderId="2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5" xfId="0" applyFont="1" applyBorder="1" applyAlignment="1">
      <alignment horizontal="left" vertical="top"/>
    </xf>
    <xf numFmtId="0" fontId="69" fillId="0" borderId="5" xfId="1" applyBorder="1" applyAlignment="1">
      <alignment horizontal="center" vertical="center"/>
    </xf>
    <xf numFmtId="10" fontId="4" fillId="0" borderId="1" xfId="0" applyNumberFormat="1" applyFont="1" applyBorder="1" applyAlignment="1">
      <alignment horizontal="center" vertical="center" wrapText="1"/>
    </xf>
    <xf numFmtId="0" fontId="51" fillId="0" borderId="1" xfId="0" applyFont="1" applyBorder="1" applyAlignment="1">
      <alignment horizontal="center" vertical="center" wrapText="1"/>
    </xf>
    <xf numFmtId="0" fontId="11" fillId="0" borderId="0" xfId="0" applyFont="1" applyAlignment="1">
      <alignment horizontal="center" vertical="center"/>
    </xf>
    <xf numFmtId="14" fontId="11" fillId="0" borderId="1" xfId="0" applyNumberFormat="1" applyFont="1" applyBorder="1" applyAlignment="1">
      <alignment horizontal="center" vertical="center"/>
    </xf>
    <xf numFmtId="166" fontId="11" fillId="0" borderId="1" xfId="0" applyNumberFormat="1" applyFont="1" applyBorder="1" applyAlignment="1">
      <alignment horizontal="center" vertical="center"/>
    </xf>
    <xf numFmtId="0" fontId="66" fillId="0" borderId="0" xfId="0" applyFont="1"/>
    <xf numFmtId="0" fontId="0" fillId="0" borderId="2" xfId="0" applyBorder="1"/>
    <xf numFmtId="0" fontId="65" fillId="21" borderId="1" xfId="0" applyFont="1" applyFill="1" applyBorder="1" applyAlignment="1">
      <alignment horizontal="center" vertical="center"/>
    </xf>
    <xf numFmtId="0" fontId="51" fillId="0" borderId="0" xfId="0" applyFont="1" applyAlignment="1">
      <alignment horizontal="center" vertical="center"/>
    </xf>
    <xf numFmtId="0" fontId="51" fillId="0" borderId="1" xfId="0" applyFont="1" applyBorder="1" applyAlignment="1">
      <alignment horizontal="center"/>
    </xf>
    <xf numFmtId="0" fontId="51" fillId="0" borderId="1" xfId="0" applyFont="1" applyBorder="1" applyAlignment="1">
      <alignment horizontal="center" vertical="center"/>
    </xf>
    <xf numFmtId="15" fontId="51" fillId="0" borderId="1" xfId="0" applyNumberFormat="1" applyFont="1" applyBorder="1" applyAlignment="1">
      <alignment horizontal="center" vertical="center"/>
    </xf>
    <xf numFmtId="0" fontId="11" fillId="21" borderId="1" xfId="0" applyFont="1" applyFill="1" applyBorder="1" applyAlignment="1">
      <alignment horizontal="center" vertical="center"/>
    </xf>
    <xf numFmtId="0" fontId="11" fillId="21" borderId="1" xfId="0" applyFont="1" applyFill="1" applyBorder="1" applyAlignment="1">
      <alignment horizontal="center" vertical="center" wrapText="1"/>
    </xf>
    <xf numFmtId="0" fontId="72" fillId="11" borderId="1" xfId="0" applyFont="1" applyFill="1" applyBorder="1" applyAlignment="1">
      <alignment horizontal="center" vertical="center"/>
    </xf>
    <xf numFmtId="0" fontId="65" fillId="15" borderId="1" xfId="0" applyFont="1" applyFill="1" applyBorder="1" applyAlignment="1">
      <alignment horizontal="center" vertical="center"/>
    </xf>
    <xf numFmtId="0" fontId="51" fillId="15" borderId="1" xfId="0" applyFont="1" applyFill="1" applyBorder="1" applyAlignment="1">
      <alignment horizontal="center" vertical="center"/>
    </xf>
    <xf numFmtId="15" fontId="65" fillId="15" borderId="1" xfId="0" applyNumberFormat="1" applyFont="1" applyFill="1" applyBorder="1" applyAlignment="1">
      <alignment horizontal="center" vertical="center"/>
    </xf>
    <xf numFmtId="0" fontId="65" fillId="15" borderId="0" xfId="0" applyFont="1" applyFill="1" applyAlignment="1">
      <alignment horizontal="center" vertical="center"/>
    </xf>
    <xf numFmtId="0" fontId="53" fillId="15" borderId="1" xfId="0" applyFont="1" applyFill="1" applyBorder="1" applyAlignment="1">
      <alignment wrapText="1"/>
    </xf>
    <xf numFmtId="0" fontId="53" fillId="15" borderId="0" xfId="0" applyFont="1" applyFill="1" applyAlignment="1">
      <alignment wrapText="1"/>
    </xf>
    <xf numFmtId="15" fontId="65" fillId="15" borderId="0" xfId="0" applyNumberFormat="1" applyFont="1" applyFill="1" applyAlignment="1">
      <alignment horizontal="center" vertical="center"/>
    </xf>
    <xf numFmtId="0" fontId="11" fillId="28" borderId="1" xfId="0" applyFont="1" applyFill="1" applyBorder="1" applyAlignment="1">
      <alignment horizontal="center" vertical="center"/>
    </xf>
    <xf numFmtId="0" fontId="11" fillId="9" borderId="1" xfId="0" applyFont="1" applyFill="1" applyBorder="1" applyAlignment="1">
      <alignment horizontal="center" vertical="center"/>
    </xf>
    <xf numFmtId="15" fontId="4" fillId="15" borderId="1" xfId="0" applyNumberFormat="1" applyFont="1" applyFill="1" applyBorder="1" applyAlignment="1">
      <alignment horizontal="center" vertical="center"/>
    </xf>
    <xf numFmtId="0" fontId="65" fillId="25" borderId="1" xfId="0" applyFont="1" applyFill="1" applyBorder="1" applyAlignment="1">
      <alignment horizontal="center" vertical="center"/>
    </xf>
    <xf numFmtId="15" fontId="65" fillId="25" borderId="1" xfId="0" applyNumberFormat="1" applyFont="1" applyFill="1" applyBorder="1" applyAlignment="1">
      <alignment horizontal="center" vertical="center"/>
    </xf>
    <xf numFmtId="0" fontId="65" fillId="25" borderId="0" xfId="0" applyFont="1" applyFill="1" applyAlignment="1">
      <alignment horizontal="center" vertical="center"/>
    </xf>
    <xf numFmtId="0" fontId="51" fillId="0" borderId="10" xfId="0" applyFont="1" applyBorder="1" applyAlignment="1">
      <alignment horizontal="center" vertical="center" wrapText="1"/>
    </xf>
    <xf numFmtId="0" fontId="65" fillId="11" borderId="1" xfId="0" applyFont="1" applyFill="1" applyBorder="1" applyAlignment="1">
      <alignment horizontal="center" vertical="center"/>
    </xf>
    <xf numFmtId="15" fontId="65" fillId="11" borderId="1" xfId="0" applyNumberFormat="1" applyFont="1" applyFill="1" applyBorder="1" applyAlignment="1">
      <alignment horizontal="center" vertical="center"/>
    </xf>
    <xf numFmtId="10" fontId="4" fillId="0" borderId="10" xfId="0" applyNumberFormat="1" applyFont="1" applyBorder="1"/>
    <xf numFmtId="0" fontId="14" fillId="24" borderId="1" xfId="0" applyFont="1" applyFill="1" applyBorder="1" applyAlignment="1">
      <alignment horizontal="center" vertical="center" wrapText="1"/>
    </xf>
    <xf numFmtId="0" fontId="14" fillId="24" borderId="25" xfId="0" applyFont="1" applyFill="1" applyBorder="1" applyAlignment="1">
      <alignment horizontal="center" vertical="center" wrapText="1"/>
    </xf>
    <xf numFmtId="0" fontId="4" fillId="11" borderId="14" xfId="0" applyFont="1" applyFill="1" applyBorder="1" applyAlignment="1">
      <alignment horizontal="center" vertical="center" wrapText="1"/>
    </xf>
    <xf numFmtId="0" fontId="4" fillId="11" borderId="19" xfId="0" applyFont="1" applyFill="1" applyBorder="1" applyAlignment="1">
      <alignment horizontal="center" vertical="center" wrapText="1"/>
    </xf>
    <xf numFmtId="0" fontId="4" fillId="11" borderId="6"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4" fillId="11" borderId="1" xfId="0" applyFont="1" applyFill="1" applyBorder="1" applyAlignment="1">
      <alignment horizontal="center" vertical="center" indent="2"/>
    </xf>
    <xf numFmtId="0" fontId="69" fillId="0" borderId="1" xfId="1" applyBorder="1"/>
    <xf numFmtId="0" fontId="69" fillId="0" borderId="1" xfId="1" applyBorder="1" applyAlignment="1">
      <alignment horizontal="left" vertical="top"/>
    </xf>
    <xf numFmtId="4" fontId="4" fillId="0" borderId="0" xfId="0" applyNumberFormat="1" applyFont="1"/>
    <xf numFmtId="0" fontId="69" fillId="0" borderId="0" xfId="1" applyAlignment="1">
      <alignment horizontal="center" vertical="center"/>
    </xf>
    <xf numFmtId="0" fontId="69" fillId="0" borderId="0" xfId="1"/>
    <xf numFmtId="0" fontId="69" fillId="11" borderId="1" xfId="1" applyFill="1" applyBorder="1" applyAlignment="1">
      <alignment horizontal="center" vertical="center"/>
    </xf>
    <xf numFmtId="0" fontId="5" fillId="11" borderId="1" xfId="0" applyFont="1" applyFill="1" applyBorder="1" applyAlignment="1">
      <alignment horizontal="center" vertical="center" indent="1"/>
    </xf>
    <xf numFmtId="16" fontId="5" fillId="0" borderId="1" xfId="0" applyNumberFormat="1" applyFont="1" applyBorder="1" applyAlignment="1">
      <alignment horizontal="center" vertical="center" indent="1"/>
    </xf>
    <xf numFmtId="0" fontId="4" fillId="0" borderId="19" xfId="0" applyFont="1" applyBorder="1" applyAlignment="1">
      <alignment horizontal="center" vertical="center" wrapText="1"/>
    </xf>
    <xf numFmtId="0" fontId="26" fillId="0" borderId="14" xfId="0" applyFont="1" applyBorder="1" applyAlignment="1">
      <alignment horizontal="left" wrapText="1"/>
    </xf>
    <xf numFmtId="0" fontId="13" fillId="10"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4" fillId="8" borderId="1" xfId="0" applyFont="1" applyFill="1" applyBorder="1" applyAlignment="1">
      <alignment horizontal="center" vertical="center" readingOrder="1"/>
    </xf>
    <xf numFmtId="4" fontId="4" fillId="8" borderId="1" xfId="0" applyNumberFormat="1" applyFont="1" applyFill="1" applyBorder="1" applyAlignment="1">
      <alignment horizontal="center" vertical="center"/>
    </xf>
    <xf numFmtId="0" fontId="5" fillId="8" borderId="1" xfId="0" applyFont="1" applyFill="1" applyBorder="1" applyAlignment="1">
      <alignment horizontal="center" vertical="center"/>
    </xf>
    <xf numFmtId="164" fontId="4" fillId="8" borderId="1" xfId="0" applyNumberFormat="1" applyFont="1" applyFill="1" applyBorder="1" applyAlignment="1">
      <alignment horizontal="center" vertical="center"/>
    </xf>
    <xf numFmtId="1" fontId="4" fillId="8" borderId="1" xfId="0" applyNumberFormat="1" applyFont="1" applyFill="1" applyBorder="1" applyAlignment="1">
      <alignment horizontal="center" vertical="center" wrapText="1"/>
    </xf>
    <xf numFmtId="3" fontId="4" fillId="8" borderId="1" xfId="0" applyNumberFormat="1" applyFont="1" applyFill="1" applyBorder="1" applyAlignment="1">
      <alignment horizontal="center" vertical="center"/>
    </xf>
    <xf numFmtId="10" fontId="4" fillId="8" borderId="1" xfId="0" applyNumberFormat="1" applyFont="1" applyFill="1" applyBorder="1" applyAlignment="1">
      <alignment horizontal="center" vertical="center"/>
    </xf>
    <xf numFmtId="15" fontId="4" fillId="8" borderId="1" xfId="0" applyNumberFormat="1" applyFont="1" applyFill="1" applyBorder="1" applyAlignment="1">
      <alignment horizontal="center" vertical="center"/>
    </xf>
    <xf numFmtId="0" fontId="4" fillId="8" borderId="1" xfId="0" applyFont="1" applyFill="1" applyBorder="1" applyAlignment="1">
      <alignment horizontal="left" vertical="top"/>
    </xf>
    <xf numFmtId="0" fontId="4" fillId="8" borderId="0" xfId="0" applyFont="1" applyFill="1" applyAlignment="1">
      <alignment horizontal="center" vertical="center"/>
    </xf>
    <xf numFmtId="0" fontId="34" fillId="0" borderId="1" xfId="0" applyFont="1" applyBorder="1" applyAlignment="1">
      <alignment horizontal="center" vertical="center"/>
    </xf>
    <xf numFmtId="0" fontId="71" fillId="0" borderId="0" xfId="0" applyFont="1" applyAlignment="1">
      <alignment horizontal="center" vertical="center"/>
    </xf>
    <xf numFmtId="0" fontId="71" fillId="0" borderId="1" xfId="0" applyFont="1" applyBorder="1" applyAlignment="1">
      <alignment horizontal="center" vertical="center"/>
    </xf>
    <xf numFmtId="0" fontId="0" fillId="0" borderId="1" xfId="0" applyBorder="1" applyAlignment="1">
      <alignment horizontal="right" vertical="center"/>
    </xf>
    <xf numFmtId="0" fontId="0" fillId="0" borderId="1" xfId="0" applyBorder="1" applyAlignment="1">
      <alignment horizontal="right"/>
    </xf>
    <xf numFmtId="0" fontId="0" fillId="0" borderId="3" xfId="0" applyBorder="1" applyAlignment="1">
      <alignment horizontal="right"/>
    </xf>
    <xf numFmtId="0" fontId="0" fillId="0" borderId="3" xfId="0" applyBorder="1" applyAlignment="1">
      <alignment horizontal="center" vertical="center"/>
    </xf>
    <xf numFmtId="0" fontId="71" fillId="0" borderId="1" xfId="0" applyFont="1" applyBorder="1" applyAlignment="1">
      <alignment horizontal="right"/>
    </xf>
    <xf numFmtId="0" fontId="0" fillId="0" borderId="5" xfId="0" applyBorder="1" applyAlignment="1">
      <alignment horizontal="center" vertical="center"/>
    </xf>
    <xf numFmtId="0" fontId="71" fillId="0" borderId="3" xfId="0" applyFont="1" applyBorder="1" applyAlignment="1">
      <alignment horizontal="center" vertical="center"/>
    </xf>
    <xf numFmtId="15" fontId="11" fillId="21" borderId="1" xfId="0" applyNumberFormat="1" applyFont="1" applyFill="1" applyBorder="1" applyAlignment="1">
      <alignment horizontal="center" vertical="center"/>
    </xf>
    <xf numFmtId="0" fontId="37" fillId="0" borderId="0" xfId="0" applyFont="1" applyAlignment="1">
      <alignment horizontal="center" vertical="center" wrapText="1"/>
    </xf>
    <xf numFmtId="164" fontId="37" fillId="0" borderId="0" xfId="0" applyNumberFormat="1" applyFont="1" applyAlignment="1">
      <alignment horizontal="center" vertical="center" wrapText="1"/>
    </xf>
    <xf numFmtId="0" fontId="71" fillId="29" borderId="1" xfId="0" applyFont="1" applyFill="1" applyBorder="1" applyAlignment="1">
      <alignment horizontal="center" vertical="center"/>
    </xf>
    <xf numFmtId="0" fontId="65" fillId="0" borderId="1" xfId="0" applyFont="1" applyBorder="1" applyAlignment="1">
      <alignment horizontal="center" vertical="center" wrapText="1"/>
    </xf>
    <xf numFmtId="0" fontId="71" fillId="0" borderId="0" xfId="0" applyFont="1"/>
    <xf numFmtId="15" fontId="4" fillId="0" borderId="1" xfId="0" applyNumberFormat="1" applyFont="1" applyBorder="1" applyAlignment="1">
      <alignment horizontal="center" wrapText="1"/>
    </xf>
    <xf numFmtId="15" fontId="0" fillId="0" borderId="1" xfId="0" applyNumberFormat="1" applyBorder="1" applyAlignment="1">
      <alignment wrapText="1"/>
    </xf>
    <xf numFmtId="0" fontId="10" fillId="0" borderId="1" xfId="0" applyFont="1" applyBorder="1" applyAlignment="1">
      <alignment horizontal="center"/>
    </xf>
    <xf numFmtId="0" fontId="31" fillId="30" borderId="1" xfId="0" applyFont="1" applyFill="1" applyBorder="1" applyAlignment="1">
      <alignment horizontal="center" vertical="center" wrapText="1"/>
    </xf>
    <xf numFmtId="0" fontId="4" fillId="0" borderId="24" xfId="0" applyFont="1" applyBorder="1" applyAlignment="1">
      <alignment horizontal="center" vertical="center"/>
    </xf>
    <xf numFmtId="0" fontId="2" fillId="16" borderId="27" xfId="0" applyFont="1" applyFill="1" applyBorder="1" applyAlignment="1">
      <alignment horizontal="center" vertical="center"/>
    </xf>
    <xf numFmtId="16" fontId="65" fillId="0" borderId="0" xfId="0" applyNumberFormat="1" applyFont="1" applyAlignment="1">
      <alignment horizontal="center" vertical="center"/>
    </xf>
    <xf numFmtId="15" fontId="65" fillId="0" borderId="0" xfId="0" applyNumberFormat="1" applyFont="1" applyAlignment="1">
      <alignment horizontal="center" vertical="center"/>
    </xf>
    <xf numFmtId="0" fontId="11" fillId="9" borderId="1" xfId="0" applyFont="1" applyFill="1" applyBorder="1" applyAlignment="1">
      <alignment horizontal="center" vertical="center" wrapText="1"/>
    </xf>
    <xf numFmtId="15" fontId="11" fillId="9" borderId="1" xfId="0" applyNumberFormat="1" applyFont="1" applyFill="1" applyBorder="1" applyAlignment="1">
      <alignment horizontal="center" vertical="center"/>
    </xf>
    <xf numFmtId="0" fontId="0" fillId="9" borderId="1" xfId="0" applyFill="1" applyBorder="1"/>
    <xf numFmtId="15" fontId="0" fillId="9" borderId="1" xfId="0" applyNumberFormat="1" applyFill="1" applyBorder="1"/>
    <xf numFmtId="15" fontId="11" fillId="22" borderId="1" xfId="0" applyNumberFormat="1" applyFont="1" applyFill="1" applyBorder="1" applyAlignment="1">
      <alignment horizontal="center" vertical="center"/>
    </xf>
    <xf numFmtId="0" fontId="11" fillId="22" borderId="1" xfId="0" applyFont="1" applyFill="1" applyBorder="1" applyAlignment="1">
      <alignment horizontal="center" vertical="center"/>
    </xf>
    <xf numFmtId="0" fontId="11" fillId="22" borderId="1" xfId="0" applyFont="1" applyFill="1" applyBorder="1" applyAlignment="1">
      <alignment horizontal="center" vertical="center" wrapText="1"/>
    </xf>
    <xf numFmtId="0" fontId="38" fillId="22" borderId="1" xfId="0" applyFont="1" applyFill="1" applyBorder="1"/>
    <xf numFmtId="0" fontId="38" fillId="22" borderId="0" xfId="0" applyFont="1" applyFill="1"/>
    <xf numFmtId="0" fontId="0" fillId="11" borderId="0" xfId="0" applyFill="1" applyAlignment="1">
      <alignment horizontal="center"/>
    </xf>
    <xf numFmtId="0" fontId="71" fillId="0" borderId="3" xfId="0" applyFont="1" applyBorder="1" applyAlignment="1">
      <alignment horizontal="center" vertical="center"/>
    </xf>
    <xf numFmtId="0" fontId="71" fillId="0" borderId="18" xfId="0" applyFont="1" applyBorder="1" applyAlignment="1">
      <alignment horizontal="center" vertical="center"/>
    </xf>
    <xf numFmtId="0" fontId="71" fillId="0" borderId="14" xfId="0" applyFont="1" applyBorder="1" applyAlignment="1">
      <alignment horizontal="center" vertical="center"/>
    </xf>
    <xf numFmtId="0" fontId="56" fillId="26" borderId="1" xfId="0" applyFont="1" applyFill="1" applyBorder="1" applyAlignment="1">
      <alignment horizontal="center" vertical="center"/>
    </xf>
  </cellXfs>
  <cellStyles count="2">
    <cellStyle name="Hyperlink" xfId="1" builtinId="8"/>
    <cellStyle name="Normal" xfId="0" builtinId="0"/>
  </cellStyles>
  <dxfs count="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19" formatCode="m/d/yyyy"/>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theme="0"/>
        </patternFill>
      </fill>
    </dxf>
    <dxf>
      <fill>
        <patternFill patternType="solid">
          <fgColor indexed="64"/>
          <bgColor theme="0"/>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horizontal="center"/>
    </dxf>
    <dxf>
      <alignment horizontal="center"/>
    </dxf>
    <dxf>
      <alignment horizontal="center"/>
    </dxf>
    <dxf>
      <alignment horizontal="center"/>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horizontal="center"/>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pivotCacheDefinition" Target="pivotCache/pivotCacheDefinition1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6.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pivotCacheDefinition" Target="pivotCache/pivotCacheDefinition9.xml"/><Relationship Id="rId37" Type="http://schemas.openxmlformats.org/officeDocument/2006/relationships/connections" Target="connection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pivotCacheDefinition" Target="pivotCache/pivotCacheDefinition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pivotCacheDefinition" Target="pivotCache/pivotCacheDefinition10.xml"/><Relationship Id="rId38"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3SolidwasteMgmt" id="{28DF95BF-1E96-4948-BB73-79CD573D7458}" userId="S::eswmr3@emb.gov.ph::a4dc9ab4-55e8-4d84-89fd-c104b128729e" providerId="AD"/>
  <person displayName="Ma. Erlinda Eugenio" id="{0D8033B7-3100-48AD-B3D5-98CDD2CB47F7}" userId="S::erlinda_eugenio@emb.gov.ph::b9f35759-2507-4725-97c4-5cadec58650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7.607036805559" createdVersion="8" refreshedVersion="8" minRefreshableVersion="3" recordCount="3" xr:uid="{3C8E91B2-EC8D-4EAF-87C1-E453C1F90482}">
  <cacheSource type="worksheet">
    <worksheetSource ref="A1:AQ4" sheet="ODS 3"/>
  </cacheSource>
  <cacheFields count="43">
    <cacheField name="Province" numFmtId="0">
      <sharedItems count="2">
        <s v="Bulacan"/>
        <s v="Zambales"/>
      </sharedItems>
    </cacheField>
    <cacheField name="Municipality" numFmtId="0">
      <sharedItems/>
    </cacheField>
    <cacheField name="Barangay" numFmtId="0">
      <sharedItems/>
    </cacheField>
    <cacheField name="Manila Bay Area (MBA)" numFmtId="0">
      <sharedItems/>
    </cacheField>
    <cacheField name="Congressional District" numFmtId="0">
      <sharedItems containsBlank="1"/>
    </cacheField>
    <cacheField name="Lat." numFmtId="0">
      <sharedItems containsString="0" containsBlank="1" containsNumber="1" minValue="14.871143999999999" maxValue="15.44514167"/>
    </cacheField>
    <cacheField name="Long." numFmtId="0">
      <sharedItems containsString="0" containsBlank="1" containsNumber="1" minValue="120.01627499999999" maxValue="120.972808"/>
    </cacheField>
    <cacheField name="Coordinates" numFmtId="0">
      <sharedItems containsBlank="1"/>
    </cacheField>
    <cacheField name="Year Started Operation" numFmtId="0">
      <sharedItems containsString="0" containsBlank="1" containsNumber="1" containsInteger="1" minValue="2008" maxValue="2015"/>
    </cacheField>
    <cacheField name="Year End Operation" numFmtId="0">
      <sharedItems containsString="0" containsBlank="1" containsNumber="1" containsInteger="1" minValue="2010" maxValue="2010"/>
    </cacheField>
    <cacheField name="Year Fully Rehabilitated" numFmtId="0">
      <sharedItems containsBlank="1" containsMixedTypes="1" containsNumber="1" containsInteger="1" minValue="2018" maxValue="2018"/>
    </cacheField>
    <cacheField name="Year Granted" numFmtId="0">
      <sharedItems containsString="0" containsBlank="1" containsNumber="1" containsInteger="1" minValue="2018" maxValue="2019"/>
    </cacheField>
    <cacheField name="Amount Granted" numFmtId="0">
      <sharedItems containsString="0" containsBlank="1" containsNumber="1" minValue="925569.64" maxValue="1061965.01"/>
    </cacheField>
    <cacheField name="Target Month" numFmtId="0">
      <sharedItems containsBlank="1" count="2">
        <s v="4.April"/>
        <m/>
      </sharedItems>
    </cacheField>
    <cacheField name="ENMO" numFmtId="0">
      <sharedItems containsBlank="1"/>
    </cacheField>
    <cacheField name="ESWM Staff_x000a_(Sub Focal)" numFmtId="0">
      <sharedItems containsNonDate="0" containsString="0" containsBlank="1"/>
    </cacheField>
    <cacheField name="Focal Person" numFmtId="0">
      <sharedItems containsBlank="1"/>
    </cacheField>
    <cacheField name="IIS NUMBER" numFmtId="0">
      <sharedItems containsNonDate="0" containsString="0" containsBlank="1"/>
    </cacheField>
    <cacheField name="Date of Monitoring" numFmtId="0">
      <sharedItems containsNonDate="0" containsString="0" containsBlank="1"/>
    </cacheField>
    <cacheField name="Date Report Prepared (Submitted to IIS by ENMO)" numFmtId="0">
      <sharedItems containsNonDate="0" containsString="0" containsBlank="1"/>
    </cacheField>
    <cacheField name="Date Report Reviewed (by ESWM Staff)" numFmtId="0">
      <sharedItems containsNonDate="0" containsString="0" containsBlank="1"/>
    </cacheField>
    <cacheField name="Date Report Reviewed (by Focal Person)" numFmtId="0">
      <sharedItems containsNonDate="0" containsString="0" containsBlank="1"/>
    </cacheField>
    <cacheField name="Date Report Approved" numFmtId="0">
      <sharedItems containsNonDate="0" containsString="0" containsBlank="1"/>
    </cacheField>
    <cacheField name="Total No. of Days (Report prepared)" numFmtId="0">
      <sharedItems containsBlank="1"/>
    </cacheField>
    <cacheField name="Total No. of Days (Report Reviewed by Sub Focal)" numFmtId="0">
      <sharedItems containsBlank="1"/>
    </cacheField>
    <cacheField name="Total No. of Days (Report Reviewed by Focal)" numFmtId="0">
      <sharedItems containsBlank="1"/>
    </cacheField>
    <cacheField name="Total No. of Days (Report Approved by C, ESWM)" numFmtId="0">
      <sharedItems containsBlank="1"/>
    </cacheField>
    <cacheField name="Tracking of Reports_x000a_(to be filled out by Planning Section)" numFmtId="0">
      <sharedItems containsNonDate="0" containsString="0" containsBlank="1"/>
    </cacheField>
    <cacheField name="Status of the _x000a_site area" numFmtId="0">
      <sharedItems containsNonDate="0" containsString="0" containsBlank="1"/>
    </cacheField>
    <cacheField name="1. Site Clearing" numFmtId="0">
      <sharedItems containsNonDate="0" containsString="0" containsBlank="1"/>
    </cacheField>
    <cacheField name="2. Site Grading and Stabilization of Critical Slopes" numFmtId="0">
      <sharedItems containsNonDate="0" containsString="0" containsBlank="1"/>
    </cacheField>
    <cacheField name="3. Application and Maintenance of Soil Cover" numFmtId="0">
      <sharedItems containsNonDate="0" containsString="0" containsBlank="1"/>
    </cacheField>
    <cacheField name="4. Provision of Drainage Control System" numFmtId="0">
      <sharedItems containsNonDate="0" containsString="0" containsBlank="1"/>
    </cacheField>
    <cacheField name="5. Leachate Management" numFmtId="0">
      <sharedItems containsNonDate="0" containsString="0" containsBlank="1"/>
    </cacheField>
    <cacheField name="6. Gas Management" numFmtId="0">
      <sharedItems containsNonDate="0" containsString="0" containsBlank="1"/>
    </cacheField>
    <cacheField name="7. Fencing and Security" numFmtId="0">
      <sharedItems containsNonDate="0" containsString="0" containsBlank="1"/>
    </cacheField>
    <cacheField name="8. Putting-up of Signages" numFmtId="0">
      <sharedItems containsNonDate="0" containsString="0" containsBlank="1"/>
    </cacheField>
    <cacheField name="9. Prohibition of Burning at the Dumpsite" numFmtId="0">
      <sharedItems containsNonDate="0" containsString="0" containsBlank="1"/>
    </cacheField>
    <cacheField name="Remarks and Recommendation" numFmtId="0">
      <sharedItems containsNonDate="0" containsString="0" containsBlank="1"/>
    </cacheField>
    <cacheField name="Docket No. / NOV" numFmtId="0">
      <sharedItems containsNonDate="0" containsString="0" containsBlank="1"/>
    </cacheField>
    <cacheField name="Date of Issuance of NOV" numFmtId="0">
      <sharedItems containsNonDate="0" containsString="0" containsBlank="1"/>
    </cacheField>
    <cacheField name="Date of Technical Conference" numFmtId="0">
      <sharedItems containsNonDate="0" containsString="0" containsBlank="1"/>
    </cacheField>
    <cacheField name="Commit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7.626063773147" createdVersion="8" refreshedVersion="8" minRefreshableVersion="3" recordCount="135" xr:uid="{023B4D77-4B91-4804-9E11-A0AF8E0A884B}">
  <cacheSource type="worksheet">
    <worksheetSource ref="A1:AG136" sheet="EQUIPMENT"/>
  </cacheSource>
  <cacheFields count="33">
    <cacheField name="Province" numFmtId="0">
      <sharedItems count="14">
        <s v="Aurora"/>
        <s v="Bataan"/>
        <s v="Bulacan"/>
        <s v="Nueva Ecija"/>
        <s v="Pampanga"/>
        <s v="Province of Aurora"/>
        <s v="Province of Bataan"/>
        <s v="Province of Bulacan"/>
        <s v="Province of Nueva Ecija"/>
        <s v="Province of Pampanga"/>
        <s v="Province of Tarlac"/>
        <s v="Province of Zambales"/>
        <s v="Tarlac"/>
        <s v="Zambales"/>
      </sharedItems>
    </cacheField>
    <cacheField name="Municipality" numFmtId="0">
      <sharedItems/>
    </cacheField>
    <cacheField name="Barangay" numFmtId="0">
      <sharedItems/>
    </cacheField>
    <cacheField name="Manila Bay Area (MBA)" numFmtId="0">
      <sharedItems/>
    </cacheField>
    <cacheField name="Congressional District" numFmtId="0">
      <sharedItems containsBlank="1"/>
    </cacheField>
    <cacheField name="Type of Equipment" numFmtId="0">
      <sharedItems/>
    </cacheField>
    <cacheField name="Lat" numFmtId="0">
      <sharedItems containsSemiMixedTypes="0" containsString="0" containsNumber="1" minValue="14.436640000000001" maxValue="16.3917"/>
    </cacheField>
    <cacheField name="Long" numFmtId="0">
      <sharedItems containsSemiMixedTypes="0" containsString="0" containsNumber="1" minValue="15.62927" maxValue="122.21080000000001"/>
    </cacheField>
    <cacheField name="Coordinates" numFmtId="0">
      <sharedItems/>
    </cacheField>
    <cacheField name="Target Month" numFmtId="0">
      <sharedItems containsBlank="1" count="7">
        <m/>
        <s v="6.June"/>
        <s v="5.May"/>
        <s v="4.April"/>
        <s v="2.February"/>
        <s v="1.January"/>
        <s v="3.March"/>
      </sharedItems>
    </cacheField>
    <cacheField name="ENMO Assigned" numFmtId="0">
      <sharedItems containsBlank="1"/>
    </cacheField>
    <cacheField name="ESWM Staff_x000a_" numFmtId="0">
      <sharedItems containsBlank="1"/>
    </cacheField>
    <cacheField name="Focal Person" numFmtId="0">
      <sharedItems/>
    </cacheField>
    <cacheField name="IIS NUMBER" numFmtId="0">
      <sharedItems containsBlank="1"/>
    </cacheField>
    <cacheField name="Date of Monitoring" numFmtId="0">
      <sharedItems containsNonDate="0" containsDate="1" containsString="0" containsBlank="1" minDate="2025-01-15T00:00:00" maxDate="2025-10-25T00:00:00"/>
    </cacheField>
    <cacheField name="Date Report Prepared (Submitted to IIS by ENMO)" numFmtId="0">
      <sharedItems containsNonDate="0" containsString="0" containsBlank="1"/>
    </cacheField>
    <cacheField name="Date Report Reviewed (by ESWM Staff)" numFmtId="0">
      <sharedItems containsNonDate="0" containsString="0" containsBlank="1"/>
    </cacheField>
    <cacheField name="Date Report Reviewed (by Focal Person)" numFmtId="0">
      <sharedItems containsNonDate="0" containsString="0" containsBlank="1"/>
    </cacheField>
    <cacheField name="Date Report Approved" numFmtId="164">
      <sharedItems containsNonDate="0" containsString="0" containsBlank="1"/>
    </cacheField>
    <cacheField name="Total No. of Days (Report prepared)" numFmtId="1">
      <sharedItems/>
    </cacheField>
    <cacheField name="Total No. of Days (Report Reviewed by Sub Focal)" numFmtId="1">
      <sharedItems/>
    </cacheField>
    <cacheField name="Total No. of Days (Report Reviewed by Focal)" numFmtId="1">
      <sharedItems/>
    </cacheField>
    <cacheField name="Total No. of Days (Report Approved by C, ESWM)" numFmtId="1">
      <sharedItems/>
    </cacheField>
    <cacheField name="Tracking of Reports _x000a_(To be filled out by Planning Section)" numFmtId="0">
      <sharedItems containsNonDate="0" containsString="0" containsBlank="1"/>
    </cacheField>
    <cacheField name="Status of Bio Shredder" numFmtId="0">
      <sharedItems containsNonDate="0" containsString="0" containsBlank="1"/>
    </cacheField>
    <cacheField name="Status of Bio Composter" numFmtId="0">
      <sharedItems containsNonDate="0" containsString="0" containsBlank="1"/>
    </cacheField>
    <cacheField name="Weight of Soil Enhancer Produced (kg)" numFmtId="0">
      <sharedItems containsNonDate="0" containsString="0" containsBlank="1"/>
    </cacheField>
    <cacheField name="Status of CCTV" numFmtId="0">
      <sharedItems containsNonDate="0" containsString="0" containsBlank="1"/>
    </cacheField>
    <cacheField name="Status of Plastic Chair Factory" numFmtId="0">
      <sharedItems containsNonDate="0" containsString="0" containsBlank="1"/>
    </cacheField>
    <cacheField name="No. Plastic Chair Produced" numFmtId="0">
      <sharedItems containsNonDate="0" containsString="0" containsBlank="1"/>
    </cacheField>
    <cacheField name="Remarks/Reason for the non-operating equipment" numFmtId="0">
      <sharedItems containsNonDate="0" containsString="0" containsBlank="1"/>
    </cacheField>
    <cacheField name="Advise Letter Issued" numFmtId="0">
      <sharedItems containsNonDate="0" containsString="0" containsBlank="1"/>
    </cacheField>
    <cacheField name="Compliance of LGU to Issued Advise/ Letter"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288220717594" createdVersion="8" refreshedVersion="8" minRefreshableVersion="3" recordCount="80" xr:uid="{2072549D-D761-4B52-B176-A315C08078B5}">
  <cacheSource type="worksheet">
    <worksheetSource ref="A1:AO81" sheet="LGU Initiated MRF"/>
  </cacheSource>
  <cacheFields count="41">
    <cacheField name="Province" numFmtId="0">
      <sharedItems containsBlank="1" count="8">
        <s v="Aurora"/>
        <s v="Bataan"/>
        <s v="Bulacan"/>
        <s v="Nueva Ecija"/>
        <s v="Pampanga"/>
        <s v="Tarlac"/>
        <s v="Zambales"/>
        <m/>
      </sharedItems>
    </cacheField>
    <cacheField name="Municipality" numFmtId="0">
      <sharedItems containsBlank="1"/>
    </cacheField>
    <cacheField name="Barangay" numFmtId="0">
      <sharedItems containsBlank="1"/>
    </cacheField>
    <cacheField name="Manila Bay Area (MBA)" numFmtId="0">
      <sharedItems containsBlank="1"/>
    </cacheField>
    <cacheField name="Congressional District" numFmtId="0">
      <sharedItems containsBlank="1"/>
    </cacheField>
    <cacheField name="Lat" numFmtId="0">
      <sharedItems containsBlank="1" containsMixedTypes="1" containsNumber="1" minValue="14.42460374" maxValue="16.391200000000001"/>
    </cacheField>
    <cacheField name="Long" numFmtId="0">
      <sharedItems containsString="0" containsBlank="1" containsNumber="1" minValue="119.889397" maxValue="122.211"/>
    </cacheField>
    <cacheField name="Coordinates" numFmtId="0">
      <sharedItems containsBlank="1"/>
    </cacheField>
    <cacheField name="Type of MRF" numFmtId="0">
      <sharedItems containsBlank="1"/>
    </cacheField>
    <cacheField name="Target Month" numFmtId="0">
      <sharedItems containsBlank="1" count="7">
        <s v="1.January"/>
        <m/>
        <s v="2.February"/>
        <s v="6.June"/>
        <s v="4.April"/>
        <s v="5.May"/>
        <s v="3.March"/>
      </sharedItems>
    </cacheField>
    <cacheField name="ENMO Assigned" numFmtId="0">
      <sharedItems containsBlank="1"/>
    </cacheField>
    <cacheField name="ESWM Staff_x000a_" numFmtId="0">
      <sharedItems containsNonDate="0" containsString="0" containsBlank="1"/>
    </cacheField>
    <cacheField name="Focal Person" numFmtId="0">
      <sharedItems containsBlank="1"/>
    </cacheField>
    <cacheField name="IIS NUMBER" numFmtId="0">
      <sharedItems containsNonDate="0" containsString="0" containsBlank="1"/>
    </cacheField>
    <cacheField name="Date of Monitoring" numFmtId="0">
      <sharedItems containsNonDate="0" containsString="0" containsBlank="1"/>
    </cacheField>
    <cacheField name="Date Report Prepared (Submitted to IIS by ENMO)" numFmtId="0">
      <sharedItems containsNonDate="0" containsString="0" containsBlank="1"/>
    </cacheField>
    <cacheField name="Date Report Reviewed (by ESWM Staff)" numFmtId="0">
      <sharedItems containsNonDate="0" containsString="0" containsBlank="1"/>
    </cacheField>
    <cacheField name="Date Report Reviewed (by Focal Person)" numFmtId="0">
      <sharedItems containsNonDate="0" containsString="0" containsBlank="1"/>
    </cacheField>
    <cacheField name="Date Report Approved" numFmtId="0">
      <sharedItems containsNonDate="0" containsString="0" containsBlank="1"/>
    </cacheField>
    <cacheField name="Total No. of Days (Report prepared)" numFmtId="0">
      <sharedItems containsBlank="1"/>
    </cacheField>
    <cacheField name="Total No. of Days (Report Reviewed by ESWM Staff)" numFmtId="0">
      <sharedItems containsBlank="1"/>
    </cacheField>
    <cacheField name="Total No. of Days (Report Reviewed by Focal)" numFmtId="0">
      <sharedItems containsBlank="1"/>
    </cacheField>
    <cacheField name="Total No. of Days (Report Approved by C, ESWM)" numFmtId="0">
      <sharedItems containsBlank="1"/>
    </cacheField>
    <cacheField name="Tracking of Reports_x000a_(To be Filled out by Planning Section)" numFmtId="0">
      <sharedItems containsNonDate="0" containsString="0" containsBlank="1"/>
    </cacheField>
    <cacheField name="No. of Brgy. Served" numFmtId="0">
      <sharedItems containsNonDate="0" containsString="0" containsBlank="1"/>
    </cacheField>
    <cacheField name="Equipment used in the Operation of the MRF" numFmtId="0">
      <sharedItems containsNonDate="0" containsString="0" containsBlank="1"/>
    </cacheField>
    <cacheField name="Type of wastes received" numFmtId="0">
      <sharedItems containsNonDate="0" containsString="0" containsBlank="1"/>
    </cacheField>
    <cacheField name="Quantity of waste diverted (kg)" numFmtId="0">
      <sharedItems containsNonDate="0" containsString="0" containsBlank="1"/>
    </cacheField>
    <cacheField name="Total Waste Generation (kg/day)" numFmtId="0">
      <sharedItems containsNonDate="0" containsString="0" containsBlank="1"/>
    </cacheField>
    <cacheField name="Waste Diversion Rate_x000a_(%)" numFmtId="0">
      <sharedItems containsBlank="1"/>
    </cacheField>
    <cacheField name="Status of MRF" numFmtId="0">
      <sharedItems containsNonDate="0" containsString="0" containsBlank="1"/>
    </cacheField>
    <cacheField name="Remarks_x000a_(If Not Operational)" numFmtId="0">
      <sharedItems containsNonDate="0" containsString="0" containsBlank="1"/>
    </cacheField>
    <cacheField name="Remarks and Recommendation_x000a_(Compliant/ Non-Compliant)" numFmtId="0">
      <sharedItems containsNonDate="0" containsString="0" containsBlank="1"/>
    </cacheField>
    <cacheField name="Findings_x000a_(If not compliant)" numFmtId="0">
      <sharedItems containsNonDate="0" containsString="0" containsBlank="1"/>
    </cacheField>
    <cacheField name="Advise Letter/Notice Date Issued" numFmtId="0">
      <sharedItems containsNonDate="0" containsString="0" containsBlank="1"/>
    </cacheField>
    <cacheField name="Compliance of LGU to Issued Advise/ Letter" numFmtId="0">
      <sharedItems containsNonDate="0" containsString="0" containsBlank="1"/>
    </cacheField>
    <cacheField name="Docket No. / NOV" numFmtId="0">
      <sharedItems containsBlank="1"/>
    </cacheField>
    <cacheField name="Violation_x000a_(Sec. ___ )" numFmtId="0">
      <sharedItems containsBlank="1"/>
    </cacheField>
    <cacheField name="Date of Issuance of NOV" numFmtId="0">
      <sharedItems containsBlank="1"/>
    </cacheField>
    <cacheField name="Date of Technical Conference" numFmtId="0">
      <sharedItems containsBlank="1"/>
    </cacheField>
    <cacheField name="Commitment/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31727939815" createdVersion="8" refreshedVersion="8" minRefreshableVersion="3" recordCount="17" xr:uid="{BA4AD992-FD76-4754-9614-2EF51D3465A1}">
  <cacheSource type="worksheet">
    <worksheetSource ref="A1:AM18" sheet="TRANSFER STATION"/>
  </cacheSource>
  <cacheFields count="39">
    <cacheField name="Province" numFmtId="0">
      <sharedItems count="6">
        <s v="Bataan"/>
        <s v="Bulacan"/>
        <s v="Nueva_Ecija"/>
        <s v="Pampanga"/>
        <s v="Tarlac"/>
        <s v="Zambales"/>
      </sharedItems>
    </cacheField>
    <cacheField name="Municipality" numFmtId="0">
      <sharedItems/>
    </cacheField>
    <cacheField name="Barangay" numFmtId="0">
      <sharedItems/>
    </cacheField>
    <cacheField name="Manila Bay Area (MBA)" numFmtId="0">
      <sharedItems/>
    </cacheField>
    <cacheField name="Congressional District" numFmtId="0">
      <sharedItems/>
    </cacheField>
    <cacheField name="Lat" numFmtId="0">
      <sharedItems containsSemiMixedTypes="0" containsString="0" containsNumber="1" minValue="14.44980398" maxValue="15.598288"/>
    </cacheField>
    <cacheField name="Long" numFmtId="0">
      <sharedItems containsSemiMixedTypes="0" containsString="0" containsNumber="1" minValue="120.03836" maxValue="121.09813800000001"/>
    </cacheField>
    <cacheField name="Coordinates" numFmtId="0">
      <sharedItems/>
    </cacheField>
    <cacheField name="Target Month" numFmtId="0">
      <sharedItems containsBlank="1" count="6">
        <s v="3.March"/>
        <s v="2.February"/>
        <m/>
        <s v="4.April"/>
        <s v="5.May"/>
        <s v="6.June"/>
      </sharedItems>
    </cacheField>
    <cacheField name="ENMO Assigned" numFmtId="0">
      <sharedItems/>
    </cacheField>
    <cacheField name="ESWM Staff_x000a_" numFmtId="0">
      <sharedItems containsNonDate="0" containsString="0" containsBlank="1"/>
    </cacheField>
    <cacheField name="Focal Person" numFmtId="0">
      <sharedItems/>
    </cacheField>
    <cacheField name="IIS NUMBER" numFmtId="0">
      <sharedItems containsBlank="1"/>
    </cacheField>
    <cacheField name="Date of Monitoring" numFmtId="164">
      <sharedItems containsNonDate="0" containsDate="1" containsString="0" containsBlank="1" minDate="2025-02-06T00:00:00" maxDate="2025-10-17T00:00:00"/>
    </cacheField>
    <cacheField name="Date Report Prepared (Submitted to IIS by ENMO)" numFmtId="164">
      <sharedItems containsNonDate="0" containsString="0" containsBlank="1"/>
    </cacheField>
    <cacheField name="Date Report Reviewed (by ESWM Staff)" numFmtId="164">
      <sharedItems containsNonDate="0" containsString="0" containsBlank="1"/>
    </cacheField>
    <cacheField name="Date Report Reviewed (by Focal Person)" numFmtId="164">
      <sharedItems containsNonDate="0" containsString="0" containsBlank="1"/>
    </cacheField>
    <cacheField name="Date Report Approved" numFmtId="164">
      <sharedItems containsNonDate="0" containsString="0" containsBlank="1"/>
    </cacheField>
    <cacheField name="Total No. of Days (Report prepared)" numFmtId="1">
      <sharedItems containsBlank="1"/>
    </cacheField>
    <cacheField name="Total No. of Days (Report Reviewed by ESWM Staff)" numFmtId="1">
      <sharedItems containsBlank="1"/>
    </cacheField>
    <cacheField name="Total No. of Days (Report Reviewed by Focal)" numFmtId="1">
      <sharedItems containsBlank="1"/>
    </cacheField>
    <cacheField name="Total No. of Days (Report Approved by C, ESWM)" numFmtId="1">
      <sharedItems containsBlank="1"/>
    </cacheField>
    <cacheField name="Tracking of Reports" numFmtId="0">
      <sharedItems containsNonDate="0" containsString="0" containsBlank="1"/>
    </cacheField>
    <cacheField name="Status_x000a_of the Facility" numFmtId="0">
      <sharedItems containsBlank="1"/>
    </cacheField>
    <cacheField name="Facility or Bin" numFmtId="0">
      <sharedItems containsBlank="1"/>
    </cacheField>
    <cacheField name="Number of Bin used" numFmtId="0">
      <sharedItems containsNonDate="0" containsString="0" containsBlank="1"/>
    </cacheField>
    <cacheField name="Type of ownership" numFmtId="0">
      <sharedItems containsNonDate="0" containsString="0" containsBlank="1"/>
    </cacheField>
    <cacheField name="Actual Waste Received_x000a_(tons per day)" numFmtId="0">
      <sharedItems containsNonDate="0" containsString="0" containsBlank="1"/>
    </cacheField>
    <cacheField name="Distance (km) to the_x000a_Final Disposal_x000a_(Sanitary Landfill)" numFmtId="0">
      <sharedItems containsNonDate="0" containsString="0" containsBlank="1"/>
    </cacheField>
    <cacheField name="Remarks_x000a_(If Not Operational)" numFmtId="0">
      <sharedItems containsNonDate="0" containsString="0" containsBlank="1"/>
    </cacheField>
    <cacheField name="Remarks and Recommendation_x000a_(Compliant/ Non-Compliant)" numFmtId="0">
      <sharedItems containsNonDate="0" containsString="0" containsBlank="1"/>
    </cacheField>
    <cacheField name="Findings_x000a_(If not compliant)" numFmtId="0">
      <sharedItems containsNonDate="0" containsString="0" containsBlank="1"/>
    </cacheField>
    <cacheField name="Advise Letter/Notice Date Issued" numFmtId="0">
      <sharedItems containsNonDate="0" containsString="0" containsBlank="1"/>
    </cacheField>
    <cacheField name="Compliance of LGU to Issued Advise/ Letter" numFmtId="0">
      <sharedItems containsNonDate="0" containsString="0" containsBlank="1"/>
    </cacheField>
    <cacheField name="Docket No. / NOV" numFmtId="0">
      <sharedItems containsNonDate="0" containsString="0" containsBlank="1"/>
    </cacheField>
    <cacheField name="Violation" numFmtId="0">
      <sharedItems containsNonDate="0" containsString="0" containsBlank="1"/>
    </cacheField>
    <cacheField name="Date of Issuance of NOV" numFmtId="0">
      <sharedItems containsNonDate="0" containsString="0" containsBlank="1"/>
    </cacheField>
    <cacheField name="Date of Technical Conference" numFmtId="0">
      <sharedItems containsNonDate="0" containsString="0" containsBlank="1"/>
    </cacheField>
    <cacheField name="Commit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321927199075" createdVersion="8" refreshedVersion="8" minRefreshableVersion="3" recordCount="9" xr:uid="{15B05200-83CB-4B8F-B531-08EA48A2E069}">
  <cacheSource type="worksheet">
    <worksheetSource ref="A1:AU10" sheet="RCA"/>
  </cacheSource>
  <cacheFields count="47">
    <cacheField name="Province" numFmtId="0">
      <sharedItems count="4">
        <s v="Aurora"/>
        <s v="Bataan"/>
        <s v="Nueva_Ecija"/>
        <s v="Zambales"/>
      </sharedItems>
    </cacheField>
    <cacheField name="Municipality" numFmtId="0">
      <sharedItems/>
    </cacheField>
    <cacheField name="Barangay" numFmtId="0">
      <sharedItems/>
    </cacheField>
    <cacheField name="Manila Bay Area (MBA)" numFmtId="0">
      <sharedItems/>
    </cacheField>
    <cacheField name="Congressional District" numFmtId="0">
      <sharedItems/>
    </cacheField>
    <cacheField name="Lat" numFmtId="0">
      <sharedItems containsSemiMixedTypes="0" containsString="0" containsNumber="1" minValue="15.016209999999999" maxValue="16.392222220000001"/>
    </cacheField>
    <cacheField name="Long" numFmtId="0">
      <sharedItems containsSemiMixedTypes="0" containsString="0" containsNumber="1" minValue="120.07329" maxValue="122.2108333"/>
    </cacheField>
    <cacheField name="Coordinates" numFmtId="0">
      <sharedItems/>
    </cacheField>
    <cacheField name="Target Month" numFmtId="0">
      <sharedItems containsBlank="1" count="6">
        <s v="2.February"/>
        <s v="6.June"/>
        <m/>
        <s v="3.March"/>
        <s v="4.April"/>
        <s v="5.May"/>
      </sharedItems>
    </cacheField>
    <cacheField name="ENMO Assigned" numFmtId="0">
      <sharedItems/>
    </cacheField>
    <cacheField name="ESWM Staff_x000a_" numFmtId="0">
      <sharedItems containsNonDate="0" containsString="0" containsBlank="1"/>
    </cacheField>
    <cacheField name="Focal Person" numFmtId="0">
      <sharedItems/>
    </cacheField>
    <cacheField name="IIS NUMBER" numFmtId="0">
      <sharedItems containsBlank="1"/>
    </cacheField>
    <cacheField name="Date of Monitoring" numFmtId="164">
      <sharedItems containsNonDate="0" containsDate="1" containsString="0" containsBlank="1" minDate="2025-02-21T00:00:00" maxDate="2025-10-03T00:00:00"/>
    </cacheField>
    <cacheField name="Date Report Prepared (Submitted to IIS by ENMO)" numFmtId="164">
      <sharedItems containsNonDate="0" containsString="0" containsBlank="1"/>
    </cacheField>
    <cacheField name="Date Report Reviewed (by ESWM Staff)" numFmtId="164">
      <sharedItems containsNonDate="0" containsString="0" containsBlank="1"/>
    </cacheField>
    <cacheField name="Date Report Reviewed (by Focal Person)" numFmtId="164">
      <sharedItems containsNonDate="0" containsString="0" containsBlank="1"/>
    </cacheField>
    <cacheField name="Date Report Approved" numFmtId="164">
      <sharedItems containsNonDate="0" containsString="0" containsBlank="1"/>
    </cacheField>
    <cacheField name="Total No. of Days (Report prepared)" numFmtId="1">
      <sharedItems/>
    </cacheField>
    <cacheField name="Total No. of Days (Report Reviewed by ESWM Staff)" numFmtId="1">
      <sharedItems/>
    </cacheField>
    <cacheField name="Total No. of Days (Report Reviewed by Focal)" numFmtId="1">
      <sharedItems/>
    </cacheField>
    <cacheField name="Total No. of Days (Report Approved by C, ESWM)" numFmtId="1">
      <sharedItems/>
    </cacheField>
    <cacheField name="Tracking of Reports" numFmtId="0">
      <sharedItems containsNonDate="0" containsString="0" containsBlank="1"/>
    </cacheField>
    <cacheField name="Status_x000a_of the Facility" numFmtId="0">
      <sharedItems containsNonDate="0" containsString="0" containsBlank="1"/>
    </cacheField>
    <cacheField name="Facility or Bin" numFmtId="0">
      <sharedItems containsNonDate="0" containsString="0" containsBlank="1"/>
    </cacheField>
    <cacheField name="Number of Bin used" numFmtId="0">
      <sharedItems containsNonDate="0" containsString="0" containsBlank="1"/>
    </cacheField>
    <cacheField name="Total Floor Area_x000a_(sq.m)" numFmtId="0">
      <sharedItems containsNonDate="0" containsString="0" containsBlank="1"/>
    </cacheField>
    <cacheField name="Date _x000a_Operationalized" numFmtId="0">
      <sharedItems containsNonDate="0" containsString="0" containsBlank="1"/>
    </cacheField>
    <cacheField name="Actual Waste Received_x000a_(tons per day)" numFmtId="0">
      <sharedItems containsNonDate="0" containsString="0" containsBlank="1"/>
    </cacheField>
    <cacheField name="RCA Storage Capacity_x000a_(cm3)" numFmtId="0">
      <sharedItems containsNonDate="0" containsString="0" containsBlank="1"/>
    </cacheField>
    <cacheField name="Total Volume of Residual waste stored" numFmtId="0">
      <sharedItems containsNonDate="0" containsString="0" containsBlank="1"/>
    </cacheField>
    <cacheField name="Date of hauling to an SLF" numFmtId="0">
      <sharedItems containsNonDate="0" containsString="0" containsBlank="1"/>
    </cacheField>
    <cacheField name="Volume of Waste hauled_x000a_(tons)" numFmtId="0">
      <sharedItems containsNonDate="0" containsString="0" containsBlank="1"/>
    </cacheField>
    <cacheField name="Hauler" numFmtId="0">
      <sharedItems containsNonDate="0" containsString="0" containsBlank="1"/>
    </cacheField>
    <cacheField name="Final Disposal" numFmtId="0">
      <sharedItems containsNonDate="0" containsString="0" containsBlank="1"/>
    </cacheField>
    <cacheField name="Co-Processing_x000a_Facility" numFmtId="0">
      <sharedItems containsNonDate="0" containsString="0" containsBlank="1"/>
    </cacheField>
    <cacheField name="No. of Barangay Served" numFmtId="0">
      <sharedItems containsNonDate="0" containsString="0" containsBlank="1"/>
    </cacheField>
    <cacheField name="Remarks_x000a_(If Not Operational)" numFmtId="0">
      <sharedItems containsNonDate="0" containsString="0" containsBlank="1"/>
    </cacheField>
    <cacheField name="Remarks and Recommendation_x000a_(Compliant/ Non-Compliant)" numFmtId="0">
      <sharedItems containsNonDate="0" containsString="0" containsBlank="1"/>
    </cacheField>
    <cacheField name="Findings_x000a_(If not compliant)" numFmtId="0">
      <sharedItems containsNonDate="0" containsString="0" containsBlank="1"/>
    </cacheField>
    <cacheField name="Advise Letter/Notice Date Issued" numFmtId="0">
      <sharedItems containsNonDate="0" containsString="0" containsBlank="1"/>
    </cacheField>
    <cacheField name="Compliance of LGU to Issued Advise/ Letter" numFmtId="0">
      <sharedItems containsNonDate="0" containsString="0" containsBlank="1"/>
    </cacheField>
    <cacheField name="Docket No. / NOV" numFmtId="0">
      <sharedItems containsNonDate="0" containsString="0" containsBlank="1"/>
    </cacheField>
    <cacheField name="Violation" numFmtId="0">
      <sharedItems containsNonDate="0" containsString="0" containsBlank="1"/>
    </cacheField>
    <cacheField name="Date of Issuance of NOV" numFmtId="0">
      <sharedItems containsNonDate="0" containsString="0" containsBlank="1"/>
    </cacheField>
    <cacheField name="Date of Technical Conference" numFmtId="0">
      <sharedItems containsNonDate="0" containsString="0" containsBlank="1"/>
    </cacheField>
    <cacheField name="Commit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322742476848" createdVersion="8" refreshedVersion="8" minRefreshableVersion="3" recordCount="21" xr:uid="{74A4C84A-3F15-4931-897B-70EFC523D140}">
  <cacheSource type="worksheet">
    <worksheetSource ref="A1:AI22" sheet="PDS"/>
  </cacheSource>
  <cacheFields count="35">
    <cacheField name="Province" numFmtId="0">
      <sharedItems count="7">
        <s v="Aurora"/>
        <s v="Bataan"/>
        <s v="Bulacan"/>
        <s v="Nueva_Ecija"/>
        <s v="Pampanga"/>
        <s v="Tarlac"/>
        <s v="Zambales"/>
      </sharedItems>
    </cacheField>
    <cacheField name="Municipality" numFmtId="0">
      <sharedItems/>
    </cacheField>
    <cacheField name="Mailing Address" numFmtId="0">
      <sharedItems/>
    </cacheField>
    <cacheField name="Location of the Facility" numFmtId="0">
      <sharedItems containsBlank="1"/>
    </cacheField>
    <cacheField name="Date of Installation" numFmtId="0">
      <sharedItems containsDate="1" containsMixedTypes="1" minDate="2022-12-01T00:00:00" maxDate="2023-12-24T00:00:00"/>
    </cacheField>
    <cacheField name="Manila Bay Area (MBA)" numFmtId="0">
      <sharedItems/>
    </cacheField>
    <cacheField name="Lat" numFmtId="0">
      <sharedItems containsSemiMixedTypes="0" containsString="0" containsNumber="1" minValue="14.671222999999999" maxValue="16.288014"/>
    </cacheField>
    <cacheField name="Long" numFmtId="0">
      <sharedItems containsSemiMixedTypes="0" containsString="0" containsNumber="1" minValue="119.99890000000001" maxValue="122.122124"/>
    </cacheField>
    <cacheField name="Coordinates" numFmtId="0">
      <sharedItems/>
    </cacheField>
    <cacheField name="Contract with TSD (TSD No.)" numFmtId="0">
      <sharedItems containsNonDate="0" containsString="0" containsBlank="1"/>
    </cacheField>
    <cacheField name="Number of Bins Installed" numFmtId="0">
      <sharedItems containsNonDate="0" containsString="0" containsBlank="1"/>
    </cacheField>
    <cacheField name="Hazardous Waste Generator's Registration Certificate" numFmtId="0">
      <sharedItems containsNonDate="0" containsString="0" containsBlank="1"/>
    </cacheField>
    <cacheField name="ECC (if applicable)" numFmtId="0">
      <sharedItems containsNonDate="0" containsString="0" containsBlank="1"/>
    </cacheField>
    <cacheField name="Wastewater Discharge Permit (if applicable)" numFmtId="0">
      <sharedItems containsNonDate="0" containsString="0" containsBlank="1"/>
    </cacheField>
    <cacheField name="PERMIT TO OPERATE AIR POLLUTION SOURCE INSTALLATIONS (APSI) (if applicable)" numFmtId="0">
      <sharedItems containsNonDate="0" containsString="0" containsBlank="1"/>
    </cacheField>
    <cacheField name="_x000a_Target Month" numFmtId="0">
      <sharedItems count="11">
        <s v="4.April"/>
        <s v="6.June"/>
        <s v="9.September"/>
        <s v="2.February"/>
        <s v="8.August"/>
        <s v="11.November"/>
        <s v="7.July"/>
        <s v="1.January"/>
        <s v="10.October"/>
        <s v="3.March"/>
        <s v="5.May"/>
      </sharedItems>
    </cacheField>
    <cacheField name="ENMO Assigned" numFmtId="0">
      <sharedItems/>
    </cacheField>
    <cacheField name="ESWM Staff" numFmtId="0">
      <sharedItems containsNonDate="0" containsString="0" containsBlank="1"/>
    </cacheField>
    <cacheField name="Focal Person" numFmtId="0">
      <sharedItems/>
    </cacheField>
    <cacheField name="IIS NUMBER" numFmtId="0">
      <sharedItems containsBlank="1"/>
    </cacheField>
    <cacheField name="Date of Monitoring" numFmtId="164">
      <sharedItems containsNonDate="0" containsDate="1" containsString="0" containsBlank="1" minDate="2025-08-05T00:00:00" maxDate="2025-10-17T00:00:00"/>
    </cacheField>
    <cacheField name="Date Report Prepared (Submitted to IIS by ENMO)" numFmtId="164">
      <sharedItems containsNonDate="0" containsString="0" containsBlank="1"/>
    </cacheField>
    <cacheField name="Date Report Reviewed (by ESWM Staff)" numFmtId="0">
      <sharedItems containsNonDate="0" containsString="0" containsBlank="1"/>
    </cacheField>
    <cacheField name="Date Report Reviewed (by Focal Person)" numFmtId="164">
      <sharedItems containsNonDate="0" containsString="0" containsBlank="1"/>
    </cacheField>
    <cacheField name="Date Report Approved" numFmtId="164">
      <sharedItems containsNonDate="0" containsString="0" containsBlank="1"/>
    </cacheField>
    <cacheField name="Total No. of Days (Report prepared)" numFmtId="1">
      <sharedItems/>
    </cacheField>
    <cacheField name="Total No. of Days (Report Reviewed by ESWM Staff)" numFmtId="1">
      <sharedItems/>
    </cacheField>
    <cacheField name="Total No. of Days (Report Reviewed by Focal)" numFmtId="1">
      <sharedItems/>
    </cacheField>
    <cacheField name="Total No. of Days (Report Approved by C, ESWM)" numFmtId="1">
      <sharedItems/>
    </cacheField>
    <cacheField name="Tracking of Reports" numFmtId="0">
      <sharedItems containsNonDate="0" containsString="0" containsBlank="1"/>
    </cacheField>
    <cacheField name="Status of PDS Facility" numFmtId="0">
      <sharedItems containsNonDate="0" containsString="0" containsBlank="1"/>
    </cacheField>
    <cacheField name="HW Generation/Collectedof the reporting month_x000a_ (MT) " numFmtId="0">
      <sharedItems containsNonDate="0" containsString="0" containsBlank="1"/>
    </cacheField>
    <cacheField name="Remarks" numFmtId="0">
      <sharedItems containsNonDate="0" containsString="0" containsBlank="1"/>
    </cacheField>
    <cacheField name="Advise Letterssued" numFmtId="0">
      <sharedItems containsNonDate="0" containsString="0" containsBlank="1"/>
    </cacheField>
    <cacheField name="Compliance of LGU to Issued Advise/ Letter"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3517931713" createdVersion="8" refreshedVersion="8" minRefreshableVersion="3" recordCount="143" xr:uid="{C550B032-01B5-40C3-903B-0FBD61AC281A}">
  <cacheSource type="worksheet">
    <worksheetSource ref="A1:AG144" sheet="TRASH TRAP"/>
  </cacheSource>
  <cacheFields count="33">
    <cacheField name="Province" numFmtId="0">
      <sharedItems count="3">
        <s v="Bulacan"/>
        <s v="Nueva_Ecija"/>
        <s v="Pampanga"/>
      </sharedItems>
    </cacheField>
    <cacheField name="Barangay" numFmtId="0">
      <sharedItems/>
    </cacheField>
    <cacheField name="Municipality" numFmtId="0">
      <sharedItems/>
    </cacheField>
    <cacheField name="Manila Bay Area" numFmtId="0">
      <sharedItems/>
    </cacheField>
    <cacheField name="Lat" numFmtId="0">
      <sharedItems containsBlank="1" containsMixedTypes="1" containsNumber="1" minValue="14.725720000000001" maxValue="120.6904"/>
    </cacheField>
    <cacheField name="Long" numFmtId="0">
      <sharedItems containsBlank="1" containsMixedTypes="1" containsNumber="1" minValue="12.8611" maxValue="121.07135"/>
    </cacheField>
    <cacheField name="Coordinates" numFmtId="0">
      <sharedItems containsMixedTypes="1" containsNumber="1" minValue="120.65949000000001" maxValue="120.65949000000001"/>
    </cacheField>
    <cacheField name="Date Installed" numFmtId="164">
      <sharedItems containsSemiMixedTypes="0" containsNonDate="0" containsDate="1" containsString="0" minDate="2022-12-05T00:00:00" maxDate="2024-01-24T00:00:00"/>
    </cacheField>
    <cacheField name="_x000a_Target Month" numFmtId="0">
      <sharedItems containsBlank="1" count="19">
        <s v="2.February"/>
        <s v="5.May"/>
        <s v="3.March"/>
        <s v="6.June"/>
        <s v="8.August"/>
        <s v="10.October"/>
        <s v="9.September"/>
        <s v="4.April"/>
        <s v="7.July"/>
        <m u="1"/>
        <s v="February" u="1"/>
        <s v="September" u="1"/>
        <s v="April" u="1"/>
        <s v="June" u="1"/>
        <s v="March" u="1"/>
        <s v="May" u="1"/>
        <s v="August" u="1"/>
        <s v="July" u="1"/>
        <s v="October" u="1"/>
      </sharedItems>
    </cacheField>
    <cacheField name="ENMO Assigned" numFmtId="0">
      <sharedItems/>
    </cacheField>
    <cacheField name="ESWM Staff" numFmtId="0">
      <sharedItems containsNonDate="0" containsString="0" containsBlank="1"/>
    </cacheField>
    <cacheField name="Focal Person" numFmtId="0">
      <sharedItems/>
    </cacheField>
    <cacheField name="IIS NUMBER" numFmtId="0">
      <sharedItems containsNonDate="0" containsString="0" containsBlank="1"/>
    </cacheField>
    <cacheField name="Date of Monitoring" numFmtId="164">
      <sharedItems containsNonDate="0" containsString="0" containsBlank="1"/>
    </cacheField>
    <cacheField name="Date Report Prepared (Submitted to IIS by ENMO)" numFmtId="164">
      <sharedItems containsNonDate="0" containsString="0" containsBlank="1"/>
    </cacheField>
    <cacheField name="Date Report Reviewed (by ESWM Staff)" numFmtId="164">
      <sharedItems containsNonDate="0" containsString="0" containsBlank="1"/>
    </cacheField>
    <cacheField name="Date Report Reviewed (by Focal Person)" numFmtId="164">
      <sharedItems containsNonDate="0" containsString="0" containsBlank="1"/>
    </cacheField>
    <cacheField name="Date Report Approved" numFmtId="164">
      <sharedItems containsNonDate="0" containsString="0" containsBlank="1"/>
    </cacheField>
    <cacheField name="Total No. of Days (Report prepared)" numFmtId="1">
      <sharedItems/>
    </cacheField>
    <cacheField name="Total No. of Days (Report Reviewed by ESWM Staff)" numFmtId="1">
      <sharedItems/>
    </cacheField>
    <cacheField name="Total No. of Days (Report Reviewed by Focal)" numFmtId="1">
      <sharedItems/>
    </cacheField>
    <cacheField name="Total No. of Days (Report Approved by C, ESWM)" numFmtId="1">
      <sharedItems/>
    </cacheField>
    <cacheField name="Tracking of Reports" numFmtId="0">
      <sharedItems containsNonDate="0" containsString="0" containsBlank="1"/>
    </cacheField>
    <cacheField name="Status of Trash Traps" numFmtId="0">
      <sharedItems containsBlank="1"/>
    </cacheField>
    <cacheField name="No. of Trash Traps HDPE Floater" numFmtId="0">
      <sharedItems containsNonDate="0" containsString="0" containsBlank="1"/>
    </cacheField>
    <cacheField name="Status of Waste Lifter" numFmtId="0">
      <sharedItems containsNonDate="0" containsString="0" containsBlank="1"/>
    </cacheField>
    <cacheField name="Status of Plastic Boat" numFmtId="0">
      <sharedItems containsNonDate="0" containsString="0" containsBlank="1"/>
    </cacheField>
    <cacheField name="Estimated Volume of waste hauled_x000a_(kg)" numFmtId="0">
      <sharedItems containsNonDate="0" containsString="0" containsBlank="1"/>
    </cacheField>
    <cacheField name="Date of Last Hauling" numFmtId="0">
      <sharedItems containsNonDate="0" containsString="0" containsBlank="1"/>
    </cacheField>
    <cacheField name="Remarks" numFmtId="0">
      <sharedItems containsNonDate="0" containsString="0" containsBlank="1"/>
    </cacheField>
    <cacheField name="Advise Letter/Notice Date Issued" numFmtId="0">
      <sharedItems containsNonDate="0" containsString="0" containsBlank="1"/>
    </cacheField>
    <cacheField name="Compliance to Advise/ Letter Issued" numFmtId="0">
      <sharedItems containsNonDate="0" containsString="0" containsBlank="1"/>
    </cacheField>
    <cacheField name="Remarks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29456597219" createdVersion="8" refreshedVersion="8" minRefreshableVersion="3" recordCount="20" xr:uid="{E4881EEF-86AE-475B-8896-1D87E96102AB}">
  <cacheSource type="worksheet">
    <worksheetSource ref="A1:U21" sheet="LGU ASST. &amp; WASTE DIVERSION REC"/>
  </cacheSource>
  <cacheFields count="9">
    <cacheField name="PROVINCE" numFmtId="0">
      <sharedItems count="5">
        <s v="AURORA"/>
        <s v="BATAAN"/>
        <s v="TARLAC"/>
        <s v="ZAMBALES"/>
        <s v="NUEVA ECIJA"/>
      </sharedItems>
    </cacheField>
    <cacheField name="LGU" numFmtId="0">
      <sharedItems/>
    </cacheField>
    <cacheField name="ENMO" numFmtId="0">
      <sharedItems/>
    </cacheField>
    <cacheField name="FOCAL PERSON" numFmtId="0">
      <sharedItems/>
    </cacheField>
    <cacheField name="TARGET MONTH" numFmtId="0">
      <sharedItems count="4">
        <s v="1.January"/>
        <s v="10.October"/>
        <s v="4.April"/>
        <s v="7.July"/>
      </sharedItems>
    </cacheField>
    <cacheField name="TOTAL WASTE GENERATION" numFmtId="0">
      <sharedItems containsNonDate="0" containsString="0" containsBlank="1"/>
    </cacheField>
    <cacheField name="TOTAL WASTE DIVERTED" numFmtId="0">
      <sharedItems containsNonDate="0" containsString="0" containsBlank="1"/>
    </cacheField>
    <cacheField name="PERCENTAGE OF WASTE DIVERSION" numFmtId="0">
      <sharedItems containsNonDate="0" containsString="0" containsBlank="1"/>
    </cacheField>
    <cacheField name="STATUS ACCOMPLISHMEN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49230555557" createdVersion="8" refreshedVersion="8" minRefreshableVersion="3" recordCount="126" xr:uid="{FD9D59AA-07E4-4510-8F54-A6B7C0C94FED}">
  <cacheSource type="worksheet">
    <worksheetSource ref="A1:BC127" sheet="10-YEAR SWM PLAN"/>
  </cacheSource>
  <cacheFields count="68">
    <cacheField name="Province" numFmtId="0">
      <sharedItems count="7">
        <s v="Aurora"/>
        <s v="Bataan"/>
        <s v="Bulacan"/>
        <s v="Nueva Ecija"/>
        <s v="Pampanga"/>
        <s v="Tarlac"/>
        <s v="Zambales"/>
      </sharedItems>
    </cacheField>
    <cacheField name="Municipality" numFmtId="0">
      <sharedItems/>
    </cacheField>
    <cacheField name="Concatenate" numFmtId="0">
      <sharedItems/>
    </cacheField>
    <cacheField name="Manila Bay Area (MBA)" numFmtId="0">
      <sharedItems/>
    </cacheField>
    <cacheField name="Congressional District" numFmtId="0">
      <sharedItems/>
    </cacheField>
    <cacheField name="Long." numFmtId="0">
      <sharedItems containsSemiMixedTypes="0" containsString="0" containsNumber="1" minValue="14.435803999999999" maxValue="16.392731000000001"/>
    </cacheField>
    <cacheField name="Lat." numFmtId="0">
      <sharedItems containsSemiMixedTypes="0" containsString="0" containsNumber="1" minValue="119.909081" maxValue="122.211731"/>
    </cacheField>
    <cacheField name="Location" numFmtId="0">
      <sharedItems/>
    </cacheField>
    <cacheField name="Type of SWM Plan" numFmtId="0">
      <sharedItems/>
    </cacheField>
    <cacheField name="Resolution No. " numFmtId="0">
      <sharedItems containsMixedTypes="1" containsNumber="1" containsInteger="1" minValue="129" maxValue="1329"/>
    </cacheField>
    <cacheField name="Period Covered" numFmtId="0">
      <sharedItems/>
    </cacheField>
    <cacheField name="Year Approved" numFmtId="0">
      <sharedItems containsSemiMixedTypes="0" containsString="0" containsNumber="1" containsInteger="1" minValue="2015" maxValue="2023"/>
    </cacheField>
    <cacheField name="End Period" numFmtId="0">
      <sharedItems containsSemiMixedTypes="0" containsString="0" containsNumber="1" containsInteger="1" minValue="2023" maxValue="2032"/>
    </cacheField>
    <cacheField name="For Renewal" numFmtId="0">
      <sharedItems containsBlank="1"/>
    </cacheField>
    <cacheField name="Target Month" numFmtId="0">
      <sharedItems containsBlank="1" count="7">
        <s v="4.April"/>
        <s v="3.March"/>
        <m/>
        <s v="2.February"/>
        <s v="1.January"/>
        <s v="5.May"/>
        <s v="6.June"/>
      </sharedItems>
    </cacheField>
    <cacheField name="ENMO Assigned" numFmtId="0">
      <sharedItems/>
    </cacheField>
    <cacheField name="Focal Person" numFmtId="0">
      <sharedItems/>
    </cacheField>
    <cacheField name="IIS NUMBER" numFmtId="0">
      <sharedItems containsNonDate="0" containsString="0" containsBlank="1"/>
    </cacheField>
    <cacheField name="Date of Monitoring" numFmtId="0">
      <sharedItems containsNonDate="0" containsString="0" containsBlank="1"/>
    </cacheField>
    <cacheField name="Date Report Prepared (Submitted to IIS by ENMO)" numFmtId="0">
      <sharedItems containsNonDate="0" containsString="0" containsBlank="1"/>
    </cacheField>
    <cacheField name="Date Report Reviewed (by ESWM Staff)" numFmtId="0">
      <sharedItems containsNonDate="0" containsString="0" containsBlank="1"/>
    </cacheField>
    <cacheField name="Date Report Reviewed (by Focal Person)" numFmtId="0">
      <sharedItems containsNonDate="0" containsString="0" containsBlank="1"/>
    </cacheField>
    <cacheField name="Date Report Approved" numFmtId="0">
      <sharedItems containsNonDate="0" containsString="0" containsBlank="1"/>
    </cacheField>
    <cacheField name="Total No. of Days (Report prepared)" numFmtId="1">
      <sharedItems/>
    </cacheField>
    <cacheField name="Total No. of Days (Report Reviewed by ESWM Staff)" numFmtId="1">
      <sharedItems/>
    </cacheField>
    <cacheField name="Total No. of Days (Report Reviewed by Focal)" numFmtId="1">
      <sharedItems/>
    </cacheField>
    <cacheField name="Total No. of Days (Report Approved by C, ESWM)" numFmtId="1">
      <sharedItems/>
    </cacheField>
    <cacheField name="Tracking of Reports_x000a_(To be filled out by Planning Section)" numFmtId="0">
      <sharedItems containsNonDate="0" containsString="0" containsBlank="1"/>
    </cacheField>
    <cacheField name="PCG" numFmtId="0">
      <sharedItems containsNonDate="0" containsString="0" containsBlank="1"/>
    </cacheField>
    <cacheField name="Total Waste Generation" numFmtId="0">
      <sharedItems containsNonDate="0" containsString="0" containsBlank="1"/>
    </cacheField>
    <cacheField name="Waste Diversion Rate (%)" numFmtId="0">
      <sharedItems containsNonDate="0" containsString="0" containsBlank="1"/>
    </cacheField>
    <cacheField name="LGU Final Disposal" numFmtId="0">
      <sharedItems containsNonDate="0" containsString="0" containsBlank="1"/>
    </cacheField>
    <cacheField name="Remarks and Recommendation_x000a_(Compliant/ Non-Compliant)" numFmtId="0">
      <sharedItems containsNonDate="0" containsString="0" containsBlank="1"/>
    </cacheField>
    <cacheField name="a. source reduction activities at source are present" numFmtId="0">
      <sharedItems containsNonDate="0" containsString="0" containsBlank="1"/>
    </cacheField>
    <cacheField name="b. Collection segregated collection" numFmtId="0">
      <sharedItems containsNonDate="0" containsString="0" containsBlank="1"/>
    </cacheField>
    <cacheField name="c. Storage and setout (Segregation at source)" numFmtId="0">
      <sharedItems containsNonDate="0" containsString="0" containsBlank="1"/>
    </cacheField>
    <cacheField name="d. Processing MRF" numFmtId="0">
      <sharedItems containsNonDate="0" containsString="0" containsBlank="1"/>
    </cacheField>
    <cacheField name="e. Transfer Station" numFmtId="0">
      <sharedItems containsNonDate="0" containsString="0" containsBlank="1"/>
    </cacheField>
    <cacheField name="f. Disposal Facilities" numFmtId="0">
      <sharedItems containsNonDate="0" containsString="0" containsBlank="1"/>
    </cacheField>
    <cacheField name="Advise Letter/Notice Date Issued" numFmtId="0">
      <sharedItems containsNonDate="0" containsString="0" containsBlank="1"/>
    </cacheField>
    <cacheField name="Compliance to Advise/ Letter Issued" numFmtId="0">
      <sharedItems containsNonDate="0" containsString="0" containsBlank="1"/>
    </cacheField>
    <cacheField name="Remarks" numFmtId="0">
      <sharedItems containsNonDate="0" containsString="0" containsBlank="1"/>
    </cacheField>
    <cacheField name="Total Waste Generation2" numFmtId="4">
      <sharedItems containsNonDate="0" containsString="0" containsBlank="1"/>
    </cacheField>
    <cacheField name="Per Capita Per Day" numFmtId="0">
      <sharedItems containsNonDate="0" containsString="0" containsBlank="1"/>
    </cacheField>
    <cacheField name="Biodegradable Wastes (kg/day)" numFmtId="4">
      <sharedItems containsNonDate="0" containsString="0" containsBlank="1"/>
    </cacheField>
    <cacheField name="Bio (%)" numFmtId="0">
      <sharedItems containsNonDate="0" containsString="0" containsBlank="1"/>
    </cacheField>
    <cacheField name="Recyclable Wastes (kg/day)" numFmtId="0">
      <sharedItems containsNonDate="0" containsString="0" containsBlank="1"/>
    </cacheField>
    <cacheField name="Recyclable (%)" numFmtId="0">
      <sharedItems containsNonDate="0" containsString="0" containsBlank="1"/>
    </cacheField>
    <cacheField name="Residual with_x000a_potential (kg/day)" numFmtId="0">
      <sharedItems containsNonDate="0" containsString="0" containsBlank="1"/>
    </cacheField>
    <cacheField name="Residual with Potential (%)" numFmtId="0">
      <sharedItems containsNonDate="0" containsString="0" containsBlank="1"/>
    </cacheField>
    <cacheField name="Residual Wastes for Disposal (kg/day)" numFmtId="0">
      <sharedItems containsNonDate="0" containsString="0" containsBlank="1"/>
    </cacheField>
    <cacheField name="Residual (%)" numFmtId="0">
      <sharedItems containsNonDate="0" containsString="0" containsBlank="1"/>
    </cacheField>
    <cacheField name="Special Wastes_x000a_(kg/day)" numFmtId="0">
      <sharedItems containsNonDate="0" containsString="0" containsBlank="1"/>
    </cacheField>
    <cacheField name="Special (%)" numFmtId="0">
      <sharedItems containsNonDate="0" containsString="0" containsBlank="1"/>
    </cacheField>
    <cacheField name="Total Waste Generation3" numFmtId="0">
      <sharedItems containsSemiMixedTypes="0" containsString="0" containsNumber="1" containsInteger="1" minValue="0" maxValue="232"/>
    </cacheField>
    <cacheField name="Per Capita Per Day2" numFmtId="0">
      <sharedItems containsNonDate="0" containsString="0" containsBlank="1"/>
    </cacheField>
    <cacheField name="Biodegradable Wastes (kg/day)2" numFmtId="0">
      <sharedItems containsString="0" containsBlank="1" containsNumber="1" containsInteger="1" minValue="32" maxValue="32"/>
    </cacheField>
    <cacheField name="Bio (%)2" numFmtId="0">
      <sharedItems containsNonDate="0" containsString="0" containsBlank="1"/>
    </cacheField>
    <cacheField name="Recyclable Wastes (kg/day)2" numFmtId="0">
      <sharedItems containsString="0" containsBlank="1" containsNumber="1" containsInteger="1" minValue="56" maxValue="56"/>
    </cacheField>
    <cacheField name="Recyclable (%)2" numFmtId="0">
      <sharedItems containsNonDate="0" containsString="0" containsBlank="1"/>
    </cacheField>
    <cacheField name="Residual with_x000a_potential (kg/day)2" numFmtId="0">
      <sharedItems containsString="0" containsBlank="1" containsNumber="1" containsInteger="1" minValue="76" maxValue="76"/>
    </cacheField>
    <cacheField name="Residual with Potential (%)2" numFmtId="0">
      <sharedItems containsNonDate="0" containsString="0" containsBlank="1"/>
    </cacheField>
    <cacheField name="Residual Wastes for Disposal (kg/day)2" numFmtId="0">
      <sharedItems containsString="0" containsBlank="1" containsNumber="1" containsInteger="1" minValue="45" maxValue="45"/>
    </cacheField>
    <cacheField name="Residual (%)2" numFmtId="0">
      <sharedItems containsNonDate="0" containsString="0" containsBlank="1"/>
    </cacheField>
    <cacheField name="Special Wastes_x000a_(kg/day)2" numFmtId="0">
      <sharedItems containsString="0" containsBlank="1" containsNumber="1" containsInteger="1" minValue="23" maxValue="23"/>
    </cacheField>
    <cacheField name="Special (%)2" numFmtId="0">
      <sharedItems containsNonDate="0" containsString="0" containsBlank="1"/>
    </cacheField>
    <cacheField name="Waste Diversion_x000a_Rate (%)" numFmtId="2">
      <sharedItems containsMixedTypes="1" containsNumber="1" minValue="70.689655172413794" maxValue="70.689655172413794"/>
    </cacheField>
    <cacheField name="Disposal_x000a_Rate (%)" numFmtId="2">
      <sharedItems containsMixedTypes="1" containsNumber="1" minValue="29.310344827586203" maxValue="29.310344827586203"/>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51487615744" createdVersion="8" refreshedVersion="8" minRefreshableVersion="3" recordCount="112" xr:uid="{F8510A04-AC76-48D3-9C53-0CE7FE7FDD27}">
  <cacheSource type="worksheet">
    <worksheetSource ref="A1:AR113" sheet="FUNDED MRF"/>
  </cacheSource>
  <cacheFields count="43">
    <cacheField name="Province" numFmtId="0">
      <sharedItems count="8">
        <s v="Aurora"/>
        <s v="Bataan"/>
        <s v="Bulacan"/>
        <s v="Nueva Ecija"/>
        <s v="Pampanga"/>
        <s v="Tarlac"/>
        <s v="Zambales"/>
        <s v="Bataan " u="1"/>
      </sharedItems>
    </cacheField>
    <cacheField name="Municipality" numFmtId="0">
      <sharedItems/>
    </cacheField>
    <cacheField name="Barangay" numFmtId="0">
      <sharedItems containsBlank="1" containsMixedTypes="1" containsNumber="1" containsInteger="1" minValue="5" maxValue="5"/>
    </cacheField>
    <cacheField name="Manila Bay Area (MBA)" numFmtId="0">
      <sharedItems/>
    </cacheField>
    <cacheField name="Congressional District" numFmtId="0">
      <sharedItems/>
    </cacheField>
    <cacheField name="Lat" numFmtId="0">
      <sharedItems containsSemiMixedTypes="0" containsString="0" containsNumber="1" minValue="14.436956" maxValue="16.288091000000001"/>
    </cacheField>
    <cacheField name="Long" numFmtId="0">
      <sharedItems containsSemiMixedTypes="0" containsString="0" containsNumber="1" minValue="119.889397" maxValue="122.122282"/>
    </cacheField>
    <cacheField name="Coordinates" numFmtId="0">
      <sharedItems/>
    </cacheField>
    <cacheField name="Type of MRF" numFmtId="0">
      <sharedItems/>
    </cacheField>
    <cacheField name="No Funding Support" numFmtId="0">
      <sharedItems containsSemiMixedTypes="0" containsString="0" containsNumber="1" containsInteger="1" minValue="1" maxValue="3"/>
    </cacheField>
    <cacheField name="Year Granted" numFmtId="0">
      <sharedItems containsMixedTypes="1" containsNumber="1" containsInteger="1" minValue="2012" maxValue="2020"/>
    </cacheField>
    <cacheField name="Amount Granted" numFmtId="0">
      <sharedItems containsMixedTypes="1" containsNumber="1" minValue="190000" maxValue="530642.86"/>
    </cacheField>
    <cacheField name="Target Month" numFmtId="0">
      <sharedItems containsBlank="1" count="7">
        <s v="1.January"/>
        <s v="4.April"/>
        <s v="5.May"/>
        <s v="6.June"/>
        <m/>
        <s v="2.February"/>
        <s v="3.March"/>
      </sharedItems>
    </cacheField>
    <cacheField name="ENMO Assigned" numFmtId="0">
      <sharedItems/>
    </cacheField>
    <cacheField name="Focal Person" numFmtId="0">
      <sharedItems/>
    </cacheField>
    <cacheField name="IIS NUMBER" numFmtId="0">
      <sharedItems containsNonDate="0" containsString="0" containsBlank="1"/>
    </cacheField>
    <cacheField name="Date of Monitoring" numFmtId="0">
      <sharedItems containsNonDate="0" containsString="0" containsBlank="1"/>
    </cacheField>
    <cacheField name="Date Report Prepared (Submitted to IIS by ENMO)" numFmtId="164">
      <sharedItems containsNonDate="0" containsString="0" containsBlank="1"/>
    </cacheField>
    <cacheField name="Date Report Reviewed (by ESWM Staff)" numFmtId="0">
      <sharedItems containsNonDate="0" containsString="0" containsBlank="1"/>
    </cacheField>
    <cacheField name="Date Report Reviewed (by Focal Person)" numFmtId="164">
      <sharedItems containsNonDate="0" containsString="0" containsBlank="1"/>
    </cacheField>
    <cacheField name="Date Report Approved" numFmtId="164">
      <sharedItems containsNonDate="0" containsString="0" containsBlank="1"/>
    </cacheField>
    <cacheField name="Total No. of Days (Report prepared)" numFmtId="1">
      <sharedItems/>
    </cacheField>
    <cacheField name="Total No. of Days (Report Reviewed by ESWM Staff)" numFmtId="1">
      <sharedItems/>
    </cacheField>
    <cacheField name="Total No. of Days (Report Reviewed by Focal)" numFmtId="1">
      <sharedItems/>
    </cacheField>
    <cacheField name="Total No. of Days (Report Approved by C, ESWM)" numFmtId="1">
      <sharedItems/>
    </cacheField>
    <cacheField name="Tracking of Reports_x000a_(To be Filled out by Planning Section)" numFmtId="0">
      <sharedItems containsNonDate="0" containsString="0" containsBlank="1"/>
    </cacheField>
    <cacheField name="No. of Brgy. Served" numFmtId="0">
      <sharedItems containsNonDate="0" containsString="0" containsBlank="1"/>
    </cacheField>
    <cacheField name="Equipment used in the Operation of the MRF" numFmtId="0">
      <sharedItems containsNonDate="0" containsString="0" containsBlank="1"/>
    </cacheField>
    <cacheField name="Type of wastes received" numFmtId="0">
      <sharedItems containsNonDate="0" containsString="0" containsBlank="1"/>
    </cacheField>
    <cacheField name="Quantity of waste diverted (kg)" numFmtId="0">
      <sharedItems containsNonDate="0" containsString="0" containsBlank="1"/>
    </cacheField>
    <cacheField name="Total Waste Generation (kg/day)" numFmtId="0">
      <sharedItems containsNonDate="0" containsString="0" containsBlank="1"/>
    </cacheField>
    <cacheField name="Waste Diversion Rate_x000a_(%)" numFmtId="0">
      <sharedItems containsNonDate="0" containsString="0" containsBlank="1"/>
    </cacheField>
    <cacheField name="Status of MRF" numFmtId="0">
      <sharedItems containsBlank="1"/>
    </cacheField>
    <cacheField name="Remarks_x000a_(If Not Operational)" numFmtId="0">
      <sharedItems containsBlank="1" longText="1"/>
    </cacheField>
    <cacheField name="Remarks and Recommendation_x000a_(Compliant/ Non-Compliant)" numFmtId="0">
      <sharedItems containsBlank="1"/>
    </cacheField>
    <cacheField name="Findings_x000a_(If not compliant)" numFmtId="0">
      <sharedItems containsBlank="1" longText="1"/>
    </cacheField>
    <cacheField name="Advise Letter/Notice Date Issued" numFmtId="0">
      <sharedItems containsDate="1" containsBlank="1" containsMixedTypes="1" minDate="2025-02-13T00:00:00" maxDate="2025-10-07T00:00:00"/>
    </cacheField>
    <cacheField name="Compliance of LGU to Issued Advise/ Letter" numFmtId="0">
      <sharedItems containsBlank="1"/>
    </cacheField>
    <cacheField name="Docket No. / NOV" numFmtId="0">
      <sharedItems containsNonDate="0" containsString="0" containsBlank="1"/>
    </cacheField>
    <cacheField name="Violation_x000a_(Sec. ___ )" numFmtId="0">
      <sharedItems containsBlank="1"/>
    </cacheField>
    <cacheField name="Date of Issuance of NOV" numFmtId="0">
      <sharedItems containsNonDate="0" containsString="0" containsBlank="1"/>
    </cacheField>
    <cacheField name="Date of Technical Conference" numFmtId="0">
      <sharedItems containsNonDate="0" containsString="0" containsBlank="1"/>
    </cacheField>
    <cacheField name="Commit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0.572087615743" createdVersion="8" refreshedVersion="8" minRefreshableVersion="3" recordCount="16" xr:uid="{F9612B9D-F57F-4D55-A3F8-E9C62168EC77}">
  <cacheSource type="worksheet">
    <worksheetSource ref="A1:AW17" sheet="SLF"/>
  </cacheSource>
  <cacheFields count="48">
    <cacheField name="Province" numFmtId="0">
      <sharedItems count="5">
        <s v="Aurora"/>
        <s v="Bataan"/>
        <s v="Nueva Ecija"/>
        <s v="Pampanga"/>
        <s v="Zambales"/>
      </sharedItems>
    </cacheField>
    <cacheField name="LGU" numFmtId="0">
      <sharedItems/>
    </cacheField>
    <cacheField name="BARANGAY" numFmtId="0">
      <sharedItems/>
    </cacheField>
    <cacheField name="Manila Bay Area (MBA)" numFmtId="0">
      <sharedItems/>
    </cacheField>
    <cacheField name="Congressional District" numFmtId="0">
      <sharedItems/>
    </cacheField>
    <cacheField name="Ownership _x000a_(LGU OR PRIVATE)" numFmtId="0">
      <sharedItems/>
    </cacheField>
    <cacheField name="Long." numFmtId="0">
      <sharedItems containsSemiMixedTypes="0" containsString="0" containsNumber="1" minValue="119.975247" maxValue="121.52559720000001"/>
    </cacheField>
    <cacheField name="Lat." numFmtId="0">
      <sharedItems containsSemiMixedTypes="0" containsString="0" containsNumber="1" minValue="14.56944444" maxValue="15.876836109999999"/>
    </cacheField>
    <cacheField name="Coordinates" numFmtId="0">
      <sharedItems/>
    </cacheField>
    <cacheField name="Year Started Operation" numFmtId="0">
      <sharedItems containsSemiMixedTypes="0" containsString="0" containsNumber="1" containsInteger="1" minValue="2009" maxValue="2024"/>
    </cacheField>
    <cacheField name="Category" numFmtId="0">
      <sharedItems containsSemiMixedTypes="0" containsString="0" containsNumber="1" containsInteger="1" minValue="1" maxValue="4"/>
    </cacheField>
    <cacheField name="Volume Capacity_x000a_(tons/day) Based on ECC" numFmtId="0">
      <sharedItems/>
    </cacheField>
    <cacheField name="No. of LGU Served" numFmtId="0">
      <sharedItems containsMixedTypes="1" containsNumber="1" containsInteger="1" minValue="1" maxValue="9"/>
    </cacheField>
    <cacheField name="ECC NO." numFmtId="0">
      <sharedItems/>
    </cacheField>
    <cacheField name="DISCHARGE PERMIT" numFmtId="0">
      <sharedItems containsNonDate="0" containsString="0" containsBlank="1"/>
    </cacheField>
    <cacheField name="PERMIT TO OPERATE" numFmtId="0">
      <sharedItems containsNonDate="0" containsString="0" containsBlank="1"/>
    </cacheField>
    <cacheField name="HAZWASTE GENERATION ID" numFmtId="0">
      <sharedItems containsNonDate="0" containsString="0" containsBlank="1"/>
    </cacheField>
    <cacheField name="Target Month" numFmtId="0">
      <sharedItems containsBlank="1" count="6">
        <m/>
        <s v="4.April"/>
        <s v="3.March"/>
        <s v="2.February"/>
        <s v="6.June"/>
        <s v="5.May"/>
      </sharedItems>
    </cacheField>
    <cacheField name="ENMO" numFmtId="0">
      <sharedItems/>
    </cacheField>
    <cacheField name="Focal Person" numFmtId="0">
      <sharedItems/>
    </cacheField>
    <cacheField name="IIS NUMBER" numFmtId="0">
      <sharedItems containsNonDate="0" containsString="0" containsBlank="1"/>
    </cacheField>
    <cacheField name="Date of Monitoring" numFmtId="0">
      <sharedItems containsNonDate="0" containsString="0" containsBlank="1"/>
    </cacheField>
    <cacheField name="Date Report Prepared (Submitted to IIS by ENMO)" numFmtId="164">
      <sharedItems containsNonDate="0" containsString="0" containsBlank="1"/>
    </cacheField>
    <cacheField name="Date Report Reviewed (by ESWM Staff)" numFmtId="164">
      <sharedItems containsNonDate="0" containsString="0" containsBlank="1"/>
    </cacheField>
    <cacheField name="Date Report Reviewed (by Focal Person)" numFmtId="164">
      <sharedItems containsNonDate="0" containsString="0" containsBlank="1"/>
    </cacheField>
    <cacheField name="Date Report Approved" numFmtId="164">
      <sharedItems containsNonDate="0" containsString="0" containsBlank="1"/>
    </cacheField>
    <cacheField name="Total No. of Days (Report prepared)" numFmtId="1">
      <sharedItems/>
    </cacheField>
    <cacheField name="Total No. of Days (Report Reviewed by Sub Focal)" numFmtId="1">
      <sharedItems/>
    </cacheField>
    <cacheField name="Total No. of Days (Report Reviewed by Focal)" numFmtId="1">
      <sharedItems/>
    </cacheField>
    <cacheField name="Total No. of Days (Report Approved by C, ESWM)" numFmtId="1">
      <sharedItems/>
    </cacheField>
    <cacheField name="Tracking of Reports_x000a_(to be filled out of Planning Section)" numFmtId="0">
      <sharedItems containsNonDate="0" containsString="0" containsBlank="1"/>
    </cacheField>
    <cacheField name="Status of Sanitary Land Fill" numFmtId="0">
      <sharedItems containsNonDate="0" containsString="0" containsBlank="1"/>
    </cacheField>
    <cacheField name="Remaining Life Span_x000a_(Cell)" numFmtId="0">
      <sharedItems containsNonDate="0" containsString="0" containsBlank="1"/>
    </cacheField>
    <cacheField name="Actual Residual Waste Received_x000a_(Kg/day)" numFmtId="0">
      <sharedItems containsNonDate="0" containsString="0" containsBlank="1"/>
    </cacheField>
    <cacheField name="Number of Cell" numFmtId="0">
      <sharedItems containsNonDate="0" containsString="0" containsBlank="1"/>
    </cacheField>
    <cacheField name="Estimated Volume of waste within the cell_x000a_(tons)" numFmtId="0">
      <sharedItems containsNonDate="0" containsString="0" containsBlank="1"/>
    </cacheField>
    <cacheField name="No. of Leachate Pond" numFmtId="0">
      <sharedItems containsNonDate="0" containsString="0" containsBlank="1"/>
    </cacheField>
    <cacheField name="Number of Gas Vents" numFmtId="0">
      <sharedItems containsNonDate="0" containsString="0" containsBlank="1"/>
    </cacheField>
    <cacheField name="MRF Estabilished within the Facility_x000a_(With or Without)" numFmtId="0">
      <sharedItems containsNonDate="0" containsString="0" containsBlank="1"/>
    </cacheField>
    <cacheField name="Remarks and_x000a_recommendation" numFmtId="0">
      <sharedItems containsNonDate="0" containsString="0" containsBlank="1"/>
    </cacheField>
    <cacheField name="Remarks and Recommendation_x000a_(Compliant/ Non-Compliant)" numFmtId="0">
      <sharedItems containsNonDate="0" containsString="0" containsBlank="1"/>
    </cacheField>
    <cacheField name="Findings_x000a_(If not compliant)" numFmtId="0">
      <sharedItems containsNonDate="0" containsString="0" containsBlank="1"/>
    </cacheField>
    <cacheField name="Advise Letter/Notice Date Issued" numFmtId="0">
      <sharedItems containsNonDate="0" containsString="0" containsBlank="1"/>
    </cacheField>
    <cacheField name="Compliance of LGU to Issued Advise/ Letter" numFmtId="0">
      <sharedItems containsNonDate="0" containsString="0" containsBlank="1"/>
    </cacheField>
    <cacheField name="Docket No. / NOV" numFmtId="0">
      <sharedItems containsNonDate="0" containsString="0" containsBlank="1"/>
    </cacheField>
    <cacheField name="Date of Issuance of NOV" numFmtId="0">
      <sharedItems containsNonDate="0" containsString="0" containsBlank="1"/>
    </cacheField>
    <cacheField name="Date of Technical Conference" numFmtId="0">
      <sharedItems containsNonDate="0" containsString="0" containsBlank="1"/>
    </cacheField>
    <cacheField name="Commit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6.298552083332" createdVersion="8" refreshedVersion="8" minRefreshableVersion="3" recordCount="3105" xr:uid="{2A4C40C2-E218-43F9-B344-8361B8C93A9E}">
  <cacheSource type="worksheet">
    <worksheetSource ref="A1:W3106" sheet="TECHNICAL ASSISTANCE TO BRGY."/>
  </cacheSource>
  <cacheFields count="14">
    <cacheField name="Province" numFmtId="0">
      <sharedItems count="7">
        <s v="Aurora"/>
        <s v="Bataan"/>
        <s v="Bulacan"/>
        <s v="Tarlac"/>
        <s v="Pampanga"/>
        <s v="Zambales"/>
        <s v="Nueva_Ecija"/>
      </sharedItems>
    </cacheField>
    <cacheField name="Municipality" numFmtId="0">
      <sharedItems/>
    </cacheField>
    <cacheField name="Barangay" numFmtId="0">
      <sharedItems/>
    </cacheField>
    <cacheField name="MBA" numFmtId="0">
      <sharedItems/>
    </cacheField>
    <cacheField name="ENMO Assigned" numFmtId="0">
      <sharedItems containsBlank="1"/>
    </cacheField>
    <cacheField name="Focal Person" numFmtId="0">
      <sharedItems containsBlank="1"/>
    </cacheField>
    <cacheField name="Year Monitored" numFmtId="0">
      <sharedItems containsBlank="1" containsMixedTypes="1" containsNumber="1" containsInteger="1" minValue="2024" maxValue="2025"/>
    </cacheField>
    <cacheField name="Date conducted Technical Assistance" numFmtId="0">
      <sharedItems containsDate="1" containsBlank="1" containsMixedTypes="1" minDate="2024-01-25T00:00:00" maxDate="2026-10-04T00:00:00"/>
    </cacheField>
    <cacheField name="IIS NUMBER C.Y. 2025" numFmtId="0">
      <sharedItems containsBlank="1"/>
    </cacheField>
    <cacheField name="Target Month" numFmtId="0">
      <sharedItems containsBlank="1" count="7">
        <m/>
        <s v="1.January"/>
        <s v="4.April"/>
        <s v="3.March"/>
        <s v="5.May"/>
        <s v="2.February"/>
        <s v="6.June"/>
      </sharedItems>
    </cacheField>
    <cacheField name="Date of Monitoring" numFmtId="0">
      <sharedItems containsNonDate="0" containsString="0" containsBlank="1"/>
    </cacheField>
    <cacheField name="Type of Facility" numFmtId="0">
      <sharedItems containsBlank="1"/>
    </cacheField>
    <cacheField name="Status" numFmtId="0">
      <sharedItems containsBlank="1"/>
    </cacheField>
    <cacheField name="Conducted Tech. C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s v="Santa Maria"/>
    <s v="Magasawang Sapa"/>
    <s v="MBA"/>
    <s v="6th"/>
    <n v="14.871143999999999"/>
    <n v="120.972808"/>
    <s v="14.871144,120.972808"/>
    <n v="2008"/>
    <n v="2010"/>
    <n v="2018"/>
    <n v="2018"/>
    <n v="1061965.01"/>
    <x v="0"/>
    <s v="James Wilson T.  Peña"/>
    <m/>
    <s v="Diozelle L. Cabalar"/>
    <m/>
    <m/>
    <m/>
    <m/>
    <m/>
    <m/>
    <s v=""/>
    <s v=""/>
    <s v=""/>
    <s v=""/>
    <m/>
    <m/>
    <m/>
    <m/>
    <m/>
    <m/>
    <m/>
    <m/>
    <m/>
    <m/>
    <m/>
    <m/>
    <m/>
    <m/>
    <m/>
    <m/>
  </r>
  <r>
    <x v="1"/>
    <s v="Palauig"/>
    <s v="Salaza"/>
    <s v="OUTSIDE MBA"/>
    <s v="2nd"/>
    <n v="15.44514167"/>
    <n v="120.01627499999999"/>
    <s v=" 15.44514167,120.016275"/>
    <n v="2015"/>
    <m/>
    <s v="Not Rehabilitated"/>
    <n v="2019"/>
    <n v="925569.64"/>
    <x v="1"/>
    <s v="Ryan Ace R. Angel"/>
    <m/>
    <s v="Jun D. Guillermo"/>
    <m/>
    <m/>
    <m/>
    <m/>
    <m/>
    <m/>
    <s v=""/>
    <s v=""/>
    <s v=""/>
    <s v=""/>
    <m/>
    <m/>
    <m/>
    <m/>
    <m/>
    <m/>
    <m/>
    <m/>
    <m/>
    <m/>
    <m/>
    <m/>
    <m/>
    <m/>
    <m/>
    <m/>
  </r>
  <r>
    <x v="1"/>
    <s v="Subic"/>
    <s v="Naugsol"/>
    <s v="OUTSIDE MBA"/>
    <m/>
    <m/>
    <m/>
    <m/>
    <m/>
    <m/>
    <m/>
    <m/>
    <m/>
    <x v="1"/>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s v="Baler"/>
    <s v="Pingit"/>
    <s v="OUTSIDE MBA"/>
    <s v="Lone"/>
    <s v="A-COMPOSTER SET (SUKI)"/>
    <n v="15.736000000000001"/>
    <n v="121.56310000000001"/>
    <s v="15.736, 121.5631"/>
    <x v="0"/>
    <s v="Zaila Mae R. Leander"/>
    <m/>
    <s v="Ryan Christian R. Nunag"/>
    <s v="R3-2025-008099"/>
    <d v="2025-03-06T00:00:00"/>
    <m/>
    <m/>
    <m/>
    <m/>
    <s v=""/>
    <s v=""/>
    <s v=""/>
    <s v=""/>
    <m/>
    <m/>
    <m/>
    <m/>
    <m/>
    <m/>
    <m/>
    <m/>
    <m/>
    <m/>
  </r>
  <r>
    <x v="0"/>
    <s v="Casiguran"/>
    <s v="Calantas"/>
    <s v="OUTSIDE MBA"/>
    <s v="Lone"/>
    <s v="B-COMPOSTER SET W/ CCTV (SUKI)"/>
    <n v="16.288"/>
    <n v="122.1223"/>
    <s v="16.288, 122.1223"/>
    <x v="1"/>
    <s v="Queenyvel R. Laguisma"/>
    <m/>
    <s v="Ryan Christian R. Nunag"/>
    <s v="R3-2025-020136"/>
    <d v="2025-06-05T00:00:00"/>
    <m/>
    <m/>
    <m/>
    <m/>
    <s v=""/>
    <s v=""/>
    <s v=""/>
    <s v=""/>
    <m/>
    <m/>
    <m/>
    <m/>
    <m/>
    <m/>
    <m/>
    <m/>
    <m/>
    <m/>
  </r>
  <r>
    <x v="0"/>
    <s v="Dilasag"/>
    <s v="Maligaya"/>
    <s v="OUTSIDE MBA"/>
    <s v="Lone"/>
    <s v="B-COMPOSTER SET W/ CCTV (SUKI)"/>
    <n v="16.3917"/>
    <n v="122.21080000000001"/>
    <s v="16.3917, 122.2108"/>
    <x v="0"/>
    <s v="Queenyvel R. Laguisma"/>
    <m/>
    <s v="Ryan Christian R. Nunag"/>
    <s v="R3-2025-030041"/>
    <d v="2025-09-02T00:00:00"/>
    <m/>
    <m/>
    <m/>
    <m/>
    <s v=""/>
    <s v=""/>
    <s v=""/>
    <s v=""/>
    <m/>
    <m/>
    <m/>
    <m/>
    <m/>
    <m/>
    <m/>
    <m/>
    <m/>
    <m/>
  </r>
  <r>
    <x v="0"/>
    <s v="Dinalungan"/>
    <s v="Dibaraybay"/>
    <s v="OUTSIDE MBA"/>
    <s v="Lone"/>
    <s v="C-COMPOSTER SET W/ CCTV (CNG)"/>
    <n v="16.1402"/>
    <n v="121.9569"/>
    <s v="16.1402, 121.9569"/>
    <x v="2"/>
    <s v="Queenyvel R. Laguisma"/>
    <m/>
    <s v="Ryan Christian R. Nunag"/>
    <s v="R3-2025-033246"/>
    <d v="2025-10-02T00:00:00"/>
    <m/>
    <m/>
    <m/>
    <m/>
    <s v=""/>
    <s v=""/>
    <s v=""/>
    <s v=""/>
    <m/>
    <m/>
    <m/>
    <m/>
    <m/>
    <m/>
    <m/>
    <m/>
    <m/>
    <m/>
  </r>
  <r>
    <x v="0"/>
    <s v="Maria Aurora"/>
    <s v="Bannawag"/>
    <s v="OUTSIDE MBA"/>
    <s v="Lone"/>
    <s v="A-COMPOSTER SET (SUKI)"/>
    <n v="15.814970000000001"/>
    <n v="121.47982"/>
    <s v="15.81497, 121.47982"/>
    <x v="3"/>
    <s v="Nikko Jay M. Valenzuela"/>
    <m/>
    <s v="Ryan Christian R. Nunag"/>
    <s v="R3-2025-004540_x0009_"/>
    <d v="2025-02-04T00:00:00"/>
    <m/>
    <m/>
    <m/>
    <m/>
    <s v=""/>
    <s v=""/>
    <s v=""/>
    <s v=""/>
    <m/>
    <m/>
    <m/>
    <m/>
    <m/>
    <m/>
    <m/>
    <m/>
    <m/>
    <m/>
  </r>
  <r>
    <x v="0"/>
    <s v="Dingalan"/>
    <s v="Caragsacan"/>
    <s v="OUTSIDE MBA"/>
    <s v="Lone"/>
    <s v="B-COMPOSTER SET W/ CCTV (SUKI)"/>
    <n v="15.38612"/>
    <n v="121.38070999999999"/>
    <s v="15.38612, 121.38071"/>
    <x v="4"/>
    <s v="Nikko Jay M. Valenzuela"/>
    <m/>
    <s v="Ryan Christian R. Nunag"/>
    <s v="R3-2025-023411"/>
    <d v="2025-07-08T00:00:00"/>
    <m/>
    <m/>
    <m/>
    <m/>
    <s v=""/>
    <s v=""/>
    <s v=""/>
    <s v=""/>
    <m/>
    <m/>
    <m/>
    <m/>
    <m/>
    <m/>
    <m/>
    <m/>
    <m/>
    <m/>
  </r>
  <r>
    <x v="1"/>
    <s v="Abucay"/>
    <s v="Capitangan"/>
    <s v="MBA"/>
    <s v="1st"/>
    <s v="A-COMPOSTER SET (SUKI)"/>
    <n v="14.70363"/>
    <n v="120.48793000000001"/>
    <s v="14.70363, 120.48793"/>
    <x v="1"/>
    <s v="Dennis G. Tolentino"/>
    <m/>
    <s v="Christle D. David"/>
    <s v="R3-2025-009854"/>
    <d v="2025-03-20T00:00:00"/>
    <m/>
    <m/>
    <m/>
    <m/>
    <s v=""/>
    <s v=""/>
    <s v=""/>
    <s v=""/>
    <m/>
    <m/>
    <m/>
    <m/>
    <m/>
    <m/>
    <m/>
    <m/>
    <m/>
    <m/>
  </r>
  <r>
    <x v="1"/>
    <s v="Bagac"/>
    <s v="Atilano Ricardo"/>
    <s v="MBA"/>
    <s v="3rd"/>
    <s v="A-COMPOSTER SET (SUKI)"/>
    <n v="14.6069"/>
    <n v="120.40187"/>
    <s v="14.6069, 120.40187"/>
    <x v="0"/>
    <s v="Laurence Radasa"/>
    <m/>
    <s v="Christle D. David"/>
    <s v="R3-2025-015649"/>
    <d v="2025-05-06T00:00:00"/>
    <m/>
    <m/>
    <m/>
    <m/>
    <s v=""/>
    <s v=""/>
    <s v=""/>
    <s v=""/>
    <m/>
    <m/>
    <m/>
    <m/>
    <m/>
    <m/>
    <m/>
    <m/>
    <m/>
    <m/>
  </r>
  <r>
    <x v="1"/>
    <s v="City Of Balanga"/>
    <s v="Munting Batangas"/>
    <s v="MBA"/>
    <s v="2nd"/>
    <s v="A-COMPOSTER SET (SUKI)"/>
    <n v="14.677733419999999"/>
    <n v="120.47504139"/>
    <s v="14.67773342, 120.47504139"/>
    <x v="0"/>
    <s v="Dennis G. Tolentino"/>
    <m/>
    <s v="Christle D. David"/>
    <s v="R3-2025-007102"/>
    <d v="2025-02-27T00:00:00"/>
    <m/>
    <m/>
    <m/>
    <m/>
    <s v=""/>
    <s v=""/>
    <s v=""/>
    <s v=""/>
    <m/>
    <m/>
    <m/>
    <m/>
    <m/>
    <m/>
    <m/>
    <m/>
    <m/>
    <m/>
  </r>
  <r>
    <x v="1"/>
    <s v="Dinalupihan"/>
    <s v="Pagalanggang"/>
    <s v="MBA"/>
    <s v="3rd"/>
    <s v="A-COMPOSTER SET (SUKI)"/>
    <n v="14.9153903"/>
    <n v="120.45278860000001"/>
    <s v="14.9153903, 120.4527886"/>
    <x v="4"/>
    <s v="John-lester C. Signio"/>
    <m/>
    <s v="Christle D. David"/>
    <s v="R3-2025-006036"/>
    <d v="2025-02-19T00:00:00"/>
    <m/>
    <m/>
    <m/>
    <m/>
    <s v=""/>
    <s v=""/>
    <s v=""/>
    <s v=""/>
    <m/>
    <m/>
    <m/>
    <m/>
    <m/>
    <m/>
    <m/>
    <m/>
    <m/>
    <m/>
  </r>
  <r>
    <x v="1"/>
    <s v="Hermosa"/>
    <s v="Mambog"/>
    <s v="MBA"/>
    <s v="1st"/>
    <s v="A-COMPOSTER SET (SUKI)"/>
    <n v="14.814472670000001"/>
    <n v="120.47924198"/>
    <s v="14.81447267, 120.47924198"/>
    <x v="3"/>
    <s v="John-lester C. Signio"/>
    <m/>
    <s v="Christle D. David"/>
    <s v="R3-2025-027949"/>
    <d v="2025-08-12T00:00:00"/>
    <m/>
    <m/>
    <m/>
    <m/>
    <s v=""/>
    <s v=""/>
    <s v=""/>
    <s v=""/>
    <m/>
    <m/>
    <m/>
    <m/>
    <m/>
    <m/>
    <m/>
    <m/>
    <m/>
    <m/>
  </r>
  <r>
    <x v="1"/>
    <s v="Limay"/>
    <s v="Alangan"/>
    <s v="MBA"/>
    <s v="2nd"/>
    <s v="A-COMPOSTER SET (SUKI)"/>
    <n v="14.53316856"/>
    <n v="120.58780304"/>
    <s v="14.53316856, 120.58780304"/>
    <x v="0"/>
    <s v="Dennis G. Tolentino"/>
    <m/>
    <s v="Christle D. David"/>
    <s v="R3-2025-030792"/>
    <d v="2025-09-09T00:00:00"/>
    <m/>
    <m/>
    <m/>
    <m/>
    <s v=""/>
    <s v=""/>
    <s v=""/>
    <s v=""/>
    <m/>
    <m/>
    <m/>
    <m/>
    <m/>
    <m/>
    <m/>
    <m/>
    <m/>
    <m/>
  </r>
  <r>
    <x v="1"/>
    <s v="Mariveles"/>
    <s v="Poblacion"/>
    <s v="MBA"/>
    <s v="3rd"/>
    <s v="A-COMPOSTER SET (SUKI)"/>
    <n v="14.436640000000001"/>
    <n v="120.48918"/>
    <s v="14.43664, 120.48918"/>
    <x v="5"/>
    <s v="Laurence Radasa"/>
    <m/>
    <s v="Christle D. David"/>
    <s v="R3-2025-019722"/>
    <d v="2025-06-13T00:00:00"/>
    <m/>
    <m/>
    <m/>
    <m/>
    <s v=""/>
    <s v=""/>
    <s v=""/>
    <s v=""/>
    <m/>
    <m/>
    <m/>
    <m/>
    <m/>
    <m/>
    <m/>
    <m/>
    <m/>
    <m/>
  </r>
  <r>
    <x v="1"/>
    <s v="Morong"/>
    <s v="Binaritan"/>
    <s v="MBA"/>
    <s v="3rd"/>
    <s v="A-COMPOSTER SET (SUKI)"/>
    <n v="14.68066"/>
    <n v="120.27274"/>
    <s v="14.68066, 120.27274"/>
    <x v="6"/>
    <s v="Laurence Radasa"/>
    <m/>
    <s v="Christle D. David"/>
    <s v="R3-2025-036178"/>
    <d v="2025-10-24T00:00:00"/>
    <m/>
    <m/>
    <m/>
    <m/>
    <s v=""/>
    <s v=""/>
    <s v=""/>
    <s v=""/>
    <m/>
    <m/>
    <m/>
    <m/>
    <m/>
    <m/>
    <m/>
    <m/>
    <m/>
    <m/>
  </r>
  <r>
    <x v="1"/>
    <s v="Orani"/>
    <s v="Pag-asa"/>
    <s v="MBA"/>
    <s v="1st"/>
    <s v="A-COMPOSTER SET (SUKI)"/>
    <n v="14.80337815"/>
    <n v="120.5254882"/>
    <s v="14.80337815, 120.5254882"/>
    <x v="6"/>
    <s v="John-lester C. Signio"/>
    <m/>
    <s v="Christle D. David"/>
    <m/>
    <m/>
    <m/>
    <m/>
    <m/>
    <m/>
    <s v=""/>
    <s v=""/>
    <s v=""/>
    <s v=""/>
    <m/>
    <m/>
    <m/>
    <m/>
    <m/>
    <m/>
    <m/>
    <m/>
    <m/>
    <m/>
  </r>
  <r>
    <x v="1"/>
    <s v="Orion"/>
    <s v="Balagtas"/>
    <s v="MBA"/>
    <s v="2nd"/>
    <s v="A-COMPOSTER SET (SUKI)"/>
    <n v="14.628104759999999"/>
    <n v="120.57682907"/>
    <s v="14.62810476, 120.57682907"/>
    <x v="2"/>
    <s v="Dennis G. Tolentino"/>
    <m/>
    <s v="Christle D. David"/>
    <s v="R3-2025-034325"/>
    <d v="2025-10-10T00:00:00"/>
    <m/>
    <m/>
    <m/>
    <m/>
    <s v=""/>
    <s v=""/>
    <s v=""/>
    <s v=""/>
    <m/>
    <m/>
    <m/>
    <m/>
    <m/>
    <m/>
    <m/>
    <m/>
    <m/>
    <m/>
  </r>
  <r>
    <x v="1"/>
    <s v="Pilar"/>
    <s v="Alauli"/>
    <s v="MBA"/>
    <s v="2nd"/>
    <s v="A-COMPOSTER SET (SUKI)"/>
    <n v="14.660496800000001"/>
    <n v="120.54375235000001"/>
    <s v="14.6604968, 120.54375235"/>
    <x v="0"/>
    <s v="Dennis G. Tolentino"/>
    <m/>
    <s v="Christle D. David"/>
    <m/>
    <m/>
    <m/>
    <m/>
    <m/>
    <m/>
    <s v=""/>
    <s v=""/>
    <s v=""/>
    <s v=""/>
    <m/>
    <m/>
    <m/>
    <m/>
    <m/>
    <m/>
    <m/>
    <m/>
    <m/>
    <m/>
  </r>
  <r>
    <x v="1"/>
    <s v="Samal"/>
    <s v="San Juan"/>
    <s v="MBA"/>
    <s v="1st"/>
    <s v="A-COMPOSTER SET (SUKI)"/>
    <n v="14.772974619999999"/>
    <n v="120.51674672"/>
    <s v="14.77297462, 120.51674672"/>
    <x v="4"/>
    <s v="John-lester C. Signio"/>
    <m/>
    <s v="Christle D. David"/>
    <s v="R3-2025-003742"/>
    <d v="2025-02-04T00:00:00"/>
    <m/>
    <m/>
    <m/>
    <m/>
    <s v=""/>
    <s v=""/>
    <s v=""/>
    <s v=""/>
    <m/>
    <m/>
    <m/>
    <m/>
    <m/>
    <m/>
    <m/>
    <m/>
    <m/>
    <m/>
  </r>
  <r>
    <x v="2"/>
    <s v="Norzagaray"/>
    <s v="Matictic"/>
    <s v="MBA"/>
    <s v="6th"/>
    <s v="A-COMPOSTER SET (SUKI)"/>
    <n v="14.915900000000001"/>
    <n v="121.0874"/>
    <s v="14.9159, 121.0874"/>
    <x v="3"/>
    <s v="James Wilson T.  Peña"/>
    <m/>
    <s v="Diozelle A. Lazatin"/>
    <s v="R3-2025-023887"/>
    <d v="2025-07-10T00:00:00"/>
    <m/>
    <m/>
    <m/>
    <m/>
    <s v=""/>
    <s v=""/>
    <s v=""/>
    <s v=""/>
    <m/>
    <m/>
    <m/>
    <m/>
    <m/>
    <m/>
    <m/>
    <m/>
    <m/>
    <m/>
  </r>
  <r>
    <x v="2"/>
    <s v="Angat"/>
    <s v="Niugan"/>
    <s v="MBA"/>
    <s v="6th"/>
    <s v="A-COMPOSTER SET (SUKI)"/>
    <n v="14.937799999999999"/>
    <n v="120.9739"/>
    <s v="14.9378, 120.9739"/>
    <x v="0"/>
    <m/>
    <m/>
    <s v="Diozelle A. Lazatin"/>
    <m/>
    <m/>
    <m/>
    <m/>
    <m/>
    <m/>
    <s v=""/>
    <s v=""/>
    <s v=""/>
    <s v=""/>
    <m/>
    <m/>
    <m/>
    <m/>
    <m/>
    <m/>
    <m/>
    <m/>
    <m/>
    <m/>
  </r>
  <r>
    <x v="2"/>
    <s v="City Of Baliwag"/>
    <s v="Virgen Dela Flores"/>
    <s v="MBA"/>
    <s v="2nd"/>
    <s v="A-COMPOSTER SET (SUKI)"/>
    <n v="14.9491"/>
    <n v="120.8862"/>
    <s v="14.9491, 120.8862"/>
    <x v="1"/>
    <s v="VACANT"/>
    <m/>
    <s v="Diozelle A. Lazatin"/>
    <m/>
    <m/>
    <m/>
    <m/>
    <m/>
    <m/>
    <s v=""/>
    <s v=""/>
    <s v=""/>
    <s v=""/>
    <m/>
    <m/>
    <m/>
    <m/>
    <m/>
    <m/>
    <m/>
    <m/>
    <m/>
    <m/>
  </r>
  <r>
    <x v="2"/>
    <s v="Bocaue"/>
    <s v="Igulot"/>
    <s v="MBA"/>
    <s v="5th"/>
    <s v="A-COMPOSTER SET (SUKI)"/>
    <n v="14.791753"/>
    <n v="120.93874700000001"/>
    <s v="14.791753, 120.938747"/>
    <x v="4"/>
    <s v="Jasmine Marie J. Nicolas"/>
    <m/>
    <s v="Diozelle A. Lazatin"/>
    <s v="R3-2025-027768"/>
    <d v="2025-08-14T00:00:00"/>
    <m/>
    <m/>
    <m/>
    <m/>
    <s v=""/>
    <s v=""/>
    <s v=""/>
    <s v=""/>
    <m/>
    <m/>
    <m/>
    <m/>
    <m/>
    <m/>
    <m/>
    <m/>
    <m/>
    <m/>
  </r>
  <r>
    <x v="2"/>
    <s v="Doña Remedios Trinidad"/>
    <s v="Camachile"/>
    <s v="MBA"/>
    <s v="3rd"/>
    <s v="A-COMPOSTER SET (SUKI)"/>
    <n v="14.9831"/>
    <n v="121.0604"/>
    <s v="14.9831, 121.0604"/>
    <x v="0"/>
    <s v="VACANT"/>
    <m/>
    <s v="Diozelle A. Lazatin"/>
    <s v="R3-2025-031547"/>
    <d v="2025-09-17T00:00:00"/>
    <m/>
    <m/>
    <m/>
    <m/>
    <s v=""/>
    <s v=""/>
    <s v=""/>
    <s v=""/>
    <m/>
    <m/>
    <m/>
    <m/>
    <m/>
    <m/>
    <m/>
    <m/>
    <m/>
    <m/>
  </r>
  <r>
    <x v="2"/>
    <s v="City Of Malolos"/>
    <s v="Mambog"/>
    <s v="MBA"/>
    <s v="1st"/>
    <s v="A-COMPOSTER SET (SUKI)"/>
    <n v="14.808199999999999"/>
    <n v="120.8443"/>
    <s v="14.8082, 120.8443"/>
    <x v="1"/>
    <s v="Ronaldo P. Roque Jr."/>
    <m/>
    <s v="Diozelle A. Lazatin"/>
    <s v="R3-2025-027681 "/>
    <d v="2025-08-13T00:00:00"/>
    <m/>
    <m/>
    <m/>
    <m/>
    <s v=""/>
    <s v=""/>
    <s v=""/>
    <s v=""/>
    <m/>
    <m/>
    <m/>
    <m/>
    <m/>
    <m/>
    <m/>
    <m/>
    <m/>
    <m/>
  </r>
  <r>
    <x v="2"/>
    <s v="Calumpit"/>
    <s v="Calizon"/>
    <s v="MBA"/>
    <s v="1st"/>
    <s v="A-COMPOSTER SET (SUKI)"/>
    <n v="14.909125"/>
    <n v="120.753732"/>
    <s v="14.909125, 120.753732"/>
    <x v="4"/>
    <s v="Ronaldo P. Roque Jr."/>
    <m/>
    <s v="Diozelle A. Lazatin"/>
    <s v="R3-2025-004347"/>
    <d v="2025-02-05T00:00:00"/>
    <m/>
    <m/>
    <m/>
    <m/>
    <s v=""/>
    <s v=""/>
    <s v=""/>
    <s v=""/>
    <m/>
    <m/>
    <m/>
    <m/>
    <m/>
    <m/>
    <m/>
    <m/>
    <m/>
    <m/>
  </r>
  <r>
    <x v="2"/>
    <s v="Guiguinto"/>
    <s v="Poblacion"/>
    <s v="MBA"/>
    <s v="5th"/>
    <s v="A-COMPOSTER SET (SUKI)"/>
    <n v="14.824400000000001"/>
    <n v="120.8805"/>
    <s v="14.8244, 120.8805"/>
    <x v="0"/>
    <s v="Jasmine Marie J. Nicolas"/>
    <s v="Rod Ross S. De Jesus"/>
    <s v="Diozelle A. Lazatin"/>
    <s v="R3-2025-005706"/>
    <d v="2025-02-14T00:00:00"/>
    <m/>
    <m/>
    <m/>
    <m/>
    <s v=""/>
    <s v=""/>
    <s v=""/>
    <s v=""/>
    <m/>
    <m/>
    <m/>
    <m/>
    <m/>
    <m/>
    <m/>
    <m/>
    <m/>
    <m/>
  </r>
  <r>
    <x v="2"/>
    <s v="Paombong"/>
    <s v="San Isidro II"/>
    <s v="MBA"/>
    <s v="1st"/>
    <s v="A-COMPOSTER SET (SUKI)"/>
    <n v="14.8268"/>
    <n v="120.7637"/>
    <s v="14.8268, 120.7637"/>
    <x v="0"/>
    <s v="Ronaldo P. Roque Jr."/>
    <m/>
    <s v="Diozelle A. Lazatin"/>
    <s v="R3-2025-005439 "/>
    <d v="2025-02-11T00:00:00"/>
    <m/>
    <m/>
    <m/>
    <m/>
    <s v=""/>
    <s v=""/>
    <s v=""/>
    <s v=""/>
    <m/>
    <m/>
    <m/>
    <m/>
    <m/>
    <m/>
    <m/>
    <m/>
    <m/>
    <m/>
  </r>
  <r>
    <x v="2"/>
    <s v="Bulakan"/>
    <s v="San Jose"/>
    <s v="MBA"/>
    <s v="1st"/>
    <s v="A-COMPOSTER SET (SUKI)"/>
    <n v="14.702999999999999"/>
    <n v="120.88039999999999"/>
    <s v="14.703, 120.8804"/>
    <x v="3"/>
    <s v="Jasmine Marie J. Nicolas"/>
    <s v="Rod Ross S. De Jesus"/>
    <s v="Diozelle A. Lazatin"/>
    <s v="R3-2025-008784"/>
    <d v="2025-03-13T00:00:00"/>
    <m/>
    <m/>
    <m/>
    <m/>
    <s v=""/>
    <s v=""/>
    <s v=""/>
    <s v=""/>
    <m/>
    <m/>
    <m/>
    <m/>
    <m/>
    <m/>
    <m/>
    <m/>
    <m/>
    <m/>
  </r>
  <r>
    <x v="2"/>
    <s v="Hagonoy"/>
    <s v="Abulalas"/>
    <s v="MBA"/>
    <s v="1st"/>
    <s v="A-COMPOSTER SET (SUKI)"/>
    <n v="14.850863"/>
    <n v="120.76495300000001"/>
    <s v="14.850863, 120.764953"/>
    <x v="0"/>
    <s v="Ronaldo P. Roque Jr."/>
    <m/>
    <s v="Diozelle A. Lazatin"/>
    <s v="R3-2025-007938"/>
    <d v="2025-03-06T00:00:00"/>
    <m/>
    <m/>
    <m/>
    <m/>
    <s v=""/>
    <s v=""/>
    <s v=""/>
    <s v=""/>
    <m/>
    <m/>
    <m/>
    <m/>
    <m/>
    <m/>
    <m/>
    <m/>
    <m/>
    <m/>
  </r>
  <r>
    <x v="2"/>
    <s v="Obando"/>
    <s v="Tawiran"/>
    <s v="MBA"/>
    <s v="4th"/>
    <s v="A-COMPOSTER SET (SUKI)"/>
    <n v="14.7418"/>
    <n v="120.9122"/>
    <s v="14.7418, 120.9122"/>
    <x v="5"/>
    <s v="James Wilson T.  Peña"/>
    <s v="Rod Ross S. De Jesus"/>
    <s v="Diozelle A. Lazatin"/>
    <s v="R3-2025-008875"/>
    <d v="2025-03-07T00:00:00"/>
    <m/>
    <m/>
    <m/>
    <m/>
    <s v=""/>
    <s v=""/>
    <s v=""/>
    <s v=""/>
    <m/>
    <m/>
    <m/>
    <m/>
    <m/>
    <m/>
    <m/>
    <m/>
    <m/>
    <m/>
  </r>
  <r>
    <x v="2"/>
    <s v="Balagtas"/>
    <s v="Dalig"/>
    <s v="MBA"/>
    <s v="5th"/>
    <s v="A-COMPOSTER SET (SUKI)"/>
    <n v="14.847977"/>
    <n v="120.91888899999999"/>
    <s v="14.847977, 120.918889"/>
    <x v="0"/>
    <s v="Jasmine Marie J. Nicolas"/>
    <m/>
    <s v="Diozelle A. Lazatin"/>
    <s v="R3-2025-012850"/>
    <d v="2025-04-11T00:00:00"/>
    <m/>
    <m/>
    <m/>
    <m/>
    <s v=""/>
    <s v=""/>
    <s v=""/>
    <s v=""/>
    <m/>
    <m/>
    <m/>
    <m/>
    <m/>
    <m/>
    <m/>
    <m/>
    <m/>
    <m/>
  </r>
  <r>
    <x v="2"/>
    <s v="Bustos"/>
    <s v="Tanawan"/>
    <s v="MBA"/>
    <s v="2nd"/>
    <s v="A-COMPOSTER SET (SUKI)"/>
    <n v="14.955033"/>
    <n v="120.922296"/>
    <s v="14.955033, 120.922296"/>
    <x v="0"/>
    <s v="Ronaldo P. Roque Jr."/>
    <m/>
    <s v="Diozelle A. Lazatin"/>
    <s v="R3-2025-013043"/>
    <d v="2025-04-15T00:00:00"/>
    <m/>
    <m/>
    <m/>
    <m/>
    <s v=""/>
    <s v=""/>
    <s v=""/>
    <s v=""/>
    <m/>
    <m/>
    <m/>
    <m/>
    <m/>
    <m/>
    <m/>
    <m/>
    <m/>
    <m/>
  </r>
  <r>
    <x v="2"/>
    <s v="Marilao"/>
    <s v="Prenza I"/>
    <s v="MBA"/>
    <s v="4th"/>
    <s v="A-COMPOSTER SET (SUKI)"/>
    <n v="14.7902"/>
    <n v="120.9851"/>
    <s v="14.7902, 120.9851"/>
    <x v="6"/>
    <s v="Jasmine Marie J. Nicolas"/>
    <m/>
    <s v="Diozelle A. Lazatin"/>
    <s v="R3-2025-016450"/>
    <d v="2025-05-16T00:00:00"/>
    <m/>
    <m/>
    <m/>
    <m/>
    <s v=""/>
    <s v=""/>
    <s v=""/>
    <s v=""/>
    <m/>
    <m/>
    <m/>
    <m/>
    <m/>
    <m/>
    <m/>
    <m/>
    <m/>
    <m/>
  </r>
  <r>
    <x v="2"/>
    <s v="City Of Meycauayan"/>
    <s v="Pajo"/>
    <s v="MBA"/>
    <s v="4th"/>
    <s v="A-COMPOSTER SET (SUKI)"/>
    <n v="14.7745"/>
    <n v="121.0081"/>
    <s v="14.7745, 121.0081"/>
    <x v="0"/>
    <s v="Jasmine Marie J. Nicolas"/>
    <m/>
    <s v="Diozelle A. Lazatin"/>
    <s v="R3-2025-016451"/>
    <d v="2025-05-15T00:00:00"/>
    <m/>
    <m/>
    <m/>
    <m/>
    <s v=""/>
    <s v=""/>
    <s v=""/>
    <s v=""/>
    <m/>
    <m/>
    <m/>
    <m/>
    <m/>
    <m/>
    <m/>
    <m/>
    <m/>
    <m/>
  </r>
  <r>
    <x v="2"/>
    <s v="Pandi"/>
    <s v="Poblacion"/>
    <s v="MBA"/>
    <s v="5th"/>
    <s v="A-COMPOSTER SET (SUKI)"/>
    <n v="14.876568000000001"/>
    <n v="120.96017399999999"/>
    <s v="14.876568, 120.960174"/>
    <x v="3"/>
    <s v="Ronaldo P. Roque Jr."/>
    <m/>
    <s v="Diozelle A. Lazatin"/>
    <s v="R3-2025-019627"/>
    <d v="2025-06-11T00:00:00"/>
    <m/>
    <m/>
    <m/>
    <m/>
    <s v=""/>
    <s v=""/>
    <s v=""/>
    <s v=""/>
    <m/>
    <m/>
    <m/>
    <m/>
    <m/>
    <m/>
    <m/>
    <m/>
    <m/>
    <m/>
  </r>
  <r>
    <x v="2"/>
    <s v="Plaridel"/>
    <s v="Bulihan"/>
    <s v="MBA"/>
    <s v="2nd"/>
    <s v="A-COMPOSTER SET (SUKI)"/>
    <n v="14.8682"/>
    <n v="120.8861"/>
    <s v="14.8682, 120.8861"/>
    <x v="1"/>
    <s v="Jasmine Marie J. Nicolas"/>
    <m/>
    <s v="Diozelle A. Lazatin"/>
    <s v="R3-2025-020034"/>
    <d v="2025-06-17T00:00:00"/>
    <m/>
    <m/>
    <m/>
    <m/>
    <s v=""/>
    <s v=""/>
    <s v=""/>
    <s v=""/>
    <m/>
    <m/>
    <m/>
    <m/>
    <m/>
    <m/>
    <m/>
    <m/>
    <m/>
    <m/>
  </r>
  <r>
    <x v="2"/>
    <s v="Pulilan"/>
    <s v="Longos"/>
    <s v="MBA"/>
    <s v="1st"/>
    <s v="A-COMPOSTER SET (SUKI)"/>
    <n v="14.899699999999999"/>
    <n v="120.8665"/>
    <s v="14.8997, 120.8665"/>
    <x v="2"/>
    <s v="Jasmine Marie J. Nicolas"/>
    <m/>
    <s v="Diozelle A. Lazatin"/>
    <s v="R3-2025-019681"/>
    <d v="2025-06-10T00:00:00"/>
    <m/>
    <m/>
    <m/>
    <m/>
    <s v=""/>
    <s v=""/>
    <s v=""/>
    <s v=""/>
    <m/>
    <m/>
    <m/>
    <m/>
    <m/>
    <m/>
    <m/>
    <m/>
    <m/>
    <m/>
  </r>
  <r>
    <x v="2"/>
    <s v="San Ildefonso"/>
    <s v="Palapala"/>
    <s v="MBA"/>
    <s v="3rd"/>
    <s v="A-COMPOSTER SET (SUKI)"/>
    <n v="15.047700000000001"/>
    <n v="120.9541"/>
    <s v="15.0477, 120.9541"/>
    <x v="0"/>
    <s v="VACANT"/>
    <m/>
    <s v="Diozelle A. Lazatin"/>
    <s v="R3-2025-031522"/>
    <d v="2025-09-17T00:00:00"/>
    <m/>
    <m/>
    <m/>
    <m/>
    <s v=""/>
    <s v=""/>
    <s v=""/>
    <s v=""/>
    <m/>
    <m/>
    <m/>
    <m/>
    <m/>
    <m/>
    <m/>
    <m/>
    <m/>
    <m/>
  </r>
  <r>
    <x v="2"/>
    <s v="City Of San Jose Del Monte"/>
    <s v="Minuyan Proper"/>
    <s v="MBA"/>
    <s v="Lone"/>
    <s v="A-COMPOSTER SET (SUKI)"/>
    <n v="14.843999999999999"/>
    <n v="121.08929999999999"/>
    <s v="14.844, 121.0893"/>
    <x v="6"/>
    <s v="James Wilson T.  Peña"/>
    <s v="Maria Cecilia S. Pascual"/>
    <s v="Diozelle A. Lazatin"/>
    <s v="R3-2025-035144"/>
    <d v="2025-10-16T00:00:00"/>
    <m/>
    <m/>
    <m/>
    <m/>
    <s v=""/>
    <s v=""/>
    <s v=""/>
    <s v=""/>
    <m/>
    <m/>
    <m/>
    <m/>
    <m/>
    <m/>
    <m/>
    <m/>
    <m/>
    <m/>
  </r>
  <r>
    <x v="2"/>
    <s v="San Miguel"/>
    <s v="Biak Na Bato"/>
    <s v="MBA"/>
    <s v="3rd"/>
    <s v="A-COMPOSTER SET (SUKI)"/>
    <n v="15.1349"/>
    <n v="121.0595"/>
    <s v="15.1349, 121.0595"/>
    <x v="2"/>
    <s v="VACANT"/>
    <m/>
    <s v="Diozelle A. Lazatin"/>
    <m/>
    <m/>
    <m/>
    <m/>
    <m/>
    <m/>
    <s v=""/>
    <s v=""/>
    <s v=""/>
    <s v=""/>
    <m/>
    <m/>
    <m/>
    <m/>
    <m/>
    <m/>
    <m/>
    <m/>
    <m/>
    <m/>
  </r>
  <r>
    <x v="2"/>
    <s v="San Rafael"/>
    <s v="Coral Na Bato"/>
    <s v="MBA"/>
    <s v="3rd"/>
    <s v="A-COMPOSTER SET (SUKI)"/>
    <n v="14.9794"/>
    <n v="120.9738"/>
    <s v="14.9794, 120.9738"/>
    <x v="6"/>
    <s v="VACANT"/>
    <m/>
    <s v="Diozelle A. Lazatin"/>
    <s v="R3-2025-027459"/>
    <d v="2025-08-13T00:00:00"/>
    <m/>
    <m/>
    <m/>
    <m/>
    <s v=""/>
    <s v=""/>
    <s v=""/>
    <s v=""/>
    <m/>
    <m/>
    <m/>
    <m/>
    <m/>
    <m/>
    <m/>
    <m/>
    <m/>
    <m/>
  </r>
  <r>
    <x v="2"/>
    <s v="Santa Maria"/>
    <s v="Mag Asawang Sapa"/>
    <s v="MBA"/>
    <s v="6th"/>
    <s v="A-COMPOSTER SET (SUKI)"/>
    <n v="14.870710000000001"/>
    <n v="120.97342999999999"/>
    <s v="14.87071, 120.97343"/>
    <x v="2"/>
    <s v="James Wilson T.  Peña"/>
    <s v="Maria Cecilia S. Pascual"/>
    <s v="Diozelle A. Lazatin"/>
    <s v="R3-2025-035141"/>
    <d v="2025-10-09T00:00:00"/>
    <m/>
    <m/>
    <m/>
    <m/>
    <s v=""/>
    <s v=""/>
    <s v=""/>
    <s v=""/>
    <m/>
    <m/>
    <m/>
    <m/>
    <m/>
    <m/>
    <m/>
    <m/>
    <m/>
    <m/>
  </r>
  <r>
    <x v="3"/>
    <s v="Gabaldon"/>
    <s v="North Poblacion"/>
    <s v="MBA"/>
    <s v="3rd"/>
    <s v="A-COMPOSTER SET (SUKI)"/>
    <n v="15.4732"/>
    <n v="120.3361"/>
    <s v="15.4732, 120.3361"/>
    <x v="2"/>
    <s v="Chriatian Jem L. Buluran"/>
    <m/>
    <s v="Zosimo P. Suyat"/>
    <s v="R3-2025-024123"/>
    <d v="2025-07-10T00:00:00"/>
    <m/>
    <m/>
    <m/>
    <m/>
    <s v=""/>
    <s v=""/>
    <s v=""/>
    <s v=""/>
    <m/>
    <m/>
    <m/>
    <m/>
    <m/>
    <m/>
    <m/>
    <m/>
    <m/>
    <m/>
  </r>
  <r>
    <x v="3"/>
    <s v="Aliaga"/>
    <s v="Santiago"/>
    <s v="MBA"/>
    <s v="1st"/>
    <s v="C-COMPOSTER SET W/ CCTV (CNG)"/>
    <n v="15.4796"/>
    <n v="120.81870000000001"/>
    <s v="15.4796, 120.8187"/>
    <x v="6"/>
    <s v="Gem C.  Vicencio"/>
    <m/>
    <s v="Zosimo P. Suyat"/>
    <s v="R3-2025-031514"/>
    <d v="2025-09-16T00:00:00"/>
    <m/>
    <m/>
    <m/>
    <m/>
    <s v=""/>
    <s v=""/>
    <s v=""/>
    <s v=""/>
    <m/>
    <m/>
    <m/>
    <m/>
    <m/>
    <m/>
    <m/>
    <m/>
    <m/>
    <m/>
  </r>
  <r>
    <x v="3"/>
    <s v="Bongabon"/>
    <s v="Pesa"/>
    <s v="MBA"/>
    <s v="3rd"/>
    <s v="A-COMPOSTER SET (SUKI)"/>
    <n v="15.643420000000001"/>
    <n v="121.18844"/>
    <s v="15.64342, 121.18844"/>
    <x v="2"/>
    <s v="Chriatian Jem L. Buluran"/>
    <m/>
    <s v="Zosimo P. Suyat"/>
    <s v="R3-2025-008177"/>
    <d v="2025-03-07T00:00:00"/>
    <m/>
    <m/>
    <m/>
    <m/>
    <s v=""/>
    <s v=""/>
    <s v=""/>
    <s v=""/>
    <m/>
    <m/>
    <m/>
    <m/>
    <m/>
    <m/>
    <m/>
    <m/>
    <m/>
    <m/>
  </r>
  <r>
    <x v="3"/>
    <s v="City Of Cabanatuan"/>
    <s v="San Isidro"/>
    <s v="MBA"/>
    <s v="3rd"/>
    <s v="A-COMPOSTER SET (SUKI)"/>
    <n v="15.489800000000001"/>
    <n v="120.9939"/>
    <s v="15.4898, 120.9939"/>
    <x v="0"/>
    <s v="Chriatian Jem L. Buluran"/>
    <m/>
    <s v="Zosimo P. Suyat"/>
    <m/>
    <m/>
    <m/>
    <m/>
    <m/>
    <m/>
    <s v=""/>
    <s v=""/>
    <s v=""/>
    <s v=""/>
    <m/>
    <m/>
    <m/>
    <m/>
    <m/>
    <m/>
    <m/>
    <m/>
    <m/>
    <m/>
  </r>
  <r>
    <x v="3"/>
    <s v="Cabiao"/>
    <s v="Concepcion"/>
    <s v="MBA"/>
    <s v="4th"/>
    <s v="A-COMPOSTER SET (SUKI)"/>
    <n v="15.142721999999999"/>
    <n v="120.817814"/>
    <s v="15.142722, 120.817814"/>
    <x v="0"/>
    <s v="Christine Ann V. Ramos"/>
    <m/>
    <s v="Zosimo P. Suyat"/>
    <s v="R3-2025-003756"/>
    <d v="2025-02-04T00:00:00"/>
    <m/>
    <m/>
    <m/>
    <m/>
    <s v=""/>
    <s v=""/>
    <s v=""/>
    <s v=""/>
    <m/>
    <m/>
    <m/>
    <m/>
    <m/>
    <m/>
    <m/>
    <m/>
    <m/>
    <m/>
  </r>
  <r>
    <x v="3"/>
    <s v="Carranglan"/>
    <s v="TL Padilla"/>
    <s v="MBA"/>
    <s v="2nd"/>
    <s v="A-COMPOSTER SET (SUKI)"/>
    <n v="15.962387870000001"/>
    <n v="121.06738254"/>
    <s v="15.96238787, 121.06738254"/>
    <x v="0"/>
    <s v="Aser A. Inocencio, Jr."/>
    <m/>
    <s v="Zosimo P. Suyat"/>
    <s v="R3-2025-035178"/>
    <d v="2025-10-14T00:00:00"/>
    <m/>
    <m/>
    <m/>
    <m/>
    <s v=""/>
    <s v=""/>
    <s v=""/>
    <s v=""/>
    <m/>
    <m/>
    <m/>
    <m/>
    <m/>
    <m/>
    <m/>
    <m/>
    <m/>
    <m/>
  </r>
  <r>
    <x v="3"/>
    <s v="Cuyapo"/>
    <s v="Sabit"/>
    <s v="OUTSIDE MBA"/>
    <s v="1st"/>
    <s v="B-COMPOSTER SET W/ CCTV (SUKI)"/>
    <n v="15.81180694"/>
    <n v="120.67721433"/>
    <s v="15.81180694, 120.67721433"/>
    <x v="6"/>
    <s v="Aser A. Inocencio, Jr."/>
    <m/>
    <s v="Zosimo P. Suyat"/>
    <s v="R3-2025-016074"/>
    <d v="2025-05-09T00:00:00"/>
    <m/>
    <m/>
    <m/>
    <m/>
    <s v=""/>
    <s v=""/>
    <s v=""/>
    <s v=""/>
    <m/>
    <m/>
    <m/>
    <m/>
    <m/>
    <m/>
    <m/>
    <m/>
    <m/>
    <m/>
  </r>
  <r>
    <x v="3"/>
    <s v="General Mamerto Natividad"/>
    <s v="Balaring"/>
    <s v="MBA"/>
    <s v="3rd"/>
    <s v="A-COMPOSTER SET (SUKI)"/>
    <n v="15.60618"/>
    <n v="121.11087000000001"/>
    <s v="15.60618, 121.11087"/>
    <x v="0"/>
    <s v="Hosannah R. Sabio"/>
    <m/>
    <s v="Zosimo P. Suyat"/>
    <s v="R3-2025-023491"/>
    <d v="2025-07-11T00:00:00"/>
    <m/>
    <m/>
    <m/>
    <m/>
    <s v=""/>
    <s v=""/>
    <s v=""/>
    <s v=""/>
    <m/>
    <m/>
    <m/>
    <m/>
    <m/>
    <m/>
    <m/>
    <m/>
    <m/>
    <m/>
  </r>
  <r>
    <x v="3"/>
    <s v="City Of Gapan"/>
    <s v="Pambuan"/>
    <s v="MBA"/>
    <s v="4th"/>
    <s v="A-COMPOSTER SET (SUKI)"/>
    <n v="15.334293000000001"/>
    <n v="120.97338499999999"/>
    <s v="15.334293, 120.973385"/>
    <x v="0"/>
    <s v="Christine Ann V. Ramos"/>
    <m/>
    <s v="Zosimo P. Suyat"/>
    <s v="R3-2025-007617"/>
    <d v="2025-03-05T00:00:00"/>
    <m/>
    <m/>
    <m/>
    <m/>
    <s v=""/>
    <s v=""/>
    <s v=""/>
    <s v=""/>
    <m/>
    <m/>
    <m/>
    <m/>
    <m/>
    <m/>
    <m/>
    <m/>
    <m/>
    <m/>
  </r>
  <r>
    <x v="3"/>
    <s v="SAN JOSE CITY"/>
    <s v="Malasin"/>
    <s v="MBA"/>
    <s v="2nd"/>
    <s v="A-COMPOSTER SET (SUKI)"/>
    <n v="15.821400000000001"/>
    <n v="120.99290000000001"/>
    <s v="15.8214, 120.9929"/>
    <x v="5"/>
    <s v="Hosannah R. Sabio"/>
    <m/>
    <s v="Zosimo P. Suyat"/>
    <s v="R3-2025-023984"/>
    <d v="2025-07-16T00:00:00"/>
    <m/>
    <m/>
    <m/>
    <m/>
    <s v=""/>
    <s v=""/>
    <s v=""/>
    <s v=""/>
    <m/>
    <m/>
    <m/>
    <m/>
    <m/>
    <m/>
    <m/>
    <m/>
    <m/>
    <m/>
  </r>
  <r>
    <x v="3"/>
    <s v="General Tinio"/>
    <s v="San Pedro"/>
    <s v="MBA"/>
    <s v="3rd"/>
    <s v="A-COMPOSTER SET (SUKI)"/>
    <n v="15.3888"/>
    <n v="121.06189999999999"/>
    <s v="15.3888, 121.0619"/>
    <x v="0"/>
    <s v="Christian Jem C. Buluran"/>
    <m/>
    <s v="Zosimo P. Suyat"/>
    <s v="R3-2025-013202"/>
    <d v="2025-04-11T00:00:00"/>
    <m/>
    <m/>
    <m/>
    <m/>
    <s v=""/>
    <s v=""/>
    <s v=""/>
    <s v=""/>
    <m/>
    <m/>
    <m/>
    <m/>
    <m/>
    <m/>
    <m/>
    <m/>
    <m/>
    <m/>
  </r>
  <r>
    <x v="3"/>
    <s v="Guimba"/>
    <s v="Lennec"/>
    <s v="MBA"/>
    <s v="1st"/>
    <s v="A-COMPOSTER SET (SUKI)"/>
    <n v="15.71306669"/>
    <n v="120.74638505"/>
    <s v="15.71306669, 120.74638505"/>
    <x v="5"/>
    <s v="Aser A. Inocencio, Jr."/>
    <m/>
    <s v="Zosimo P. Suyat"/>
    <s v="R3-2025-027125"/>
    <d v="2025-08-08T00:00:00"/>
    <m/>
    <m/>
    <m/>
    <m/>
    <s v=""/>
    <s v=""/>
    <s v=""/>
    <s v=""/>
    <m/>
    <m/>
    <m/>
    <m/>
    <m/>
    <m/>
    <m/>
    <m/>
    <m/>
    <m/>
  </r>
  <r>
    <x v="3"/>
    <s v="Jaen"/>
    <s v="Dampulan"/>
    <s v="MBA"/>
    <s v="4th"/>
    <s v="A-COMPOSTER SET (SUKI)"/>
    <n v="15.337645999999999"/>
    <n v="120.90553300000001"/>
    <s v="15.337646, 120.905533"/>
    <x v="0"/>
    <s v="Christine Ann V. Ramos"/>
    <m/>
    <s v="Zosimo P. Suyat"/>
    <s v="R3-2025-031581"/>
    <d v="2025-09-04T00:00:00"/>
    <m/>
    <m/>
    <m/>
    <m/>
    <s v=""/>
    <s v=""/>
    <s v=""/>
    <s v=""/>
    <m/>
    <m/>
    <m/>
    <m/>
    <m/>
    <m/>
    <m/>
    <m/>
    <m/>
    <m/>
  </r>
  <r>
    <x v="3"/>
    <s v="Laur"/>
    <s v="Sagana"/>
    <s v="MBA"/>
    <s v="3rd"/>
    <s v="A-COMPOSTER SET (SUKI)"/>
    <n v="15.5722"/>
    <n v="121.1682"/>
    <s v="15.5722, 121.1682"/>
    <x v="0"/>
    <s v="Christian Jem C. Buluran"/>
    <m/>
    <s v="Zosimo P. Suyat"/>
    <s v="R3-2025-011648"/>
    <d v="2025-04-03T00:00:00"/>
    <m/>
    <m/>
    <m/>
    <m/>
    <s v=""/>
    <s v=""/>
    <s v=""/>
    <s v=""/>
    <m/>
    <m/>
    <m/>
    <m/>
    <m/>
    <m/>
    <m/>
    <m/>
    <m/>
    <m/>
  </r>
  <r>
    <x v="3"/>
    <s v="Licab"/>
    <s v="Niyugan"/>
    <s v="MBA"/>
    <s v="1st"/>
    <s v="A-COMPOSTER SET (SUKI)"/>
    <n v="15.337645999999999"/>
    <n v="120.90553300000001"/>
    <s v="15.337646, 120.905533"/>
    <x v="2"/>
    <s v="Gem C.  Vicencio"/>
    <m/>
    <s v="Zosimo P. Suyat"/>
    <s v="R3-2025-027091"/>
    <d v="2025-08-07T00:00:00"/>
    <m/>
    <m/>
    <m/>
    <m/>
    <s v=""/>
    <s v=""/>
    <s v=""/>
    <s v=""/>
    <m/>
    <m/>
    <m/>
    <m/>
    <m/>
    <m/>
    <m/>
    <m/>
    <m/>
    <m/>
  </r>
  <r>
    <x v="3"/>
    <s v="Llanera"/>
    <s v="Bagumbayan"/>
    <s v="MBA"/>
    <s v="2nd"/>
    <s v="A-COMPOSTER SET (SUKI)"/>
    <n v="15.66072"/>
    <n v="121.0218"/>
    <s v="15.66072, 121.0218"/>
    <x v="6"/>
    <s v="Hosannah R. Sabio"/>
    <m/>
    <s v="Zosimo P. Suyat"/>
    <s v="R3-2025-017682"/>
    <d v="2025-05-21T00:00:00"/>
    <m/>
    <m/>
    <m/>
    <m/>
    <s v=""/>
    <s v=""/>
    <s v=""/>
    <s v=""/>
    <m/>
    <m/>
    <m/>
    <m/>
    <m/>
    <m/>
    <m/>
    <m/>
    <m/>
    <m/>
  </r>
  <r>
    <x v="3"/>
    <s v="Lupao"/>
    <s v="San Antonio Este"/>
    <s v="MBA"/>
    <s v="2nd"/>
    <s v="A-COMPOSTER SET (SUKI)"/>
    <n v="15.872199999999999"/>
    <n v="120.8969"/>
    <s v="15.8722, 120.8969"/>
    <x v="0"/>
    <s v="Aser A. Inocencio, Jr."/>
    <m/>
    <s v="Zosimo P. Suyat"/>
    <m/>
    <m/>
    <m/>
    <m/>
    <m/>
    <m/>
    <s v=""/>
    <s v=""/>
    <s v=""/>
    <s v=""/>
    <m/>
    <m/>
    <m/>
    <m/>
    <m/>
    <m/>
    <m/>
    <m/>
    <m/>
    <m/>
  </r>
  <r>
    <x v="3"/>
    <s v="Nampicuan"/>
    <s v="North Poblacion"/>
    <s v="OUTSIDE MBA"/>
    <s v="1st"/>
    <s v="A-COMPOSTER SET (SUKI)"/>
    <n v="15.73542205"/>
    <n v="120.63237801"/>
    <s v="15.73542205, 120.63237801"/>
    <x v="2"/>
    <s v="Aser A. Inocencio, Jr."/>
    <m/>
    <s v="Zosimo P. Suyat"/>
    <s v="R3-2025-005547"/>
    <d v="2025-02-11T00:00:00"/>
    <m/>
    <m/>
    <m/>
    <m/>
    <s v=""/>
    <s v=""/>
    <s v=""/>
    <s v=""/>
    <m/>
    <m/>
    <m/>
    <m/>
    <m/>
    <m/>
    <m/>
    <m/>
    <m/>
    <m/>
  </r>
  <r>
    <x v="3"/>
    <s v="City Of Palayan"/>
    <s v="Singalat"/>
    <s v="MBA"/>
    <s v="3rd"/>
    <s v="A-COMPOSTER SET (SUKI)"/>
    <n v="15.56236"/>
    <n v="121.09817"/>
    <s v="15.56236, 121.09817"/>
    <x v="1"/>
    <s v="Hosannah R. Sabio"/>
    <m/>
    <s v="Zosimo P. Suyat"/>
    <s v="R3-2025-016788"/>
    <d v="2025-05-15T00:00:00"/>
    <m/>
    <m/>
    <m/>
    <m/>
    <s v=""/>
    <s v=""/>
    <s v=""/>
    <s v=""/>
    <m/>
    <m/>
    <m/>
    <m/>
    <m/>
    <m/>
    <m/>
    <m/>
    <m/>
    <m/>
  </r>
  <r>
    <x v="3"/>
    <s v="Pantabangan"/>
    <s v="Poblacion"/>
    <s v="MBA"/>
    <s v="2nd"/>
    <s v="A-COMPOSTER SET (SUKI)"/>
    <n v="15.807740000000001"/>
    <n v="121.14201"/>
    <s v="15.80774, 121.14201"/>
    <x v="0"/>
    <s v="Hosannah R. Sabio"/>
    <m/>
    <s v="Zosimo P. Suyat"/>
    <s v="R3-2025-019212"/>
    <d v="2025-05-30T00:00:00"/>
    <m/>
    <m/>
    <m/>
    <m/>
    <s v=""/>
    <s v=""/>
    <s v=""/>
    <s v=""/>
    <m/>
    <m/>
    <m/>
    <m/>
    <m/>
    <m/>
    <m/>
    <m/>
    <m/>
    <m/>
  </r>
  <r>
    <x v="3"/>
    <s v="Peñaranda"/>
    <s v="Callos"/>
    <s v="MBA"/>
    <s v="4th"/>
    <s v="A-COMPOSTER SET (SUKI)"/>
    <n v="15.322247000000001"/>
    <n v="121.07476800000001"/>
    <s v="15.322247, 121.074768"/>
    <x v="4"/>
    <s v="Christine Ann V. Ramos"/>
    <m/>
    <s v="Zosimo P. Suyat"/>
    <s v="R3-2025-012453"/>
    <d v="2025-04-10T00:00:00"/>
    <m/>
    <m/>
    <m/>
    <m/>
    <s v=""/>
    <s v=""/>
    <s v=""/>
    <s v=""/>
    <m/>
    <m/>
    <m/>
    <m/>
    <m/>
    <m/>
    <m/>
    <m/>
    <m/>
    <m/>
  </r>
  <r>
    <x v="3"/>
    <s v="Quezon"/>
    <s v="Brgy. II"/>
    <s v="MBA"/>
    <s v="1st"/>
    <s v="A-COMPOSTER SET (SUKI)"/>
    <n v="15.544499999999999"/>
    <n v="120.8091"/>
    <s v="15.5445, 120.8091"/>
    <x v="0"/>
    <s v="Gem C.  Vicencio"/>
    <m/>
    <s v="Zosimo P. Suyat"/>
    <s v="R3-2025-027089"/>
    <d v="2025-07-17T00:00:00"/>
    <m/>
    <m/>
    <m/>
    <m/>
    <s v=""/>
    <s v=""/>
    <s v=""/>
    <s v=""/>
    <m/>
    <m/>
    <m/>
    <m/>
    <m/>
    <m/>
    <m/>
    <m/>
    <m/>
    <m/>
  </r>
  <r>
    <x v="3"/>
    <s v="Rizal"/>
    <s v="San Gregorio"/>
    <s v="MBA"/>
    <s v="2nd"/>
    <s v="A-COMPOSTER SET (SUKI)"/>
    <n v="15.718769999999999"/>
    <n v="121.10781"/>
    <s v="15.71877, 121.10781"/>
    <x v="3"/>
    <s v="Hosannah R. Sabio"/>
    <m/>
    <s v="Zosimo P. Suyat"/>
    <m/>
    <m/>
    <m/>
    <m/>
    <m/>
    <m/>
    <s v=""/>
    <s v=""/>
    <s v=""/>
    <s v=""/>
    <m/>
    <m/>
    <m/>
    <m/>
    <m/>
    <m/>
    <m/>
    <m/>
    <m/>
    <m/>
  </r>
  <r>
    <x v="3"/>
    <s v="San Antonio_N"/>
    <s v="Santa Cruz"/>
    <s v="MBA"/>
    <s v="4th"/>
    <s v="A-COMPOSTER SET (SUKI)"/>
    <n v="15.310642"/>
    <n v="120.84886400000001"/>
    <s v="15.310642, 120.848864"/>
    <x v="6"/>
    <s v="Christine Ann V. Ramos"/>
    <m/>
    <s v="Zosimo P. Suyat"/>
    <s v="R3-2025-026431"/>
    <d v="2025-08-08T00:00:00"/>
    <m/>
    <m/>
    <m/>
    <m/>
    <s v=""/>
    <s v=""/>
    <s v=""/>
    <s v=""/>
    <m/>
    <m/>
    <m/>
    <m/>
    <m/>
    <m/>
    <m/>
    <m/>
    <m/>
    <m/>
  </r>
  <r>
    <x v="3"/>
    <s v="San Isidro"/>
    <s v="Tabon"/>
    <s v="MBA"/>
    <s v="4th"/>
    <s v="A-COMPOSTER SET (SUKI)"/>
    <n v="15.270087"/>
    <n v="120.9132"/>
    <s v="15.270087, 120.9132"/>
    <x v="1"/>
    <s v="Christine Ann V. Ramos"/>
    <m/>
    <s v="Zosimo P. Suyat"/>
    <s v="R3-2025-004727"/>
    <d v="2025-02-05T00:00:00"/>
    <m/>
    <m/>
    <m/>
    <m/>
    <s v=""/>
    <s v=""/>
    <s v=""/>
    <s v=""/>
    <m/>
    <m/>
    <m/>
    <m/>
    <m/>
    <m/>
    <m/>
    <m/>
    <m/>
    <m/>
  </r>
  <r>
    <x v="3"/>
    <s v="San Leonardo"/>
    <s v="Tagumpay"/>
    <s v="MBA"/>
    <s v="4th"/>
    <s v="A-COMPOSTER SET (SUKI)"/>
    <n v="15.3964"/>
    <n v="120.971"/>
    <s v="15.3964, 120.971"/>
    <x v="3"/>
    <s v="Chriatian Jem L. Buluran"/>
    <m/>
    <s v="Zosimo P. Suyat"/>
    <s v="R3-2025-009215"/>
    <d v="2025-03-14T00:00:00"/>
    <m/>
    <m/>
    <m/>
    <m/>
    <s v=""/>
    <s v=""/>
    <s v=""/>
    <s v=""/>
    <m/>
    <m/>
    <m/>
    <m/>
    <m/>
    <m/>
    <m/>
    <m/>
    <m/>
    <m/>
  </r>
  <r>
    <x v="3"/>
    <s v="Santa Rosa"/>
    <s v="Rajal Norte"/>
    <s v="MBA"/>
    <s v="2nd"/>
    <s v="A-COMPOSTER SET (SUKI)"/>
    <n v="15.3954"/>
    <n v="120.973"/>
    <s v="15.3954, 120.973"/>
    <x v="0"/>
    <s v="Chriatian Jem L. Buluran"/>
    <m/>
    <s v="Zosimo P. Suyat"/>
    <s v="R3-2025-009220"/>
    <d v="2025-03-12T00:00:00"/>
    <m/>
    <m/>
    <m/>
    <m/>
    <s v=""/>
    <s v=""/>
    <s v=""/>
    <s v=""/>
    <m/>
    <m/>
    <m/>
    <m/>
    <m/>
    <m/>
    <m/>
    <m/>
    <m/>
    <m/>
  </r>
  <r>
    <x v="3"/>
    <s v="Santo Domingo"/>
    <s v="San Pascual"/>
    <s v="MBA"/>
    <s v="1st"/>
    <s v="A-COMPOSTER SET (SUKI)"/>
    <n v="15.5891"/>
    <n v="120.8691"/>
    <s v="15.5891, 120.8691"/>
    <x v="3"/>
    <s v="Gem C.  Vicencio"/>
    <m/>
    <s v="Zosimo P. Suyat"/>
    <s v="R3-2025-035074"/>
    <d v="2025-10-15T00:00:00"/>
    <m/>
    <m/>
    <m/>
    <m/>
    <s v=""/>
    <s v=""/>
    <s v=""/>
    <s v=""/>
    <m/>
    <m/>
    <m/>
    <m/>
    <m/>
    <m/>
    <m/>
    <m/>
    <m/>
    <m/>
  </r>
  <r>
    <x v="3"/>
    <s v="Science City Of Muñoz"/>
    <s v="Franza"/>
    <s v="MBA"/>
    <s v="2nd"/>
    <s v="A-COMPOSTER SET (SUKI)"/>
    <n v="15.7598"/>
    <n v="120.8967"/>
    <s v=" "/>
    <x v="1"/>
    <s v="Aser A. Inocencio, Jr."/>
    <m/>
    <s v="Zosimo P. Suyat"/>
    <s v="R3-2025-035184"/>
    <d v="2025-10-15T00:00:00"/>
    <m/>
    <m/>
    <m/>
    <m/>
    <s v=""/>
    <s v=""/>
    <s v=""/>
    <s v=""/>
    <m/>
    <m/>
    <m/>
    <m/>
    <m/>
    <m/>
    <m/>
    <m/>
    <m/>
    <m/>
  </r>
  <r>
    <x v="3"/>
    <s v="Talavera"/>
    <s v="Bagong Silang"/>
    <s v="MBA"/>
    <s v="1st"/>
    <s v="A-COMPOSTER SET (SUKI)"/>
    <n v="15.641999999999999"/>
    <n v="120.90470000000001"/>
    <s v="15.642, 120.9047"/>
    <x v="4"/>
    <s v="Gem C.  Vicencio"/>
    <m/>
    <s v="Zosimo P. Suyat"/>
    <s v="R3-2025-034005 "/>
    <d v="2025-10-07T00:00:00"/>
    <m/>
    <m/>
    <m/>
    <m/>
    <s v=""/>
    <s v=""/>
    <s v=""/>
    <s v=""/>
    <m/>
    <m/>
    <m/>
    <m/>
    <m/>
    <m/>
    <m/>
    <m/>
    <m/>
    <m/>
  </r>
  <r>
    <x v="3"/>
    <s v="Talugtug"/>
    <s v="Buted"/>
    <s v="MBA"/>
    <s v="2nd"/>
    <s v="A-COMPOSTER SET (SUKI)"/>
    <n v="15.7863091"/>
    <n v="120.8106354"/>
    <s v="15.7863091, 120.8106354"/>
    <x v="3"/>
    <s v="Aser A. Inocencio, Jr."/>
    <m/>
    <s v="Zosimo P. Suyat"/>
    <s v="R3-2025-030766"/>
    <d v="2025-09-02T00:00:00"/>
    <m/>
    <m/>
    <m/>
    <m/>
    <s v=""/>
    <s v=""/>
    <s v=""/>
    <s v=""/>
    <m/>
    <m/>
    <m/>
    <m/>
    <m/>
    <m/>
    <m/>
    <m/>
    <m/>
    <m/>
  </r>
  <r>
    <x v="3"/>
    <s v="Zaragoza"/>
    <s v="Concepcion"/>
    <s v="MBA"/>
    <s v="1st"/>
    <s v="A-COMPOSTER SET (SUKI)"/>
    <n v="15.4315"/>
    <n v="120.8028"/>
    <s v="15.4315, 120.8028"/>
    <x v="1"/>
    <s v="Gem C.  Vicencio"/>
    <m/>
    <s v="Zosimo P. Suyat"/>
    <s v="R3-2025-029915"/>
    <d v="2025-09-02T00:00:00"/>
    <m/>
    <m/>
    <m/>
    <m/>
    <s v=""/>
    <s v=""/>
    <s v=""/>
    <s v=""/>
    <m/>
    <m/>
    <m/>
    <m/>
    <m/>
    <m/>
    <m/>
    <m/>
    <m/>
    <m/>
  </r>
  <r>
    <x v="4"/>
    <s v="City Of Angeles"/>
    <s v="Mining"/>
    <s v="MBA"/>
    <s v="1st"/>
    <s v="A-COMPOSTER SET (SUKI)"/>
    <n v="15.147360000000001"/>
    <n v="120.58368"/>
    <s v="15.14736, 120.58368"/>
    <x v="0"/>
    <s v="Elyza A. Evilla"/>
    <s v="Jan Emerson C. Gonzales"/>
    <s v="John Sherwin Loquellano"/>
    <s v="R3-2025-023104"/>
    <d v="2025-07-10T00:00:00"/>
    <m/>
    <m/>
    <m/>
    <m/>
    <s v=""/>
    <s v=""/>
    <s v=""/>
    <s v=""/>
    <m/>
    <m/>
    <m/>
    <m/>
    <m/>
    <m/>
    <m/>
    <m/>
    <m/>
    <m/>
  </r>
  <r>
    <x v="4"/>
    <s v="Santa Ana"/>
    <s v="San Nicolas"/>
    <s v="MBA"/>
    <s v="3rd"/>
    <s v="A-COMPOSTER SET (SUKI)"/>
    <n v="15.09998"/>
    <n v="120.77719999999999"/>
    <s v="15.09998, 120.7772"/>
    <x v="4"/>
    <s v="Roger T. Encarnacion II"/>
    <m/>
    <s v="Jun D. Guillermo"/>
    <s v="R3-2025-023000"/>
    <d v="2025-07-10T00:00:00"/>
    <m/>
    <m/>
    <m/>
    <m/>
    <s v=""/>
    <s v=""/>
    <s v=""/>
    <s v=""/>
    <m/>
    <m/>
    <m/>
    <m/>
    <m/>
    <m/>
    <m/>
    <m/>
    <m/>
    <m/>
  </r>
  <r>
    <x v="4"/>
    <s v="Apalit"/>
    <s v="Sulipan"/>
    <s v="MBA"/>
    <s v="4th"/>
    <s v="A-COMPOSTER SET (SUKI)"/>
    <n v="14.92827065"/>
    <n v="120.76341854"/>
    <s v="14.92827065, 120.76341854"/>
    <x v="5"/>
    <s v="Glaiza S.Gaza"/>
    <m/>
    <s v="John Sherwin Loquellano"/>
    <s v="R3-2025-004426"/>
    <d v="2025-02-06T00:00:00"/>
    <m/>
    <m/>
    <m/>
    <m/>
    <s v=""/>
    <s v=""/>
    <s v=""/>
    <s v=""/>
    <m/>
    <m/>
    <m/>
    <m/>
    <m/>
    <m/>
    <m/>
    <m/>
    <m/>
    <m/>
  </r>
  <r>
    <x v="4"/>
    <s v="Arayat"/>
    <s v="Sto. Nino Tubuan"/>
    <s v="MBA"/>
    <s v="3rd"/>
    <s v="A-COMPOSTER SET (SUKI)"/>
    <n v="15.189450000000001"/>
    <n v="120.79130000000001"/>
    <s v="15.18945, 120.7913"/>
    <x v="1"/>
    <s v="Roger T. Encarnacion II"/>
    <m/>
    <s v="Jun D. Guillermo"/>
    <s v="R3-2025-031368"/>
    <d v="2025-09-16T00:00:00"/>
    <m/>
    <m/>
    <m/>
    <m/>
    <s v=""/>
    <s v=""/>
    <s v=""/>
    <s v=""/>
    <m/>
    <m/>
    <m/>
    <m/>
    <m/>
    <m/>
    <m/>
    <m/>
    <m/>
    <m/>
  </r>
  <r>
    <x v="4"/>
    <s v="Bacolor"/>
    <s v="Talba"/>
    <s v="MBA"/>
    <s v="3rd"/>
    <s v="A-COMPOSTER SET (SUKI)"/>
    <n v="14.993252010000001"/>
    <n v="120.67140138000001"/>
    <s v="14.99325201, 120.67140138"/>
    <x v="0"/>
    <s v="VACANT"/>
    <m/>
    <s v="Jun D. Guillermo"/>
    <s v="R3-2025-027293"/>
    <d v="2025-08-12T00:00:00"/>
    <m/>
    <m/>
    <m/>
    <m/>
    <s v=""/>
    <s v=""/>
    <s v=""/>
    <s v=""/>
    <m/>
    <m/>
    <m/>
    <m/>
    <m/>
    <m/>
    <m/>
    <m/>
    <m/>
    <m/>
  </r>
  <r>
    <x v="4"/>
    <s v="Candaba"/>
    <s v="Mandasig"/>
    <s v="MBA"/>
    <s v="4th"/>
    <s v="A-COMPOSTER SET (SUKI)"/>
    <n v="15.09286"/>
    <n v="120.8129"/>
    <s v="15.09286, 120.8129"/>
    <x v="0"/>
    <s v="Roger T. Encarnacion II"/>
    <m/>
    <s v="Jun D. Guillermo"/>
    <s v="R3-2025-031363"/>
    <d v="2025-09-16T00:00:00"/>
    <m/>
    <m/>
    <m/>
    <m/>
    <s v=""/>
    <s v=""/>
    <s v=""/>
    <s v=""/>
    <m/>
    <m/>
    <m/>
    <m/>
    <m/>
    <m/>
    <m/>
    <m/>
    <m/>
    <m/>
  </r>
  <r>
    <x v="4"/>
    <s v="Floridablanca"/>
    <s v="Mabical"/>
    <s v="MBA"/>
    <s v="2nd"/>
    <s v="A-COMPOSTER SET (SUKI)"/>
    <n v="14.981299999999999"/>
    <n v="120.53530000000001"/>
    <s v="14.9813, 120.5353"/>
    <x v="2"/>
    <s v="Elyza A. Evilla"/>
    <m/>
    <s v="John Sherwin Loquellano"/>
    <s v="R3-2025-013109"/>
    <d v="2025-04-15T00:00:00"/>
    <m/>
    <m/>
    <m/>
    <m/>
    <s v=""/>
    <s v=""/>
    <s v=""/>
    <s v=""/>
    <m/>
    <m/>
    <m/>
    <m/>
    <m/>
    <m/>
    <m/>
    <m/>
    <m/>
    <m/>
  </r>
  <r>
    <x v="4"/>
    <s v="Guagua"/>
    <s v="San Rafael"/>
    <s v="MBA"/>
    <s v="2nd"/>
    <s v="A-COMPOSTER SET (SUKI)"/>
    <n v="14.956096110000001"/>
    <n v="120.64060747000001"/>
    <s v="14.95609611, 120.64060747"/>
    <x v="0"/>
    <s v="VACANT"/>
    <m/>
    <s v="Jun D. Guillermo"/>
    <s v="R3-2025-008782"/>
    <d v="2025-03-13T00:00:00"/>
    <m/>
    <m/>
    <m/>
    <m/>
    <s v=""/>
    <s v=""/>
    <s v=""/>
    <s v=""/>
    <m/>
    <m/>
    <m/>
    <m/>
    <m/>
    <m/>
    <m/>
    <m/>
    <m/>
    <m/>
  </r>
  <r>
    <x v="4"/>
    <s v="Lubao"/>
    <s v="Sta. Catalina"/>
    <s v="MBA"/>
    <s v="2nd"/>
    <s v="A-COMPOSTER SET (SUKI)"/>
    <n v="14.901999999999999"/>
    <n v="120.6032"/>
    <s v="14.902, 120.6032"/>
    <x v="2"/>
    <s v="VACANT"/>
    <m/>
    <s v="Jun D. Guillermo"/>
    <s v="R3-2025-034149"/>
    <d v="2025-10-08T00:00:00"/>
    <m/>
    <m/>
    <m/>
    <m/>
    <s v=""/>
    <s v=""/>
    <s v=""/>
    <s v=""/>
    <m/>
    <m/>
    <m/>
    <m/>
    <m/>
    <m/>
    <m/>
    <m/>
    <m/>
    <m/>
  </r>
  <r>
    <x v="4"/>
    <s v="Mabalacat City"/>
    <s v="Tabon"/>
    <s v="MBA"/>
    <s v="1st"/>
    <s v="A-COMPOSTER SET (SUKI)"/>
    <n v="15.240790000000001"/>
    <n v="120.56075"/>
    <s v="15.24079, 120.56075"/>
    <x v="0"/>
    <s v="Roger T. Encarnacion II"/>
    <m/>
    <s v="Jun D. Guillermo"/>
    <s v="R3-2025-004453"/>
    <d v="2025-02-07T00:00:00"/>
    <m/>
    <m/>
    <m/>
    <m/>
    <s v=""/>
    <s v=""/>
    <s v=""/>
    <s v=""/>
    <m/>
    <m/>
    <m/>
    <m/>
    <m/>
    <m/>
    <m/>
    <m/>
    <m/>
    <m/>
  </r>
  <r>
    <x v="4"/>
    <s v="Macabebe"/>
    <s v="San Vicente"/>
    <s v="MBA"/>
    <s v="4th"/>
    <s v="A-COMPOSTER SET (SUKI)"/>
    <n v="14.897500000000001"/>
    <n v="120.7183333"/>
    <s v="14.8975, 120.7183333"/>
    <x v="0"/>
    <s v="Glaiza S.Gaza"/>
    <m/>
    <s v="John Sherwin Loquellano"/>
    <s v="R3-2025-034786"/>
    <d v="2025-10-10T00:00:00"/>
    <m/>
    <m/>
    <m/>
    <m/>
    <s v=""/>
    <s v=""/>
    <s v=""/>
    <s v=""/>
    <m/>
    <m/>
    <m/>
    <m/>
    <m/>
    <m/>
    <m/>
    <m/>
    <m/>
    <m/>
  </r>
  <r>
    <x v="4"/>
    <s v="Magalang"/>
    <s v="Sto. Rosario"/>
    <s v="MBA"/>
    <s v="1st"/>
    <s v="A-COMPOSTER SET (SUKI)"/>
    <n v="15.256629999999999"/>
    <n v="120.63491999999999"/>
    <s v="15.25663, 120.63492"/>
    <x v="0"/>
    <s v="Roger T. Encarnacion II"/>
    <m/>
    <s v="Jun D. Guillermo"/>
    <s v="R3-2025-016980"/>
    <d v="2025-05-16T00:00:00"/>
    <m/>
    <m/>
    <m/>
    <m/>
    <s v=""/>
    <s v=""/>
    <s v=""/>
    <s v=""/>
    <m/>
    <m/>
    <m/>
    <m/>
    <m/>
    <m/>
    <m/>
    <m/>
    <m/>
    <m/>
  </r>
  <r>
    <x v="4"/>
    <s v="Masantol"/>
    <s v="Bebe Anac"/>
    <s v="MBA"/>
    <s v="4th"/>
    <s v="A-COMPOSTER SET (SUKI)"/>
    <n v="14.882400000000001"/>
    <n v="120.7111"/>
    <s v="14.8824, 120.7111"/>
    <x v="2"/>
    <s v="Glaiza S.Gaza"/>
    <m/>
    <s v="John Sherwin Loquellano"/>
    <m/>
    <m/>
    <m/>
    <m/>
    <m/>
    <m/>
    <s v=""/>
    <s v=""/>
    <s v=""/>
    <s v=""/>
    <m/>
    <m/>
    <m/>
    <m/>
    <m/>
    <m/>
    <m/>
    <m/>
    <m/>
    <m/>
  </r>
  <r>
    <x v="4"/>
    <s v="Minalin"/>
    <s v="Sta. Catalina"/>
    <s v="MBA"/>
    <s v="4th"/>
    <s v="A-COMPOSTER SET (SUKI)"/>
    <n v="14.963290000000001"/>
    <n v="120.66292"/>
    <s v="14.96329, 120.66292"/>
    <x v="0"/>
    <s v="Glaiza S.Gaza"/>
    <m/>
    <s v="John Sherwin Loquellano"/>
    <s v="R3-2025-005290"/>
    <d v="2025-02-11T00:00:00"/>
    <m/>
    <m/>
    <m/>
    <m/>
    <s v=""/>
    <s v=""/>
    <s v=""/>
    <s v=""/>
    <m/>
    <m/>
    <m/>
    <m/>
    <m/>
    <m/>
    <m/>
    <m/>
    <m/>
    <m/>
  </r>
  <r>
    <x v="4"/>
    <s v="Porac"/>
    <s v="San Jose Mitla"/>
    <s v="MBA"/>
    <s v="2nd"/>
    <s v="A-COMPOSTER SET (SUKI)"/>
    <n v="15.0678"/>
    <n v="120.56019999999999"/>
    <s v="15.0678, 120.5602"/>
    <x v="1"/>
    <s v="Elyza A. Evilla"/>
    <m/>
    <s v="John Sherwin Loquellano"/>
    <s v="R3-2025-013115 "/>
    <d v="2025-04-16T00:00:00"/>
    <m/>
    <m/>
    <m/>
    <m/>
    <s v=""/>
    <s v=""/>
    <s v=""/>
    <s v=""/>
    <m/>
    <m/>
    <m/>
    <m/>
    <m/>
    <m/>
    <m/>
    <m/>
    <m/>
    <m/>
  </r>
  <r>
    <x v="4"/>
    <s v="City Of San Fernando"/>
    <s v="Lara"/>
    <s v="MBA"/>
    <s v="3rd"/>
    <s v="A-COMPOSTER SET (SUKI)"/>
    <n v="15.081951719999999"/>
    <n v="120.61186542"/>
    <s v="15.08195172, 120.61186542"/>
    <x v="5"/>
    <s v="Elyza A. Evilla"/>
    <s v="Maria Cecilia S. Pascual"/>
    <s v="John Sherwin Loquellano"/>
    <s v="R3-2025-001635"/>
    <d v="2025-01-15T00:00:00"/>
    <m/>
    <m/>
    <m/>
    <m/>
    <s v=""/>
    <s v=""/>
    <s v=""/>
    <s v=""/>
    <m/>
    <m/>
    <m/>
    <m/>
    <m/>
    <m/>
    <m/>
    <m/>
    <m/>
    <m/>
  </r>
  <r>
    <x v="4"/>
    <s v="San Luis"/>
    <s v="Sto. Tomas"/>
    <s v="MBA"/>
    <s v="4th"/>
    <s v="A-COMPOSTER SET (SUKI)"/>
    <n v="15.047000000000001"/>
    <n v="120.7854"/>
    <s v="15.047, 120.7854"/>
    <x v="6"/>
    <s v="Glaiza S.Gaza"/>
    <m/>
    <s v="John Sherwin Loquellano"/>
    <s v="R3-2025-026867"/>
    <d v="2025-08-06T00:00:00"/>
    <m/>
    <m/>
    <m/>
    <m/>
    <s v=""/>
    <s v=""/>
    <s v=""/>
    <s v=""/>
    <m/>
    <m/>
    <m/>
    <m/>
    <m/>
    <m/>
    <m/>
    <m/>
    <m/>
    <m/>
  </r>
  <r>
    <x v="4"/>
    <s v="San Simon"/>
    <s v="Sta. Monica"/>
    <s v="MBA"/>
    <s v="4th"/>
    <s v="A-COMPOSTER SET (SUKI)"/>
    <n v="14.996600000000001"/>
    <n v="120.76139999999999"/>
    <s v="14.9966, 120.7614"/>
    <x v="1"/>
    <s v="Glaiza S.Gaza"/>
    <m/>
    <s v="John Sherwin Loquellano"/>
    <s v="R3-2025-031194"/>
    <d v="2025-09-03T00:00:00"/>
    <m/>
    <m/>
    <m/>
    <m/>
    <s v=""/>
    <s v=""/>
    <s v=""/>
    <s v=""/>
    <m/>
    <m/>
    <m/>
    <m/>
    <m/>
    <m/>
    <m/>
    <m/>
    <m/>
    <m/>
  </r>
  <r>
    <x v="4"/>
    <s v="Sasmuan"/>
    <s v="Dalan Baba"/>
    <s v="MBA"/>
    <s v="2nd"/>
    <s v="A-COMPOSTER SET (SUKI)"/>
    <n v="14.93694444"/>
    <n v="120.61750000000001"/>
    <s v="14.93694444, 120.6175"/>
    <x v="6"/>
    <s v="VACANT"/>
    <m/>
    <s v="Jun D. Guillermo"/>
    <s v="R3-2025-008776"/>
    <d v="2025-03-14T00:00:00"/>
    <m/>
    <m/>
    <m/>
    <m/>
    <s v=""/>
    <s v=""/>
    <s v=""/>
    <s v=""/>
    <m/>
    <m/>
    <m/>
    <m/>
    <m/>
    <m/>
    <m/>
    <m/>
    <m/>
    <m/>
  </r>
  <r>
    <x v="4"/>
    <s v="Santa Rita"/>
    <s v="Dila Dila"/>
    <s v="MBA"/>
    <s v="2nd"/>
    <s v="A-COMPOSTER SET (SUKI)"/>
    <n v="15.02195"/>
    <n v="120.56746"/>
    <s v="15.02195, 120.56746"/>
    <x v="3"/>
    <s v="VACANT"/>
    <m/>
    <s v="Jun D. Guillermo"/>
    <s v="R3-2025-034150"/>
    <d v="2025-10-08T00:00:00"/>
    <m/>
    <m/>
    <m/>
    <m/>
    <s v=""/>
    <s v=""/>
    <s v=""/>
    <s v=""/>
    <m/>
    <m/>
    <m/>
    <m/>
    <m/>
    <m/>
    <m/>
    <m/>
    <m/>
    <m/>
  </r>
  <r>
    <x v="4"/>
    <s v="Sto.Tomas"/>
    <s v="San Vicente"/>
    <s v="MBA"/>
    <s v="4th"/>
    <s v="A-COMPOSTER SET (SUKI)"/>
    <n v="15.003913000000001"/>
    <n v="120.697005"/>
    <s v="15.003913, 120.697005"/>
    <x v="3"/>
    <s v="Elyza A. Evilla"/>
    <s v="Maria Cecilia S. Pascual"/>
    <s v="John Sherwin Loquellano"/>
    <s v="R3-2025-001639"/>
    <d v="2025-01-16T00:00:00"/>
    <m/>
    <m/>
    <m/>
    <m/>
    <s v=""/>
    <s v=""/>
    <s v=""/>
    <s v=""/>
    <m/>
    <m/>
    <m/>
    <m/>
    <m/>
    <m/>
    <m/>
    <m/>
    <m/>
    <m/>
  </r>
  <r>
    <x v="4"/>
    <s v="Mexico"/>
    <s v="Suclaban"/>
    <s v="MBA"/>
    <s v="3rd"/>
    <s v="A-COMPOSTER SET (SUKI)"/>
    <n v="15.135300000000001"/>
    <n v="120.64998"/>
    <s v="15.1353, 120.64998"/>
    <x v="3"/>
    <s v="Roger T. Encarnacion II"/>
    <m/>
    <s v="Jun D. Guillermo"/>
    <s v="R3-2025-020297"/>
    <d v="2025-05-21T00:00:00"/>
    <m/>
    <m/>
    <m/>
    <m/>
    <s v=""/>
    <s v=""/>
    <s v=""/>
    <s v=""/>
    <m/>
    <m/>
    <m/>
    <m/>
    <m/>
    <m/>
    <m/>
    <m/>
    <m/>
    <m/>
  </r>
  <r>
    <x v="5"/>
    <s v="Baler"/>
    <s v="Calabuanan"/>
    <s v="OUTSIDE MBA"/>
    <m/>
    <s v="D-PLASTIC CHAIR FACTORY"/>
    <n v="15.75"/>
    <n v="121.53"/>
    <s v="15.75, 121.53"/>
    <x v="0"/>
    <s v="Zaila Mae R. Leander"/>
    <m/>
    <s v="Ryan Christian R. Nunag"/>
    <s v="R3-2025-011446"/>
    <d v="2025-04-04T00:00:00"/>
    <m/>
    <m/>
    <m/>
    <m/>
    <s v=""/>
    <s v=""/>
    <s v=""/>
    <s v=""/>
    <m/>
    <m/>
    <m/>
    <m/>
    <m/>
    <m/>
    <m/>
    <m/>
    <m/>
    <m/>
  </r>
  <r>
    <x v="6"/>
    <s v="Abucay"/>
    <s v="Capitangan"/>
    <s v="MBA"/>
    <m/>
    <s v="D-PLASTIC CHAIR FACTORY"/>
    <n v="14.7034"/>
    <n v="120.488"/>
    <s v="14.7034, 120.488"/>
    <x v="0"/>
    <s v="Dennis G. Tolentino"/>
    <m/>
    <s v="Christle D. David"/>
    <s v="R3-2025-023298"/>
    <d v="2025-07-09T00:00:00"/>
    <m/>
    <m/>
    <m/>
    <m/>
    <s v=""/>
    <s v=""/>
    <s v=""/>
    <s v=""/>
    <m/>
    <m/>
    <m/>
    <m/>
    <m/>
    <m/>
    <m/>
    <m/>
    <m/>
    <m/>
  </r>
  <r>
    <x v="7"/>
    <s v="City Of Malolos"/>
    <s v="Mambog"/>
    <s v="MBA"/>
    <m/>
    <s v="D-PLASTIC CHAIR FACTORY"/>
    <n v="14.808299999999999"/>
    <n v="120.84439999999999"/>
    <s v="14.8083, 120.8444"/>
    <x v="0"/>
    <s v="Ronaldo P. Roque Jr."/>
    <m/>
    <s v="Diozelle L. Cabalar"/>
    <s v="R3-2025-024479"/>
    <d v="2025-07-21T00:00:00"/>
    <m/>
    <m/>
    <m/>
    <m/>
    <s v=""/>
    <s v=""/>
    <s v=""/>
    <s v=""/>
    <m/>
    <m/>
    <m/>
    <m/>
    <m/>
    <m/>
    <m/>
    <m/>
    <m/>
    <m/>
  </r>
  <r>
    <x v="8"/>
    <s v="Science City Of Muñoz"/>
    <s v="Franza"/>
    <s v="MBA"/>
    <s v="2nd"/>
    <s v="D-PLASTIC CHAIR FACTORY"/>
    <n v="15.74173"/>
    <n v="120.94629999999999"/>
    <s v="15.74173, 120.9463"/>
    <x v="0"/>
    <s v="Aser A. Inocencio, Jr."/>
    <s v="Jay Pee S. Ordonez"/>
    <s v="Zosimo P. Suyat"/>
    <s v="R3-2025-023586"/>
    <d v="2025-07-11T00:00:00"/>
    <m/>
    <m/>
    <m/>
    <m/>
    <s v=""/>
    <s v=""/>
    <s v=""/>
    <s v=""/>
    <m/>
    <m/>
    <m/>
    <m/>
    <m/>
    <m/>
    <m/>
    <m/>
    <m/>
    <m/>
  </r>
  <r>
    <x v="8"/>
    <s v="City Of Palayan"/>
    <s v="Singalat"/>
    <s v="MBA"/>
    <s v="3rd"/>
    <s v="D-PLASTIC CHAIR FACTORY"/>
    <n v="15.556570000000001"/>
    <n v="121.0951"/>
    <s v="15.55657, 121.0951"/>
    <x v="0"/>
    <s v="Hosannah R. Sabio"/>
    <s v="Jay Pee S. Ordonez"/>
    <s v="Zosimo P. Suyat"/>
    <s v="R3-2025-016756"/>
    <d v="2025-05-15T00:00:00"/>
    <m/>
    <m/>
    <m/>
    <m/>
    <s v=""/>
    <s v=""/>
    <s v=""/>
    <s v=""/>
    <m/>
    <m/>
    <m/>
    <m/>
    <m/>
    <m/>
    <m/>
    <m/>
    <m/>
    <m/>
  </r>
  <r>
    <x v="9"/>
    <s v="City Of San Fernando"/>
    <s v="Alasas"/>
    <s v="MBA"/>
    <m/>
    <s v="D-PLASTIC CHAIR FACTORY"/>
    <n v="15.0823"/>
    <n v="120.6123"/>
    <s v="15.0823, 120.6123"/>
    <x v="4"/>
    <s v="Elyza A. Evilla"/>
    <s v="Jan Emerson C. Gonzales"/>
    <s v="John Sherwin Loquellano"/>
    <s v="R3-2025-018801"/>
    <d v="2025-06-03T00:00:00"/>
    <m/>
    <m/>
    <m/>
    <m/>
    <s v=""/>
    <s v=""/>
    <s v=""/>
    <s v=""/>
    <m/>
    <m/>
    <m/>
    <m/>
    <m/>
    <m/>
    <m/>
    <m/>
    <m/>
    <m/>
  </r>
  <r>
    <x v="10"/>
    <s v="Capas"/>
    <s v="Cristo Rey"/>
    <s v="MBA"/>
    <s v="3rd"/>
    <s v="D-PLASTIC CHAIR FACTORY"/>
    <n v="15.3704"/>
    <n v="120.5457"/>
    <s v="15.3704, 120.5457"/>
    <x v="2"/>
    <s v="Gretzhen M. Apolonio"/>
    <m/>
    <s v="Jan Emerson C. Gonzales"/>
    <m/>
    <m/>
    <m/>
    <m/>
    <m/>
    <m/>
    <s v=""/>
    <s v=""/>
    <s v=""/>
    <s v=""/>
    <m/>
    <m/>
    <m/>
    <m/>
    <m/>
    <m/>
    <m/>
    <m/>
    <m/>
    <m/>
  </r>
  <r>
    <x v="11"/>
    <s v="Castillejos"/>
    <s v="Nagbayan"/>
    <s v="OUTSIDE MBA"/>
    <s v="1st"/>
    <s v="D-PLASTIC CHAIR FACTORY"/>
    <n v="14.92318"/>
    <n v="120.1478"/>
    <s v="14.92318, 120.1478"/>
    <x v="4"/>
    <m/>
    <m/>
    <s v="Jun D. Guillermo"/>
    <s v="R3-2025-024412_x0009_"/>
    <d v="2025-07-18T00:00:00"/>
    <m/>
    <m/>
    <m/>
    <m/>
    <s v=""/>
    <s v=""/>
    <s v=""/>
    <s v=""/>
    <m/>
    <m/>
    <m/>
    <m/>
    <m/>
    <m/>
    <m/>
    <m/>
    <m/>
    <m/>
  </r>
  <r>
    <x v="12"/>
    <s v="Anao"/>
    <s v="San Jose South"/>
    <s v="OUTSIDE MBA"/>
    <s v="1st"/>
    <s v="C-COMPOSTER SET W/ CCTV (CNG)"/>
    <n v="15.706300000000001"/>
    <n v="120.629"/>
    <s v="15.7063, 120.629"/>
    <x v="4"/>
    <s v="Jasper Kieht B. Pili"/>
    <m/>
    <s v="Jan Emerson C. Gonzales"/>
    <m/>
    <m/>
    <m/>
    <m/>
    <m/>
    <m/>
    <s v=""/>
    <s v=""/>
    <s v=""/>
    <s v=""/>
    <m/>
    <m/>
    <m/>
    <m/>
    <m/>
    <m/>
    <m/>
    <m/>
    <m/>
    <m/>
  </r>
  <r>
    <x v="12"/>
    <s v="Bamban"/>
    <s v="Dapdap"/>
    <s v="MBA"/>
    <s v="3rd"/>
    <s v="A-COMPOSTER SET (SUKI)"/>
    <n v="15.293799999999999"/>
    <n v="120.52290000000001"/>
    <s v="15.2938, 120.5229"/>
    <x v="5"/>
    <s v="Gretzhen M. Apolonio"/>
    <m/>
    <s v="Jan Emerson C. Gonzales"/>
    <m/>
    <m/>
    <m/>
    <m/>
    <m/>
    <m/>
    <s v=""/>
    <s v=""/>
    <s v=""/>
    <s v=""/>
    <m/>
    <m/>
    <m/>
    <m/>
    <m/>
    <m/>
    <m/>
    <m/>
    <m/>
    <m/>
  </r>
  <r>
    <x v="12"/>
    <s v="Camiling"/>
    <s v="Bacsay"/>
    <s v="OUTSIDE MBA"/>
    <s v="1st"/>
    <s v="C-COMPOSTER SET W/ CCTV (CNG)"/>
    <n v="15.62922"/>
    <n v="15.62927"/>
    <s v="15.62922, 15.62927"/>
    <x v="2"/>
    <s v="Jasper Kieht B. Pili"/>
    <m/>
    <s v="Jan Emerson C. Gonzales"/>
    <m/>
    <m/>
    <m/>
    <m/>
    <m/>
    <m/>
    <s v=""/>
    <s v=""/>
    <s v=""/>
    <s v=""/>
    <m/>
    <m/>
    <m/>
    <m/>
    <m/>
    <m/>
    <m/>
    <m/>
    <m/>
    <m/>
  </r>
  <r>
    <x v="12"/>
    <s v="Capas"/>
    <s v="Cutcut 1st"/>
    <s v="MBA"/>
    <s v="3rd"/>
    <s v="A-COMPOSTER SET (SUKI)"/>
    <n v="15.320499999999999"/>
    <n v="120.58929999999999"/>
    <s v="15.3205, 120.5893"/>
    <x v="0"/>
    <s v="Gretzhen M. Apolonio"/>
    <m/>
    <s v="Jan Emerson C. Gonzales"/>
    <m/>
    <m/>
    <m/>
    <m/>
    <m/>
    <m/>
    <s v=""/>
    <s v=""/>
    <s v=""/>
    <s v=""/>
    <m/>
    <m/>
    <m/>
    <m/>
    <m/>
    <m/>
    <m/>
    <m/>
    <m/>
    <m/>
  </r>
  <r>
    <x v="12"/>
    <s v="Concepcion"/>
    <s v="Sta. Rita"/>
    <s v="MBA"/>
    <s v="3rd"/>
    <s v="A-COMPOSTER SET (SUKI)"/>
    <n v="15.3027"/>
    <n v="120.652"/>
    <s v="15.3027, 120.652"/>
    <x v="0"/>
    <m/>
    <m/>
    <s v="Jan Emerson C. Gonzales"/>
    <m/>
    <m/>
    <m/>
    <m/>
    <m/>
    <m/>
    <s v=""/>
    <s v=""/>
    <s v=""/>
    <s v=""/>
    <m/>
    <m/>
    <m/>
    <m/>
    <m/>
    <m/>
    <m/>
    <m/>
    <m/>
    <m/>
  </r>
  <r>
    <x v="12"/>
    <s v="Gerona"/>
    <s v="Tagumbao"/>
    <s v="OUTSIDE MBA"/>
    <s v="2nd"/>
    <s v="A-COMPOSTER SET (SUKI)"/>
    <n v="15.59802"/>
    <n v="120.55574"/>
    <s v="15.59802, 120.55574"/>
    <x v="1"/>
    <s v="Joshua A. Capones"/>
    <m/>
    <s v="Jan Emerson C. Gonzales"/>
    <m/>
    <m/>
    <m/>
    <m/>
    <m/>
    <m/>
    <s v=""/>
    <s v=""/>
    <s v=""/>
    <s v=""/>
    <m/>
    <m/>
    <m/>
    <m/>
    <m/>
    <m/>
    <m/>
    <m/>
    <m/>
    <m/>
  </r>
  <r>
    <x v="12"/>
    <s v="La Paz"/>
    <s v="Sierra"/>
    <s v="MBA"/>
    <s v="3rd"/>
    <s v="A-COMPOSTER SET (SUKI)"/>
    <n v="15.422700000000001"/>
    <n v="120.70820000000001"/>
    <s v="15.4227, 120.7082"/>
    <x v="0"/>
    <s v="Gretzhen M. Apolonio"/>
    <m/>
    <s v="Jan Emerson C. Gonzales"/>
    <m/>
    <m/>
    <m/>
    <m/>
    <m/>
    <m/>
    <s v=""/>
    <s v=""/>
    <s v=""/>
    <s v=""/>
    <m/>
    <m/>
    <m/>
    <m/>
    <m/>
    <m/>
    <m/>
    <m/>
    <m/>
    <m/>
  </r>
  <r>
    <x v="12"/>
    <s v="Mayantoc"/>
    <s v="Poblacion Norte"/>
    <s v="OUTSIDE MBA"/>
    <s v="1st"/>
    <s v="B-COMPOSTER SET W/ CCTV (SUKI)"/>
    <n v="15.62434"/>
    <n v="120.37879"/>
    <s v="15.62434, 120.37879"/>
    <x v="0"/>
    <s v="Jasper Kieht B. Pili"/>
    <m/>
    <s v="Jan Emerson C. Gonzales"/>
    <m/>
    <m/>
    <m/>
    <m/>
    <m/>
    <m/>
    <s v=""/>
    <s v=""/>
    <s v=""/>
    <s v=""/>
    <m/>
    <m/>
    <m/>
    <m/>
    <m/>
    <m/>
    <m/>
    <m/>
    <m/>
    <m/>
  </r>
  <r>
    <x v="12"/>
    <s v="Moncada"/>
    <s v="Burgos"/>
    <s v="OUTSIDE MBA"/>
    <s v="1st"/>
    <s v="A-COMPOSTER SET (SUKI)"/>
    <n v="15.732620000000001"/>
    <n v="120.58458"/>
    <s v="15.73262, 120.58458"/>
    <x v="4"/>
    <s v="Joshua A. Capones"/>
    <m/>
    <s v="Jan Emerson C. Gonzales"/>
    <m/>
    <m/>
    <m/>
    <m/>
    <m/>
    <m/>
    <s v=""/>
    <s v=""/>
    <s v=""/>
    <s v=""/>
    <m/>
    <m/>
    <m/>
    <m/>
    <m/>
    <m/>
    <m/>
    <m/>
    <m/>
    <m/>
  </r>
  <r>
    <x v="12"/>
    <s v="Paniqui"/>
    <s v="Dapdap"/>
    <s v="OUTSIDE MBA"/>
    <s v="1st"/>
    <s v="A-COMPOSTER SET (SUKI)"/>
    <n v="15.64289"/>
    <n v="120.56054"/>
    <s v="15.64289, 120.56054"/>
    <x v="0"/>
    <s v="Joshua A. Capones"/>
    <m/>
    <s v="Jan Emerson C. Gonzales"/>
    <m/>
    <m/>
    <m/>
    <m/>
    <m/>
    <m/>
    <s v=""/>
    <s v=""/>
    <s v=""/>
    <s v=""/>
    <m/>
    <m/>
    <m/>
    <m/>
    <m/>
    <m/>
    <m/>
    <m/>
    <m/>
    <m/>
  </r>
  <r>
    <x v="12"/>
    <s v="Pura"/>
    <s v="Matindeg"/>
    <s v="OUTSIDE MBA"/>
    <s v="1st"/>
    <s v="C-COMPOSTER SET W/ CCTV (CNG)"/>
    <n v="15.6158"/>
    <n v="120.6521"/>
    <s v="15.6158, 120.6521"/>
    <x v="3"/>
    <s v="Joshua A. Capones"/>
    <m/>
    <s v="Jan Emerson C. Gonzales"/>
    <m/>
    <m/>
    <m/>
    <m/>
    <m/>
    <m/>
    <s v=""/>
    <s v=""/>
    <s v=""/>
    <s v=""/>
    <m/>
    <m/>
    <m/>
    <m/>
    <m/>
    <m/>
    <m/>
    <m/>
    <m/>
    <m/>
  </r>
  <r>
    <x v="12"/>
    <s v="Ramos"/>
    <s v="Coral-iloco"/>
    <s v="OUTSIDE MBA"/>
    <s v="1st"/>
    <s v="C-COMPOSTER SET W/ CCTV (CNG)"/>
    <n v="15.687609999999999"/>
    <n v="120.63420000000001"/>
    <s v="15.68761, 120.6342"/>
    <x v="3"/>
    <s v="Jasper Kieht B. Pili"/>
    <m/>
    <s v="Jan Emerson C. Gonzales"/>
    <m/>
    <m/>
    <m/>
    <m/>
    <m/>
    <m/>
    <s v=""/>
    <s v=""/>
    <s v=""/>
    <s v=""/>
    <m/>
    <m/>
    <m/>
    <m/>
    <m/>
    <m/>
    <m/>
    <m/>
    <m/>
    <m/>
  </r>
  <r>
    <x v="12"/>
    <s v="San Clemente"/>
    <s v="Balloc"/>
    <s v="OUTSIDE MBA"/>
    <s v="1st"/>
    <s v="C-COMPOSTER SET W/ CCTV (CNG)"/>
    <n v="15.68412"/>
    <n v="120.3616"/>
    <s v="15.68412, 120.3616"/>
    <x v="1"/>
    <s v="Jasper Kieht B. Pili"/>
    <m/>
    <s v="Jan Emerson C. Gonzales"/>
    <m/>
    <m/>
    <m/>
    <m/>
    <m/>
    <m/>
    <s v=""/>
    <s v=""/>
    <s v=""/>
    <s v=""/>
    <m/>
    <m/>
    <m/>
    <m/>
    <m/>
    <m/>
    <m/>
    <m/>
    <m/>
    <m/>
  </r>
  <r>
    <x v="12"/>
    <s v="San Jose"/>
    <s v="Lawacamulag"/>
    <s v="OUTSIDE MBA"/>
    <s v="2nd"/>
    <s v="B-COMPOSTER SET W/ CCTV (SUKI)"/>
    <n v="15.5009"/>
    <n v="120.4768"/>
    <s v="15.5009, 120.4768"/>
    <x v="0"/>
    <s v="Gretzhen M. Apolonio"/>
    <m/>
    <s v="Jan Emerson C. Gonzales"/>
    <m/>
    <m/>
    <m/>
    <m/>
    <m/>
    <m/>
    <s v=""/>
    <s v=""/>
    <s v=""/>
    <s v=""/>
    <m/>
    <m/>
    <m/>
    <m/>
    <m/>
    <m/>
    <m/>
    <m/>
    <m/>
    <m/>
  </r>
  <r>
    <x v="12"/>
    <s v="San Manuel"/>
    <s v="Lanat"/>
    <s v="OUTSIDE MBA"/>
    <s v="1st"/>
    <s v="B-COMPOSTER SET W/ CCTV (SUKI)"/>
    <n v="15.803900000000001"/>
    <n v="120.6087"/>
    <s v="15.8039, 120.6087"/>
    <x v="6"/>
    <s v="Jasper Kieht B. Pili"/>
    <m/>
    <s v="Jan Emerson C. Gonzales"/>
    <m/>
    <m/>
    <m/>
    <m/>
    <m/>
    <m/>
    <s v=""/>
    <s v=""/>
    <s v=""/>
    <s v=""/>
    <m/>
    <m/>
    <m/>
    <m/>
    <m/>
    <m/>
    <m/>
    <m/>
    <m/>
    <m/>
  </r>
  <r>
    <x v="12"/>
    <s v="Santa Ignacia"/>
    <s v="Timaguab"/>
    <s v="OUTSIDE MBA"/>
    <s v="1st"/>
    <s v="A-COMPOSTER SET (SUKI)"/>
    <n v="15.56831"/>
    <n v="120.42989"/>
    <s v="15.56831, 120.42989"/>
    <x v="0"/>
    <s v="Joshua A. Capones"/>
    <m/>
    <s v="Rod Ross S. De Jesus"/>
    <m/>
    <m/>
    <m/>
    <m/>
    <m/>
    <m/>
    <s v=""/>
    <s v=""/>
    <s v=""/>
    <s v=""/>
    <m/>
    <m/>
    <m/>
    <m/>
    <m/>
    <m/>
    <m/>
    <m/>
    <m/>
    <m/>
  </r>
  <r>
    <x v="12"/>
    <s v="City Of Tarlac"/>
    <s v="Tibag"/>
    <s v="MBA"/>
    <s v="2nd"/>
    <s v="A-COMPOSTER SET (SUKI)"/>
    <n v="15.48678"/>
    <n v="120.57129"/>
    <s v="15.48678, 120.57129"/>
    <x v="0"/>
    <s v="Joshua A. Capones"/>
    <m/>
    <s v="Rod Ross S. De Jesus"/>
    <s v="R3-2025-016588"/>
    <d v="2025-05-16T00:00:00"/>
    <m/>
    <m/>
    <m/>
    <m/>
    <s v=""/>
    <s v=""/>
    <s v=""/>
    <s v=""/>
    <m/>
    <m/>
    <m/>
    <m/>
    <m/>
    <m/>
    <m/>
    <m/>
    <m/>
    <m/>
  </r>
  <r>
    <x v="12"/>
    <s v="Victoria"/>
    <s v="Bantog"/>
    <s v="MBA"/>
    <s v="2nd"/>
    <s v="A-COMPOSTER SET (SUKI)"/>
    <n v="15.6196"/>
    <n v="120.6844"/>
    <s v="15.6196, 120.6844"/>
    <x v="6"/>
    <s v="Gretzhen M. Apolonio"/>
    <m/>
    <s v="Rod Ross S. De Jesus"/>
    <s v="R3-2025-016619"/>
    <d v="2025-05-14T00:00:00"/>
    <m/>
    <m/>
    <m/>
    <m/>
    <s v=""/>
    <s v=""/>
    <s v=""/>
    <s v=""/>
    <m/>
    <m/>
    <m/>
    <m/>
    <m/>
    <m/>
    <m/>
    <m/>
    <m/>
    <m/>
  </r>
  <r>
    <x v="13"/>
    <s v="Botolan"/>
    <s v="Taugtog"/>
    <s v="OUTSIDE MBA"/>
    <s v="2nd"/>
    <s v="A-COMPOSTER SET (SUKI)"/>
    <n v="15.3109"/>
    <n v="120.04559999999999"/>
    <s v="15.3109, 120.0456"/>
    <x v="2"/>
    <s v="Larizze A. Santos"/>
    <m/>
    <s v="Jun D. Guillermo"/>
    <s v="R3-2025-026777_x0009_"/>
    <d v="2025-08-06T00:00:00"/>
    <m/>
    <m/>
    <m/>
    <m/>
    <s v=""/>
    <s v=""/>
    <s v=""/>
    <s v=""/>
    <m/>
    <m/>
    <m/>
    <m/>
    <m/>
    <m/>
    <m/>
    <m/>
    <m/>
    <m/>
  </r>
  <r>
    <x v="13"/>
    <s v="Cabangan"/>
    <s v="San Juan"/>
    <s v="OUTSIDE MBA"/>
    <s v="2nd"/>
    <s v="C-COMPOSTER SET W/ CCTV (CNG)"/>
    <n v="15.160500000000001"/>
    <n v="120.07550000000001"/>
    <s v="15.1605, 120.0755"/>
    <x v="1"/>
    <s v="Larizze A. Santos"/>
    <m/>
    <s v="Jun D. Guillermo"/>
    <s v="R3-2025-031322"/>
    <d v="2025-09-11T00:00:00"/>
    <m/>
    <m/>
    <m/>
    <m/>
    <s v=""/>
    <s v=""/>
    <s v=""/>
    <s v=""/>
    <m/>
    <m/>
    <m/>
    <m/>
    <m/>
    <m/>
    <m/>
    <m/>
    <m/>
    <m/>
  </r>
  <r>
    <x v="13"/>
    <s v="Candelaria"/>
    <s v="Pinagrealan"/>
    <s v="OUTSIDE MBA"/>
    <s v="2nd"/>
    <s v="B-COMPOSTER SET W/ CCTV (SUKI)"/>
    <n v="15.5982"/>
    <n v="119.9748"/>
    <s v="15.5982, 119.9748"/>
    <x v="3"/>
    <s v="Ryan Ace R. Angel"/>
    <m/>
    <s v="Jun D. Guillermo"/>
    <m/>
    <m/>
    <m/>
    <m/>
    <m/>
    <m/>
    <s v=""/>
    <s v=""/>
    <s v=""/>
    <s v=""/>
    <m/>
    <m/>
    <m/>
    <m/>
    <m/>
    <m/>
    <m/>
    <m/>
    <m/>
    <m/>
  </r>
  <r>
    <x v="13"/>
    <s v="Castillejos"/>
    <s v="Nagbayan"/>
    <s v="OUTSIDE MBA"/>
    <s v="1st"/>
    <s v="A-COMPOSTER SET (SUKI)"/>
    <n v="14.9231"/>
    <n v="120.1478"/>
    <s v="14.9231, 120.1478"/>
    <x v="0"/>
    <s v="Larizze A. Santos"/>
    <m/>
    <s v="Jun D. Guillermo"/>
    <s v="R3-2025-001962"/>
    <d v="2025-01-17T00:00:00"/>
    <m/>
    <m/>
    <m/>
    <m/>
    <s v=""/>
    <s v=""/>
    <s v=""/>
    <s v=""/>
    <m/>
    <m/>
    <m/>
    <m/>
    <m/>
    <m/>
    <m/>
    <m/>
    <m/>
    <m/>
  </r>
  <r>
    <x v="13"/>
    <s v="Iba"/>
    <s v="Dirita-Baloguen"/>
    <s v="OUTSIDE MBA"/>
    <s v="2nd"/>
    <s v="A-COMPOSTER SET (SUKI)"/>
    <n v="15.337199999999999"/>
    <n v="119.9748"/>
    <s v="15.3372, 119.9748"/>
    <x v="5"/>
    <s v="Larizze A. Santos"/>
    <m/>
    <s v="Jun D. Guillermo"/>
    <s v="R3-2025-010796"/>
    <d v="2025-03-21T00:00:00"/>
    <m/>
    <m/>
    <m/>
    <m/>
    <s v=""/>
    <s v=""/>
    <s v=""/>
    <s v=""/>
    <m/>
    <m/>
    <m/>
    <m/>
    <m/>
    <m/>
    <m/>
    <m/>
    <m/>
    <m/>
  </r>
  <r>
    <x v="13"/>
    <s v="Masinloc"/>
    <s v="Baloganon"/>
    <s v="OUTSIDE MBA"/>
    <s v="2nd"/>
    <s v="A-COMPOSTER SET (SUKI)"/>
    <n v="15.582100000000001"/>
    <n v="119.9893"/>
    <s v="15.5821, 119.9893"/>
    <x v="1"/>
    <s v="Ryan Ace R. Angel"/>
    <m/>
    <s v="Jun D. Guillermo"/>
    <s v="R3-2025-019752"/>
    <d v="2025-06-11T00:00:00"/>
    <m/>
    <m/>
    <m/>
    <m/>
    <s v=""/>
    <s v=""/>
    <s v=""/>
    <s v=""/>
    <m/>
    <m/>
    <m/>
    <m/>
    <m/>
    <m/>
    <m/>
    <m/>
    <m/>
    <m/>
  </r>
  <r>
    <x v="13"/>
    <s v="City Of Olongapo"/>
    <s v="New Cabalan"/>
    <s v="OUTSIDE MBA"/>
    <s v="1st"/>
    <s v="A-COMPOSTER SET (SUKI)"/>
    <n v="14.8459"/>
    <n v="120.3293348"/>
    <s v="14.8459, 120.3293348"/>
    <x v="0"/>
    <m/>
    <m/>
    <s v="Jun D. Guillermo"/>
    <s v="R3-2025-034211"/>
    <d v="2025-10-07T00:00:00"/>
    <m/>
    <m/>
    <m/>
    <m/>
    <s v=""/>
    <s v=""/>
    <s v=""/>
    <s v=""/>
    <m/>
    <m/>
    <m/>
    <m/>
    <m/>
    <m/>
    <m/>
    <m/>
    <m/>
    <m/>
  </r>
  <r>
    <x v="13"/>
    <s v="San Antonio"/>
    <s v="Pundakit"/>
    <s v="OUTSIDE MBA"/>
    <s v="2nd"/>
    <s v="A-COMPOSTER SET (SUKI)"/>
    <n v="14.93018934"/>
    <n v="120.07476672"/>
    <s v="14.93018934, 120.07476672"/>
    <x v="0"/>
    <s v="Larizze Anne Santos"/>
    <m/>
    <s v="Jun D. Guillermo"/>
    <s v="R3-2025-004762"/>
    <d v="2025-02-06T00:00:00"/>
    <m/>
    <m/>
    <m/>
    <m/>
    <s v=""/>
    <s v=""/>
    <s v=""/>
    <s v=""/>
    <m/>
    <m/>
    <m/>
    <m/>
    <m/>
    <m/>
    <m/>
    <m/>
    <m/>
    <m/>
  </r>
  <r>
    <x v="13"/>
    <s v="San Felipe"/>
    <s v="Manglicmot"/>
    <s v="OUTSIDE MBA"/>
    <s v="2nd"/>
    <s v="C-COMPOSTER SET W/ CCTV (CNG)"/>
    <n v="15.0519"/>
    <n v="120.0715"/>
    <s v="15.0519, 120.0715"/>
    <x v="6"/>
    <s v="Larizze A. Santos"/>
    <m/>
    <s v="Jun D. Guillermo"/>
    <s v="R3-2025-008871"/>
    <d v="2025-03-14T00:00:00"/>
    <m/>
    <m/>
    <m/>
    <m/>
    <s v=""/>
    <s v=""/>
    <s v=""/>
    <s v=""/>
    <m/>
    <m/>
    <m/>
    <m/>
    <m/>
    <m/>
    <m/>
    <m/>
    <m/>
    <m/>
  </r>
  <r>
    <x v="13"/>
    <s v="San Marcelino"/>
    <s v="Linasin"/>
    <s v="OUTSIDE MBA"/>
    <s v="1st"/>
    <s v="A-COMPOSTER SET (SUKI)"/>
    <n v="14.9694"/>
    <n v="120.1332"/>
    <s v="14.9694, 120.1332"/>
    <x v="0"/>
    <s v="Larizze A. Santos"/>
    <m/>
    <s v="Jun D. Guillermo"/>
    <s v="R3-2025-004761"/>
    <d v="2025-02-05T00:00:00"/>
    <m/>
    <m/>
    <m/>
    <m/>
    <s v=""/>
    <s v=""/>
    <s v=""/>
    <s v=""/>
    <m/>
    <m/>
    <m/>
    <m/>
    <m/>
    <m/>
    <m/>
    <m/>
    <m/>
    <m/>
  </r>
  <r>
    <x v="13"/>
    <s v="San Narciso"/>
    <s v="San Pascual"/>
    <s v="OUTSIDE MBA"/>
    <s v="2nd"/>
    <s v="B-COMPOSTER SET W/ CCTV (SUKI)"/>
    <n v="15.016299999999999"/>
    <n v="120.0873"/>
    <s v="15.0163, 120.0873"/>
    <x v="3"/>
    <s v="Larizze A. Santos"/>
    <m/>
    <s v="Jun D. Guillermo"/>
    <s v="R3-2025-008874"/>
    <d v="2025-03-14T00:00:00"/>
    <m/>
    <m/>
    <m/>
    <m/>
    <s v=""/>
    <s v=""/>
    <s v=""/>
    <s v=""/>
    <m/>
    <m/>
    <m/>
    <m/>
    <m/>
    <m/>
    <m/>
    <m/>
    <m/>
    <m/>
  </r>
  <r>
    <x v="13"/>
    <s v="Santa Cruz"/>
    <s v="Poblacion South"/>
    <s v="OUTSIDE MBA"/>
    <s v="2nd"/>
    <s v="A-COMPOSTER SET (SUKI)"/>
    <n v="15.7621"/>
    <n v="119.9091"/>
    <s v="15.7621, 119.9091"/>
    <x v="0"/>
    <s v="Ryan Ace R. Angel"/>
    <m/>
    <s v="Jun D. Guillermo"/>
    <s v=" R3-2025-016538"/>
    <d v="2025-05-16T00:00:00"/>
    <m/>
    <m/>
    <m/>
    <m/>
    <s v=""/>
    <s v=""/>
    <s v=""/>
    <s v=""/>
    <m/>
    <m/>
    <m/>
    <m/>
    <m/>
    <m/>
    <m/>
    <m/>
    <m/>
    <m/>
  </r>
  <r>
    <x v="13"/>
    <s v="Subic"/>
    <s v="Asinan"/>
    <s v="OUTSIDE MBA"/>
    <s v="1st"/>
    <s v="A-COMPOSTER SET (SUKI)"/>
    <n v="14.901856860000001"/>
    <n v="120.23227224999999"/>
    <s v="14.90185686, 120.23227225"/>
    <x v="2"/>
    <m/>
    <m/>
    <s v="Jun D. Guillermo"/>
    <m/>
    <m/>
    <m/>
    <m/>
    <m/>
    <m/>
    <s v=""/>
    <s v=""/>
    <s v=""/>
    <s v=""/>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s v="Dilasag"/>
    <s v="Maligaya"/>
    <s v="OUTSIDE MBA"/>
    <s v="Lone"/>
    <n v="16.391200000000001"/>
    <n v="122.211"/>
    <s v="16.3912,122.211"/>
    <s v="LGU FUNDED MRF"/>
    <x v="0"/>
    <s v="Queenyvel Laguisma"/>
    <m/>
    <s v="Diozelle L. Cabalar"/>
    <m/>
    <m/>
    <m/>
    <m/>
    <m/>
    <m/>
    <s v=""/>
    <s v=""/>
    <s v=""/>
    <s v=""/>
    <m/>
    <m/>
    <m/>
    <m/>
    <m/>
    <m/>
    <e v="#DIV/0!"/>
    <m/>
    <m/>
    <m/>
    <m/>
    <m/>
    <m/>
    <m/>
    <m/>
    <m/>
    <m/>
    <m/>
  </r>
  <r>
    <x v="0"/>
    <s v="Dingalan"/>
    <s v="Caragsacan"/>
    <s v="OUTSIDE MBA"/>
    <s v="Lone"/>
    <n v="15.3817"/>
    <n v="121.381"/>
    <s v="15.3817,121.381"/>
    <s v="LGU FUNDED MRF"/>
    <x v="1"/>
    <s v="Nikko Jay M. Valenzuela"/>
    <m/>
    <s v="Diozelle L. Cabalar"/>
    <m/>
    <m/>
    <m/>
    <m/>
    <m/>
    <m/>
    <s v=""/>
    <s v=""/>
    <s v=""/>
    <s v=""/>
    <m/>
    <m/>
    <m/>
    <m/>
    <m/>
    <m/>
    <m/>
    <m/>
    <m/>
    <m/>
    <m/>
    <m/>
    <m/>
    <m/>
    <m/>
    <m/>
    <m/>
    <m/>
  </r>
  <r>
    <x v="1"/>
    <s v="Abucay"/>
    <s v="Capitangan"/>
    <s v="MBA"/>
    <s v="1st"/>
    <n v="14.7035"/>
    <n v="120.488"/>
    <s v="14.7035,120.488"/>
    <s v="LGU FUNDED MRF"/>
    <x v="1"/>
    <s v="Dennis Tolentino"/>
    <m/>
    <s v="Christle D. David"/>
    <m/>
    <m/>
    <m/>
    <m/>
    <m/>
    <m/>
    <s v=""/>
    <s v=""/>
    <s v=""/>
    <s v=""/>
    <m/>
    <m/>
    <m/>
    <m/>
    <m/>
    <m/>
    <m/>
    <m/>
    <m/>
    <m/>
    <m/>
    <m/>
    <m/>
    <m/>
    <m/>
    <m/>
    <m/>
    <m/>
  </r>
  <r>
    <x v="1"/>
    <s v="Balanga City"/>
    <s v="Munting Batangas"/>
    <s v="MBA"/>
    <s v="2nd"/>
    <n v="14.678100000000001"/>
    <n v="120.477"/>
    <s v="14.6781,120.477"/>
    <s v="LGU FUNDED MRF"/>
    <x v="2"/>
    <s v="Dennis Tolentino"/>
    <m/>
    <s v="Christle D. David"/>
    <m/>
    <m/>
    <m/>
    <m/>
    <m/>
    <m/>
    <s v=""/>
    <s v=""/>
    <s v=""/>
    <s v=""/>
    <m/>
    <m/>
    <m/>
    <m/>
    <m/>
    <m/>
    <m/>
    <m/>
    <m/>
    <m/>
    <m/>
    <m/>
    <m/>
    <m/>
    <m/>
    <m/>
    <m/>
    <m/>
  </r>
  <r>
    <x v="1"/>
    <s v="Hermosa"/>
    <s v="Mambog"/>
    <s v="MBA"/>
    <s v="1st"/>
    <n v="14.814500000000001"/>
    <n v="120.479"/>
    <s v="14.8145,120.479"/>
    <s v="LGU FUNDED MRF"/>
    <x v="3"/>
    <s v="John-lester Signio"/>
    <m/>
    <s v="Christle D. David"/>
    <m/>
    <m/>
    <m/>
    <m/>
    <m/>
    <m/>
    <s v=""/>
    <s v=""/>
    <s v=""/>
    <s v=""/>
    <m/>
    <m/>
    <m/>
    <m/>
    <m/>
    <m/>
    <m/>
    <m/>
    <m/>
    <m/>
    <m/>
    <m/>
    <m/>
    <m/>
    <m/>
    <m/>
    <m/>
    <m/>
  </r>
  <r>
    <x v="1"/>
    <s v="Mariveles"/>
    <s v="Ipag"/>
    <s v="MBA"/>
    <s v="3rd"/>
    <n v="14.42460374"/>
    <n v="120.48033257"/>
    <s v="14.42460374,120.48033257"/>
    <s v="LGU FUNDED MRF"/>
    <x v="1"/>
    <s v="Laurence Radasa"/>
    <m/>
    <s v="Christle D. David"/>
    <m/>
    <m/>
    <m/>
    <m/>
    <m/>
    <m/>
    <s v=""/>
    <s v=""/>
    <s v=""/>
    <s v=""/>
    <m/>
    <m/>
    <m/>
    <m/>
    <m/>
    <m/>
    <m/>
    <m/>
    <m/>
    <m/>
    <m/>
    <m/>
    <m/>
    <m/>
    <m/>
    <m/>
    <m/>
    <m/>
  </r>
  <r>
    <x v="1"/>
    <s v="Orani"/>
    <s v="Pag-asa"/>
    <s v="MBA"/>
    <s v="1st"/>
    <n v="14.7852"/>
    <n v="120.476"/>
    <s v="14.7852,120.476"/>
    <s v="LGU FUNDED MRF"/>
    <x v="1"/>
    <s v="John-lester Signio"/>
    <m/>
    <s v="Christle D. David"/>
    <m/>
    <m/>
    <m/>
    <m/>
    <m/>
    <m/>
    <s v=""/>
    <s v=""/>
    <s v=""/>
    <s v=""/>
    <m/>
    <m/>
    <m/>
    <m/>
    <m/>
    <m/>
    <m/>
    <m/>
    <m/>
    <m/>
    <m/>
    <m/>
    <m/>
    <m/>
    <m/>
    <m/>
    <m/>
    <m/>
  </r>
  <r>
    <x v="1"/>
    <s v="Orion"/>
    <s v="General Lim"/>
    <s v="MBA"/>
    <s v="2nd"/>
    <n v="14.5871"/>
    <n v="120.527"/>
    <s v="14.5871,120.527"/>
    <s v="LGU FUNDED MRF"/>
    <x v="4"/>
    <s v="Dennis Tolentino"/>
    <m/>
    <s v="Christle D. David"/>
    <m/>
    <m/>
    <m/>
    <m/>
    <m/>
    <m/>
    <s v=""/>
    <s v=""/>
    <s v=""/>
    <s v=""/>
    <m/>
    <m/>
    <m/>
    <m/>
    <m/>
    <m/>
    <m/>
    <m/>
    <m/>
    <m/>
    <m/>
    <m/>
    <m/>
    <m/>
    <m/>
    <m/>
    <m/>
    <m/>
  </r>
  <r>
    <x v="2"/>
    <s v="Angat"/>
    <s v="Niugan"/>
    <s v="MBA"/>
    <s v="6th"/>
    <n v="14.9374"/>
    <n v="120.974"/>
    <s v="14.9374,120.974"/>
    <s v="LGU FUNDED MRF"/>
    <x v="1"/>
    <s v="Ronaldo P. Roque, Jr."/>
    <m/>
    <s v="Diozelle L. Cabalar"/>
    <m/>
    <m/>
    <m/>
    <m/>
    <m/>
    <m/>
    <s v=""/>
    <s v=""/>
    <s v=""/>
    <s v=""/>
    <m/>
    <m/>
    <m/>
    <m/>
    <m/>
    <m/>
    <m/>
    <m/>
    <m/>
    <m/>
    <m/>
    <m/>
    <m/>
    <m/>
    <m/>
    <m/>
    <m/>
    <m/>
  </r>
  <r>
    <x v="2"/>
    <s v="Balagtas"/>
    <s v="Dalig"/>
    <s v="MBA"/>
    <s v="1st"/>
    <n v="14.8475"/>
    <n v="120.919"/>
    <s v="14.8475, 120.919"/>
    <s v="LGU FUNDED MRF"/>
    <x v="1"/>
    <s v="Jasmin Marie N. Siapco"/>
    <m/>
    <s v="Diozelle L. Cabalar"/>
    <m/>
    <m/>
    <m/>
    <m/>
    <m/>
    <m/>
    <s v=""/>
    <s v=""/>
    <s v=""/>
    <s v=""/>
    <m/>
    <m/>
    <m/>
    <m/>
    <m/>
    <m/>
    <m/>
    <m/>
    <m/>
    <m/>
    <m/>
    <m/>
    <m/>
    <m/>
    <m/>
    <m/>
    <m/>
    <m/>
  </r>
  <r>
    <x v="2"/>
    <s v="Baliwag"/>
    <s v="Tarcan "/>
    <s v="MBA"/>
    <s v="2nd"/>
    <n v="14.9405"/>
    <n v="120.86799999999999"/>
    <s v="14.9405,120.868"/>
    <s v="LGU FUNDED MRF"/>
    <x v="4"/>
    <s v="Vacant"/>
    <m/>
    <s v="Diozelle L. Cabalar"/>
    <m/>
    <m/>
    <m/>
    <m/>
    <m/>
    <m/>
    <s v=""/>
    <s v=""/>
    <s v=""/>
    <s v=""/>
    <m/>
    <m/>
    <m/>
    <m/>
    <m/>
    <m/>
    <m/>
    <m/>
    <m/>
    <m/>
    <m/>
    <m/>
    <m/>
    <m/>
    <m/>
    <m/>
    <m/>
    <m/>
  </r>
  <r>
    <x v="2"/>
    <s v="Bulakan"/>
    <s v="Matungao"/>
    <s v="MBA"/>
    <s v="5th"/>
    <n v="14.8146"/>
    <n v="120.8814"/>
    <s v="14.8146,120.8814"/>
    <s v="LGU FUNDED MRF"/>
    <x v="3"/>
    <s v="Jasmine Marie Siapco"/>
    <m/>
    <s v="Diozelle L. Cabalar"/>
    <m/>
    <m/>
    <m/>
    <m/>
    <m/>
    <m/>
    <s v=""/>
    <s v=""/>
    <s v=""/>
    <s v=""/>
    <m/>
    <m/>
    <m/>
    <m/>
    <m/>
    <m/>
    <m/>
    <m/>
    <m/>
    <m/>
    <m/>
    <m/>
    <m/>
    <m/>
    <m/>
    <m/>
    <m/>
    <m/>
  </r>
  <r>
    <x v="2"/>
    <s v="Doña Remedios Trinidad"/>
    <s v="Camachile"/>
    <s v="MBA"/>
    <s v="3rd"/>
    <n v="14.9831"/>
    <n v="121.06"/>
    <s v="14.9831,121.06"/>
    <s v="LGU FUNDED MRF"/>
    <x v="1"/>
    <s v="Vacant"/>
    <m/>
    <s v="Diozelle L. Cabalar"/>
    <m/>
    <m/>
    <m/>
    <m/>
    <m/>
    <m/>
    <s v=""/>
    <s v=""/>
    <s v=""/>
    <s v=""/>
    <m/>
    <m/>
    <m/>
    <m/>
    <m/>
    <m/>
    <m/>
    <m/>
    <m/>
    <m/>
    <m/>
    <m/>
    <m/>
    <m/>
    <m/>
    <m/>
    <m/>
    <m/>
  </r>
  <r>
    <x v="2"/>
    <s v="Guiguinto"/>
    <s v="Poblacion"/>
    <s v="MBA"/>
    <s v="5th"/>
    <n v="14.824199999999999"/>
    <n v="120.88"/>
    <s v="14.8242,120.88"/>
    <s v="LGU FUNDED MRF"/>
    <x v="0"/>
    <s v="Jasmin Marie N. Siapco"/>
    <m/>
    <s v="Diozelle L. Cabalar"/>
    <m/>
    <m/>
    <m/>
    <m/>
    <m/>
    <m/>
    <s v=""/>
    <s v=""/>
    <s v=""/>
    <s v=""/>
    <m/>
    <m/>
    <m/>
    <m/>
    <m/>
    <m/>
    <m/>
    <m/>
    <m/>
    <m/>
    <m/>
    <m/>
    <m/>
    <m/>
    <m/>
    <m/>
    <m/>
    <m/>
  </r>
  <r>
    <x v="2"/>
    <s v="Hagonoy"/>
    <s v="Abulalas"/>
    <s v="MBA"/>
    <s v="1st"/>
    <n v="14.850300000000001"/>
    <n v="120.765"/>
    <s v="14.8503,120.765"/>
    <s v="LGU FUNDED MRF"/>
    <x v="1"/>
    <s v="Ronaldo P. Roque, Jr."/>
    <m/>
    <s v="Diozelle L. Cabalar"/>
    <m/>
    <m/>
    <m/>
    <m/>
    <m/>
    <m/>
    <s v=""/>
    <s v=""/>
    <s v=""/>
    <s v=""/>
    <m/>
    <m/>
    <m/>
    <m/>
    <m/>
    <m/>
    <m/>
    <m/>
    <m/>
    <m/>
    <m/>
    <m/>
    <m/>
    <m/>
    <m/>
    <m/>
    <m/>
    <m/>
  </r>
  <r>
    <x v="2"/>
    <s v="Malolos"/>
    <s v="Mambog"/>
    <s v="MBA"/>
    <s v="1st"/>
    <n v="14.8081"/>
    <n v="120.84439999999999"/>
    <s v="14.8081,120.8444"/>
    <s v="LGU FUNDED MRF"/>
    <x v="2"/>
    <s v="Ronaldo P. Roque, Jr."/>
    <m/>
    <s v="Diozelle L. Cabalar"/>
    <m/>
    <m/>
    <m/>
    <m/>
    <m/>
    <m/>
    <s v=""/>
    <s v=""/>
    <s v=""/>
    <s v=""/>
    <m/>
    <m/>
    <m/>
    <m/>
    <m/>
    <m/>
    <m/>
    <m/>
    <m/>
    <m/>
    <m/>
    <m/>
    <m/>
    <m/>
    <m/>
    <m/>
    <m/>
    <m/>
  </r>
  <r>
    <x v="2"/>
    <s v="Marilao"/>
    <s v="Prenza"/>
    <s v="MBA"/>
    <s v="4th"/>
    <n v="14.790699999999999"/>
    <n v="120.98480000000001"/>
    <s v="14.7907,120.9848"/>
    <s v="LGU FUNDED MRF"/>
    <x v="5"/>
    <s v="James Wilson T. Pena"/>
    <m/>
    <s v="Diozelle L. Cabalar"/>
    <m/>
    <m/>
    <m/>
    <m/>
    <m/>
    <m/>
    <s v=""/>
    <s v=""/>
    <s v=""/>
    <s v=""/>
    <m/>
    <m/>
    <m/>
    <m/>
    <m/>
    <m/>
    <m/>
    <m/>
    <m/>
    <m/>
    <m/>
    <m/>
    <m/>
    <m/>
    <m/>
    <m/>
    <m/>
    <m/>
  </r>
  <r>
    <x v="2"/>
    <s v="Meycauyan"/>
    <s v="Pajo"/>
    <s v="MBA"/>
    <s v="4th"/>
    <n v="14.7743"/>
    <n v="121.0086"/>
    <s v="14.7743,121.0086"/>
    <s v="LGU FUNDED MRF"/>
    <x v="6"/>
    <s v="James Wilson T. Pena"/>
    <m/>
    <s v="Diozelle L. Cabalar"/>
    <m/>
    <m/>
    <m/>
    <m/>
    <m/>
    <m/>
    <s v=""/>
    <s v=""/>
    <s v=""/>
    <s v=""/>
    <m/>
    <m/>
    <m/>
    <m/>
    <m/>
    <m/>
    <m/>
    <m/>
    <m/>
    <m/>
    <m/>
    <m/>
    <m/>
    <m/>
    <m/>
    <m/>
    <m/>
    <m/>
  </r>
  <r>
    <x v="2"/>
    <s v="Pulilan"/>
    <s v="Longos "/>
    <s v="MBA"/>
    <s v="1st"/>
    <n v="14.899800000000001"/>
    <n v="120.866"/>
    <s v="14.8998,120.866"/>
    <s v="LGU FUNDED MRF"/>
    <x v="1"/>
    <s v="Jasmin Marie N. Siapco"/>
    <m/>
    <s v="Diozelle L. Cabalar"/>
    <m/>
    <m/>
    <m/>
    <m/>
    <m/>
    <m/>
    <s v=""/>
    <s v=""/>
    <s v=""/>
    <s v=""/>
    <m/>
    <m/>
    <m/>
    <m/>
    <m/>
    <m/>
    <m/>
    <m/>
    <m/>
    <m/>
    <m/>
    <m/>
    <m/>
    <m/>
    <m/>
    <m/>
    <m/>
    <m/>
  </r>
  <r>
    <x v="2"/>
    <s v="San Rafael"/>
    <s v="Coral na bato"/>
    <s v="MBA"/>
    <s v="3rd"/>
    <n v="14.980499999999999"/>
    <n v="120.974"/>
    <s v="14.9805,120.974"/>
    <s v="LGU FUNDED MRF"/>
    <x v="1"/>
    <s v="Vacant"/>
    <m/>
    <s v="Diozelle L. Cabalar"/>
    <m/>
    <m/>
    <m/>
    <m/>
    <m/>
    <m/>
    <s v=""/>
    <s v=""/>
    <s v=""/>
    <s v=""/>
    <m/>
    <m/>
    <m/>
    <m/>
    <m/>
    <m/>
    <m/>
    <m/>
    <m/>
    <m/>
    <m/>
    <m/>
    <m/>
    <m/>
    <m/>
    <m/>
    <m/>
    <m/>
  </r>
  <r>
    <x v="3"/>
    <s v="Aliaga"/>
    <s v="Santiago"/>
    <s v="MBA"/>
    <s v="1st"/>
    <n v="15.4795"/>
    <n v="120.819"/>
    <s v="15.4795,120.819"/>
    <s v="LGU FUNDED MRF"/>
    <x v="5"/>
    <s v="Gem C. Vicencio"/>
    <m/>
    <s v="Zosimo P. Suyat"/>
    <m/>
    <m/>
    <m/>
    <m/>
    <m/>
    <m/>
    <s v=""/>
    <s v=""/>
    <s v=""/>
    <s v=""/>
    <m/>
    <m/>
    <m/>
    <m/>
    <m/>
    <m/>
    <m/>
    <m/>
    <m/>
    <m/>
    <m/>
    <m/>
    <m/>
    <m/>
    <m/>
    <m/>
    <m/>
    <m/>
  </r>
  <r>
    <x v="3"/>
    <s v="Bongabon"/>
    <s v="Pesa"/>
    <s v="MBA"/>
    <s v="3rd"/>
    <n v="15.6434"/>
    <n v="121.188"/>
    <s v="15.6434,121.188"/>
    <s v="LGU FUNDED MRF"/>
    <x v="4"/>
    <s v="Christian Jem L. Buluran"/>
    <m/>
    <s v="Zosimo P. Suyat"/>
    <m/>
    <m/>
    <m/>
    <m/>
    <m/>
    <m/>
    <s v=""/>
    <s v=""/>
    <s v=""/>
    <s v=""/>
    <m/>
    <m/>
    <m/>
    <m/>
    <m/>
    <m/>
    <m/>
    <m/>
    <m/>
    <m/>
    <m/>
    <m/>
    <m/>
    <s v="N/A"/>
    <s v="N/A"/>
    <s v="N/A"/>
    <s v="N/A"/>
    <s v="N/A"/>
  </r>
  <r>
    <x v="3"/>
    <s v="Cabanatuan City"/>
    <s v="San Isidro"/>
    <s v="MBA"/>
    <s v="3rd"/>
    <n v="15.489699999999999"/>
    <n v="120.994"/>
    <s v="15.4897,120.994"/>
    <s v="LGU FUNDED MRF"/>
    <x v="6"/>
    <s v="Christian Jem L. Buluran"/>
    <m/>
    <s v="Zosimo P. Suyat"/>
    <m/>
    <m/>
    <m/>
    <m/>
    <m/>
    <m/>
    <s v=""/>
    <s v=""/>
    <s v=""/>
    <s v=""/>
    <m/>
    <m/>
    <m/>
    <m/>
    <m/>
    <m/>
    <m/>
    <m/>
    <m/>
    <m/>
    <m/>
    <m/>
    <m/>
    <m/>
    <m/>
    <m/>
    <m/>
    <m/>
  </r>
  <r>
    <x v="3"/>
    <s v="Cabiao"/>
    <s v="Concepcion"/>
    <s v="MBA"/>
    <s v="4th"/>
    <n v="15.812099999999999"/>
    <n v="120.836"/>
    <s v="15.8121,120.836"/>
    <s v="LGU FUNDED MRF"/>
    <x v="1"/>
    <s v="Christine Ann V. Ramos"/>
    <m/>
    <s v="Zosimo P. Suyat"/>
    <m/>
    <m/>
    <m/>
    <m/>
    <m/>
    <m/>
    <s v=""/>
    <s v=""/>
    <s v=""/>
    <s v=""/>
    <m/>
    <m/>
    <m/>
    <m/>
    <m/>
    <m/>
    <m/>
    <m/>
    <m/>
    <m/>
    <m/>
    <m/>
    <m/>
    <m/>
    <m/>
    <m/>
    <m/>
    <m/>
  </r>
  <r>
    <x v="3"/>
    <s v="Carangalan"/>
    <s v="TL Padilla"/>
    <s v="MBA"/>
    <s v="2nd"/>
    <n v="15.956899999999999"/>
    <n v="121.078"/>
    <s v="15.9569,121.078"/>
    <s v="LGU FUNDED MRF"/>
    <x v="2"/>
    <s v="Aser A. Inocencio, Jr."/>
    <m/>
    <s v="Zosimo P. Suyat"/>
    <m/>
    <m/>
    <m/>
    <m/>
    <m/>
    <m/>
    <s v=""/>
    <s v=""/>
    <s v=""/>
    <s v=""/>
    <m/>
    <m/>
    <m/>
    <m/>
    <m/>
    <m/>
    <m/>
    <m/>
    <m/>
    <m/>
    <m/>
    <m/>
    <m/>
    <m/>
    <m/>
    <m/>
    <m/>
    <m/>
  </r>
  <r>
    <x v="3"/>
    <s v="Cuyapo"/>
    <s v="Sabit"/>
    <s v="OUTSIDE MBA"/>
    <s v="1st"/>
    <n v="15.811753400000001"/>
    <n v="120.6774928"/>
    <s v="15.8117534,120.6774928"/>
    <s v="LGU FUNDED MRF"/>
    <x v="1"/>
    <s v="Aser A. Inocencio, Jr."/>
    <m/>
    <s v="Zosimo P. Suyat"/>
    <m/>
    <m/>
    <m/>
    <m/>
    <m/>
    <m/>
    <s v=""/>
    <s v=""/>
    <s v=""/>
    <s v=""/>
    <m/>
    <m/>
    <m/>
    <m/>
    <m/>
    <m/>
    <m/>
    <m/>
    <m/>
    <m/>
    <m/>
    <m/>
    <m/>
    <m/>
    <m/>
    <m/>
    <m/>
    <m/>
  </r>
  <r>
    <x v="3"/>
    <s v="Gabaldon"/>
    <s v="Bantug"/>
    <s v="MBA"/>
    <s v="3rd"/>
    <n v="15.470800000000001"/>
    <n v="121.34350000000001"/>
    <s v="15.4708,121.3435"/>
    <s v="LGU FUNDED MRF"/>
    <x v="4"/>
    <s v="Christian Jem L. Buluran"/>
    <m/>
    <s v="Zosimo P. Suyat"/>
    <m/>
    <m/>
    <m/>
    <m/>
    <m/>
    <m/>
    <s v=""/>
    <s v=""/>
    <s v=""/>
    <s v=""/>
    <m/>
    <m/>
    <m/>
    <m/>
    <m/>
    <m/>
    <m/>
    <m/>
    <m/>
    <m/>
    <m/>
    <m/>
    <m/>
    <m/>
    <m/>
    <m/>
    <m/>
    <m/>
  </r>
  <r>
    <x v="3"/>
    <s v="Gapan City"/>
    <s v="Pambuan"/>
    <s v="MBA"/>
    <s v="4th"/>
    <n v="15.34"/>
    <n v="120.968"/>
    <s v="15.34,120.968"/>
    <s v="LGU FUNDED MRF"/>
    <x v="5"/>
    <s v="Christine Ann V. Ramos"/>
    <m/>
    <s v="Zosimo P. Suyat"/>
    <m/>
    <m/>
    <m/>
    <m/>
    <m/>
    <m/>
    <s v=""/>
    <s v=""/>
    <s v=""/>
    <s v=""/>
    <m/>
    <m/>
    <m/>
    <m/>
    <m/>
    <m/>
    <m/>
    <m/>
    <m/>
    <m/>
    <m/>
    <m/>
    <m/>
    <m/>
    <m/>
    <m/>
    <m/>
    <m/>
  </r>
  <r>
    <x v="3"/>
    <s v="Guimba"/>
    <s v="Lennec"/>
    <s v="MBA"/>
    <s v="1st"/>
    <n v="15.6252"/>
    <n v="120.751"/>
    <s v="15.6252,120.751"/>
    <s v="LGU FUNDED MRF"/>
    <x v="1"/>
    <s v="Aser A. Inocencio, Jr."/>
    <m/>
    <s v="Zosimo P. Suyat"/>
    <m/>
    <m/>
    <m/>
    <m/>
    <m/>
    <m/>
    <s v=""/>
    <s v=""/>
    <s v=""/>
    <s v=""/>
    <m/>
    <m/>
    <m/>
    <m/>
    <m/>
    <m/>
    <m/>
    <m/>
    <m/>
    <m/>
    <m/>
    <m/>
    <m/>
    <m/>
    <m/>
    <m/>
    <m/>
    <m/>
  </r>
  <r>
    <x v="3"/>
    <s v="Laur"/>
    <s v="Sagana"/>
    <s v="MBA"/>
    <s v="3rd"/>
    <n v="15.539400000000001"/>
    <n v="121.1551"/>
    <s v="15.5394,121.1551"/>
    <s v="LGU FUNDED MRF"/>
    <x v="1"/>
    <s v="Christian Jem L. Buluran"/>
    <m/>
    <s v="Zosimo P. Suyat"/>
    <m/>
    <m/>
    <m/>
    <m/>
    <m/>
    <m/>
    <s v=""/>
    <s v=""/>
    <s v=""/>
    <s v=""/>
    <m/>
    <m/>
    <m/>
    <m/>
    <m/>
    <m/>
    <m/>
    <m/>
    <m/>
    <m/>
    <m/>
    <m/>
    <m/>
    <m/>
    <m/>
    <m/>
    <m/>
    <m/>
  </r>
  <r>
    <x v="3"/>
    <s v="Lupao"/>
    <s v="Namulandayan"/>
    <s v="MBA"/>
    <s v="2nd"/>
    <n v="15.900700000000001"/>
    <n v="120.914"/>
    <s v="15.9007,120.914"/>
    <s v="LGU FUNDED MRF"/>
    <x v="3"/>
    <s v="Aser A. Inocencio, Jr."/>
    <m/>
    <s v="Zosimo P. Suyat"/>
    <m/>
    <m/>
    <m/>
    <m/>
    <m/>
    <m/>
    <s v=""/>
    <s v=""/>
    <s v=""/>
    <s v=""/>
    <m/>
    <m/>
    <m/>
    <m/>
    <m/>
    <m/>
    <m/>
    <m/>
    <m/>
    <m/>
    <m/>
    <m/>
    <m/>
    <m/>
    <m/>
    <m/>
    <m/>
    <m/>
  </r>
  <r>
    <x v="3"/>
    <s v="Nampicuan"/>
    <s v="North Poblacion"/>
    <s v="OUTSIDE MBA"/>
    <s v="1st"/>
    <n v="15.735300000000001"/>
    <n v="120.633"/>
    <s v="15.7353,120.633"/>
    <s v="LGU FUNDED MRF"/>
    <x v="1"/>
    <s v="Aser A. Inocencio, Jr."/>
    <m/>
    <s v="Zosimo P. Suyat"/>
    <m/>
    <m/>
    <m/>
    <m/>
    <m/>
    <m/>
    <s v=""/>
    <s v=""/>
    <s v=""/>
    <s v=""/>
    <m/>
    <m/>
    <m/>
    <m/>
    <m/>
    <m/>
    <m/>
    <m/>
    <m/>
    <m/>
    <m/>
    <m/>
    <m/>
    <m/>
    <m/>
    <m/>
    <m/>
    <m/>
  </r>
  <r>
    <x v="3"/>
    <s v="Palayan City"/>
    <s v="Singalat"/>
    <s v="MBA"/>
    <s v="3rd"/>
    <n v="15.5624"/>
    <n v="121.098"/>
    <s v="15.5624,121.098"/>
    <s v="LGU FUNDED MRF"/>
    <x v="0"/>
    <s v="Hosannah R. Sabio"/>
    <m/>
    <s v="Zosimo P. Suyat"/>
    <m/>
    <m/>
    <m/>
    <m/>
    <m/>
    <m/>
    <s v=""/>
    <s v=""/>
    <s v=""/>
    <s v=""/>
    <m/>
    <m/>
    <m/>
    <m/>
    <m/>
    <m/>
    <m/>
    <m/>
    <m/>
    <m/>
    <m/>
    <m/>
    <m/>
    <m/>
    <m/>
    <m/>
    <m/>
    <m/>
  </r>
  <r>
    <x v="3"/>
    <s v="Penaranda"/>
    <s v="Callos"/>
    <s v="MBA"/>
    <s v="4th"/>
    <n v="15.3224"/>
    <n v="121.075"/>
    <s v="15.3224,121.075"/>
    <s v="LGU FUNDED MRF"/>
    <x v="1"/>
    <s v="Christine Ann V. Ramos"/>
    <m/>
    <s v="Zosimo P. Suyat"/>
    <m/>
    <m/>
    <m/>
    <m/>
    <m/>
    <m/>
    <s v=""/>
    <s v=""/>
    <s v=""/>
    <s v=""/>
    <m/>
    <m/>
    <m/>
    <m/>
    <m/>
    <m/>
    <m/>
    <m/>
    <m/>
    <m/>
    <m/>
    <m/>
    <m/>
    <m/>
    <m/>
    <m/>
    <m/>
    <m/>
  </r>
  <r>
    <x v="3"/>
    <s v="Quezon"/>
    <s v="Dos"/>
    <s v="MBA"/>
    <s v="1st"/>
    <n v="15.54444"/>
    <n v="120.80889000000001"/>
    <s v="15.54444,120.80889"/>
    <s v="LGU FUNDED MRF"/>
    <x v="2"/>
    <s v="Gem C. Vicencio"/>
    <m/>
    <s v="Zosimo P. Suyat"/>
    <m/>
    <m/>
    <m/>
    <m/>
    <m/>
    <m/>
    <s v=""/>
    <s v=""/>
    <s v=""/>
    <s v=""/>
    <m/>
    <m/>
    <m/>
    <m/>
    <m/>
    <m/>
    <m/>
    <m/>
    <m/>
    <m/>
    <m/>
    <m/>
    <m/>
    <m/>
    <m/>
    <m/>
    <m/>
    <m/>
  </r>
  <r>
    <x v="3"/>
    <s v="San Antonio"/>
    <s v="Sta Cruz"/>
    <s v="MBA"/>
    <s v="4th"/>
    <n v="15.309699999999999"/>
    <n v="120.845"/>
    <s v="15.3097,120.845"/>
    <s v="LGU FUNDED MRF"/>
    <x v="6"/>
    <s v="Christine Ann V. Ramos"/>
    <m/>
    <s v="Zosimo P. Suyat"/>
    <m/>
    <m/>
    <m/>
    <m/>
    <m/>
    <m/>
    <s v=""/>
    <s v=""/>
    <s v=""/>
    <s v=""/>
    <m/>
    <m/>
    <m/>
    <m/>
    <m/>
    <m/>
    <m/>
    <m/>
    <m/>
    <m/>
    <m/>
    <m/>
    <m/>
    <m/>
    <m/>
    <m/>
    <m/>
    <m/>
  </r>
  <r>
    <x v="3"/>
    <s v="San Leonardo"/>
    <s v="Tagumpay"/>
    <s v="MBA"/>
    <s v="4th"/>
    <n v="15.3964"/>
    <n v="120.9709"/>
    <s v="15.3964,120.9709"/>
    <s v="LGU FUNDED MRF"/>
    <x v="1"/>
    <s v="Christian Jem L. Buluran"/>
    <m/>
    <s v="Zosimo P. Suyat"/>
    <m/>
    <m/>
    <m/>
    <m/>
    <m/>
    <m/>
    <s v=""/>
    <s v=""/>
    <s v=""/>
    <s v=""/>
    <m/>
    <m/>
    <m/>
    <m/>
    <m/>
    <m/>
    <m/>
    <m/>
    <m/>
    <m/>
    <m/>
    <m/>
    <m/>
    <m/>
    <m/>
    <m/>
    <m/>
    <m/>
  </r>
  <r>
    <x v="3"/>
    <s v="Science City of Munoz"/>
    <s v="Franza"/>
    <s v="MBA"/>
    <s v="3rd"/>
    <n v="15.76"/>
    <n v="120.89700000000001"/>
    <s v="15.76,120.897"/>
    <s v="LGU FUNDED MRF"/>
    <x v="6"/>
    <s v="Aser A. Inocencio, Jr."/>
    <m/>
    <s v="Zosimo P. Suyat"/>
    <m/>
    <m/>
    <m/>
    <m/>
    <m/>
    <m/>
    <s v=""/>
    <s v=""/>
    <s v=""/>
    <s v=""/>
    <m/>
    <m/>
    <m/>
    <m/>
    <m/>
    <m/>
    <m/>
    <m/>
    <m/>
    <m/>
    <m/>
    <m/>
    <m/>
    <m/>
    <m/>
    <m/>
    <m/>
    <m/>
  </r>
  <r>
    <x v="3"/>
    <s v="Sta Rosa"/>
    <s v="Soledad"/>
    <s v="MBA"/>
    <s v="2nd"/>
    <n v="15.395300000000001"/>
    <n v="120.973"/>
    <s v="15.3953,120.973"/>
    <s v="LGU FUNDED MRF"/>
    <x v="1"/>
    <s v="Christian Jem L. Buluran"/>
    <m/>
    <s v="Zosimo P. Suyat"/>
    <m/>
    <m/>
    <m/>
    <m/>
    <m/>
    <m/>
    <s v=""/>
    <s v=""/>
    <s v=""/>
    <s v=""/>
    <m/>
    <m/>
    <m/>
    <m/>
    <m/>
    <m/>
    <m/>
    <m/>
    <m/>
    <m/>
    <m/>
    <m/>
    <m/>
    <m/>
    <m/>
    <m/>
    <m/>
    <m/>
  </r>
  <r>
    <x v="3"/>
    <s v="Sto. Domingo"/>
    <s v="San Pascual"/>
    <s v="MBA"/>
    <s v="1st"/>
    <n v="15.589"/>
    <n v="120.869"/>
    <s v="15.589,120.869"/>
    <s v="LGU FUNDED MRF"/>
    <x v="1"/>
    <s v="Gem C. Vicencio"/>
    <m/>
    <s v="Zosimo P. Suyat"/>
    <m/>
    <m/>
    <m/>
    <m/>
    <m/>
    <m/>
    <s v=""/>
    <s v=""/>
    <s v=""/>
    <s v=""/>
    <m/>
    <m/>
    <m/>
    <m/>
    <m/>
    <m/>
    <m/>
    <m/>
    <m/>
    <m/>
    <m/>
    <m/>
    <m/>
    <m/>
    <m/>
    <m/>
    <m/>
    <m/>
  </r>
  <r>
    <x v="3"/>
    <s v="Talavera"/>
    <s v="Bagong Silang"/>
    <s v="MBA"/>
    <s v="1st"/>
    <n v="15.6419"/>
    <n v="120.905"/>
    <s v="15.6419,120.905"/>
    <s v="LGU FUNDED MRF"/>
    <x v="1"/>
    <s v="Gem C. Vicencio"/>
    <m/>
    <s v="Zosimo P. Suyat"/>
    <m/>
    <m/>
    <m/>
    <m/>
    <m/>
    <m/>
    <s v=""/>
    <s v=""/>
    <s v=""/>
    <s v=""/>
    <m/>
    <m/>
    <m/>
    <m/>
    <m/>
    <m/>
    <m/>
    <m/>
    <m/>
    <m/>
    <m/>
    <m/>
    <m/>
    <m/>
    <m/>
    <m/>
    <m/>
    <m/>
  </r>
  <r>
    <x v="3"/>
    <s v="Talugtug"/>
    <s v="Buted"/>
    <s v="MBA"/>
    <s v="2nd"/>
    <n v="15.786199999999999"/>
    <n v="120.81100000000001"/>
    <s v="15.7862,120.811"/>
    <s v="LGU FUNDED MRF"/>
    <x v="1"/>
    <s v="Aser A. Inocencio, Jr."/>
    <m/>
    <s v="Zosimo P. Suyat"/>
    <m/>
    <m/>
    <m/>
    <m/>
    <m/>
    <m/>
    <s v=""/>
    <s v=""/>
    <s v=""/>
    <s v=""/>
    <m/>
    <m/>
    <m/>
    <m/>
    <m/>
    <m/>
    <m/>
    <m/>
    <m/>
    <m/>
    <m/>
    <m/>
    <m/>
    <m/>
    <m/>
    <m/>
    <m/>
    <m/>
  </r>
  <r>
    <x v="3"/>
    <s v="Zaragosa"/>
    <s v="Concepcion"/>
    <s v="MBA"/>
    <s v="1st"/>
    <n v="15.4315"/>
    <n v="120.803"/>
    <s v="15.4315,120.803"/>
    <s v="LGU FUNDED MRF"/>
    <x v="3"/>
    <s v="Gem C. Vicencio"/>
    <m/>
    <s v="Zosimo P. Suyat"/>
    <m/>
    <m/>
    <m/>
    <m/>
    <m/>
    <m/>
    <s v=""/>
    <s v=""/>
    <s v=""/>
    <s v=""/>
    <m/>
    <m/>
    <m/>
    <m/>
    <m/>
    <m/>
    <m/>
    <m/>
    <m/>
    <m/>
    <m/>
    <m/>
    <m/>
    <m/>
    <m/>
    <m/>
    <m/>
    <m/>
  </r>
  <r>
    <x v="4"/>
    <s v="Bacolor"/>
    <s v="Talba"/>
    <s v="MBA"/>
    <s v="3rd"/>
    <n v="14.993171"/>
    <n v="120.671435"/>
    <s v="14.993171,120.671435"/>
    <s v="LGU FUNDED MRF"/>
    <x v="1"/>
    <s v="Vacant"/>
    <m/>
    <s v="Jun D. Guillermo"/>
    <m/>
    <m/>
    <m/>
    <m/>
    <m/>
    <m/>
    <s v=""/>
    <s v=""/>
    <s v=""/>
    <s v=""/>
    <m/>
    <m/>
    <m/>
    <m/>
    <m/>
    <m/>
    <m/>
    <m/>
    <m/>
    <m/>
    <m/>
    <m/>
    <m/>
    <m/>
    <m/>
    <m/>
    <m/>
    <m/>
  </r>
  <r>
    <x v="4"/>
    <s v="Candaba"/>
    <s v="Pansilao"/>
    <s v="MBA"/>
    <s v="4th"/>
    <n v="15.1265"/>
    <n v="120.80200000000001"/>
    <s v="15.1265,120.802"/>
    <s v="LGU FUNDED MRF"/>
    <x v="5"/>
    <s v="Roger T. Encarnacion II"/>
    <m/>
    <s v="Jun D. Guillermo"/>
    <m/>
    <m/>
    <m/>
    <m/>
    <m/>
    <m/>
    <s v=""/>
    <s v=""/>
    <s v=""/>
    <s v=""/>
    <m/>
    <m/>
    <m/>
    <m/>
    <m/>
    <m/>
    <m/>
    <m/>
    <m/>
    <m/>
    <m/>
    <m/>
    <m/>
    <m/>
    <m/>
    <m/>
    <m/>
    <m/>
  </r>
  <r>
    <x v="4"/>
    <s v="CSFP"/>
    <s v="Lara"/>
    <s v="MBA"/>
    <s v="3rd"/>
    <n v="15.082090000000001"/>
    <n v="120.61205"/>
    <s v="15.08209,120.61205"/>
    <s v="LGU FUNDED MRF"/>
    <x v="0"/>
    <s v="Elyza A. Evilla"/>
    <m/>
    <s v="John Sherwin Loqauellano"/>
    <m/>
    <m/>
    <m/>
    <m/>
    <m/>
    <m/>
    <s v=""/>
    <s v=""/>
    <s v=""/>
    <s v=""/>
    <m/>
    <m/>
    <m/>
    <m/>
    <m/>
    <m/>
    <m/>
    <m/>
    <m/>
    <m/>
    <m/>
    <m/>
    <m/>
    <m/>
    <m/>
    <m/>
    <m/>
    <m/>
  </r>
  <r>
    <x v="4"/>
    <s v="Floridablanca"/>
    <s v="Pabanlag"/>
    <s v="MBA"/>
    <s v="2nd"/>
    <n v="14.960470000000001"/>
    <n v="120.46104"/>
    <s v="14.96047,120.46104"/>
    <s v="LGU FUNDED MRF"/>
    <x v="5"/>
    <s v="Elyza A. Evilla"/>
    <m/>
    <s v="John Sherwin Loqauellano"/>
    <m/>
    <m/>
    <m/>
    <m/>
    <m/>
    <m/>
    <s v=""/>
    <s v=""/>
    <s v=""/>
    <s v=""/>
    <m/>
    <m/>
    <m/>
    <m/>
    <m/>
    <m/>
    <m/>
    <m/>
    <m/>
    <m/>
    <m/>
    <m/>
    <m/>
    <m/>
    <m/>
    <m/>
    <m/>
    <m/>
  </r>
  <r>
    <x v="4"/>
    <s v="Macabebe"/>
    <s v="San Vicente"/>
    <s v="MBA"/>
    <s v="4th"/>
    <n v="14.894500000000001"/>
    <n v="120.72499999999999"/>
    <s v="14.8945,120.725"/>
    <s v="LGU FUNDED MRF"/>
    <x v="1"/>
    <s v="Glaiza S. Gaza"/>
    <m/>
    <s v="John Sherwin Loqauellano"/>
    <m/>
    <m/>
    <m/>
    <m/>
    <m/>
    <m/>
    <s v=""/>
    <s v=""/>
    <s v=""/>
    <s v=""/>
    <m/>
    <m/>
    <m/>
    <m/>
    <m/>
    <m/>
    <m/>
    <m/>
    <m/>
    <m/>
    <m/>
    <m/>
    <m/>
    <m/>
    <m/>
    <m/>
    <m/>
    <m/>
  </r>
  <r>
    <x v="4"/>
    <s v="Magalang"/>
    <s v="Sto. Rosario"/>
    <s v="MBA"/>
    <s v="1st"/>
    <n v="15.2567"/>
    <n v="120.63500000000001"/>
    <s v="15.2567,120.635"/>
    <s v="LGU FUNDED MRF"/>
    <x v="1"/>
    <s v="Roger T. Encarnacion II"/>
    <m/>
    <s v="Jun D. Guillermo"/>
    <m/>
    <m/>
    <m/>
    <m/>
    <m/>
    <m/>
    <s v=""/>
    <s v=""/>
    <s v=""/>
    <s v=""/>
    <m/>
    <m/>
    <m/>
    <m/>
    <m/>
    <m/>
    <m/>
    <m/>
    <m/>
    <m/>
    <m/>
    <m/>
    <m/>
    <m/>
    <m/>
    <m/>
    <m/>
    <m/>
  </r>
  <r>
    <x v="4"/>
    <s v="Masantol"/>
    <s v="Bebe anac"/>
    <s v="MBA"/>
    <s v="4th"/>
    <n v="14.8825"/>
    <n v="120.711"/>
    <s v="14.8825,120.711"/>
    <s v="LGU FUNDED MRF"/>
    <x v="6"/>
    <s v="Glaiza S. Gaza"/>
    <m/>
    <s v="John Sherwin Loqauellano"/>
    <m/>
    <m/>
    <m/>
    <m/>
    <m/>
    <m/>
    <s v=""/>
    <s v=""/>
    <s v=""/>
    <s v=""/>
    <m/>
    <m/>
    <m/>
    <m/>
    <m/>
    <m/>
    <m/>
    <m/>
    <m/>
    <m/>
    <m/>
    <m/>
    <m/>
    <m/>
    <m/>
    <m/>
    <m/>
    <m/>
  </r>
  <r>
    <x v="4"/>
    <s v="Mexico"/>
    <s v="Suclaban"/>
    <s v="MBA"/>
    <s v="3rd"/>
    <n v="15.1351"/>
    <n v="120.65"/>
    <s v="15.1351,120.65"/>
    <s v="LGU FUNDED MRF"/>
    <x v="2"/>
    <s v="Roger T. Encarnacion II"/>
    <m/>
    <s v="Jun D. Guillermo"/>
    <m/>
    <m/>
    <m/>
    <m/>
    <m/>
    <m/>
    <s v=""/>
    <s v=""/>
    <s v=""/>
    <s v=""/>
    <m/>
    <m/>
    <m/>
    <m/>
    <m/>
    <m/>
    <m/>
    <m/>
    <m/>
    <m/>
    <m/>
    <m/>
    <m/>
    <m/>
    <s v="Section 32 Establishment of LGU Materials Recovery Facility, and Section 1 (a) and (b) “Operations of a Materials Recovery Facility” under Rule XI “Materials Recovery Facilities and Composting” of IRR (DAO 2001-34) of RA 9003."/>
    <m/>
    <m/>
    <m/>
  </r>
  <r>
    <x v="4"/>
    <s v="Minalin"/>
    <s v="Sta. Catalina"/>
    <s v="MBA"/>
    <s v="4th"/>
    <n v="14.9635"/>
    <n v="120.663"/>
    <s v="14.9635,120.663"/>
    <s v="LGU FUNDED MRF"/>
    <x v="3"/>
    <s v="Glaiza S. Gaza"/>
    <m/>
    <s v="John Sherwin Loqauellano"/>
    <m/>
    <m/>
    <m/>
    <m/>
    <m/>
    <m/>
    <s v=""/>
    <s v=""/>
    <s v=""/>
    <s v=""/>
    <m/>
    <m/>
    <m/>
    <m/>
    <m/>
    <m/>
    <m/>
    <m/>
    <m/>
    <m/>
    <m/>
    <m/>
    <m/>
    <m/>
    <m/>
    <m/>
    <m/>
    <m/>
  </r>
  <r>
    <x v="4"/>
    <s v="Porac"/>
    <s v="San Jose Mitla"/>
    <s v="MBA"/>
    <s v="2nd"/>
    <n v="15.067969"/>
    <n v="120.571611"/>
    <s v="15.067969,120.571611"/>
    <s v="LGU FUNDED MRF"/>
    <x v="1"/>
    <s v="Elyza A. Evilla"/>
    <m/>
    <s v="John Sherwin Loqauellano"/>
    <m/>
    <m/>
    <m/>
    <m/>
    <m/>
    <m/>
    <s v=""/>
    <s v=""/>
    <s v=""/>
    <s v=""/>
    <m/>
    <m/>
    <m/>
    <m/>
    <m/>
    <m/>
    <m/>
    <m/>
    <m/>
    <m/>
    <m/>
    <m/>
    <m/>
    <m/>
    <m/>
    <m/>
    <m/>
    <m/>
  </r>
  <r>
    <x v="4"/>
    <s v="San Luis"/>
    <s v="So. Tomas"/>
    <s v="MBA"/>
    <s v="4th"/>
    <n v="15.046900000000001"/>
    <n v="120.785"/>
    <s v="15.0469,120.785"/>
    <s v="LGU FUNDED MRF"/>
    <x v="1"/>
    <s v="Glaiza S. Gaza"/>
    <m/>
    <s v="John Sherwin Loqauellano"/>
    <m/>
    <m/>
    <m/>
    <m/>
    <m/>
    <m/>
    <s v=""/>
    <s v=""/>
    <s v=""/>
    <s v=""/>
    <m/>
    <m/>
    <m/>
    <m/>
    <m/>
    <m/>
    <m/>
    <m/>
    <m/>
    <m/>
    <m/>
    <m/>
    <m/>
    <m/>
    <m/>
    <m/>
    <m/>
    <m/>
  </r>
  <r>
    <x v="4"/>
    <s v="San Simon"/>
    <s v="Santa Monica"/>
    <s v="MBA"/>
    <s v=" 4th"/>
    <n v="14.992000000000001"/>
    <n v="120.7593"/>
    <s v="14.992,120.7593"/>
    <s v="LGU FUNDED MRF"/>
    <x v="1"/>
    <s v="Glaiza S. Gaza"/>
    <m/>
    <s v="John Sherwin Loqauellano"/>
    <m/>
    <m/>
    <m/>
    <m/>
    <m/>
    <m/>
    <s v=""/>
    <s v=""/>
    <s v=""/>
    <s v=""/>
    <m/>
    <m/>
    <m/>
    <m/>
    <m/>
    <m/>
    <m/>
    <m/>
    <m/>
    <m/>
    <m/>
    <m/>
    <m/>
    <m/>
    <m/>
    <m/>
    <m/>
    <m/>
  </r>
  <r>
    <x v="4"/>
    <s v="Sta Rita"/>
    <s v="Dila dila"/>
    <s v="MBA"/>
    <s v="2nd"/>
    <n v="15.021699999999999"/>
    <n v="120.568"/>
    <s v="15.0217,120.568"/>
    <s v="LGU FUNDED MRF"/>
    <x v="4"/>
    <s v="Vacant"/>
    <m/>
    <s v="Jun D. Guillermo"/>
    <m/>
    <m/>
    <m/>
    <m/>
    <m/>
    <m/>
    <s v=""/>
    <s v=""/>
    <s v=""/>
    <s v=""/>
    <m/>
    <m/>
    <m/>
    <m/>
    <m/>
    <m/>
    <m/>
    <m/>
    <m/>
    <m/>
    <m/>
    <m/>
    <m/>
    <m/>
    <m/>
    <m/>
    <m/>
    <m/>
  </r>
  <r>
    <x v="5"/>
    <s v="Anao"/>
    <s v="San Jose South"/>
    <s v="OUTSIDE MBA"/>
    <s v="1st"/>
    <n v="15.706099999999999"/>
    <n v="120.629"/>
    <s v="15.7061,120.629"/>
    <s v="LGU FUNDED MRF"/>
    <x v="5"/>
    <s v="Jasper Kieht B. Pili"/>
    <m/>
    <s v="Jan Emerson C. Gonzales"/>
    <m/>
    <m/>
    <m/>
    <m/>
    <m/>
    <m/>
    <s v=""/>
    <s v=""/>
    <s v=""/>
    <s v=""/>
    <m/>
    <m/>
    <m/>
    <m/>
    <m/>
    <m/>
    <m/>
    <m/>
    <m/>
    <m/>
    <m/>
    <m/>
    <m/>
    <m/>
    <m/>
    <m/>
    <m/>
    <m/>
  </r>
  <r>
    <x v="5"/>
    <s v="Camiling"/>
    <s v="Bacsay"/>
    <s v="OUTSIDE MBA"/>
    <s v="1st"/>
    <n v="15.629300000000001"/>
    <n v="120.35299999999999"/>
    <s v="15.6293,120.353"/>
    <s v="LGU FUNDED MRF"/>
    <x v="4"/>
    <s v="Jasper Kieht B. Pili"/>
    <m/>
    <s v="Jan Emerson C. Gonzales"/>
    <m/>
    <m/>
    <m/>
    <m/>
    <m/>
    <m/>
    <s v=""/>
    <s v=""/>
    <s v=""/>
    <s v=""/>
    <m/>
    <m/>
    <m/>
    <m/>
    <m/>
    <m/>
    <m/>
    <m/>
    <m/>
    <m/>
    <m/>
    <m/>
    <m/>
    <m/>
    <m/>
    <m/>
    <m/>
    <m/>
  </r>
  <r>
    <x v="5"/>
    <s v="Concepcion"/>
    <s v="Sta Rita"/>
    <s v="MBA"/>
    <s v="3rd"/>
    <n v="15.3026"/>
    <n v="120.652"/>
    <s v="15.3026,120.652"/>
    <s v="LGU FUNDED MRF"/>
    <x v="2"/>
    <s v="Gretzhen M. Apolonio"/>
    <m/>
    <s v="Jan Emerson C. Gonzales"/>
    <m/>
    <m/>
    <m/>
    <m/>
    <m/>
    <m/>
    <s v=""/>
    <s v=""/>
    <s v=""/>
    <s v=""/>
    <m/>
    <m/>
    <m/>
    <m/>
    <m/>
    <m/>
    <m/>
    <m/>
    <m/>
    <m/>
    <m/>
    <m/>
    <m/>
    <m/>
    <m/>
    <m/>
    <m/>
    <m/>
  </r>
  <r>
    <x v="5"/>
    <s v="Gerona"/>
    <s v="Tagumbao"/>
    <s v="OUTSIDE MBA"/>
    <s v="2nd"/>
    <n v="15.5982"/>
    <n v="120.556"/>
    <s v="15.5982,120.556"/>
    <s v="LGU FUNDED MRF"/>
    <x v="1"/>
    <s v="Joshua A. Capones"/>
    <m/>
    <s v="Jan Emerson C. Gonzales"/>
    <m/>
    <m/>
    <m/>
    <m/>
    <m/>
    <m/>
    <s v=""/>
    <s v=""/>
    <s v=""/>
    <s v=""/>
    <m/>
    <m/>
    <m/>
    <m/>
    <m/>
    <m/>
    <m/>
    <m/>
    <m/>
    <m/>
    <m/>
    <m/>
    <m/>
    <m/>
    <m/>
    <m/>
    <m/>
    <m/>
  </r>
  <r>
    <x v="5"/>
    <s v="Mayantoc"/>
    <s v="Poblacion Norte"/>
    <s v="OUTSIDE MBA"/>
    <s v="1st"/>
    <n v="15.6258"/>
    <n v="120.378"/>
    <s v="15.6258,120.378"/>
    <s v="LGU FUNDED MRF"/>
    <x v="1"/>
    <s v="Jasper Kieht B. Pili"/>
    <m/>
    <s v="Jan Emerson C. Gonzales"/>
    <m/>
    <m/>
    <m/>
    <m/>
    <m/>
    <m/>
    <s v=""/>
    <s v=""/>
    <s v=""/>
    <s v=""/>
    <m/>
    <m/>
    <m/>
    <m/>
    <m/>
    <m/>
    <m/>
    <m/>
    <m/>
    <m/>
    <m/>
    <m/>
    <m/>
    <m/>
    <m/>
    <m/>
    <m/>
    <m/>
  </r>
  <r>
    <x v="5"/>
    <s v="Moncada"/>
    <s v="Burgos"/>
    <s v="OUTSIDE MBA"/>
    <s v="1st"/>
    <n v="15.7326"/>
    <n v="120.584"/>
    <s v="15.7326,120.584"/>
    <s v="LGU FUNDED MRF"/>
    <x v="0"/>
    <s v="Joshua A. Capones"/>
    <m/>
    <s v="Jan Emerson C. Gonzales"/>
    <m/>
    <m/>
    <m/>
    <m/>
    <m/>
    <m/>
    <s v=""/>
    <s v=""/>
    <s v=""/>
    <s v=""/>
    <m/>
    <m/>
    <m/>
    <m/>
    <m/>
    <m/>
    <m/>
    <m/>
    <m/>
    <m/>
    <m/>
    <m/>
    <m/>
    <m/>
    <m/>
    <m/>
    <m/>
    <m/>
  </r>
  <r>
    <x v="5"/>
    <s v="Paniqui"/>
    <s v="Dapdap"/>
    <s v="OUTSIDE MBA"/>
    <s v="1st"/>
    <n v="15.6434"/>
    <n v="120.56100000000001"/>
    <s v="15.6434,120.561"/>
    <s v="LGU FUNDED MRF"/>
    <x v="1"/>
    <s v="Joshua A. Capones"/>
    <m/>
    <s v="Jan Emerson C. Gonzales"/>
    <m/>
    <m/>
    <m/>
    <m/>
    <m/>
    <m/>
    <s v=""/>
    <s v=""/>
    <s v=""/>
    <s v=""/>
    <m/>
    <m/>
    <m/>
    <m/>
    <m/>
    <m/>
    <m/>
    <m/>
    <m/>
    <m/>
    <m/>
    <m/>
    <m/>
    <m/>
    <m/>
    <m/>
    <m/>
    <m/>
  </r>
  <r>
    <x v="5"/>
    <s v="Pura"/>
    <s v="Matindeg"/>
    <s v="OUTSIDE MBA"/>
    <s v="1st"/>
    <n v="15.616"/>
    <n v="120.652"/>
    <s v="15.616,120.652"/>
    <s v="LGU FUNDED MRF"/>
    <x v="1"/>
    <s v="Joshua A. Capones"/>
    <m/>
    <s v="Jan Emerson C. Gonzales"/>
    <m/>
    <m/>
    <m/>
    <m/>
    <m/>
    <m/>
    <s v=""/>
    <s v=""/>
    <s v=""/>
    <s v=""/>
    <m/>
    <m/>
    <m/>
    <m/>
    <m/>
    <m/>
    <m/>
    <m/>
    <m/>
    <m/>
    <m/>
    <m/>
    <m/>
    <m/>
    <m/>
    <m/>
    <m/>
    <m/>
  </r>
  <r>
    <x v="5"/>
    <s v="Ramos"/>
    <s v="Pance"/>
    <s v="OUTSIDE MBA"/>
    <s v="1st"/>
    <n v="15.686446"/>
    <n v="120.630807"/>
    <s v="15.686446,120.630807"/>
    <s v="LGU FUNDED MRF"/>
    <x v="1"/>
    <s v="Jasper Kieht B. Pili"/>
    <m/>
    <s v="Jan Emerson C. Gonzales"/>
    <m/>
    <m/>
    <m/>
    <m/>
    <m/>
    <m/>
    <s v=""/>
    <s v=""/>
    <s v=""/>
    <s v=""/>
    <m/>
    <m/>
    <m/>
    <m/>
    <m/>
    <m/>
    <m/>
    <m/>
    <m/>
    <m/>
    <m/>
    <m/>
    <m/>
    <m/>
    <m/>
    <m/>
    <m/>
    <m/>
  </r>
  <r>
    <x v="5"/>
    <s v="San Clemente"/>
    <s v="Nagsabaran"/>
    <s v="OUTSIDE MBA"/>
    <s v="1st"/>
    <n v="15.6845"/>
    <n v="120.361"/>
    <s v="15.6845,120.361"/>
    <s v="LGU FUNDED MRF"/>
    <x v="6"/>
    <s v="Jasper Kieht B. Pili"/>
    <m/>
    <s v="Jan Emerson C. Gonzales"/>
    <m/>
    <m/>
    <m/>
    <m/>
    <m/>
    <m/>
    <s v=""/>
    <s v=""/>
    <s v=""/>
    <s v=""/>
    <m/>
    <m/>
    <m/>
    <m/>
    <m/>
    <m/>
    <m/>
    <m/>
    <m/>
    <m/>
    <m/>
    <m/>
    <m/>
    <m/>
    <m/>
    <m/>
    <m/>
    <m/>
  </r>
  <r>
    <x v="5"/>
    <s v="San Manuel"/>
    <s v="Lanat"/>
    <s v="OUTSIDE MBA"/>
    <m/>
    <n v="15.78931"/>
    <n v="120.60471"/>
    <s v="15.78931,120.60471 "/>
    <s v="LGU FUNDED MRF"/>
    <x v="3"/>
    <s v="Jasper Kieht B. Pili"/>
    <m/>
    <s v="Jan Emerson C. Gonzales"/>
    <m/>
    <m/>
    <m/>
    <m/>
    <m/>
    <m/>
    <s v=""/>
    <s v=""/>
    <s v=""/>
    <s v=""/>
    <m/>
    <m/>
    <m/>
    <m/>
    <m/>
    <m/>
    <m/>
    <m/>
    <m/>
    <m/>
    <m/>
    <m/>
    <m/>
    <m/>
    <m/>
    <m/>
    <m/>
    <m/>
  </r>
  <r>
    <x v="5"/>
    <s v="Sta Ignacia"/>
    <s v="Poblacion sur"/>
    <s v="OUTSIDE MBA"/>
    <s v="1st"/>
    <n v="15.606"/>
    <n v="120.437"/>
    <s v="15.606,120.437"/>
    <s v="LGU FUNDED MRF"/>
    <x v="6"/>
    <s v="Joshua A. Capones"/>
    <m/>
    <s v="Jan Emerson C. Gonzales"/>
    <m/>
    <m/>
    <m/>
    <m/>
    <m/>
    <m/>
    <s v=""/>
    <s v=""/>
    <s v=""/>
    <s v=""/>
    <m/>
    <m/>
    <m/>
    <m/>
    <m/>
    <m/>
    <m/>
    <m/>
    <m/>
    <m/>
    <m/>
    <m/>
    <m/>
    <m/>
    <m/>
    <m/>
    <m/>
    <m/>
  </r>
  <r>
    <x v="5"/>
    <s v="Victoria"/>
    <s v="Palacpalac"/>
    <s v="MBA"/>
    <m/>
    <m/>
    <m/>
    <s v="15.527747,120.706851"/>
    <s v="LGU FUNDED MRF"/>
    <x v="1"/>
    <s v="Gretzhen M. Apolonio"/>
    <m/>
    <s v="Jan Emerson C. Gonzales"/>
    <m/>
    <m/>
    <m/>
    <m/>
    <m/>
    <m/>
    <s v=""/>
    <s v=""/>
    <s v=""/>
    <s v=""/>
    <m/>
    <m/>
    <m/>
    <m/>
    <m/>
    <m/>
    <m/>
    <m/>
    <m/>
    <m/>
    <m/>
    <m/>
    <m/>
    <m/>
    <m/>
    <m/>
    <m/>
    <m/>
  </r>
  <r>
    <x v="6"/>
    <s v="Botolan"/>
    <s v="Carael"/>
    <s v="OUTSIDE MBA"/>
    <s v="2nd"/>
    <m/>
    <m/>
    <m/>
    <s v="LGU FUNDED MRF"/>
    <x v="1"/>
    <m/>
    <m/>
    <s v="Jun D. Guillermo"/>
    <m/>
    <m/>
    <m/>
    <m/>
    <m/>
    <m/>
    <m/>
    <m/>
    <m/>
    <m/>
    <m/>
    <m/>
    <m/>
    <m/>
    <m/>
    <m/>
    <m/>
    <m/>
    <m/>
    <m/>
    <m/>
    <m/>
    <m/>
    <m/>
    <m/>
    <m/>
    <m/>
    <m/>
  </r>
  <r>
    <x v="6"/>
    <s v="Cabangan"/>
    <s v="San Juan"/>
    <s v="OUTSIDE MBA"/>
    <s v="2nd"/>
    <n v="15.160399999999999"/>
    <n v="120.075"/>
    <s v="15.1604,120.075"/>
    <s v="LGU FUNDED MRF"/>
    <x v="3"/>
    <s v="Larizze Anne Santos"/>
    <m/>
    <s v="Jun D. Guillermo"/>
    <m/>
    <m/>
    <m/>
    <m/>
    <m/>
    <m/>
    <s v=""/>
    <s v=""/>
    <s v=""/>
    <s v=""/>
    <m/>
    <m/>
    <m/>
    <m/>
    <m/>
    <m/>
    <m/>
    <m/>
    <m/>
    <m/>
    <m/>
    <m/>
    <m/>
    <m/>
    <m/>
    <m/>
    <m/>
    <m/>
  </r>
  <r>
    <x v="6"/>
    <s v="Candelaria"/>
    <s v="Pinagrealan"/>
    <s v="OUTSIDE MBA"/>
    <s v="2nd"/>
    <n v="15.598236"/>
    <n v="119.974841"/>
    <s v="15.598236,119.974841"/>
    <s v="LGU FUNDED MRF"/>
    <x v="0"/>
    <s v="Ryan Ace R. Angel"/>
    <m/>
    <s v="Jun D. Guillermo"/>
    <m/>
    <m/>
    <m/>
    <m/>
    <m/>
    <m/>
    <s v=""/>
    <s v=""/>
    <s v=""/>
    <s v=""/>
    <m/>
    <m/>
    <m/>
    <m/>
    <m/>
    <m/>
    <m/>
    <m/>
    <m/>
    <m/>
    <m/>
    <m/>
    <m/>
    <m/>
    <m/>
    <m/>
    <m/>
    <m/>
  </r>
  <r>
    <x v="6"/>
    <s v="Castillejos"/>
    <s v="Nagbayan"/>
    <s v="OUTSIDE MBA"/>
    <s v="1st"/>
    <n v="14.925181"/>
    <n v="120.14849599999999"/>
    <s v="14.925181,120.148496"/>
    <s v="LGU FUNDED MRF"/>
    <x v="1"/>
    <s v="Vacant"/>
    <m/>
    <s v="Jun D. Guillermo"/>
    <m/>
    <m/>
    <m/>
    <m/>
    <m/>
    <m/>
    <s v=""/>
    <s v=""/>
    <s v=""/>
    <s v=""/>
    <m/>
    <m/>
    <m/>
    <m/>
    <m/>
    <m/>
    <m/>
    <m/>
    <m/>
    <m/>
    <m/>
    <m/>
    <m/>
    <m/>
    <m/>
    <m/>
    <m/>
    <m/>
  </r>
  <r>
    <x v="6"/>
    <s v="Iba"/>
    <s v="Amungan"/>
    <s v="OUTSIDE MBA"/>
    <s v="2nd"/>
    <n v="15.3963"/>
    <n v="120.02500000000001"/>
    <s v="15.3963,120.025"/>
    <s v="LGU FUNDED MRF"/>
    <x v="2"/>
    <s v="Larizze Anne Santos"/>
    <m/>
    <s v="Jun D. Guillermo"/>
    <m/>
    <m/>
    <m/>
    <m/>
    <m/>
    <m/>
    <s v=""/>
    <s v=""/>
    <s v=""/>
    <s v=""/>
    <m/>
    <m/>
    <m/>
    <m/>
    <m/>
    <m/>
    <m/>
    <m/>
    <m/>
    <m/>
    <m/>
    <m/>
    <m/>
    <m/>
    <m/>
    <m/>
    <m/>
    <m/>
  </r>
  <r>
    <x v="6"/>
    <s v="Masinloc"/>
    <s v="Baloganon"/>
    <s v="OUTSIDE MBA"/>
    <s v="2nd"/>
    <n v="15.582169"/>
    <n v="119.989266"/>
    <s v="15.582169,119.989266"/>
    <s v="LGU FUNDED MRF"/>
    <x v="1"/>
    <s v="Ryan Ace R. Angel"/>
    <m/>
    <s v="Jun D. Guillermo"/>
    <m/>
    <m/>
    <m/>
    <m/>
    <m/>
    <m/>
    <s v=""/>
    <s v=""/>
    <s v=""/>
    <s v=""/>
    <m/>
    <m/>
    <m/>
    <m/>
    <m/>
    <m/>
    <m/>
    <m/>
    <m/>
    <m/>
    <m/>
    <m/>
    <m/>
    <m/>
    <m/>
    <m/>
    <m/>
    <m/>
  </r>
  <r>
    <x v="6"/>
    <s v="Olongapo City"/>
    <s v="New Cabalan"/>
    <s v="OUTSIDE MBA"/>
    <s v="1st"/>
    <n v="14.8462"/>
    <n v="120.32899999999999"/>
    <s v="14.8462,120.329"/>
    <s v="LGU FUNDED MRF"/>
    <x v="1"/>
    <s v="Vacant"/>
    <m/>
    <s v="Jun D. Guillermo"/>
    <m/>
    <m/>
    <m/>
    <m/>
    <m/>
    <m/>
    <s v=""/>
    <s v=""/>
    <s v=""/>
    <s v=""/>
    <m/>
    <m/>
    <m/>
    <m/>
    <m/>
    <m/>
    <m/>
    <m/>
    <m/>
    <m/>
    <m/>
    <m/>
    <m/>
    <m/>
    <m/>
    <m/>
    <m/>
    <m/>
  </r>
  <r>
    <x v="6"/>
    <s v="San Antonio"/>
    <s v="Pundaquit"/>
    <s v="OUTSIDE MBA"/>
    <s v="2nd"/>
    <n v="14.9305"/>
    <n v="120.075"/>
    <s v="14.9305,120.075"/>
    <s v="LGU FUNDED MRF"/>
    <x v="4"/>
    <s v="Larizze Anne Santos"/>
    <m/>
    <s v="Jun D. Guillermo"/>
    <m/>
    <m/>
    <m/>
    <m/>
    <m/>
    <m/>
    <s v=""/>
    <s v=""/>
    <s v=""/>
    <s v=""/>
    <m/>
    <m/>
    <m/>
    <m/>
    <m/>
    <m/>
    <m/>
    <m/>
    <m/>
    <m/>
    <m/>
    <m/>
    <m/>
    <m/>
    <m/>
    <m/>
    <m/>
    <m/>
  </r>
  <r>
    <x v="6"/>
    <s v="San Marcelino"/>
    <s v="Linasin"/>
    <s v="OUTSIDE MBA"/>
    <s v="1st"/>
    <n v="14.9695"/>
    <n v="120.133"/>
    <s v="14.9695,120.133"/>
    <s v="LGU FUNDED MRF"/>
    <x v="1"/>
    <s v="Larizze Anne Santos"/>
    <m/>
    <s v="Jun D. Guillermo"/>
    <m/>
    <m/>
    <m/>
    <m/>
    <m/>
    <m/>
    <s v=""/>
    <s v=""/>
    <s v=""/>
    <s v=""/>
    <m/>
    <m/>
    <m/>
    <m/>
    <m/>
    <m/>
    <m/>
    <m/>
    <m/>
    <m/>
    <m/>
    <m/>
    <m/>
    <m/>
    <m/>
    <m/>
    <m/>
    <m/>
  </r>
  <r>
    <x v="6"/>
    <s v="Sta Cruz"/>
    <s v="Sabang"/>
    <s v="OUTSIDE MBA"/>
    <s v="2nd"/>
    <n v="15.733717"/>
    <n v="119.889397"/>
    <s v="15.733717,119.889397"/>
    <s v="LGU FUNDED MRF"/>
    <x v="5"/>
    <s v="Ryan Ace R. Angel"/>
    <m/>
    <s v="Jun D. Guillermo"/>
    <m/>
    <m/>
    <m/>
    <m/>
    <m/>
    <m/>
    <s v=""/>
    <s v=""/>
    <s v=""/>
    <s v=""/>
    <m/>
    <m/>
    <m/>
    <m/>
    <m/>
    <m/>
    <m/>
    <m/>
    <m/>
    <m/>
    <m/>
    <m/>
    <m/>
    <m/>
    <m/>
    <m/>
    <m/>
    <m/>
  </r>
  <r>
    <x v="7"/>
    <m/>
    <m/>
    <m/>
    <m/>
    <s v="."/>
    <m/>
    <m/>
    <m/>
    <x v="1"/>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s v="Mariveles (AFAB)"/>
    <s v="Maligaya"/>
    <s v="MBA"/>
    <s v="3rd"/>
    <n v="14.44980398"/>
    <n v="120.50479420000001"/>
    <s v="14.44980398, 120.5047942"/>
    <x v="0"/>
    <s v="Laurence Radasa"/>
    <m/>
    <s v="Christle D. David"/>
    <s v="R3-2025-018262"/>
    <d v="2025-05-30T00:00:00"/>
    <m/>
    <m/>
    <m/>
    <m/>
    <s v=""/>
    <s v=""/>
    <s v=""/>
    <s v=""/>
    <m/>
    <s v="OPERATIONAL"/>
    <s v="FACILITY"/>
    <m/>
    <m/>
    <m/>
    <m/>
    <m/>
    <m/>
    <m/>
    <m/>
    <m/>
    <m/>
    <m/>
    <m/>
    <m/>
    <m/>
  </r>
  <r>
    <x v="1"/>
    <s v="San Rafael"/>
    <s v="Brgy. Coral Na Bato"/>
    <s v="MBA"/>
    <s v="3rd"/>
    <n v="14.981164"/>
    <n v="120.97458899999999"/>
    <s v="14.981164, 120.974589"/>
    <x v="1"/>
    <s v="Ronaldo P. Roque Jr."/>
    <m/>
    <s v="Diozelle A. Lazatin"/>
    <s v="R3-2025-031696"/>
    <d v="2025-09-18T00:00:00"/>
    <m/>
    <m/>
    <m/>
    <m/>
    <s v=""/>
    <s v=""/>
    <s v=""/>
    <s v=""/>
    <m/>
    <s v="OPERATIONAL"/>
    <s v="FACILITY"/>
    <m/>
    <m/>
    <m/>
    <m/>
    <m/>
    <m/>
    <m/>
    <m/>
    <m/>
    <m/>
    <m/>
    <m/>
    <m/>
    <m/>
  </r>
  <r>
    <x v="1"/>
    <s v="Calumpit"/>
    <s v="Brgy. Santo Nino"/>
    <s v="MBA"/>
    <s v="1st"/>
    <n v="14.900399999999999"/>
    <n v="120.7718"/>
    <s v="14.9004, 120.7718"/>
    <x v="2"/>
    <s v="Ronaldo P. Roque, Jr"/>
    <m/>
    <s v="Diozelle L. Cabalar"/>
    <s v="R3-2025-005763"/>
    <d v="2025-02-14T00:00:00"/>
    <m/>
    <m/>
    <m/>
    <m/>
    <s v=""/>
    <s v=""/>
    <s v=""/>
    <s v=""/>
    <m/>
    <s v="OPERATIONAL"/>
    <s v="FACILITY"/>
    <m/>
    <m/>
    <m/>
    <m/>
    <m/>
    <m/>
    <m/>
    <m/>
    <m/>
    <m/>
    <m/>
    <m/>
    <m/>
    <m/>
  </r>
  <r>
    <x v="2"/>
    <s v="City Of Cabanatuan"/>
    <s v="Brgy. San Isidro"/>
    <s v="MBA"/>
    <s v="3rd"/>
    <n v="15.488759999999999"/>
    <n v="120.992244"/>
    <s v="15.48876, 120.992244"/>
    <x v="3"/>
    <s v="Christian Jem L. Buluran"/>
    <m/>
    <s v="Zosimo P. Suyat"/>
    <s v="R3-2025-012152"/>
    <d v="2025-04-10T00:00:00"/>
    <m/>
    <m/>
    <m/>
    <m/>
    <s v=""/>
    <s v=""/>
    <s v=""/>
    <s v=""/>
    <m/>
    <s v="OPERATIONAL"/>
    <s v="FACILITY"/>
    <m/>
    <m/>
    <m/>
    <m/>
    <m/>
    <m/>
    <m/>
    <m/>
    <m/>
    <m/>
    <m/>
    <m/>
    <m/>
    <m/>
  </r>
  <r>
    <x v="2"/>
    <s v="Peñaranda"/>
    <s v="Brgy. Callos"/>
    <s v="MBA"/>
    <s v="4th"/>
    <n v="15.335882"/>
    <n v="121.033826"/>
    <s v="15.335882, 121.033826"/>
    <x v="4"/>
    <s v="Christine Ann V. Ramos"/>
    <m/>
    <s v="Zosimo P. Suyat"/>
    <s v="R3-2025-012457"/>
    <d v="2025-04-10T00:00:00"/>
    <m/>
    <m/>
    <m/>
    <m/>
    <s v=""/>
    <s v=""/>
    <s v=""/>
    <s v=""/>
    <m/>
    <s v="OPERATIONAL"/>
    <s v="BIN"/>
    <m/>
    <m/>
    <m/>
    <m/>
    <m/>
    <m/>
    <m/>
    <m/>
    <m/>
    <m/>
    <m/>
    <m/>
    <m/>
    <m/>
  </r>
  <r>
    <x v="2"/>
    <s v="City Of Palayan"/>
    <s v="Brgy. Singalat"/>
    <s v="MBA"/>
    <s v="3rd"/>
    <n v="15.562658000000001"/>
    <n v="121.09813800000001"/>
    <s v="15.562658, 121.098138"/>
    <x v="1"/>
    <s v="Hosannah R. Sabio"/>
    <m/>
    <s v="Zosimo P. Suyat"/>
    <s v="R3-2025-012166"/>
    <d v="2025-03-28T00:00:00"/>
    <m/>
    <m/>
    <m/>
    <m/>
    <s v=""/>
    <s v=""/>
    <s v=""/>
    <s v=""/>
    <m/>
    <s v="OPERATIONAL"/>
    <s v="BIN"/>
    <m/>
    <m/>
    <m/>
    <m/>
    <m/>
    <m/>
    <m/>
    <m/>
    <m/>
    <m/>
    <m/>
    <m/>
    <m/>
    <m/>
  </r>
  <r>
    <x v="2"/>
    <s v="Quezon"/>
    <s v="Brgy. II"/>
    <s v="MBA"/>
    <s v="1st"/>
    <n v="15.544414"/>
    <n v="120.808761"/>
    <s v="15.544414, 120.808761"/>
    <x v="2"/>
    <s v="Gem C.  Vicencio"/>
    <m/>
    <s v="Zosimo P. Suyat"/>
    <s v="R3-2025-035080"/>
    <d v="2025-10-16T00:00:00"/>
    <m/>
    <m/>
    <m/>
    <m/>
    <s v=""/>
    <s v=""/>
    <s v=""/>
    <s v=""/>
    <m/>
    <s v="OPERATIONAL"/>
    <s v="FACILITY"/>
    <m/>
    <m/>
    <m/>
    <m/>
    <m/>
    <m/>
    <m/>
    <m/>
    <m/>
    <m/>
    <m/>
    <m/>
    <m/>
    <m/>
  </r>
  <r>
    <x v="2"/>
    <s v="San Antonio_N"/>
    <s v="Brgy. Sta. Cruz"/>
    <s v="MBA"/>
    <s v="4th"/>
    <n v="15.311809999999999"/>
    <n v="120.834637"/>
    <s v="15.31181, 120.834637"/>
    <x v="2"/>
    <s v="Christine Ann V. Ramos"/>
    <m/>
    <s v="Zosimo P. Suyat"/>
    <s v="R3-2025-026432"/>
    <d v="2025-08-05T00:00:00"/>
    <m/>
    <m/>
    <m/>
    <m/>
    <s v=""/>
    <s v=""/>
    <s v=""/>
    <s v=""/>
    <m/>
    <s v="OPERATIONAL"/>
    <s v="FACILITY"/>
    <m/>
    <m/>
    <m/>
    <m/>
    <m/>
    <m/>
    <m/>
    <m/>
    <m/>
    <m/>
    <m/>
    <m/>
    <m/>
    <m/>
  </r>
  <r>
    <x v="3"/>
    <s v="Angeles City"/>
    <s v="Capaya II"/>
    <s v="MBA"/>
    <s v="1st"/>
    <n v="15.141719999999999"/>
    <n v="120.63039000000001"/>
    <s v="15.14172, 120.63039"/>
    <x v="5"/>
    <s v="Elyza A. Evilla"/>
    <m/>
    <s v="John Sherwin Loquellano"/>
    <s v="R3-2025-035186"/>
    <d v="2025-10-16T00:00:00"/>
    <m/>
    <m/>
    <m/>
    <m/>
    <m/>
    <m/>
    <m/>
    <m/>
    <m/>
    <m/>
    <m/>
    <m/>
    <m/>
    <m/>
    <m/>
    <m/>
    <m/>
    <m/>
    <m/>
    <m/>
    <m/>
    <m/>
    <m/>
    <m/>
    <m/>
  </r>
  <r>
    <x v="3"/>
    <s v="Apalit"/>
    <s v="Brgy. Sulipan"/>
    <s v="MBA"/>
    <s v="4th"/>
    <n v="14.928599999999999"/>
    <n v="120.7633"/>
    <s v="14.9286, 120.7633"/>
    <x v="3"/>
    <s v="Glaiza S.Gaza"/>
    <m/>
    <s v="John Sherwin Loquellano"/>
    <s v="R3-2025-026863"/>
    <d v="2025-08-05T00:00:00"/>
    <m/>
    <m/>
    <m/>
    <m/>
    <s v=""/>
    <s v=""/>
    <s v=""/>
    <s v=""/>
    <m/>
    <s v="OPERATIONAL"/>
    <s v="FACILITY"/>
    <m/>
    <m/>
    <m/>
    <m/>
    <m/>
    <m/>
    <m/>
    <m/>
    <m/>
    <m/>
    <m/>
    <m/>
    <m/>
    <m/>
  </r>
  <r>
    <x v="3"/>
    <s v="Candaba"/>
    <s v="Brgy. Concepcion"/>
    <s v="MBA"/>
    <s v="4th"/>
    <n v="15.09282"/>
    <n v="120.812298"/>
    <s v="15.09282, 120.812298"/>
    <x v="2"/>
    <s v="Roger T. Encarnacion II"/>
    <m/>
    <s v="John Sherwin Loquellano"/>
    <s v="R3-2025-034368"/>
    <d v="2025-10-08T00:00:00"/>
    <m/>
    <m/>
    <m/>
    <m/>
    <s v=""/>
    <s v=""/>
    <s v=""/>
    <s v=""/>
    <m/>
    <s v="NON-OPERATIONAL"/>
    <s v="FACILITY"/>
    <m/>
    <m/>
    <m/>
    <m/>
    <m/>
    <m/>
    <m/>
    <m/>
    <m/>
    <m/>
    <m/>
    <m/>
    <m/>
    <m/>
  </r>
  <r>
    <x v="4"/>
    <s v="Gerona"/>
    <s v="Brgy. Tagumbao"/>
    <s v="MBA"/>
    <s v="2nd"/>
    <n v="15.598288"/>
    <n v="120.556076"/>
    <s v="15.598288, 120.556076"/>
    <x v="2"/>
    <s v="Joshua A. Capones"/>
    <m/>
    <s v="Jan Emerson Gonzales"/>
    <s v="R3-2025-004607"/>
    <d v="2025-02-06T00:00:00"/>
    <m/>
    <m/>
    <m/>
    <m/>
    <s v=""/>
    <s v=""/>
    <s v=""/>
    <s v=""/>
    <m/>
    <s v="OPERATIONAL"/>
    <s v="FACILITY"/>
    <m/>
    <m/>
    <m/>
    <m/>
    <m/>
    <m/>
    <m/>
    <m/>
    <m/>
    <m/>
    <m/>
    <m/>
    <m/>
    <m/>
  </r>
  <r>
    <x v="5"/>
    <s v="Botolan"/>
    <s v="Brgy. Taugtog"/>
    <s v="OUTSIDE MBA"/>
    <s v="2nd"/>
    <n v="15.30406"/>
    <n v="120.03836"/>
    <s v="15.30406, 120.03836"/>
    <x v="4"/>
    <s v="Larizze A. Santos"/>
    <m/>
    <s v="Jun D. Guillermo"/>
    <s v="R3-2025-011857"/>
    <d v="2025-04-03T00:00:00"/>
    <m/>
    <m/>
    <m/>
    <m/>
    <s v=""/>
    <s v=""/>
    <s v=""/>
    <s v=""/>
    <m/>
    <s v="OPERATIONAL"/>
    <s v="BIN"/>
    <m/>
    <m/>
    <m/>
    <m/>
    <m/>
    <m/>
    <m/>
    <m/>
    <m/>
    <m/>
    <m/>
    <m/>
    <m/>
    <m/>
  </r>
  <r>
    <x v="5"/>
    <s v="Castillejos"/>
    <s v="Brgy. Nagbayan"/>
    <s v="OUTSIDE MBA"/>
    <s v="1st"/>
    <n v="14.9252"/>
    <n v="120.1485"/>
    <s v="14.9252, 120.1485"/>
    <x v="2"/>
    <s v="Larizze A. Santos"/>
    <m/>
    <s v="Jun D. Guillermo"/>
    <s v="R3-2025-008288_x0009_"/>
    <d v="2025-03-05T00:00:00"/>
    <m/>
    <m/>
    <m/>
    <m/>
    <s v=""/>
    <s v=""/>
    <s v=""/>
    <s v=""/>
    <m/>
    <s v="OPERATIONAL"/>
    <s v="BIN"/>
    <m/>
    <m/>
    <m/>
    <m/>
    <m/>
    <m/>
    <m/>
    <m/>
    <m/>
    <m/>
    <m/>
    <m/>
    <m/>
    <m/>
  </r>
  <r>
    <x v="5"/>
    <s v="Cabangan"/>
    <s v="Brgy. San Juan"/>
    <s v="OUTSIDE MBA"/>
    <s v="2nd"/>
    <n v="15.160591"/>
    <n v="120.075479"/>
    <s v="15.160591, 120.075479"/>
    <x v="2"/>
    <s v="Larizze A. Santos"/>
    <m/>
    <s v="Jun D. Guillermo"/>
    <s v="R3-2025-027864"/>
    <d v="2025-08-13T00:00:00"/>
    <m/>
    <m/>
    <m/>
    <m/>
    <s v=""/>
    <s v=""/>
    <s v=""/>
    <s v=""/>
    <m/>
    <s v="OPERATIONAL"/>
    <s v="BIN"/>
    <m/>
    <m/>
    <m/>
    <m/>
    <m/>
    <m/>
    <m/>
    <m/>
    <m/>
    <m/>
    <m/>
    <m/>
    <m/>
    <m/>
  </r>
  <r>
    <x v="5"/>
    <s v="San Antonio"/>
    <s v="Brgy. Pundaquit"/>
    <s v="OUTSIDE MBA"/>
    <s v="2nd"/>
    <n v="14.943899999999999"/>
    <n v="120.081"/>
    <s v="14.9439, 120.081"/>
    <x v="3"/>
    <s v="Ryan Ace Angel"/>
    <m/>
    <s v="Jun D. Guillermo"/>
    <s v="R3-2025-034314"/>
    <d v="2025-10-02T00:00:00"/>
    <m/>
    <m/>
    <m/>
    <m/>
    <s v=""/>
    <s v=""/>
    <s v=""/>
    <s v=""/>
    <m/>
    <s v="OPERATIONAL"/>
    <s v="BIN"/>
    <m/>
    <m/>
    <m/>
    <m/>
    <m/>
    <m/>
    <m/>
    <m/>
    <m/>
    <m/>
    <m/>
    <m/>
    <m/>
    <m/>
  </r>
  <r>
    <x v="5"/>
    <s v="Subic"/>
    <s v="Asinan"/>
    <s v="OUTSIDE MBA"/>
    <s v="1st"/>
    <n v="14.9017549"/>
    <n v="120.23236989999999"/>
    <s v="14.9017549, 120.2323699"/>
    <x v="2"/>
    <s v="VACANT"/>
    <m/>
    <s v="Jun D. Guillermo"/>
    <m/>
    <m/>
    <m/>
    <m/>
    <m/>
    <m/>
    <s v=""/>
    <s v=""/>
    <s v=""/>
    <s v=""/>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s v="Baler"/>
    <s v="Pingit"/>
    <s v="OUTSIDE MBA"/>
    <s v="Lone"/>
    <n v="15.73583333"/>
    <n v="121.56277780000001"/>
    <s v="15.73583333, 121.5627778"/>
    <x v="0"/>
    <s v="Zaila Mae R. Leander"/>
    <m/>
    <s v="Diozelle L. Cabalar"/>
    <s v="R3-2025-007939"/>
    <d v="2025-03-06T00:00:00"/>
    <m/>
    <m/>
    <m/>
    <m/>
    <s v=""/>
    <s v=""/>
    <s v=""/>
    <s v=""/>
    <m/>
    <m/>
    <m/>
    <m/>
    <m/>
    <m/>
    <m/>
    <m/>
    <m/>
    <m/>
    <m/>
    <m/>
    <m/>
    <m/>
    <m/>
    <m/>
    <m/>
    <m/>
    <m/>
    <m/>
    <m/>
    <m/>
    <m/>
    <m/>
    <m/>
  </r>
  <r>
    <x v="0"/>
    <s v="Dilasag"/>
    <s v="Maligaya"/>
    <s v="OUTSIDE MBA"/>
    <s v="Lone"/>
    <n v="16.392222220000001"/>
    <n v="122.2108333"/>
    <s v="16.39222222, 122.2108333"/>
    <x v="1"/>
    <s v="Queenyvel R. Laguisma"/>
    <m/>
    <s v="Diozelle L. Cabalar"/>
    <s v="R3-2025-013049"/>
    <d v="2025-04-15T00:00:00"/>
    <m/>
    <m/>
    <m/>
    <m/>
    <s v=""/>
    <s v=""/>
    <s v=""/>
    <s v=""/>
    <m/>
    <m/>
    <m/>
    <m/>
    <m/>
    <m/>
    <m/>
    <m/>
    <m/>
    <m/>
    <m/>
    <m/>
    <m/>
    <m/>
    <m/>
    <m/>
    <m/>
    <m/>
    <m/>
    <m/>
    <m/>
    <m/>
    <m/>
    <m/>
    <m/>
  </r>
  <r>
    <x v="0"/>
    <s v="Casiguran"/>
    <s v="Calantas"/>
    <s v="OUTSIDE MBA"/>
    <s v="Lone"/>
    <n v="16.287777779999999"/>
    <n v="122.1222222"/>
    <s v="16.28777778, 122.1222222"/>
    <x v="2"/>
    <s v="Queenyvel R. Laguisma"/>
    <m/>
    <s v="Diozelle L. Cabalar"/>
    <s v="R3-2025-020068"/>
    <d v="2025-06-03T00:00:00"/>
    <m/>
    <m/>
    <m/>
    <m/>
    <s v=""/>
    <s v=""/>
    <s v=""/>
    <s v=""/>
    <m/>
    <m/>
    <m/>
    <m/>
    <m/>
    <m/>
    <m/>
    <m/>
    <m/>
    <m/>
    <m/>
    <m/>
    <m/>
    <m/>
    <m/>
    <m/>
    <m/>
    <m/>
    <m/>
    <m/>
    <m/>
    <m/>
    <m/>
    <m/>
    <m/>
  </r>
  <r>
    <x v="0"/>
    <s v="Dinalungan"/>
    <s v="Dibaraybay"/>
    <s v="OUTSIDE MBA"/>
    <s v="Lone"/>
    <n v="15.3818889"/>
    <n v="121.38055559999999"/>
    <s v="15.3818889, 121.3805556"/>
    <x v="2"/>
    <s v="Queenyvel R. Laguisma"/>
    <m/>
    <s v="Diozelle L. Cabalar"/>
    <m/>
    <m/>
    <m/>
    <m/>
    <m/>
    <m/>
    <s v=""/>
    <s v=""/>
    <s v=""/>
    <s v=""/>
    <m/>
    <m/>
    <m/>
    <m/>
    <m/>
    <m/>
    <m/>
    <m/>
    <m/>
    <m/>
    <m/>
    <m/>
    <m/>
    <m/>
    <m/>
    <m/>
    <m/>
    <m/>
    <m/>
    <m/>
    <m/>
    <m/>
    <m/>
    <m/>
    <m/>
  </r>
  <r>
    <x v="0"/>
    <s v="San Luis"/>
    <s v="L. Pimentel"/>
    <s v="OUTSIDE MBA"/>
    <s v="Lone"/>
    <n v="15.6972"/>
    <n v="121.51479999999999"/>
    <s v="15.6972, 121.5148"/>
    <x v="2"/>
    <s v="Zaila Mae R. Leander"/>
    <m/>
    <s v="Diozelle L. Cabalar"/>
    <s v="R3-2025-033423"/>
    <d v="2025-10-02T00:00:00"/>
    <m/>
    <m/>
    <m/>
    <m/>
    <s v=""/>
    <s v=""/>
    <s v=""/>
    <s v=""/>
    <m/>
    <m/>
    <m/>
    <m/>
    <m/>
    <m/>
    <m/>
    <m/>
    <m/>
    <m/>
    <m/>
    <m/>
    <m/>
    <m/>
    <m/>
    <m/>
    <m/>
    <m/>
    <m/>
    <m/>
    <m/>
    <m/>
    <m/>
    <m/>
    <m/>
  </r>
  <r>
    <x v="1"/>
    <s v="Morong"/>
    <s v="Mabayo"/>
    <s v="MBA"/>
    <s v="1st"/>
    <n v="15.73441"/>
    <n v="120.31515"/>
    <s v="15.73441, 120.31515"/>
    <x v="3"/>
    <s v="Laurence Radasa"/>
    <m/>
    <s v="Christle D. David"/>
    <s v="R3-2025-030066"/>
    <d v="2025-09-03T00:00:00"/>
    <m/>
    <m/>
    <m/>
    <m/>
    <s v=""/>
    <s v=""/>
    <s v=""/>
    <s v=""/>
    <m/>
    <m/>
    <m/>
    <m/>
    <m/>
    <m/>
    <m/>
    <m/>
    <m/>
    <m/>
    <m/>
    <m/>
    <m/>
    <m/>
    <m/>
    <m/>
    <m/>
    <m/>
    <m/>
    <m/>
    <m/>
    <m/>
    <m/>
    <m/>
    <m/>
  </r>
  <r>
    <x v="2"/>
    <s v="Lupao"/>
    <s v="Namulandayan"/>
    <s v="MBA"/>
    <s v="2nd"/>
    <n v="15.90054239"/>
    <n v="120.9139667"/>
    <s v="15.90054239, 120.9139667"/>
    <x v="4"/>
    <s v="Aser A. Inocencio, Jr."/>
    <m/>
    <s v="Zosimo P. Suyat"/>
    <s v="R3-2025-027497"/>
    <d v="2025-08-14T00:00:00"/>
    <m/>
    <m/>
    <m/>
    <m/>
    <s v=""/>
    <s v=""/>
    <s v=""/>
    <s v=""/>
    <m/>
    <m/>
    <m/>
    <m/>
    <m/>
    <m/>
    <m/>
    <m/>
    <m/>
    <m/>
    <m/>
    <m/>
    <m/>
    <m/>
    <m/>
    <m/>
    <m/>
    <m/>
    <m/>
    <m/>
    <m/>
    <m/>
    <m/>
    <m/>
    <m/>
  </r>
  <r>
    <x v="3"/>
    <s v="San Felipe"/>
    <s v="Manglicmot"/>
    <s v="OUTSIDE MBA"/>
    <s v="2nd"/>
    <n v="15.042160000000001"/>
    <n v="120.07329"/>
    <s v="15.04216, 120.07329"/>
    <x v="5"/>
    <s v="Larizze A. Santos"/>
    <m/>
    <s v="Jun Guillermo"/>
    <s v="R3-2025-008896"/>
    <d v="2025-03-14T00:00:00"/>
    <m/>
    <m/>
    <m/>
    <m/>
    <s v=""/>
    <s v=""/>
    <s v=""/>
    <s v=""/>
    <m/>
    <m/>
    <m/>
    <m/>
    <m/>
    <m/>
    <m/>
    <m/>
    <m/>
    <m/>
    <m/>
    <m/>
    <m/>
    <m/>
    <m/>
    <m/>
    <m/>
    <m/>
    <m/>
    <m/>
    <m/>
    <m/>
    <m/>
    <m/>
    <m/>
  </r>
  <r>
    <x v="3"/>
    <s v="San Narciso"/>
    <s v="San Pascual"/>
    <s v="OUTSIDE MBA"/>
    <s v="2nd"/>
    <n v="15.016209999999999"/>
    <n v="120.0872"/>
    <s v="15.01621, 120.0872"/>
    <x v="2"/>
    <s v="Larizze A. Santos"/>
    <m/>
    <s v="Jun Guillermo"/>
    <s v="R3-2025-007780"/>
    <d v="2025-02-21T00:00:00"/>
    <m/>
    <m/>
    <m/>
    <m/>
    <s v=""/>
    <s v=""/>
    <s v=""/>
    <s v=""/>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s v="PROVINCE OF AURORA"/>
    <s v="PROVINCIAL CAPITOL, QUEZON STREET, BALER, 3200"/>
    <m/>
    <d v="2023-03-01T00:00:00"/>
    <s v="OUTSIDE MBA"/>
    <n v="15.806566999999999"/>
    <n v="121.54037599999999"/>
    <s v="15.806567, 121.540376"/>
    <m/>
    <m/>
    <m/>
    <m/>
    <m/>
    <m/>
    <x v="0"/>
    <s v="Zaila Mae R. Leander"/>
    <m/>
    <s v="Diozelle L. Cabalar"/>
    <m/>
    <m/>
    <m/>
    <m/>
    <m/>
    <m/>
    <s v=""/>
    <s v=""/>
    <s v=""/>
    <s v=""/>
    <m/>
    <m/>
    <m/>
    <m/>
    <m/>
    <m/>
  </r>
  <r>
    <x v="0"/>
    <s v="CASIGURAN"/>
    <s v="LIWAYWAY ST., BRGY. 04 POBLACION 3204 CASIGURAN, PHILIPPINES"/>
    <m/>
    <d v="2023-02-22T00:00:00"/>
    <s v="OUTSIDE MBA"/>
    <n v="16.288014"/>
    <n v="122.122124"/>
    <s v="16.28801439, 122.12212403"/>
    <m/>
    <m/>
    <m/>
    <m/>
    <m/>
    <m/>
    <x v="1"/>
    <s v="Queenyvel R. Laguisma"/>
    <m/>
    <s v="Diozelle L. Cabalar"/>
    <s v="R3-2025-033828"/>
    <d v="2025-10-07T00:00:00"/>
    <m/>
    <m/>
    <m/>
    <m/>
    <s v=""/>
    <s v=""/>
    <s v=""/>
    <s v=""/>
    <m/>
    <m/>
    <m/>
    <m/>
    <m/>
    <m/>
  </r>
  <r>
    <x v="0"/>
    <s v="DINGALAN"/>
    <s v="MRF, Butas Na Bato, Dingalan, Aurora"/>
    <m/>
    <d v="2022-12-01T00:00:00"/>
    <s v="OUTSIDE MBA"/>
    <n v="15.38205"/>
    <n v="121.38054"/>
    <s v="15.38205121.38054"/>
    <m/>
    <m/>
    <m/>
    <m/>
    <m/>
    <m/>
    <x v="2"/>
    <s v="Nikko Jay M. Valenzuela"/>
    <m/>
    <s v="Diozelle L. Cabalar"/>
    <s v="R3-2025-027713_x0009_"/>
    <d v="2025-08-13T00:00:00"/>
    <m/>
    <m/>
    <m/>
    <m/>
    <s v=""/>
    <s v=""/>
    <s v=""/>
    <s v=""/>
    <m/>
    <m/>
    <m/>
    <m/>
    <m/>
    <m/>
  </r>
  <r>
    <x v="1"/>
    <s v="ORANI BATAAN - (PROVINCE OF BATAAN)"/>
    <s v="Maria Lourdes St. Ma. Fe, Orani, Bataan_x000a__x000a_PROVINCIAL CAPITOL, CAPITOL DRIVE, 2100, CITY OF BALANGA, BATAAN"/>
    <m/>
    <s v="Not included in the Delivery Receipt received by the Orani District Hospital"/>
    <s v="MBA"/>
    <n v="14.7895"/>
    <n v="120.53570000000001"/>
    <s v="14.7895, 120.5357"/>
    <m/>
    <m/>
    <m/>
    <m/>
    <m/>
    <m/>
    <x v="3"/>
    <s v="John-lester C. Signio"/>
    <m/>
    <s v="Christle D. David"/>
    <s v="R3-2025-031020"/>
    <d v="2025-09-11T00:00:00"/>
    <m/>
    <m/>
    <m/>
    <m/>
    <s v=""/>
    <s v=""/>
    <s v=""/>
    <s v=""/>
    <m/>
    <m/>
    <m/>
    <m/>
    <m/>
    <m/>
  </r>
  <r>
    <x v="1"/>
    <s v="BALANGA CITY BATAAN"/>
    <s v="Munting Batangas (Cadre), City of Balanga (Capital), Bataan"/>
    <m/>
    <s v="N/A"/>
    <s v="MBA"/>
    <n v="14.671222999999999"/>
    <n v="120.494659"/>
    <s v="14.671223, 120.494659"/>
    <m/>
    <m/>
    <m/>
    <m/>
    <m/>
    <m/>
    <x v="4"/>
    <s v="Dennis G. Tolentino"/>
    <m/>
    <s v="Christle D. David"/>
    <s v="R3-2025-027727"/>
    <d v="2025-08-12T00:00:00"/>
    <m/>
    <m/>
    <m/>
    <m/>
    <s v=""/>
    <s v=""/>
    <s v=""/>
    <s v=""/>
    <m/>
    <m/>
    <m/>
    <m/>
    <m/>
    <m/>
  </r>
  <r>
    <x v="2"/>
    <s v="MALOLOS CITY, BULACAN"/>
    <s v="MALOLOS CITY HALL, ESTRELLA STREET, POBLACION, STO. NINO, MALOLOS, 3000 BULACAN"/>
    <m/>
    <d v="2022-12-22T00:00:00"/>
    <s v="MBA"/>
    <n v="14.8079"/>
    <n v="120.8445"/>
    <s v="14.8079, 120.8445"/>
    <m/>
    <m/>
    <m/>
    <m/>
    <m/>
    <m/>
    <x v="5"/>
    <s v="Ronaldo Roque"/>
    <m/>
    <s v="Diozelle L. Cabalar"/>
    <s v="R3-2025-029906"/>
    <d v="2025-09-02T00:00:00"/>
    <m/>
    <m/>
    <m/>
    <m/>
    <s v=""/>
    <s v=""/>
    <s v=""/>
    <s v=""/>
    <m/>
    <m/>
    <m/>
    <m/>
    <m/>
    <m/>
  </r>
  <r>
    <x v="2"/>
    <s v="MEYCAUAYAN CITY, BULACAN"/>
    <s v="MEYCAUAYAN CITY HALL, MEYCAUAYAN CITY, 3020, BULACAN, 3020"/>
    <m/>
    <d v="2022-12-01T00:00:00"/>
    <s v="MBA"/>
    <n v="14.8078"/>
    <n v="120.8445"/>
    <s v="14.8078, 120.8445"/>
    <m/>
    <m/>
    <m/>
    <m/>
    <m/>
    <m/>
    <x v="6"/>
    <s v="James Wilson T.  Peña"/>
    <m/>
    <s v="Diozelle L. Cabalar"/>
    <m/>
    <m/>
    <m/>
    <m/>
    <m/>
    <m/>
    <s v=""/>
    <s v=""/>
    <s v=""/>
    <s v=""/>
    <m/>
    <m/>
    <m/>
    <m/>
    <m/>
    <m/>
  </r>
  <r>
    <x v="2"/>
    <s v="SAN JOSE DEL MONTE CITY, BULACAN"/>
    <s v="SAN JOSE DEL MONTE MUNICIPAL HALL, SAN JOSE DEL MONTE-MARILAO ROAD, SAN JOSE DEL MONTE CITY, 3023 BULACAN"/>
    <m/>
    <d v="2023-03-01T00:00:00"/>
    <s v="MBA"/>
    <n v="14.783899999999999"/>
    <n v="120.07250000000001"/>
    <s v="14.7839, 120.0725"/>
    <m/>
    <m/>
    <m/>
    <m/>
    <m/>
    <m/>
    <x v="5"/>
    <s v="James Wilson T.  Peña"/>
    <m/>
    <s v="Diozelle L. Cabalar"/>
    <m/>
    <m/>
    <m/>
    <m/>
    <m/>
    <m/>
    <s v=""/>
    <s v=""/>
    <s v=""/>
    <s v=""/>
    <m/>
    <m/>
    <m/>
    <m/>
    <m/>
    <m/>
  </r>
  <r>
    <x v="3"/>
    <s v="CABANATUAN CITY, NUEVA ECIJA"/>
    <s v="CORNER M. DE LEON AVENUE AND, 2ND ST, LUNGSOD NG CABANATUAN, NUEVA ECIJA"/>
    <m/>
    <d v="2023-01-01T00:00:00"/>
    <s v="MBA"/>
    <n v="15.489800000000001"/>
    <n v="120.9936"/>
    <s v="15.4898, 120.9936"/>
    <m/>
    <m/>
    <m/>
    <m/>
    <m/>
    <m/>
    <x v="0"/>
    <s v="Christine Ann V. Ramos"/>
    <m/>
    <s v="Zosimo P. Suyat"/>
    <m/>
    <m/>
    <m/>
    <m/>
    <m/>
    <m/>
    <s v=""/>
    <s v=""/>
    <s v=""/>
    <s v="a"/>
    <m/>
    <m/>
    <m/>
    <m/>
    <m/>
    <m/>
  </r>
  <r>
    <x v="3"/>
    <s v="PALAYAN CITY, NUEVA ECIJA"/>
    <s v="PALAYAN CITY HALL, 3132 NUEVA ECIJA - AURORA RD, PALAYAN CITY, NUEVA ECIJA"/>
    <m/>
    <n v="2023"/>
    <s v="MBA"/>
    <n v="15.562150000000001"/>
    <n v="121.09815"/>
    <s v="15.56215, 121.09815"/>
    <m/>
    <m/>
    <m/>
    <m/>
    <m/>
    <m/>
    <x v="7"/>
    <s v="Hosannah R. Sabio"/>
    <m/>
    <s v="Zosimo P. Suyat"/>
    <s v="R3-2025-031335"/>
    <d v="2025-09-16T00:00:00"/>
    <m/>
    <m/>
    <m/>
    <m/>
    <s v=""/>
    <s v=""/>
    <s v=""/>
    <s v=""/>
    <m/>
    <m/>
    <m/>
    <m/>
    <m/>
    <m/>
  </r>
  <r>
    <x v="3"/>
    <s v="SAN JOSE CITY, NUEVA ECIJA"/>
    <s v="SAN JOSE CITY HALL, CARDENAS STREET, PAN-PHILIPPINE HIGHWAY, SAN JOSE CITY, 3121 NUEVA ECIJA"/>
    <m/>
    <d v="2022-12-01T00:00:00"/>
    <s v="MBA"/>
    <n v="15.76052"/>
    <n v="120.95547999999999"/>
    <s v="15.76052, 120.95548"/>
    <m/>
    <m/>
    <m/>
    <m/>
    <m/>
    <m/>
    <x v="1"/>
    <s v="Hosannah R. Sabio"/>
    <m/>
    <s v="Zosimo P. Suyat"/>
    <s v="R3-2025-035200"/>
    <d v="2025-10-16T00:00:00"/>
    <m/>
    <m/>
    <m/>
    <m/>
    <s v=""/>
    <s v=""/>
    <s v=""/>
    <s v=""/>
    <m/>
    <m/>
    <m/>
    <m/>
    <m/>
    <m/>
  </r>
  <r>
    <x v="3"/>
    <s v="SCIENCE CITY OF MUÑOZ, NUEVA ECIJA"/>
    <s v="CITY HALL PARKING AREA, 3119 TOBIAS ST, SCIENCE CITY OF MUÑOZ, NUEVA ECIJA"/>
    <s v="Ospital ng Lungsod Agham ng Munoz"/>
    <d v="2023-05-08T00:00:00"/>
    <s v="MBA"/>
    <n v="15.76113"/>
    <n v="120.89765199999999"/>
    <s v="15.76113, 120.897652"/>
    <m/>
    <m/>
    <m/>
    <m/>
    <m/>
    <m/>
    <x v="4"/>
    <s v="Aser A. Inocencio, Jr."/>
    <m/>
    <s v="Zosimo P. Suyat"/>
    <s v="R3-2025-031589"/>
    <d v="2025-09-16T00:00:00"/>
    <m/>
    <m/>
    <m/>
    <m/>
    <s v=""/>
    <s v=""/>
    <s v=""/>
    <s v=""/>
    <m/>
    <m/>
    <m/>
    <m/>
    <m/>
    <m/>
  </r>
  <r>
    <x v="4"/>
    <s v="SAN FERNANDO CITY, PAMPANGA (UNIT 1)"/>
    <s v="GEN. HIZON EXTENSION, CORNER CONSUNJI STREET, SAN FERNANDO, PAMPANGA"/>
    <m/>
    <d v="2023-12-23T00:00:00"/>
    <s v="MBA"/>
    <n v="15.082079999999999"/>
    <n v="120.61199999999999"/>
    <s v="15.08195172, 120.6118654"/>
    <m/>
    <m/>
    <m/>
    <m/>
    <m/>
    <m/>
    <x v="8"/>
    <s v="Elyza A. Evilla"/>
    <m/>
    <s v="Yves Yshmael M. Balagtas"/>
    <s v="R3-2025-030718"/>
    <d v="2025-09-09T00:00:00"/>
    <m/>
    <m/>
    <m/>
    <m/>
    <s v=""/>
    <s v=""/>
    <s v=""/>
    <s v=""/>
    <m/>
    <m/>
    <m/>
    <m/>
    <m/>
    <m/>
  </r>
  <r>
    <x v="4"/>
    <s v="SAN FERNANDO CITY, PAMPANGA (UNIT 2)"/>
    <s v="GEN. HIZON EXTENSION, CORNER CONSUNJI STREET, SAN FERNANDO, PAMPANGA"/>
    <m/>
    <d v="2023-12-23T00:00:00"/>
    <s v="MBA"/>
    <n v="15.082079999999999"/>
    <n v="120.61199999999999"/>
    <s v="15.08195172, 120.6118654"/>
    <m/>
    <m/>
    <m/>
    <m/>
    <m/>
    <m/>
    <x v="8"/>
    <s v="Elyza A. Evilla"/>
    <m/>
    <s v="Yves Yshmael M. Balagtas"/>
    <s v="R3-2025-031526"/>
    <d v="2025-09-09T00:00:00"/>
    <m/>
    <m/>
    <m/>
    <m/>
    <s v=""/>
    <s v=""/>
    <s v=""/>
    <s v=""/>
    <m/>
    <m/>
    <m/>
    <m/>
    <m/>
    <m/>
  </r>
  <r>
    <x v="4"/>
    <s v="ANGELES CITY, PAMPANGA"/>
    <s v="VISITACION ST., PAMPANG, ANGELES CITY, PAMPANGA"/>
    <s v="Ona Hospital, Angeles City, Pampanga"/>
    <s v="N/A"/>
    <s v="MBA"/>
    <n v="15.14598"/>
    <n v="120.58114"/>
    <s v="15.14598, 120.58114"/>
    <m/>
    <m/>
    <m/>
    <m/>
    <m/>
    <m/>
    <x v="9"/>
    <s v="Elyza A. Evilla"/>
    <m/>
    <s v="Yves Yshmael M. Balagtas"/>
    <s v="R3-2025-027283"/>
    <d v="2025-08-07T00:00:00"/>
    <m/>
    <m/>
    <m/>
    <m/>
    <s v=""/>
    <s v=""/>
    <s v=""/>
    <s v=""/>
    <m/>
    <m/>
    <m/>
    <m/>
    <m/>
    <m/>
  </r>
  <r>
    <x v="4"/>
    <s v="PORAC, PAMPANGA (Province of Pampanga)"/>
    <s v="CAPITOL BLVD, SAN FERNANDO, 2000 PAMPANGA"/>
    <m/>
    <d v="2023-12-23T00:00:00"/>
    <s v="MBA"/>
    <n v="15.06912"/>
    <n v="120.57165999999999"/>
    <s v="15.06912, 120.57166"/>
    <m/>
    <m/>
    <m/>
    <m/>
    <m/>
    <m/>
    <x v="6"/>
    <s v="Elyza A. Evilla"/>
    <m/>
    <s v="Yves Yshmael M. Balagtas"/>
    <s v="R3-2025-033315"/>
    <d v="2025-10-03T00:00:00"/>
    <m/>
    <m/>
    <m/>
    <m/>
    <s v=""/>
    <s v=""/>
    <s v=""/>
    <s v=""/>
    <m/>
    <m/>
    <m/>
    <m/>
    <m/>
    <m/>
  </r>
  <r>
    <x v="5"/>
    <s v="TARLAC CITY"/>
    <s v="PROVINCIAL CAPITOL, MACABULOS DRIVE, 2300, TARLAC CITY, TARLAC"/>
    <s v="Tarlac, City"/>
    <d v="2022-12-29T00:00:00"/>
    <s v="MBA"/>
    <n v="15.471690000000001"/>
    <n v="120.58632"/>
    <s v="15.47169, 120.58632"/>
    <m/>
    <m/>
    <m/>
    <m/>
    <m/>
    <m/>
    <x v="2"/>
    <s v="Joshua A. Capones"/>
    <m/>
    <s v="Jan Emerson C. Gonzales"/>
    <s v="R3-2025-034985"/>
    <d v="2025-10-15T00:00:00"/>
    <m/>
    <m/>
    <m/>
    <m/>
    <s v=""/>
    <s v=""/>
    <s v=""/>
    <s v=""/>
    <m/>
    <m/>
    <m/>
    <m/>
    <m/>
    <m/>
  </r>
  <r>
    <x v="5"/>
    <s v="TARLAC CITY"/>
    <s v="PROVINCIAL CAPITOL, MACABULOS DRIVE, 2300, TARLAC CITY, TARLAC"/>
    <s v="Tarlac, City"/>
    <d v="2022-12-29T00:00:00"/>
    <s v="MBA"/>
    <n v="15.471690000000001"/>
    <n v="120.58632"/>
    <s v="15.47169, 120.58632"/>
    <m/>
    <m/>
    <m/>
    <m/>
    <m/>
    <m/>
    <x v="3"/>
    <s v="Joshua A. Capones"/>
    <m/>
    <s v="Jan Emerson  C. Gonzales"/>
    <s v="R3-2025-034986"/>
    <d v="2025-10-15T00:00:00"/>
    <m/>
    <m/>
    <m/>
    <m/>
    <s v=""/>
    <s v=""/>
    <s v=""/>
    <s v=""/>
    <m/>
    <m/>
    <m/>
    <m/>
    <m/>
    <m/>
  </r>
  <r>
    <x v="6"/>
    <s v="IBA, ZAMABALES"/>
    <s v="ZAMBALES PROVINCIAL CAPITOL, GARCIA ST, IBA, ZAMBALES"/>
    <m/>
    <d v="2023-01-01T00:00:00"/>
    <s v="OUTSIDE MBA"/>
    <n v="15.3133"/>
    <n v="119.99890000000001"/>
    <s v="15.3133, 119.9989"/>
    <m/>
    <m/>
    <m/>
    <m/>
    <m/>
    <m/>
    <x v="10"/>
    <s v="Larizze Santos"/>
    <m/>
    <s v="Jun D. Guillermo"/>
    <s v=" R3-2025-026782"/>
    <d v="2025-08-05T00:00:00"/>
    <m/>
    <m/>
    <m/>
    <m/>
    <s v=""/>
    <s v=""/>
    <s v=""/>
    <s v=""/>
    <m/>
    <m/>
    <m/>
    <m/>
    <m/>
    <m/>
  </r>
  <r>
    <x v="6"/>
    <s v="IBA, ZAMABALES"/>
    <s v="ZAMBALES PROVINCIAL CAPITOL, GARCIA ST, IBA, ZAMBALES"/>
    <m/>
    <d v="2023-01-01T00:00:00"/>
    <s v="OUTSIDE MBA"/>
    <n v="15.3133"/>
    <n v="119.99890000000001"/>
    <s v="15.3133, 119.9989"/>
    <m/>
    <m/>
    <m/>
    <m/>
    <m/>
    <m/>
    <x v="10"/>
    <s v="Larizze Santos"/>
    <m/>
    <s v="Jun D. Guillermo"/>
    <s v="R3-2025-026780"/>
    <d v="2025-08-05T00:00:00"/>
    <m/>
    <m/>
    <m/>
    <m/>
    <s v=""/>
    <s v=""/>
    <s v=""/>
    <s v=""/>
    <m/>
    <m/>
    <m/>
    <m/>
    <m/>
    <m/>
  </r>
  <r>
    <x v="6"/>
    <s v="OLONGAPO CITY, ZAMBALES"/>
    <s v="OLONGAPO CITY HALL, ARTHUR STREET, OLONGAPO, 2200 ZAMBALES"/>
    <m/>
    <d v="2023-01-01T00:00:00"/>
    <s v="OUTSIDE MBA"/>
    <n v="14.845599999999999"/>
    <n v="120.3292"/>
    <s v="14.8456, 120.3292"/>
    <m/>
    <m/>
    <m/>
    <m/>
    <m/>
    <m/>
    <x v="9"/>
    <s v="VACANT"/>
    <m/>
    <s v="Jun D. Guillermo"/>
    <s v="R3-2025-034216"/>
    <d v="2025-10-07T00:00:00"/>
    <m/>
    <m/>
    <m/>
    <m/>
    <s v=""/>
    <s v=""/>
    <s v=""/>
    <s v=""/>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x v="0"/>
    <s v="Brgy. Panginay"/>
    <s v="Balagtas"/>
    <s v="MBA"/>
    <n v="14.809200000000001"/>
    <n v="120.89700000000001"/>
    <s v="14.8092,120.897"/>
    <d v="2022-12-19T00:00:00"/>
    <x v="0"/>
    <s v="James Wilson T. Peña"/>
    <m/>
    <s v="Diozelle L. Cabalar"/>
    <m/>
    <m/>
    <m/>
    <m/>
    <m/>
    <m/>
    <s v=""/>
    <s v=""/>
    <s v=""/>
    <s v=""/>
    <m/>
    <s v="OPERATIONAL"/>
    <m/>
    <m/>
    <m/>
    <m/>
    <m/>
    <m/>
    <m/>
    <m/>
    <m/>
  </r>
  <r>
    <x v="0"/>
    <s v="Brgy. Wawa"/>
    <s v="Balagtas"/>
    <s v="MBA"/>
    <n v="14.816800000000001"/>
    <n v="120.9085"/>
    <s v="14.8168,120.9085"/>
    <d v="2022-12-19T00:00:00"/>
    <x v="1"/>
    <s v="Jasmine Marie N. Siapco"/>
    <m/>
    <s v="Diozelle L. Cabalar"/>
    <m/>
    <m/>
    <m/>
    <m/>
    <m/>
    <m/>
    <s v=""/>
    <s v=""/>
    <s v=""/>
    <s v=""/>
    <m/>
    <s v="NON-OPERATIONAL"/>
    <m/>
    <m/>
    <m/>
    <m/>
    <m/>
    <m/>
    <m/>
    <m/>
    <m/>
  </r>
  <r>
    <x v="0"/>
    <s v="Brgy. Wawa"/>
    <s v="Balagtas"/>
    <s v="MBA"/>
    <n v="14.8162"/>
    <n v="120.908"/>
    <s v="14.8162,120.908"/>
    <d v="2022-12-19T00:00:00"/>
    <x v="1"/>
    <s v="Jasmine Marie N. Siapco"/>
    <m/>
    <s v="Diozelle L. Cabalar"/>
    <m/>
    <m/>
    <m/>
    <m/>
    <m/>
    <m/>
    <s v=""/>
    <s v=""/>
    <s v=""/>
    <s v=""/>
    <m/>
    <s v="NON-OPERATIONAL"/>
    <m/>
    <m/>
    <m/>
    <m/>
    <m/>
    <m/>
    <m/>
    <m/>
    <m/>
  </r>
  <r>
    <x v="0"/>
    <s v="Brgy. Biniang 2nd"/>
    <s v="Bocaue"/>
    <s v="MBA"/>
    <n v="14.792327999999999"/>
    <n v="120.929779"/>
    <s v="14.792328,120.929779"/>
    <d v="2022-12-06T00:00:00"/>
    <x v="2"/>
    <s v="Jasmine Marie N. Siapco"/>
    <m/>
    <s v="Diozelle L. Cabalar"/>
    <m/>
    <m/>
    <m/>
    <m/>
    <m/>
    <m/>
    <s v=""/>
    <s v=""/>
    <s v=""/>
    <s v=""/>
    <m/>
    <m/>
    <m/>
    <m/>
    <m/>
    <m/>
    <m/>
    <m/>
    <m/>
    <m/>
    <m/>
  </r>
  <r>
    <x v="0"/>
    <s v="Brgy. Biniang 2nd"/>
    <s v="Bocaue"/>
    <s v="MBA"/>
    <n v="14.792327999999999"/>
    <n v="120.929779"/>
    <s v="14.792328,120.929779"/>
    <d v="2022-12-06T00:00:00"/>
    <x v="2"/>
    <s v="Jasmine Marie N. Siapco"/>
    <m/>
    <s v="Diozelle L. Cabalar"/>
    <m/>
    <m/>
    <m/>
    <m/>
    <m/>
    <m/>
    <s v=""/>
    <s v=""/>
    <s v=""/>
    <s v=""/>
    <m/>
    <m/>
    <m/>
    <m/>
    <m/>
    <m/>
    <m/>
    <m/>
    <m/>
    <m/>
    <m/>
  </r>
  <r>
    <x v="0"/>
    <s v="Brgy. Biniang 1st"/>
    <s v="Bocaue"/>
    <s v="MBA"/>
    <n v="14.7898"/>
    <n v="120.9311"/>
    <s v="14.789800, 120.931100"/>
    <d v="2022-12-06T00:00:00"/>
    <x v="2"/>
    <s v="Jasmine Marie N. Siapco"/>
    <m/>
    <s v="Diozelle L. Cabalar"/>
    <m/>
    <m/>
    <m/>
    <m/>
    <m/>
    <m/>
    <s v=""/>
    <s v=""/>
    <s v=""/>
    <s v=""/>
    <m/>
    <m/>
    <m/>
    <m/>
    <m/>
    <m/>
    <m/>
    <m/>
    <m/>
    <m/>
    <m/>
  </r>
  <r>
    <x v="0"/>
    <s v="Brgy. Biniang 1st"/>
    <s v="Bocaue"/>
    <s v="MBA"/>
    <n v="14.792327999999999"/>
    <n v="120.92997010000001"/>
    <s v="14.792328,120.9299701"/>
    <d v="2022-12-06T00:00:00"/>
    <x v="2"/>
    <s v="Jasmine Marie N. Siapco"/>
    <m/>
    <s v="Diozelle L. Cabalar"/>
    <m/>
    <m/>
    <m/>
    <m/>
    <m/>
    <m/>
    <s v=""/>
    <s v=""/>
    <s v=""/>
    <s v=""/>
    <m/>
    <m/>
    <m/>
    <m/>
    <m/>
    <m/>
    <m/>
    <m/>
    <m/>
    <m/>
    <m/>
  </r>
  <r>
    <x v="0"/>
    <s v="Brgy. Bunlo"/>
    <s v="Bocaue"/>
    <s v="MBA"/>
    <n v="14.787118599999999"/>
    <n v="120.9293942"/>
    <s v="14.7871186,120.9293942"/>
    <d v="2022-12-06T00:00:00"/>
    <x v="3"/>
    <s v="Jasmine Marie N. Siapco"/>
    <m/>
    <s v="Diozelle L. Cabalar"/>
    <m/>
    <m/>
    <m/>
    <m/>
    <m/>
    <m/>
    <s v=""/>
    <s v=""/>
    <s v=""/>
    <s v=""/>
    <m/>
    <m/>
    <m/>
    <m/>
    <m/>
    <m/>
    <m/>
    <m/>
    <m/>
    <m/>
    <m/>
  </r>
  <r>
    <x v="0"/>
    <s v="Brgy. Malamig"/>
    <s v="Bustos"/>
    <s v="MBA"/>
    <n v="14.9392"/>
    <n v="120.9273"/>
    <s v="14.8426,121.0019"/>
    <d v="2022-12-06T00:00:00"/>
    <x v="1"/>
    <s v="Ronaldo P. Roque, Jr."/>
    <m/>
    <s v="Diozelle L. Cabalar"/>
    <m/>
    <m/>
    <m/>
    <m/>
    <m/>
    <m/>
    <s v=""/>
    <s v=""/>
    <s v=""/>
    <s v=""/>
    <m/>
    <s v="OPERATIONAL"/>
    <m/>
    <m/>
    <m/>
    <m/>
    <m/>
    <m/>
    <m/>
    <m/>
    <m/>
  </r>
  <r>
    <x v="0"/>
    <s v="Brgy. Talampas"/>
    <s v="Bustos"/>
    <s v="MBA"/>
    <n v="14.9322"/>
    <n v="120.9075"/>
    <s v="14.9322,120.9075"/>
    <d v="2022-12-06T00:00:00"/>
    <x v="1"/>
    <s v="Ronaldo P. Roque, Jr."/>
    <m/>
    <s v="Diozelle L. Cabalar"/>
    <m/>
    <m/>
    <m/>
    <m/>
    <m/>
    <m/>
    <s v=""/>
    <s v=""/>
    <s v=""/>
    <s v=""/>
    <m/>
    <s v="OPERATIONAL"/>
    <m/>
    <m/>
    <m/>
    <m/>
    <m/>
    <m/>
    <m/>
    <m/>
    <m/>
  </r>
  <r>
    <x v="0"/>
    <s v="Brgy. Tibagan"/>
    <s v="Bustos"/>
    <s v="MBA"/>
    <n v="14.955105379999999"/>
    <n v="120.9455292"/>
    <s v="14.95510538,120.9455292"/>
    <d v="2022-12-06T00:00:00"/>
    <x v="1"/>
    <s v="Ronaldo P. Roque, Jr."/>
    <m/>
    <s v="Diozelle L. Cabalar"/>
    <m/>
    <m/>
    <m/>
    <m/>
    <m/>
    <m/>
    <s v=""/>
    <s v=""/>
    <s v=""/>
    <s v=""/>
    <m/>
    <s v="OPERATIONAL"/>
    <m/>
    <m/>
    <m/>
    <m/>
    <m/>
    <m/>
    <m/>
    <m/>
    <m/>
  </r>
  <r>
    <x v="0"/>
    <s v="Brgy. Meyto"/>
    <s v="Calumpit"/>
    <s v="MBA"/>
    <n v="14.88334764"/>
    <n v="120.73005412000001"/>
    <s v="14.88334764,120.73005412"/>
    <d v="2022-12-20T00:00:00"/>
    <x v="0"/>
    <s v="Ronaldo P. Roque, Jr."/>
    <m/>
    <s v="Diozelle L. Cabalar"/>
    <m/>
    <m/>
    <m/>
    <m/>
    <m/>
    <m/>
    <s v=""/>
    <s v=""/>
    <s v=""/>
    <s v=""/>
    <m/>
    <m/>
    <m/>
    <m/>
    <m/>
    <m/>
    <m/>
    <m/>
    <m/>
    <m/>
    <m/>
  </r>
  <r>
    <x v="0"/>
    <s v="Brgy. Meyto"/>
    <s v="Calumpit"/>
    <s v="MBA"/>
    <n v="14.88334764"/>
    <n v="120.73005412000001"/>
    <s v="14.88334764,120.73005412"/>
    <d v="2022-12-20T00:00:00"/>
    <x v="0"/>
    <s v="Ronaldo P. Roque, Jr."/>
    <m/>
    <s v="Diozelle L. Cabalar"/>
    <m/>
    <m/>
    <m/>
    <m/>
    <m/>
    <m/>
    <s v=""/>
    <s v=""/>
    <s v=""/>
    <s v=""/>
    <m/>
    <m/>
    <m/>
    <m/>
    <m/>
    <m/>
    <m/>
    <m/>
    <m/>
    <m/>
    <m/>
  </r>
  <r>
    <x v="0"/>
    <s v="Brgy. Sto. Nino"/>
    <s v="Calumpit"/>
    <s v="MBA"/>
    <n v="14.904821999999999"/>
    <n v="120.775499"/>
    <s v="14.904822 120.775499"/>
    <d v="2022-12-20T00:00:00"/>
    <x v="0"/>
    <s v="Ronaldo P. Roque, Jr."/>
    <m/>
    <s v="Diozelle L. Cabalar"/>
    <m/>
    <m/>
    <m/>
    <m/>
    <m/>
    <m/>
    <s v=""/>
    <s v=""/>
    <s v=""/>
    <s v=""/>
    <m/>
    <m/>
    <m/>
    <m/>
    <m/>
    <m/>
    <m/>
    <m/>
    <m/>
    <m/>
    <m/>
  </r>
  <r>
    <x v="0"/>
    <s v="Brgy. Sto. Nino"/>
    <s v="Calumpit"/>
    <s v="MBA"/>
    <n v="14.904821999999999"/>
    <n v="120.775499"/>
    <s v="14.904822 120.775499"/>
    <d v="2022-12-20T00:00:00"/>
    <x v="0"/>
    <s v="Ronaldo P. Roque, Jr."/>
    <m/>
    <s v="Diozelle L. Cabalar"/>
    <m/>
    <m/>
    <m/>
    <m/>
    <m/>
    <m/>
    <s v=""/>
    <s v=""/>
    <s v=""/>
    <s v=""/>
    <m/>
    <m/>
    <m/>
    <m/>
    <m/>
    <m/>
    <m/>
    <m/>
    <m/>
    <m/>
    <m/>
  </r>
  <r>
    <x v="0"/>
    <s v="Brgy. Gatbuca"/>
    <s v="Calumpit"/>
    <s v="MBA"/>
    <n v="14.920400539999999"/>
    <n v="120.76576738"/>
    <s v="14.92040054, 120.76576738"/>
    <d v="2022-12-20T00:00:00"/>
    <x v="3"/>
    <s v="Ronaldo P. Roque, Jr."/>
    <m/>
    <s v="Diozelle L. Cabalar"/>
    <m/>
    <m/>
    <m/>
    <m/>
    <m/>
    <m/>
    <s v=""/>
    <s v=""/>
    <s v=""/>
    <s v=""/>
    <m/>
    <m/>
    <m/>
    <m/>
    <m/>
    <m/>
    <m/>
    <m/>
    <m/>
    <m/>
    <m/>
  </r>
  <r>
    <x v="0"/>
    <s v="Brgy. Poblacion"/>
    <s v="Guiguinto"/>
    <s v="MBA"/>
    <n v="14.828137"/>
    <n v="120.876667"/>
    <s v="14.828137,120.876667"/>
    <d v="2022-12-20T00:00:00"/>
    <x v="0"/>
    <s v="Jasmine Marie N. Siapco"/>
    <m/>
    <s v="Diozelle L. Cabalar"/>
    <m/>
    <m/>
    <m/>
    <m/>
    <m/>
    <m/>
    <s v=""/>
    <s v=""/>
    <s v=""/>
    <s v=""/>
    <m/>
    <m/>
    <m/>
    <m/>
    <m/>
    <m/>
    <m/>
    <m/>
    <m/>
    <m/>
    <m/>
  </r>
  <r>
    <x v="0"/>
    <s v="Brgy. Poblacion"/>
    <s v="Guiguinto"/>
    <s v="MBA"/>
    <n v="14.828137"/>
    <n v="120.876667"/>
    <s v="14.828137,120.876667"/>
    <d v="2022-12-20T00:00:00"/>
    <x v="0"/>
    <s v="Jasmine Marie N. Siapco"/>
    <m/>
    <s v="Diozelle L. Cabalar"/>
    <m/>
    <m/>
    <m/>
    <m/>
    <m/>
    <m/>
    <s v=""/>
    <s v=""/>
    <s v=""/>
    <s v=""/>
    <m/>
    <m/>
    <m/>
    <m/>
    <m/>
    <m/>
    <m/>
    <m/>
    <m/>
    <m/>
    <m/>
  </r>
  <r>
    <x v="0"/>
    <s v="Brgy. Sta. Rita"/>
    <s v="Guiguinto"/>
    <s v="MBA"/>
    <n v="14.8485"/>
    <n v="120.85760000000001"/>
    <s v="14.8485120.8576"/>
    <d v="2022-12-20T00:00:00"/>
    <x v="0"/>
    <s v="Jasmine Marie N. Siapco"/>
    <m/>
    <s v="Diozelle L. Cabalar"/>
    <m/>
    <m/>
    <m/>
    <m/>
    <m/>
    <m/>
    <s v=""/>
    <s v=""/>
    <s v=""/>
    <s v=""/>
    <m/>
    <s v="OPERATIONAL"/>
    <m/>
    <m/>
    <m/>
    <m/>
    <m/>
    <m/>
    <m/>
    <m/>
    <m/>
  </r>
  <r>
    <x v="0"/>
    <s v="Brgy. Sta. Rita"/>
    <s v="Guiguinto"/>
    <s v="MBA"/>
    <n v="14.851296"/>
    <n v="120.85972599999999"/>
    <s v="14.851296,120.859726"/>
    <d v="2022-12-20T00:00:00"/>
    <x v="0"/>
    <s v="Jasmine Marie N. Siapco"/>
    <m/>
    <s v="Diozelle L. Cabalar"/>
    <m/>
    <m/>
    <m/>
    <m/>
    <m/>
    <m/>
    <s v=""/>
    <s v=""/>
    <s v=""/>
    <s v=""/>
    <m/>
    <m/>
    <m/>
    <m/>
    <m/>
    <m/>
    <m/>
    <m/>
    <m/>
    <m/>
    <m/>
  </r>
  <r>
    <x v="0"/>
    <s v="Brgy. Malis"/>
    <s v="Guiguinto"/>
    <s v="MBA"/>
    <n v="14.839764000000001"/>
    <n v="120.880842"/>
    <s v="14.839764,120.880842"/>
    <d v="2022-12-20T00:00:00"/>
    <x v="3"/>
    <s v="Jasmine Marie N. Siapco"/>
    <m/>
    <s v="Diozelle L. Cabalar"/>
    <m/>
    <m/>
    <m/>
    <m/>
    <m/>
    <m/>
    <s v=""/>
    <s v=""/>
    <s v=""/>
    <s v=""/>
    <m/>
    <m/>
    <m/>
    <m/>
    <m/>
    <m/>
    <m/>
    <m/>
    <m/>
    <m/>
    <m/>
  </r>
  <r>
    <x v="0"/>
    <s v="Brgy. Malis"/>
    <s v="Guiguinto"/>
    <s v="MBA"/>
    <n v="14.839764000000001"/>
    <n v="120.880842"/>
    <s v="14.839764,120.880842"/>
    <d v="2022-12-20T00:00:00"/>
    <x v="3"/>
    <s v="Jasmine Marie N. Siapco"/>
    <m/>
    <s v="Diozelle L. Cabalar"/>
    <m/>
    <m/>
    <m/>
    <m/>
    <m/>
    <m/>
    <s v=""/>
    <s v=""/>
    <s v=""/>
    <s v=""/>
    <m/>
    <m/>
    <m/>
    <m/>
    <m/>
    <m/>
    <m/>
    <m/>
    <m/>
    <m/>
    <m/>
  </r>
  <r>
    <x v="0"/>
    <s v="Brgy. Tabang"/>
    <s v="Guiguinto"/>
    <s v="MBA"/>
    <n v="14.8358337"/>
    <n v="120.8629526"/>
    <s v="14.8358337 120.8629526"/>
    <d v="2022-12-20T00:00:00"/>
    <x v="4"/>
    <s v="Jasmine Marie N. Siapco"/>
    <m/>
    <s v="Diozelle L. Cabalar"/>
    <m/>
    <m/>
    <m/>
    <m/>
    <m/>
    <m/>
    <s v=""/>
    <s v=""/>
    <s v=""/>
    <s v=""/>
    <m/>
    <m/>
    <m/>
    <m/>
    <m/>
    <m/>
    <m/>
    <m/>
    <m/>
    <m/>
    <m/>
  </r>
  <r>
    <x v="0"/>
    <s v="Brgy. Mercado"/>
    <s v="Hagonoy"/>
    <s v="MBA"/>
    <n v="14.8232"/>
    <n v="120.7257"/>
    <s v="14.8232,120.7257"/>
    <d v="2022-12-20T00:00:00"/>
    <x v="4"/>
    <s v="Ronaldo P. Roque, Jr."/>
    <m/>
    <s v="Diozelle L. Cabalar"/>
    <m/>
    <m/>
    <m/>
    <m/>
    <m/>
    <m/>
    <s v=""/>
    <s v=""/>
    <s v=""/>
    <s v=""/>
    <m/>
    <s v="OPERATIONAL"/>
    <m/>
    <m/>
    <m/>
    <m/>
    <m/>
    <m/>
    <m/>
    <m/>
    <m/>
  </r>
  <r>
    <x v="0"/>
    <s v="Brgy. Iba"/>
    <s v="Hagonoy"/>
    <s v="MBA"/>
    <n v="14.867699999999999"/>
    <n v="120.76690000000001"/>
    <s v="14.8677,120.7669"/>
    <d v="2022-12-20T00:00:00"/>
    <x v="2"/>
    <s v="Ronaldo P. Roque, Jr."/>
    <m/>
    <s v="Diozelle L. Cabalar"/>
    <m/>
    <m/>
    <m/>
    <m/>
    <m/>
    <m/>
    <s v=""/>
    <s v=""/>
    <s v=""/>
    <s v=""/>
    <m/>
    <s v="OPERATIONAL"/>
    <m/>
    <m/>
    <m/>
    <m/>
    <m/>
    <m/>
    <m/>
    <m/>
    <m/>
  </r>
  <r>
    <x v="0"/>
    <s v="Brgy. Iba"/>
    <s v="Hagonoy"/>
    <s v="MBA"/>
    <n v="14.867587"/>
    <n v="120.767043"/>
    <s v="14.867587,120.767043"/>
    <d v="2022-12-20T00:00:00"/>
    <x v="2"/>
    <s v="Ronaldo P. Roque, Jr."/>
    <m/>
    <s v="Diozelle L. Cabalar"/>
    <m/>
    <m/>
    <m/>
    <m/>
    <m/>
    <m/>
    <s v=""/>
    <s v=""/>
    <s v=""/>
    <s v=""/>
    <m/>
    <s v="OPERATIONAL"/>
    <m/>
    <m/>
    <m/>
    <m/>
    <m/>
    <m/>
    <m/>
    <m/>
    <m/>
  </r>
  <r>
    <x v="0"/>
    <s v="Brgy. Santiago"/>
    <s v="Malolos"/>
    <s v="MBA"/>
    <n v="14.842983329999999"/>
    <n v="120.80909665999999"/>
    <s v="14.84298333,120.80909666"/>
    <d v="2022-12-06T00:00:00"/>
    <x v="5"/>
    <s v="Ronaldo P. Roque, Jr."/>
    <m/>
    <s v="Diozelle L. Cabalar"/>
    <m/>
    <m/>
    <m/>
    <m/>
    <m/>
    <m/>
    <s v=""/>
    <s v=""/>
    <s v=""/>
    <s v=""/>
    <m/>
    <s v="OPERATIONAL"/>
    <m/>
    <m/>
    <m/>
    <m/>
    <m/>
    <m/>
    <m/>
    <m/>
    <m/>
  </r>
  <r>
    <x v="0"/>
    <s v="Brgy. Caniogan"/>
    <s v="Malolos"/>
    <s v="MBA"/>
    <n v="14.84277166"/>
    <n v="120.80556833"/>
    <s v="14.84277166,120.80556833"/>
    <d v="2022-12-06T00:00:00"/>
    <x v="5"/>
    <s v="Ronaldo P. Roque, Jr."/>
    <m/>
    <s v="Diozelle L. Cabalar"/>
    <m/>
    <m/>
    <m/>
    <m/>
    <m/>
    <m/>
    <s v=""/>
    <s v=""/>
    <s v=""/>
    <s v=""/>
    <m/>
    <m/>
    <m/>
    <m/>
    <m/>
    <m/>
    <m/>
    <m/>
    <m/>
    <m/>
    <m/>
  </r>
  <r>
    <x v="0"/>
    <s v="Brgy. San Gabriel"/>
    <s v="Malolos"/>
    <s v="MBA"/>
    <n v="14.85140833"/>
    <n v="120.81575166"/>
    <s v="14.85140833,120.81575166"/>
    <d v="2022-12-06T00:00:00"/>
    <x v="5"/>
    <s v="Ronaldo P. Roque, Jr."/>
    <m/>
    <s v="Diozelle L. Cabalar"/>
    <m/>
    <m/>
    <m/>
    <m/>
    <m/>
    <m/>
    <s v=""/>
    <s v=""/>
    <s v=""/>
    <s v=""/>
    <m/>
    <m/>
    <m/>
    <m/>
    <m/>
    <m/>
    <m/>
    <m/>
    <m/>
    <m/>
    <m/>
  </r>
  <r>
    <x v="0"/>
    <s v="Brgy. Ligas"/>
    <s v="Malolos"/>
    <s v="MBA"/>
    <n v="14.86311167"/>
    <n v="120.89536833"/>
    <s v="14.863111666,120.89536833"/>
    <d v="2022-12-06T00:00:00"/>
    <x v="5"/>
    <s v="Ronaldo P. Roque, Jr."/>
    <m/>
    <s v="Diozelle L. Cabalar"/>
    <m/>
    <m/>
    <m/>
    <m/>
    <m/>
    <m/>
    <s v=""/>
    <s v=""/>
    <s v=""/>
    <s v=""/>
    <m/>
    <s v="OPERATIONAL"/>
    <m/>
    <m/>
    <m/>
    <m/>
    <m/>
    <m/>
    <m/>
    <m/>
    <m/>
  </r>
  <r>
    <x v="0"/>
    <s v="Brgy. San Vicente"/>
    <s v="Malolos"/>
    <s v="MBA"/>
    <n v="14.84464"/>
    <n v="120.8154866"/>
    <s v="14.84464,120.8154866"/>
    <d v="2022-12-06T00:00:00"/>
    <x v="5"/>
    <s v="Ronaldo P. Roque, Jr."/>
    <m/>
    <s v="Diozelle L. Cabalar"/>
    <m/>
    <m/>
    <m/>
    <m/>
    <m/>
    <m/>
    <s v=""/>
    <s v=""/>
    <s v=""/>
    <s v=""/>
    <m/>
    <s v="NON-OPERATIONAL"/>
    <m/>
    <m/>
    <m/>
    <m/>
    <m/>
    <m/>
    <m/>
    <m/>
    <m/>
  </r>
  <r>
    <x v="0"/>
    <s v="Brgy. Caingin"/>
    <s v="Malolos"/>
    <s v="MBA"/>
    <n v="14.84277166"/>
    <n v="120.80556833"/>
    <s v="14.84277166,120.80556833"/>
    <d v="2022-12-06T00:00:00"/>
    <x v="5"/>
    <s v="Ronaldo P. Roque, Jr."/>
    <m/>
    <s v="Diozelle L. Cabalar"/>
    <m/>
    <m/>
    <m/>
    <m/>
    <m/>
    <m/>
    <s v=""/>
    <s v=""/>
    <s v=""/>
    <s v=""/>
    <m/>
    <s v="OPERATIONAL"/>
    <m/>
    <m/>
    <m/>
    <m/>
    <m/>
    <m/>
    <m/>
    <m/>
    <m/>
  </r>
  <r>
    <x v="0"/>
    <s v="Brgy. Anilao"/>
    <s v="Malolos"/>
    <s v="MBA"/>
    <n v="14.846394"/>
    <n v="120.798666"/>
    <s v="14.846394,120.798666"/>
    <d v="2022-12-06T00:00:00"/>
    <x v="6"/>
    <s v="Ronaldo P. Roque, Jr."/>
    <m/>
    <s v="Diozelle L. Cabalar"/>
    <m/>
    <m/>
    <m/>
    <m/>
    <m/>
    <m/>
    <s v=""/>
    <s v=""/>
    <s v=""/>
    <s v=""/>
    <m/>
    <s v="OPERATIONAL"/>
    <m/>
    <m/>
    <m/>
    <m/>
    <m/>
    <m/>
    <m/>
    <m/>
    <m/>
  </r>
  <r>
    <x v="0"/>
    <s v="Brgy. Perez"/>
    <s v="Meycauayan"/>
    <s v="MBA"/>
    <n v="14.758236999999999"/>
    <n v="120.98994"/>
    <s v="14.758237,120.98994"/>
    <d v="2022-12-19T00:00:00"/>
    <x v="7"/>
    <s v="James Wilson T. Peña"/>
    <m/>
    <s v="Diozelle L. Cabalar"/>
    <m/>
    <m/>
    <m/>
    <m/>
    <m/>
    <m/>
    <s v=""/>
    <s v=""/>
    <s v=""/>
    <s v=""/>
    <m/>
    <m/>
    <m/>
    <m/>
    <m/>
    <m/>
    <m/>
    <m/>
    <m/>
    <m/>
    <m/>
  </r>
  <r>
    <x v="0"/>
    <s v="Brgy. Bahay Pare"/>
    <s v="Meycauayan"/>
    <s v="MBA"/>
    <n v="14.771990000000001"/>
    <n v="121.01845"/>
    <s v="14.77199,121.01845"/>
    <d v="2022-12-19T00:00:00"/>
    <x v="8"/>
    <s v="Ronaldo P. Roque, Jr."/>
    <m/>
    <s v="Diozelle L. Cabalar"/>
    <m/>
    <m/>
    <m/>
    <m/>
    <m/>
    <m/>
    <s v=""/>
    <s v=""/>
    <s v=""/>
    <s v=""/>
    <m/>
    <s v="NON-OPERATIONAL"/>
    <m/>
    <m/>
    <m/>
    <m/>
    <m/>
    <m/>
    <m/>
    <m/>
    <m/>
  </r>
  <r>
    <x v="0"/>
    <s v="Brgy. Libtong"/>
    <s v="Meycauayan"/>
    <s v="MBA"/>
    <n v="14.747501"/>
    <n v="120.98659000000001"/>
    <s v="14.747501,120.98659"/>
    <d v="2022-12-19T00:00:00"/>
    <x v="8"/>
    <s v="James Wilson T. Peña"/>
    <m/>
    <s v="Diozelle L. Cabalar"/>
    <m/>
    <m/>
    <m/>
    <m/>
    <m/>
    <m/>
    <s v=""/>
    <s v=""/>
    <s v=""/>
    <s v=""/>
    <m/>
    <m/>
    <m/>
    <m/>
    <m/>
    <m/>
    <m/>
    <m/>
    <m/>
    <m/>
    <m/>
  </r>
  <r>
    <x v="0"/>
    <s v="Brgy. Langka"/>
    <s v="Meycauayan"/>
    <s v="MBA"/>
    <n v="14.740622"/>
    <n v="120.97884000000001"/>
    <s v="14.740622,120.97884"/>
    <d v="2022-12-19T00:00:00"/>
    <x v="7"/>
    <s v="James Wilson T. Peña"/>
    <m/>
    <s v="Diozelle L. Cabalar"/>
    <m/>
    <m/>
    <m/>
    <m/>
    <m/>
    <m/>
    <s v=""/>
    <s v=""/>
    <s v=""/>
    <s v=""/>
    <m/>
    <m/>
    <m/>
    <m/>
    <m/>
    <m/>
    <m/>
    <m/>
    <m/>
    <m/>
    <m/>
  </r>
  <r>
    <x v="0"/>
    <s v="Brgy. Caingin"/>
    <s v="Meycauayan"/>
    <s v="MBA"/>
    <n v="14.725720000000001"/>
    <n v="120.96878"/>
    <s v="14.72572,120.96878"/>
    <d v="2022-12-19T00:00:00"/>
    <x v="7"/>
    <s v="James Wilson T. Peña"/>
    <m/>
    <s v="Diozelle L. Cabalar"/>
    <m/>
    <m/>
    <m/>
    <m/>
    <m/>
    <m/>
    <s v=""/>
    <s v=""/>
    <s v=""/>
    <s v=""/>
    <m/>
    <s v="OPERATIONAL"/>
    <m/>
    <m/>
    <m/>
    <m/>
    <m/>
    <m/>
    <m/>
    <m/>
    <m/>
  </r>
  <r>
    <x v="0"/>
    <s v="Brgy. Caingin"/>
    <s v="Meycauayan"/>
    <s v="MBA"/>
    <n v="14.725720000000001"/>
    <n v="120.96878"/>
    <s v="14.72572,120.96878"/>
    <d v="2022-12-19T00:00:00"/>
    <x v="7"/>
    <s v="James Wilson T. Peña"/>
    <m/>
    <s v="Diozelle L. Cabalar"/>
    <m/>
    <m/>
    <m/>
    <m/>
    <m/>
    <m/>
    <s v=""/>
    <s v=""/>
    <s v=""/>
    <s v=""/>
    <m/>
    <m/>
    <m/>
    <m/>
    <m/>
    <m/>
    <m/>
    <m/>
    <m/>
    <m/>
    <m/>
  </r>
  <r>
    <x v="0"/>
    <s v="Brgy. Lawa"/>
    <s v="Meycauayan"/>
    <s v="MBA"/>
    <n v="14.727517000000001"/>
    <n v="120.97875000000001"/>
    <s v="14.727517,120.97875"/>
    <d v="2022-12-19T00:00:00"/>
    <x v="8"/>
    <s v="James Wilson T. Peña"/>
    <m/>
    <s v="Diozelle L. Cabalar"/>
    <m/>
    <m/>
    <m/>
    <m/>
    <m/>
    <m/>
    <s v=""/>
    <s v=""/>
    <s v=""/>
    <s v=""/>
    <m/>
    <m/>
    <m/>
    <m/>
    <m/>
    <m/>
    <m/>
    <m/>
    <m/>
    <m/>
    <m/>
  </r>
  <r>
    <x v="0"/>
    <s v="Brgy. San Isidro I"/>
    <s v="Paombong"/>
    <s v="MBA"/>
    <n v="14.835699999999999"/>
    <n v="120.78"/>
    <s v="14.8357120.78"/>
    <d v="2022-12-20T00:00:00"/>
    <x v="3"/>
    <s v="Ronaldo P. Roque, Jr."/>
    <m/>
    <s v="Diozelle L. Cabalar"/>
    <m/>
    <m/>
    <m/>
    <m/>
    <m/>
    <m/>
    <s v=""/>
    <s v=""/>
    <s v=""/>
    <s v=""/>
    <m/>
    <s v="NON-OPERATIONAL"/>
    <m/>
    <m/>
    <m/>
    <m/>
    <m/>
    <m/>
    <m/>
    <m/>
    <m/>
  </r>
  <r>
    <x v="0"/>
    <s v="Brgy. San Isidro I"/>
    <s v="Paombong"/>
    <s v="MBA"/>
    <n v="14.838900000000001"/>
    <n v="120.7799"/>
    <s v="14.8389120.7799"/>
    <d v="2022-12-20T00:00:00"/>
    <x v="3"/>
    <s v="Ronaldo P. Roque, Jr."/>
    <m/>
    <s v="Diozelle L. Cabalar"/>
    <m/>
    <m/>
    <m/>
    <m/>
    <m/>
    <m/>
    <s v=""/>
    <s v=""/>
    <s v=""/>
    <s v=""/>
    <m/>
    <s v="OPERATIONAL"/>
    <m/>
    <m/>
    <m/>
    <m/>
    <m/>
    <m/>
    <m/>
    <m/>
    <m/>
  </r>
  <r>
    <x v="0"/>
    <s v="Brgy. Pinalagdan"/>
    <s v="Paombong"/>
    <s v="MBA"/>
    <n v="14.849500000000001"/>
    <n v="120.7813"/>
    <s v="14.8495,120.7813"/>
    <d v="2022-12-20T00:00:00"/>
    <x v="3"/>
    <s v="Ronaldo P. Roque, Jr."/>
    <m/>
    <s v="Diozelle L. Cabalar"/>
    <m/>
    <m/>
    <m/>
    <m/>
    <m/>
    <m/>
    <s v=""/>
    <s v=""/>
    <s v=""/>
    <s v=""/>
    <m/>
    <m/>
    <m/>
    <m/>
    <m/>
    <m/>
    <m/>
    <m/>
    <m/>
    <m/>
    <m/>
  </r>
  <r>
    <x v="0"/>
    <s v="Brgy. Sto. Nino"/>
    <s v="Paombong"/>
    <s v="MBA"/>
    <n v="14.839700000000001"/>
    <n v="120.7938"/>
    <s v="14.8397120.7938"/>
    <d v="2022-12-20T00:00:00"/>
    <x v="8"/>
    <s v="Ronaldo P. Roque, Jr."/>
    <m/>
    <s v="Diozelle L. Cabalar"/>
    <m/>
    <m/>
    <m/>
    <m/>
    <m/>
    <m/>
    <s v=""/>
    <s v=""/>
    <s v=""/>
    <s v=""/>
    <m/>
    <s v="OPERATIONAL"/>
    <m/>
    <m/>
    <m/>
    <m/>
    <m/>
    <m/>
    <m/>
    <m/>
    <m/>
  </r>
  <r>
    <x v="0"/>
    <s v="Brgy. Sto. Nino"/>
    <s v="Paombong"/>
    <s v="MBA"/>
    <n v="14.839700000000001"/>
    <n v="120.7938"/>
    <s v="14.8397120.7938"/>
    <d v="2022-12-20T00:00:00"/>
    <x v="8"/>
    <s v="Ronaldo P. Roque, Jr."/>
    <m/>
    <s v="Diozelle L. Cabalar"/>
    <m/>
    <m/>
    <m/>
    <m/>
    <m/>
    <m/>
    <s v=""/>
    <s v=""/>
    <s v=""/>
    <s v=""/>
    <m/>
    <s v="OPERATIONAL"/>
    <m/>
    <m/>
    <m/>
    <m/>
    <m/>
    <m/>
    <m/>
    <m/>
    <m/>
  </r>
  <r>
    <x v="0"/>
    <s v="Brgy. Tabang"/>
    <s v="Plaridel"/>
    <s v="MBA"/>
    <n v="14.8819"/>
    <n v="12.8611"/>
    <s v="14.881912.8611"/>
    <d v="2022-12-20T00:00:00"/>
    <x v="7"/>
    <s v="Jasmine Marie N. Siapco"/>
    <m/>
    <s v="Diozelle L. Cabalar"/>
    <m/>
    <m/>
    <m/>
    <m/>
    <m/>
    <m/>
    <s v=""/>
    <s v=""/>
    <s v=""/>
    <s v=""/>
    <m/>
    <s v="OPERATIONAL"/>
    <m/>
    <m/>
    <m/>
    <m/>
    <m/>
    <m/>
    <m/>
    <m/>
    <m/>
  </r>
  <r>
    <x v="0"/>
    <s v="Brgy. Tabang"/>
    <s v="Plaridel"/>
    <s v="MBA"/>
    <n v="14.8719"/>
    <n v="120.8609"/>
    <s v="14.8719120.8609"/>
    <d v="2022-12-20T00:00:00"/>
    <x v="7"/>
    <s v="Jasmine Marie N. Siapco"/>
    <m/>
    <s v="Diozelle L. Cabalar"/>
    <m/>
    <m/>
    <m/>
    <m/>
    <m/>
    <m/>
    <s v=""/>
    <s v=""/>
    <s v=""/>
    <s v=""/>
    <m/>
    <s v="OPERATIONAL"/>
    <m/>
    <m/>
    <m/>
    <m/>
    <m/>
    <m/>
    <m/>
    <m/>
    <m/>
  </r>
  <r>
    <x v="0"/>
    <s v="Brgy. Tabang"/>
    <s v="Plaridel"/>
    <s v="MBA"/>
    <n v="14.8688"/>
    <n v="120.8586"/>
    <s v="14.8688120.8586"/>
    <d v="2022-12-20T00:00:00"/>
    <x v="7"/>
    <s v="Jasmine Marie N. Siapco"/>
    <m/>
    <s v="Diozelle L. Cabalar"/>
    <m/>
    <m/>
    <m/>
    <m/>
    <m/>
    <m/>
    <s v=""/>
    <s v=""/>
    <s v=""/>
    <s v=""/>
    <m/>
    <s v="OPERATIONAL"/>
    <m/>
    <m/>
    <m/>
    <m/>
    <m/>
    <m/>
    <m/>
    <m/>
    <m/>
  </r>
  <r>
    <x v="0"/>
    <s v="Brgy. Banga 1st"/>
    <s v="Plaridel"/>
    <s v="MBA"/>
    <n v="14.884577999999999"/>
    <n v="120.86694300000001"/>
    <s v="14.884578120.866943"/>
    <d v="2022-12-20T00:00:00"/>
    <x v="7"/>
    <s v="Jasmine Marie N. Siapco"/>
    <m/>
    <s v="Diozelle L. Cabalar"/>
    <m/>
    <m/>
    <m/>
    <m/>
    <m/>
    <m/>
    <s v=""/>
    <s v=""/>
    <s v=""/>
    <s v=""/>
    <m/>
    <s v="OPERATIONAL"/>
    <m/>
    <m/>
    <m/>
    <m/>
    <m/>
    <m/>
    <m/>
    <m/>
    <m/>
  </r>
  <r>
    <x v="0"/>
    <s v="Brgy. Parulan"/>
    <s v="Plaridel"/>
    <s v="MBA"/>
    <n v="14.888356999999999"/>
    <n v="120.87492399999999"/>
    <s v="14.888357,120.874924"/>
    <d v="2022-12-20T00:00:00"/>
    <x v="6"/>
    <s v="Ronaldo P. Roque, Jr."/>
    <m/>
    <s v="Diozelle L. Cabalar"/>
    <m/>
    <m/>
    <m/>
    <m/>
    <m/>
    <m/>
    <s v=""/>
    <s v=""/>
    <s v=""/>
    <s v=""/>
    <m/>
    <s v="OPERATIONAL"/>
    <m/>
    <m/>
    <m/>
    <m/>
    <m/>
    <m/>
    <m/>
    <m/>
    <m/>
  </r>
  <r>
    <x v="0"/>
    <s v="Brgy. San Jose"/>
    <s v="Plaridel"/>
    <s v="MBA"/>
    <n v="14.901680000000001"/>
    <n v="120.89757"/>
    <s v="14.90168120.89757"/>
    <d v="2022-12-20T00:00:00"/>
    <x v="6"/>
    <s v="Jasmine Marie N. Siapco"/>
    <m/>
    <s v="Diozelle L. Cabalar"/>
    <m/>
    <m/>
    <m/>
    <m/>
    <m/>
    <m/>
    <s v=""/>
    <s v=""/>
    <s v=""/>
    <s v=""/>
    <m/>
    <s v="OPERATIONAL"/>
    <m/>
    <m/>
    <m/>
    <m/>
    <m/>
    <m/>
    <m/>
    <m/>
    <m/>
  </r>
  <r>
    <x v="0"/>
    <s v="Brgy. Poblacion 1"/>
    <s v="San Jose Del Monte"/>
    <s v="MBA"/>
    <n v="14.799087"/>
    <n v="121.07135"/>
    <s v="14.799087,121.07135"/>
    <d v="2022-12-20T00:00:00"/>
    <x v="1"/>
    <s v="James Wilson T. Peña"/>
    <m/>
    <s v="Diozelle L. Cabalar"/>
    <m/>
    <m/>
    <m/>
    <m/>
    <m/>
    <m/>
    <s v=""/>
    <s v=""/>
    <s v=""/>
    <s v=""/>
    <m/>
    <m/>
    <m/>
    <m/>
    <m/>
    <m/>
    <m/>
    <m/>
    <m/>
    <m/>
    <m/>
  </r>
  <r>
    <x v="0"/>
    <s v="Brgy. Tungkong Mangga"/>
    <s v="San Jose Del Monte"/>
    <s v="MBA"/>
    <n v="14.809602"/>
    <n v="121.05072"/>
    <s v="14.809602,121.05072"/>
    <d v="2022-12-20T00:00:00"/>
    <x v="1"/>
    <s v="James Wilson T. Peña"/>
    <m/>
    <s v="Diozelle L. Cabalar"/>
    <m/>
    <m/>
    <m/>
    <m/>
    <m/>
    <m/>
    <s v=""/>
    <s v=""/>
    <s v=""/>
    <s v=""/>
    <m/>
    <m/>
    <m/>
    <m/>
    <m/>
    <m/>
    <m/>
    <m/>
    <m/>
    <m/>
    <m/>
  </r>
  <r>
    <x v="0"/>
    <s v="Brgy. Dulong Bayan"/>
    <s v="San Jose Del Monte"/>
    <s v="MBA"/>
    <n v="14.831517"/>
    <n v="121.0377707"/>
    <s v="14.8315170,121.0377707"/>
    <d v="2022-12-20T00:00:00"/>
    <x v="6"/>
    <s v="James Wilson T. Peña"/>
    <m/>
    <s v="Diozelle L. Cabalar"/>
    <m/>
    <m/>
    <m/>
    <m/>
    <m/>
    <m/>
    <s v=""/>
    <s v=""/>
    <s v=""/>
    <s v=""/>
    <m/>
    <m/>
    <m/>
    <m/>
    <m/>
    <m/>
    <m/>
    <m/>
    <m/>
    <m/>
    <m/>
  </r>
  <r>
    <x v="0"/>
    <s v="Brgy. Salacot"/>
    <s v="San Miguel"/>
    <s v="MBA"/>
    <n v="15.181850000000001"/>
    <n v="120.961358"/>
    <s v="15.18185,120.961358"/>
    <d v="2022-12-05T00:00:00"/>
    <x v="6"/>
    <s v="Ronaldo P. Roque, Jr."/>
    <m/>
    <s v="Diozelle L. Cabalar"/>
    <m/>
    <m/>
    <m/>
    <m/>
    <m/>
    <m/>
    <s v=""/>
    <s v=""/>
    <s v=""/>
    <s v=""/>
    <m/>
    <s v="OPERATIONAL"/>
    <m/>
    <m/>
    <m/>
    <m/>
    <m/>
    <m/>
    <m/>
    <m/>
    <m/>
  </r>
  <r>
    <x v="0"/>
    <s v="Brgy. Cambio"/>
    <s v="San Miguel"/>
    <s v="MBA"/>
    <n v="15.196139000000001"/>
    <n v="120.950836"/>
    <s v="15.196139,120.950836"/>
    <d v="2022-12-05T00:00:00"/>
    <x v="8"/>
    <s v="Ronaldo P. Roque, Jr."/>
    <m/>
    <s v="Diozelle L. Cabalar"/>
    <m/>
    <m/>
    <m/>
    <m/>
    <m/>
    <m/>
    <s v=""/>
    <s v=""/>
    <s v=""/>
    <s v=""/>
    <m/>
    <s v="OPERATIONAL"/>
    <m/>
    <m/>
    <m/>
    <m/>
    <m/>
    <m/>
    <m/>
    <m/>
    <m/>
  </r>
  <r>
    <x v="0"/>
    <s v="Brgy. Poblacion-Sta. Rita Matanda"/>
    <s v="San Miguel"/>
    <s v="MBA"/>
    <n v="15.139200000000001"/>
    <n v="120.9774"/>
    <s v="15.1392,120.9774"/>
    <d v="2022-12-05T00:00:00"/>
    <x v="4"/>
    <s v="Ronaldo P. Roque, Jr."/>
    <m/>
    <s v="Diozelle L. Cabalar"/>
    <m/>
    <m/>
    <m/>
    <m/>
    <m/>
    <m/>
    <s v=""/>
    <s v=""/>
    <s v=""/>
    <s v=""/>
    <m/>
    <s v="OPERATIONAL"/>
    <m/>
    <m/>
    <m/>
    <m/>
    <m/>
    <m/>
    <m/>
    <m/>
    <m/>
  </r>
  <r>
    <x v="0"/>
    <s v="Brgy. Poblacion-Sta. Rita Matanda"/>
    <s v="San Miguel"/>
    <s v="MBA"/>
    <n v="15.140499999999999"/>
    <n v="120.96810000000001"/>
    <s v="15.1405,120.9681"/>
    <d v="2022-12-05T00:00:00"/>
    <x v="4"/>
    <s v="Ronaldo P. Roque, Jr."/>
    <m/>
    <s v="Diozelle L. Cabalar"/>
    <m/>
    <m/>
    <m/>
    <m/>
    <m/>
    <m/>
    <s v=""/>
    <s v=""/>
    <s v=""/>
    <s v=""/>
    <m/>
    <s v="OPERATIONAL"/>
    <m/>
    <m/>
    <m/>
    <m/>
    <m/>
    <m/>
    <m/>
    <m/>
    <m/>
  </r>
  <r>
    <x v="0"/>
    <s v="Brgy. San Vicente"/>
    <s v="San Miguel"/>
    <s v="MBA"/>
    <n v="15.140356000000001"/>
    <n v="120.96810000000001"/>
    <s v="15.140356,120.968100"/>
    <d v="2022-12-05T00:00:00"/>
    <x v="4"/>
    <s v="Ronaldo P. Roque, Jr."/>
    <m/>
    <s v="Diozelle L. Cabalar"/>
    <m/>
    <m/>
    <m/>
    <m/>
    <m/>
    <m/>
    <s v=""/>
    <s v=""/>
    <s v=""/>
    <s v=""/>
    <m/>
    <m/>
    <m/>
    <m/>
    <m/>
    <m/>
    <m/>
    <m/>
    <m/>
    <m/>
    <m/>
  </r>
  <r>
    <x v="0"/>
    <s v="Brgy. San Vicente"/>
    <s v="San Miguel"/>
    <s v="MBA"/>
    <n v="15.140356000000001"/>
    <n v="120.96810000000001"/>
    <s v="15.140356,120.968100"/>
    <d v="2022-12-05T00:00:00"/>
    <x v="4"/>
    <s v="Ronaldo P. Roque, Jr."/>
    <m/>
    <s v="Diozelle L. Cabalar"/>
    <m/>
    <m/>
    <m/>
    <m/>
    <m/>
    <m/>
    <s v=""/>
    <s v=""/>
    <s v=""/>
    <s v=""/>
    <m/>
    <m/>
    <m/>
    <m/>
    <m/>
    <m/>
    <m/>
    <m/>
    <m/>
    <m/>
    <m/>
  </r>
  <r>
    <x v="0"/>
    <s v="Brgy. Sapang"/>
    <s v="San Miguel"/>
    <s v="MBA"/>
    <n v="15.18266"/>
    <n v="120.96031000000001"/>
    <s v="15.18266,120.96031"/>
    <d v="2022-12-05T00:00:00"/>
    <x v="5"/>
    <s v="Ronaldo P. Roque, Jr."/>
    <m/>
    <s v="Diozelle L. Cabalar"/>
    <m/>
    <m/>
    <m/>
    <m/>
    <m/>
    <m/>
    <s v=""/>
    <s v=""/>
    <s v=""/>
    <s v=""/>
    <m/>
    <s v="OPERATIONAL"/>
    <m/>
    <m/>
    <m/>
    <m/>
    <m/>
    <m/>
    <m/>
    <m/>
    <m/>
  </r>
  <r>
    <x v="0"/>
    <s v="Brgy. Salangan"/>
    <s v="San Miguel"/>
    <s v="MBA"/>
    <n v="15.126785549999999"/>
    <n v="120.9511182"/>
    <s v="15.12678555,120.9511182"/>
    <d v="2022-12-05T00:00:00"/>
    <x v="5"/>
    <s v="Ronaldo P. Roque, Jr."/>
    <m/>
    <s v="Diozelle L. Cabalar"/>
    <m/>
    <m/>
    <m/>
    <m/>
    <m/>
    <m/>
    <s v=""/>
    <s v=""/>
    <s v=""/>
    <s v=""/>
    <m/>
    <s v="NON-OPERATIONAL"/>
    <m/>
    <m/>
    <m/>
    <m/>
    <m/>
    <m/>
    <m/>
    <m/>
    <m/>
  </r>
  <r>
    <x v="0"/>
    <s v="Brgy. Guyong"/>
    <s v="Sta. Maria"/>
    <s v="MBA"/>
    <n v="14.830938"/>
    <n v="120.96434000000001"/>
    <s v="14.830938,120.96434"/>
    <d v="2022-12-20T00:00:00"/>
    <x v="8"/>
    <s v="James Wilson T. Peña"/>
    <m/>
    <s v="Diozelle L. Cabalar"/>
    <m/>
    <m/>
    <m/>
    <m/>
    <m/>
    <m/>
    <s v=""/>
    <s v=""/>
    <s v=""/>
    <s v=""/>
    <m/>
    <s v="OPERATIONAL"/>
    <m/>
    <m/>
    <m/>
    <m/>
    <m/>
    <m/>
    <m/>
    <m/>
    <m/>
  </r>
  <r>
    <x v="0"/>
    <s v="Brgy. Caysio"/>
    <s v="Sta. Maria"/>
    <s v="MBA"/>
    <n v="14.837937999999999"/>
    <n v="120.96456000000001"/>
    <s v="14.837938,120.96456"/>
    <d v="2022-12-20T00:00:00"/>
    <x v="8"/>
    <s v="James Wilson T. Peña"/>
    <m/>
    <s v="Diozelle L. Cabalar"/>
    <m/>
    <m/>
    <m/>
    <m/>
    <m/>
    <m/>
    <s v=""/>
    <s v=""/>
    <s v=""/>
    <s v=""/>
    <m/>
    <s v="OPERATIONAL"/>
    <m/>
    <m/>
    <m/>
    <m/>
    <m/>
    <m/>
    <m/>
    <m/>
    <m/>
  </r>
  <r>
    <x v="0"/>
    <s v="Brgy. Balasing"/>
    <s v="Sta. Maria"/>
    <s v="MBA"/>
    <n v="14.853016"/>
    <n v="121.00062"/>
    <s v="14.853016,121.00062"/>
    <d v="2022-12-20T00:00:00"/>
    <x v="4"/>
    <s v="James Wilson T. Peña"/>
    <m/>
    <s v="Diozelle L. Cabalar"/>
    <m/>
    <m/>
    <m/>
    <m/>
    <m/>
    <m/>
    <s v=""/>
    <s v=""/>
    <s v=""/>
    <s v=""/>
    <m/>
    <s v="NON-OPERATIONAL"/>
    <m/>
    <m/>
    <m/>
    <m/>
    <m/>
    <m/>
    <m/>
    <m/>
    <m/>
  </r>
  <r>
    <x v="0"/>
    <s v="Brgy. Balasing"/>
    <s v="Sta. Maria"/>
    <s v="MBA"/>
    <n v="14.842599999999999"/>
    <n v="121.00190000000001"/>
    <s v="14.8426,121.0019"/>
    <d v="2022-12-20T00:00:00"/>
    <x v="4"/>
    <s v="James Wilson T. Peña"/>
    <m/>
    <s v="Diozelle L. Cabalar"/>
    <m/>
    <m/>
    <m/>
    <m/>
    <m/>
    <m/>
    <s v=""/>
    <s v=""/>
    <s v=""/>
    <s v=""/>
    <m/>
    <s v="NON-OPERATIONAL"/>
    <m/>
    <m/>
    <m/>
    <m/>
    <m/>
    <m/>
    <m/>
    <m/>
    <m/>
  </r>
  <r>
    <x v="1"/>
    <s v="Brgy. San Josef Norte"/>
    <s v="Cabanatuan"/>
    <s v="MBA"/>
    <n v="15.485900000000001"/>
    <n v="120.95350000000001"/>
    <s v="15.4859,120.9535"/>
    <d v="2022-12-06T00:00:00"/>
    <x v="1"/>
    <s v="Christian Jem L. Buluran"/>
    <m/>
    <s v="Zosimo P. Suyat"/>
    <m/>
    <m/>
    <m/>
    <m/>
    <m/>
    <m/>
    <s v=""/>
    <s v=""/>
    <s v=""/>
    <s v=""/>
    <m/>
    <s v="OPERATIONAL"/>
    <m/>
    <m/>
    <m/>
    <m/>
    <m/>
    <m/>
    <m/>
    <m/>
    <m/>
  </r>
  <r>
    <x v="1"/>
    <s v="Brgy. Rizdelis"/>
    <s v="Cabanatuan"/>
    <s v="MBA"/>
    <n v="15.489699999999999"/>
    <n v="120.9616"/>
    <s v="15.4897. 120.9616"/>
    <d v="2022-12-06T00:00:00"/>
    <x v="4"/>
    <s v="Christian Jem L. Buluran"/>
    <m/>
    <s v="Zosimo P. Suyat"/>
    <m/>
    <m/>
    <m/>
    <m/>
    <m/>
    <m/>
    <s v=""/>
    <s v=""/>
    <s v=""/>
    <s v=""/>
    <m/>
    <s v="OPERATIONAL"/>
    <m/>
    <m/>
    <m/>
    <m/>
    <m/>
    <m/>
    <m/>
    <m/>
    <m/>
  </r>
  <r>
    <x v="1"/>
    <s v="Brgy. Imelda"/>
    <s v="Cabanatuan"/>
    <s v="MBA"/>
    <n v="15.47551717"/>
    <n v="120.9622255"/>
    <s v="15.47551717,120.9622255"/>
    <d v="2022-12-06T00:00:00"/>
    <x v="4"/>
    <s v="Christian Jem L. Buluran"/>
    <m/>
    <s v="Zosimo P. Suyat"/>
    <m/>
    <m/>
    <m/>
    <m/>
    <m/>
    <m/>
    <s v=""/>
    <s v=""/>
    <s v=""/>
    <s v=""/>
    <m/>
    <s v="OPERATIONAL"/>
    <m/>
    <m/>
    <m/>
    <m/>
    <m/>
    <m/>
    <m/>
    <m/>
    <m/>
  </r>
  <r>
    <x v="1"/>
    <s v="Brgy. Mabini Extension"/>
    <s v="Cabanatuan"/>
    <s v="MBA"/>
    <n v="15.4846"/>
    <n v="120.97280000000001"/>
    <s v="15.4846,120.9728"/>
    <d v="2022-12-06T00:00:00"/>
    <x v="1"/>
    <s v="Christian Jem L. Buluran"/>
    <m/>
    <s v="Zosimo P. Suyat"/>
    <m/>
    <m/>
    <m/>
    <m/>
    <m/>
    <m/>
    <s v=""/>
    <s v=""/>
    <s v=""/>
    <s v=""/>
    <m/>
    <s v="OPERATIONAL"/>
    <m/>
    <m/>
    <m/>
    <m/>
    <m/>
    <m/>
    <m/>
    <m/>
    <m/>
  </r>
  <r>
    <x v="1"/>
    <s v="Brgy. Nabao"/>
    <s v="Cabanatuan"/>
    <s v="MBA"/>
    <n v="15.49064486"/>
    <n v="120.96373952"/>
    <s v="15.49064486,120.96373952"/>
    <d v="2022-12-06T00:00:00"/>
    <x v="4"/>
    <s v="Christian Jem L. Buluran"/>
    <m/>
    <s v="Zosimo P. Suyat"/>
    <m/>
    <m/>
    <m/>
    <m/>
    <m/>
    <m/>
    <s v=""/>
    <s v=""/>
    <s v=""/>
    <s v=""/>
    <m/>
    <s v="OPERATIONAL"/>
    <m/>
    <m/>
    <m/>
    <m/>
    <m/>
    <m/>
    <m/>
    <m/>
    <m/>
  </r>
  <r>
    <x v="1"/>
    <s v="Brgy. Barrera"/>
    <s v="Cabanatuan"/>
    <s v="MBA"/>
    <n v="15.481036700000001"/>
    <n v="120.966427"/>
    <s v="15.4810367,120.966427"/>
    <d v="2022-12-06T00:00:00"/>
    <x v="4"/>
    <s v="Christian Jem L. Buluran"/>
    <m/>
    <s v="Zosimo P. Suyat"/>
    <m/>
    <m/>
    <m/>
    <m/>
    <m/>
    <m/>
    <s v=""/>
    <s v=""/>
    <s v=""/>
    <s v=""/>
    <m/>
    <m/>
    <m/>
    <m/>
    <m/>
    <m/>
    <m/>
    <m/>
    <m/>
    <m/>
    <m/>
  </r>
  <r>
    <x v="1"/>
    <s v="Brgy. San Josef Sur"/>
    <s v="Cabanatuan"/>
    <s v="MBA"/>
    <n v="15.472770000000001"/>
    <n v="120.95009"/>
    <s v="15.47277,120.95009"/>
    <d v="2022-12-06T00:00:00"/>
    <x v="1"/>
    <s v="Christian Jem L. Buluran"/>
    <m/>
    <s v="Zosimo P. Suyat"/>
    <m/>
    <m/>
    <m/>
    <m/>
    <m/>
    <m/>
    <s v=""/>
    <s v=""/>
    <s v=""/>
    <s v=""/>
    <m/>
    <s v="OPERATIONAL"/>
    <m/>
    <m/>
    <m/>
    <m/>
    <m/>
    <m/>
    <m/>
    <m/>
    <m/>
  </r>
  <r>
    <x v="1"/>
    <s v="Brgy. Parculeta"/>
    <s v="Gapan City"/>
    <s v="MBA"/>
    <n v="15.234044000000001"/>
    <n v="120.93894400000001"/>
    <s v="15.234044120.938944"/>
    <d v="2022-12-19T00:00:00"/>
    <x v="5"/>
    <s v="Christine Ann V. Ramos"/>
    <m/>
    <s v="Zosimo P. Suyat"/>
    <m/>
    <m/>
    <m/>
    <m/>
    <m/>
    <m/>
    <s v=""/>
    <s v=""/>
    <s v=""/>
    <s v=""/>
    <m/>
    <s v="NON-OPERATIONAL"/>
    <m/>
    <m/>
    <m/>
    <m/>
    <m/>
    <m/>
    <m/>
    <m/>
    <m/>
  </r>
  <r>
    <x v="1"/>
    <s v="Brgy. Bayanihan"/>
    <s v="Gapan City"/>
    <s v="MBA"/>
    <n v="15.304081999999999"/>
    <n v="120.946623"/>
    <s v="15.304082120.946623"/>
    <d v="2022-12-19T00:00:00"/>
    <x v="5"/>
    <s v="Christine Ann V. Ramos"/>
    <m/>
    <s v="Zosimo P. Suyat"/>
    <m/>
    <m/>
    <m/>
    <m/>
    <m/>
    <m/>
    <s v=""/>
    <s v=""/>
    <s v=""/>
    <s v=""/>
    <m/>
    <s v="OPERATIONAL"/>
    <m/>
    <m/>
    <m/>
    <m/>
    <m/>
    <m/>
    <m/>
    <m/>
    <m/>
  </r>
  <r>
    <x v="1"/>
    <s v="Brgy. Tabon"/>
    <s v="San Isidro"/>
    <s v="MBA"/>
    <n v="15.26365302"/>
    <n v="120.91395322"/>
    <s v="15.26365302,120.91395322"/>
    <d v="2022-12-08T00:00:00"/>
    <x v="2"/>
    <s v="Christine Ann V. Ramos"/>
    <m/>
    <s v="Zosimo P. Suyat"/>
    <m/>
    <m/>
    <m/>
    <m/>
    <m/>
    <m/>
    <s v=""/>
    <s v=""/>
    <s v=""/>
    <s v=""/>
    <m/>
    <m/>
    <m/>
    <m/>
    <m/>
    <m/>
    <m/>
    <m/>
    <m/>
    <m/>
    <m/>
  </r>
  <r>
    <x v="1"/>
    <s v="Brgy. Tabon"/>
    <s v="San Isidro"/>
    <s v="MBA"/>
    <n v="15.271058"/>
    <n v="120.91288400000001"/>
    <s v="15.271058,120.912884"/>
    <d v="2022-12-08T00:00:00"/>
    <x v="2"/>
    <s v="Christine Ann V. Ramos"/>
    <m/>
    <s v="Zosimo P. Suyat"/>
    <m/>
    <m/>
    <m/>
    <m/>
    <m/>
    <m/>
    <s v=""/>
    <s v=""/>
    <s v=""/>
    <s v=""/>
    <m/>
    <m/>
    <m/>
    <m/>
    <m/>
    <m/>
    <m/>
    <m/>
    <m/>
    <m/>
    <m/>
  </r>
  <r>
    <x v="2"/>
    <s v="Brgy. Capalangan"/>
    <s v="Apalit"/>
    <s v="MBA"/>
    <s v="14.9362N"/>
    <s v="120.7615E"/>
    <s v="14.9362N,120.7615E"/>
    <d v="2022-12-15T00:00:00"/>
    <x v="6"/>
    <s v="Glaiza S.Gaza"/>
    <m/>
    <s v="John Sherwin Y. Loquellano"/>
    <m/>
    <m/>
    <m/>
    <m/>
    <m/>
    <m/>
    <s v=""/>
    <s v=""/>
    <s v=""/>
    <s v=""/>
    <m/>
    <s v="NON-OPERATIONAL"/>
    <m/>
    <m/>
    <m/>
    <m/>
    <m/>
    <m/>
    <m/>
    <m/>
    <m/>
  </r>
  <r>
    <x v="2"/>
    <s v="Brgy. San Roque Bitas"/>
    <s v="Arayat"/>
    <s v="MBA"/>
    <n v="15.154579999999999"/>
    <n v="120.72264"/>
    <s v="15.15458,120.72264"/>
    <d v="2022-12-14T00:00:00"/>
    <x v="7"/>
    <s v="Roger T. Encarnacion II"/>
    <m/>
    <s v="Jun D. Guillermo"/>
    <m/>
    <m/>
    <m/>
    <m/>
    <m/>
    <m/>
    <s v=""/>
    <s v=""/>
    <s v=""/>
    <s v=""/>
    <m/>
    <s v="NON-OPERATIONAL"/>
    <m/>
    <m/>
    <m/>
    <m/>
    <m/>
    <m/>
    <m/>
    <m/>
    <m/>
  </r>
  <r>
    <x v="2"/>
    <s v="Brgy. Mangga Cacutud"/>
    <s v="Arayat"/>
    <s v="MBA"/>
    <n v="15.148059999999999"/>
    <n v="120.75914"/>
    <s v="15.14806,120.75914"/>
    <d v="2022-12-14T00:00:00"/>
    <x v="7"/>
    <s v="Roger T. Encarnacion II"/>
    <m/>
    <s v="Jun D. Guillermo"/>
    <m/>
    <m/>
    <m/>
    <m/>
    <m/>
    <m/>
    <s v=""/>
    <s v=""/>
    <s v=""/>
    <s v=""/>
    <m/>
    <s v="OPERATIONAL"/>
    <m/>
    <m/>
    <m/>
    <m/>
    <m/>
    <m/>
    <m/>
    <m/>
    <m/>
  </r>
  <r>
    <x v="2"/>
    <s v="Brgy. Mangga Cacutud"/>
    <s v="Arayat"/>
    <s v="MBA"/>
    <n v="15.148733999999999"/>
    <n v="120.763921"/>
    <s v="15.148734,120.763921"/>
    <d v="2022-12-14T00:00:00"/>
    <x v="7"/>
    <s v="Roger T. Encarnacion II"/>
    <m/>
    <s v="Jun D. Guillermo"/>
    <m/>
    <m/>
    <m/>
    <m/>
    <m/>
    <m/>
    <s v=""/>
    <s v=""/>
    <s v=""/>
    <s v=""/>
    <m/>
    <s v="OPERATIONAL"/>
    <m/>
    <m/>
    <m/>
    <m/>
    <m/>
    <m/>
    <m/>
    <m/>
    <m/>
  </r>
  <r>
    <x v="2"/>
    <s v="Brgy Cabalantian"/>
    <s v="Bacolor"/>
    <s v="MBA"/>
    <n v="15.015599999999999"/>
    <n v="120.6746"/>
    <s v="120.674615.0156"/>
    <d v="2024-01-23T00:00:00"/>
    <x v="6"/>
    <s v="VACANT"/>
    <m/>
    <s v="Jun D. Guillermo"/>
    <m/>
    <m/>
    <m/>
    <m/>
    <m/>
    <m/>
    <s v=""/>
    <s v=""/>
    <s v=""/>
    <s v=""/>
    <m/>
    <s v="NON-OPERATIONAL"/>
    <m/>
    <m/>
    <m/>
    <m/>
    <m/>
    <m/>
    <m/>
    <m/>
    <m/>
  </r>
  <r>
    <x v="2"/>
    <s v="Brgy Cabalantian"/>
    <s v="Bacolor"/>
    <s v="MBA"/>
    <n v="15.015599999999999"/>
    <n v="120.6746"/>
    <s v="120.674615.0156"/>
    <d v="2024-01-23T00:00:00"/>
    <x v="6"/>
    <s v="VACANT"/>
    <m/>
    <s v="Jun D. Guillermo"/>
    <m/>
    <m/>
    <m/>
    <m/>
    <m/>
    <m/>
    <s v=""/>
    <s v=""/>
    <s v=""/>
    <s v=""/>
    <m/>
    <s v="NON-OPERATIONAL"/>
    <m/>
    <m/>
    <m/>
    <m/>
    <m/>
    <m/>
    <m/>
    <m/>
    <m/>
  </r>
  <r>
    <x v="2"/>
    <s v="Brgy. Paralaya"/>
    <s v="Candaba"/>
    <s v="MBA"/>
    <n v="15.061480100000001"/>
    <n v="120.81720799999999"/>
    <s v="15.0614801,120.817208"/>
    <d v="2022-12-20T00:00:00"/>
    <x v="6"/>
    <s v="Roger T. Encarnacion II"/>
    <m/>
    <s v="Jun D. Guillermo"/>
    <m/>
    <m/>
    <m/>
    <m/>
    <m/>
    <m/>
    <s v=""/>
    <s v=""/>
    <s v=""/>
    <s v=""/>
    <m/>
    <s v="NON-OPERATIONAL"/>
    <m/>
    <m/>
    <m/>
    <m/>
    <m/>
    <m/>
    <m/>
    <m/>
    <m/>
  </r>
  <r>
    <x v="2"/>
    <s v="Brgy. Paralaya"/>
    <s v="Candaba"/>
    <s v="MBA"/>
    <n v="15.061480100000001"/>
    <n v="120.81720799999999"/>
    <s v="15.0614801,120.817208"/>
    <d v="2022-12-20T00:00:00"/>
    <x v="6"/>
    <s v="Roger T. Encarnacion II"/>
    <m/>
    <s v="Jun D. Guillermo"/>
    <m/>
    <m/>
    <m/>
    <m/>
    <m/>
    <m/>
    <s v=""/>
    <s v=""/>
    <s v=""/>
    <s v=""/>
    <m/>
    <s v="OPERATIONAL"/>
    <m/>
    <m/>
    <m/>
    <m/>
    <m/>
    <m/>
    <m/>
    <m/>
    <m/>
  </r>
  <r>
    <x v="2"/>
    <s v="Brgy. Saguin"/>
    <s v="City of San Fernando"/>
    <s v="MBA"/>
    <n v="15.0982"/>
    <n v="120.6202"/>
    <s v="15.09478104, 120.63015307"/>
    <d v="2022-12-09T00:00:00"/>
    <x v="5"/>
    <s v="Elyza A. Evilla"/>
    <m/>
    <s v="John Sherwin Y. Loquellano"/>
    <m/>
    <m/>
    <m/>
    <m/>
    <m/>
    <m/>
    <s v=""/>
    <s v=""/>
    <s v=""/>
    <s v=""/>
    <m/>
    <s v="NON-OPERATIONAL"/>
    <m/>
    <m/>
    <m/>
    <m/>
    <m/>
    <m/>
    <m/>
    <m/>
    <m/>
  </r>
  <r>
    <x v="2"/>
    <s v="Brgy. Baliti"/>
    <s v="City of San Fernando"/>
    <s v="MBA"/>
    <n v="15.10364"/>
    <n v="120.63617000000001"/>
    <s v="15.10364,120.63617"/>
    <d v="2022-12-09T00:00:00"/>
    <x v="5"/>
    <s v="Elyza A. Evilla"/>
    <m/>
    <s v="John Sherwin Y. Loquellano"/>
    <m/>
    <m/>
    <m/>
    <m/>
    <m/>
    <m/>
    <s v=""/>
    <s v=""/>
    <s v=""/>
    <s v=""/>
    <m/>
    <s v="NON-OPERATIONAL"/>
    <m/>
    <m/>
    <m/>
    <m/>
    <m/>
    <m/>
    <m/>
    <m/>
    <m/>
  </r>
  <r>
    <x v="2"/>
    <s v="Brgy. De La Paz Sur"/>
    <s v="City of San Fernando"/>
    <s v="MBA"/>
    <n v="15.0739"/>
    <n v="120.63760000000001"/>
    <s v="15.0739, 120.6376"/>
    <d v="2022-12-09T00:00:00"/>
    <x v="5"/>
    <s v="Elyza A. Evilla"/>
    <m/>
    <s v="John Sherwin Y. Loquellano"/>
    <m/>
    <m/>
    <m/>
    <m/>
    <m/>
    <m/>
    <s v=""/>
    <s v=""/>
    <s v=""/>
    <s v=""/>
    <m/>
    <s v="NON-OPERATIONAL"/>
    <m/>
    <m/>
    <m/>
    <m/>
    <m/>
    <m/>
    <m/>
    <m/>
    <m/>
  </r>
  <r>
    <x v="2"/>
    <s v="Brgy San Agustin"/>
    <s v="City of San Fernando"/>
    <s v="MBA"/>
    <n v="15.04673"/>
    <n v="120.66179"/>
    <s v="15.04673,120.66179"/>
    <d v="2022-12-09T00:00:00"/>
    <x v="7"/>
    <s v="Elyza A. Evilla"/>
    <m/>
    <s v="John Sherwin Y. Loquellano"/>
    <m/>
    <m/>
    <m/>
    <m/>
    <m/>
    <m/>
    <s v=""/>
    <s v=""/>
    <s v=""/>
    <s v=""/>
    <m/>
    <s v="NON-OPERATIONAL"/>
    <m/>
    <m/>
    <m/>
    <m/>
    <m/>
    <m/>
    <m/>
    <m/>
    <m/>
  </r>
  <r>
    <x v="2"/>
    <s v="Brgy Telebastagan"/>
    <s v="City of San Fernando"/>
    <s v="MBA"/>
    <n v="15.116860000000001"/>
    <n v="120.60575"/>
    <s v="15.11686,120.60575"/>
    <d v="2022-12-09T00:00:00"/>
    <x v="7"/>
    <s v="Elyza A. Evilla"/>
    <m/>
    <s v="John Sherwin Y. Loquellano"/>
    <m/>
    <m/>
    <m/>
    <m/>
    <m/>
    <m/>
    <s v=""/>
    <s v=""/>
    <s v=""/>
    <s v=""/>
    <m/>
    <s v="NON-OPERATIONAL"/>
    <m/>
    <m/>
    <m/>
    <m/>
    <m/>
    <m/>
    <m/>
    <m/>
    <m/>
  </r>
  <r>
    <x v="2"/>
    <s v="Brgy Telebastagan"/>
    <s v="City of San Fernando"/>
    <s v="MBA"/>
    <n v="15.108095"/>
    <n v="120.611417"/>
    <s v="15.108095,120.611417"/>
    <d v="2022-12-09T00:00:00"/>
    <x v="7"/>
    <s v="Elyza A. Evilla"/>
    <m/>
    <s v="John Sherwin Y. Loquellano"/>
    <m/>
    <m/>
    <m/>
    <m/>
    <m/>
    <m/>
    <s v=""/>
    <s v=""/>
    <s v=""/>
    <s v=""/>
    <m/>
    <s v="OPERATIONAL"/>
    <m/>
    <m/>
    <m/>
    <m/>
    <m/>
    <m/>
    <m/>
    <m/>
    <m/>
  </r>
  <r>
    <x v="2"/>
    <s v="Brgy San Agustin"/>
    <s v="City of San Fernando"/>
    <s v="MBA"/>
    <n v="15.0496"/>
    <n v="120.6595518"/>
    <n v="120.65949000000001"/>
    <d v="2022-12-09T00:00:00"/>
    <x v="7"/>
    <s v="Elyza A. Evilla"/>
    <m/>
    <s v="John Sherwin Y. Loquellano"/>
    <m/>
    <m/>
    <m/>
    <m/>
    <m/>
    <m/>
    <s v=""/>
    <s v=""/>
    <s v=""/>
    <s v=""/>
    <m/>
    <s v="NON-OPERATIONAL"/>
    <m/>
    <m/>
    <m/>
    <m/>
    <m/>
    <m/>
    <m/>
    <m/>
    <m/>
  </r>
  <r>
    <x v="2"/>
    <s v="Brgy. San Juan"/>
    <s v="City of San Fernando"/>
    <s v="MBA"/>
    <n v="15.020935"/>
    <n v="120.6808133"/>
    <s v="15.020935,120.6808133"/>
    <d v="2022-12-09T00:00:00"/>
    <x v="0"/>
    <s v="Elyza A. Evilla"/>
    <m/>
    <s v="John Sherwin Y. Loquellano"/>
    <m/>
    <m/>
    <m/>
    <m/>
    <m/>
    <m/>
    <s v=""/>
    <s v=""/>
    <s v=""/>
    <s v=""/>
    <m/>
    <s v="NON-OPERATIONAL"/>
    <m/>
    <m/>
    <m/>
    <m/>
    <m/>
    <m/>
    <m/>
    <m/>
    <m/>
  </r>
  <r>
    <x v="2"/>
    <s v="Brgy. San Juan"/>
    <s v="City of San Fernando"/>
    <s v="MBA"/>
    <n v="15.023803300000001"/>
    <n v="120.67616599999999"/>
    <s v="15.0238033,120.676166"/>
    <d v="2022-12-09T00:00:00"/>
    <x v="0"/>
    <s v="Elyza A. Evilla"/>
    <m/>
    <s v="John Sherwin Y. Loquellano"/>
    <m/>
    <m/>
    <m/>
    <m/>
    <m/>
    <m/>
    <s v=""/>
    <s v=""/>
    <s v=""/>
    <s v=""/>
    <m/>
    <m/>
    <m/>
    <m/>
    <m/>
    <m/>
    <m/>
    <m/>
    <m/>
    <m/>
    <m/>
  </r>
  <r>
    <x v="2"/>
    <s v="Brgy. Del Carmen"/>
    <s v="City of San Fernando"/>
    <s v="MBA"/>
    <n v="15.058015230000001"/>
    <n v="120.6816953"/>
    <s v="15.05801523,120.6816953"/>
    <d v="2022-12-09T00:00:00"/>
    <x v="6"/>
    <s v="Elyza A. Evilla"/>
    <m/>
    <s v="John Sherwin Y. Loquellano"/>
    <m/>
    <m/>
    <m/>
    <m/>
    <m/>
    <m/>
    <s v=""/>
    <s v=""/>
    <s v=""/>
    <s v=""/>
    <m/>
    <m/>
    <m/>
    <m/>
    <m/>
    <m/>
    <m/>
    <m/>
    <m/>
    <m/>
    <m/>
  </r>
  <r>
    <x v="2"/>
    <s v="Brgy. Saguin"/>
    <s v="City of San Fernando"/>
    <s v="MBA"/>
    <n v="15.09544"/>
    <n v="120.62245"/>
    <s v="15.09544,120.62245"/>
    <d v="2022-12-09T00:00:00"/>
    <x v="6"/>
    <s v="Elyza A. Evilla"/>
    <m/>
    <s v="John Sherwin Y. Loquellano"/>
    <m/>
    <m/>
    <m/>
    <m/>
    <m/>
    <m/>
    <s v=""/>
    <s v=""/>
    <s v=""/>
    <s v=""/>
    <m/>
    <s v="NON-OPERATIONAL"/>
    <m/>
    <m/>
    <m/>
    <m/>
    <m/>
    <m/>
    <m/>
    <m/>
    <m/>
  </r>
  <r>
    <x v="2"/>
    <s v="Brgy. Dela Paz Norte"/>
    <s v="City of San Fernando"/>
    <s v="MBA"/>
    <n v="15.08694"/>
    <n v="120.62741"/>
    <s v="15.08694,120.62741"/>
    <d v="2022-12-09T00:00:00"/>
    <x v="1"/>
    <s v="Elyza A. Evilla"/>
    <m/>
    <s v="John Sherwin Y. Loquellano"/>
    <m/>
    <m/>
    <m/>
    <m/>
    <m/>
    <m/>
    <s v=""/>
    <s v=""/>
    <s v=""/>
    <s v=""/>
    <m/>
    <s v="NON-OPERATIONAL"/>
    <m/>
    <m/>
    <m/>
    <m/>
    <m/>
    <m/>
    <m/>
    <m/>
    <m/>
  </r>
  <r>
    <x v="2"/>
    <s v="Brgy. De La Paz Sur"/>
    <s v="City of San Fernando"/>
    <s v="MBA"/>
    <n v="15.073954000000001"/>
    <n v="120.63764"/>
    <s v="15.073954,120.63764"/>
    <d v="2022-12-09T00:00:00"/>
    <x v="1"/>
    <s v="Elyza A. Evilla"/>
    <m/>
    <s v="John Sherwin Y. Loquellano"/>
    <m/>
    <m/>
    <m/>
    <m/>
    <m/>
    <m/>
    <s v=""/>
    <s v=""/>
    <s v=""/>
    <s v=""/>
    <m/>
    <s v="NON-OPERATIONAL"/>
    <m/>
    <m/>
    <m/>
    <m/>
    <m/>
    <m/>
    <m/>
    <m/>
    <m/>
  </r>
  <r>
    <x v="2"/>
    <s v="Brgy. Panipuan"/>
    <s v="City of San Fernando"/>
    <s v="MBA"/>
    <n v="15.10947"/>
    <n v="120.62806"/>
    <s v="15.10947,120.62806"/>
    <d v="2022-12-09T00:00:00"/>
    <x v="5"/>
    <s v="Elyza A. Evilla"/>
    <m/>
    <s v="John Sherwin Y. Loquellano"/>
    <m/>
    <m/>
    <m/>
    <m/>
    <m/>
    <m/>
    <s v=""/>
    <s v=""/>
    <s v=""/>
    <s v=""/>
    <m/>
    <s v="NON-OPERATIONAL"/>
    <m/>
    <m/>
    <m/>
    <m/>
    <m/>
    <m/>
    <m/>
    <m/>
    <m/>
  </r>
  <r>
    <x v="2"/>
    <s v="Brgy. Del Carmen"/>
    <s v="City of San Fernando"/>
    <s v="MBA"/>
    <n v="15.04842"/>
    <n v="120.684"/>
    <s v="15.04842,120.684"/>
    <d v="2022-12-09T00:00:00"/>
    <x v="8"/>
    <s v="Elyza A. Evilla"/>
    <m/>
    <s v="John Sherwin Y. Loquellano"/>
    <m/>
    <m/>
    <m/>
    <m/>
    <m/>
    <m/>
    <s v=""/>
    <s v=""/>
    <s v=""/>
    <s v=""/>
    <m/>
    <s v="NON-OPERATIONAL"/>
    <m/>
    <m/>
    <m/>
    <m/>
    <m/>
    <m/>
    <m/>
    <m/>
    <m/>
  </r>
  <r>
    <x v="2"/>
    <s v="Brgy. Calulut"/>
    <s v="City of San Fernando"/>
    <s v="MBA"/>
    <n v="15.095210829999999"/>
    <n v="120.6470649"/>
    <s v="15.09521083,120.6470649"/>
    <d v="2022-12-09T00:00:00"/>
    <x v="8"/>
    <s v="Elyza A. Evilla"/>
    <m/>
    <s v="John Sherwin Y. Loquellano"/>
    <m/>
    <m/>
    <m/>
    <m/>
    <m/>
    <m/>
    <s v=""/>
    <s v=""/>
    <s v=""/>
    <s v=""/>
    <m/>
    <m/>
    <m/>
    <m/>
    <m/>
    <m/>
    <m/>
    <m/>
    <m/>
    <m/>
    <m/>
  </r>
  <r>
    <x v="2"/>
    <s v="Brgy Sto Rosario"/>
    <s v="City of San Fernando"/>
    <s v="MBA"/>
    <n v="15.039218"/>
    <n v="120.69381"/>
    <s v="15.039218,120.69381"/>
    <d v="2022-12-09T00:00:00"/>
    <x v="1"/>
    <s v="Elyza A. Evilla"/>
    <m/>
    <s v="John Sherwin Y. Loquellano"/>
    <m/>
    <m/>
    <m/>
    <m/>
    <m/>
    <m/>
    <s v=""/>
    <s v=""/>
    <s v=""/>
    <s v=""/>
    <m/>
    <s v="OPERATIONAL"/>
    <m/>
    <m/>
    <m/>
    <m/>
    <m/>
    <m/>
    <m/>
    <m/>
    <m/>
  </r>
  <r>
    <x v="2"/>
    <s v="Brgy Magliman"/>
    <s v="City of San Fernando"/>
    <s v="MBA"/>
    <n v="15.02400166"/>
    <n v="120.67145499999999"/>
    <s v="15.02400166,120.671455"/>
    <d v="2022-12-09T00:00:00"/>
    <x v="2"/>
    <s v="Elyza A. Evilla"/>
    <m/>
    <s v="John Sherwin Y. Loquellano"/>
    <m/>
    <m/>
    <m/>
    <m/>
    <m/>
    <m/>
    <s v=""/>
    <s v=""/>
    <s v=""/>
    <s v=""/>
    <m/>
    <s v="OPERATIONAL"/>
    <m/>
    <m/>
    <m/>
    <m/>
    <m/>
    <m/>
    <m/>
    <m/>
    <m/>
  </r>
  <r>
    <x v="2"/>
    <s v="Brgy Magliman"/>
    <s v="City of San Fernando"/>
    <s v="MBA"/>
    <n v="15.027603300000001"/>
    <n v="120.66880500000001"/>
    <s v="15.0276033,120.668805"/>
    <d v="2022-12-09T00:00:00"/>
    <x v="2"/>
    <s v="Elyza A. Evilla"/>
    <m/>
    <s v="John Sherwin Y. Loquellano"/>
    <m/>
    <m/>
    <m/>
    <m/>
    <m/>
    <m/>
    <s v=""/>
    <s v=""/>
    <s v=""/>
    <s v=""/>
    <m/>
    <s v="OPERATIONAL"/>
    <m/>
    <m/>
    <m/>
    <m/>
    <m/>
    <m/>
    <m/>
    <m/>
    <m/>
  </r>
  <r>
    <x v="2"/>
    <s v="Brgy Magliman"/>
    <s v="City of San Fernando"/>
    <s v="MBA"/>
    <n v="15.021888000000001"/>
    <n v="120.67368999999999"/>
    <s v="15.021888,120.67369"/>
    <d v="2022-12-09T00:00:00"/>
    <x v="2"/>
    <s v="Elyza A. Evilla"/>
    <m/>
    <s v="John Sherwin Y. Loquellano"/>
    <m/>
    <m/>
    <m/>
    <m/>
    <m/>
    <m/>
    <s v=""/>
    <s v=""/>
    <s v=""/>
    <s v=""/>
    <m/>
    <m/>
    <m/>
    <m/>
    <m/>
    <m/>
    <m/>
    <m/>
    <m/>
    <m/>
    <m/>
  </r>
  <r>
    <x v="2"/>
    <s v="Brgy. San Jose"/>
    <s v="City of San Fernando"/>
    <s v="MBA"/>
    <n v="15.039218"/>
    <n v="120.699387"/>
    <s v="15.039218,120.699387"/>
    <d v="2022-12-09T00:00:00"/>
    <x v="4"/>
    <s v="Elyza A. Evilla"/>
    <m/>
    <s v="John Sherwin Y. Loquellano"/>
    <m/>
    <m/>
    <m/>
    <m/>
    <m/>
    <m/>
    <s v=""/>
    <s v=""/>
    <s v=""/>
    <s v=""/>
    <m/>
    <s v="NON-OPERATIONAL"/>
    <m/>
    <m/>
    <m/>
    <m/>
    <m/>
    <m/>
    <m/>
    <m/>
    <m/>
  </r>
  <r>
    <x v="2"/>
    <s v="Brgy. Del Pilar"/>
    <s v="City of San Fernando"/>
    <s v="MBA"/>
    <n v="15.029429"/>
    <n v="120.695542"/>
    <s v="15.029429,120.695542"/>
    <d v="2022-12-09T00:00:00"/>
    <x v="4"/>
    <s v="Elyza A. Evilla"/>
    <m/>
    <s v="John Sherwin Y. Loquellano"/>
    <m/>
    <m/>
    <m/>
    <m/>
    <m/>
    <m/>
    <s v=""/>
    <s v=""/>
    <s v=""/>
    <s v=""/>
    <m/>
    <s v="OPERATIONAL"/>
    <m/>
    <m/>
    <m/>
    <m/>
    <m/>
    <m/>
    <m/>
    <m/>
    <m/>
  </r>
  <r>
    <x v="2"/>
    <s v="Brgy. Sta. Lucia"/>
    <s v="City of San Fernando"/>
    <s v="MBA"/>
    <s v="15. 0220550"/>
    <n v="120.68897200000001"/>
    <s v="15. 0220550,120.688972"/>
    <d v="2022-12-09T00:00:00"/>
    <x v="2"/>
    <s v="Elyza A. Evilla"/>
    <m/>
    <s v="John Sherwin Y. Loquellano"/>
    <m/>
    <m/>
    <m/>
    <m/>
    <m/>
    <m/>
    <s v=""/>
    <s v=""/>
    <s v=""/>
    <s v=""/>
    <m/>
    <s v="NON-OPERATIONAL"/>
    <m/>
    <m/>
    <m/>
    <m/>
    <m/>
    <m/>
    <m/>
    <m/>
    <m/>
  </r>
  <r>
    <x v="2"/>
    <s v="Brgy San Agustin"/>
    <s v="City of San Fernando"/>
    <s v="MBA"/>
    <n v="15.04059333"/>
    <n v="120.666473"/>
    <s v="15.04059333,120.666473"/>
    <d v="2022-12-09T00:00:00"/>
    <x v="5"/>
    <s v="Elyza A. Evilla"/>
    <m/>
    <s v="John Sherwin Y. Loquellano"/>
    <m/>
    <m/>
    <m/>
    <m/>
    <m/>
    <m/>
    <s v=""/>
    <s v=""/>
    <s v=""/>
    <s v=""/>
    <m/>
    <s v="NON-OPERATIONAL"/>
    <m/>
    <m/>
    <m/>
    <m/>
    <m/>
    <m/>
    <m/>
    <m/>
    <m/>
  </r>
  <r>
    <x v="2"/>
    <s v="Brgy. San Antonio"/>
    <s v="Guagua"/>
    <s v="MBA"/>
    <n v="14.966881799999999"/>
    <n v="120.61168926000001"/>
    <s v="14.9668818 120.61168926"/>
    <d v="2022-12-20T00:00:00"/>
    <x v="4"/>
    <s v="VACANT"/>
    <m/>
    <s v="Jun D. Guillermo"/>
    <m/>
    <m/>
    <m/>
    <m/>
    <m/>
    <m/>
    <s v=""/>
    <s v=""/>
    <s v=""/>
    <s v=""/>
    <m/>
    <m/>
    <m/>
    <m/>
    <m/>
    <m/>
    <m/>
    <m/>
    <m/>
    <m/>
    <m/>
  </r>
  <r>
    <x v="2"/>
    <s v="Brgy. Plaza Burgos"/>
    <s v="Guagua"/>
    <s v="MBA"/>
    <n v="14.9665506"/>
    <n v="120.63293143999999"/>
    <s v="14.9665506,120.63293144"/>
    <d v="2022-12-20T00:00:00"/>
    <x v="4"/>
    <s v="VACANT"/>
    <m/>
    <s v="Jun D. Guillermo"/>
    <m/>
    <m/>
    <m/>
    <m/>
    <m/>
    <m/>
    <s v=""/>
    <s v=""/>
    <s v=""/>
    <s v=""/>
    <m/>
    <m/>
    <m/>
    <m/>
    <m/>
    <m/>
    <m/>
    <m/>
    <m/>
    <m/>
    <m/>
  </r>
  <r>
    <x v="2"/>
    <s v="Brgy. San Agustin 1"/>
    <s v="Lubao"/>
    <s v="MBA"/>
    <n v="14.924878100000001"/>
    <n v="120.5848987"/>
    <s v="14.9248781,120.5848987"/>
    <d v="2022-12-14T00:00:00"/>
    <x v="3"/>
    <s v="VACANT"/>
    <m/>
    <s v="Jun D. Guillermo"/>
    <m/>
    <m/>
    <m/>
    <m/>
    <m/>
    <m/>
    <s v=""/>
    <s v=""/>
    <s v=""/>
    <s v=""/>
    <m/>
    <s v="NON-OPERATIONAL"/>
    <m/>
    <m/>
    <m/>
    <m/>
    <m/>
    <m/>
    <m/>
    <m/>
    <m/>
  </r>
  <r>
    <x v="2"/>
    <s v="Brgy Sta Catalina 1"/>
    <s v="Lubao"/>
    <s v="MBA"/>
    <n v="14.9245"/>
    <n v="120.59059999999999"/>
    <s v="14.9245120.5906"/>
    <d v="2022-12-14T00:00:00"/>
    <x v="3"/>
    <s v="VACANT"/>
    <m/>
    <s v="Jun D. Guillermo"/>
    <m/>
    <m/>
    <m/>
    <m/>
    <m/>
    <m/>
    <s v=""/>
    <s v=""/>
    <s v=""/>
    <s v=""/>
    <m/>
    <s v="NON-OPERATIONAL"/>
    <m/>
    <m/>
    <m/>
    <m/>
    <m/>
    <m/>
    <m/>
    <m/>
    <m/>
  </r>
  <r>
    <x v="2"/>
    <s v="Brgy Sta Catalina 2"/>
    <s v="Lubao"/>
    <s v="MBA"/>
    <n v="14.9245"/>
    <n v="120.59050000000001"/>
    <s v="14.9245120.5905"/>
    <d v="2022-12-14T00:00:00"/>
    <x v="3"/>
    <s v="VACANT"/>
    <m/>
    <s v="Jun D. Guillermo"/>
    <m/>
    <m/>
    <m/>
    <m/>
    <m/>
    <m/>
    <s v=""/>
    <s v=""/>
    <s v=""/>
    <s v=""/>
    <m/>
    <s v="NON-OPERATIONAL"/>
    <m/>
    <m/>
    <m/>
    <m/>
    <m/>
    <m/>
    <m/>
    <m/>
    <m/>
  </r>
  <r>
    <x v="2"/>
    <s v="Brgy Sta Catalina 3"/>
    <s v="Lubao"/>
    <s v="MBA"/>
    <n v="14.924424999999999"/>
    <n v="120.59044166"/>
    <s v="14.9244250,120.59044166"/>
    <d v="2022-12-14T00:00:00"/>
    <x v="3"/>
    <s v="VACANT"/>
    <m/>
    <s v="Jun D. Guillermo"/>
    <m/>
    <m/>
    <m/>
    <m/>
    <m/>
    <m/>
    <s v=""/>
    <s v=""/>
    <s v=""/>
    <s v=""/>
    <m/>
    <s v="OPERATIONAL"/>
    <m/>
    <m/>
    <m/>
    <m/>
    <m/>
    <m/>
    <m/>
    <m/>
    <m/>
  </r>
  <r>
    <x v="2"/>
    <s v="Brgy Sta Catalina 4"/>
    <s v="Lubao"/>
    <s v="MBA"/>
    <n v="14.9222"/>
    <n v="120.58969999999999"/>
    <s v="14.9222120.5897"/>
    <d v="2022-12-14T00:00:00"/>
    <x v="3"/>
    <s v="VACANT"/>
    <m/>
    <s v="Jun D. Guillermo"/>
    <m/>
    <m/>
    <m/>
    <m/>
    <m/>
    <m/>
    <s v=""/>
    <s v=""/>
    <s v=""/>
    <s v=""/>
    <m/>
    <s v="OPERATIONAL"/>
    <m/>
    <m/>
    <m/>
    <m/>
    <m/>
    <m/>
    <m/>
    <m/>
    <m/>
  </r>
  <r>
    <x v="2"/>
    <s v="Brgy. San Agustin 2"/>
    <s v="Lubao"/>
    <s v="MBA"/>
    <n v="14.925700000000001"/>
    <n v="120.5838"/>
    <s v="14.9257120.5838"/>
    <d v="2022-12-14T00:00:00"/>
    <x v="3"/>
    <s v="VACANT"/>
    <m/>
    <s v="Jun D. Guillermo"/>
    <m/>
    <m/>
    <m/>
    <m/>
    <m/>
    <m/>
    <s v=""/>
    <s v=""/>
    <s v=""/>
    <s v=""/>
    <m/>
    <s v="NON-OPERATIONAL"/>
    <m/>
    <m/>
    <m/>
    <m/>
    <m/>
    <m/>
    <m/>
    <m/>
    <m/>
  </r>
  <r>
    <x v="2"/>
    <s v="Brgy Sta Monica 1"/>
    <s v="Lubao"/>
    <s v="MBA"/>
    <n v="14.951266"/>
    <n v="120.61238"/>
    <s v="14.951266120.61238"/>
    <d v="2022-12-14T00:00:00"/>
    <x v="3"/>
    <s v="VACANT"/>
    <m/>
    <s v="Jun D. Guillermo"/>
    <m/>
    <m/>
    <m/>
    <m/>
    <m/>
    <m/>
    <s v=""/>
    <s v=""/>
    <s v=""/>
    <s v=""/>
    <m/>
    <s v="OPERATIONAL"/>
    <m/>
    <m/>
    <m/>
    <m/>
    <m/>
    <m/>
    <m/>
    <m/>
    <m/>
  </r>
  <r>
    <x v="2"/>
    <s v="Brgy Sta Monica 2"/>
    <s v="Lubao"/>
    <s v="MBA"/>
    <n v="14.955979900000001"/>
    <n v="120.6073548"/>
    <s v="14.9559799,120.6073548"/>
    <d v="2022-12-14T00:00:00"/>
    <x v="3"/>
    <s v="VACANT"/>
    <m/>
    <s v="Jun D. Guillermo"/>
    <m/>
    <m/>
    <m/>
    <m/>
    <m/>
    <m/>
    <s v=""/>
    <s v=""/>
    <s v=""/>
    <s v=""/>
    <m/>
    <s v="OPERATIONAL"/>
    <m/>
    <m/>
    <m/>
    <m/>
    <m/>
    <m/>
    <m/>
    <m/>
    <m/>
  </r>
  <r>
    <x v="2"/>
    <s v="Brgy Sta Lucia"/>
    <s v="Lubao"/>
    <s v="MBA"/>
    <n v="14.924878100000001"/>
    <n v="120.58389870000001"/>
    <s v="14.9248781,120.5838987"/>
    <d v="2022-12-14T00:00:00"/>
    <x v="4"/>
    <s v="VACANT"/>
    <m/>
    <s v="Jun D. Guillermo"/>
    <m/>
    <m/>
    <m/>
    <m/>
    <m/>
    <m/>
    <s v=""/>
    <s v=""/>
    <s v=""/>
    <s v=""/>
    <m/>
    <m/>
    <m/>
    <m/>
    <m/>
    <m/>
    <m/>
    <m/>
    <m/>
    <m/>
    <m/>
  </r>
  <r>
    <x v="2"/>
    <s v="Brgy Parian"/>
    <s v="Mexico"/>
    <s v="MBA"/>
    <n v="15.06450143"/>
    <n v="120.72068711"/>
    <s v="15.06450143,120.72068711"/>
    <d v="2022-12-16T00:00:00"/>
    <x v="0"/>
    <s v="Roger T. Encarnacion II"/>
    <m/>
    <s v="Jun D. Guillermo"/>
    <m/>
    <m/>
    <m/>
    <m/>
    <m/>
    <m/>
    <s v=""/>
    <s v=""/>
    <s v=""/>
    <s v=""/>
    <m/>
    <m/>
    <m/>
    <m/>
    <m/>
    <m/>
    <m/>
    <m/>
    <m/>
    <m/>
    <m/>
  </r>
  <r>
    <x v="2"/>
    <s v="Brgy. San Antonio"/>
    <s v="Mexico"/>
    <s v="MBA"/>
    <n v="15.062239999999999"/>
    <n v="120.72565"/>
    <s v="15.06224,120.72565"/>
    <d v="2022-12-16T00:00:00"/>
    <x v="0"/>
    <s v="Roger T. Encarnacion II"/>
    <m/>
    <s v="Jun D. Guillermo"/>
    <m/>
    <m/>
    <m/>
    <m/>
    <m/>
    <m/>
    <s v=""/>
    <s v=""/>
    <s v=""/>
    <s v=""/>
    <m/>
    <s v="NON-OPERATIONAL"/>
    <m/>
    <m/>
    <m/>
    <m/>
    <m/>
    <m/>
    <m/>
    <m/>
    <m/>
  </r>
  <r>
    <x v="2"/>
    <s v="Brgy Lagundi"/>
    <s v="Mexico"/>
    <s v="MBA"/>
    <n v="15.053599"/>
    <n v="120.7117367"/>
    <s v="15.053599,120.7117367"/>
    <d v="2022-12-16T00:00:00"/>
    <x v="8"/>
    <s v="Roger T. Encarnacion II"/>
    <m/>
    <s v="Jun D. Guillermo"/>
    <m/>
    <m/>
    <m/>
    <m/>
    <m/>
    <m/>
    <s v=""/>
    <s v=""/>
    <s v=""/>
    <s v=""/>
    <m/>
    <m/>
    <m/>
    <m/>
    <m/>
    <m/>
    <m/>
    <m/>
    <m/>
    <m/>
    <m/>
  </r>
  <r>
    <x v="2"/>
    <s v="Brgy. Sta. Rita 2"/>
    <s v="Minalin"/>
    <s v="MBA"/>
    <n v="120.6859"/>
    <n v="14.974600000000001"/>
    <s v="120.685914.9746"/>
    <d v="2022-12-06T00:00:00"/>
    <x v="6"/>
    <s v="Glaiza S.Gaza"/>
    <m/>
    <s v="John Sherwin Y. Loquellano"/>
    <m/>
    <m/>
    <m/>
    <m/>
    <m/>
    <m/>
    <s v=""/>
    <s v=""/>
    <s v=""/>
    <s v=""/>
    <m/>
    <s v="OPERATIONAL"/>
    <m/>
    <m/>
    <m/>
    <m/>
    <m/>
    <m/>
    <m/>
    <m/>
    <m/>
  </r>
  <r>
    <x v="2"/>
    <s v="Brgy. San Isidro 2"/>
    <s v="Minalin"/>
    <s v="MBA"/>
    <m/>
    <m/>
    <s v="14.958755,120.722592"/>
    <d v="2022-12-20T00:00:00"/>
    <x v="2"/>
    <s v="Glaiza S.Gaza"/>
    <m/>
    <s v="John Sherwin Y. Loquellano"/>
    <m/>
    <m/>
    <m/>
    <m/>
    <m/>
    <m/>
    <s v=""/>
    <s v=""/>
    <s v=""/>
    <s v=""/>
    <m/>
    <m/>
    <m/>
    <m/>
    <m/>
    <m/>
    <m/>
    <m/>
    <m/>
    <m/>
    <m/>
  </r>
  <r>
    <x v="2"/>
    <s v="Brgy. San Isidro 1"/>
    <s v="Minalin"/>
    <s v="MBA"/>
    <m/>
    <m/>
    <s v="14.955854,120.71768335"/>
    <d v="2022-12-20T00:00:00"/>
    <x v="2"/>
    <s v="Glaiza S.Gaza"/>
    <m/>
    <s v="John Sherwin Y. Loquellano"/>
    <m/>
    <m/>
    <m/>
    <m/>
    <m/>
    <m/>
    <s v=""/>
    <s v=""/>
    <s v=""/>
    <s v=""/>
    <m/>
    <m/>
    <m/>
    <m/>
    <m/>
    <m/>
    <m/>
    <m/>
    <m/>
    <m/>
    <m/>
  </r>
  <r>
    <x v="2"/>
    <s v="Brgy. Sta. Catalina 2"/>
    <s v="Minalin"/>
    <s v="MBA"/>
    <n v="120.68040000000001"/>
    <n v="14.9642"/>
    <s v="120.680414.9642"/>
    <d v="2022-12-06T00:00:00"/>
    <x v="0"/>
    <s v="Glaiza S.Gaza"/>
    <m/>
    <s v="John Sherwin Y. Loquellano"/>
    <m/>
    <m/>
    <m/>
    <m/>
    <m/>
    <m/>
    <s v=""/>
    <s v=""/>
    <s v=""/>
    <s v=""/>
    <m/>
    <s v="OPERATIONAL"/>
    <m/>
    <m/>
    <m/>
    <m/>
    <m/>
    <m/>
    <m/>
    <m/>
    <m/>
  </r>
  <r>
    <x v="2"/>
    <s v="Brgy. San Nicolas"/>
    <s v="Minalin"/>
    <s v="MBA"/>
    <n v="120.68429999999999"/>
    <n v="14.9673"/>
    <s v="120.684314.9673"/>
    <d v="2022-12-06T00:00:00"/>
    <x v="6"/>
    <s v="Glaiza S.Gaza"/>
    <m/>
    <s v="John Sherwin Y. Loquellano"/>
    <m/>
    <m/>
    <m/>
    <m/>
    <m/>
    <m/>
    <s v=""/>
    <s v=""/>
    <s v=""/>
    <s v=""/>
    <m/>
    <s v="OPERATIONAL"/>
    <m/>
    <m/>
    <m/>
    <m/>
    <m/>
    <m/>
    <m/>
    <m/>
    <m/>
  </r>
  <r>
    <x v="2"/>
    <s v="Brgy. Sta. Rita 1"/>
    <s v="Minalin"/>
    <s v="MBA"/>
    <m/>
    <m/>
    <s v="14.978734,120.6940286"/>
    <d v="2022-12-20T00:00:00"/>
    <x v="6"/>
    <s v="Glaiza S.Gaza"/>
    <m/>
    <s v="John Sherwin Y. Loquellano"/>
    <m/>
    <m/>
    <m/>
    <m/>
    <m/>
    <m/>
    <s v=""/>
    <s v=""/>
    <s v=""/>
    <s v=""/>
    <m/>
    <m/>
    <m/>
    <m/>
    <m/>
    <m/>
    <m/>
    <m/>
    <m/>
    <m/>
    <m/>
  </r>
  <r>
    <x v="2"/>
    <s v="Brgy. Sta. Catalina 1"/>
    <s v="Minalin"/>
    <s v="MBA"/>
    <m/>
    <m/>
    <s v="14.9627305,120.67621858"/>
    <d v="2022-12-20T00:00:00"/>
    <x v="0"/>
    <s v="Glaiza S.Gaza"/>
    <m/>
    <s v="John Sherwin Y. Loquellano"/>
    <m/>
    <m/>
    <m/>
    <m/>
    <m/>
    <m/>
    <s v=""/>
    <s v=""/>
    <s v=""/>
    <s v=""/>
    <m/>
    <m/>
    <m/>
    <m/>
    <m/>
    <m/>
    <m/>
    <m/>
    <m/>
    <m/>
    <m/>
  </r>
  <r>
    <x v="2"/>
    <s v="Brgy. San Pedro"/>
    <s v="Minalin"/>
    <s v="MBA"/>
    <n v="120.6904"/>
    <n v="14.9779"/>
    <s v="120.690414.9779"/>
    <d v="2022-12-06T00:00:00"/>
    <x v="5"/>
    <s v="Glaiza S.Gaza"/>
    <m/>
    <s v="John Sherwin Y. Loquellano"/>
    <m/>
    <m/>
    <m/>
    <m/>
    <m/>
    <m/>
    <s v=""/>
    <s v=""/>
    <s v=""/>
    <s v=""/>
    <m/>
    <s v="OPERATIONAL"/>
    <m/>
    <m/>
    <m/>
    <m/>
    <m/>
    <m/>
    <m/>
    <m/>
    <m/>
  </r>
  <r>
    <x v="2"/>
    <s v="Brgy. Sto. Rosario"/>
    <s v="Minalin"/>
    <s v="MBA"/>
    <n v="120.6879"/>
    <n v="14.9702"/>
    <s v="120.687914.9702"/>
    <d v="2022-12-20T00:00:00"/>
    <x v="5"/>
    <s v="Glaiza S.Gaza"/>
    <m/>
    <s v="John Sherwin Y. Loquellano"/>
    <m/>
    <m/>
    <m/>
    <m/>
    <m/>
    <m/>
    <s v=""/>
    <s v=""/>
    <s v=""/>
    <s v=""/>
    <m/>
    <s v="OPERATIONAL"/>
    <m/>
    <m/>
    <m/>
    <m/>
    <m/>
    <m/>
    <m/>
    <m/>
    <m/>
  </r>
  <r>
    <x v="2"/>
    <s v="Brgy. Cangatba"/>
    <s v="Porac"/>
    <s v="MBA"/>
    <n v="15.072355"/>
    <n v="120.54201500000001"/>
    <s v="15.072355,120.542015"/>
    <d v="2022-12-14T00:00:00"/>
    <x v="1"/>
    <s v="Elyza A. Evilla"/>
    <m/>
    <s v="John Sherwin Y. Loquellano"/>
    <m/>
    <m/>
    <m/>
    <m/>
    <m/>
    <m/>
    <s v=""/>
    <s v=""/>
    <s v=""/>
    <s v=""/>
    <m/>
    <s v="NON-OPERATIONAL"/>
    <m/>
    <m/>
    <m/>
    <m/>
    <m/>
    <m/>
    <m/>
    <m/>
    <m/>
  </r>
  <r>
    <x v="2"/>
    <s v="Brgy. Cangatba"/>
    <s v="Porac"/>
    <s v="MBA"/>
    <n v="15.072430000000001"/>
    <n v="120.54197000000001"/>
    <s v="15.07243,120.54197"/>
    <d v="2022-12-14T00:00:00"/>
    <x v="1"/>
    <s v="Elyza A. Evilla"/>
    <m/>
    <s v="John Sherwin Y. Loquellano"/>
    <m/>
    <m/>
    <m/>
    <m/>
    <m/>
    <m/>
    <s v=""/>
    <s v=""/>
    <s v=""/>
    <s v=""/>
    <m/>
    <s v="NON-OPERATIONAL"/>
    <m/>
    <m/>
    <m/>
    <m/>
    <m/>
    <m/>
    <m/>
    <m/>
    <m/>
  </r>
  <r>
    <x v="2"/>
    <s v="Brgy.San Juan"/>
    <s v="San Luis"/>
    <s v="MBA"/>
    <n v="15.061400000000001"/>
    <n v="120.8172"/>
    <s v="15.0614,120.8172"/>
    <d v="2022-12-20T00:00:00"/>
    <x v="1"/>
    <s v="Glaiza S.Gaza"/>
    <m/>
    <s v="John Sherwin Y. Loquellano"/>
    <m/>
    <m/>
    <m/>
    <m/>
    <m/>
    <m/>
    <s v=""/>
    <s v=""/>
    <s v=""/>
    <s v=""/>
    <m/>
    <s v="NON-OPERATIONAL"/>
    <m/>
    <m/>
    <m/>
    <m/>
    <m/>
    <m/>
    <m/>
    <m/>
    <m/>
  </r>
  <r>
    <x v="2"/>
    <s v="Brgy.San Juan"/>
    <s v="San Luis"/>
    <s v="MBA"/>
    <n v="15.061480100000001"/>
    <n v="120.81720799999999"/>
    <s v="15.0614801,120.817208"/>
    <d v="2022-12-20T00:00:00"/>
    <x v="1"/>
    <s v="Glaiza S.Gaza"/>
    <m/>
    <s v="John Sherwin Y. Loquellano"/>
    <m/>
    <m/>
    <m/>
    <m/>
    <m/>
    <m/>
    <s v=""/>
    <s v=""/>
    <s v=""/>
    <s v=""/>
    <m/>
    <s v="NON-OPERATIONAL"/>
    <m/>
    <m/>
    <m/>
    <m/>
    <m/>
    <m/>
    <m/>
    <m/>
    <m/>
  </r>
  <r>
    <x v="2"/>
    <s v="Brgy. Sta. Cruz"/>
    <s v="San Simon"/>
    <s v="MBA"/>
    <n v="15.0448"/>
    <n v="120.78740000000001"/>
    <s v="15.0448120.7874"/>
    <d v="2022-12-06T00:00:00"/>
    <x v="8"/>
    <s v="Glaiza S.Gaza"/>
    <m/>
    <s v="John Sherwin Y. Loquellano"/>
    <m/>
    <m/>
    <m/>
    <m/>
    <m/>
    <m/>
    <s v=""/>
    <s v=""/>
    <s v=""/>
    <s v=""/>
    <m/>
    <s v="NON-OPERATIONAL"/>
    <m/>
    <m/>
    <m/>
    <m/>
    <m/>
    <m/>
    <m/>
    <m/>
    <m/>
  </r>
  <r>
    <x v="2"/>
    <s v="Brgy. Sta. Cruz"/>
    <s v="San Simon"/>
    <s v="MBA"/>
    <n v="15.0448"/>
    <n v="120.78740000000001"/>
    <s v="15.0448120.7874"/>
    <d v="2022-12-06T00:00:00"/>
    <x v="8"/>
    <s v="Glaiza S.Gaza"/>
    <m/>
    <s v="John Sherwin Y. Loquellano"/>
    <m/>
    <m/>
    <m/>
    <m/>
    <m/>
    <m/>
    <s v=""/>
    <s v=""/>
    <s v=""/>
    <s v=""/>
    <m/>
    <s v="NON-OPERATIONAL"/>
    <m/>
    <m/>
    <m/>
    <m/>
    <m/>
    <m/>
    <m/>
    <m/>
    <m/>
  </r>
  <r>
    <x v="2"/>
    <s v="Brgy San Vicente"/>
    <s v="Sto. Tomas"/>
    <s v="MBA"/>
    <n v="14.991580000000001"/>
    <n v="120.70707"/>
    <s v="14.99158120.70707"/>
    <d v="2022-12-19T00:00:00"/>
    <x v="2"/>
    <s v="Elyza A. Evilla"/>
    <m/>
    <s v="John Sherwin Y. Loquellano"/>
    <m/>
    <m/>
    <m/>
    <m/>
    <m/>
    <m/>
    <s v=""/>
    <s v=""/>
    <s v=""/>
    <s v=""/>
    <m/>
    <s v="NON-OPERATIONAL"/>
    <m/>
    <m/>
    <m/>
    <m/>
    <m/>
    <m/>
    <m/>
    <m/>
    <m/>
  </r>
  <r>
    <x v="2"/>
    <s v="Brgy San Vicente"/>
    <s v="Sto. Tomas"/>
    <s v="MBA"/>
    <n v="15.002700000000001"/>
    <n v="120.70361"/>
    <s v="15.0027120.70361"/>
    <d v="2022-12-19T00:00:00"/>
    <x v="2"/>
    <s v="Elyza A. Evilla"/>
    <m/>
    <s v="John Sherwin Y. Loquellano"/>
    <m/>
    <m/>
    <m/>
    <m/>
    <m/>
    <m/>
    <s v=""/>
    <s v=""/>
    <s v=""/>
    <s v=""/>
    <m/>
    <s v="NON-OPERATIONAL"/>
    <m/>
    <m/>
    <m/>
    <m/>
    <m/>
    <m/>
    <m/>
    <m/>
    <m/>
  </r>
  <r>
    <x v="2"/>
    <s v="Brgy San Bartolome"/>
    <s v="Sto. Tomas"/>
    <s v="MBA"/>
    <n v="14.983359999999999"/>
    <n v="120.70086000000001"/>
    <s v="14.98336120.70086"/>
    <d v="2022-12-19T00:00:00"/>
    <x v="2"/>
    <s v="Elyza A. Evilla"/>
    <m/>
    <s v="John Sherwin Y. Loquellano"/>
    <m/>
    <m/>
    <m/>
    <m/>
    <m/>
    <m/>
    <s v=""/>
    <s v=""/>
    <s v=""/>
    <s v=""/>
    <m/>
    <s v="OPERATIONAL"/>
    <m/>
    <m/>
    <m/>
    <m/>
    <m/>
    <m/>
    <m/>
    <m/>
    <m/>
  </r>
  <r>
    <x v="2"/>
    <s v="Brgy. Sto Rosario"/>
    <s v="Sto. Tomas"/>
    <s v="MBA"/>
    <n v="15.016450000000001"/>
    <n v="120.71693"/>
    <s v="15.01645,120.71693"/>
    <d v="2022-12-19T00:00:00"/>
    <x v="8"/>
    <s v="Elyza A. Evilla"/>
    <m/>
    <s v="John Sherwin Y. Loquellano"/>
    <m/>
    <m/>
    <m/>
    <m/>
    <m/>
    <m/>
    <s v=""/>
    <s v=""/>
    <s v=""/>
    <s v=""/>
    <m/>
    <s v="NON-OPERATIONAL"/>
    <m/>
    <m/>
    <m/>
    <m/>
    <m/>
    <m/>
    <m/>
    <m/>
    <m/>
  </r>
  <r>
    <x v="2"/>
    <s v="Brgy. Sto Rosario"/>
    <s v="Sto. Tomas"/>
    <s v="MBA"/>
    <n v="15.016450000000001"/>
    <n v="120.71692"/>
    <s v="15.01645,120.71692"/>
    <d v="2022-12-19T00:00:00"/>
    <x v="8"/>
    <s v="Elyza A. Evilla"/>
    <m/>
    <s v="John Sherwin Y. Loquellano"/>
    <m/>
    <m/>
    <m/>
    <m/>
    <m/>
    <m/>
    <s v=""/>
    <s v=""/>
    <s v=""/>
    <s v=""/>
    <m/>
    <s v="OPERATIONAL"/>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MARIA AURORA"/>
    <s v="Nikko Jay M. Valenzuela"/>
    <s v="Diozelle L. Cabalar"/>
    <x v="0"/>
    <m/>
    <m/>
    <m/>
    <m/>
  </r>
  <r>
    <x v="0"/>
    <s v="BALER"/>
    <s v="Zaila Mae Leander"/>
    <s v="Diozelle L. Cabalar"/>
    <x v="0"/>
    <m/>
    <m/>
    <m/>
    <m/>
  </r>
  <r>
    <x v="1"/>
    <s v="BALANGA CITY"/>
    <s v="Dennis Tolentino"/>
    <s v="Christle D. David"/>
    <x v="0"/>
    <m/>
    <m/>
    <m/>
    <m/>
  </r>
  <r>
    <x v="2"/>
    <s v="MONCADA"/>
    <s v="Joshua A. Capones"/>
    <s v="Jan Emerson C. Gonzales"/>
    <x v="0"/>
    <m/>
    <m/>
    <m/>
    <m/>
  </r>
  <r>
    <x v="3"/>
    <s v="BOTOLAN"/>
    <s v="Larizze A. Santos"/>
    <s v="Jun D. Guillermo"/>
    <x v="0"/>
    <m/>
    <m/>
    <m/>
    <m/>
  </r>
  <r>
    <x v="0"/>
    <s v="DINGALAN"/>
    <s v="Nikko Jay M. Valenzuela"/>
    <s v="Diozelle L. Cabalar"/>
    <x v="1"/>
    <m/>
    <m/>
    <m/>
    <m/>
  </r>
  <r>
    <x v="0"/>
    <s v="DIPACULAO"/>
    <s v="Zaila Mae Leander"/>
    <s v="Diozelle L. Cabalar"/>
    <x v="1"/>
    <m/>
    <m/>
    <m/>
    <m/>
  </r>
  <r>
    <x v="4"/>
    <s v="PANTABANGAN"/>
    <s v="Hosannah R. Sabio"/>
    <s v="Zosimo P. Suyat"/>
    <x v="1"/>
    <m/>
    <m/>
    <m/>
    <m/>
  </r>
  <r>
    <x v="2"/>
    <s v="CONCEPCION"/>
    <s v="Gretzhen M. Apolonio"/>
    <s v="Jan Emerson C. Gonzales"/>
    <x v="1"/>
    <m/>
    <m/>
    <m/>
    <m/>
  </r>
  <r>
    <x v="3"/>
    <s v="IBA"/>
    <s v="Larizze A. Santos"/>
    <s v="Jun D. Guillermo"/>
    <x v="1"/>
    <m/>
    <m/>
    <m/>
    <m/>
  </r>
  <r>
    <x v="0"/>
    <s v="CASIGURAN"/>
    <s v="Queenyvel Laguisma"/>
    <s v="Diozelle L. Cabalar"/>
    <x v="2"/>
    <m/>
    <m/>
    <m/>
    <m/>
  </r>
  <r>
    <x v="1"/>
    <s v="BAGAC"/>
    <s v="Laurence Radasa"/>
    <s v="Christle D. David"/>
    <x v="2"/>
    <m/>
    <m/>
    <m/>
    <m/>
  </r>
  <r>
    <x v="4"/>
    <s v="PALAYAN CITY"/>
    <s v="Hosannah R. Sabio"/>
    <s v="Zosimo P. Suyat"/>
    <x v="2"/>
    <m/>
    <m/>
    <m/>
    <m/>
  </r>
  <r>
    <x v="2"/>
    <s v="LAPAZ"/>
    <s v="Gretzhen M. Apolonio"/>
    <s v="Jan Emerson C. Gonzales"/>
    <x v="2"/>
    <m/>
    <m/>
    <m/>
    <m/>
  </r>
  <r>
    <x v="3"/>
    <s v="SAN MARCELINO"/>
    <s v="VACANT"/>
    <s v="Jun D. Guillermo"/>
    <x v="2"/>
    <m/>
    <m/>
    <m/>
    <m/>
  </r>
  <r>
    <x v="1"/>
    <s v="SAMAL"/>
    <s v="John-lester Signio"/>
    <s v="Christle D. David"/>
    <x v="3"/>
    <m/>
    <m/>
    <m/>
    <m/>
  </r>
  <r>
    <x v="4"/>
    <s v="SAN JOSE"/>
    <s v="Hosannah R. Sabio"/>
    <s v="Zosimo P. Suyat"/>
    <x v="3"/>
    <m/>
    <m/>
    <m/>
    <m/>
  </r>
  <r>
    <x v="2"/>
    <s v="GERONA"/>
    <s v="Joshua A. Capones"/>
    <s v="Jan Emerson C. Gonzales"/>
    <x v="3"/>
    <m/>
    <m/>
    <m/>
    <m/>
  </r>
  <r>
    <x v="2"/>
    <s v="VICTORIA"/>
    <s v="Gretzhen M. Apolonio"/>
    <s v="Jan Emerson C. Gonzales"/>
    <x v="3"/>
    <m/>
    <m/>
    <m/>
    <m/>
  </r>
  <r>
    <x v="3"/>
    <s v="SAN ANTONIO"/>
    <s v="VACANT"/>
    <s v="Jun D. Guillermo"/>
    <x v="3"/>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x v="0"/>
    <s v="Baler"/>
    <s v="Aurora, Baler"/>
    <s v="OUTSIDE MBA"/>
    <s v="Lone"/>
    <n v="15.759064"/>
    <n v="121.563075"/>
    <s v="15.759064,121.563075"/>
    <s v="Municipal / City Plan"/>
    <s v="859 series of 2018"/>
    <s v="2017 - 2027"/>
    <n v="2018"/>
    <n v="2027"/>
    <m/>
    <x v="0"/>
    <s v="Zaila Mae Leander"/>
    <s v="Diozelle L. Cabalar"/>
    <m/>
    <m/>
    <m/>
    <m/>
    <m/>
    <m/>
    <s v=""/>
    <s v=""/>
    <s v=""/>
    <s v=""/>
    <m/>
    <m/>
    <m/>
    <m/>
    <m/>
    <m/>
    <m/>
    <m/>
    <m/>
    <m/>
    <m/>
    <m/>
    <m/>
    <m/>
    <m/>
    <m/>
    <m/>
    <m/>
    <m/>
    <m/>
    <m/>
    <m/>
    <m/>
    <m/>
    <m/>
    <m/>
    <m/>
    <n v="232"/>
    <m/>
    <n v="32"/>
    <m/>
    <n v="56"/>
    <m/>
    <n v="76"/>
    <m/>
    <n v="45"/>
    <m/>
    <n v="23"/>
    <m/>
    <n v="70.689655172413794"/>
    <n v="29.310344827586203"/>
  </r>
  <r>
    <x v="0"/>
    <s v="Casiguran"/>
    <s v="Aurora, Casiguran"/>
    <s v="OUTSIDE MBA"/>
    <s v="Lone"/>
    <n v="16.277169000000001"/>
    <n v="122.12313899999999"/>
    <s v="16.277169,122.123139"/>
    <s v="Municipal / City Plan"/>
    <n v="1289"/>
    <s v="2017 - 2027"/>
    <n v="2019"/>
    <n v="2027"/>
    <m/>
    <x v="1"/>
    <s v="Queenyvel Laguisma"/>
    <s v="Diozelle L. Cabalar"/>
    <m/>
    <m/>
    <m/>
    <m/>
    <m/>
    <m/>
    <s v=""/>
    <s v=""/>
    <s v=""/>
    <s v=""/>
    <m/>
    <m/>
    <m/>
    <m/>
    <m/>
    <m/>
    <m/>
    <m/>
    <m/>
    <m/>
    <m/>
    <m/>
    <m/>
    <m/>
    <m/>
    <m/>
    <m/>
    <m/>
    <m/>
    <m/>
    <m/>
    <m/>
    <m/>
    <m/>
    <m/>
    <m/>
    <m/>
    <n v="0"/>
    <m/>
    <m/>
    <m/>
    <m/>
    <m/>
    <m/>
    <m/>
    <m/>
    <m/>
    <m/>
    <m/>
    <e v="#DIV/0!"/>
    <e v="#DIV/0!"/>
  </r>
  <r>
    <x v="0"/>
    <s v="Dilasag"/>
    <s v="Aurora, Dilasag"/>
    <s v="OUTSIDE MBA"/>
    <s v="Lone"/>
    <n v="16.392731000000001"/>
    <n v="122.211731"/>
    <s v="16.392731,122.211731"/>
    <s v="Municipal / City Plan"/>
    <s v="504 A series of 2018"/>
    <s v="2017 - 2027"/>
    <n v="2018"/>
    <n v="2027"/>
    <m/>
    <x v="2"/>
    <s v="Queenyvel Laguisma"/>
    <s v="Diozelle L. Cabalar"/>
    <m/>
    <m/>
    <m/>
    <m/>
    <m/>
    <m/>
    <s v=""/>
    <s v=""/>
    <s v=""/>
    <s v=""/>
    <m/>
    <m/>
    <m/>
    <m/>
    <m/>
    <m/>
    <m/>
    <m/>
    <m/>
    <m/>
    <m/>
    <m/>
    <m/>
    <m/>
    <m/>
    <m/>
    <m/>
    <m/>
    <m/>
    <m/>
    <m/>
    <m/>
    <m/>
    <m/>
    <m/>
    <m/>
    <m/>
    <n v="0"/>
    <m/>
    <m/>
    <m/>
    <m/>
    <m/>
    <m/>
    <m/>
    <m/>
    <m/>
    <m/>
    <m/>
    <e v="#DIV/0!"/>
    <e v="#DIV/0!"/>
  </r>
  <r>
    <x v="0"/>
    <s v="Dinalungan"/>
    <s v="Aurora, Dinalungan"/>
    <s v="OUTSIDE MBA"/>
    <s v="Lone"/>
    <n v="16.140246999999999"/>
    <n v="121.957053"/>
    <s v="16.140247,121.957053"/>
    <s v="Municipal / City Plan"/>
    <s v="NSWMC RESO NO. 1368 SERIES OF 2020"/>
    <s v="2017 - 2027"/>
    <n v="2020"/>
    <n v="2027"/>
    <m/>
    <x v="2"/>
    <s v="Queenyvel Laguisma"/>
    <s v="Diozelle L. Cabalar"/>
    <m/>
    <m/>
    <m/>
    <m/>
    <m/>
    <m/>
    <s v=""/>
    <s v=""/>
    <s v=""/>
    <s v=""/>
    <m/>
    <m/>
    <m/>
    <m/>
    <m/>
    <m/>
    <m/>
    <m/>
    <m/>
    <m/>
    <m/>
    <m/>
    <m/>
    <m/>
    <m/>
    <m/>
    <m/>
    <m/>
    <m/>
    <m/>
    <m/>
    <m/>
    <m/>
    <m/>
    <m/>
    <m/>
    <m/>
    <n v="0"/>
    <m/>
    <m/>
    <m/>
    <m/>
    <m/>
    <m/>
    <m/>
    <m/>
    <m/>
    <m/>
    <m/>
    <e v="#DIV/0!"/>
    <e v="#DIV/0!"/>
  </r>
  <r>
    <x v="0"/>
    <s v="Dingalan"/>
    <s v="Aurora, Dingalan"/>
    <s v="OUTSIDE MBA"/>
    <s v="Lone"/>
    <n v="15.388964"/>
    <n v="121.39117"/>
    <s v="15.388964,121.39117"/>
    <s v="Municipal / City Plan"/>
    <s v="1234 Series 2019"/>
    <s v="2017 - 2027"/>
    <n v="2019"/>
    <n v="2027"/>
    <m/>
    <x v="2"/>
    <s v="Nikko Jay M. Valenzuela"/>
    <s v="Diozelle L. Cabalar"/>
    <m/>
    <m/>
    <m/>
    <m/>
    <m/>
    <m/>
    <s v=""/>
    <s v=""/>
    <s v=""/>
    <s v=""/>
    <m/>
    <m/>
    <m/>
    <m/>
    <m/>
    <m/>
    <m/>
    <m/>
    <m/>
    <m/>
    <m/>
    <m/>
    <m/>
    <m/>
    <m/>
    <m/>
    <m/>
    <m/>
    <m/>
    <m/>
    <m/>
    <m/>
    <m/>
    <m/>
    <m/>
    <m/>
    <m/>
    <n v="0"/>
    <m/>
    <m/>
    <m/>
    <m/>
    <m/>
    <m/>
    <m/>
    <m/>
    <m/>
    <m/>
    <m/>
    <e v="#DIV/0!"/>
    <e v="#DIV/0!"/>
  </r>
  <r>
    <x v="0"/>
    <s v="Dipaculao"/>
    <s v="Aurora, Dipaculao"/>
    <s v="OUTSIDE MBA"/>
    <s v="Lone"/>
    <n v="15.848967"/>
    <n v="121.537459"/>
    <s v="15.848967,121.537459"/>
    <s v="Municipal / City Plan"/>
    <s v="NSWMC RESO NO. 502 SERIES OF 2018"/>
    <s v="2017 - 2027"/>
    <n v="2018"/>
    <n v="2027"/>
    <m/>
    <x v="2"/>
    <s v="Zaila Mae Leander"/>
    <s v="Diozelle L. Cabalar"/>
    <m/>
    <m/>
    <m/>
    <m/>
    <m/>
    <m/>
    <s v=""/>
    <s v=""/>
    <s v=""/>
    <s v=""/>
    <m/>
    <m/>
    <m/>
    <m/>
    <m/>
    <m/>
    <m/>
    <m/>
    <m/>
    <m/>
    <m/>
    <m/>
    <m/>
    <m/>
    <m/>
    <m/>
    <m/>
    <m/>
    <m/>
    <m/>
    <m/>
    <m/>
    <m/>
    <m/>
    <m/>
    <m/>
    <m/>
    <n v="0"/>
    <m/>
    <m/>
    <m/>
    <m/>
    <m/>
    <m/>
    <m/>
    <m/>
    <m/>
    <m/>
    <m/>
    <e v="#DIV/0!"/>
    <e v="#DIV/0!"/>
  </r>
  <r>
    <x v="0"/>
    <s v="Maria Aurora"/>
    <s v="Aurora, Maria Aurora"/>
    <s v="OUTSIDE MBA"/>
    <s v="Lone"/>
    <n v="15.798717"/>
    <n v="121.47355"/>
    <s v="15.798717,121.47355"/>
    <s v="Municipal / City Plan"/>
    <s v="NSWMC Resolution No. 139, Series of 2015"/>
    <s v="2015 - 2024"/>
    <n v="2015"/>
    <n v="2024"/>
    <s v="Approved"/>
    <x v="3"/>
    <s v="Nikko Jay M. Valenzuela"/>
    <s v="Diozelle L. Cabalar"/>
    <m/>
    <m/>
    <m/>
    <m/>
    <m/>
    <m/>
    <s v=""/>
    <s v=""/>
    <s v=""/>
    <s v=""/>
    <m/>
    <m/>
    <m/>
    <m/>
    <m/>
    <m/>
    <m/>
    <m/>
    <m/>
    <m/>
    <m/>
    <m/>
    <m/>
    <m/>
    <m/>
    <m/>
    <m/>
    <m/>
    <m/>
    <m/>
    <m/>
    <m/>
    <m/>
    <m/>
    <m/>
    <m/>
    <m/>
    <n v="0"/>
    <m/>
    <m/>
    <m/>
    <m/>
    <m/>
    <m/>
    <m/>
    <m/>
    <m/>
    <m/>
    <m/>
    <e v="#DIV/0!"/>
    <e v="#DIV/0!"/>
  </r>
  <r>
    <x v="0"/>
    <s v="San Luis_A"/>
    <s v="Aurora, San Luis_A"/>
    <s v="OUTSIDE MBA"/>
    <s v="Lone"/>
    <n v="15.720408000000001"/>
    <n v="121.520939"/>
    <s v="15.720408,121.520939"/>
    <s v="Municipal / City Plan"/>
    <n v="857"/>
    <s v="2018 - 2027"/>
    <n v="2018"/>
    <n v="2027"/>
    <m/>
    <x v="2"/>
    <s v="Zaila Mae Leander"/>
    <s v="Diozelle L. Cabalar"/>
    <m/>
    <m/>
    <m/>
    <m/>
    <m/>
    <m/>
    <s v=""/>
    <s v=""/>
    <s v=""/>
    <s v=""/>
    <m/>
    <m/>
    <m/>
    <m/>
    <m/>
    <m/>
    <m/>
    <m/>
    <m/>
    <m/>
    <m/>
    <m/>
    <m/>
    <m/>
    <m/>
    <m/>
    <m/>
    <m/>
    <m/>
    <m/>
    <m/>
    <m/>
    <m/>
    <m/>
    <m/>
    <m/>
    <m/>
    <n v="0"/>
    <m/>
    <m/>
    <m/>
    <m/>
    <m/>
    <m/>
    <m/>
    <m/>
    <m/>
    <m/>
    <m/>
    <e v="#DIV/0!"/>
    <e v="#DIV/0!"/>
  </r>
  <r>
    <x v="1"/>
    <s v="Abucay"/>
    <s v="Bataan, Abucay"/>
    <s v="MBA"/>
    <s v="1st"/>
    <n v="14.722282999999999"/>
    <n v="120.535442"/>
    <s v="14.722283,120.535442"/>
    <s v="Municipal / City Plan"/>
    <s v="1252 Series of 2019"/>
    <s v="2017 -2027"/>
    <n v="2019"/>
    <n v="2027"/>
    <m/>
    <x v="2"/>
    <s v="Dennis Tolentino"/>
    <s v="Christle D. David"/>
    <m/>
    <m/>
    <m/>
    <m/>
    <m/>
    <m/>
    <s v=""/>
    <s v=""/>
    <s v=""/>
    <s v=""/>
    <m/>
    <m/>
    <m/>
    <m/>
    <m/>
    <m/>
    <m/>
    <m/>
    <m/>
    <m/>
    <m/>
    <m/>
    <m/>
    <m/>
    <m/>
    <m/>
    <m/>
    <m/>
    <m/>
    <m/>
    <m/>
    <m/>
    <m/>
    <m/>
    <m/>
    <m/>
    <m/>
    <n v="0"/>
    <m/>
    <m/>
    <m/>
    <m/>
    <m/>
    <m/>
    <m/>
    <m/>
    <m/>
    <m/>
    <m/>
    <e v="#DIV/0!"/>
    <e v="#DIV/0!"/>
  </r>
  <r>
    <x v="1"/>
    <s v="Bagac"/>
    <s v="Bataan, Bagac"/>
    <s v="MBA"/>
    <s v="3rd"/>
    <n v="14.607148"/>
    <n v="120.40199699999999"/>
    <s v="14.607148,120.401997"/>
    <s v="Municipal / City Plan"/>
    <s v="975 SERIES OF 2017"/>
    <s v="2015 - 2024"/>
    <n v="2017"/>
    <n v="2024"/>
    <s v="For Renewal"/>
    <x v="3"/>
    <s v="Laurence Radasa"/>
    <s v="Christle D. David"/>
    <m/>
    <m/>
    <m/>
    <m/>
    <m/>
    <m/>
    <s v=""/>
    <s v=""/>
    <s v=""/>
    <s v=""/>
    <m/>
    <m/>
    <m/>
    <m/>
    <m/>
    <m/>
    <m/>
    <m/>
    <m/>
    <m/>
    <m/>
    <m/>
    <m/>
    <m/>
    <m/>
    <m/>
    <m/>
    <m/>
    <m/>
    <m/>
    <m/>
    <m/>
    <m/>
    <m/>
    <m/>
    <m/>
    <m/>
    <n v="0"/>
    <m/>
    <m/>
    <m/>
    <m/>
    <m/>
    <m/>
    <m/>
    <m/>
    <m/>
    <m/>
    <m/>
    <e v="#DIV/0!"/>
    <e v="#DIV/0!"/>
  </r>
  <r>
    <x v="1"/>
    <s v="City Of Balanga"/>
    <s v="Bataan, City Of Balanga"/>
    <s v="MBA"/>
    <s v="2nd"/>
    <n v="14.679914"/>
    <n v="120.54069800000001"/>
    <s v="14.679914,120.540698"/>
    <s v="Municipal / City Plan"/>
    <s v="482 series of 2016"/>
    <s v="2016 - 2025"/>
    <n v="2016"/>
    <n v="2025"/>
    <s v="For Renewal"/>
    <x v="2"/>
    <s v="Dennis Tolentino"/>
    <s v="Christle D. David"/>
    <m/>
    <m/>
    <m/>
    <m/>
    <m/>
    <m/>
    <s v=""/>
    <s v=""/>
    <s v=""/>
    <s v=""/>
    <m/>
    <m/>
    <m/>
    <m/>
    <m/>
    <m/>
    <m/>
    <m/>
    <m/>
    <m/>
    <m/>
    <m/>
    <m/>
    <m/>
    <m/>
    <m/>
    <m/>
    <m/>
    <m/>
    <m/>
    <m/>
    <m/>
    <m/>
    <m/>
    <m/>
    <m/>
    <m/>
    <n v="0"/>
    <m/>
    <m/>
    <m/>
    <m/>
    <m/>
    <m/>
    <m/>
    <m/>
    <m/>
    <m/>
    <m/>
    <e v="#DIV/0!"/>
    <e v="#DIV/0!"/>
  </r>
  <r>
    <x v="1"/>
    <s v="Dinalupihan"/>
    <s v="Bataan, Dinalupihan"/>
    <s v="MBA"/>
    <s v="3rd"/>
    <n v="14.866933"/>
    <n v="120.46110299999999"/>
    <s v="14.866933,120.461103"/>
    <s v="Municipal / City Plan"/>
    <s v="149 Series of 2015"/>
    <s v="2015 - 2025"/>
    <n v="2015"/>
    <n v="2025"/>
    <s v="For Renewal"/>
    <x v="4"/>
    <s v="John-lester Signio"/>
    <s v="Christle D. David"/>
    <m/>
    <m/>
    <m/>
    <m/>
    <m/>
    <m/>
    <s v=""/>
    <s v=""/>
    <s v=""/>
    <s v=""/>
    <m/>
    <m/>
    <m/>
    <m/>
    <m/>
    <m/>
    <m/>
    <m/>
    <m/>
    <m/>
    <m/>
    <m/>
    <m/>
    <m/>
    <m/>
    <m/>
    <m/>
    <m/>
    <m/>
    <m/>
    <m/>
    <m/>
    <m/>
    <m/>
    <m/>
    <m/>
    <m/>
    <n v="0"/>
    <m/>
    <m/>
    <m/>
    <m/>
    <m/>
    <m/>
    <m/>
    <m/>
    <m/>
    <m/>
    <m/>
    <e v="#DIV/0!"/>
    <e v="#DIV/0!"/>
  </r>
  <r>
    <x v="1"/>
    <s v="Hermosa"/>
    <s v="Bataan, Hermosa"/>
    <s v="MBA"/>
    <s v="1st"/>
    <n v="14.830648999999999"/>
    <n v="120.50856899999999"/>
    <s v="14.830649,120.508569"/>
    <s v="Municipal / City Plan"/>
    <s v="NSWMC Resolution No. 1173"/>
    <s v="2017 - 2027"/>
    <n v="2018"/>
    <n v="2027"/>
    <m/>
    <x v="2"/>
    <s v="John-lester Signio"/>
    <s v="Christle D. David"/>
    <m/>
    <m/>
    <m/>
    <m/>
    <m/>
    <m/>
    <s v=""/>
    <s v=""/>
    <s v=""/>
    <s v=""/>
    <m/>
    <m/>
    <m/>
    <m/>
    <m/>
    <m/>
    <m/>
    <m/>
    <m/>
    <m/>
    <m/>
    <m/>
    <m/>
    <m/>
    <m/>
    <m/>
    <m/>
    <m/>
    <m/>
    <m/>
    <m/>
    <m/>
    <m/>
    <m/>
    <m/>
    <m/>
    <m/>
    <n v="0"/>
    <m/>
    <m/>
    <m/>
    <m/>
    <m/>
    <m/>
    <m/>
    <m/>
    <m/>
    <m/>
    <m/>
    <e v="#DIV/0!"/>
    <e v="#DIV/0!"/>
  </r>
  <r>
    <x v="1"/>
    <s v="Limay"/>
    <s v="Bataan, Limay"/>
    <s v="MBA"/>
    <s v="2nd"/>
    <n v="14.561871"/>
    <n v="120.594915"/>
    <s v="14.561871,120.594915"/>
    <s v="Municipal / City Plan"/>
    <s v="No.501-A Series of 2020"/>
    <s v="2019 - 2029"/>
    <n v="2020"/>
    <n v="2029"/>
    <m/>
    <x v="2"/>
    <s v="Dennis Tolentino"/>
    <s v="Christle D. David"/>
    <m/>
    <m/>
    <m/>
    <m/>
    <m/>
    <m/>
    <s v=""/>
    <s v=""/>
    <s v=""/>
    <s v=""/>
    <m/>
    <m/>
    <m/>
    <m/>
    <m/>
    <m/>
    <m/>
    <m/>
    <m/>
    <m/>
    <m/>
    <m/>
    <m/>
    <m/>
    <m/>
    <m/>
    <m/>
    <m/>
    <m/>
    <m/>
    <m/>
    <m/>
    <m/>
    <m/>
    <m/>
    <m/>
    <m/>
    <n v="0"/>
    <m/>
    <m/>
    <m/>
    <m/>
    <m/>
    <m/>
    <m/>
    <m/>
    <m/>
    <m/>
    <m/>
    <e v="#DIV/0!"/>
    <e v="#DIV/0!"/>
  </r>
  <r>
    <x v="1"/>
    <s v="Mariveles"/>
    <s v="Bataan, Mariveles"/>
    <s v="MBA"/>
    <s v="3rd"/>
    <n v="14.435803999999999"/>
    <n v="120.49021399999999"/>
    <s v="14.435804,120.490214"/>
    <s v="Municipal / City Plan"/>
    <s v="483 SERIES 2016"/>
    <s v="2016 - 2025"/>
    <n v="2016"/>
    <n v="2025"/>
    <s v="For Renewal"/>
    <x v="1"/>
    <s v="Laurence Radasa"/>
    <s v="Christle D. David"/>
    <m/>
    <m/>
    <m/>
    <m/>
    <m/>
    <m/>
    <s v=""/>
    <s v=""/>
    <s v=""/>
    <s v=""/>
    <m/>
    <m/>
    <m/>
    <m/>
    <m/>
    <m/>
    <m/>
    <m/>
    <m/>
    <m/>
    <m/>
    <m/>
    <m/>
    <m/>
    <m/>
    <m/>
    <m/>
    <m/>
    <m/>
    <m/>
    <m/>
    <m/>
    <m/>
    <m/>
    <m/>
    <m/>
    <m/>
    <n v="0"/>
    <m/>
    <m/>
    <m/>
    <m/>
    <m/>
    <m/>
    <m/>
    <m/>
    <m/>
    <m/>
    <m/>
    <e v="#DIV/0!"/>
    <e v="#DIV/0!"/>
  </r>
  <r>
    <x v="1"/>
    <s v="Morong"/>
    <s v="Bataan, Morong"/>
    <s v="MBA"/>
    <s v="3rd"/>
    <n v="14.678464"/>
    <n v="120.265204"/>
    <s v="14.678464,120.265204"/>
    <s v="Municipal / City Plan"/>
    <s v="NSWMC Res. No. 1083 Series 2017"/>
    <s v="2017 - 2027"/>
    <n v="2018"/>
    <n v="2027"/>
    <m/>
    <x v="2"/>
    <s v="Laurence Radasa"/>
    <s v="Christle D. David"/>
    <m/>
    <m/>
    <m/>
    <m/>
    <m/>
    <m/>
    <s v=""/>
    <s v=""/>
    <s v=""/>
    <s v=""/>
    <m/>
    <m/>
    <m/>
    <m/>
    <m/>
    <m/>
    <m/>
    <m/>
    <m/>
    <m/>
    <m/>
    <m/>
    <m/>
    <m/>
    <m/>
    <m/>
    <m/>
    <m/>
    <m/>
    <m/>
    <m/>
    <m/>
    <m/>
    <m/>
    <m/>
    <m/>
    <m/>
    <n v="0"/>
    <m/>
    <m/>
    <m/>
    <m/>
    <m/>
    <m/>
    <m/>
    <m/>
    <m/>
    <m/>
    <m/>
    <e v="#DIV/0!"/>
    <e v="#DIV/0!"/>
  </r>
  <r>
    <x v="1"/>
    <s v="Orani"/>
    <s v="Bataan, Orani"/>
    <s v="MBA"/>
    <s v="1st"/>
    <n v="14.802092999999999"/>
    <n v="120.536636"/>
    <s v="14.802093,120.536636"/>
    <s v="Municipal / City Plan"/>
    <s v="1084 series of 2018"/>
    <s v="2017 - 2028"/>
    <n v="2018"/>
    <n v="2028"/>
    <m/>
    <x v="2"/>
    <s v="John-lester Signio"/>
    <s v="Christle D. David"/>
    <m/>
    <m/>
    <m/>
    <m/>
    <m/>
    <m/>
    <s v=""/>
    <s v=""/>
    <s v=""/>
    <s v=""/>
    <m/>
    <m/>
    <m/>
    <m/>
    <m/>
    <m/>
    <m/>
    <m/>
    <m/>
    <m/>
    <m/>
    <m/>
    <m/>
    <m/>
    <m/>
    <m/>
    <m/>
    <m/>
    <m/>
    <m/>
    <m/>
    <m/>
    <m/>
    <m/>
    <m/>
    <m/>
    <m/>
    <n v="0"/>
    <m/>
    <m/>
    <m/>
    <m/>
    <m/>
    <m/>
    <m/>
    <m/>
    <m/>
    <m/>
    <m/>
    <e v="#DIV/0!"/>
    <e v="#DIV/0!"/>
  </r>
  <r>
    <x v="1"/>
    <s v="Orion"/>
    <s v="Bataan, Orion"/>
    <s v="MBA"/>
    <s v="2nd"/>
    <n v="14.621155"/>
    <n v="120.576472"/>
    <s v="14.621155,120.576472"/>
    <s v="Municipal / City Plan"/>
    <s v="nswmc res.974 s2017"/>
    <s v="2015 - 2025"/>
    <n v="2017"/>
    <n v="2025"/>
    <s v="For Renewal"/>
    <x v="0"/>
    <s v="Dennis Tolentino"/>
    <s v="Christle D. David"/>
    <m/>
    <m/>
    <m/>
    <m/>
    <m/>
    <m/>
    <s v=""/>
    <s v=""/>
    <s v=""/>
    <s v=""/>
    <m/>
    <m/>
    <m/>
    <m/>
    <m/>
    <m/>
    <m/>
    <m/>
    <m/>
    <m/>
    <m/>
    <m/>
    <m/>
    <m/>
    <m/>
    <m/>
    <m/>
    <m/>
    <m/>
    <m/>
    <m/>
    <m/>
    <m/>
    <m/>
    <m/>
    <m/>
    <m/>
    <n v="0"/>
    <m/>
    <m/>
    <m/>
    <m/>
    <m/>
    <m/>
    <m/>
    <m/>
    <m/>
    <m/>
    <m/>
    <e v="#DIV/0!"/>
    <e v="#DIV/0!"/>
  </r>
  <r>
    <x v="1"/>
    <s v="Pilar"/>
    <s v="Bataan, Pilar"/>
    <s v="MBA"/>
    <s v="2nd"/>
    <n v="14.668509999999999"/>
    <n v="120.552837"/>
    <s v="14.66851,120.552837"/>
    <s v="Municipal / City Plan"/>
    <s v="NSWMC Res. No. 138 s. 2015"/>
    <s v="2015 - 2024"/>
    <n v="2015"/>
    <n v="2024"/>
    <s v="For Renewal"/>
    <x v="5"/>
    <s v="Dennis Tolentino"/>
    <s v="Christle D. David"/>
    <m/>
    <m/>
    <m/>
    <m/>
    <m/>
    <m/>
    <s v=""/>
    <s v=""/>
    <s v=""/>
    <s v=""/>
    <m/>
    <m/>
    <m/>
    <m/>
    <m/>
    <m/>
    <m/>
    <m/>
    <m/>
    <m/>
    <m/>
    <m/>
    <m/>
    <m/>
    <m/>
    <m/>
    <m/>
    <m/>
    <m/>
    <m/>
    <m/>
    <m/>
    <m/>
    <m/>
    <m/>
    <m/>
    <m/>
    <n v="0"/>
    <m/>
    <m/>
    <m/>
    <m/>
    <m/>
    <m/>
    <m/>
    <m/>
    <m/>
    <m/>
    <m/>
    <e v="#DIV/0!"/>
    <e v="#DIV/0!"/>
  </r>
  <r>
    <x v="1"/>
    <s v="Samal"/>
    <s v="Bataan, Samal"/>
    <s v="MBA"/>
    <s v="1st"/>
    <n v="14.768971000000001"/>
    <n v="120.542407"/>
    <s v="14.768971,120.542407"/>
    <s v="Municipal / City Plan"/>
    <s v="975 SERIES OF 2017"/>
    <s v="2015 - 2024"/>
    <n v="2017"/>
    <n v="2024"/>
    <s v="For Renewal"/>
    <x v="6"/>
    <s v="John-lester Signio"/>
    <s v="Christle D. David"/>
    <m/>
    <m/>
    <m/>
    <m/>
    <m/>
    <m/>
    <s v=""/>
    <s v=""/>
    <s v=""/>
    <s v=""/>
    <m/>
    <m/>
    <m/>
    <m/>
    <m/>
    <m/>
    <m/>
    <m/>
    <m/>
    <m/>
    <m/>
    <m/>
    <m/>
    <m/>
    <m/>
    <m/>
    <m/>
    <m/>
    <m/>
    <m/>
    <m/>
    <m/>
    <m/>
    <m/>
    <m/>
    <m/>
    <m/>
    <n v="0"/>
    <m/>
    <m/>
    <m/>
    <m/>
    <m/>
    <m/>
    <m/>
    <m/>
    <m/>
    <m/>
    <m/>
    <e v="#DIV/0!"/>
    <e v="#DIV/0!"/>
  </r>
  <r>
    <x v="2"/>
    <s v="Angat"/>
    <s v="Bulacan, Angat"/>
    <s v="MBA"/>
    <s v="6th"/>
    <n v="14.928065309999999"/>
    <n v="121.02828409999999"/>
    <s v="14.92806531,121.0282841"/>
    <s v="Municipal / City Plan"/>
    <s v="1079 Series of 2018"/>
    <s v="2017 - 2027"/>
    <n v="2018"/>
    <n v="2027"/>
    <m/>
    <x v="2"/>
    <s v="Ronaldo P. Roque, Jr."/>
    <s v="Diozelle L. Cabalar"/>
    <m/>
    <m/>
    <m/>
    <m/>
    <m/>
    <m/>
    <s v=""/>
    <s v=""/>
    <s v=""/>
    <s v=""/>
    <m/>
    <m/>
    <m/>
    <m/>
    <m/>
    <m/>
    <m/>
    <m/>
    <m/>
    <m/>
    <m/>
    <m/>
    <m/>
    <m/>
    <m/>
    <m/>
    <m/>
    <m/>
    <m/>
    <m/>
    <m/>
    <m/>
    <m/>
    <m/>
    <m/>
    <m/>
    <m/>
    <n v="0"/>
    <m/>
    <m/>
    <m/>
    <m/>
    <m/>
    <m/>
    <m/>
    <m/>
    <m/>
    <m/>
    <m/>
    <e v="#DIV/0!"/>
    <e v="#DIV/0!"/>
  </r>
  <r>
    <x v="2"/>
    <s v="Balagtas"/>
    <s v="Bulacan, Balagtas"/>
    <s v="MBA"/>
    <s v="5th"/>
    <n v="14.817360000000001"/>
    <n v="120.90809299999999"/>
    <s v="14.81736,120.908093"/>
    <s v="Municipal / City Plan"/>
    <s v="1179 Series of 2018"/>
    <s v="2017 - 2027"/>
    <n v="2018"/>
    <n v="2027"/>
    <m/>
    <x v="5"/>
    <s v="Jasmin Marie N. Siapco"/>
    <s v="Diozelle L. Cabalar"/>
    <m/>
    <m/>
    <m/>
    <m/>
    <m/>
    <m/>
    <s v=""/>
    <s v=""/>
    <s v=""/>
    <s v=""/>
    <m/>
    <m/>
    <m/>
    <m/>
    <m/>
    <m/>
    <m/>
    <m/>
    <m/>
    <m/>
    <m/>
    <m/>
    <m/>
    <m/>
    <m/>
    <m/>
    <m/>
    <m/>
    <m/>
    <m/>
    <m/>
    <m/>
    <m/>
    <m/>
    <m/>
    <m/>
    <m/>
    <n v="0"/>
    <m/>
    <m/>
    <m/>
    <m/>
    <m/>
    <m/>
    <m/>
    <m/>
    <m/>
    <m/>
    <m/>
    <e v="#DIV/0!"/>
    <e v="#DIV/0!"/>
  </r>
  <r>
    <x v="2"/>
    <s v="Bulakan"/>
    <s v="Bulacan, Bulakan"/>
    <s v="MBA"/>
    <s v="1st"/>
    <n v="14.794464120000001"/>
    <n v="120.8789154"/>
    <s v="14.79446412,120.8789154"/>
    <s v="Municipal / City Plan"/>
    <n v="1180"/>
    <s v="2017 - 2027"/>
    <n v="2018"/>
    <n v="2027"/>
    <m/>
    <x v="5"/>
    <s v="Jasmin Marie N. Siapco"/>
    <s v="Diozelle L. Cabalar"/>
    <m/>
    <m/>
    <m/>
    <m/>
    <m/>
    <m/>
    <s v=""/>
    <s v=""/>
    <s v=""/>
    <s v=""/>
    <m/>
    <m/>
    <m/>
    <m/>
    <m/>
    <m/>
    <m/>
    <m/>
    <m/>
    <m/>
    <m/>
    <m/>
    <m/>
    <m/>
    <m/>
    <m/>
    <m/>
    <m/>
    <m/>
    <m/>
    <m/>
    <m/>
    <m/>
    <m/>
    <m/>
    <m/>
    <m/>
    <n v="0"/>
    <m/>
    <m/>
    <m/>
    <m/>
    <m/>
    <m/>
    <m/>
    <m/>
    <m/>
    <m/>
    <m/>
    <e v="#DIV/0!"/>
    <e v="#DIV/0!"/>
  </r>
  <r>
    <x v="2"/>
    <s v="Bustos"/>
    <s v="Bulacan, Bustos"/>
    <s v="MBA"/>
    <s v="2nd"/>
    <n v="14.95378487"/>
    <n v="120.9188855"/>
    <s v="14.95378487,120.9188855"/>
    <s v="Municipal / City Plan"/>
    <s v="1325 s.2019"/>
    <s v="2017 - 2027"/>
    <n v="2019"/>
    <n v="2027"/>
    <m/>
    <x v="2"/>
    <s v="Ronaldo P. Roque, Jr."/>
    <s v="Diozelle L. Cabalar"/>
    <m/>
    <m/>
    <m/>
    <m/>
    <m/>
    <m/>
    <s v=""/>
    <s v=""/>
    <s v=""/>
    <s v=""/>
    <m/>
    <m/>
    <m/>
    <m/>
    <m/>
    <m/>
    <m/>
    <m/>
    <m/>
    <m/>
    <m/>
    <m/>
    <m/>
    <m/>
    <m/>
    <m/>
    <m/>
    <m/>
    <m/>
    <m/>
    <m/>
    <m/>
    <m/>
    <m/>
    <m/>
    <m/>
    <m/>
    <n v="0"/>
    <m/>
    <m/>
    <m/>
    <m/>
    <m/>
    <m/>
    <m/>
    <m/>
    <m/>
    <m/>
    <m/>
    <e v="#DIV/0!"/>
    <e v="#DIV/0!"/>
  </r>
  <r>
    <x v="2"/>
    <s v="Calumpit"/>
    <s v="Bulacan, Calumpit"/>
    <s v="MBA"/>
    <s v="1st"/>
    <n v="14.913959999999999"/>
    <n v="120.764777"/>
    <s v="14.91396,120.764777"/>
    <s v="Municipal / City Plan"/>
    <s v="1082 series of 2018"/>
    <s v="2017 - 2028"/>
    <n v="2018"/>
    <n v="2028"/>
    <m/>
    <x v="2"/>
    <s v="VACANT"/>
    <s v="Diozelle L. Cabalar"/>
    <m/>
    <m/>
    <m/>
    <m/>
    <m/>
    <m/>
    <s v=""/>
    <s v=""/>
    <s v=""/>
    <s v=""/>
    <m/>
    <m/>
    <m/>
    <m/>
    <m/>
    <m/>
    <m/>
    <m/>
    <m/>
    <m/>
    <m/>
    <m/>
    <m/>
    <m/>
    <m/>
    <m/>
    <m/>
    <m/>
    <m/>
    <m/>
    <m/>
    <m/>
    <m/>
    <m/>
    <m/>
    <m/>
    <m/>
    <n v="0"/>
    <m/>
    <m/>
    <m/>
    <m/>
    <m/>
    <m/>
    <m/>
    <m/>
    <m/>
    <m/>
    <m/>
    <e v="#DIV/0!"/>
    <e v="#DIV/0!"/>
  </r>
  <r>
    <x v="2"/>
    <s v="City Of Baliwag"/>
    <s v="Bulacan, City Of Baliwag"/>
    <s v="MBA"/>
    <s v="2nd"/>
    <n v="14.959281000000001"/>
    <n v="120.899518"/>
    <s v="14.959281,120.899518"/>
    <s v="Municipal / City Plan"/>
    <s v="653 A Series of 2018"/>
    <s v="2017 - 2027"/>
    <n v="2018"/>
    <n v="2027"/>
    <m/>
    <x v="5"/>
    <s v="VACANT"/>
    <s v="Diozelle L. Cabalar"/>
    <m/>
    <m/>
    <m/>
    <m/>
    <m/>
    <m/>
    <s v=""/>
    <s v=""/>
    <s v=""/>
    <s v=""/>
    <m/>
    <m/>
    <m/>
    <m/>
    <m/>
    <m/>
    <m/>
    <m/>
    <m/>
    <m/>
    <m/>
    <m/>
    <m/>
    <m/>
    <m/>
    <m/>
    <m/>
    <m/>
    <m/>
    <m/>
    <m/>
    <m/>
    <m/>
    <m/>
    <m/>
    <m/>
    <m/>
    <n v="0"/>
    <m/>
    <m/>
    <m/>
    <m/>
    <m/>
    <m/>
    <m/>
    <m/>
    <m/>
    <m/>
    <m/>
    <e v="#DIV/0!"/>
    <e v="#DIV/0!"/>
  </r>
  <r>
    <x v="2"/>
    <s v="City Of Malolos"/>
    <s v="Bulacan, City Of Malolos"/>
    <s v="MBA"/>
    <s v="1st"/>
    <n v="14.843702"/>
    <n v="120.811145"/>
    <s v="14.843702,120.811145"/>
    <s v="Municipal / City Plan"/>
    <s v="NSWMC RESO NO. 503-A SERIES OF 2019"/>
    <s v="2018-2028"/>
    <n v="2019"/>
    <n v="2028"/>
    <m/>
    <x v="2"/>
    <s v="Ronaldo P. Roque, Jr."/>
    <s v="Diozelle L. Cabalar"/>
    <m/>
    <m/>
    <m/>
    <m/>
    <m/>
    <m/>
    <s v=""/>
    <s v=""/>
    <s v=""/>
    <s v=""/>
    <m/>
    <m/>
    <m/>
    <m/>
    <m/>
    <m/>
    <m/>
    <m/>
    <m/>
    <m/>
    <m/>
    <m/>
    <m/>
    <m/>
    <m/>
    <m/>
    <m/>
    <m/>
    <m/>
    <m/>
    <m/>
    <m/>
    <m/>
    <m/>
    <m/>
    <m/>
    <m/>
    <n v="0"/>
    <m/>
    <m/>
    <m/>
    <m/>
    <m/>
    <m/>
    <m/>
    <m/>
    <m/>
    <m/>
    <m/>
    <e v="#DIV/0!"/>
    <e v="#DIV/0!"/>
  </r>
  <r>
    <x v="2"/>
    <s v="City Of Meycauayan"/>
    <s v="Bulacan, City Of Meycauayan"/>
    <s v="MBA"/>
    <s v="4th"/>
    <n v="14.774921000000001"/>
    <n v="120.99868499999999"/>
    <s v="14.774921,120.998685"/>
    <s v="Municipal / City Plan"/>
    <s v="NSWMC RESO NO. 1326 SERIES OF 2019"/>
    <s v="2018 -2028"/>
    <n v="2019"/>
    <n v="2028"/>
    <s v="For Renewal"/>
    <x v="3"/>
    <s v="James Wilson T. Pena"/>
    <s v="Diozelle L. Cabalar"/>
    <m/>
    <m/>
    <m/>
    <m/>
    <m/>
    <m/>
    <s v=""/>
    <s v=""/>
    <s v=""/>
    <s v=""/>
    <m/>
    <m/>
    <m/>
    <m/>
    <m/>
    <m/>
    <m/>
    <m/>
    <m/>
    <m/>
    <m/>
    <m/>
    <m/>
    <m/>
    <m/>
    <m/>
    <m/>
    <m/>
    <m/>
    <m/>
    <m/>
    <m/>
    <m/>
    <m/>
    <m/>
    <m/>
    <m/>
    <n v="0"/>
    <m/>
    <m/>
    <m/>
    <m/>
    <m/>
    <m/>
    <m/>
    <m/>
    <m/>
    <m/>
    <m/>
    <e v="#DIV/0!"/>
    <e v="#DIV/0!"/>
  </r>
  <r>
    <x v="2"/>
    <s v="City Of San Jose Del Monte"/>
    <s v="Bulacan, City Of San Jose Del Monte"/>
    <s v="MBA"/>
    <s v="Lone"/>
    <n v="14.810226999999999"/>
    <n v="121.047703"/>
    <s v="14.810227,121.047703"/>
    <s v="Municipal / City Plan"/>
    <s v="197 Series of 2015"/>
    <s v="2015 - 2024"/>
    <n v="2015"/>
    <n v="2024"/>
    <s v="For Renewal"/>
    <x v="1"/>
    <s v="James Wilson T. Pena"/>
    <s v="Diozelle L. Cabalar"/>
    <m/>
    <m/>
    <m/>
    <m/>
    <m/>
    <m/>
    <s v=""/>
    <s v=""/>
    <s v=""/>
    <s v=""/>
    <m/>
    <m/>
    <m/>
    <m/>
    <m/>
    <m/>
    <m/>
    <m/>
    <m/>
    <m/>
    <m/>
    <m/>
    <m/>
    <m/>
    <m/>
    <m/>
    <m/>
    <m/>
    <m/>
    <m/>
    <m/>
    <m/>
    <m/>
    <m/>
    <m/>
    <m/>
    <m/>
    <n v="0"/>
    <m/>
    <m/>
    <m/>
    <m/>
    <m/>
    <m/>
    <m/>
    <m/>
    <m/>
    <m/>
    <m/>
    <e v="#DIV/0!"/>
    <e v="#DIV/0!"/>
  </r>
  <r>
    <x v="2"/>
    <s v="Doña Remedios Trinidad"/>
    <s v="Bulacan, Doña Remedios Trinidad"/>
    <s v="MBA"/>
    <s v="3rd"/>
    <n v="14.970660000000001"/>
    <n v="121.064527"/>
    <s v="14.97066,121.064527"/>
    <s v="Municipal / City Plan"/>
    <s v="774 A series of 2017"/>
    <s v="2016 - 2025"/>
    <n v="2017"/>
    <n v="2025"/>
    <s v="For Renewal"/>
    <x v="0"/>
    <s v="VACANT"/>
    <s v="Diozelle L. Cabalar"/>
    <m/>
    <m/>
    <m/>
    <m/>
    <m/>
    <m/>
    <s v=""/>
    <s v=""/>
    <s v=""/>
    <s v=""/>
    <m/>
    <m/>
    <m/>
    <m/>
    <m/>
    <m/>
    <m/>
    <m/>
    <m/>
    <m/>
    <m/>
    <m/>
    <m/>
    <m/>
    <m/>
    <m/>
    <m/>
    <m/>
    <m/>
    <m/>
    <m/>
    <m/>
    <m/>
    <m/>
    <m/>
    <m/>
    <m/>
    <n v="0"/>
    <m/>
    <m/>
    <m/>
    <m/>
    <m/>
    <m/>
    <m/>
    <m/>
    <m/>
    <m/>
    <m/>
    <e v="#DIV/0!"/>
    <e v="#DIV/0!"/>
  </r>
  <r>
    <x v="2"/>
    <s v="Guiguinto"/>
    <s v="Bulacan, Guiguinto"/>
    <s v="MBA"/>
    <s v="5th"/>
    <n v="14.8274194"/>
    <n v="120.87897"/>
    <s v="14.8274194,120.87897"/>
    <s v="Municipal / City Plan"/>
    <s v="1080 series of 2018"/>
    <s v="2017 - 2027"/>
    <n v="2018"/>
    <n v="2027"/>
    <m/>
    <x v="2"/>
    <s v="Jasmin Marie N. Siapco"/>
    <s v="Diozelle L. Cabalar"/>
    <m/>
    <m/>
    <m/>
    <m/>
    <m/>
    <m/>
    <s v=""/>
    <s v=""/>
    <s v=""/>
    <s v=""/>
    <m/>
    <m/>
    <m/>
    <m/>
    <m/>
    <m/>
    <m/>
    <m/>
    <m/>
    <m/>
    <m/>
    <m/>
    <m/>
    <m/>
    <m/>
    <m/>
    <m/>
    <m/>
    <m/>
    <m/>
    <m/>
    <m/>
    <m/>
    <m/>
    <m/>
    <m/>
    <m/>
    <n v="0"/>
    <m/>
    <m/>
    <m/>
    <m/>
    <m/>
    <m/>
    <m/>
    <m/>
    <m/>
    <m/>
    <m/>
    <e v="#DIV/0!"/>
    <e v="#DIV/0!"/>
  </r>
  <r>
    <x v="2"/>
    <s v="Hagonoy"/>
    <s v="Bulacan, Hagonoy"/>
    <s v="MBA"/>
    <s v="1st"/>
    <n v="14.836099000000001"/>
    <n v="120.734098"/>
    <s v="14.836099,120.734098"/>
    <s v="Municipal / City Plan"/>
    <s v="499A"/>
    <s v="2016 - 2025"/>
    <n v="2018"/>
    <n v="2025"/>
    <s v="For Renewal"/>
    <x v="1"/>
    <s v="Ronaldo P. Roque, Jr."/>
    <s v="Diozelle L. Cabalar"/>
    <m/>
    <m/>
    <m/>
    <m/>
    <m/>
    <m/>
    <s v=""/>
    <s v=""/>
    <s v=""/>
    <s v=""/>
    <m/>
    <m/>
    <m/>
    <m/>
    <m/>
    <m/>
    <m/>
    <m/>
    <m/>
    <m/>
    <m/>
    <m/>
    <m/>
    <m/>
    <m/>
    <m/>
    <m/>
    <m/>
    <m/>
    <m/>
    <m/>
    <m/>
    <m/>
    <m/>
    <m/>
    <m/>
    <m/>
    <n v="0"/>
    <m/>
    <m/>
    <m/>
    <m/>
    <m/>
    <m/>
    <m/>
    <m/>
    <m/>
    <m/>
    <m/>
    <e v="#DIV/0!"/>
    <e v="#DIV/0!"/>
  </r>
  <r>
    <x v="2"/>
    <s v="Marilao"/>
    <s v="Bulacan, Marilao"/>
    <s v="MBA"/>
    <s v="4th"/>
    <n v="14.774122"/>
    <n v="120.959182"/>
    <s v="14.774122,120.959182"/>
    <s v="Municipal / City Plan"/>
    <s v="No.1427 Series of 2020"/>
    <s v="2019 - 2029"/>
    <n v="2020"/>
    <n v="2029"/>
    <s v="For Renewal"/>
    <x v="4"/>
    <s v="James Wilson T. Pena"/>
    <s v="Diozelle L. Cabalar"/>
    <m/>
    <m/>
    <m/>
    <m/>
    <m/>
    <m/>
    <s v=""/>
    <s v=""/>
    <s v=""/>
    <s v=""/>
    <m/>
    <m/>
    <m/>
    <m/>
    <m/>
    <m/>
    <m/>
    <m/>
    <m/>
    <m/>
    <m/>
    <m/>
    <m/>
    <m/>
    <m/>
    <m/>
    <m/>
    <m/>
    <m/>
    <m/>
    <m/>
    <m/>
    <m/>
    <m/>
    <m/>
    <m/>
    <m/>
    <n v="0"/>
    <m/>
    <m/>
    <m/>
    <m/>
    <m/>
    <m/>
    <m/>
    <m/>
    <m/>
    <m/>
    <m/>
    <e v="#DIV/0!"/>
    <e v="#DIV/0!"/>
  </r>
  <r>
    <x v="2"/>
    <s v="Norzagaray"/>
    <s v="Bulacan, Norzagaray"/>
    <s v="MBA"/>
    <s v="6th"/>
    <n v="14.905204080000001"/>
    <n v="121.04231679999999"/>
    <s v="14.90520408,121.0423168"/>
    <s v="Municipal / City Plan"/>
    <s v="1327 SERIES OF 2019"/>
    <s v="2018 - 2028"/>
    <n v="2019"/>
    <n v="2028"/>
    <m/>
    <x v="6"/>
    <s v="James Wilson T. Pena"/>
    <s v="Diozelle L. Cabalar"/>
    <m/>
    <m/>
    <m/>
    <m/>
    <m/>
    <m/>
    <s v=""/>
    <s v=""/>
    <s v=""/>
    <s v=""/>
    <m/>
    <m/>
    <m/>
    <m/>
    <m/>
    <m/>
    <m/>
    <m/>
    <m/>
    <m/>
    <m/>
    <m/>
    <m/>
    <m/>
    <m/>
    <m/>
    <m/>
    <m/>
    <m/>
    <m/>
    <m/>
    <m/>
    <m/>
    <m/>
    <m/>
    <m/>
    <m/>
    <n v="0"/>
    <m/>
    <m/>
    <m/>
    <m/>
    <m/>
    <m/>
    <m/>
    <m/>
    <m/>
    <m/>
    <m/>
    <e v="#DIV/0!"/>
    <e v="#DIV/0!"/>
  </r>
  <r>
    <x v="2"/>
    <s v="Obando"/>
    <s v="Bulacan, Obando"/>
    <s v="MBA"/>
    <s v="4th"/>
    <n v="14.709363"/>
    <n v="120.9374"/>
    <s v="14.709363,120.9374"/>
    <s v="Municipal / City Plan"/>
    <s v="NSWMC RESO NO. 1328 SERIES OF 2019"/>
    <s v="2017 - 2027"/>
    <n v="2019"/>
    <n v="2027"/>
    <m/>
    <x v="6"/>
    <s v="James Wilson T. Pena"/>
    <s v="Diozelle L. Cabalar"/>
    <m/>
    <m/>
    <m/>
    <m/>
    <m/>
    <m/>
    <s v=""/>
    <s v=""/>
    <s v=""/>
    <s v=""/>
    <m/>
    <m/>
    <m/>
    <m/>
    <m/>
    <m/>
    <m/>
    <m/>
    <m/>
    <m/>
    <m/>
    <m/>
    <m/>
    <m/>
    <m/>
    <m/>
    <m/>
    <m/>
    <m/>
    <m/>
    <m/>
    <m/>
    <m/>
    <m/>
    <m/>
    <m/>
    <m/>
    <n v="0"/>
    <m/>
    <m/>
    <m/>
    <m/>
    <m/>
    <m/>
    <m/>
    <m/>
    <m/>
    <m/>
    <m/>
    <e v="#DIV/0!"/>
    <e v="#DIV/0!"/>
  </r>
  <r>
    <x v="2"/>
    <s v="Pandi"/>
    <s v="Bulacan, Pandi"/>
    <s v="MBA"/>
    <s v="5th"/>
    <n v="14.86572366"/>
    <n v="120.9581422"/>
    <s v="14.86572366,120.9581422"/>
    <s v="Municipal / City Plan"/>
    <s v="No. 1403 Series of 2020"/>
    <s v="2019 - 2028"/>
    <n v="2020"/>
    <n v="2028"/>
    <m/>
    <x v="2"/>
    <s v="Ronaldo P. Roque, Jr."/>
    <s v="Diozelle L. Cabalar"/>
    <m/>
    <m/>
    <m/>
    <m/>
    <m/>
    <m/>
    <s v=""/>
    <s v=""/>
    <s v=""/>
    <s v=""/>
    <m/>
    <m/>
    <m/>
    <m/>
    <m/>
    <m/>
    <m/>
    <m/>
    <m/>
    <m/>
    <m/>
    <m/>
    <m/>
    <m/>
    <m/>
    <m/>
    <m/>
    <m/>
    <m/>
    <m/>
    <m/>
    <m/>
    <m/>
    <m/>
    <m/>
    <m/>
    <m/>
    <n v="0"/>
    <m/>
    <m/>
    <m/>
    <m/>
    <m/>
    <m/>
    <m/>
    <m/>
    <m/>
    <m/>
    <m/>
    <e v="#DIV/0!"/>
    <e v="#DIV/0!"/>
  </r>
  <r>
    <x v="2"/>
    <s v="Paombong"/>
    <s v="Bulacan, Paombong"/>
    <s v="MBA"/>
    <s v="1st"/>
    <n v="14.83651081"/>
    <n v="120.7877692"/>
    <s v="14.83651081,120.7877692"/>
    <s v="Municipal / City Plan"/>
    <s v="664-A series of 2019"/>
    <s v="2017 - 2026"/>
    <n v="2019"/>
    <n v="2026"/>
    <m/>
    <x v="2"/>
    <s v="VACANT"/>
    <s v="Diozelle L. Cabalar"/>
    <m/>
    <m/>
    <m/>
    <m/>
    <m/>
    <m/>
    <s v=""/>
    <s v=""/>
    <s v=""/>
    <s v=""/>
    <m/>
    <m/>
    <m/>
    <m/>
    <m/>
    <m/>
    <m/>
    <m/>
    <m/>
    <m/>
    <m/>
    <m/>
    <m/>
    <m/>
    <m/>
    <m/>
    <m/>
    <m/>
    <m/>
    <m/>
    <m/>
    <m/>
    <m/>
    <m/>
    <m/>
    <m/>
    <m/>
    <n v="0"/>
    <m/>
    <m/>
    <m/>
    <m/>
    <m/>
    <m/>
    <m/>
    <m/>
    <m/>
    <m/>
    <m/>
    <e v="#DIV/0!"/>
    <e v="#DIV/0!"/>
  </r>
  <r>
    <x v="2"/>
    <s v="Plaridel"/>
    <s v="Bulacan, Plaridel"/>
    <s v="MBA"/>
    <s v="2nd"/>
    <n v="14.88680651"/>
    <n v="120.8598685"/>
    <s v="14.88680651,120.8598685"/>
    <s v="Municipal / City Plan"/>
    <s v="157 Series of 2015"/>
    <s v="2015 - 2024"/>
    <n v="2015"/>
    <n v="2024"/>
    <s v="For Renewal"/>
    <x v="3"/>
    <s v="Jasmin Marie N. Siapco"/>
    <s v="Diozelle L. Cabalar"/>
    <m/>
    <m/>
    <m/>
    <m/>
    <m/>
    <m/>
    <s v=""/>
    <s v=""/>
    <s v=""/>
    <s v=""/>
    <m/>
    <m/>
    <m/>
    <m/>
    <m/>
    <m/>
    <m/>
    <m/>
    <m/>
    <m/>
    <m/>
    <m/>
    <m/>
    <m/>
    <m/>
    <m/>
    <m/>
    <m/>
    <m/>
    <m/>
    <m/>
    <m/>
    <m/>
    <m/>
    <m/>
    <m/>
    <m/>
    <n v="0"/>
    <m/>
    <m/>
    <m/>
    <m/>
    <m/>
    <m/>
    <m/>
    <m/>
    <m/>
    <m/>
    <m/>
    <e v="#DIV/0!"/>
    <e v="#DIV/0!"/>
  </r>
  <r>
    <x v="2"/>
    <s v="Pulilan"/>
    <s v="Bulacan, Pulilan"/>
    <s v="MBA"/>
    <s v="1st"/>
    <n v="14.90110634"/>
    <n v="120.84865379999999"/>
    <s v="14.90110634,120.8486538"/>
    <s v="Municipal / City Plan"/>
    <s v="1142 Series of 2018"/>
    <s v="2017 - 2027"/>
    <n v="2018"/>
    <n v="2027"/>
    <m/>
    <x v="2"/>
    <s v="Jasmin Marie N. Siapco"/>
    <s v="Diozelle L. Cabalar"/>
    <m/>
    <m/>
    <m/>
    <m/>
    <m/>
    <m/>
    <s v=""/>
    <s v=""/>
    <s v=""/>
    <s v=""/>
    <m/>
    <m/>
    <m/>
    <m/>
    <m/>
    <m/>
    <m/>
    <m/>
    <m/>
    <m/>
    <m/>
    <m/>
    <m/>
    <m/>
    <m/>
    <m/>
    <m/>
    <m/>
    <m/>
    <m/>
    <m/>
    <m/>
    <m/>
    <m/>
    <m/>
    <m/>
    <m/>
    <n v="0"/>
    <m/>
    <m/>
    <m/>
    <m/>
    <m/>
    <m/>
    <m/>
    <m/>
    <m/>
    <m/>
    <m/>
    <e v="#DIV/0!"/>
    <e v="#DIV/0!"/>
  </r>
  <r>
    <x v="2"/>
    <s v="San Ildefonso"/>
    <s v="Bulacan, San Ildefonso"/>
    <s v="MBA"/>
    <s v="3rd"/>
    <n v="15.077943729999999"/>
    <n v="120.9428805"/>
    <s v="15.07794373,120.9428805"/>
    <s v="Municipal / City Plan"/>
    <n v="1245"/>
    <s v="2017 - 2027"/>
    <n v="2019"/>
    <n v="2027"/>
    <m/>
    <x v="6"/>
    <s v="VACANT"/>
    <s v="Diozelle L. Cabalar"/>
    <m/>
    <m/>
    <m/>
    <m/>
    <m/>
    <m/>
    <s v=""/>
    <s v=""/>
    <s v=""/>
    <s v=""/>
    <m/>
    <m/>
    <m/>
    <m/>
    <m/>
    <m/>
    <m/>
    <m/>
    <m/>
    <m/>
    <m/>
    <m/>
    <m/>
    <m/>
    <m/>
    <m/>
    <m/>
    <m/>
    <m/>
    <m/>
    <m/>
    <m/>
    <m/>
    <m/>
    <m/>
    <m/>
    <m/>
    <n v="0"/>
    <m/>
    <m/>
    <m/>
    <m/>
    <m/>
    <m/>
    <m/>
    <m/>
    <m/>
    <m/>
    <m/>
    <e v="#DIV/0!"/>
    <e v="#DIV/0!"/>
  </r>
  <r>
    <x v="2"/>
    <s v="San Miguel"/>
    <s v="Bulacan, San Miguel"/>
    <s v="MBA"/>
    <s v="3rd"/>
    <n v="15.140473999999999"/>
    <n v="120.977422"/>
    <s v="15.140474,120.977422"/>
    <s v="Municipal / City Plan"/>
    <s v="NSWMC RESO NO. 179A S 2015"/>
    <s v="2015 - 2025"/>
    <n v="2015"/>
    <n v="2025"/>
    <s v="For Renewal"/>
    <x v="6"/>
    <s v="VACANT"/>
    <s v="Diozelle L. Cabalar"/>
    <m/>
    <m/>
    <m/>
    <m/>
    <m/>
    <m/>
    <s v=""/>
    <s v=""/>
    <s v=""/>
    <s v=""/>
    <m/>
    <m/>
    <m/>
    <m/>
    <m/>
    <m/>
    <m/>
    <m/>
    <m/>
    <m/>
    <m/>
    <m/>
    <m/>
    <m/>
    <m/>
    <m/>
    <m/>
    <m/>
    <m/>
    <m/>
    <m/>
    <m/>
    <m/>
    <m/>
    <m/>
    <m/>
    <m/>
    <n v="0"/>
    <m/>
    <m/>
    <m/>
    <m/>
    <m/>
    <m/>
    <m/>
    <m/>
    <m/>
    <m/>
    <m/>
    <e v="#DIV/0!"/>
    <e v="#DIV/0!"/>
  </r>
  <r>
    <x v="2"/>
    <s v="San Rafael"/>
    <s v="Bulacan, San Rafael"/>
    <s v="MBA"/>
    <s v="3rd"/>
    <n v="14.982975"/>
    <n v="120.927646"/>
    <s v="14.982975,120.927646"/>
    <s v="Municipal / City Plan"/>
    <s v="NSWMC RESO NO. 168 SERIES OF 2015"/>
    <s v="2015 - 2024"/>
    <n v="2015"/>
    <n v="2024"/>
    <s v="For Renewal"/>
    <x v="0"/>
    <s v="VACANT"/>
    <s v="Diozelle L. Cabalar"/>
    <m/>
    <m/>
    <m/>
    <m/>
    <m/>
    <m/>
    <s v=""/>
    <s v=""/>
    <s v=""/>
    <s v=""/>
    <m/>
    <m/>
    <m/>
    <m/>
    <m/>
    <m/>
    <m/>
    <m/>
    <m/>
    <m/>
    <m/>
    <m/>
    <m/>
    <m/>
    <m/>
    <m/>
    <m/>
    <m/>
    <m/>
    <m/>
    <m/>
    <m/>
    <m/>
    <m/>
    <m/>
    <m/>
    <m/>
    <n v="0"/>
    <m/>
    <m/>
    <m/>
    <m/>
    <m/>
    <m/>
    <m/>
    <m/>
    <m/>
    <m/>
    <m/>
    <e v="#DIV/0!"/>
    <e v="#DIV/0!"/>
  </r>
  <r>
    <x v="2"/>
    <s v="Santa Maria"/>
    <s v="Bulacan, Santa Maria"/>
    <s v="MBA"/>
    <s v="6th"/>
    <n v="14.81955522"/>
    <n v="120.9601016"/>
    <s v="14.81955522,120.9601016"/>
    <s v="Municipal / City Plan"/>
    <s v="201 s.2015"/>
    <s v="2015 - 2024"/>
    <n v="2015"/>
    <n v="2024"/>
    <s v="For Renewal"/>
    <x v="0"/>
    <s v="James Wilson T. Pena"/>
    <s v="Diozelle L. Cabalar"/>
    <m/>
    <m/>
    <m/>
    <m/>
    <m/>
    <m/>
    <s v=""/>
    <s v=""/>
    <s v=""/>
    <s v=""/>
    <m/>
    <m/>
    <m/>
    <m/>
    <m/>
    <m/>
    <m/>
    <m/>
    <m/>
    <m/>
    <m/>
    <m/>
    <m/>
    <m/>
    <m/>
    <m/>
    <m/>
    <m/>
    <m/>
    <m/>
    <m/>
    <m/>
    <m/>
    <m/>
    <m/>
    <m/>
    <m/>
    <n v="0"/>
    <m/>
    <m/>
    <m/>
    <m/>
    <m/>
    <m/>
    <m/>
    <m/>
    <m/>
    <m/>
    <m/>
    <e v="#DIV/0!"/>
    <e v="#DIV/0!"/>
  </r>
  <r>
    <x v="3"/>
    <s v="Aliaga"/>
    <s v="Nueva Ecija, Aliaga"/>
    <s v="MBA"/>
    <s v="1st"/>
    <n v="15.449173999999999"/>
    <n v="120.793468"/>
    <s v="15.449174,120.793468"/>
    <s v="Municipal / City Plan"/>
    <n v="199"/>
    <s v="2016 - 2025"/>
    <n v="2015"/>
    <n v="2025"/>
    <s v="For Renewal"/>
    <x v="0"/>
    <s v="Gem C. Vicencio"/>
    <s v="Zosimo P. Suyat"/>
    <m/>
    <m/>
    <m/>
    <m/>
    <m/>
    <m/>
    <s v=""/>
    <s v=""/>
    <s v=""/>
    <s v=""/>
    <m/>
    <m/>
    <m/>
    <m/>
    <m/>
    <m/>
    <m/>
    <m/>
    <m/>
    <m/>
    <m/>
    <m/>
    <m/>
    <m/>
    <m/>
    <m/>
    <m/>
    <m/>
    <m/>
    <m/>
    <m/>
    <m/>
    <m/>
    <m/>
    <m/>
    <m/>
    <m/>
    <n v="0"/>
    <m/>
    <m/>
    <m/>
    <m/>
    <m/>
    <m/>
    <m/>
    <m/>
    <m/>
    <m/>
    <m/>
    <e v="#DIV/0!"/>
    <e v="#DIV/0!"/>
  </r>
  <r>
    <x v="3"/>
    <s v="Bongabon"/>
    <s v="Nueva Ecija, Bongabon"/>
    <s v="MBA"/>
    <s v="3rd"/>
    <n v="15.627503000000001"/>
    <n v="121.145207"/>
    <s v="15.627503,121.145207"/>
    <s v="Municipal / City Plan"/>
    <s v="1075 series 2018"/>
    <s v="2017 - 2026"/>
    <n v="2018"/>
    <n v="2026"/>
    <m/>
    <x v="0"/>
    <s v="Christian Jem L. Buluran"/>
    <s v="Zosimo P. Suyat"/>
    <m/>
    <m/>
    <m/>
    <m/>
    <m/>
    <m/>
    <s v=""/>
    <s v=""/>
    <s v=""/>
    <s v=""/>
    <m/>
    <m/>
    <m/>
    <m/>
    <m/>
    <m/>
    <m/>
    <m/>
    <m/>
    <m/>
    <m/>
    <m/>
    <m/>
    <m/>
    <m/>
    <m/>
    <m/>
    <m/>
    <m/>
    <m/>
    <m/>
    <m/>
    <m/>
    <m/>
    <m/>
    <m/>
    <m/>
    <n v="0"/>
    <m/>
    <m/>
    <m/>
    <m/>
    <m/>
    <m/>
    <m/>
    <m/>
    <m/>
    <m/>
    <m/>
    <e v="#DIV/0!"/>
    <e v="#DIV/0!"/>
  </r>
  <r>
    <x v="3"/>
    <s v="Cabiao"/>
    <s v="Nueva Ecija, Cabiao"/>
    <s v="MBA"/>
    <s v="4th"/>
    <n v="15.252382000000001"/>
    <n v="120.860145"/>
    <s v="15.252382,120.860145"/>
    <s v="Municipal / City Plan"/>
    <s v="1365 series of 2019"/>
    <s v="2017 - 2027"/>
    <n v="2019"/>
    <n v="2027"/>
    <m/>
    <x v="5"/>
    <s v="Christine Ann V. Ramos"/>
    <s v="Zosimo P. Suyat"/>
    <m/>
    <m/>
    <m/>
    <m/>
    <m/>
    <m/>
    <s v=""/>
    <s v=""/>
    <s v=""/>
    <s v=""/>
    <m/>
    <m/>
    <m/>
    <m/>
    <m/>
    <m/>
    <m/>
    <m/>
    <m/>
    <m/>
    <m/>
    <m/>
    <m/>
    <m/>
    <m/>
    <m/>
    <m/>
    <m/>
    <m/>
    <m/>
    <m/>
    <m/>
    <m/>
    <m/>
    <m/>
    <m/>
    <m/>
    <n v="0"/>
    <m/>
    <m/>
    <m/>
    <m/>
    <m/>
    <m/>
    <m/>
    <m/>
    <m/>
    <m/>
    <m/>
    <e v="#DIV/0!"/>
    <e v="#DIV/0!"/>
  </r>
  <r>
    <x v="3"/>
    <s v="Carranglan"/>
    <s v="Nueva Ecija, Carranglan"/>
    <s v="MBA"/>
    <s v="2nd"/>
    <n v="15.960407999999999"/>
    <n v="121.06311700000001"/>
    <s v="15.960408,121.063117"/>
    <s v="Municipal / City Plan"/>
    <n v="1329"/>
    <s v="2017 - 2027"/>
    <n v="2019"/>
    <n v="2027"/>
    <m/>
    <x v="5"/>
    <s v="Aser A. Inocencio, Jr."/>
    <s v="Zosimo P. Suyat"/>
    <m/>
    <m/>
    <m/>
    <m/>
    <m/>
    <m/>
    <s v=""/>
    <s v=""/>
    <s v=""/>
    <s v=""/>
    <m/>
    <m/>
    <m/>
    <m/>
    <m/>
    <m/>
    <m/>
    <m/>
    <m/>
    <m/>
    <m/>
    <m/>
    <m/>
    <m/>
    <m/>
    <m/>
    <m/>
    <m/>
    <m/>
    <m/>
    <m/>
    <m/>
    <m/>
    <m/>
    <m/>
    <m/>
    <m/>
    <n v="0"/>
    <m/>
    <m/>
    <m/>
    <m/>
    <m/>
    <m/>
    <m/>
    <m/>
    <m/>
    <m/>
    <m/>
    <e v="#DIV/0!"/>
    <e v="#DIV/0!"/>
  </r>
  <r>
    <x v="3"/>
    <s v="City Of Cabanatuan"/>
    <s v="Nueva Ecija, City Of Cabanatuan"/>
    <s v="MBA"/>
    <s v="3rd"/>
    <n v="15.470777999999999"/>
    <n v="120.952099"/>
    <s v="15.470778,120.952099"/>
    <s v="Municipal / City Plan"/>
    <s v="NSWMC RESO NO. 1513 SERIES OF 2022"/>
    <s v="2020 - 2029"/>
    <n v="2022"/>
    <n v="2029"/>
    <m/>
    <x v="4"/>
    <s v="Christian Jem L. Buluran"/>
    <s v="Zosimo P. Suyat"/>
    <m/>
    <m/>
    <m/>
    <m/>
    <m/>
    <m/>
    <s v=""/>
    <s v=""/>
    <s v=""/>
    <s v=""/>
    <m/>
    <m/>
    <m/>
    <m/>
    <m/>
    <m/>
    <m/>
    <m/>
    <m/>
    <m/>
    <m/>
    <m/>
    <m/>
    <m/>
    <m/>
    <m/>
    <m/>
    <m/>
    <m/>
    <m/>
    <m/>
    <m/>
    <m/>
    <m/>
    <m/>
    <m/>
    <m/>
    <n v="0"/>
    <m/>
    <m/>
    <m/>
    <m/>
    <m/>
    <m/>
    <m/>
    <m/>
    <m/>
    <m/>
    <m/>
    <e v="#DIV/0!"/>
    <e v="#DIV/0!"/>
  </r>
  <r>
    <x v="3"/>
    <s v="City Of Gapan"/>
    <s v="Nueva Ecija, City Of Gapan"/>
    <s v="MBA"/>
    <s v="4th"/>
    <n v="15.293716"/>
    <n v="120.948601"/>
    <s v="15.293716,120.948601"/>
    <s v="Municipal / City Plan"/>
    <s v="1064 S. 2018"/>
    <s v="2017 - 2026"/>
    <n v="2018"/>
    <n v="2026"/>
    <m/>
    <x v="6"/>
    <s v="Christine Ann V. Ramos"/>
    <s v="Zosimo P. Suyat"/>
    <m/>
    <m/>
    <m/>
    <m/>
    <m/>
    <m/>
    <s v=""/>
    <s v=""/>
    <s v=""/>
    <s v=""/>
    <m/>
    <m/>
    <m/>
    <m/>
    <m/>
    <m/>
    <m/>
    <m/>
    <m/>
    <m/>
    <m/>
    <m/>
    <m/>
    <m/>
    <m/>
    <m/>
    <m/>
    <m/>
    <m/>
    <m/>
    <m/>
    <m/>
    <m/>
    <m/>
    <m/>
    <m/>
    <m/>
    <n v="0"/>
    <m/>
    <m/>
    <m/>
    <m/>
    <m/>
    <m/>
    <m/>
    <m/>
    <m/>
    <m/>
    <m/>
    <e v="#DIV/0!"/>
    <e v="#DIV/0!"/>
  </r>
  <r>
    <x v="3"/>
    <s v="City Of Palayan"/>
    <s v="Nueva Ecija, City Of Palayan"/>
    <s v="MBA"/>
    <s v="3rd"/>
    <n v="15.563497"/>
    <n v="121.10041"/>
    <s v="15.563497,121.10041"/>
    <s v="Municipal / City Plan"/>
    <s v="1330 series of 2019"/>
    <s v="2017 - 2027"/>
    <n v="2019"/>
    <n v="2027"/>
    <m/>
    <x v="2"/>
    <s v="Hosannah R. Sabio"/>
    <s v="Zosimo P. Suyat"/>
    <m/>
    <m/>
    <m/>
    <m/>
    <m/>
    <m/>
    <s v=""/>
    <s v=""/>
    <s v=""/>
    <s v=""/>
    <m/>
    <m/>
    <m/>
    <m/>
    <m/>
    <m/>
    <m/>
    <m/>
    <m/>
    <m/>
    <m/>
    <m/>
    <m/>
    <m/>
    <m/>
    <m/>
    <m/>
    <m/>
    <m/>
    <m/>
    <m/>
    <m/>
    <m/>
    <m/>
    <m/>
    <m/>
    <m/>
    <n v="0"/>
    <m/>
    <m/>
    <m/>
    <m/>
    <m/>
    <m/>
    <m/>
    <m/>
    <m/>
    <m/>
    <m/>
    <e v="#DIV/0!"/>
    <e v="#DIV/0!"/>
  </r>
  <r>
    <x v="3"/>
    <s v="Cuyapo"/>
    <s v="Nueva Ecija, Cuyapo"/>
    <s v="OUTSIDE MBA"/>
    <s v="1st"/>
    <n v="15.778767999999999"/>
    <n v="120.66394699999999"/>
    <s v="15.778768,120.663947"/>
    <s v="Municipal / City Plan"/>
    <s v="500-A series of 2019"/>
    <s v="2017 - 2027"/>
    <n v="2019"/>
    <n v="2027"/>
    <m/>
    <x v="2"/>
    <s v="Aser A. Inocencio, Jr."/>
    <s v="Zosimo P. Suyat"/>
    <m/>
    <m/>
    <m/>
    <m/>
    <m/>
    <m/>
    <s v=""/>
    <s v=""/>
    <s v=""/>
    <s v=""/>
    <m/>
    <m/>
    <m/>
    <m/>
    <m/>
    <m/>
    <m/>
    <m/>
    <m/>
    <m/>
    <m/>
    <m/>
    <m/>
    <m/>
    <m/>
    <m/>
    <m/>
    <m/>
    <m/>
    <m/>
    <m/>
    <m/>
    <m/>
    <m/>
    <m/>
    <m/>
    <m/>
    <n v="0"/>
    <m/>
    <m/>
    <m/>
    <m/>
    <m/>
    <m/>
    <m/>
    <m/>
    <m/>
    <m/>
    <m/>
    <e v="#DIV/0!"/>
    <e v="#DIV/0!"/>
  </r>
  <r>
    <x v="3"/>
    <s v="Gabaldon"/>
    <s v="Nueva Ecija, Gabaldon"/>
    <s v="MBA"/>
    <s v="3rd"/>
    <n v="15.455567"/>
    <n v="121.33825"/>
    <s v="15.455567,121.33825"/>
    <s v="Municipal / City Plan"/>
    <s v="1246 series of 2019"/>
    <s v="2016 - 2027"/>
    <n v="2019"/>
    <n v="2027"/>
    <m/>
    <x v="0"/>
    <s v="Christian Jem L. Buluran"/>
    <s v="Zosimo P. Suyat"/>
    <m/>
    <m/>
    <m/>
    <m/>
    <m/>
    <m/>
    <s v=""/>
    <s v=""/>
    <s v=""/>
    <s v=""/>
    <m/>
    <m/>
    <m/>
    <m/>
    <m/>
    <m/>
    <m/>
    <m/>
    <m/>
    <m/>
    <m/>
    <m/>
    <m/>
    <m/>
    <m/>
    <m/>
    <m/>
    <m/>
    <m/>
    <m/>
    <m/>
    <m/>
    <m/>
    <m/>
    <m/>
    <m/>
    <m/>
    <n v="0"/>
    <m/>
    <m/>
    <m/>
    <m/>
    <m/>
    <m/>
    <m/>
    <m/>
    <m/>
    <m/>
    <m/>
    <e v="#DIV/0!"/>
    <e v="#DIV/0!"/>
  </r>
  <r>
    <x v="3"/>
    <s v="Gen. Natividad"/>
    <s v="Nueva Ecija, Gen. Natividad"/>
    <s v="MBA"/>
    <s v="3rd"/>
    <n v="15.602760999999999"/>
    <n v="121.04995099999999"/>
    <s v="15.602761,121.049951"/>
    <s v="Municipal / City Plan"/>
    <s v="1076 series 2018"/>
    <s v="2017 - 2027"/>
    <n v="2018"/>
    <n v="2027"/>
    <m/>
    <x v="3"/>
    <s v="Hosannah R. Sabio"/>
    <s v="Zosimo P. Suyat"/>
    <m/>
    <m/>
    <m/>
    <m/>
    <m/>
    <m/>
    <s v=""/>
    <s v=""/>
    <s v=""/>
    <s v=""/>
    <m/>
    <m/>
    <m/>
    <m/>
    <m/>
    <m/>
    <m/>
    <m/>
    <m/>
    <m/>
    <m/>
    <m/>
    <m/>
    <m/>
    <m/>
    <m/>
    <m/>
    <m/>
    <m/>
    <m/>
    <m/>
    <m/>
    <m/>
    <m/>
    <m/>
    <m/>
    <m/>
    <n v="0"/>
    <m/>
    <m/>
    <m/>
    <m/>
    <m/>
    <m/>
    <m/>
    <m/>
    <m/>
    <m/>
    <m/>
    <e v="#DIV/0!"/>
    <e v="#DIV/0!"/>
  </r>
  <r>
    <x v="3"/>
    <s v="General Mamerto Natividad"/>
    <s v="Nueva Ecija, General Mamerto Natividad"/>
    <s v="MBA"/>
    <s v="4th"/>
    <n v="15.3499"/>
    <n v="121.045834"/>
    <s v="15.3499,121.045834"/>
    <s v="Municipal / City Plan"/>
    <s v="no.1247 series of 2019"/>
    <s v="2016 - 2027"/>
    <n v="2019"/>
    <n v="2027"/>
    <m/>
    <x v="2"/>
    <s v="Christian Jem L. Buluran"/>
    <s v="Zosimo P. Suyat"/>
    <m/>
    <m/>
    <m/>
    <m/>
    <m/>
    <m/>
    <s v=""/>
    <s v=""/>
    <s v=""/>
    <s v=""/>
    <m/>
    <m/>
    <m/>
    <m/>
    <m/>
    <m/>
    <m/>
    <m/>
    <m/>
    <m/>
    <m/>
    <m/>
    <m/>
    <m/>
    <m/>
    <m/>
    <m/>
    <m/>
    <m/>
    <m/>
    <m/>
    <m/>
    <m/>
    <m/>
    <m/>
    <m/>
    <m/>
    <n v="0"/>
    <m/>
    <m/>
    <m/>
    <m/>
    <m/>
    <m/>
    <m/>
    <m/>
    <m/>
    <m/>
    <m/>
    <e v="#DIV/0!"/>
    <e v="#DIV/0!"/>
  </r>
  <r>
    <x v="3"/>
    <s v="Guimba"/>
    <s v="Nueva Ecija, Guimba"/>
    <s v="MBA"/>
    <s v="1st"/>
    <n v="15.660724"/>
    <n v="120.76695599999999"/>
    <s v="15.660724,120.766956"/>
    <s v="Municipal / City Plan"/>
    <n v="1077"/>
    <s v="2017 - 2026"/>
    <n v="2018"/>
    <n v="2026"/>
    <m/>
    <x v="2"/>
    <s v="Aser A. Inocencio, Jr."/>
    <s v="Zosimo P. Suyat"/>
    <m/>
    <m/>
    <m/>
    <m/>
    <m/>
    <m/>
    <s v=""/>
    <s v=""/>
    <s v=""/>
    <s v=""/>
    <m/>
    <m/>
    <m/>
    <m/>
    <m/>
    <m/>
    <m/>
    <m/>
    <m/>
    <m/>
    <m/>
    <m/>
    <m/>
    <m/>
    <m/>
    <m/>
    <m/>
    <m/>
    <m/>
    <m/>
    <m/>
    <m/>
    <m/>
    <m/>
    <m/>
    <m/>
    <m/>
    <n v="0"/>
    <m/>
    <m/>
    <m/>
    <m/>
    <m/>
    <m/>
    <m/>
    <m/>
    <m/>
    <m/>
    <m/>
    <e v="#DIV/0!"/>
    <e v="#DIV/0!"/>
  </r>
  <r>
    <x v="3"/>
    <s v="Jaen"/>
    <s v="Nueva Ecija, Jaen"/>
    <s v="MBA"/>
    <s v="4th"/>
    <n v="15.337630000000001"/>
    <n v="120.905423"/>
    <s v="15.33763,120.905423"/>
    <s v="Municipal / City Plan"/>
    <s v="760 Series of 2016"/>
    <s v="2016 - 2025"/>
    <n v="2016"/>
    <n v="2025"/>
    <s v="For Renewal"/>
    <x v="1"/>
    <s v="Christine Ann V. Ramos"/>
    <s v="Zosimo P. Suyat"/>
    <m/>
    <m/>
    <m/>
    <m/>
    <m/>
    <m/>
    <s v=""/>
    <s v=""/>
    <s v=""/>
    <s v=""/>
    <m/>
    <m/>
    <m/>
    <m/>
    <m/>
    <m/>
    <m/>
    <m/>
    <m/>
    <m/>
    <m/>
    <m/>
    <m/>
    <m/>
    <m/>
    <m/>
    <m/>
    <m/>
    <m/>
    <m/>
    <m/>
    <m/>
    <m/>
    <m/>
    <m/>
    <m/>
    <m/>
    <n v="0"/>
    <m/>
    <m/>
    <m/>
    <m/>
    <m/>
    <m/>
    <m/>
    <m/>
    <m/>
    <m/>
    <m/>
    <e v="#DIV/0!"/>
    <e v="#DIV/0!"/>
  </r>
  <r>
    <x v="3"/>
    <s v="Laur"/>
    <s v="Nueva Ecija, Laur"/>
    <s v="MBA"/>
    <s v="3rd"/>
    <n v="15.571914"/>
    <n v="121.16845600000001"/>
    <s v="15.571914,121.168456"/>
    <s v="Municipal / City Plan"/>
    <n v="195"/>
    <s v="2016 - 2025"/>
    <n v="2015"/>
    <n v="2025"/>
    <s v="For Renewal"/>
    <x v="1"/>
    <s v="Christian Jem L. Buluran"/>
    <s v="Zosimo P. Suyat"/>
    <m/>
    <m/>
    <m/>
    <m/>
    <m/>
    <m/>
    <s v=""/>
    <s v=""/>
    <s v=""/>
    <s v=""/>
    <m/>
    <m/>
    <m/>
    <m/>
    <m/>
    <m/>
    <m/>
    <m/>
    <m/>
    <m/>
    <m/>
    <m/>
    <m/>
    <m/>
    <m/>
    <m/>
    <m/>
    <m/>
    <m/>
    <m/>
    <m/>
    <m/>
    <m/>
    <m/>
    <m/>
    <m/>
    <m/>
    <n v="0"/>
    <m/>
    <m/>
    <m/>
    <m/>
    <m/>
    <m/>
    <m/>
    <m/>
    <m/>
    <m/>
    <m/>
    <e v="#DIV/0!"/>
    <e v="#DIV/0!"/>
  </r>
  <r>
    <x v="3"/>
    <s v="Licab"/>
    <s v="Nueva Ecija, Licab"/>
    <s v="MBA"/>
    <s v="1st"/>
    <n v="15.540003"/>
    <n v="120.762417"/>
    <s v="15.540003,120.762417"/>
    <s v="Municipal / City Plan"/>
    <s v="1361 Series of 2019"/>
    <s v="2017 - 2027"/>
    <n v="2019"/>
    <n v="2027"/>
    <m/>
    <x v="2"/>
    <s v="Gem C. Vicencio"/>
    <s v="Zosimo P. Suyat"/>
    <m/>
    <m/>
    <m/>
    <m/>
    <m/>
    <m/>
    <s v=""/>
    <s v=""/>
    <s v=""/>
    <s v=""/>
    <m/>
    <m/>
    <m/>
    <m/>
    <m/>
    <m/>
    <m/>
    <m/>
    <m/>
    <m/>
    <m/>
    <m/>
    <m/>
    <m/>
    <m/>
    <m/>
    <m/>
    <m/>
    <m/>
    <m/>
    <m/>
    <m/>
    <m/>
    <m/>
    <m/>
    <m/>
    <m/>
    <n v="0"/>
    <m/>
    <m/>
    <m/>
    <m/>
    <m/>
    <m/>
    <m/>
    <m/>
    <m/>
    <m/>
    <m/>
    <e v="#DIV/0!"/>
    <e v="#DIV/0!"/>
  </r>
  <r>
    <x v="3"/>
    <s v="Llanera"/>
    <s v="Nueva Ecija, Llanera"/>
    <s v="MBA"/>
    <s v="2nd"/>
    <n v="15.662212"/>
    <n v="121.01904"/>
    <s v="15.662212,121.01904"/>
    <s v="Municipal / City Plan"/>
    <s v="No. 1411 Series of 2020"/>
    <s v="2017 - 2026"/>
    <n v="2020"/>
    <n v="2026"/>
    <m/>
    <x v="2"/>
    <s v="Hosannah R. Sabio"/>
    <s v="Zosimo P. Suyat"/>
    <m/>
    <m/>
    <m/>
    <m/>
    <m/>
    <m/>
    <s v=""/>
    <s v=""/>
    <s v=""/>
    <s v=""/>
    <m/>
    <m/>
    <m/>
    <m/>
    <m/>
    <m/>
    <m/>
    <m/>
    <m/>
    <m/>
    <m/>
    <m/>
    <m/>
    <m/>
    <m/>
    <m/>
    <m/>
    <m/>
    <m/>
    <m/>
    <m/>
    <m/>
    <m/>
    <m/>
    <m/>
    <m/>
    <m/>
    <n v="0"/>
    <m/>
    <m/>
    <m/>
    <m/>
    <m/>
    <m/>
    <m/>
    <m/>
    <m/>
    <m/>
    <m/>
    <e v="#DIV/0!"/>
    <e v="#DIV/0!"/>
  </r>
  <r>
    <x v="3"/>
    <s v="Lupao"/>
    <s v="Nueva Ecija, Lupao"/>
    <s v="MBA"/>
    <s v="2nd"/>
    <n v="15.877262"/>
    <n v="120.898901"/>
    <s v="15.877262,120.898901"/>
    <s v="Municipal / City Plan"/>
    <s v="1065 Series of 2018"/>
    <s v="2017 - 2026"/>
    <n v="2018"/>
    <n v="2026"/>
    <m/>
    <x v="3"/>
    <s v="Aser A. Inocencio, Jr."/>
    <s v="Zosimo P. Suyat"/>
    <m/>
    <m/>
    <m/>
    <m/>
    <m/>
    <m/>
    <s v=""/>
    <s v=""/>
    <s v=""/>
    <s v=""/>
    <m/>
    <m/>
    <m/>
    <m/>
    <m/>
    <m/>
    <m/>
    <m/>
    <m/>
    <m/>
    <m/>
    <m/>
    <m/>
    <m/>
    <m/>
    <m/>
    <m/>
    <m/>
    <m/>
    <m/>
    <m/>
    <m/>
    <m/>
    <m/>
    <m/>
    <m/>
    <m/>
    <n v="0"/>
    <m/>
    <m/>
    <m/>
    <m/>
    <m/>
    <m/>
    <m/>
    <m/>
    <m/>
    <m/>
    <m/>
    <e v="#DIV/0!"/>
    <e v="#DIV/0!"/>
  </r>
  <r>
    <x v="3"/>
    <s v="Nampicuan"/>
    <s v="Nueva Ecija, Nampicuan"/>
    <s v="OUTSIDE MBA"/>
    <s v="1st"/>
    <n v="15.733889"/>
    <n v="120.635278"/>
    <s v="15.733889,120.635278"/>
    <s v="Municipal / City Plan"/>
    <s v="No. 1406 Series of 2020"/>
    <s v="2018 - 2027"/>
    <n v="2020"/>
    <n v="2027"/>
    <m/>
    <x v="2"/>
    <s v="Aser A. Inocencio, Jr."/>
    <s v="Zosimo P. Suyat"/>
    <m/>
    <m/>
    <m/>
    <m/>
    <m/>
    <m/>
    <s v=""/>
    <s v=""/>
    <s v=""/>
    <s v=""/>
    <m/>
    <m/>
    <m/>
    <m/>
    <m/>
    <m/>
    <m/>
    <m/>
    <m/>
    <m/>
    <m/>
    <m/>
    <m/>
    <m/>
    <m/>
    <m/>
    <m/>
    <m/>
    <m/>
    <m/>
    <m/>
    <m/>
    <m/>
    <m/>
    <m/>
    <m/>
    <m/>
    <n v="0"/>
    <m/>
    <m/>
    <m/>
    <m/>
    <m/>
    <m/>
    <m/>
    <m/>
    <m/>
    <m/>
    <m/>
    <e v="#DIV/0!"/>
    <e v="#DIV/0!"/>
  </r>
  <r>
    <x v="3"/>
    <s v="Pantabangan"/>
    <s v="Nueva Ecija, Pantabangan"/>
    <s v="MBA"/>
    <s v="2nd"/>
    <n v="15.808002"/>
    <n v="121.143238"/>
    <s v="15.808002,121.143238"/>
    <s v="Municipal / City Plan"/>
    <s v="1331 Series of 2019"/>
    <s v="2018 -2028"/>
    <n v="2019"/>
    <n v="2028"/>
    <m/>
    <x v="2"/>
    <s v="Hosannah R. Sabio"/>
    <s v="Zosimo P. Suyat"/>
    <m/>
    <m/>
    <m/>
    <m/>
    <m/>
    <m/>
    <s v=""/>
    <s v=""/>
    <s v=""/>
    <s v=""/>
    <m/>
    <m/>
    <m/>
    <m/>
    <m/>
    <m/>
    <m/>
    <m/>
    <m/>
    <m/>
    <m/>
    <m/>
    <m/>
    <m/>
    <m/>
    <m/>
    <m/>
    <m/>
    <m/>
    <m/>
    <m/>
    <m/>
    <m/>
    <m/>
    <m/>
    <m/>
    <m/>
    <n v="0"/>
    <m/>
    <m/>
    <m/>
    <m/>
    <m/>
    <m/>
    <m/>
    <m/>
    <m/>
    <m/>
    <m/>
    <e v="#DIV/0!"/>
    <e v="#DIV/0!"/>
  </r>
  <r>
    <x v="3"/>
    <s v="Peñaranda"/>
    <s v="Nueva Ecija, Peñaranda"/>
    <s v="MBA"/>
    <s v="4th"/>
    <n v="15.365180000000001"/>
    <n v="121.014179"/>
    <s v="15.36518,121.014179"/>
    <s v="Municipal / City Plan"/>
    <s v="1357, Series of 2019"/>
    <s v="2017 - 2027"/>
    <n v="2019"/>
    <n v="2027"/>
    <m/>
    <x v="1"/>
    <s v="Christine Ann V. Ramos"/>
    <s v="Zosimo P. Suyat"/>
    <m/>
    <m/>
    <m/>
    <m/>
    <m/>
    <m/>
    <s v=""/>
    <s v=""/>
    <s v=""/>
    <s v=""/>
    <m/>
    <m/>
    <m/>
    <m/>
    <m/>
    <m/>
    <m/>
    <m/>
    <m/>
    <m/>
    <m/>
    <m/>
    <m/>
    <m/>
    <m/>
    <m/>
    <m/>
    <m/>
    <m/>
    <m/>
    <m/>
    <m/>
    <m/>
    <m/>
    <m/>
    <m/>
    <m/>
    <n v="0"/>
    <m/>
    <m/>
    <m/>
    <m/>
    <m/>
    <m/>
    <m/>
    <m/>
    <m/>
    <m/>
    <m/>
    <e v="#DIV/0!"/>
    <e v="#DIV/0!"/>
  </r>
  <r>
    <x v="3"/>
    <s v="Quezon"/>
    <s v="Nueva Ecija, Quezon"/>
    <s v="MBA"/>
    <s v="1st"/>
    <n v="15.551572999999999"/>
    <n v="120.814763"/>
    <s v="15.551573,120.814763"/>
    <s v="Municipal / City Plan"/>
    <s v="1086 series of 2018"/>
    <s v="2017 - 2026"/>
    <n v="2018"/>
    <n v="2026"/>
    <m/>
    <x v="5"/>
    <s v="Gem C. Vicencio"/>
    <s v="Zosimo P. Suyat"/>
    <m/>
    <m/>
    <m/>
    <m/>
    <m/>
    <m/>
    <s v=""/>
    <s v=""/>
    <s v=""/>
    <s v=""/>
    <m/>
    <m/>
    <m/>
    <m/>
    <m/>
    <m/>
    <m/>
    <m/>
    <m/>
    <m/>
    <m/>
    <m/>
    <m/>
    <m/>
    <m/>
    <m/>
    <m/>
    <m/>
    <m/>
    <m/>
    <m/>
    <m/>
    <m/>
    <m/>
    <m/>
    <m/>
    <m/>
    <n v="0"/>
    <m/>
    <m/>
    <m/>
    <m/>
    <m/>
    <m/>
    <m/>
    <m/>
    <m/>
    <m/>
    <m/>
    <e v="#DIV/0!"/>
    <e v="#DIV/0!"/>
  </r>
  <r>
    <x v="3"/>
    <s v="Rizal"/>
    <s v="Nueva Ecija, Rizal"/>
    <s v="MBA"/>
    <s v="2nd"/>
    <n v="15.707877"/>
    <n v="121.101882"/>
    <s v="15.707877,121.101882"/>
    <s v="Municipal / City Plan"/>
    <s v="1288 SERIES 2019"/>
    <s v="2017 - 2027"/>
    <n v="2019"/>
    <n v="2027"/>
    <m/>
    <x v="6"/>
    <s v="Hosannah R. Sabio"/>
    <s v="Zosimo P. Suyat"/>
    <m/>
    <m/>
    <m/>
    <m/>
    <m/>
    <m/>
    <s v=""/>
    <s v=""/>
    <s v=""/>
    <s v=""/>
    <m/>
    <m/>
    <m/>
    <m/>
    <m/>
    <m/>
    <m/>
    <m/>
    <m/>
    <m/>
    <m/>
    <m/>
    <m/>
    <m/>
    <m/>
    <m/>
    <m/>
    <m/>
    <m/>
    <m/>
    <m/>
    <m/>
    <m/>
    <m/>
    <m/>
    <m/>
    <m/>
    <n v="0"/>
    <m/>
    <m/>
    <m/>
    <m/>
    <m/>
    <m/>
    <m/>
    <m/>
    <m/>
    <m/>
    <m/>
    <e v="#DIV/0!"/>
    <e v="#DIV/0!"/>
  </r>
  <r>
    <x v="3"/>
    <s v="San Antonio_N"/>
    <s v="Nueva Ecija, San Antonio_N"/>
    <s v="MBA"/>
    <s v="4th"/>
    <n v="15.306808999999999"/>
    <n v="120.856712"/>
    <s v="15.306809,120.856712"/>
    <s v="Municipal / City Plan"/>
    <s v="NSWMC RESO NO. 1490 SERIES OF 2021"/>
    <s v="2020 - 2029"/>
    <n v="2021"/>
    <n v="2029"/>
    <m/>
    <x v="3"/>
    <s v="Christine Ann V. Ramos"/>
    <s v="Zosimo P. Suyat"/>
    <m/>
    <m/>
    <m/>
    <m/>
    <m/>
    <m/>
    <s v=""/>
    <s v=""/>
    <s v=""/>
    <s v=""/>
    <m/>
    <m/>
    <m/>
    <m/>
    <m/>
    <m/>
    <m/>
    <m/>
    <m/>
    <m/>
    <m/>
    <m/>
    <m/>
    <m/>
    <m/>
    <m/>
    <m/>
    <m/>
    <m/>
    <m/>
    <m/>
    <m/>
    <m/>
    <m/>
    <m/>
    <m/>
    <m/>
    <n v="0"/>
    <m/>
    <m/>
    <m/>
    <m/>
    <m/>
    <m/>
    <m/>
    <m/>
    <m/>
    <m/>
    <m/>
    <e v="#DIV/0!"/>
    <e v="#DIV/0!"/>
  </r>
  <r>
    <x v="3"/>
    <s v="San Isidro"/>
    <s v="Nueva Ecija, San Isidro"/>
    <s v="MBA"/>
    <s v="4th"/>
    <n v="15.309493"/>
    <n v="120.90685499999999"/>
    <s v="15.309493,120.906855"/>
    <s v="Municipal / City Plan"/>
    <s v="NSWMC RESO NO. 1444SERIES OF 2021"/>
    <s v="2020 - 2029"/>
    <n v="2021"/>
    <n v="2029"/>
    <m/>
    <x v="2"/>
    <s v="Christine Ann V. Ramos"/>
    <s v="Zosimo P. Suyat"/>
    <m/>
    <m/>
    <m/>
    <m/>
    <m/>
    <m/>
    <s v=""/>
    <s v=""/>
    <s v=""/>
    <s v=""/>
    <m/>
    <m/>
    <m/>
    <m/>
    <m/>
    <m/>
    <m/>
    <m/>
    <m/>
    <m/>
    <m/>
    <m/>
    <m/>
    <m/>
    <m/>
    <m/>
    <m/>
    <m/>
    <m/>
    <m/>
    <m/>
    <m/>
    <m/>
    <m/>
    <m/>
    <m/>
    <m/>
    <n v="0"/>
    <m/>
    <m/>
    <m/>
    <m/>
    <m/>
    <m/>
    <m/>
    <m/>
    <m/>
    <m/>
    <m/>
    <e v="#DIV/0!"/>
    <e v="#DIV/0!"/>
  </r>
  <r>
    <x v="3"/>
    <s v="San Jose City"/>
    <s v="Nueva Ecija, San Jose City"/>
    <s v="MBA"/>
    <s v="2nd"/>
    <n v="15.792271"/>
    <n v="120.98885900000001"/>
    <s v="15.792271,120.988859"/>
    <s v="Municipal / City Plan"/>
    <n v="129"/>
    <s v="2014 - 2023"/>
    <n v="2015"/>
    <n v="2023"/>
    <s v="For Renewal"/>
    <x v="0"/>
    <s v="Hosannah R. Sabio"/>
    <s v="Zosimo P. Suyat"/>
    <m/>
    <m/>
    <m/>
    <m/>
    <m/>
    <m/>
    <s v=""/>
    <s v=""/>
    <s v=""/>
    <s v=""/>
    <m/>
    <m/>
    <m/>
    <m/>
    <m/>
    <m/>
    <m/>
    <m/>
    <m/>
    <m/>
    <m/>
    <m/>
    <m/>
    <m/>
    <m/>
    <m/>
    <m/>
    <m/>
    <m/>
    <m/>
    <m/>
    <m/>
    <m/>
    <m/>
    <m/>
    <m/>
    <m/>
    <n v="0"/>
    <m/>
    <m/>
    <m/>
    <m/>
    <m/>
    <m/>
    <m/>
    <m/>
    <m/>
    <m/>
    <m/>
    <e v="#DIV/0!"/>
    <e v="#DIV/0!"/>
  </r>
  <r>
    <x v="3"/>
    <s v="San Leonardo"/>
    <s v="Nueva Ecija, San Leonardo"/>
    <s v="MBA"/>
    <s v="4th"/>
    <n v="15.362292999999999"/>
    <n v="120.94050799999999"/>
    <s v="15.362293,120.940508"/>
    <s v="Municipal / City Plan"/>
    <s v="1087 series of 2018"/>
    <s v="2017 - 2026"/>
    <n v="2018"/>
    <n v="2026"/>
    <m/>
    <x v="2"/>
    <s v="Christian Jem L. Buluran"/>
    <s v="Zosimo P. Suyat"/>
    <m/>
    <m/>
    <m/>
    <m/>
    <m/>
    <m/>
    <s v=""/>
    <s v=""/>
    <s v=""/>
    <s v=""/>
    <m/>
    <m/>
    <m/>
    <m/>
    <m/>
    <m/>
    <m/>
    <m/>
    <m/>
    <m/>
    <m/>
    <m/>
    <m/>
    <m/>
    <m/>
    <m/>
    <m/>
    <m/>
    <m/>
    <m/>
    <m/>
    <m/>
    <m/>
    <m/>
    <m/>
    <m/>
    <m/>
    <n v="0"/>
    <m/>
    <m/>
    <m/>
    <m/>
    <m/>
    <m/>
    <m/>
    <m/>
    <m/>
    <m/>
    <m/>
    <e v="#DIV/0!"/>
    <e v="#DIV/0!"/>
  </r>
  <r>
    <x v="3"/>
    <s v="Santa Rosa"/>
    <s v="Nueva Ecija, Santa Rosa"/>
    <s v="MBA"/>
    <s v="3rd"/>
    <n v="15.424258999999999"/>
    <n v="120.939475"/>
    <s v="15.424259,120.939475"/>
    <s v="Municipal / City Plan"/>
    <s v="No. 1412 Series of 2020"/>
    <s v="2017 - 2026"/>
    <n v="2020"/>
    <n v="2026"/>
    <m/>
    <x v="2"/>
    <s v="Christian Jem L. Buluran"/>
    <s v="Zosimo P. Suyat"/>
    <m/>
    <m/>
    <m/>
    <m/>
    <m/>
    <m/>
    <s v=""/>
    <s v=""/>
    <s v=""/>
    <s v=""/>
    <m/>
    <m/>
    <m/>
    <m/>
    <m/>
    <m/>
    <m/>
    <m/>
    <m/>
    <m/>
    <m/>
    <m/>
    <m/>
    <m/>
    <m/>
    <m/>
    <m/>
    <m/>
    <m/>
    <m/>
    <m/>
    <m/>
    <m/>
    <m/>
    <m/>
    <m/>
    <m/>
    <n v="0"/>
    <m/>
    <m/>
    <m/>
    <m/>
    <m/>
    <m/>
    <m/>
    <m/>
    <m/>
    <m/>
    <m/>
    <e v="#DIV/0!"/>
    <e v="#DIV/0!"/>
  </r>
  <r>
    <x v="3"/>
    <s v="Santo Domingo"/>
    <s v="Nueva Ecija, Santo Domingo"/>
    <s v="MBA"/>
    <s v="1st"/>
    <n v="15.596054000000001"/>
    <n v="120.877399"/>
    <s v="15.596054,120.877399"/>
    <s v="Municipal / City Plan"/>
    <s v="NSWMC RESO NO. 588-A SERIES OF 2020"/>
    <s v="2017 - 2027"/>
    <n v="2020"/>
    <n v="2027"/>
    <m/>
    <x v="2"/>
    <s v="Gem C. Vicencio"/>
    <s v="Zosimo P. Suyat"/>
    <m/>
    <m/>
    <m/>
    <m/>
    <m/>
    <m/>
    <s v=""/>
    <s v=""/>
    <s v=""/>
    <s v=""/>
    <m/>
    <m/>
    <m/>
    <m/>
    <m/>
    <m/>
    <m/>
    <m/>
    <m/>
    <m/>
    <m/>
    <m/>
    <m/>
    <m/>
    <m/>
    <m/>
    <m/>
    <m/>
    <m/>
    <m/>
    <m/>
    <m/>
    <m/>
    <m/>
    <m/>
    <m/>
    <m/>
    <n v="0"/>
    <m/>
    <m/>
    <m/>
    <m/>
    <m/>
    <m/>
    <m/>
    <m/>
    <m/>
    <m/>
    <m/>
    <e v="#DIV/0!"/>
    <e v="#DIV/0!"/>
  </r>
  <r>
    <x v="3"/>
    <s v="Science City Of Muñoz"/>
    <s v="Nueva Ecija, Science City Of Muñoz"/>
    <s v="MBA"/>
    <s v="2nd"/>
    <n v="15.713327"/>
    <n v="120.90396800000001"/>
    <s v="15.713327,120.903968"/>
    <s v="Municipal / City Plan"/>
    <s v="1085 s. 2018"/>
    <s v="2018 - 2027"/>
    <n v="2018"/>
    <n v="2027"/>
    <m/>
    <x v="5"/>
    <s v="Aser A. Inocencio, Jr."/>
    <s v="Zosimo P. Suyat"/>
    <m/>
    <m/>
    <m/>
    <m/>
    <m/>
    <m/>
    <s v=""/>
    <s v=""/>
    <s v=""/>
    <s v=""/>
    <m/>
    <m/>
    <m/>
    <m/>
    <m/>
    <m/>
    <m/>
    <m/>
    <m/>
    <m/>
    <m/>
    <m/>
    <m/>
    <m/>
    <m/>
    <m/>
    <m/>
    <m/>
    <m/>
    <m/>
    <m/>
    <m/>
    <m/>
    <m/>
    <m/>
    <m/>
    <m/>
    <n v="0"/>
    <m/>
    <m/>
    <m/>
    <m/>
    <m/>
    <m/>
    <m/>
    <m/>
    <m/>
    <m/>
    <m/>
    <e v="#DIV/0!"/>
    <e v="#DIV/0!"/>
  </r>
  <r>
    <x v="3"/>
    <s v="Talavera"/>
    <s v="Nueva Ecija, Talavera"/>
    <s v="MBA"/>
    <s v="1st"/>
    <n v="15.584241"/>
    <n v="120.918404"/>
    <s v="15.584241,120.918404"/>
    <s v="Municipal / City Plan"/>
    <s v="1063 s. 2018"/>
    <s v="2017 - 2026"/>
    <n v="2018"/>
    <n v="2026"/>
    <m/>
    <x v="6"/>
    <s v="Gem C. Vicencio"/>
    <s v="Zosimo P. Suyat"/>
    <m/>
    <m/>
    <m/>
    <m/>
    <m/>
    <m/>
    <s v=""/>
    <s v=""/>
    <s v=""/>
    <s v=""/>
    <m/>
    <m/>
    <m/>
    <m/>
    <m/>
    <m/>
    <m/>
    <m/>
    <m/>
    <m/>
    <m/>
    <m/>
    <m/>
    <m/>
    <m/>
    <m/>
    <m/>
    <m/>
    <m/>
    <m/>
    <m/>
    <m/>
    <m/>
    <m/>
    <m/>
    <m/>
    <m/>
    <n v="0"/>
    <m/>
    <m/>
    <m/>
    <m/>
    <m/>
    <m/>
    <m/>
    <m/>
    <m/>
    <m/>
    <m/>
    <e v="#DIV/0!"/>
    <e v="#DIV/0!"/>
  </r>
  <r>
    <x v="3"/>
    <s v="Talugtug"/>
    <s v="Nueva Ecija, Talugtug"/>
    <s v="MBA"/>
    <s v="2nd"/>
    <n v="15.777162000000001"/>
    <n v="120.807756"/>
    <s v="15.777162,120.807756"/>
    <s v="Municipal / City Plan"/>
    <s v="NSWMC RESO NO. 1078 SERIES OF 2018"/>
    <s v="2017 - 2027"/>
    <n v="2018"/>
    <n v="2027"/>
    <m/>
    <x v="2"/>
    <s v="Aser A. Inocencio, Jr."/>
    <s v="Zosimo P. Suyat"/>
    <m/>
    <m/>
    <m/>
    <m/>
    <m/>
    <m/>
    <s v=""/>
    <s v=""/>
    <s v=""/>
    <s v=""/>
    <m/>
    <m/>
    <m/>
    <m/>
    <m/>
    <m/>
    <m/>
    <m/>
    <m/>
    <m/>
    <m/>
    <m/>
    <m/>
    <m/>
    <m/>
    <m/>
    <m/>
    <m/>
    <m/>
    <m/>
    <m/>
    <m/>
    <m/>
    <m/>
    <m/>
    <m/>
    <m/>
    <n v="0"/>
    <m/>
    <m/>
    <m/>
    <m/>
    <m/>
    <m/>
    <m/>
    <m/>
    <m/>
    <m/>
    <m/>
    <e v="#DIV/0!"/>
    <e v="#DIV/0!"/>
  </r>
  <r>
    <x v="3"/>
    <s v="Zaragoza"/>
    <s v="Nueva Ecija, Zaragoza"/>
    <s v="MBA"/>
    <s v="1st"/>
    <n v="15.449308"/>
    <n v="120.793306"/>
    <s v="15.449308,120.793306"/>
    <s v="Municipal / City Plan"/>
    <s v="NSWMC RESO NO. 1121 SERIES OF 2018"/>
    <s v="2017 - 2026"/>
    <n v="2018"/>
    <n v="2026"/>
    <m/>
    <x v="2"/>
    <s v="Gem C. Vicencio"/>
    <s v="Zosimo P. Suyat"/>
    <m/>
    <m/>
    <m/>
    <m/>
    <m/>
    <m/>
    <s v=""/>
    <s v=""/>
    <s v=""/>
    <s v=""/>
    <m/>
    <m/>
    <m/>
    <m/>
    <m/>
    <m/>
    <m/>
    <m/>
    <m/>
    <m/>
    <m/>
    <m/>
    <m/>
    <m/>
    <m/>
    <m/>
    <m/>
    <m/>
    <m/>
    <m/>
    <m/>
    <m/>
    <m/>
    <m/>
    <m/>
    <m/>
    <m/>
    <n v="0"/>
    <m/>
    <m/>
    <m/>
    <m/>
    <m/>
    <m/>
    <m/>
    <m/>
    <m/>
    <m/>
    <m/>
    <e v="#DIV/0!"/>
    <e v="#DIV/0!"/>
  </r>
  <r>
    <x v="4"/>
    <s v="Apalit"/>
    <s v="Pampanga, Apalit"/>
    <s v="MBA"/>
    <s v="4th"/>
    <n v="14.9536"/>
    <n v="120.7685"/>
    <s v="14.9536,120.7685"/>
    <s v="Municipal / City Plan"/>
    <n v="1241"/>
    <s v="2017 - 2027"/>
    <n v="2019"/>
    <n v="2027"/>
    <m/>
    <x v="1"/>
    <s v="Glaiza S.Gaza"/>
    <s v="John Sherwin Y. Loquellano"/>
    <m/>
    <m/>
    <m/>
    <m/>
    <m/>
    <m/>
    <s v=""/>
    <s v=""/>
    <s v=""/>
    <s v=""/>
    <m/>
    <m/>
    <m/>
    <m/>
    <m/>
    <m/>
    <m/>
    <m/>
    <m/>
    <m/>
    <m/>
    <m/>
    <m/>
    <m/>
    <m/>
    <m/>
    <m/>
    <m/>
    <m/>
    <m/>
    <m/>
    <m/>
    <m/>
    <m/>
    <m/>
    <m/>
    <m/>
    <n v="0"/>
    <m/>
    <m/>
    <m/>
    <m/>
    <m/>
    <m/>
    <m/>
    <m/>
    <m/>
    <m/>
    <m/>
    <e v="#DIV/0!"/>
    <e v="#DIV/0!"/>
  </r>
  <r>
    <x v="4"/>
    <s v="Arayat"/>
    <s v="Pampanga, Arayat"/>
    <s v="MBA"/>
    <s v="3rd"/>
    <n v="15.154166999999999"/>
    <n v="120.771598"/>
    <s v="15.154167,120.771598"/>
    <s v="Municipal / City Plan"/>
    <s v="1038-A Series of 2019"/>
    <s v="2017 -2028"/>
    <n v="2019"/>
    <n v="2028"/>
    <m/>
    <x v="0"/>
    <s v="Roger T. Encarnacion II"/>
    <s v="Jun D. Guillermo"/>
    <m/>
    <m/>
    <m/>
    <m/>
    <m/>
    <m/>
    <s v=""/>
    <s v=""/>
    <s v=""/>
    <s v=""/>
    <m/>
    <m/>
    <m/>
    <m/>
    <m/>
    <m/>
    <m/>
    <m/>
    <m/>
    <m/>
    <m/>
    <m/>
    <m/>
    <m/>
    <m/>
    <m/>
    <m/>
    <m/>
    <m/>
    <m/>
    <m/>
    <m/>
    <m/>
    <m/>
    <m/>
    <m/>
    <m/>
    <n v="0"/>
    <m/>
    <m/>
    <m/>
    <m/>
    <m/>
    <m/>
    <m/>
    <m/>
    <m/>
    <m/>
    <m/>
    <e v="#DIV/0!"/>
    <e v="#DIV/0!"/>
  </r>
  <r>
    <x v="4"/>
    <s v="Bacolor"/>
    <s v="Pampanga, Bacolor"/>
    <s v="MBA"/>
    <s v="3rd"/>
    <n v="14.996600000000001"/>
    <n v="120.65170000000001"/>
    <s v="14.9966,120.6517"/>
    <s v="Municipal / City Plan"/>
    <s v="NSWMC Resolution No. 1638, Series of 2023"/>
    <s v="2022 - 2031"/>
    <n v="2022"/>
    <n v="2031"/>
    <m/>
    <x v="5"/>
    <s v="VACANT"/>
    <s v="Jun D. Guillermo"/>
    <m/>
    <m/>
    <m/>
    <m/>
    <m/>
    <m/>
    <s v=""/>
    <s v=""/>
    <s v=""/>
    <s v=""/>
    <m/>
    <m/>
    <m/>
    <m/>
    <m/>
    <m/>
    <m/>
    <m/>
    <m/>
    <m/>
    <m/>
    <m/>
    <m/>
    <m/>
    <m/>
    <m/>
    <m/>
    <m/>
    <m/>
    <m/>
    <m/>
    <m/>
    <m/>
    <m/>
    <m/>
    <m/>
    <m/>
    <n v="0"/>
    <m/>
    <m/>
    <m/>
    <m/>
    <m/>
    <m/>
    <m/>
    <m/>
    <m/>
    <m/>
    <m/>
    <e v="#DIV/0!"/>
    <e v="#DIV/0!"/>
  </r>
  <r>
    <x v="4"/>
    <s v="Candaba"/>
    <s v="Pampanga, Candaba"/>
    <s v="MBA"/>
    <s v="4th"/>
    <n v="15.092935000000001"/>
    <n v="120.828063"/>
    <s v="15.092935,120.828063"/>
    <s v="Municipal / City Plan"/>
    <s v="240 series of 2015"/>
    <s v="2015 - 2024"/>
    <n v="2015"/>
    <n v="2024"/>
    <s v="For Renewal"/>
    <x v="1"/>
    <s v="Roger T. Encarnacion II"/>
    <s v="Jun D. Guillermo"/>
    <m/>
    <m/>
    <m/>
    <m/>
    <m/>
    <m/>
    <s v=""/>
    <s v=""/>
    <s v=""/>
    <s v=""/>
    <m/>
    <m/>
    <m/>
    <m/>
    <m/>
    <m/>
    <m/>
    <m/>
    <m/>
    <m/>
    <m/>
    <m/>
    <m/>
    <m/>
    <m/>
    <m/>
    <m/>
    <m/>
    <m/>
    <m/>
    <m/>
    <m/>
    <m/>
    <m/>
    <m/>
    <m/>
    <m/>
    <n v="0"/>
    <m/>
    <m/>
    <m/>
    <m/>
    <m/>
    <m/>
    <m/>
    <m/>
    <m/>
    <m/>
    <m/>
    <e v="#DIV/0!"/>
    <e v="#DIV/0!"/>
  </r>
  <r>
    <x v="4"/>
    <s v="City Of Angeles"/>
    <s v="Pampanga, City Of Angeles"/>
    <s v="MBA"/>
    <s v="1st"/>
    <n v="15.1653"/>
    <n v="120.6084"/>
    <s v="15.1653,120.6084"/>
    <s v="Municipal / City Plan"/>
    <s v="NSWMC RESO NO. 196 SERIES OF 2015"/>
    <s v="2015 - 2024"/>
    <n v="2015"/>
    <n v="2024"/>
    <s v="For Renewal"/>
    <x v="3"/>
    <s v="Elyza A. Evilla"/>
    <s v="John Sherwin Y. Loquellano"/>
    <m/>
    <m/>
    <m/>
    <m/>
    <m/>
    <m/>
    <s v=""/>
    <s v=""/>
    <s v=""/>
    <s v=""/>
    <m/>
    <m/>
    <m/>
    <m/>
    <m/>
    <m/>
    <m/>
    <m/>
    <m/>
    <m/>
    <m/>
    <m/>
    <m/>
    <m/>
    <m/>
    <m/>
    <m/>
    <m/>
    <m/>
    <m/>
    <m/>
    <m/>
    <m/>
    <m/>
    <m/>
    <m/>
    <m/>
    <n v="0"/>
    <m/>
    <m/>
    <m/>
    <m/>
    <m/>
    <m/>
    <m/>
    <m/>
    <m/>
    <m/>
    <m/>
    <e v="#DIV/0!"/>
    <e v="#DIV/0!"/>
  </r>
  <r>
    <x v="4"/>
    <s v="City Of San Fernando"/>
    <s v="Pampanga, City Of San Fernando"/>
    <s v="MBA"/>
    <s v="3rd"/>
    <n v="15.027900000000001"/>
    <n v="120.69370000000001"/>
    <s v="15.0279,120.6937"/>
    <s v="Municipal / City Plan"/>
    <s v="167 series 2015"/>
    <s v="2015 - 2024"/>
    <n v="2015"/>
    <n v="2024"/>
    <s v="For Renewal"/>
    <x v="4"/>
    <s v="Elyza A. Evilla"/>
    <s v="John Sherwin Loquellano"/>
    <m/>
    <m/>
    <m/>
    <m/>
    <m/>
    <m/>
    <s v=""/>
    <s v=""/>
    <s v=""/>
    <s v=""/>
    <m/>
    <m/>
    <m/>
    <m/>
    <m/>
    <m/>
    <m/>
    <m/>
    <m/>
    <m/>
    <m/>
    <m/>
    <m/>
    <m/>
    <m/>
    <m/>
    <m/>
    <m/>
    <m/>
    <m/>
    <m/>
    <m/>
    <m/>
    <m/>
    <m/>
    <m/>
    <m/>
    <n v="0"/>
    <m/>
    <m/>
    <m/>
    <m/>
    <m/>
    <m/>
    <m/>
    <m/>
    <m/>
    <m/>
    <m/>
    <e v="#DIV/0!"/>
    <e v="#DIV/0!"/>
  </r>
  <r>
    <x v="4"/>
    <s v="Floridablanca"/>
    <s v="Pampanga, Floridablanca"/>
    <s v="MBA"/>
    <s v="2nd"/>
    <n v="14.974500000000001"/>
    <n v="120.52809999999999"/>
    <s v="14.9745,120.5281"/>
    <s v="Municipal / City Plan"/>
    <s v="NSWMC NO. 684 A S 2018"/>
    <s v="2018 - 2027"/>
    <n v="2018"/>
    <n v="2027"/>
    <m/>
    <x v="6"/>
    <s v="Elyza A. Evilla"/>
    <s v="John Sherwin Loquellano"/>
    <m/>
    <m/>
    <m/>
    <m/>
    <m/>
    <m/>
    <s v=""/>
    <s v=""/>
    <s v=""/>
    <s v=""/>
    <m/>
    <m/>
    <m/>
    <m/>
    <m/>
    <m/>
    <m/>
    <m/>
    <m/>
    <m/>
    <m/>
    <m/>
    <m/>
    <m/>
    <m/>
    <m/>
    <m/>
    <m/>
    <m/>
    <m/>
    <m/>
    <m/>
    <m/>
    <m/>
    <m/>
    <m/>
    <m/>
    <n v="0"/>
    <m/>
    <m/>
    <m/>
    <m/>
    <m/>
    <m/>
    <m/>
    <m/>
    <m/>
    <m/>
    <m/>
    <e v="#DIV/0!"/>
    <e v="#DIV/0!"/>
  </r>
  <r>
    <x v="4"/>
    <s v="Guagua"/>
    <s v="Pampanga, Guagua"/>
    <s v="MBA"/>
    <s v="2nd"/>
    <n v="14.965206999999999"/>
    <n v="120.63333799999999"/>
    <s v="14.965207,120.633338"/>
    <s v="Municipal / City Plan"/>
    <n v="158"/>
    <s v="2015 - 2024"/>
    <n v="2015"/>
    <n v="2024"/>
    <s v="For Renewal"/>
    <x v="1"/>
    <s v="VACANT"/>
    <s v="Jun D. Guillermo"/>
    <m/>
    <m/>
    <m/>
    <m/>
    <m/>
    <m/>
    <s v=""/>
    <s v=""/>
    <s v=""/>
    <s v=""/>
    <m/>
    <m/>
    <m/>
    <m/>
    <m/>
    <m/>
    <m/>
    <m/>
    <m/>
    <m/>
    <m/>
    <m/>
    <m/>
    <m/>
    <m/>
    <m/>
    <m/>
    <m/>
    <m/>
    <m/>
    <m/>
    <m/>
    <m/>
    <m/>
    <m/>
    <m/>
    <m/>
    <n v="0"/>
    <m/>
    <m/>
    <m/>
    <m/>
    <m/>
    <m/>
    <m/>
    <m/>
    <m/>
    <m/>
    <m/>
    <e v="#DIV/0!"/>
    <e v="#DIV/0!"/>
  </r>
  <r>
    <x v="4"/>
    <s v="Lubao"/>
    <s v="Pampanga, Lubao"/>
    <s v="MBA"/>
    <s v="2nd"/>
    <n v="14.926299999999999"/>
    <n v="120.5891"/>
    <s v="14.9263,120.5891"/>
    <s v="Municipal / City Plan"/>
    <s v="NSWMC RESO NO. 1088 SERIES OF 2018"/>
    <s v="2017 - 2026"/>
    <n v="2018"/>
    <n v="2026"/>
    <m/>
    <x v="2"/>
    <s v="VACANT"/>
    <s v="Jun D. Guillermo"/>
    <m/>
    <m/>
    <m/>
    <m/>
    <m/>
    <m/>
    <s v=""/>
    <s v=""/>
    <s v=""/>
    <s v=""/>
    <m/>
    <m/>
    <m/>
    <m/>
    <m/>
    <m/>
    <m/>
    <m/>
    <m/>
    <m/>
    <m/>
    <m/>
    <m/>
    <m/>
    <m/>
    <m/>
    <m/>
    <m/>
    <m/>
    <m/>
    <m/>
    <m/>
    <m/>
    <m/>
    <m/>
    <m/>
    <m/>
    <n v="0"/>
    <m/>
    <m/>
    <m/>
    <m/>
    <m/>
    <m/>
    <m/>
    <m/>
    <m/>
    <m/>
    <m/>
    <e v="#DIV/0!"/>
    <e v="#DIV/0!"/>
  </r>
  <r>
    <x v="4"/>
    <s v="Mabalacat City"/>
    <s v="Pampanga, Mabalacat City"/>
    <s v="MBA"/>
    <s v="1st"/>
    <n v="15.244213"/>
    <n v="120.56471500000001"/>
    <s v="15.244213,120.564715"/>
    <s v="Municipal / City Plan"/>
    <n v="147"/>
    <s v="2014 - 2023"/>
    <n v="2015"/>
    <n v="2023"/>
    <s v="Approved"/>
    <x v="2"/>
    <s v="Roger T. Encarnacion II"/>
    <s v="Jun D. Guillermo"/>
    <m/>
    <m/>
    <m/>
    <m/>
    <m/>
    <m/>
    <s v=""/>
    <s v=""/>
    <s v=""/>
    <s v=""/>
    <m/>
    <m/>
    <m/>
    <m/>
    <m/>
    <m/>
    <m/>
    <m/>
    <m/>
    <m/>
    <m/>
    <m/>
    <m/>
    <m/>
    <m/>
    <m/>
    <m/>
    <m/>
    <m/>
    <m/>
    <m/>
    <m/>
    <m/>
    <m/>
    <m/>
    <m/>
    <m/>
    <n v="0"/>
    <m/>
    <m/>
    <m/>
    <m/>
    <m/>
    <m/>
    <m/>
    <m/>
    <m/>
    <m/>
    <m/>
    <e v="#DIV/0!"/>
    <e v="#DIV/0!"/>
  </r>
  <r>
    <x v="4"/>
    <s v="Magalang"/>
    <s v="Pampanga, Magalang"/>
    <s v="MBA"/>
    <s v="1st"/>
    <n v="15.214281"/>
    <n v="120.66215"/>
    <s v="15.214281,120.66215"/>
    <s v="Municipal / City Plan"/>
    <s v="1114s.2018"/>
    <s v="2017 - 2026"/>
    <n v="2018"/>
    <n v="2026"/>
    <m/>
    <x v="2"/>
    <s v="Roger T. Encarnacion II"/>
    <s v="Jun D. Guillermo"/>
    <m/>
    <m/>
    <m/>
    <m/>
    <m/>
    <m/>
    <s v=""/>
    <s v=""/>
    <s v=""/>
    <s v=""/>
    <m/>
    <m/>
    <m/>
    <m/>
    <m/>
    <m/>
    <m/>
    <m/>
    <m/>
    <m/>
    <m/>
    <m/>
    <m/>
    <m/>
    <m/>
    <m/>
    <m/>
    <m/>
    <m/>
    <m/>
    <m/>
    <m/>
    <m/>
    <m/>
    <m/>
    <m/>
    <m/>
    <n v="0"/>
    <m/>
    <m/>
    <m/>
    <m/>
    <m/>
    <m/>
    <m/>
    <m/>
    <m/>
    <m/>
    <m/>
    <e v="#DIV/0!"/>
    <e v="#DIV/0!"/>
  </r>
  <r>
    <x v="4"/>
    <s v="Masantol"/>
    <s v="Pampanga, Masantol"/>
    <s v="MBA"/>
    <s v="4th"/>
    <n v="14.8925"/>
    <n v="120.70529999999999"/>
    <s v="14.8925,120.7053"/>
    <s v="Municipal / City Plan"/>
    <s v="1028-A series of 2019"/>
    <s v="2014 - 2024"/>
    <n v="2019"/>
    <n v="2024"/>
    <s v="For Renewal"/>
    <x v="3"/>
    <s v="Glaiza S.Gaza"/>
    <s v="John Sherwin Y. Loquellano"/>
    <m/>
    <m/>
    <m/>
    <m/>
    <m/>
    <m/>
    <s v=""/>
    <s v=""/>
    <s v=""/>
    <s v=""/>
    <m/>
    <m/>
    <m/>
    <m/>
    <m/>
    <m/>
    <m/>
    <m/>
    <m/>
    <m/>
    <m/>
    <m/>
    <m/>
    <m/>
    <m/>
    <m/>
    <m/>
    <m/>
    <m/>
    <m/>
    <m/>
    <m/>
    <m/>
    <m/>
    <m/>
    <m/>
    <m/>
    <n v="0"/>
    <m/>
    <m/>
    <m/>
    <m/>
    <m/>
    <m/>
    <m/>
    <m/>
    <m/>
    <m/>
    <m/>
    <e v="#DIV/0!"/>
    <e v="#DIV/0!"/>
  </r>
  <r>
    <x v="4"/>
    <s v="Mexico"/>
    <s v="Pampanga, Mexico"/>
    <s v="MBA"/>
    <s v="3rd"/>
    <n v="15.065"/>
    <n v="120.7201"/>
    <s v="15.065,120.7201"/>
    <s v="Municipal / City Plan"/>
    <s v="1242-2019"/>
    <s v="2017 - 2026"/>
    <n v="2019"/>
    <n v="2026"/>
    <m/>
    <x v="2"/>
    <s v="Roger T. Encarnacion II"/>
    <s v="Jun D. Guillermo"/>
    <m/>
    <m/>
    <m/>
    <m/>
    <m/>
    <m/>
    <s v=""/>
    <s v=""/>
    <s v=""/>
    <s v=""/>
    <m/>
    <m/>
    <m/>
    <m/>
    <m/>
    <m/>
    <m/>
    <m/>
    <m/>
    <m/>
    <m/>
    <m/>
    <m/>
    <m/>
    <m/>
    <m/>
    <m/>
    <m/>
    <m/>
    <m/>
    <m/>
    <m/>
    <m/>
    <m/>
    <m/>
    <m/>
    <m/>
    <n v="0"/>
    <m/>
    <m/>
    <m/>
    <m/>
    <m/>
    <m/>
    <m/>
    <m/>
    <m/>
    <m/>
    <m/>
    <e v="#DIV/0!"/>
    <e v="#DIV/0!"/>
  </r>
  <r>
    <x v="4"/>
    <s v="Minalin"/>
    <s v="Pampanga, Minalin"/>
    <s v="MBA"/>
    <s v="4th"/>
    <n v="14.9704"/>
    <n v="120.6861"/>
    <s v="14.9704,120.6861"/>
    <s v="Municipal / City Plan"/>
    <s v="763 s. 2016"/>
    <s v="2015 - 2024"/>
    <n v="2016"/>
    <n v="2024"/>
    <s v="For Renewal"/>
    <x v="0"/>
    <s v="Glaiza S.Gaza"/>
    <s v="John Sherwin Y. Loquellano"/>
    <m/>
    <m/>
    <m/>
    <m/>
    <m/>
    <m/>
    <s v=""/>
    <s v=""/>
    <s v=""/>
    <s v=""/>
    <m/>
    <m/>
    <m/>
    <m/>
    <m/>
    <m/>
    <m/>
    <m/>
    <m/>
    <m/>
    <m/>
    <m/>
    <m/>
    <m/>
    <m/>
    <m/>
    <m/>
    <m/>
    <m/>
    <m/>
    <m/>
    <m/>
    <m/>
    <m/>
    <m/>
    <m/>
    <m/>
    <n v="0"/>
    <m/>
    <m/>
    <m/>
    <m/>
    <m/>
    <m/>
    <m/>
    <m/>
    <m/>
    <m/>
    <m/>
    <e v="#DIV/0!"/>
    <e v="#DIV/0!"/>
  </r>
  <r>
    <x v="4"/>
    <s v="Porac"/>
    <s v="Pampanga, Porac"/>
    <s v="MBA"/>
    <s v="2nd"/>
    <n v="15.0732"/>
    <n v="120.5406"/>
    <s v="15.0732,120.5406"/>
    <s v="Municipal / City Plan"/>
    <s v="787 A series of 2018"/>
    <s v="2018 - 2027"/>
    <n v="2018"/>
    <n v="2027"/>
    <m/>
    <x v="5"/>
    <s v="Elyza A. Evilla"/>
    <s v="John Sherwin Loquellano"/>
    <m/>
    <m/>
    <m/>
    <m/>
    <m/>
    <m/>
    <s v=""/>
    <s v=""/>
    <s v=""/>
    <s v=""/>
    <m/>
    <m/>
    <m/>
    <m/>
    <m/>
    <m/>
    <m/>
    <m/>
    <m/>
    <m/>
    <m/>
    <m/>
    <m/>
    <m/>
    <m/>
    <m/>
    <m/>
    <m/>
    <m/>
    <m/>
    <m/>
    <m/>
    <m/>
    <m/>
    <m/>
    <m/>
    <m/>
    <n v="0"/>
    <m/>
    <m/>
    <m/>
    <m/>
    <m/>
    <m/>
    <m/>
    <m/>
    <m/>
    <m/>
    <m/>
    <e v="#DIV/0!"/>
    <e v="#DIV/0!"/>
  </r>
  <r>
    <x v="4"/>
    <s v="San Luis"/>
    <s v="Pampanga, San Luis"/>
    <s v="MBA"/>
    <s v="4th"/>
    <n v="15.038968000000001"/>
    <n v="120.78927899999999"/>
    <s v="15.038968,120.789279"/>
    <s v="Municipal / City Plan"/>
    <s v="NSWMC RESO NO. 1113 SERIES OF 2018"/>
    <s v="2018 - 2027"/>
    <n v="2018"/>
    <n v="2027"/>
    <m/>
    <x v="5"/>
    <s v="Glaiza S.Gaza"/>
    <s v="John Sherwin Loquellano"/>
    <m/>
    <m/>
    <m/>
    <m/>
    <m/>
    <m/>
    <s v=""/>
    <s v=""/>
    <s v=""/>
    <s v=""/>
    <m/>
    <m/>
    <m/>
    <m/>
    <m/>
    <m/>
    <m/>
    <m/>
    <m/>
    <m/>
    <m/>
    <m/>
    <m/>
    <m/>
    <m/>
    <m/>
    <m/>
    <m/>
    <m/>
    <m/>
    <m/>
    <m/>
    <m/>
    <m/>
    <m/>
    <m/>
    <m/>
    <n v="0"/>
    <m/>
    <m/>
    <m/>
    <m/>
    <m/>
    <m/>
    <m/>
    <m/>
    <m/>
    <m/>
    <m/>
    <e v="#DIV/0!"/>
    <e v="#DIV/0!"/>
  </r>
  <r>
    <x v="4"/>
    <s v="San Simon"/>
    <s v="Pampanga, San Simon"/>
    <s v="MBA"/>
    <s v="4th"/>
    <n v="14.9848"/>
    <n v="120.7514"/>
    <s v="14.9848,120.7514"/>
    <s v="Municipal / City Plan"/>
    <s v="1333 series of 2019"/>
    <s v="2017 - 2028"/>
    <n v="2019"/>
    <n v="2028"/>
    <m/>
    <x v="6"/>
    <s v="Glaiza S.Gaza"/>
    <s v="John Sherwin Loquellano"/>
    <m/>
    <m/>
    <m/>
    <m/>
    <m/>
    <m/>
    <s v=""/>
    <s v=""/>
    <s v=""/>
    <s v=""/>
    <m/>
    <m/>
    <m/>
    <m/>
    <m/>
    <m/>
    <m/>
    <m/>
    <m/>
    <m/>
    <m/>
    <m/>
    <m/>
    <m/>
    <m/>
    <m/>
    <m/>
    <m/>
    <m/>
    <m/>
    <m/>
    <m/>
    <m/>
    <m/>
    <m/>
    <m/>
    <m/>
    <n v="0"/>
    <m/>
    <m/>
    <m/>
    <m/>
    <m/>
    <m/>
    <m/>
    <m/>
    <m/>
    <m/>
    <m/>
    <e v="#DIV/0!"/>
    <e v="#DIV/0!"/>
  </r>
  <r>
    <x v="4"/>
    <s v="Santa Ana"/>
    <s v="Pampanga, Santa Ana"/>
    <s v="MBA"/>
    <s v="3rd"/>
    <n v="15.0839"/>
    <n v="120.76309999999999"/>
    <s v="15.0839,120.7631"/>
    <s v="Municipal / City Plan"/>
    <s v="1244 of 2019"/>
    <s v="2016 - 2027"/>
    <n v="2019"/>
    <n v="2027"/>
    <m/>
    <x v="6"/>
    <s v="Roger T. Encarnacion II"/>
    <s v="Jun D. Guillermo"/>
    <m/>
    <m/>
    <m/>
    <m/>
    <m/>
    <m/>
    <s v=""/>
    <s v=""/>
    <s v=""/>
    <s v=""/>
    <m/>
    <m/>
    <m/>
    <m/>
    <m/>
    <m/>
    <m/>
    <m/>
    <m/>
    <m/>
    <m/>
    <m/>
    <m/>
    <m/>
    <m/>
    <m/>
    <m/>
    <m/>
    <m/>
    <m/>
    <m/>
    <m/>
    <m/>
    <m/>
    <m/>
    <m/>
    <m/>
    <n v="0"/>
    <m/>
    <m/>
    <m/>
    <m/>
    <m/>
    <m/>
    <m/>
    <m/>
    <m/>
    <m/>
    <m/>
    <e v="#DIV/0!"/>
    <e v="#DIV/0!"/>
  </r>
  <r>
    <x v="4"/>
    <s v="Santa Rita"/>
    <s v="Pampanga, Santa Rita"/>
    <s v="MBA"/>
    <s v="2nd"/>
    <n v="15.000400000000001"/>
    <n v="120.6178"/>
    <s v="15.0004,120.6178"/>
    <s v="Municipal / City Plan"/>
    <s v="NSWMC RESO NO. 200 SERIES OF 2015"/>
    <s v="2015 - 2024"/>
    <n v="2015"/>
    <n v="2024"/>
    <s v="For Renewal"/>
    <x v="3"/>
    <s v="VACANT"/>
    <s v="Jun D. Guillermo"/>
    <m/>
    <m/>
    <m/>
    <m/>
    <m/>
    <m/>
    <s v=""/>
    <s v=""/>
    <s v=""/>
    <s v=""/>
    <m/>
    <m/>
    <m/>
    <m/>
    <m/>
    <m/>
    <m/>
    <m/>
    <m/>
    <m/>
    <m/>
    <m/>
    <m/>
    <m/>
    <m/>
    <m/>
    <m/>
    <m/>
    <m/>
    <m/>
    <m/>
    <m/>
    <m/>
    <m/>
    <m/>
    <m/>
    <m/>
    <n v="0"/>
    <m/>
    <m/>
    <m/>
    <m/>
    <m/>
    <m/>
    <m/>
    <m/>
    <m/>
    <m/>
    <m/>
    <e v="#DIV/0!"/>
    <e v="#DIV/0!"/>
  </r>
  <r>
    <x v="4"/>
    <s v="Sasmuan"/>
    <s v="Pampanga, Sasmuan"/>
    <s v="MBA"/>
    <s v="2nd"/>
    <n v="14.936299999999999"/>
    <n v="120.6223"/>
    <s v="14.9363,120.6223"/>
    <s v="Municipal / City Plan"/>
    <s v="NSWMC RESO NO. 1332 SERIES OF 2019"/>
    <s v="2017 - 2028"/>
    <n v="2019"/>
    <n v="2028"/>
    <m/>
    <x v="0"/>
    <s v="VACANT"/>
    <s v="Jun D. Guillermo"/>
    <m/>
    <m/>
    <m/>
    <m/>
    <m/>
    <m/>
    <s v=""/>
    <s v=""/>
    <s v=""/>
    <s v=""/>
    <m/>
    <m/>
    <m/>
    <m/>
    <m/>
    <m/>
    <m/>
    <m/>
    <m/>
    <m/>
    <m/>
    <m/>
    <m/>
    <m/>
    <m/>
    <m/>
    <m/>
    <m/>
    <m/>
    <m/>
    <m/>
    <m/>
    <m/>
    <m/>
    <m/>
    <m/>
    <m/>
    <n v="0"/>
    <m/>
    <m/>
    <m/>
    <m/>
    <m/>
    <m/>
    <m/>
    <m/>
    <m/>
    <m/>
    <m/>
    <e v="#DIV/0!"/>
    <e v="#DIV/0!"/>
  </r>
  <r>
    <x v="4"/>
    <s v="Sto. Tomas"/>
    <s v="Pampanga, Sto. Tomas"/>
    <s v="MBA"/>
    <s v="4th"/>
    <n v="14.996703999999999"/>
    <n v="120.70418100000001"/>
    <s v="14.996704,120.704181"/>
    <s v="Municipal / City Plan"/>
    <n v="1243"/>
    <s v="2017 - 2027"/>
    <n v="2019"/>
    <n v="2027"/>
    <m/>
    <x v="2"/>
    <s v="Elyza A. Evilla"/>
    <s v="John Sherwin Loquellano"/>
    <m/>
    <m/>
    <m/>
    <m/>
    <m/>
    <m/>
    <s v=""/>
    <s v=""/>
    <s v=""/>
    <s v=""/>
    <m/>
    <m/>
    <m/>
    <m/>
    <m/>
    <m/>
    <m/>
    <m/>
    <m/>
    <m/>
    <m/>
    <m/>
    <m/>
    <m/>
    <m/>
    <m/>
    <m/>
    <m/>
    <m/>
    <m/>
    <m/>
    <m/>
    <m/>
    <m/>
    <m/>
    <m/>
    <m/>
    <n v="0"/>
    <m/>
    <m/>
    <m/>
    <m/>
    <m/>
    <m/>
    <m/>
    <m/>
    <m/>
    <m/>
    <m/>
    <e v="#DIV/0!"/>
    <e v="#DIV/0!"/>
  </r>
  <r>
    <x v="5"/>
    <s v="Anao"/>
    <s v="Tarlac, Anao"/>
    <s v="OUTSIDE MBA"/>
    <s v="1st"/>
    <n v="15.730195999999999"/>
    <n v="120.6265988"/>
    <s v="15.730196,120.6265988"/>
    <s v="Municipal / City Plan"/>
    <s v="1089 s.2018"/>
    <s v="2018 - 2027"/>
    <n v="2018"/>
    <n v="2027"/>
    <m/>
    <x v="6"/>
    <s v="Jasper Kieht B. Pili"/>
    <s v="Jan Emerson C. Gonzales"/>
    <m/>
    <m/>
    <m/>
    <m/>
    <m/>
    <m/>
    <s v=""/>
    <s v=""/>
    <s v=""/>
    <s v=""/>
    <m/>
    <m/>
    <m/>
    <m/>
    <m/>
    <m/>
    <m/>
    <m/>
    <m/>
    <m/>
    <m/>
    <m/>
    <m/>
    <m/>
    <m/>
    <m/>
    <m/>
    <m/>
    <m/>
    <m/>
    <m/>
    <m/>
    <m/>
    <m/>
    <m/>
    <m/>
    <m/>
    <n v="0"/>
    <m/>
    <m/>
    <m/>
    <m/>
    <m/>
    <m/>
    <m/>
    <m/>
    <m/>
    <m/>
    <m/>
    <e v="#DIV/0!"/>
    <e v="#DIV/0!"/>
  </r>
  <r>
    <x v="5"/>
    <s v="Bamban"/>
    <s v="Tarlac, Bamban"/>
    <s v="MBA"/>
    <s v="3rd"/>
    <n v="15.289574"/>
    <n v="120.570662"/>
    <s v="15.289574,120.570662"/>
    <s v="Municipal / City Plan"/>
    <n v="1248"/>
    <s v="2016 - 2027"/>
    <n v="2019"/>
    <n v="2027"/>
    <m/>
    <x v="0"/>
    <s v="Gretzhen M. Apolonio"/>
    <s v="Jan Emerson C. Gonzales"/>
    <m/>
    <m/>
    <m/>
    <m/>
    <m/>
    <m/>
    <s v=""/>
    <s v=""/>
    <s v=""/>
    <s v=""/>
    <m/>
    <m/>
    <m/>
    <m/>
    <m/>
    <m/>
    <m/>
    <m/>
    <m/>
    <m/>
    <m/>
    <m/>
    <m/>
    <m/>
    <m/>
    <m/>
    <m/>
    <m/>
    <m/>
    <m/>
    <m/>
    <m/>
    <m/>
    <m/>
    <m/>
    <m/>
    <m/>
    <n v="0"/>
    <m/>
    <m/>
    <m/>
    <m/>
    <m/>
    <m/>
    <m/>
    <m/>
    <m/>
    <m/>
    <m/>
    <e v="#DIV/0!"/>
    <e v="#DIV/0!"/>
  </r>
  <r>
    <x v="5"/>
    <s v="Camiling"/>
    <s v="Tarlac, Camiling"/>
    <s v="OUTSIDE MBA"/>
    <s v="1st"/>
    <n v="15.6863285"/>
    <n v="120.4146513"/>
    <s v="15.6863285,120.4146513"/>
    <s v="Municipal / City Plan"/>
    <s v="1090 series of 2018"/>
    <s v="2018 - 2027"/>
    <n v="2018"/>
    <n v="2027"/>
    <m/>
    <x v="0"/>
    <s v="Jasper Kieht B. Pili"/>
    <s v="Jan Emerson C. Gonzales"/>
    <m/>
    <m/>
    <m/>
    <m/>
    <m/>
    <m/>
    <s v=""/>
    <s v=""/>
    <s v=""/>
    <s v=""/>
    <m/>
    <m/>
    <m/>
    <m/>
    <m/>
    <m/>
    <m/>
    <m/>
    <m/>
    <m/>
    <m/>
    <m/>
    <m/>
    <m/>
    <m/>
    <m/>
    <m/>
    <m/>
    <m/>
    <m/>
    <m/>
    <m/>
    <m/>
    <m/>
    <m/>
    <m/>
    <m/>
    <n v="0"/>
    <m/>
    <m/>
    <m/>
    <m/>
    <m/>
    <m/>
    <m/>
    <m/>
    <m/>
    <m/>
    <m/>
    <e v="#DIV/0!"/>
    <e v="#DIV/0!"/>
  </r>
  <r>
    <x v="5"/>
    <s v="Capas"/>
    <s v="Tarlac, Capas"/>
    <s v="MBA"/>
    <s v="3rd"/>
    <n v="15.346304999999999"/>
    <n v="120.59293700000001"/>
    <s v="15.346305,120.592937"/>
    <s v="Municipal / City Plan"/>
    <s v="1250 series of 2019"/>
    <s v="2018 - 2027"/>
    <n v="2019"/>
    <n v="2027"/>
    <m/>
    <x v="2"/>
    <s v="Gretzhen M. Apolonio"/>
    <s v="Jan Emerson C. Gonzales"/>
    <m/>
    <m/>
    <m/>
    <m/>
    <m/>
    <m/>
    <s v=""/>
    <s v=""/>
    <s v=""/>
    <s v=""/>
    <m/>
    <m/>
    <m/>
    <m/>
    <m/>
    <m/>
    <m/>
    <m/>
    <m/>
    <m/>
    <m/>
    <m/>
    <m/>
    <m/>
    <m/>
    <m/>
    <m/>
    <m/>
    <m/>
    <m/>
    <m/>
    <m/>
    <m/>
    <m/>
    <m/>
    <m/>
    <m/>
    <n v="0"/>
    <m/>
    <m/>
    <m/>
    <m/>
    <m/>
    <m/>
    <m/>
    <m/>
    <m/>
    <m/>
    <m/>
    <e v="#DIV/0!"/>
    <e v="#DIV/0!"/>
  </r>
  <r>
    <x v="5"/>
    <s v="City Of Tarlac"/>
    <s v="Tarlac, City Of Tarlac"/>
    <s v="MBA"/>
    <s v="2nd"/>
    <n v="15.486853"/>
    <n v="120.589888"/>
    <s v="15.486853,120.589888"/>
    <s v="Municipal / City Plan"/>
    <n v="1251"/>
    <s v="2017 - 2027"/>
    <n v="2019"/>
    <n v="2027"/>
    <m/>
    <x v="2"/>
    <s v="Joshua A. Capones"/>
    <s v="Jan Emerson C. Gonzales"/>
    <m/>
    <m/>
    <m/>
    <m/>
    <m/>
    <m/>
    <s v=""/>
    <s v=""/>
    <s v=""/>
    <s v=""/>
    <m/>
    <m/>
    <m/>
    <m/>
    <m/>
    <m/>
    <m/>
    <m/>
    <m/>
    <m/>
    <m/>
    <m/>
    <m/>
    <m/>
    <m/>
    <m/>
    <m/>
    <m/>
    <m/>
    <m/>
    <m/>
    <m/>
    <m/>
    <m/>
    <m/>
    <m/>
    <m/>
    <n v="0"/>
    <m/>
    <m/>
    <m/>
    <m/>
    <m/>
    <m/>
    <m/>
    <m/>
    <m/>
    <m/>
    <m/>
    <e v="#DIV/0!"/>
    <e v="#DIV/0!"/>
  </r>
  <r>
    <x v="5"/>
    <s v="Concepcion"/>
    <s v="Tarlac, Concepcion"/>
    <s v="MBA"/>
    <s v="3rd"/>
    <n v="15.323352"/>
    <n v="120.655511"/>
    <s v="15.323352,120.655511"/>
    <s v="Municipal / City Plan"/>
    <s v="NSWMC RESO NO. 1404SERIES OF 2020"/>
    <s v="2018 - 2027"/>
    <n v="2020"/>
    <n v="2027"/>
    <m/>
    <x v="4"/>
    <s v="Gretzhen M. Apolonio"/>
    <s v="Jan Emerson C. Gonzales"/>
    <m/>
    <m/>
    <m/>
    <m/>
    <m/>
    <m/>
    <s v=""/>
    <s v=""/>
    <s v=""/>
    <s v=""/>
    <m/>
    <m/>
    <m/>
    <m/>
    <m/>
    <m/>
    <m/>
    <m/>
    <m/>
    <m/>
    <m/>
    <m/>
    <m/>
    <m/>
    <m/>
    <m/>
    <m/>
    <m/>
    <m/>
    <m/>
    <m/>
    <m/>
    <m/>
    <m/>
    <m/>
    <m/>
    <m/>
    <n v="0"/>
    <m/>
    <m/>
    <m/>
    <m/>
    <m/>
    <m/>
    <m/>
    <m/>
    <m/>
    <m/>
    <m/>
    <e v="#DIV/0!"/>
    <e v="#DIV/0!"/>
  </r>
  <r>
    <x v="5"/>
    <s v="Gerona"/>
    <s v="Tarlac, Gerona"/>
    <s v="OUTSIDE MBA"/>
    <s v="2nd"/>
    <n v="15.606548"/>
    <n v="120.599554"/>
    <s v="15.606548,120.599554"/>
    <s v="Municipal / City Plan"/>
    <s v="685-A series of 2019"/>
    <s v="2016 - 2026"/>
    <n v="2019"/>
    <n v="2026"/>
    <m/>
    <x v="2"/>
    <s v="Joshua A. Capones"/>
    <s v="Jan Emerson C. Gonzales"/>
    <m/>
    <m/>
    <m/>
    <m/>
    <m/>
    <m/>
    <s v=""/>
    <s v=""/>
    <s v=""/>
    <s v=""/>
    <m/>
    <m/>
    <m/>
    <m/>
    <m/>
    <m/>
    <m/>
    <m/>
    <m/>
    <m/>
    <m/>
    <m/>
    <m/>
    <m/>
    <m/>
    <m/>
    <m/>
    <m/>
    <m/>
    <m/>
    <m/>
    <m/>
    <m/>
    <m/>
    <m/>
    <m/>
    <m/>
    <n v="0"/>
    <m/>
    <m/>
    <m/>
    <m/>
    <m/>
    <m/>
    <m/>
    <m/>
    <m/>
    <m/>
    <m/>
    <e v="#DIV/0!"/>
    <e v="#DIV/0!"/>
  </r>
  <r>
    <x v="5"/>
    <s v="La Paz"/>
    <s v="Tarlac, La Paz"/>
    <s v="MBA"/>
    <s v="3rd"/>
    <n v="15.44117"/>
    <n v="120.729534"/>
    <s v="15.44117,120.729534"/>
    <s v="Municipal / City Plan"/>
    <s v="141, series of 2015"/>
    <s v="2014 - 2023"/>
    <n v="2015"/>
    <n v="2023"/>
    <s v="For Renewal"/>
    <x v="3"/>
    <s v="Gretzhen M. Apolonio"/>
    <s v="Jan Emerson C. Gonzales"/>
    <m/>
    <m/>
    <m/>
    <m/>
    <m/>
    <m/>
    <s v=""/>
    <s v=""/>
    <s v=""/>
    <s v=""/>
    <m/>
    <m/>
    <m/>
    <m/>
    <m/>
    <m/>
    <m/>
    <m/>
    <m/>
    <m/>
    <m/>
    <m/>
    <m/>
    <m/>
    <m/>
    <m/>
    <m/>
    <m/>
    <m/>
    <m/>
    <m/>
    <m/>
    <m/>
    <m/>
    <m/>
    <m/>
    <m/>
    <n v="0"/>
    <m/>
    <m/>
    <m/>
    <m/>
    <m/>
    <m/>
    <m/>
    <m/>
    <m/>
    <m/>
    <m/>
    <e v="#DIV/0!"/>
    <e v="#DIV/0!"/>
  </r>
  <r>
    <x v="5"/>
    <s v="Mayantoc"/>
    <s v="Tarlac, Mayantoc"/>
    <s v="OUTSIDE MBA"/>
    <s v="1st"/>
    <n v="15.6188757"/>
    <n v="120.3781159"/>
    <s v="15.6188757,120.3781159"/>
    <s v="Municipal / City Plan"/>
    <s v="NSWMC Reso No. 1359 s 2019"/>
    <s v="2017 - 2027"/>
    <n v="2019"/>
    <n v="2027"/>
    <m/>
    <x v="5"/>
    <s v="Jasper Kieht B. Pili"/>
    <s v="Jan Emerson C. Gonzales"/>
    <m/>
    <m/>
    <m/>
    <m/>
    <m/>
    <m/>
    <s v=""/>
    <s v=""/>
    <s v=""/>
    <s v=""/>
    <m/>
    <m/>
    <m/>
    <m/>
    <m/>
    <m/>
    <m/>
    <m/>
    <m/>
    <m/>
    <m/>
    <m/>
    <m/>
    <m/>
    <m/>
    <m/>
    <m/>
    <m/>
    <m/>
    <m/>
    <m/>
    <m/>
    <m/>
    <m/>
    <m/>
    <m/>
    <m/>
    <n v="0"/>
    <m/>
    <m/>
    <m/>
    <m/>
    <m/>
    <m/>
    <m/>
    <m/>
    <m/>
    <m/>
    <m/>
    <e v="#DIV/0!"/>
    <e v="#DIV/0!"/>
  </r>
  <r>
    <x v="5"/>
    <s v="Moncada"/>
    <s v="Tarlac, Moncada"/>
    <s v="OUTSIDE MBA"/>
    <s v="1st"/>
    <n v="15.733044599999999"/>
    <n v="120.57270250000001"/>
    <s v="15.7330446,120.5727025"/>
    <s v="Municipal / City Plan"/>
    <s v="No.237,series of 2015"/>
    <s v="2015 - 2024"/>
    <n v="2015"/>
    <n v="2024"/>
    <s v="Approved"/>
    <x v="3"/>
    <s v="Joshua A. Capones"/>
    <s v="Jan Emerson C. Gonzales"/>
    <m/>
    <m/>
    <m/>
    <m/>
    <m/>
    <m/>
    <s v=""/>
    <s v=""/>
    <s v=""/>
    <s v=""/>
    <m/>
    <m/>
    <m/>
    <m/>
    <m/>
    <m/>
    <m/>
    <m/>
    <m/>
    <m/>
    <m/>
    <m/>
    <m/>
    <m/>
    <m/>
    <m/>
    <m/>
    <m/>
    <m/>
    <m/>
    <m/>
    <m/>
    <m/>
    <m/>
    <m/>
    <m/>
    <m/>
    <n v="0"/>
    <m/>
    <m/>
    <m/>
    <m/>
    <m/>
    <m/>
    <m/>
    <m/>
    <m/>
    <m/>
    <m/>
    <e v="#DIV/0!"/>
    <e v="#DIV/0!"/>
  </r>
  <r>
    <x v="5"/>
    <s v="Paniqui"/>
    <s v="Tarlac, Paniqui"/>
    <s v="OUTSIDE MBA"/>
    <s v="1st"/>
    <n v="15.667913799999999"/>
    <n v="120.5777846"/>
    <s v="15.6679138,120.5777846"/>
    <s v="Municipal / City Plan"/>
    <s v="1300 series of 2019"/>
    <s v="2019 - 2028"/>
    <n v="2019"/>
    <n v="2028"/>
    <m/>
    <x v="5"/>
    <s v="Joshua A. Capones"/>
    <s v="Jan Emerson C. Gonzales"/>
    <m/>
    <m/>
    <m/>
    <m/>
    <m/>
    <m/>
    <s v=""/>
    <s v=""/>
    <s v=""/>
    <s v=""/>
    <m/>
    <m/>
    <m/>
    <m/>
    <m/>
    <m/>
    <m/>
    <m/>
    <m/>
    <m/>
    <m/>
    <m/>
    <m/>
    <m/>
    <m/>
    <m/>
    <m/>
    <m/>
    <m/>
    <m/>
    <m/>
    <m/>
    <m/>
    <m/>
    <m/>
    <m/>
    <m/>
    <n v="0"/>
    <m/>
    <m/>
    <m/>
    <m/>
    <m/>
    <m/>
    <m/>
    <m/>
    <m/>
    <m/>
    <m/>
    <e v="#DIV/0!"/>
    <e v="#DIV/0!"/>
  </r>
  <r>
    <x v="5"/>
    <s v="Pura"/>
    <s v="Tarlac, Pura"/>
    <s v="OUTSIDE MBA"/>
    <s v="1st"/>
    <n v="15.623962000000001"/>
    <n v="120.647586"/>
    <s v="15.623962,120.647586"/>
    <s v="Municipal / City Plan"/>
    <s v="1335 series of 2019"/>
    <s v="2018 - 2027"/>
    <n v="2019"/>
    <n v="2027"/>
    <m/>
    <x v="6"/>
    <s v="Joshua A. Capones"/>
    <s v="Jan Emerson C. Gonzales"/>
    <m/>
    <m/>
    <m/>
    <m/>
    <m/>
    <m/>
    <s v=""/>
    <s v=""/>
    <s v=""/>
    <s v=""/>
    <m/>
    <m/>
    <m/>
    <m/>
    <m/>
    <m/>
    <m/>
    <m/>
    <m/>
    <m/>
    <m/>
    <m/>
    <m/>
    <m/>
    <m/>
    <m/>
    <m/>
    <m/>
    <m/>
    <m/>
    <m/>
    <m/>
    <m/>
    <m/>
    <m/>
    <m/>
    <m/>
    <n v="0"/>
    <m/>
    <m/>
    <m/>
    <m/>
    <m/>
    <m/>
    <m/>
    <m/>
    <m/>
    <m/>
    <m/>
    <e v="#DIV/0!"/>
    <e v="#DIV/0!"/>
  </r>
  <r>
    <x v="5"/>
    <s v="Ramos"/>
    <s v="Tarlac, Ramos"/>
    <s v="OUTSIDE MBA"/>
    <s v="1st"/>
    <n v="15.665793000000001"/>
    <n v="120.6392786"/>
    <s v="15.665793,120.6392786"/>
    <s v="Municipal / City Plan"/>
    <s v="NSWMC RESO NO. 1419 SERIES OF 2021"/>
    <s v="2020 - 2029"/>
    <n v="2021"/>
    <n v="2029"/>
    <m/>
    <x v="2"/>
    <s v="Jasper Kieht B. Pili"/>
    <s v="Jan Emerson C. Gonzales"/>
    <m/>
    <m/>
    <m/>
    <m/>
    <m/>
    <m/>
    <s v=""/>
    <s v=""/>
    <s v=""/>
    <s v=""/>
    <m/>
    <m/>
    <m/>
    <m/>
    <m/>
    <m/>
    <m/>
    <m/>
    <m/>
    <m/>
    <m/>
    <m/>
    <m/>
    <m/>
    <m/>
    <m/>
    <m/>
    <m/>
    <m/>
    <m/>
    <m/>
    <m/>
    <m/>
    <m/>
    <m/>
    <m/>
    <m/>
    <n v="0"/>
    <m/>
    <m/>
    <m/>
    <m/>
    <m/>
    <m/>
    <m/>
    <m/>
    <m/>
    <m/>
    <m/>
    <e v="#DIV/0!"/>
    <e v="#DIV/0!"/>
  </r>
  <r>
    <x v="5"/>
    <s v="San Clemente"/>
    <s v="Tarlac, San Clemente"/>
    <s v="OUTSIDE MBA"/>
    <s v="1st"/>
    <n v="15.7122581"/>
    <n v="120.360302"/>
    <s v="15.7122581,120.360302"/>
    <s v="Municipal / City Plan"/>
    <s v="1249 series of 2019"/>
    <s v="2018 - 2027"/>
    <n v="2019"/>
    <n v="2027"/>
    <m/>
    <x v="2"/>
    <s v="Jasper Kieht B. Pili"/>
    <s v="Jan Emerson C. Gonzales"/>
    <m/>
    <m/>
    <m/>
    <m/>
    <m/>
    <m/>
    <s v=""/>
    <s v=""/>
    <s v=""/>
    <s v=""/>
    <m/>
    <m/>
    <m/>
    <m/>
    <m/>
    <m/>
    <m/>
    <m/>
    <m/>
    <m/>
    <m/>
    <m/>
    <m/>
    <m/>
    <m/>
    <m/>
    <m/>
    <m/>
    <m/>
    <m/>
    <m/>
    <m/>
    <m/>
    <m/>
    <m/>
    <m/>
    <m/>
    <n v="0"/>
    <m/>
    <m/>
    <m/>
    <m/>
    <m/>
    <m/>
    <m/>
    <m/>
    <m/>
    <m/>
    <m/>
    <e v="#DIV/0!"/>
    <e v="#DIV/0!"/>
  </r>
  <r>
    <x v="5"/>
    <s v="San Jose"/>
    <s v="Tarlac, San Jose"/>
    <s v="OUTSIDE MBA"/>
    <s v="2nd"/>
    <n v="15.477382"/>
    <n v="120.463888"/>
    <s v="15.477382,120.463888"/>
    <s v="Municipal / City Plan"/>
    <s v="NSWMC RESO NO. 1299 SERIES OF 2019"/>
    <s v="2018 -2027"/>
    <n v="2019"/>
    <n v="2027"/>
    <m/>
    <x v="5"/>
    <s v="Gretzhen M. Apolonio"/>
    <s v="Jan Emerson C. Gonzales"/>
    <m/>
    <m/>
    <m/>
    <m/>
    <m/>
    <m/>
    <s v=""/>
    <s v=""/>
    <s v=""/>
    <s v=""/>
    <m/>
    <m/>
    <m/>
    <m/>
    <m/>
    <m/>
    <m/>
    <m/>
    <m/>
    <m/>
    <m/>
    <m/>
    <m/>
    <m/>
    <m/>
    <m/>
    <m/>
    <m/>
    <m/>
    <m/>
    <m/>
    <m/>
    <m/>
    <m/>
    <m/>
    <m/>
    <m/>
    <n v="0"/>
    <m/>
    <m/>
    <m/>
    <m/>
    <m/>
    <m/>
    <m/>
    <m/>
    <m/>
    <m/>
    <m/>
    <e v="#DIV/0!"/>
    <e v="#DIV/0!"/>
  </r>
  <r>
    <x v="5"/>
    <s v="San Manuel"/>
    <s v="Tarlac, San Manuel"/>
    <s v="OUTSIDE MBA"/>
    <s v="1st"/>
    <n v="15.7993705"/>
    <n v="120.60731869999999"/>
    <s v="15.7993705,120.6073187"/>
    <s v="Municipal / City Plan"/>
    <s v="Resolution No. 1604, Series of 2023"/>
    <s v="2022 - 2031"/>
    <n v="2023"/>
    <n v="2031"/>
    <m/>
    <x v="1"/>
    <s v="Jasper Kieht B. Pili"/>
    <s v="Jan Emerson C. Gonzales"/>
    <m/>
    <m/>
    <m/>
    <m/>
    <m/>
    <m/>
    <s v=""/>
    <s v=""/>
    <s v=""/>
    <s v=""/>
    <m/>
    <m/>
    <m/>
    <m/>
    <m/>
    <m/>
    <m/>
    <m/>
    <m/>
    <m/>
    <m/>
    <m/>
    <m/>
    <m/>
    <m/>
    <m/>
    <m/>
    <m/>
    <m/>
    <m/>
    <m/>
    <m/>
    <m/>
    <m/>
    <m/>
    <m/>
    <m/>
    <n v="0"/>
    <m/>
    <m/>
    <m/>
    <m/>
    <m/>
    <m/>
    <m/>
    <m/>
    <m/>
    <m/>
    <m/>
    <e v="#DIV/0!"/>
    <e v="#DIV/0!"/>
  </r>
  <r>
    <x v="5"/>
    <s v="Santa Ignacia"/>
    <s v="Tarlac, Santa Ignacia"/>
    <s v="OUTSIDE MBA"/>
    <s v="1st"/>
    <n v="15.616387"/>
    <n v="120.434693"/>
    <s v="15.616387,120.434693"/>
    <s v="Municipal / City Plan"/>
    <s v="1334 series of 2019"/>
    <s v="2018 - 2027"/>
    <n v="2019"/>
    <n v="2027"/>
    <m/>
    <x v="6"/>
    <s v="Joshua A. Capones"/>
    <s v="Jan Emerson C. Gonzales"/>
    <m/>
    <m/>
    <m/>
    <m/>
    <m/>
    <m/>
    <s v=""/>
    <s v=""/>
    <s v=""/>
    <s v=""/>
    <m/>
    <m/>
    <m/>
    <m/>
    <m/>
    <m/>
    <m/>
    <m/>
    <m/>
    <m/>
    <m/>
    <m/>
    <m/>
    <m/>
    <m/>
    <m/>
    <m/>
    <m/>
    <m/>
    <m/>
    <m/>
    <m/>
    <m/>
    <m/>
    <m/>
    <m/>
    <m/>
    <n v="0"/>
    <m/>
    <m/>
    <m/>
    <m/>
    <m/>
    <m/>
    <m/>
    <m/>
    <m/>
    <m/>
    <m/>
    <e v="#DIV/0!"/>
    <e v="#DIV/0!"/>
  </r>
  <r>
    <x v="5"/>
    <s v="Victoria"/>
    <s v="Tarlac, Victoria"/>
    <s v="MBA"/>
    <s v="2nd"/>
    <n v="15.575934"/>
    <n v="120.681484"/>
    <s v="15.575934,120.681484"/>
    <s v="Municipal / City Plan"/>
    <s v="NSWMC RESO NO. 116 SERIES OF 2015"/>
    <s v="2015 - 2025"/>
    <n v="2015"/>
    <n v="2025"/>
    <s v="For Renewal"/>
    <x v="1"/>
    <s v="Gretzhen M. Apolonio"/>
    <s v="Jan Emerson C. Gonzales"/>
    <m/>
    <m/>
    <m/>
    <m/>
    <m/>
    <m/>
    <s v=""/>
    <s v=""/>
    <s v=""/>
    <s v=""/>
    <m/>
    <m/>
    <m/>
    <m/>
    <m/>
    <m/>
    <m/>
    <m/>
    <m/>
    <m/>
    <m/>
    <m/>
    <m/>
    <m/>
    <m/>
    <m/>
    <m/>
    <m/>
    <m/>
    <m/>
    <m/>
    <m/>
    <m/>
    <m/>
    <m/>
    <m/>
    <m/>
    <n v="0"/>
    <m/>
    <m/>
    <m/>
    <m/>
    <m/>
    <m/>
    <m/>
    <m/>
    <m/>
    <m/>
    <m/>
    <e v="#DIV/0!"/>
    <e v="#DIV/0!"/>
  </r>
  <r>
    <x v="6"/>
    <s v="Botolan"/>
    <s v="Zambales, Botolan"/>
    <s v="OUTSIDE MBA"/>
    <s v="2nd"/>
    <n v="15.288611"/>
    <n v="120.02333299999999"/>
    <s v="15.288611,120.023333"/>
    <s v="Municipal / City Plan"/>
    <s v="No. 1415 Series of 2020"/>
    <s v="2019 - 2029"/>
    <n v="2020"/>
    <n v="2029"/>
    <m/>
    <x v="3"/>
    <s v="Larizze A. Santos"/>
    <s v="Jun D. Guillermo"/>
    <m/>
    <m/>
    <m/>
    <m/>
    <m/>
    <m/>
    <s v=""/>
    <s v=""/>
    <s v=""/>
    <s v=""/>
    <m/>
    <m/>
    <m/>
    <m/>
    <m/>
    <m/>
    <m/>
    <m/>
    <m/>
    <m/>
    <m/>
    <m/>
    <m/>
    <m/>
    <m/>
    <m/>
    <m/>
    <m/>
    <m/>
    <m/>
    <m/>
    <m/>
    <m/>
    <m/>
    <m/>
    <m/>
    <m/>
    <n v="0"/>
    <m/>
    <m/>
    <m/>
    <m/>
    <m/>
    <m/>
    <m/>
    <m/>
    <m/>
    <m/>
    <m/>
    <e v="#DIV/0!"/>
    <e v="#DIV/0!"/>
  </r>
  <r>
    <x v="6"/>
    <s v="Cabangan"/>
    <s v="Zambales, Cabangan"/>
    <s v="OUTSIDE MBA"/>
    <s v="2nd"/>
    <n v="15.158889"/>
    <n v="120.055556"/>
    <s v="15.158889,120.055556"/>
    <s v="Municipal / City Plan"/>
    <s v="NSWMC RESO NO. 1492 SERIES OF 2021"/>
    <s v="2020 - 2029"/>
    <n v="2021"/>
    <n v="2029"/>
    <m/>
    <x v="2"/>
    <s v="Larizze A. Santos"/>
    <s v="Jun D. Guillermo"/>
    <m/>
    <m/>
    <m/>
    <m/>
    <m/>
    <m/>
    <s v=""/>
    <s v=""/>
    <s v=""/>
    <s v=""/>
    <m/>
    <m/>
    <m/>
    <m/>
    <m/>
    <m/>
    <m/>
    <m/>
    <m/>
    <m/>
    <m/>
    <m/>
    <m/>
    <m/>
    <m/>
    <m/>
    <m/>
    <m/>
    <m/>
    <m/>
    <m/>
    <m/>
    <m/>
    <m/>
    <m/>
    <m/>
    <m/>
    <n v="0"/>
    <m/>
    <m/>
    <m/>
    <m/>
    <m/>
    <m/>
    <m/>
    <m/>
    <m/>
    <m/>
    <m/>
    <e v="#DIV/0!"/>
    <e v="#DIV/0!"/>
  </r>
  <r>
    <x v="6"/>
    <s v="Candelaria"/>
    <s v="Zambales, Candelaria"/>
    <s v="OUTSIDE MBA"/>
    <s v="2nd"/>
    <n v="15.626389"/>
    <n v="119.931389"/>
    <s v="15.626389,119.931389"/>
    <s v="Municipal / City Plan"/>
    <s v="NSWMC RESO NO. 1446 SERIES OF 2021"/>
    <s v="2020 - 2029"/>
    <n v="2021"/>
    <n v="2029"/>
    <m/>
    <x v="2"/>
    <s v="Ryan Ace R. Angel"/>
    <s v="Jun D. Guillermo"/>
    <m/>
    <m/>
    <m/>
    <m/>
    <m/>
    <m/>
    <s v=""/>
    <s v=""/>
    <s v=""/>
    <s v=""/>
    <m/>
    <m/>
    <m/>
    <m/>
    <m/>
    <m/>
    <m/>
    <m/>
    <m/>
    <m/>
    <m/>
    <m/>
    <m/>
    <m/>
    <m/>
    <m/>
    <m/>
    <m/>
    <m/>
    <m/>
    <m/>
    <m/>
    <m/>
    <m/>
    <m/>
    <m/>
    <m/>
    <n v="0"/>
    <m/>
    <m/>
    <m/>
    <m/>
    <m/>
    <m/>
    <m/>
    <m/>
    <m/>
    <m/>
    <m/>
    <e v="#DIV/0!"/>
    <e v="#DIV/0!"/>
  </r>
  <r>
    <x v="6"/>
    <s v="Castillejos"/>
    <s v="Zambales, Castillejos"/>
    <s v="OUTSIDE MBA"/>
    <s v="1st"/>
    <n v="14.93211"/>
    <n v="120.19997600000001"/>
    <s v="14.93211,120.199976"/>
    <s v="Municipal / City Plan"/>
    <s v="No.1414 Series of 2020"/>
    <s v="2017 - 2027"/>
    <n v="2020"/>
    <n v="2027"/>
    <m/>
    <x v="0"/>
    <s v="VACANT"/>
    <s v="Jun D. Guillermo"/>
    <m/>
    <m/>
    <m/>
    <m/>
    <m/>
    <m/>
    <s v=""/>
    <s v=""/>
    <s v=""/>
    <s v=""/>
    <m/>
    <m/>
    <m/>
    <m/>
    <m/>
    <m/>
    <m/>
    <m/>
    <m/>
    <m/>
    <m/>
    <m/>
    <m/>
    <m/>
    <m/>
    <m/>
    <m/>
    <m/>
    <m/>
    <m/>
    <m/>
    <m/>
    <m/>
    <m/>
    <m/>
    <m/>
    <m/>
    <n v="0"/>
    <m/>
    <m/>
    <m/>
    <m/>
    <m/>
    <m/>
    <m/>
    <m/>
    <m/>
    <m/>
    <m/>
    <e v="#DIV/0!"/>
    <e v="#DIV/0!"/>
  </r>
  <r>
    <x v="6"/>
    <s v="City Of Olongapo"/>
    <s v="Zambales, City Of Olongapo"/>
    <s v="OUTSIDE MBA"/>
    <s v="1st"/>
    <n v="14.842411"/>
    <n v="120.28764700000001"/>
    <s v="14.842411,120.287647"/>
    <s v="Municipal / City Plan"/>
    <s v="NSWMC Resolution No. 1639, Series of 2023"/>
    <s v="2023 - 2032"/>
    <n v="2023"/>
    <n v="2032"/>
    <m/>
    <x v="4"/>
    <s v="VACANT"/>
    <s v="Jun D. Guillermo"/>
    <m/>
    <m/>
    <m/>
    <m/>
    <m/>
    <m/>
    <s v=""/>
    <s v=""/>
    <s v=""/>
    <s v=""/>
    <m/>
    <m/>
    <m/>
    <m/>
    <m/>
    <m/>
    <m/>
    <m/>
    <m/>
    <m/>
    <m/>
    <m/>
    <m/>
    <m/>
    <m/>
    <m/>
    <m/>
    <m/>
    <m/>
    <m/>
    <m/>
    <m/>
    <m/>
    <m/>
    <m/>
    <m/>
    <m/>
    <n v="0"/>
    <m/>
    <m/>
    <m/>
    <m/>
    <m/>
    <m/>
    <m/>
    <m/>
    <m/>
    <m/>
    <m/>
    <e v="#DIV/0!"/>
    <e v="#DIV/0!"/>
  </r>
  <r>
    <x v="6"/>
    <s v="Iba"/>
    <s v="Zambales, Iba"/>
    <s v="OUTSIDE MBA"/>
    <s v="2nd"/>
    <n v="15.327714"/>
    <n v="119.976389"/>
    <s v="15.327714,119.976389"/>
    <s v="Municipal / City Plan"/>
    <s v="NSWMC RESO NO. 1445 SERIES OF 2021"/>
    <s v="2020 - 2029"/>
    <n v="2021"/>
    <n v="2029"/>
    <m/>
    <x v="5"/>
    <s v="Larizze A. Santos"/>
    <s v="Jun D. Guillermo"/>
    <m/>
    <m/>
    <m/>
    <m/>
    <m/>
    <m/>
    <s v=""/>
    <s v=""/>
    <s v=""/>
    <s v=""/>
    <m/>
    <m/>
    <m/>
    <m/>
    <m/>
    <m/>
    <m/>
    <m/>
    <m/>
    <m/>
    <m/>
    <m/>
    <m/>
    <m/>
    <m/>
    <m/>
    <m/>
    <m/>
    <m/>
    <m/>
    <m/>
    <m/>
    <m/>
    <m/>
    <m/>
    <m/>
    <m/>
    <n v="0"/>
    <m/>
    <m/>
    <m/>
    <m/>
    <m/>
    <m/>
    <m/>
    <m/>
    <m/>
    <m/>
    <m/>
    <e v="#DIV/0!"/>
    <e v="#DIV/0!"/>
  </r>
  <r>
    <x v="6"/>
    <s v="Masinloc"/>
    <s v="Zambales, Masinloc"/>
    <s v="OUTSIDE MBA"/>
    <s v="2nd"/>
    <n v="15.532743999999999"/>
    <n v="119.957914"/>
    <s v="15.532744,119.957914"/>
    <s v="Municipal / City Plan"/>
    <s v="1348 series of 2019"/>
    <s v="2019 - 2028"/>
    <n v="2019"/>
    <n v="2028"/>
    <m/>
    <x v="6"/>
    <s v="Ryan Ace R. Angel"/>
    <s v="Jun D. Guillermo"/>
    <m/>
    <m/>
    <m/>
    <m/>
    <m/>
    <m/>
    <s v=""/>
    <s v=""/>
    <s v=""/>
    <s v=""/>
    <m/>
    <m/>
    <m/>
    <m/>
    <m/>
    <m/>
    <m/>
    <m/>
    <m/>
    <m/>
    <m/>
    <m/>
    <m/>
    <m/>
    <m/>
    <m/>
    <m/>
    <m/>
    <m/>
    <m/>
    <m/>
    <m/>
    <m/>
    <m/>
    <m/>
    <m/>
    <m/>
    <n v="0"/>
    <m/>
    <m/>
    <m/>
    <m/>
    <m/>
    <m/>
    <m/>
    <m/>
    <m/>
    <m/>
    <m/>
    <e v="#DIV/0!"/>
    <e v="#DIV/0!"/>
  </r>
  <r>
    <x v="6"/>
    <s v="San Antonio_Z"/>
    <s v="Zambales, San Antonio_Z"/>
    <s v="OUTSIDE MBA"/>
    <s v="2nd"/>
    <n v="14.948117"/>
    <n v="120.09014999999999"/>
    <s v="14.948117,120.09015"/>
    <s v="Municipal / City Plan"/>
    <s v="Resolution No. 310-A, Series of 2023"/>
    <s v="2022 - 2031"/>
    <n v="2021"/>
    <n v="2031"/>
    <m/>
    <x v="2"/>
    <s v="Ryan Ace R. Angel"/>
    <s v="Jun D. Guillermo"/>
    <m/>
    <m/>
    <m/>
    <m/>
    <m/>
    <m/>
    <s v=""/>
    <s v=""/>
    <s v=""/>
    <s v=""/>
    <m/>
    <m/>
    <m/>
    <m/>
    <m/>
    <m/>
    <m/>
    <m/>
    <m/>
    <m/>
    <m/>
    <m/>
    <m/>
    <m/>
    <m/>
    <m/>
    <m/>
    <m/>
    <m/>
    <m/>
    <m/>
    <m/>
    <m/>
    <m/>
    <m/>
    <m/>
    <m/>
    <n v="0"/>
    <m/>
    <m/>
    <m/>
    <m/>
    <m/>
    <m/>
    <m/>
    <m/>
    <m/>
    <m/>
    <m/>
    <e v="#DIV/0!"/>
    <e v="#DIV/0!"/>
  </r>
  <r>
    <x v="6"/>
    <s v="San Felipe"/>
    <s v="Zambales, San Felipe"/>
    <s v="OUTSIDE MBA"/>
    <s v="2nd"/>
    <n v="15.060178000000001"/>
    <n v="120.070525"/>
    <s v="15.060178,120.070525"/>
    <s v="Municipal / City Plan"/>
    <s v="Resolution No. 772-A, Series of 2023"/>
    <s v="2022 - 2031"/>
    <n v="2023"/>
    <n v="2031"/>
    <m/>
    <x v="2"/>
    <s v="Larizze A. Santos"/>
    <s v="Jun D. Guillermo"/>
    <m/>
    <m/>
    <m/>
    <m/>
    <m/>
    <m/>
    <s v=""/>
    <s v=""/>
    <s v=""/>
    <s v=""/>
    <m/>
    <m/>
    <m/>
    <m/>
    <m/>
    <m/>
    <m/>
    <m/>
    <m/>
    <m/>
    <m/>
    <m/>
    <m/>
    <m/>
    <m/>
    <m/>
    <m/>
    <m/>
    <m/>
    <m/>
    <m/>
    <m/>
    <m/>
    <m/>
    <m/>
    <m/>
    <m/>
    <n v="0"/>
    <m/>
    <m/>
    <m/>
    <m/>
    <m/>
    <m/>
    <m/>
    <m/>
    <m/>
    <m/>
    <m/>
    <e v="#DIV/0!"/>
    <e v="#DIV/0!"/>
  </r>
  <r>
    <x v="6"/>
    <s v="San Marcelino"/>
    <s v="Zambales, San Marcelino"/>
    <s v="OUTSIDE MBA"/>
    <s v="1st"/>
    <n v="14.974092000000001"/>
    <n v="120.155547"/>
    <s v="14.974092,120.155547"/>
    <s v="Municipal / City Plan"/>
    <n v="1253"/>
    <s v="2017 - 2027"/>
    <n v="2019"/>
    <n v="2027"/>
    <m/>
    <x v="1"/>
    <s v="VACANT"/>
    <s v="Jun D. Guillermo"/>
    <m/>
    <m/>
    <m/>
    <m/>
    <m/>
    <m/>
    <s v=""/>
    <s v=""/>
    <s v=""/>
    <s v=""/>
    <m/>
    <m/>
    <m/>
    <m/>
    <m/>
    <m/>
    <m/>
    <m/>
    <m/>
    <m/>
    <m/>
    <m/>
    <m/>
    <m/>
    <m/>
    <m/>
    <m/>
    <m/>
    <m/>
    <m/>
    <m/>
    <m/>
    <m/>
    <m/>
    <m/>
    <m/>
    <m/>
    <n v="0"/>
    <m/>
    <m/>
    <m/>
    <m/>
    <m/>
    <m/>
    <m/>
    <m/>
    <m/>
    <m/>
    <m/>
    <e v="#DIV/0!"/>
    <e v="#DIV/0!"/>
  </r>
  <r>
    <x v="6"/>
    <s v="San Narciso"/>
    <s v="Zambales, San Narciso"/>
    <s v="OUTSIDE MBA"/>
    <s v="2nd"/>
    <n v="15.015553000000001"/>
    <n v="120.07905599999999"/>
    <s v="15.015553,120.079056"/>
    <s v="Municipal / City Plan"/>
    <s v="1349 s2019"/>
    <s v="2017 - 2027"/>
    <n v="2019"/>
    <n v="2027"/>
    <m/>
    <x v="2"/>
    <s v="Larizze A. Santos"/>
    <s v="Jun D. Guillermo"/>
    <m/>
    <m/>
    <m/>
    <m/>
    <m/>
    <m/>
    <s v=""/>
    <s v=""/>
    <s v=""/>
    <s v=""/>
    <m/>
    <m/>
    <m/>
    <m/>
    <m/>
    <m/>
    <m/>
    <m/>
    <m/>
    <m/>
    <m/>
    <m/>
    <m/>
    <m/>
    <m/>
    <m/>
    <m/>
    <m/>
    <m/>
    <m/>
    <m/>
    <m/>
    <m/>
    <m/>
    <m/>
    <m/>
    <m/>
    <n v="0"/>
    <m/>
    <m/>
    <m/>
    <m/>
    <m/>
    <m/>
    <m/>
    <m/>
    <m/>
    <m/>
    <m/>
    <e v="#DIV/0!"/>
    <e v="#DIV/0!"/>
  </r>
  <r>
    <x v="6"/>
    <s v="Santa Cruz"/>
    <s v="Zambales, Santa Cruz"/>
    <s v="OUTSIDE MBA"/>
    <s v="2nd"/>
    <n v="15.762053"/>
    <n v="119.909081"/>
    <s v="15.762053,119.909081"/>
    <s v="Municipal / City Plan"/>
    <s v="NSWMC Resolution No. 1596, Series of 2023"/>
    <s v="2022 - 2031"/>
    <n v="2023"/>
    <n v="2031"/>
    <m/>
    <x v="2"/>
    <s v="Ryan Ace R. Angel"/>
    <s v="Jun D. Guillermo"/>
    <m/>
    <m/>
    <m/>
    <m/>
    <m/>
    <m/>
    <s v=""/>
    <s v=""/>
    <s v=""/>
    <s v=""/>
    <m/>
    <m/>
    <m/>
    <m/>
    <m/>
    <m/>
    <m/>
    <m/>
    <m/>
    <m/>
    <m/>
    <m/>
    <m/>
    <m/>
    <m/>
    <m/>
    <m/>
    <m/>
    <m/>
    <m/>
    <m/>
    <m/>
    <m/>
    <m/>
    <m/>
    <m/>
    <m/>
    <n v="0"/>
    <m/>
    <m/>
    <m/>
    <m/>
    <m/>
    <m/>
    <m/>
    <m/>
    <m/>
    <m/>
    <m/>
    <e v="#DIV/0!"/>
    <e v="#DI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Baler"/>
    <s v="Pingit"/>
    <s v="OUTSIDE MBA"/>
    <s v="Lone"/>
    <n v="15.735856"/>
    <n v="121.56294699999999"/>
    <s v="15.735856,121.562947"/>
    <s v="EMB FUNDED MRF"/>
    <n v="1"/>
    <n v="2016"/>
    <n v="270000"/>
    <x v="0"/>
    <s v="Zaila Mae R. Leander"/>
    <s v="Diozelle L. Cabalar"/>
    <m/>
    <m/>
    <m/>
    <m/>
    <m/>
    <m/>
    <s v=""/>
    <s v=""/>
    <s v=""/>
    <s v=""/>
    <m/>
    <m/>
    <m/>
    <m/>
    <m/>
    <m/>
    <m/>
    <s v="OPERATIONAL"/>
    <m/>
    <s v="Non-Compliant"/>
    <m/>
    <m/>
    <m/>
    <m/>
    <m/>
    <m/>
    <m/>
    <m/>
  </r>
  <r>
    <x v="0"/>
    <s v="Baler"/>
    <s v="Buhangin"/>
    <s v="OUTSIDE MBA"/>
    <s v="Lone"/>
    <n v="15.768186"/>
    <n v="121.55754399999999"/>
    <s v="15.768186,121.557544"/>
    <s v="EMB FUNDED BRGY MRF"/>
    <n v="1"/>
    <n v="2018"/>
    <n v="427500"/>
    <x v="1"/>
    <s v="Zaila Mae R. Leander"/>
    <s v="Diozelle L. Cabalar"/>
    <m/>
    <m/>
    <m/>
    <m/>
    <m/>
    <m/>
    <s v=""/>
    <s v=""/>
    <s v=""/>
    <s v=""/>
    <m/>
    <m/>
    <m/>
    <m/>
    <m/>
    <m/>
    <m/>
    <s v="OPERATIONAL"/>
    <m/>
    <s v="Non-Compliant"/>
    <m/>
    <s v="NO"/>
    <m/>
    <m/>
    <m/>
    <m/>
    <m/>
    <m/>
  </r>
  <r>
    <x v="0"/>
    <s v="Baler"/>
    <s v="Obligasyon"/>
    <s v="OUTSIDE MBA"/>
    <s v="Lone"/>
    <n v="15.779536"/>
    <n v="121.526573"/>
    <s v="15.779536,121.526573"/>
    <s v="EMB FUNDED BRGY MRF"/>
    <n v="1"/>
    <n v="2018"/>
    <n v="427500"/>
    <x v="2"/>
    <s v="Zaila Mae R. Leander"/>
    <s v="Diozelle L. Cabalar"/>
    <m/>
    <m/>
    <m/>
    <m/>
    <m/>
    <m/>
    <s v=""/>
    <s v=""/>
    <s v=""/>
    <s v=""/>
    <m/>
    <m/>
    <m/>
    <m/>
    <m/>
    <m/>
    <m/>
    <s v="NON-OPERATIONAL"/>
    <s v="Used as storage of equipment by the barangay"/>
    <m/>
    <m/>
    <m/>
    <m/>
    <m/>
    <m/>
    <m/>
    <m/>
    <m/>
  </r>
  <r>
    <x v="0"/>
    <s v="Baler"/>
    <s v="Zabali"/>
    <s v="OUTSIDE MBA"/>
    <s v="Lone"/>
    <n v="15.751450999999999"/>
    <n v="121.56715079999999"/>
    <s v="15.751451,121.5671508"/>
    <s v="EMB FUNDED BRGY MRF"/>
    <n v="1"/>
    <n v="2018"/>
    <n v="427500"/>
    <x v="3"/>
    <s v="Zaila Mae R. Leander"/>
    <s v="Diozelle L. Cabalar"/>
    <m/>
    <m/>
    <m/>
    <m/>
    <m/>
    <m/>
    <s v=""/>
    <s v=""/>
    <s v=""/>
    <s v=""/>
    <m/>
    <m/>
    <m/>
    <m/>
    <m/>
    <m/>
    <m/>
    <s v="NON-OPERATIONAL"/>
    <s v="The Facility has been domolished and replaced by constructing the Senior Citizen Building of the LGU"/>
    <m/>
    <m/>
    <d v="2025-08-27T00:00:00"/>
    <s v="The LGU submitted an explanation letter regarding the removal of the EMB Funded MRF and according to the letter the LGU was constructed a new MRF besides the newly constructed Senior Citizen Building."/>
    <m/>
    <m/>
    <m/>
    <m/>
    <m/>
  </r>
  <r>
    <x v="0"/>
    <s v="Baler"/>
    <n v="5"/>
    <s v="OUTSIDE MBA"/>
    <s v="Lone"/>
    <n v="15.759167"/>
    <n v="121.562848"/>
    <s v="15.759167,121.562848"/>
    <s v="EMB FUNDED BRGY MRF"/>
    <n v="1"/>
    <n v="2018"/>
    <n v="427500"/>
    <x v="3"/>
    <s v="Zaila Mae R. Leander"/>
    <s v="Diozelle L. Cabalar"/>
    <m/>
    <m/>
    <m/>
    <m/>
    <m/>
    <m/>
    <s v=""/>
    <s v=""/>
    <s v=""/>
    <s v=""/>
    <m/>
    <m/>
    <m/>
    <m/>
    <m/>
    <m/>
    <m/>
    <s v="NON-OPERATIONAL"/>
    <m/>
    <s v="Non-Compliant"/>
    <m/>
    <s v="NO"/>
    <m/>
    <m/>
    <m/>
    <m/>
    <m/>
    <m/>
  </r>
  <r>
    <x v="0"/>
    <s v="Baler"/>
    <s v="Pingit "/>
    <s v="OUTSIDE MBA"/>
    <s v="Lone"/>
    <n v="15.735852299999999"/>
    <n v="121.5629275"/>
    <s v="15.7358523,121.5629275"/>
    <s v="EMB FUNDED BRGY MRF"/>
    <n v="1"/>
    <n v="2018"/>
    <n v="427500"/>
    <x v="4"/>
    <s v="Zaila Mae R. Leander"/>
    <s v="Diozelle L. Cabalar"/>
    <m/>
    <m/>
    <m/>
    <m/>
    <m/>
    <m/>
    <s v=""/>
    <s v=""/>
    <s v=""/>
    <s v=""/>
    <m/>
    <m/>
    <m/>
    <m/>
    <m/>
    <m/>
    <m/>
    <s v="OPERATIONAL"/>
    <m/>
    <s v="Non-Compliant"/>
    <s v="No Records"/>
    <s v="NO"/>
    <m/>
    <m/>
    <m/>
    <m/>
    <m/>
    <m/>
  </r>
  <r>
    <x v="0"/>
    <s v="Casiguran"/>
    <s v="Calantas"/>
    <s v="OUTSIDE MBA"/>
    <s v="Lone"/>
    <n v="16.288091000000001"/>
    <n v="122.122282"/>
    <s v="16.288091,122.122282"/>
    <s v="EMB FUNDED MRF"/>
    <n v="1"/>
    <n v="2019"/>
    <n v="502714.29"/>
    <x v="1"/>
    <s v="Queenyvel Laguisma"/>
    <s v="Diozelle L. Cabalar"/>
    <m/>
    <m/>
    <m/>
    <m/>
    <m/>
    <m/>
    <s v=""/>
    <s v=""/>
    <s v=""/>
    <s v=""/>
    <m/>
    <m/>
    <m/>
    <m/>
    <m/>
    <m/>
    <m/>
    <s v="OPERATIONAL"/>
    <s v="The LGU has records of waste but not available during monitoring."/>
    <s v="Compliant"/>
    <m/>
    <m/>
    <m/>
    <m/>
    <m/>
    <m/>
    <m/>
    <m/>
  </r>
  <r>
    <x v="0"/>
    <s v="Dinalungan"/>
    <s v="Dibaraybay "/>
    <s v="OUTSIDE MBA"/>
    <s v="Lone"/>
    <n v="16.144445000000001"/>
    <n v="121.94247799999999"/>
    <s v="16.144445,121.942478"/>
    <s v="EMB FUNDED MRF"/>
    <n v="1"/>
    <n v="2019"/>
    <n v="502714.29"/>
    <x v="2"/>
    <s v="Queenyvel Laguisma"/>
    <s v="Diozelle L. Cabalar"/>
    <m/>
    <m/>
    <m/>
    <m/>
    <m/>
    <m/>
    <s v=""/>
    <s v=""/>
    <s v=""/>
    <s v=""/>
    <m/>
    <m/>
    <m/>
    <m/>
    <m/>
    <m/>
    <m/>
    <s v="OPERATIONAL"/>
    <m/>
    <m/>
    <m/>
    <m/>
    <m/>
    <m/>
    <m/>
    <m/>
    <m/>
    <m/>
  </r>
  <r>
    <x v="0"/>
    <s v="Dingalan"/>
    <s v="Umiray"/>
    <s v="OUTSIDE MBA"/>
    <s v="Lone"/>
    <n v="15.223196"/>
    <n v="121.40795"/>
    <s v="15.223196,121.40795"/>
    <s v="EMB FUNDED BRGY MRF"/>
    <n v="1"/>
    <n v="2018"/>
    <n v="427500"/>
    <x v="2"/>
    <s v="Nikko Jay M. Valenzuela"/>
    <s v="Diozelle L. Cabalar"/>
    <m/>
    <m/>
    <m/>
    <m/>
    <m/>
    <m/>
    <s v=""/>
    <s v=""/>
    <s v=""/>
    <s v=""/>
    <m/>
    <m/>
    <m/>
    <m/>
    <m/>
    <m/>
    <m/>
    <s v="OPERATIONAL"/>
    <m/>
    <s v="Compliant"/>
    <m/>
    <m/>
    <m/>
    <m/>
    <m/>
    <m/>
    <m/>
    <m/>
  </r>
  <r>
    <x v="0"/>
    <s v="Dipaculao"/>
    <s v="Gupa"/>
    <s v="OUTSIDE MBA"/>
    <s v="Lone"/>
    <n v="15.887986"/>
    <n v="121.55078899999999"/>
    <s v="15.887986,121.550789"/>
    <s v="EMB FUNDED BRGY MRF"/>
    <n v="1"/>
    <n v="2018"/>
    <n v="427500"/>
    <x v="4"/>
    <s v="Zaila Mae R. Leander"/>
    <s v="Diozelle L. Cabalar"/>
    <m/>
    <m/>
    <m/>
    <m/>
    <m/>
    <m/>
    <s v=""/>
    <s v=""/>
    <s v=""/>
    <s v=""/>
    <m/>
    <m/>
    <m/>
    <m/>
    <m/>
    <m/>
    <m/>
    <m/>
    <m/>
    <m/>
    <m/>
    <m/>
    <m/>
    <m/>
    <m/>
    <m/>
    <m/>
    <m/>
  </r>
  <r>
    <x v="0"/>
    <s v="Dipaculao"/>
    <s v="Dibutonan"/>
    <s v="OUTSIDE MBA"/>
    <s v="Lone"/>
    <n v="15.9421021"/>
    <n v="121.603663"/>
    <s v="15.9421021,121.603663"/>
    <s v="EMB FUNDED BRGY MRF"/>
    <n v="1"/>
    <n v="2018"/>
    <n v="427500"/>
    <x v="4"/>
    <s v="Zaila Mae R. Leander"/>
    <s v="Diozelle L. Cabalar"/>
    <m/>
    <m/>
    <m/>
    <m/>
    <m/>
    <m/>
    <s v=""/>
    <s v=""/>
    <s v=""/>
    <s v=""/>
    <m/>
    <m/>
    <m/>
    <m/>
    <m/>
    <m/>
    <m/>
    <s v="OPERATIONAL"/>
    <m/>
    <m/>
    <m/>
    <m/>
    <m/>
    <m/>
    <m/>
    <m/>
    <m/>
    <m/>
  </r>
  <r>
    <x v="0"/>
    <s v="Dipaculao"/>
    <s v="Dinadiawan"/>
    <s v="OUTSIDE MBA"/>
    <s v="Lone"/>
    <n v="16.076998"/>
    <n v="121.769361"/>
    <s v="16.076998,121.769361"/>
    <s v="EMB FUNDED BRGY MRF"/>
    <n v="1"/>
    <n v="2018"/>
    <n v="427500"/>
    <x v="4"/>
    <s v="Zaila Mae R. Leander"/>
    <s v="Diozelle L. Cabalar"/>
    <m/>
    <m/>
    <m/>
    <m/>
    <m/>
    <m/>
    <s v=""/>
    <s v=""/>
    <s v=""/>
    <s v=""/>
    <m/>
    <m/>
    <m/>
    <m/>
    <m/>
    <m/>
    <m/>
    <s v="OPERATIONAL"/>
    <m/>
    <m/>
    <m/>
    <m/>
    <m/>
    <m/>
    <m/>
    <m/>
    <m/>
    <m/>
  </r>
  <r>
    <x v="0"/>
    <s v="Dipaculao"/>
    <s v="Toytoyan"/>
    <s v="OUTSIDE MBA"/>
    <s v="Lone"/>
    <n v="15.876108"/>
    <n v="121.525147"/>
    <s v="15.876108,121.525147"/>
    <s v="EMB FUNDED MRF"/>
    <n v="2"/>
    <s v="2016 &amp; 2021"/>
    <s v="270000 &amp; 179444.44"/>
    <x v="4"/>
    <s v="Zaila Mae R. Leander"/>
    <s v="Diozelle L. Cabalar"/>
    <m/>
    <m/>
    <m/>
    <m/>
    <m/>
    <m/>
    <s v=""/>
    <s v=""/>
    <s v=""/>
    <s v=""/>
    <m/>
    <m/>
    <m/>
    <m/>
    <m/>
    <m/>
    <m/>
    <s v="OPERATIONAL"/>
    <m/>
    <m/>
    <m/>
    <m/>
    <m/>
    <m/>
    <m/>
    <m/>
    <m/>
    <m/>
  </r>
  <r>
    <x v="0"/>
    <s v="Dipaculao"/>
    <s v="Majires"/>
    <s v="OUTSIDE MBA"/>
    <s v="Lone"/>
    <n v="15.874658999999999"/>
    <n v="121.544376"/>
    <s v="15.874659,121.544376"/>
    <s v="EMB FUNDED BRGY MRF"/>
    <n v="1"/>
    <n v="2018"/>
    <n v="427500"/>
    <x v="4"/>
    <s v="Zaila Mae R. Leander"/>
    <s v="Diozelle L. Cabalar"/>
    <m/>
    <m/>
    <m/>
    <m/>
    <m/>
    <m/>
    <s v=""/>
    <s v=""/>
    <s v=""/>
    <s v=""/>
    <m/>
    <m/>
    <m/>
    <m/>
    <m/>
    <m/>
    <m/>
    <m/>
    <m/>
    <m/>
    <m/>
    <m/>
    <m/>
    <m/>
    <m/>
    <m/>
    <m/>
    <m/>
  </r>
  <r>
    <x v="0"/>
    <s v="Maria Aurora"/>
    <s v="Bannawag"/>
    <s v="OUTSIDE MBA"/>
    <s v="Lone"/>
    <n v="15.814859999999999"/>
    <n v="121.48000999999999"/>
    <s v="15.81486,121.48001"/>
    <s v="EMB FUNDED MRF"/>
    <n v="1"/>
    <n v="2020"/>
    <n v="190000"/>
    <x v="5"/>
    <s v="Nikko Jay M. Valenzuela"/>
    <s v="Diozelle L. Cabalar"/>
    <m/>
    <m/>
    <m/>
    <m/>
    <m/>
    <m/>
    <s v=""/>
    <s v=""/>
    <s v=""/>
    <s v=""/>
    <m/>
    <m/>
    <m/>
    <m/>
    <m/>
    <m/>
    <m/>
    <s v="OPERATIONAL"/>
    <m/>
    <s v="Compliant"/>
    <m/>
    <m/>
    <m/>
    <m/>
    <m/>
    <m/>
    <m/>
    <m/>
  </r>
  <r>
    <x v="0"/>
    <s v="Maria Aurora"/>
    <s v="San Joaquin"/>
    <s v="OUTSIDE MBA"/>
    <s v="Lone"/>
    <n v="15.807801"/>
    <n v="121.458669"/>
    <s v="15.807801,121.458669"/>
    <s v="EMB FUNDED MRF"/>
    <n v="1"/>
    <s v="2015//2020"/>
    <s v="500000/190,000"/>
    <x v="1"/>
    <s v="Nikko Jay M. Valenzuela"/>
    <s v="Diozelle L. Cabalar"/>
    <m/>
    <m/>
    <m/>
    <m/>
    <m/>
    <m/>
    <s v=""/>
    <s v=""/>
    <s v=""/>
    <s v=""/>
    <m/>
    <m/>
    <m/>
    <m/>
    <m/>
    <m/>
    <m/>
    <s v="NON-OPERATIONAL"/>
    <s v="•_x0009_The MRF was no longer operational along with the rehabilitated Sanitary landfill._x000a_•_x0009_LGU-Maria Aurora is already operating new MRF and SLF located at Brgy. Bannawag, Maria Aurora_x000a_"/>
    <m/>
    <m/>
    <m/>
    <m/>
    <m/>
    <m/>
    <m/>
    <m/>
    <m/>
  </r>
  <r>
    <x v="0"/>
    <s v="San Luis_A"/>
    <s v="L. Pimentel"/>
    <s v="OUTSIDE MBA"/>
    <s v="Lone"/>
    <n v="15.696968999999999"/>
    <n v="121.514396"/>
    <s v="15.696969,121.514396"/>
    <s v="EMB FUNDED MRF"/>
    <n v="1"/>
    <n v="2018"/>
    <n v="475000"/>
    <x v="3"/>
    <s v="Zaila Mae R. Leander"/>
    <s v="Diozelle L. Cabalar"/>
    <m/>
    <m/>
    <m/>
    <m/>
    <m/>
    <m/>
    <s v=""/>
    <s v=""/>
    <s v=""/>
    <s v=""/>
    <m/>
    <m/>
    <m/>
    <m/>
    <m/>
    <m/>
    <m/>
    <s v="OPERATIONAL"/>
    <s v="No records of waste"/>
    <m/>
    <m/>
    <m/>
    <m/>
    <m/>
    <m/>
    <m/>
    <m/>
    <m/>
  </r>
  <r>
    <x v="1"/>
    <s v="Bagac"/>
    <s v="Pasyawan"/>
    <s v="MBA"/>
    <s v="3rd"/>
    <n v="14.535556"/>
    <n v="120.39277800000001"/>
    <s v="14.535556,120.392778"/>
    <s v="EMB FUNDED BRGY MRF"/>
    <n v="1"/>
    <n v="2018"/>
    <n v="285000"/>
    <x v="5"/>
    <s v="Laurence Radasa"/>
    <s v="Christle D. David"/>
    <m/>
    <m/>
    <m/>
    <m/>
    <m/>
    <m/>
    <s v=""/>
    <s v=""/>
    <s v=""/>
    <s v=""/>
    <m/>
    <m/>
    <m/>
    <m/>
    <m/>
    <m/>
    <m/>
    <s v="OPERATIONAL"/>
    <m/>
    <s v="Non-Compliant"/>
    <m/>
    <s v="NO"/>
    <m/>
    <m/>
    <m/>
    <m/>
    <m/>
    <m/>
  </r>
  <r>
    <x v="1"/>
    <s v="Bagac"/>
    <s v="San Antonio"/>
    <s v="MBA"/>
    <s v="3rd"/>
    <n v="14.628316999999999"/>
    <n v="120.439263"/>
    <s v="14.628317,120.439263"/>
    <s v="EMB FUNDED BRGY MRF"/>
    <n v="1"/>
    <n v="2018"/>
    <n v="427500"/>
    <x v="4"/>
    <s v="Laurence Radasa"/>
    <s v="Christle D. David"/>
    <m/>
    <m/>
    <m/>
    <m/>
    <m/>
    <m/>
    <s v=""/>
    <s v=""/>
    <s v=""/>
    <s v=""/>
    <m/>
    <m/>
    <m/>
    <m/>
    <m/>
    <m/>
    <m/>
    <s v="OPERATIONAL"/>
    <m/>
    <m/>
    <m/>
    <m/>
    <m/>
    <m/>
    <m/>
    <m/>
    <m/>
    <m/>
  </r>
  <r>
    <x v="1"/>
    <s v="Bagac"/>
    <s v="Binuangan"/>
    <s v="MBA"/>
    <s v="3rd"/>
    <n v="14.516517"/>
    <n v="120.386411"/>
    <s v="14.516517,120.386411"/>
    <s v="EMB FUNDED BRGY MRF"/>
    <n v="1"/>
    <n v="2018"/>
    <n v="285000"/>
    <x v="6"/>
    <s v="Laurence Radasa"/>
    <s v="Christle D. David"/>
    <m/>
    <m/>
    <m/>
    <m/>
    <m/>
    <m/>
    <s v=""/>
    <s v=""/>
    <s v=""/>
    <s v=""/>
    <m/>
    <m/>
    <m/>
    <m/>
    <m/>
    <m/>
    <m/>
    <s v="OPERATIONAL"/>
    <m/>
    <m/>
    <m/>
    <m/>
    <m/>
    <m/>
    <m/>
    <m/>
    <m/>
    <m/>
  </r>
  <r>
    <x v="1"/>
    <s v="Bagac"/>
    <s v="Quinawan"/>
    <s v="MBA"/>
    <s v="3rd"/>
    <n v="14.481149"/>
    <n v="120.390354"/>
    <s v="14.481149,120.390354"/>
    <s v="EMB FUNDED BRGY MRF"/>
    <n v="1"/>
    <n v="2018"/>
    <n v="285000"/>
    <x v="4"/>
    <s v="Laurence Radasa"/>
    <s v="Christle D. David"/>
    <m/>
    <m/>
    <m/>
    <m/>
    <m/>
    <m/>
    <s v=""/>
    <s v=""/>
    <s v=""/>
    <s v=""/>
    <m/>
    <m/>
    <m/>
    <m/>
    <m/>
    <m/>
    <m/>
    <m/>
    <m/>
    <m/>
    <m/>
    <m/>
    <m/>
    <m/>
    <m/>
    <m/>
    <m/>
    <m/>
  </r>
  <r>
    <x v="1"/>
    <s v="Bagac"/>
    <s v="Atilano"/>
    <s v="MBA"/>
    <s v="3rd"/>
    <n v="14.610300000000001"/>
    <n v="120.4074"/>
    <s v="14.6103,120.4074"/>
    <s v="EMB FUNDED MRF"/>
    <n v="1"/>
    <n v="2016"/>
    <n v="270000"/>
    <x v="3"/>
    <s v="Laurence Radasa"/>
    <s v="Christle D. David"/>
    <m/>
    <m/>
    <m/>
    <m/>
    <m/>
    <m/>
    <s v=""/>
    <s v=""/>
    <s v=""/>
    <s v=""/>
    <m/>
    <m/>
    <m/>
    <m/>
    <m/>
    <m/>
    <m/>
    <s v="OPERATIONAL"/>
    <m/>
    <m/>
    <m/>
    <m/>
    <m/>
    <m/>
    <m/>
    <m/>
    <m/>
    <m/>
  </r>
  <r>
    <x v="1"/>
    <s v="Bagac"/>
    <s v="Banawang"/>
    <s v="MBA"/>
    <s v="3rd"/>
    <n v="14.619694000000001"/>
    <n v="120.386025"/>
    <s v="14.619694,120.386025"/>
    <s v="EMB FUNDED BRGY MRF"/>
    <n v="1"/>
    <n v="2018"/>
    <n v="285000"/>
    <x v="4"/>
    <s v="Laurence Radasa"/>
    <s v="Christle D. David"/>
    <m/>
    <m/>
    <m/>
    <m/>
    <m/>
    <m/>
    <s v=""/>
    <s v=""/>
    <s v=""/>
    <s v=""/>
    <m/>
    <m/>
    <m/>
    <m/>
    <m/>
    <m/>
    <m/>
    <s v="OPERATIONAL"/>
    <s v="Used as MRS"/>
    <m/>
    <m/>
    <m/>
    <m/>
    <m/>
    <m/>
    <m/>
    <m/>
    <m/>
  </r>
  <r>
    <x v="1"/>
    <s v="City Of Balanga"/>
    <s v="San Jose"/>
    <s v="MBA"/>
    <s v="2nd"/>
    <n v="14.671465"/>
    <n v="120.534471"/>
    <s v="14.671465,120.534471"/>
    <s v="EMB FUNDED BRGY MRF"/>
    <n v="1"/>
    <n v="2018"/>
    <n v="285000"/>
    <x v="6"/>
    <s v="Dennis Tolentino"/>
    <s v="Christle D. David"/>
    <m/>
    <m/>
    <m/>
    <m/>
    <m/>
    <m/>
    <s v=""/>
    <s v=""/>
    <s v=""/>
    <s v=""/>
    <m/>
    <m/>
    <m/>
    <m/>
    <m/>
    <m/>
    <m/>
    <s v="OPERATIONAL"/>
    <m/>
    <s v="Compliant"/>
    <m/>
    <m/>
    <m/>
    <m/>
    <m/>
    <m/>
    <m/>
    <m/>
  </r>
  <r>
    <x v="1"/>
    <s v="City Of Balanga"/>
    <s v="Cabog Cabog"/>
    <s v="MBA"/>
    <s v="2nd"/>
    <n v="14.671575000000001"/>
    <n v="120.534451"/>
    <s v="14.671575,120.534451"/>
    <s v="EMB FUNDED BRGY MRF"/>
    <n v="1"/>
    <n v="2018"/>
    <n v="285000"/>
    <x v="5"/>
    <s v="Dennis Tolentino"/>
    <s v="Christle D. David"/>
    <m/>
    <m/>
    <m/>
    <m/>
    <m/>
    <m/>
    <s v=""/>
    <s v=""/>
    <s v=""/>
    <s v=""/>
    <m/>
    <m/>
    <m/>
    <m/>
    <m/>
    <m/>
    <m/>
    <s v="OPERATIONAL"/>
    <m/>
    <s v="Compliant"/>
    <m/>
    <m/>
    <m/>
    <m/>
    <m/>
    <m/>
    <m/>
    <m/>
  </r>
  <r>
    <x v="1"/>
    <s v="City Of Balanga"/>
    <s v="Puerto Rivas Lote"/>
    <s v="MBA"/>
    <s v="2nd"/>
    <n v="14.687931000000001"/>
    <n v="120.55045800000001"/>
    <s v="14.687931,120.550458"/>
    <s v="EMB FUNDED BRGY MRF"/>
    <n v="1"/>
    <n v="2018"/>
    <n v="427500"/>
    <x v="4"/>
    <s v="Dennis Tolentino"/>
    <s v="Christle D. David"/>
    <m/>
    <m/>
    <m/>
    <m/>
    <m/>
    <m/>
    <s v=""/>
    <s v=""/>
    <s v=""/>
    <s v=""/>
    <m/>
    <m/>
    <m/>
    <m/>
    <m/>
    <m/>
    <m/>
    <s v="OPERATIONAL"/>
    <m/>
    <m/>
    <m/>
    <m/>
    <m/>
    <m/>
    <m/>
    <m/>
    <m/>
    <m/>
  </r>
  <r>
    <x v="1"/>
    <s v="City Of Balanga"/>
    <s v="San Jose"/>
    <s v="MBA"/>
    <s v="2nd"/>
    <n v="14.628389"/>
    <n v="120.469267"/>
    <s v="14.628389,120.469267"/>
    <s v="EMB FUNDED BRGY MRF"/>
    <n v="1"/>
    <n v="2018"/>
    <n v="285000"/>
    <x v="4"/>
    <s v="Dennis Tolentino"/>
    <s v="Christle D. David"/>
    <m/>
    <m/>
    <m/>
    <m/>
    <m/>
    <m/>
    <s v=""/>
    <s v=""/>
    <s v=""/>
    <s v=""/>
    <m/>
    <m/>
    <m/>
    <m/>
    <m/>
    <m/>
    <m/>
    <s v="OPERATIONAL"/>
    <m/>
    <s v="Compliant"/>
    <m/>
    <m/>
    <m/>
    <m/>
    <m/>
    <m/>
    <m/>
    <m/>
  </r>
  <r>
    <x v="1"/>
    <s v="City Of Balanga"/>
    <s v="San Jose Proper (Market)"/>
    <s v="MBA"/>
    <s v="2nd"/>
    <n v="14.673788999999999"/>
    <n v="120.532878"/>
    <s v="14.673789,120.532878"/>
    <s v="EMB FUNDED BRGY MRF"/>
    <n v="1"/>
    <n v="2018"/>
    <n v="285000"/>
    <x v="4"/>
    <s v="Dennis Tolentino"/>
    <s v="Christle D. David"/>
    <m/>
    <m/>
    <m/>
    <m/>
    <m/>
    <m/>
    <s v=""/>
    <s v=""/>
    <s v=""/>
    <s v=""/>
    <m/>
    <m/>
    <m/>
    <m/>
    <m/>
    <m/>
    <m/>
    <s v="NON-OPERATIONAL"/>
    <m/>
    <s v="Compliant"/>
    <m/>
    <m/>
    <m/>
    <m/>
    <m/>
    <m/>
    <m/>
    <m/>
  </r>
  <r>
    <x v="1"/>
    <s v="Dinalupihan"/>
    <s v="Pagalanggang "/>
    <s v="MBA"/>
    <s v="3rd"/>
    <n v="14.915296"/>
    <n v="120.45313299999999"/>
    <s v="14.915296,120.453133"/>
    <s v="EMB FUNDED MRF"/>
    <n v="1"/>
    <n v="2015"/>
    <n v="500000"/>
    <x v="1"/>
    <s v="John-lester Signio"/>
    <s v="Christle D. David"/>
    <m/>
    <m/>
    <m/>
    <m/>
    <m/>
    <m/>
    <s v=""/>
    <s v=""/>
    <s v=""/>
    <s v=""/>
    <m/>
    <m/>
    <m/>
    <m/>
    <m/>
    <m/>
    <m/>
    <s v="OPERATIONAL"/>
    <m/>
    <s v="Compliant"/>
    <m/>
    <d v="2025-10-06T00:00:00"/>
    <m/>
    <m/>
    <m/>
    <m/>
    <m/>
    <m/>
  </r>
  <r>
    <x v="1"/>
    <s v="Limay"/>
    <s v="San Franciso De Asis"/>
    <s v="MBA"/>
    <s v="2nd"/>
    <n v="14.569686000000001"/>
    <n v="120.551528"/>
    <s v="14.569686,120.551528"/>
    <s v="EMB FUNDED MRF"/>
    <n v="1"/>
    <n v="2019"/>
    <n v="502714.29"/>
    <x v="1"/>
    <s v="Dennis Tolentino"/>
    <s v="Christle D. David"/>
    <m/>
    <m/>
    <m/>
    <m/>
    <m/>
    <m/>
    <s v=""/>
    <s v=""/>
    <s v=""/>
    <s v=""/>
    <m/>
    <m/>
    <m/>
    <m/>
    <m/>
    <m/>
    <m/>
    <s v="NON-OPERATIONAL"/>
    <s v="The LGU is yet to operate the Materials Recovery Facility this 2025 due to the availability of equipment within the facility."/>
    <m/>
    <m/>
    <m/>
    <m/>
    <m/>
    <m/>
    <m/>
    <m/>
    <m/>
  </r>
  <r>
    <x v="1"/>
    <s v="Mariveles"/>
    <s v="Alion"/>
    <s v="MBA"/>
    <s v="3rd"/>
    <n v="14.490861600000001"/>
    <n v="120.5811223"/>
    <s v="14.4908616,120.5811223"/>
    <s v="EMB FUNDED BRGY MRF"/>
    <n v="1"/>
    <n v="2018"/>
    <n v="285000"/>
    <x v="2"/>
    <s v="Laurence Radasa"/>
    <s v="Christle D. David"/>
    <m/>
    <m/>
    <m/>
    <m/>
    <m/>
    <m/>
    <s v=""/>
    <s v=""/>
    <s v=""/>
    <s v=""/>
    <m/>
    <m/>
    <m/>
    <m/>
    <m/>
    <m/>
    <m/>
    <s v="OPERATIONAL"/>
    <m/>
    <s v="Compliant"/>
    <m/>
    <m/>
    <m/>
    <m/>
    <m/>
    <m/>
    <m/>
    <m/>
  </r>
  <r>
    <x v="1"/>
    <s v="Mariveles"/>
    <s v="Alas-Asin"/>
    <s v="MBA"/>
    <s v="3rd"/>
    <n v="14.459136300000001"/>
    <n v="120.5266262"/>
    <s v="14.4591363,120.5266262"/>
    <s v="EMB FUNDED BRGY MRF"/>
    <n v="1"/>
    <n v="2018"/>
    <n v="285000"/>
    <x v="2"/>
    <s v="Laurence Radasa"/>
    <s v="Christle D. David"/>
    <m/>
    <m/>
    <m/>
    <m/>
    <m/>
    <m/>
    <s v=""/>
    <s v=""/>
    <s v=""/>
    <s v=""/>
    <m/>
    <m/>
    <m/>
    <m/>
    <m/>
    <m/>
    <m/>
    <s v="OPERATIONAL"/>
    <m/>
    <s v="Compliant"/>
    <m/>
    <m/>
    <m/>
    <m/>
    <m/>
    <m/>
    <m/>
    <m/>
  </r>
  <r>
    <x v="1"/>
    <s v="Mariveles"/>
    <s v="Baseco"/>
    <s v="MBA"/>
    <s v="3rd"/>
    <n v="14.436956"/>
    <n v="120.524747"/>
    <s v="14.436956,120.524747"/>
    <s v="EMB FUNDED BRGY MRF"/>
    <n v="1"/>
    <n v="2018"/>
    <n v="427500"/>
    <x v="4"/>
    <s v="Laurence Radasa"/>
    <s v="Christle D. David"/>
    <m/>
    <m/>
    <m/>
    <m/>
    <m/>
    <m/>
    <s v=""/>
    <s v=""/>
    <s v=""/>
    <s v=""/>
    <m/>
    <m/>
    <m/>
    <m/>
    <m/>
    <m/>
    <m/>
    <s v="OPERATIONAL"/>
    <m/>
    <s v="Compliant"/>
    <m/>
    <m/>
    <m/>
    <m/>
    <m/>
    <m/>
    <m/>
    <m/>
  </r>
  <r>
    <x v="1"/>
    <s v="Mariveles"/>
    <s v="Malaya"/>
    <s v="MBA"/>
    <s v="3rd"/>
    <n v="14.453206"/>
    <n v="120.494342"/>
    <s v="14.453206,120.494342"/>
    <s v="EMB FUNDED BRGY MRF"/>
    <n v="1"/>
    <n v="2018"/>
    <n v="427500"/>
    <x v="4"/>
    <s v="Laurence Radasa"/>
    <s v="Christle D. David"/>
    <m/>
    <m/>
    <m/>
    <m/>
    <m/>
    <m/>
    <s v=""/>
    <s v=""/>
    <s v=""/>
    <s v=""/>
    <m/>
    <m/>
    <m/>
    <m/>
    <m/>
    <m/>
    <m/>
    <s v="OPERATIONAL"/>
    <m/>
    <s v="Compliant"/>
    <m/>
    <m/>
    <m/>
    <m/>
    <m/>
    <m/>
    <m/>
    <m/>
  </r>
  <r>
    <x v="1"/>
    <s v="Mariveles"/>
    <s v="Balon-Anito"/>
    <s v="MBA"/>
    <s v="3rd"/>
    <n v="14.4421395"/>
    <n v="120.46040720000001"/>
    <s v="14.4421395,120.4604072"/>
    <s v="EMB FUNDED BRGY MRF"/>
    <n v="1"/>
    <n v="2018"/>
    <n v="285000"/>
    <x v="4"/>
    <s v="Laurence Radasa"/>
    <s v="Christle D. David"/>
    <m/>
    <m/>
    <m/>
    <m/>
    <m/>
    <m/>
    <s v=""/>
    <s v=""/>
    <s v=""/>
    <s v=""/>
    <m/>
    <m/>
    <m/>
    <m/>
    <m/>
    <m/>
    <m/>
    <s v="OPERATIONAL"/>
    <m/>
    <s v="Compliant"/>
    <m/>
    <m/>
    <m/>
    <m/>
    <m/>
    <m/>
    <m/>
    <m/>
  </r>
  <r>
    <x v="1"/>
    <s v="Pilar"/>
    <s v="Alauli"/>
    <s v="MBA"/>
    <s v="2nd"/>
    <n v="14.66066"/>
    <n v="120.543603"/>
    <s v="14.66066,120.543603"/>
    <s v="EMB FUNDED MRF"/>
    <n v="1"/>
    <n v="2019"/>
    <n v="502714.29"/>
    <x v="4"/>
    <s v="Dennis Tolentino"/>
    <s v="Christle D. David"/>
    <m/>
    <m/>
    <m/>
    <m/>
    <m/>
    <m/>
    <s v=""/>
    <s v=""/>
    <s v=""/>
    <s v=""/>
    <m/>
    <m/>
    <m/>
    <m/>
    <m/>
    <m/>
    <m/>
    <s v="OPERATIONAL"/>
    <m/>
    <m/>
    <m/>
    <s v="yES"/>
    <m/>
    <m/>
    <m/>
    <m/>
    <m/>
    <m/>
  </r>
  <r>
    <x v="1"/>
    <s v="Samal"/>
    <s v="San Juan"/>
    <s v="MBA"/>
    <s v="1st"/>
    <n v="14.772728000000001"/>
    <n v="120.517353"/>
    <s v="14.772728,120.517353"/>
    <s v="EMB FUNDED MRF"/>
    <n v="2"/>
    <s v="2016 &amp; 2021"/>
    <s v="449444&amp; 179444.44"/>
    <x v="4"/>
    <s v="John-lester Signio"/>
    <s v="Christle D. David"/>
    <m/>
    <m/>
    <m/>
    <m/>
    <m/>
    <m/>
    <s v=""/>
    <s v=""/>
    <s v=""/>
    <s v=""/>
    <m/>
    <m/>
    <m/>
    <m/>
    <m/>
    <m/>
    <m/>
    <s v="OPERATIONAL"/>
    <m/>
    <s v="Compliant"/>
    <m/>
    <m/>
    <m/>
    <m/>
    <m/>
    <m/>
    <m/>
    <m/>
  </r>
  <r>
    <x v="2"/>
    <s v="Balagtas"/>
    <s v="Borol 1st"/>
    <s v="MBA"/>
    <s v="5th"/>
    <n v="14.8193"/>
    <n v="120.90179999999999"/>
    <s v="14.8193,120.9018"/>
    <s v="EMB FUNDED MRF"/>
    <n v="1"/>
    <n v="2019"/>
    <n v="502714.29"/>
    <x v="2"/>
    <s v="Jasmin Marie N. Siapco"/>
    <s v="Diozelle L. Cabalar"/>
    <m/>
    <m/>
    <m/>
    <m/>
    <m/>
    <m/>
    <s v=""/>
    <s v=""/>
    <s v=""/>
    <s v=""/>
    <m/>
    <m/>
    <m/>
    <m/>
    <m/>
    <m/>
    <m/>
    <s v="NON-OPERATIONAL"/>
    <s v="The MRF is demolished and converted to a new building/ fire station of LGU Balagtas."/>
    <m/>
    <m/>
    <m/>
    <m/>
    <m/>
    <m/>
    <m/>
    <m/>
    <m/>
  </r>
  <r>
    <x v="2"/>
    <s v="Balagtas"/>
    <s v="Santol"/>
    <s v="MBA"/>
    <s v="5th"/>
    <n v="14.862786"/>
    <n v="120.91716"/>
    <s v="14.862786,120.91716"/>
    <s v="EMB FUNDED MRF"/>
    <n v="1"/>
    <n v="2017"/>
    <n v="460000"/>
    <x v="5"/>
    <s v="Jasmin Marie N. Siapco"/>
    <s v="Diozelle L. Cabalar"/>
    <m/>
    <m/>
    <m/>
    <m/>
    <m/>
    <m/>
    <s v=""/>
    <s v=""/>
    <s v=""/>
    <s v=""/>
    <m/>
    <m/>
    <m/>
    <m/>
    <m/>
    <m/>
    <m/>
    <s v="NON-OPERATIONAL"/>
    <m/>
    <m/>
    <m/>
    <m/>
    <m/>
    <m/>
    <m/>
    <m/>
    <m/>
    <m/>
  </r>
  <r>
    <x v="2"/>
    <s v="Bocaue"/>
    <s v="Batia"/>
    <s v="MBA"/>
    <s v="5th"/>
    <n v="14.807480999999999"/>
    <n v="120.94629399999999"/>
    <s v="14.807481,120.946294"/>
    <s v="EMB FUNDED MRF"/>
    <n v="2"/>
    <s v="2016 &amp; 2017"/>
    <s v="270000 &amp; 460000"/>
    <x v="1"/>
    <s v="Jasmin Marie N. Siapco"/>
    <s v="Diozelle L. Cabalar"/>
    <m/>
    <m/>
    <m/>
    <m/>
    <m/>
    <m/>
    <s v=""/>
    <s v=""/>
    <s v=""/>
    <s v=""/>
    <m/>
    <m/>
    <m/>
    <m/>
    <m/>
    <m/>
    <m/>
    <s v="NON-OPERATIONAL"/>
    <s v="As per MENRO Gomez, the MRF has no power supply and lack of man power from the barangay to fully operate the facility"/>
    <m/>
    <m/>
    <m/>
    <m/>
    <m/>
    <m/>
    <m/>
    <m/>
    <m/>
  </r>
  <r>
    <x v="2"/>
    <s v="Bustos"/>
    <s v="Catacte"/>
    <s v="MBA"/>
    <s v="2nd"/>
    <n v="14.929217"/>
    <n v="120.942353"/>
    <s v="14.929217,120.942353"/>
    <s v="EMB FUNDED MRF"/>
    <n v="1"/>
    <n v="2019"/>
    <n v="502714"/>
    <x v="6"/>
    <s v="Ronaldo P. Roque, Jr."/>
    <s v="Diozelle L. Cabalar"/>
    <m/>
    <m/>
    <m/>
    <m/>
    <m/>
    <m/>
    <s v=""/>
    <s v=""/>
    <s v=""/>
    <s v=""/>
    <m/>
    <m/>
    <m/>
    <m/>
    <m/>
    <m/>
    <m/>
    <s v="OPERATIONAL"/>
    <m/>
    <m/>
    <m/>
    <m/>
    <m/>
    <m/>
    <m/>
    <m/>
    <m/>
    <m/>
  </r>
  <r>
    <x v="2"/>
    <s v="Calumpit"/>
    <s v=" Calizon"/>
    <s v="MBA"/>
    <s v="1st"/>
    <n v="14.909181999999999"/>
    <n v="120.753781"/>
    <s v="14.909182,120.753781"/>
    <s v="EMB FUNDED MRF"/>
    <n v="1"/>
    <n v="2013"/>
    <n v="500000"/>
    <x v="1"/>
    <s v="Ronaldo P. Roque, Jr."/>
    <s v="Diozelle L. Cabalar"/>
    <m/>
    <m/>
    <m/>
    <m/>
    <m/>
    <m/>
    <s v=""/>
    <s v=""/>
    <s v=""/>
    <s v=""/>
    <m/>
    <m/>
    <m/>
    <m/>
    <m/>
    <m/>
    <m/>
    <s v="OPERATIONAL"/>
    <m/>
    <s v="Compliant"/>
    <m/>
    <m/>
    <m/>
    <m/>
    <m/>
    <m/>
    <m/>
    <m/>
  </r>
  <r>
    <x v="2"/>
    <s v="City Of Meycauyan"/>
    <s v="Caingin"/>
    <s v="MBA"/>
    <s v="4th"/>
    <n v="14.725394"/>
    <n v="120.96915199999999"/>
    <s v="14.725394,120.969152"/>
    <s v="EMB FUNDED BRGY MRF"/>
    <n v="1"/>
    <n v="2017"/>
    <n v="460000"/>
    <x v="6"/>
    <s v="James Wilson T. Pena"/>
    <s v="Diozelle L. Cabalar"/>
    <m/>
    <m/>
    <m/>
    <m/>
    <m/>
    <m/>
    <s v=""/>
    <s v=""/>
    <s v=""/>
    <s v=""/>
    <m/>
    <m/>
    <m/>
    <m/>
    <m/>
    <m/>
    <m/>
    <s v="OPERATIONAL"/>
    <m/>
    <s v="Non-Compliant"/>
    <m/>
    <s v="NO"/>
    <m/>
    <m/>
    <m/>
    <m/>
    <m/>
    <m/>
  </r>
  <r>
    <x v="2"/>
    <s v="City Of Meycauyan"/>
    <s v="Saluysoy"/>
    <s v="MBA"/>
    <s v="4th"/>
    <n v="14.744464000000001"/>
    <n v="120.95504029999999"/>
    <s v="14.744464,120.9550403"/>
    <s v="EMB FUNDED BRGY MRF"/>
    <n v="1"/>
    <n v="2017"/>
    <n v="460000"/>
    <x v="2"/>
    <s v="James Wilson T. Pena"/>
    <s v="Diozelle L. Cabalar"/>
    <m/>
    <m/>
    <m/>
    <m/>
    <m/>
    <m/>
    <s v=""/>
    <s v=""/>
    <s v=""/>
    <s v=""/>
    <m/>
    <m/>
    <m/>
    <m/>
    <m/>
    <m/>
    <m/>
    <s v="OPERATIONAL"/>
    <m/>
    <m/>
    <m/>
    <m/>
    <m/>
    <m/>
    <m/>
    <m/>
    <m/>
    <m/>
  </r>
  <r>
    <x v="2"/>
    <s v="City Of San Jose Del Monte"/>
    <s v="Tungkong Mangga"/>
    <s v="MBA"/>
    <s v="Lone"/>
    <n v="14.803364200000001"/>
    <n v="121.0704497"/>
    <s v="14.8033642,121.0704497"/>
    <s v="EMB FUNDED BRGY MRF"/>
    <n v="1"/>
    <n v="2017"/>
    <n v="460000"/>
    <x v="0"/>
    <s v="James Wilson T. Pena"/>
    <s v="Diozelle L. Cabalar"/>
    <m/>
    <m/>
    <m/>
    <m/>
    <m/>
    <m/>
    <s v=""/>
    <s v=""/>
    <s v=""/>
    <s v=""/>
    <m/>
    <m/>
    <m/>
    <m/>
    <m/>
    <m/>
    <m/>
    <s v="OPERATIONAL"/>
    <m/>
    <m/>
    <m/>
    <m/>
    <m/>
    <m/>
    <m/>
    <m/>
    <m/>
    <m/>
  </r>
  <r>
    <x v="2"/>
    <s v="City Of San Jose Del Monte"/>
    <s v="Minuyan III"/>
    <s v="MBA"/>
    <s v="Lone"/>
    <n v="14.8477"/>
    <n v="121.0722"/>
    <s v="14.8477,121.0722"/>
    <s v="EMB FUNDED MRF"/>
    <n v="2"/>
    <s v="2018 &amp; 2018"/>
    <s v="285000 &amp; 285000"/>
    <x v="5"/>
    <s v="James Wilson T. Pena"/>
    <s v="Diozelle L. Cabalar"/>
    <m/>
    <m/>
    <m/>
    <m/>
    <m/>
    <m/>
    <s v=""/>
    <s v=""/>
    <s v=""/>
    <s v=""/>
    <m/>
    <m/>
    <m/>
    <m/>
    <m/>
    <m/>
    <m/>
    <s v="NON-OPERATIONAL"/>
    <s v="Non operational "/>
    <m/>
    <m/>
    <m/>
    <m/>
    <m/>
    <m/>
    <m/>
    <m/>
    <m/>
  </r>
  <r>
    <x v="2"/>
    <s v="City Of San Jose Del Monte"/>
    <s v="Minuyan Proper"/>
    <s v="MBA"/>
    <s v="Lone"/>
    <n v="14.8477"/>
    <n v="121.0722"/>
    <s v="14.8477,121.0722"/>
    <s v="EMB FUNDED MRF"/>
    <n v="1"/>
    <n v="2016"/>
    <n v="270000"/>
    <x v="3"/>
    <s v="James Wilson T. Pena"/>
    <s v="Diozelle L. Cabalar"/>
    <m/>
    <m/>
    <m/>
    <m/>
    <m/>
    <m/>
    <s v=""/>
    <s v=""/>
    <s v=""/>
    <s v=""/>
    <m/>
    <m/>
    <m/>
    <m/>
    <m/>
    <m/>
    <m/>
    <s v="OPERATIONAL"/>
    <m/>
    <m/>
    <m/>
    <m/>
    <m/>
    <m/>
    <m/>
    <m/>
    <m/>
    <m/>
  </r>
  <r>
    <x v="2"/>
    <s v="City Of San Jose Del Monte"/>
    <s v="Muzon"/>
    <s v="MBA"/>
    <s v="Lone"/>
    <n v="14.820902999999999"/>
    <n v="121.025722"/>
    <s v="14.820903,121.025722"/>
    <s v="EMB FUNDED BRGY MRF"/>
    <n v="1"/>
    <n v="2017"/>
    <n v="460000"/>
    <x v="3"/>
    <s v="James Wilson T. Pena"/>
    <s v="Diozelle L. Cabalar"/>
    <m/>
    <m/>
    <m/>
    <m/>
    <m/>
    <m/>
    <s v=""/>
    <s v=""/>
    <s v=""/>
    <s v=""/>
    <m/>
    <m/>
    <m/>
    <m/>
    <m/>
    <m/>
    <m/>
    <s v="OPERATIONAL"/>
    <m/>
    <m/>
    <m/>
    <m/>
    <m/>
    <m/>
    <m/>
    <m/>
    <m/>
    <m/>
  </r>
  <r>
    <x v="2"/>
    <s v="Guiguinto"/>
    <s v="Tuktukan"/>
    <s v="MBA"/>
    <s v="5th"/>
    <n v="14.742096999999999"/>
    <n v="120.912244"/>
    <s v="14.742097,120.912244"/>
    <s v="EMB FUNDED MRF"/>
    <n v="2"/>
    <s v="2014 &amp; 2021"/>
    <s v="250000 &amp; 179444.44"/>
    <x v="6"/>
    <s v="Jasmin Marie N. Siapco"/>
    <s v="Diozelle L. Cabalar"/>
    <m/>
    <m/>
    <m/>
    <m/>
    <m/>
    <m/>
    <s v=""/>
    <s v=""/>
    <s v=""/>
    <s v=""/>
    <m/>
    <m/>
    <m/>
    <m/>
    <m/>
    <m/>
    <m/>
    <s v="OPERATIONAL"/>
    <m/>
    <s v="Compliant"/>
    <m/>
    <m/>
    <m/>
    <m/>
    <m/>
    <m/>
    <m/>
    <m/>
  </r>
  <r>
    <x v="2"/>
    <s v="Marilao"/>
    <s v="Lambakin"/>
    <s v="MBA"/>
    <s v="4th"/>
    <n v="14.770871"/>
    <n v="120.975582"/>
    <s v="14.770871,120.975582"/>
    <s v="EMB FUNDED BRGY MRF"/>
    <n v="1"/>
    <n v="2017"/>
    <n v="460000"/>
    <x v="4"/>
    <s v="James Wilson T. Pena"/>
    <s v="Diozelle L. Cabalar"/>
    <m/>
    <m/>
    <m/>
    <m/>
    <m/>
    <m/>
    <s v=""/>
    <s v=""/>
    <s v=""/>
    <s v=""/>
    <m/>
    <m/>
    <m/>
    <m/>
    <m/>
    <m/>
    <m/>
    <s v="NON-OPERATIONAL"/>
    <s v="Converted into a daycare center."/>
    <s v="Non-Compliant"/>
    <m/>
    <s v="NO"/>
    <m/>
    <m/>
    <m/>
    <m/>
    <m/>
    <m/>
  </r>
  <r>
    <x v="2"/>
    <s v="Marilao"/>
    <s v="Loma de gato"/>
    <s v="MBA"/>
    <s v="4th"/>
    <n v="14.777778"/>
    <n v="121.021111"/>
    <s v="14.777778,121.021111"/>
    <s v="EMB FUNDED BRGY MRF"/>
    <n v="1"/>
    <n v="2017"/>
    <n v="460000"/>
    <x v="4"/>
    <s v="James Wilson T. Pena"/>
    <s v="Diozelle L. Cabalar"/>
    <m/>
    <m/>
    <m/>
    <m/>
    <m/>
    <m/>
    <s v=""/>
    <s v=""/>
    <s v=""/>
    <s v=""/>
    <m/>
    <m/>
    <m/>
    <m/>
    <m/>
    <m/>
    <m/>
    <s v="NON-OPERATIONAL"/>
    <s v="MRS"/>
    <m/>
    <m/>
    <m/>
    <m/>
    <m/>
    <m/>
    <m/>
    <m/>
    <m/>
  </r>
  <r>
    <x v="2"/>
    <s v="Norzagaray"/>
    <s v="Bitungol"/>
    <s v="MBA"/>
    <s v="6th"/>
    <n v="14.876657"/>
    <n v="121.051275"/>
    <s v="14.876657,121.051275"/>
    <s v="EMB FUNDED BRGY MRF"/>
    <n v="1"/>
    <n v="2017"/>
    <n v="460000"/>
    <x v="4"/>
    <s v="James Wilson T. Pena"/>
    <s v="Diozelle L. Cabalar"/>
    <m/>
    <m/>
    <m/>
    <m/>
    <m/>
    <m/>
    <s v=""/>
    <s v=""/>
    <s v=""/>
    <s v=""/>
    <m/>
    <m/>
    <m/>
    <m/>
    <m/>
    <m/>
    <m/>
    <m/>
    <m/>
    <m/>
    <m/>
    <m/>
    <m/>
    <m/>
    <m/>
    <m/>
    <m/>
    <m/>
  </r>
  <r>
    <x v="2"/>
    <s v="Norzagaray"/>
    <s v="Matictic"/>
    <s v="MBA"/>
    <s v="6th"/>
    <n v="14.742096999999999"/>
    <n v="120.912244"/>
    <s v="14.742097,120.912244"/>
    <s v="EMB FUNDED MRF"/>
    <n v="1"/>
    <n v="2018"/>
    <n v="285000"/>
    <x v="4"/>
    <s v="James Wilson T. Pena"/>
    <s v="Diozelle L. Cabalar"/>
    <m/>
    <m/>
    <m/>
    <m/>
    <m/>
    <m/>
    <s v=""/>
    <s v=""/>
    <s v=""/>
    <s v=""/>
    <m/>
    <m/>
    <m/>
    <m/>
    <m/>
    <m/>
    <m/>
    <m/>
    <m/>
    <m/>
    <m/>
    <m/>
    <m/>
    <m/>
    <m/>
    <m/>
    <m/>
    <m/>
  </r>
  <r>
    <x v="2"/>
    <s v="Obando"/>
    <s v="Binuangan"/>
    <s v="MBA"/>
    <s v="4th"/>
    <n v="14.904674999999999"/>
    <n v="120.971828"/>
    <s v="14.904675,120.971828"/>
    <s v="EMB FUNDED MRF"/>
    <n v="2"/>
    <s v="2016,2017 &amp; 2020"/>
    <s v="230,000 , 460,000, &amp; 190,000"/>
    <x v="1"/>
    <s v="James Wilson T. Pena"/>
    <s v="Diozelle L. Cabalar"/>
    <m/>
    <m/>
    <m/>
    <m/>
    <m/>
    <m/>
    <s v=""/>
    <s v=""/>
    <s v=""/>
    <s v=""/>
    <m/>
    <m/>
    <m/>
    <m/>
    <m/>
    <m/>
    <m/>
    <s v="OPERATIONAL"/>
    <m/>
    <m/>
    <m/>
    <m/>
    <m/>
    <m/>
    <m/>
    <m/>
    <m/>
    <m/>
  </r>
  <r>
    <x v="2"/>
    <s v="Obando"/>
    <s v="Panghulo"/>
    <s v="MBA"/>
    <s v="4th"/>
    <n v="14.717024"/>
    <n v="120.931417"/>
    <s v="14.717024,120.931417"/>
    <s v="EMB FUNDED BRGY MRF"/>
    <n v="1"/>
    <n v="2017"/>
    <n v="460000"/>
    <x v="4"/>
    <s v="James Wilson T. Pena"/>
    <s v="Diozelle L. Cabalar"/>
    <m/>
    <m/>
    <m/>
    <m/>
    <m/>
    <m/>
    <s v=""/>
    <s v=""/>
    <s v=""/>
    <s v=""/>
    <m/>
    <m/>
    <m/>
    <m/>
    <m/>
    <m/>
    <m/>
    <s v="OPERATIONAL"/>
    <s v="s"/>
    <s v="Compliant"/>
    <m/>
    <m/>
    <m/>
    <m/>
    <m/>
    <m/>
    <m/>
    <m/>
  </r>
  <r>
    <x v="2"/>
    <s v="Obando"/>
    <s v="Tawiran"/>
    <s v="MBA"/>
    <s v="4th"/>
    <n v="14.904674999999999"/>
    <n v="120.971828"/>
    <s v="14.904675,120.971828"/>
    <s v="EMB FUNDED MRF"/>
    <n v="1"/>
    <n v="2018"/>
    <n v="285000"/>
    <x v="4"/>
    <s v="James Wilson T. Pena"/>
    <s v="Diozelle L. Cabalar"/>
    <m/>
    <m/>
    <m/>
    <m/>
    <m/>
    <m/>
    <s v=""/>
    <s v=""/>
    <s v=""/>
    <s v=""/>
    <m/>
    <m/>
    <m/>
    <m/>
    <m/>
    <m/>
    <m/>
    <s v="OPERATIONAL"/>
    <m/>
    <m/>
    <m/>
    <m/>
    <m/>
    <m/>
    <m/>
    <m/>
    <m/>
    <m/>
  </r>
  <r>
    <x v="2"/>
    <s v="Pandi"/>
    <s v="Cacarong Matanda"/>
    <s v="MBA"/>
    <s v="5th"/>
    <n v="14.904645"/>
    <n v="120.971863"/>
    <s v="14.904645,120.971863"/>
    <s v="EMB FUNDED MRF"/>
    <n v="1"/>
    <n v="2020"/>
    <n v="190000"/>
    <x v="3"/>
    <s v="Ronaldo P. Roque, Jr."/>
    <s v="Diozelle L. Cabalar"/>
    <m/>
    <m/>
    <m/>
    <m/>
    <m/>
    <m/>
    <s v=""/>
    <s v=""/>
    <s v=""/>
    <s v=""/>
    <m/>
    <m/>
    <m/>
    <m/>
    <m/>
    <m/>
    <m/>
    <s v="NON-OPERATIONAL"/>
    <m/>
    <m/>
    <m/>
    <m/>
    <m/>
    <m/>
    <m/>
    <m/>
    <m/>
    <m/>
  </r>
  <r>
    <x v="2"/>
    <s v="Pandi"/>
    <s v="Cacarong Matanda"/>
    <s v="MBA"/>
    <s v="5th"/>
    <n v="14.867974999999999"/>
    <n v="120.88548299999999"/>
    <s v="14.867975,120.885483"/>
    <s v="EMB FUNDED BRGY MRF"/>
    <n v="1"/>
    <n v="2017"/>
    <n v="460000"/>
    <x v="4"/>
    <s v="Ronaldo P. Roque, Jr."/>
    <s v="Diozelle L. Cabalar"/>
    <m/>
    <m/>
    <m/>
    <m/>
    <m/>
    <m/>
    <s v=""/>
    <s v=""/>
    <s v=""/>
    <s v=""/>
    <m/>
    <m/>
    <m/>
    <m/>
    <m/>
    <m/>
    <m/>
    <m/>
    <m/>
    <m/>
    <m/>
    <m/>
    <m/>
    <m/>
    <m/>
    <m/>
    <m/>
    <m/>
  </r>
  <r>
    <x v="2"/>
    <s v="Pandi"/>
    <s v="Mapulang Lupa"/>
    <s v="MBA"/>
    <s v="5th"/>
    <n v="14.826808"/>
    <n v="120.76367500000001"/>
    <s v="14.826808,120.763675"/>
    <s v="EMB FUNDED MRF"/>
    <n v="1"/>
    <n v="2016"/>
    <n v="270000"/>
    <x v="4"/>
    <s v="Ronaldo P. Roque, Jr."/>
    <s v="Diozelle L. Cabalar"/>
    <m/>
    <m/>
    <m/>
    <m/>
    <m/>
    <m/>
    <s v=""/>
    <s v=""/>
    <s v=""/>
    <s v=""/>
    <m/>
    <m/>
    <m/>
    <m/>
    <m/>
    <m/>
    <m/>
    <s v="OPERATIONAL"/>
    <m/>
    <s v="Compliant"/>
    <m/>
    <m/>
    <m/>
    <m/>
    <m/>
    <m/>
    <m/>
    <m/>
  </r>
  <r>
    <x v="2"/>
    <s v="Pandi"/>
    <s v="Siling Bata"/>
    <s v="MBA"/>
    <s v="5th"/>
    <n v="14.891749000000001"/>
    <n v="120.977345"/>
    <s v="14.891749,120.977345"/>
    <s v="EMB FUNDED BRGY MRF"/>
    <n v="1"/>
    <n v="2017"/>
    <n v="460000"/>
    <x v="4"/>
    <s v="Ronaldo P. Roque, Jr."/>
    <s v="Diozelle L. Cabalar"/>
    <m/>
    <m/>
    <m/>
    <m/>
    <m/>
    <m/>
    <s v=""/>
    <s v=""/>
    <s v=""/>
    <s v=""/>
    <m/>
    <m/>
    <m/>
    <m/>
    <m/>
    <m/>
    <m/>
    <s v="OPERATIONAL"/>
    <m/>
    <s v="Compliant"/>
    <m/>
    <m/>
    <m/>
    <m/>
    <m/>
    <m/>
    <m/>
    <m/>
  </r>
  <r>
    <x v="2"/>
    <s v="Paombong"/>
    <s v="San Isidro II"/>
    <s v="MBA"/>
    <s v="1st"/>
    <n v="14.826669000000001"/>
    <n v="120.763717"/>
    <s v="14.826669,120.763717"/>
    <s v="EMB FUNDED MRF"/>
    <n v="2"/>
    <s v="2016 / 2020"/>
    <s v="270000 /  190000"/>
    <x v="4"/>
    <s v="Ronaldo P. Roque, Jr."/>
    <s v="Diozelle L. Cabalar"/>
    <m/>
    <m/>
    <m/>
    <m/>
    <m/>
    <m/>
    <s v=""/>
    <s v=""/>
    <s v=""/>
    <s v=""/>
    <m/>
    <m/>
    <m/>
    <m/>
    <m/>
    <m/>
    <m/>
    <s v="OPERATIONAL"/>
    <m/>
    <s v="Compliant"/>
    <m/>
    <m/>
    <m/>
    <m/>
    <m/>
    <m/>
    <m/>
    <m/>
  </r>
  <r>
    <x v="2"/>
    <s v="Plaridel"/>
    <s v="Bulihan"/>
    <s v="MBA"/>
    <s v="2nd"/>
    <n v="14.856638999999999"/>
    <n v="121.050831"/>
    <s v="14.856639,121.050831"/>
    <s v="EMB FUNDED MRF"/>
    <n v="2"/>
    <s v="2014 / 2020"/>
    <s v="500000 / 190000"/>
    <x v="4"/>
    <s v="Jasmin Marie N. Siapco"/>
    <s v="Diozelle L. Cabalar"/>
    <m/>
    <m/>
    <m/>
    <m/>
    <m/>
    <m/>
    <s v=""/>
    <s v=""/>
    <s v=""/>
    <s v=""/>
    <m/>
    <m/>
    <m/>
    <m/>
    <m/>
    <m/>
    <m/>
    <s v="OPERATIONAL"/>
    <m/>
    <s v="Compliant"/>
    <m/>
    <m/>
    <m/>
    <m/>
    <m/>
    <m/>
    <m/>
    <m/>
  </r>
  <r>
    <x v="2"/>
    <s v="San Ildefonso"/>
    <s v="Basuit (Pala Pala)"/>
    <s v="MBA"/>
    <s v="3rd"/>
    <n v="15.0479"/>
    <n v="120.9543"/>
    <s v="15.0479,120.9543"/>
    <s v="EMB FUNDED MRF"/>
    <n v="1"/>
    <n v="2019"/>
    <n v="502714.29"/>
    <x v="4"/>
    <s v="Vacant"/>
    <s v="Diozelle L. Cabalar"/>
    <m/>
    <m/>
    <m/>
    <m/>
    <m/>
    <m/>
    <s v=""/>
    <s v=""/>
    <s v=""/>
    <s v=""/>
    <m/>
    <m/>
    <m/>
    <m/>
    <m/>
    <m/>
    <m/>
    <s v="OPERATIONAL"/>
    <m/>
    <m/>
    <m/>
    <m/>
    <m/>
    <m/>
    <m/>
    <m/>
    <m/>
    <m/>
  </r>
  <r>
    <x v="2"/>
    <s v="San Miguel"/>
    <s v="Biak Na Bato"/>
    <s v="MBA"/>
    <s v="3rd"/>
    <n v="15.135514000000001"/>
    <n v="121.059628"/>
    <s v="15.135514,121.059628"/>
    <s v="EMB FUNDED MRF"/>
    <n v="1"/>
    <n v="2019"/>
    <n v="530000"/>
    <x v="4"/>
    <s v="Vacant"/>
    <s v="Diozelle L. Cabalar"/>
    <m/>
    <m/>
    <m/>
    <m/>
    <m/>
    <m/>
    <s v=""/>
    <s v=""/>
    <s v=""/>
    <s v=""/>
    <m/>
    <m/>
    <m/>
    <m/>
    <m/>
    <m/>
    <m/>
    <s v="OPERATIONAL"/>
    <m/>
    <m/>
    <m/>
    <m/>
    <m/>
    <m/>
    <m/>
    <m/>
    <m/>
    <m/>
  </r>
  <r>
    <x v="2"/>
    <s v="Santa Maria"/>
    <s v="Magasawang Sapa"/>
    <s v="MBA"/>
    <s v="6th"/>
    <n v="14.870646000000001"/>
    <n v="120.97304200000001"/>
    <s v="14.870646,120.973042"/>
    <s v="EMB FUNDED MRF"/>
    <n v="1"/>
    <n v="2012"/>
    <n v="500000"/>
    <x v="4"/>
    <s v="James Wilson T. Pena"/>
    <s v="Diozelle L. Cabalar"/>
    <m/>
    <m/>
    <m/>
    <m/>
    <m/>
    <m/>
    <s v=""/>
    <s v=""/>
    <s v=""/>
    <s v=""/>
    <m/>
    <m/>
    <m/>
    <m/>
    <m/>
    <m/>
    <m/>
    <m/>
    <m/>
    <m/>
    <m/>
    <m/>
    <m/>
    <m/>
    <m/>
    <m/>
    <m/>
    <m/>
  </r>
  <r>
    <x v="2"/>
    <s v="Santa Maria"/>
    <s v="Parada"/>
    <s v="MBA"/>
    <s v="6th"/>
    <n v="14.807207999999999"/>
    <n v="120.987347"/>
    <s v="14.807208,120.987347"/>
    <s v="EMB FUNDED BRGY MRF"/>
    <n v="1"/>
    <n v="2017"/>
    <n v="460000"/>
    <x v="4"/>
    <s v="James Wilson T. Pena"/>
    <s v="Diozelle L. Cabalar"/>
    <m/>
    <m/>
    <m/>
    <m/>
    <m/>
    <m/>
    <s v=""/>
    <s v=""/>
    <s v=""/>
    <s v=""/>
    <m/>
    <m/>
    <m/>
    <m/>
    <m/>
    <m/>
    <m/>
    <m/>
    <m/>
    <m/>
    <m/>
    <m/>
    <m/>
    <m/>
    <m/>
    <m/>
    <m/>
    <m/>
  </r>
  <r>
    <x v="2"/>
    <s v="Santa Maria"/>
    <s v="San Vicente"/>
    <s v="MBA"/>
    <s v="6th"/>
    <n v="14.805337"/>
    <n v="121.00643599999999"/>
    <s v="14.805337,121.006436"/>
    <s v="EMB FUNDED BRGY MRF"/>
    <n v="1"/>
    <n v="2017"/>
    <n v="460000"/>
    <x v="4"/>
    <s v="James Wilson T. Pena"/>
    <s v="Diozelle L. Cabalar"/>
    <m/>
    <m/>
    <m/>
    <m/>
    <m/>
    <m/>
    <s v=""/>
    <s v=""/>
    <s v=""/>
    <s v=""/>
    <m/>
    <m/>
    <m/>
    <m/>
    <m/>
    <m/>
    <m/>
    <m/>
    <m/>
    <m/>
    <m/>
    <m/>
    <m/>
    <m/>
    <m/>
    <m/>
    <m/>
    <m/>
  </r>
  <r>
    <x v="3"/>
    <s v="City Of Cabanatuan"/>
    <s v="Pagas"/>
    <s v="MBA"/>
    <s v="3rd"/>
    <n v="15.505076000000001"/>
    <n v="120.949955"/>
    <s v="15.505076,120.949955"/>
    <s v="EMB FUNDED MRF"/>
    <n v="1"/>
    <n v="2018"/>
    <n v="475000"/>
    <x v="6"/>
    <s v="Christian Jem L. Buluran"/>
    <s v="Zosimo P. Suyat"/>
    <m/>
    <m/>
    <m/>
    <m/>
    <m/>
    <m/>
    <s v=""/>
    <s v=""/>
    <s v=""/>
    <s v=""/>
    <m/>
    <m/>
    <m/>
    <m/>
    <m/>
    <m/>
    <m/>
    <s v="OPERATIONAL"/>
    <m/>
    <m/>
    <m/>
    <m/>
    <m/>
    <m/>
    <m/>
    <m/>
    <m/>
    <m/>
  </r>
  <r>
    <x v="3"/>
    <s v="Cuyapo"/>
    <s v="Sabit"/>
    <s v="OUTSIDE MBA"/>
    <s v="1st"/>
    <n v="15.8117"/>
    <n v="120.67749999999999"/>
    <s v="15.8117,120.6775"/>
    <s v="EMB FUNDED MRF"/>
    <n v="1"/>
    <n v="2019"/>
    <n v="500000"/>
    <x v="4"/>
    <s v="Aser A. Inocencio, Jr."/>
    <s v="Zosimo P. Suyat"/>
    <m/>
    <m/>
    <m/>
    <m/>
    <m/>
    <m/>
    <s v=""/>
    <s v=""/>
    <s v=""/>
    <s v=""/>
    <m/>
    <m/>
    <m/>
    <m/>
    <m/>
    <m/>
    <m/>
    <s v="OPERATIONAL"/>
    <m/>
    <s v="Compliant"/>
    <m/>
    <m/>
    <m/>
    <m/>
    <m/>
    <m/>
    <m/>
    <m/>
  </r>
  <r>
    <x v="3"/>
    <s v="Gabaldon"/>
    <s v="Pantoc"/>
    <s v="MBA"/>
    <s v="3rd"/>
    <n v="15.4709"/>
    <n v="121.3436"/>
    <s v="15.4709,121.3436"/>
    <s v="EMB FUNDED MRF"/>
    <n v="1"/>
    <n v="2019"/>
    <n v="500000"/>
    <x v="0"/>
    <s v="Christian Jem L. Buluran"/>
    <s v="Zosimo P. Suyat"/>
    <m/>
    <m/>
    <m/>
    <m/>
    <m/>
    <m/>
    <s v=""/>
    <s v=""/>
    <s v=""/>
    <s v=""/>
    <m/>
    <m/>
    <m/>
    <m/>
    <m/>
    <m/>
    <m/>
    <s v="OPERATIONAL"/>
    <m/>
    <m/>
    <m/>
    <m/>
    <m/>
    <m/>
    <m/>
    <m/>
    <m/>
    <m/>
  </r>
  <r>
    <x v="3"/>
    <s v="General Mamerto Natividad"/>
    <s v="Balaring"/>
    <s v="MBA"/>
    <s v="3rd"/>
    <n v="15.606325999999999"/>
    <n v="121.110789"/>
    <s v="15.606326,121.110789"/>
    <s v="EMB FUNDED MRF"/>
    <n v="1"/>
    <n v="2019"/>
    <n v="530642.86"/>
    <x v="5"/>
    <s v="Hosannah R. Sabio"/>
    <s v="Zosimo P. Suyat"/>
    <m/>
    <m/>
    <m/>
    <m/>
    <m/>
    <m/>
    <s v=""/>
    <s v=""/>
    <s v=""/>
    <s v=""/>
    <m/>
    <m/>
    <m/>
    <m/>
    <m/>
    <m/>
    <m/>
    <s v="OPERATIONAL"/>
    <m/>
    <s v="Compliant"/>
    <m/>
    <m/>
    <m/>
    <m/>
    <m/>
    <m/>
    <m/>
    <m/>
  </r>
  <r>
    <x v="3"/>
    <s v="General Tinio"/>
    <m/>
    <s v="MBA"/>
    <s v="3rd"/>
    <n v="15.388953000000001"/>
    <n v="121.061851"/>
    <s v="15.388953,121.061851"/>
    <s v="EMB FUNDED MRF"/>
    <n v="1"/>
    <n v="2016"/>
    <n v="370000"/>
    <x v="2"/>
    <s v="Christian Jem L. Buluran"/>
    <s v="Zosimo P. Suyat"/>
    <m/>
    <m/>
    <m/>
    <m/>
    <m/>
    <m/>
    <s v=""/>
    <s v=""/>
    <s v=""/>
    <s v=""/>
    <m/>
    <m/>
    <m/>
    <m/>
    <m/>
    <m/>
    <m/>
    <s v="OPERATIONAL"/>
    <m/>
    <m/>
    <m/>
    <m/>
    <m/>
    <m/>
    <m/>
    <m/>
    <m/>
    <m/>
  </r>
  <r>
    <x v="3"/>
    <s v="Jaen"/>
    <s v="Niyugan"/>
    <s v="MBA"/>
    <s v="4th"/>
    <n v="15.335853999999999"/>
    <n v="120.892661"/>
    <s v="15.335854,120.892661"/>
    <s v="EMB FUNDED MRF"/>
    <n v="1"/>
    <n v="2019"/>
    <n v="502714.29"/>
    <x v="5"/>
    <s v="Christine Ann V. Ramos"/>
    <s v="Zosimo P. Suyat"/>
    <m/>
    <m/>
    <m/>
    <m/>
    <m/>
    <m/>
    <s v=""/>
    <s v=""/>
    <s v=""/>
    <s v=""/>
    <m/>
    <m/>
    <m/>
    <m/>
    <m/>
    <m/>
    <m/>
    <s v="OPERATIONAL"/>
    <m/>
    <m/>
    <m/>
    <m/>
    <m/>
    <m/>
    <m/>
    <m/>
    <m/>
    <m/>
  </r>
  <r>
    <x v="3"/>
    <s v="Licab"/>
    <s v="Villa Rosa"/>
    <s v="MBA"/>
    <s v="1st"/>
    <n v="15.547317"/>
    <n v="120.753197"/>
    <s v="15.547317,120.753197"/>
    <s v="EMB FUNDED MRF"/>
    <n v="1"/>
    <n v="2016"/>
    <n v="270000"/>
    <x v="5"/>
    <s v="Gem C. Vicencio"/>
    <s v="Zosimo P. Suyat"/>
    <m/>
    <m/>
    <m/>
    <m/>
    <m/>
    <m/>
    <s v=""/>
    <s v=""/>
    <s v=""/>
    <s v=""/>
    <m/>
    <m/>
    <m/>
    <m/>
    <m/>
    <m/>
    <m/>
    <s v="OPERATIONAL"/>
    <m/>
    <s v="Non-Compliant"/>
    <m/>
    <s v="With advise letter (for release)"/>
    <m/>
    <m/>
    <m/>
    <m/>
    <m/>
    <m/>
  </r>
  <r>
    <x v="3"/>
    <s v="Llanera"/>
    <s v="San Felipe"/>
    <s v="MBA"/>
    <s v="2nd"/>
    <n v="15.704369"/>
    <n v="121.047766"/>
    <s v="15.704369,121.047766"/>
    <s v="EMB FUNDED MRF"/>
    <n v="3"/>
    <s v="2014 &amp; 2019 &amp; 2020"/>
    <s v="250000 &amp; 502714.29 &amp; 190000"/>
    <x v="6"/>
    <s v="Hosannah R. Sabio"/>
    <s v="Zosimo P. Suyat"/>
    <m/>
    <m/>
    <m/>
    <m/>
    <m/>
    <m/>
    <s v=""/>
    <s v=""/>
    <s v=""/>
    <s v=""/>
    <m/>
    <m/>
    <m/>
    <m/>
    <m/>
    <m/>
    <m/>
    <s v="OPERATIONAL"/>
    <m/>
    <s v="Compliant"/>
    <m/>
    <m/>
    <m/>
    <m/>
    <m/>
    <m/>
    <m/>
    <m/>
  </r>
  <r>
    <x v="3"/>
    <s v="Lupao"/>
    <s v="San Antonio"/>
    <s v="MBA"/>
    <s v="2nd"/>
    <n v="15.872605999999999"/>
    <n v="120.896519"/>
    <s v="15.872606,120.896519"/>
    <s v="EMB FUNDED MRF"/>
    <n v="1"/>
    <n v="2019"/>
    <n v="502714.29"/>
    <x v="1"/>
    <s v="Aser A. Inocencio, Jr."/>
    <s v="Zosimo P. Suyat"/>
    <m/>
    <m/>
    <m/>
    <m/>
    <m/>
    <m/>
    <s v=""/>
    <s v=""/>
    <s v=""/>
    <s v=""/>
    <m/>
    <m/>
    <m/>
    <m/>
    <m/>
    <m/>
    <m/>
    <m/>
    <m/>
    <m/>
    <m/>
    <m/>
    <m/>
    <m/>
    <m/>
    <m/>
    <m/>
    <m/>
  </r>
  <r>
    <x v="3"/>
    <s v="Nampicuan"/>
    <s v="North Poblacion"/>
    <s v="OUTSIDE MBA"/>
    <s v="1st"/>
    <n v="15.735196999999999"/>
    <n v="120.63252799999999"/>
    <s v="15.735197,120.632528"/>
    <s v="EMB FUNDED MRF"/>
    <n v="1"/>
    <n v="2019"/>
    <n v="502714.29"/>
    <x v="4"/>
    <s v="Aser A. Inocencio, Jr."/>
    <s v="Zosimo P. Suyat"/>
    <m/>
    <m/>
    <m/>
    <m/>
    <m/>
    <m/>
    <s v=""/>
    <s v=""/>
    <s v=""/>
    <s v=""/>
    <m/>
    <m/>
    <m/>
    <m/>
    <m/>
    <m/>
    <m/>
    <s v="UNDER CONSTRUCTION"/>
    <m/>
    <m/>
    <m/>
    <m/>
    <m/>
    <m/>
    <m/>
    <m/>
    <m/>
    <m/>
  </r>
  <r>
    <x v="3"/>
    <s v="Pantabangan"/>
    <s v="Poblacion East"/>
    <s v="MBA"/>
    <s v="2nd"/>
    <n v="15.807872"/>
    <n v="121.141914"/>
    <s v="15.807872,121.141914"/>
    <s v="EMB FUNDED MRF"/>
    <n v="2"/>
    <s v="2019 &amp; 2021"/>
    <s v="520,714.29 &amp; 179,444.44"/>
    <x v="2"/>
    <s v="Hosannah R. Sabio"/>
    <s v="Zosimo P. Suyat"/>
    <m/>
    <m/>
    <m/>
    <m/>
    <m/>
    <m/>
    <s v=""/>
    <s v=""/>
    <s v=""/>
    <s v=""/>
    <m/>
    <m/>
    <m/>
    <m/>
    <m/>
    <m/>
    <m/>
    <s v="OPERATIONAL"/>
    <m/>
    <s v="Compliant"/>
    <m/>
    <m/>
    <m/>
    <m/>
    <m/>
    <m/>
    <m/>
    <m/>
  </r>
  <r>
    <x v="3"/>
    <s v="Rizal"/>
    <s v="San Gregorio"/>
    <s v="MBA"/>
    <s v="2nd"/>
    <n v="15.709612"/>
    <n v="121.124466"/>
    <s v="15.709612,121.124466"/>
    <s v="EMB FUNDED MRF"/>
    <n v="2"/>
    <s v="2019 &amp; 2021"/>
    <s v="502,714.29.00 &amp; 179.444.44"/>
    <x v="3"/>
    <s v="Hosannah R. Sabio"/>
    <s v="Zosimo P. Suyat"/>
    <m/>
    <m/>
    <m/>
    <m/>
    <m/>
    <m/>
    <s v=""/>
    <s v=""/>
    <s v=""/>
    <s v=""/>
    <m/>
    <m/>
    <m/>
    <m/>
    <m/>
    <m/>
    <m/>
    <m/>
    <m/>
    <m/>
    <m/>
    <m/>
    <m/>
    <m/>
    <m/>
    <m/>
    <m/>
    <m/>
  </r>
  <r>
    <x v="3"/>
    <s v="San Isidro"/>
    <s v="Tabon"/>
    <s v="MBA"/>
    <s v="4th"/>
    <n v="15.293813"/>
    <n v="120.906358"/>
    <s v="15.293813,120.906358"/>
    <s v="EMB FUNDED MRF"/>
    <n v="1"/>
    <n v="2019"/>
    <n v="502714.29"/>
    <x v="6"/>
    <s v="Christine Ann V. Ramos"/>
    <s v="Zosimo P. Suyat"/>
    <m/>
    <m/>
    <m/>
    <m/>
    <m/>
    <m/>
    <s v=""/>
    <s v=""/>
    <s v=""/>
    <s v=""/>
    <m/>
    <m/>
    <m/>
    <m/>
    <m/>
    <m/>
    <m/>
    <s v="OPERATIONAL"/>
    <s v="The LGU was planning to construct a Transfer Station near the MRF"/>
    <s v="Fast Track Hauling of waste and secure fence within the facility"/>
    <m/>
    <d v="2025-02-13T00:00:00"/>
    <m/>
    <m/>
    <m/>
    <m/>
    <m/>
    <m/>
  </r>
  <r>
    <x v="3"/>
    <s v="San Jose City"/>
    <s v="Sto Tomas"/>
    <s v="MBA"/>
    <s v="2nd"/>
    <n v="15.76037"/>
    <n v="120.95538999999999"/>
    <s v="15.76037,120.95539"/>
    <s v="EMB FUNDED MRF"/>
    <n v="2"/>
    <s v="2018 &amp; 2021"/>
    <s v="475000 &amp;179,444.44"/>
    <x v="3"/>
    <s v="Hosannah R. Sabio"/>
    <s v="Zosimo P. Suyat"/>
    <m/>
    <m/>
    <m/>
    <m/>
    <m/>
    <m/>
    <s v=""/>
    <s v=""/>
    <s v=""/>
    <s v=""/>
    <m/>
    <m/>
    <m/>
    <m/>
    <m/>
    <m/>
    <m/>
    <s v="OPERATIONAL"/>
    <m/>
    <m/>
    <m/>
    <m/>
    <m/>
    <m/>
    <m/>
    <m/>
    <m/>
    <m/>
  </r>
  <r>
    <x v="3"/>
    <s v="Santa Rosa"/>
    <s v="Rahal Norte"/>
    <s v="MBA"/>
    <s v="2nd"/>
    <n v="15.4377"/>
    <n v="120.883"/>
    <s v="15.4377,120.883"/>
    <s v="EMB FUNDED MRF"/>
    <n v="1"/>
    <n v="2019"/>
    <n v="502714.29"/>
    <x v="4"/>
    <s v="Christian Jem L. Buluran"/>
    <s v="Zosimo P. Suyat"/>
    <m/>
    <m/>
    <m/>
    <m/>
    <m/>
    <m/>
    <s v=""/>
    <s v=""/>
    <s v=""/>
    <s v=""/>
    <m/>
    <m/>
    <m/>
    <m/>
    <m/>
    <m/>
    <m/>
    <s v="OPERATIONAL"/>
    <m/>
    <m/>
    <m/>
    <m/>
    <m/>
    <m/>
    <m/>
    <m/>
    <m/>
    <m/>
  </r>
  <r>
    <x v="4"/>
    <s v="Apalit"/>
    <s v="Sulipan"/>
    <s v="MBA"/>
    <s v="4th"/>
    <n v="14.928388999999999"/>
    <n v="120.763319"/>
    <s v="14.928389,120.763319"/>
    <s v="EMB FUNDED MRF"/>
    <n v="1"/>
    <n v="2019"/>
    <n v="530642.86"/>
    <x v="4"/>
    <s v="Glaiza S. Gaza"/>
    <s v="John Sherwin Loquellano"/>
    <m/>
    <m/>
    <m/>
    <m/>
    <m/>
    <m/>
    <s v=""/>
    <s v=""/>
    <s v=""/>
    <s v=""/>
    <m/>
    <m/>
    <m/>
    <m/>
    <m/>
    <m/>
    <m/>
    <s v="OPERATIONAL"/>
    <m/>
    <m/>
    <m/>
    <m/>
    <m/>
    <m/>
    <m/>
    <m/>
    <m/>
    <m/>
  </r>
  <r>
    <x v="4"/>
    <s v="Arayat"/>
    <s v="Tabuan (Sto. Nino Tabuan)"/>
    <s v="MBA"/>
    <s v="3rd"/>
    <n v="15.189531000000001"/>
    <n v="120.79133899999999"/>
    <s v="15.189531,120.791339"/>
    <s v="EMB FUNDED MRF"/>
    <n v="1"/>
    <n v="2019"/>
    <n v="502714.29"/>
    <x v="4"/>
    <s v="Roger T. Encarnacion II"/>
    <s v="Jun D. Guillermo"/>
    <m/>
    <m/>
    <m/>
    <m/>
    <m/>
    <m/>
    <s v=""/>
    <s v=""/>
    <s v=""/>
    <s v=""/>
    <m/>
    <m/>
    <m/>
    <m/>
    <m/>
    <m/>
    <m/>
    <s v="OPERATIONAL"/>
    <m/>
    <m/>
    <m/>
    <m/>
    <m/>
    <m/>
    <m/>
    <m/>
    <m/>
    <m/>
  </r>
  <r>
    <x v="4"/>
    <s v="City Of San Fernando"/>
    <s v="Del Rosario"/>
    <s v="MBA"/>
    <s v="3rd"/>
    <n v="15.067883330000001"/>
    <n v="120.64"/>
    <s v="15.06788333,120.64"/>
    <s v="EMB FUNDED MRF"/>
    <n v="1"/>
    <s v="2012 (2016)"/>
    <n v="500000"/>
    <x v="0"/>
    <s v="Elyza A. Evilla"/>
    <s v="John Sherwin Loquellano"/>
    <m/>
    <m/>
    <m/>
    <m/>
    <m/>
    <m/>
    <s v=""/>
    <s v=""/>
    <s v=""/>
    <s v=""/>
    <m/>
    <m/>
    <m/>
    <m/>
    <m/>
    <m/>
    <m/>
    <s v="OPERATIONAL"/>
    <m/>
    <m/>
    <m/>
    <m/>
    <m/>
    <m/>
    <m/>
    <m/>
    <m/>
    <m/>
  </r>
  <r>
    <x v="4"/>
    <s v="Floridablanca"/>
    <s v="Carmencita"/>
    <s v="MBA"/>
    <s v="2nd"/>
    <n v="14.95154"/>
    <n v="120.47152"/>
    <s v="14.95154,120.47152"/>
    <s v="EMB FUNDED MRF"/>
    <n v="2"/>
    <s v="2019 &amp; 2021"/>
    <s v="530642.86 &amp; 179444.44"/>
    <x v="1"/>
    <s v="Elyza A. Evilla"/>
    <s v="John Sherwin Loquellano"/>
    <m/>
    <m/>
    <m/>
    <m/>
    <m/>
    <m/>
    <s v=""/>
    <s v=""/>
    <s v=""/>
    <s v=""/>
    <m/>
    <m/>
    <m/>
    <m/>
    <m/>
    <m/>
    <m/>
    <s v="OPERATIONAL"/>
    <m/>
    <s v="Compliant"/>
    <m/>
    <m/>
    <m/>
    <m/>
    <m/>
    <m/>
    <m/>
    <m/>
  </r>
  <r>
    <x v="4"/>
    <s v="Guagua"/>
    <s v="San Rafael"/>
    <s v="MBA"/>
    <s v="2nd"/>
    <n v="14.95635"/>
    <n v="120.64061100000001"/>
    <s v="14.95635,120.640611"/>
    <s v="EMB FUNDED MRF"/>
    <n v="1"/>
    <n v="2014"/>
    <n v="250000"/>
    <x v="2"/>
    <s v="Vacant"/>
    <s v="Jun D. Guillermo"/>
    <m/>
    <m/>
    <m/>
    <m/>
    <m/>
    <m/>
    <s v=""/>
    <s v=""/>
    <s v=""/>
    <s v=""/>
    <m/>
    <m/>
    <m/>
    <m/>
    <m/>
    <m/>
    <m/>
    <s v="OPERATIONAL"/>
    <m/>
    <m/>
    <m/>
    <m/>
    <m/>
    <m/>
    <m/>
    <m/>
    <m/>
    <m/>
  </r>
  <r>
    <x v="4"/>
    <s v="Lubao"/>
    <s v="Sta. Catalima"/>
    <s v="MBA"/>
    <s v="2nd"/>
    <n v="14.902004"/>
    <n v="120.60343399999999"/>
    <s v="14.902004,120.603434"/>
    <s v="EMB FUNDED MRF"/>
    <n v="1"/>
    <n v="2019"/>
    <n v="502714.29"/>
    <x v="3"/>
    <s v="Vacant"/>
    <s v="Jun D. Guillermo"/>
    <m/>
    <m/>
    <m/>
    <m/>
    <m/>
    <m/>
    <s v=""/>
    <s v=""/>
    <s v=""/>
    <s v=""/>
    <m/>
    <m/>
    <m/>
    <m/>
    <m/>
    <m/>
    <m/>
    <s v="OPERATIONAL"/>
    <m/>
    <m/>
    <m/>
    <m/>
    <m/>
    <m/>
    <m/>
    <m/>
    <m/>
    <m/>
  </r>
  <r>
    <x v="4"/>
    <s v="Mabalacat City"/>
    <s v="Sapang Balen"/>
    <s v="MBA"/>
    <s v="1st"/>
    <n v="15.259975000000001"/>
    <n v="120.596369"/>
    <s v="15.259975,120.596369"/>
    <s v="EMB FUNDED MRF"/>
    <n v="1"/>
    <n v="2013"/>
    <n v="500000"/>
    <x v="6"/>
    <s v="Roger T. Encarnacion II"/>
    <s v="Jun D. Guillermo"/>
    <m/>
    <m/>
    <m/>
    <m/>
    <m/>
    <m/>
    <s v=""/>
    <s v=""/>
    <s v=""/>
    <s v=""/>
    <m/>
    <m/>
    <m/>
    <m/>
    <m/>
    <m/>
    <m/>
    <s v="OPERATIONAL"/>
    <m/>
    <s v="Compliant"/>
    <m/>
    <m/>
    <m/>
    <m/>
    <m/>
    <m/>
    <m/>
    <m/>
  </r>
  <r>
    <x v="4"/>
    <s v="Santa Ana"/>
    <s v="San Nicolas"/>
    <s v="MBA"/>
    <s v="3rd"/>
    <n v="15.100197"/>
    <n v="120.777006"/>
    <s v="15.100197,120.777006"/>
    <s v="EMB FUNDED MRF"/>
    <n v="1"/>
    <n v="2019"/>
    <n v="530642.86"/>
    <x v="4"/>
    <s v="Roger T. Encarnacion II"/>
    <s v="Jun D. Guillermo"/>
    <m/>
    <m/>
    <m/>
    <m/>
    <m/>
    <m/>
    <s v=""/>
    <s v=""/>
    <s v=""/>
    <s v=""/>
    <m/>
    <m/>
    <m/>
    <m/>
    <m/>
    <m/>
    <m/>
    <s v="OPERATIONAL"/>
    <m/>
    <m/>
    <m/>
    <m/>
    <m/>
    <m/>
    <m/>
    <m/>
    <m/>
    <m/>
  </r>
  <r>
    <x v="4"/>
    <s v="Sasmuan"/>
    <s v="Dalan Baba"/>
    <s v="MBA"/>
    <s v="4th"/>
    <n v="14.936719"/>
    <n v="120.617447"/>
    <s v="14.936719,120.617447"/>
    <s v="EMB FUNDED MRF"/>
    <n v="1"/>
    <n v="2019"/>
    <n v="502714.29"/>
    <x v="4"/>
    <s v="Vacant"/>
    <s v="Jun D. Guillermo"/>
    <m/>
    <m/>
    <m/>
    <m/>
    <m/>
    <m/>
    <s v=""/>
    <s v=""/>
    <s v=""/>
    <s v=""/>
    <m/>
    <m/>
    <m/>
    <m/>
    <m/>
    <m/>
    <m/>
    <s v="OPERATIONAL"/>
    <m/>
    <m/>
    <m/>
    <m/>
    <m/>
    <m/>
    <m/>
    <m/>
    <m/>
    <m/>
  </r>
  <r>
    <x v="4"/>
    <s v="Sto. Tomas"/>
    <s v="San Vicente"/>
    <s v="MBA"/>
    <s v="4th"/>
    <n v="15.003997"/>
    <n v="120.697078"/>
    <s v="15.003997,120.697078"/>
    <s v="EMB FUNDED MRF"/>
    <n v="1"/>
    <n v="2017"/>
    <n v="270000"/>
    <x v="5"/>
    <s v="Elyza A. Evilla"/>
    <s v="John Sherwin Loquellano"/>
    <m/>
    <m/>
    <m/>
    <m/>
    <m/>
    <m/>
    <s v=""/>
    <s v=""/>
    <s v=""/>
    <s v=""/>
    <m/>
    <m/>
    <m/>
    <m/>
    <m/>
    <m/>
    <m/>
    <s v="OPERATIONAL"/>
    <m/>
    <s v="FFM"/>
    <m/>
    <m/>
    <m/>
    <m/>
    <m/>
    <m/>
    <m/>
    <m/>
  </r>
  <r>
    <x v="5"/>
    <s v="Bamban"/>
    <s v="San Nicolas"/>
    <s v="MBA"/>
    <s v="3rd"/>
    <n v="15.272779999999999"/>
    <n v="120.56189999999999"/>
    <s v="15.27278,120.5619"/>
    <s v="EMB FUNDED MRF"/>
    <n v="1"/>
    <n v="2019"/>
    <n v="530642.86"/>
    <x v="1"/>
    <s v="Gretzhen M. Apolonio"/>
    <s v="Jan Emerson C. Gonzales"/>
    <m/>
    <m/>
    <m/>
    <m/>
    <m/>
    <m/>
    <s v=""/>
    <s v=""/>
    <s v=""/>
    <s v=""/>
    <m/>
    <m/>
    <m/>
    <m/>
    <m/>
    <m/>
    <m/>
    <s v="OPERATIONAL"/>
    <m/>
    <m/>
    <m/>
    <m/>
    <m/>
    <m/>
    <m/>
    <m/>
    <m/>
    <m/>
  </r>
  <r>
    <x v="5"/>
    <s v="Capas"/>
    <s v="Cutcut 1st"/>
    <s v="MBA"/>
    <s v="3rd"/>
    <n v="15.32042229"/>
    <n v="120.5892983"/>
    <s v="15.32042229,120.5892983"/>
    <s v="EMB FUNDED MRF"/>
    <n v="1"/>
    <n v="2019"/>
    <n v="502714.29"/>
    <x v="5"/>
    <s v="Gretzhen M. Apolonio"/>
    <s v="Jan Emerson C. Gonzales"/>
    <m/>
    <m/>
    <m/>
    <m/>
    <m/>
    <m/>
    <s v=""/>
    <s v=""/>
    <s v=""/>
    <s v=""/>
    <m/>
    <m/>
    <m/>
    <m/>
    <m/>
    <m/>
    <m/>
    <s v="OPERATIONAL"/>
    <m/>
    <m/>
    <m/>
    <m/>
    <m/>
    <m/>
    <m/>
    <m/>
    <m/>
    <m/>
  </r>
  <r>
    <x v="5"/>
    <s v="City Of Tarlac"/>
    <s v="Tibag"/>
    <s v="MBA"/>
    <s v="2nd"/>
    <n v="15.487158000000001"/>
    <n v="120.571386"/>
    <s v="15.487158,120.571386"/>
    <s v="EMB FUNDED MRF"/>
    <n v="1"/>
    <n v="2019"/>
    <n v="502714.29"/>
    <x v="5"/>
    <s v="Joshua A. Capones"/>
    <s v="Jan Emerson C. Gonzales"/>
    <m/>
    <m/>
    <m/>
    <m/>
    <m/>
    <m/>
    <s v=""/>
    <s v=""/>
    <s v=""/>
    <s v=""/>
    <m/>
    <m/>
    <m/>
    <m/>
    <m/>
    <m/>
    <m/>
    <s v="NON-OPERATIONAL"/>
    <s v="The MRF is not operational; according to staff, its operation is still undefined, but the LGU plans to resume its operation soon. In the meantime, waste is temporarily being collected and brought to an alternative disposal site, while the LGU finalizes operational guidelines for the facility"/>
    <m/>
    <m/>
    <m/>
    <m/>
    <m/>
    <m/>
    <m/>
    <m/>
    <m/>
  </r>
  <r>
    <x v="5"/>
    <s v="Concepcion"/>
    <m/>
    <s v="MBA"/>
    <s v="3rd"/>
    <n v="15.302671999999999"/>
    <n v="120.652235"/>
    <s v="15.302672,120.652235"/>
    <s v="EMB FUNDED MRF"/>
    <n v="1"/>
    <n v="2019"/>
    <n v="502714.29"/>
    <x v="3"/>
    <s v="Gretzhen M. Apolonio"/>
    <s v="Jan Emerson C. Gonzales"/>
    <m/>
    <m/>
    <m/>
    <m/>
    <m/>
    <m/>
    <s v=""/>
    <s v=""/>
    <s v=""/>
    <s v=""/>
    <m/>
    <m/>
    <m/>
    <m/>
    <m/>
    <m/>
    <m/>
    <m/>
    <s v="Returned Funds"/>
    <m/>
    <m/>
    <m/>
    <m/>
    <m/>
    <m/>
    <m/>
    <m/>
    <m/>
  </r>
  <r>
    <x v="5"/>
    <s v="La Paz"/>
    <s v="Sierra"/>
    <s v="MBA"/>
    <s v="3rd"/>
    <n v="15.42272"/>
    <n v="120.708189"/>
    <s v="15.42272,120.708189"/>
    <s v="EMB FUNDED MRF"/>
    <n v="1"/>
    <n v="2019"/>
    <n v="502714.29"/>
    <x v="6"/>
    <s v="Gretzhen M. Apolonio"/>
    <s v="Jan Emerson C. Gonzales"/>
    <m/>
    <m/>
    <m/>
    <m/>
    <m/>
    <m/>
    <s v=""/>
    <s v=""/>
    <s v=""/>
    <s v=""/>
    <m/>
    <m/>
    <m/>
    <m/>
    <m/>
    <m/>
    <m/>
    <s v="OPERATIONAL"/>
    <m/>
    <m/>
    <m/>
    <m/>
    <m/>
    <m/>
    <m/>
    <m/>
    <m/>
    <m/>
  </r>
  <r>
    <x v="5"/>
    <s v="San Jose"/>
    <s v="Lawacamulag"/>
    <s v="OUTSIDE MBA"/>
    <s v="2nd"/>
    <n v="15.500833999999999"/>
    <n v="120.467815"/>
    <s v="15.500834,120.467815"/>
    <s v="EMB FUNDED MRF"/>
    <n v="1"/>
    <n v="2016"/>
    <n v="270000"/>
    <x v="4"/>
    <s v="Gretzhen M. Apolonio"/>
    <s v="Jan Emerson C. Gonzales"/>
    <m/>
    <m/>
    <m/>
    <m/>
    <m/>
    <m/>
    <s v=""/>
    <s v=""/>
    <s v=""/>
    <s v=""/>
    <m/>
    <m/>
    <m/>
    <m/>
    <m/>
    <m/>
    <m/>
    <s v="NON-OPERATIONAL"/>
    <s v="MRF was converted as the parking lot for ambulance vehicles and patient’s service."/>
    <m/>
    <m/>
    <m/>
    <m/>
    <m/>
    <m/>
    <m/>
    <m/>
    <m/>
  </r>
  <r>
    <x v="5"/>
    <s v="Victoria"/>
    <s v="Bantog"/>
    <s v="MBA"/>
    <s v="2nd"/>
    <n v="15.619199999999999"/>
    <n v="120.6841"/>
    <s v="15.6192,120.6841"/>
    <s v="EMB FUNDED MRF"/>
    <n v="2"/>
    <s v="2019 &amp; 2021"/>
    <s v="502714.29 &amp; 179444.44"/>
    <x v="2"/>
    <s v="Joshua A. Capones"/>
    <s v="Jan Emerson C. Gonzales"/>
    <m/>
    <m/>
    <m/>
    <m/>
    <m/>
    <m/>
    <s v=""/>
    <s v=""/>
    <s v=""/>
    <s v=""/>
    <m/>
    <m/>
    <m/>
    <m/>
    <m/>
    <m/>
    <m/>
    <s v="OPERATIONAL"/>
    <m/>
    <m/>
    <m/>
    <m/>
    <m/>
    <m/>
    <m/>
    <m/>
    <m/>
    <m/>
  </r>
  <r>
    <x v="6"/>
    <s v="Botolan"/>
    <s v="Panan"/>
    <s v="OUTSIDE MBA"/>
    <s v="2nd"/>
    <n v="15.224679"/>
    <n v="120.02360899999999"/>
    <s v="15.224679,120.023609"/>
    <s v="EMB FUNDED MRF"/>
    <n v="1"/>
    <n v="2016"/>
    <n v="270000"/>
    <x v="1"/>
    <s v="Larizze Anne Santos"/>
    <s v="Jun D. Guillermo"/>
    <m/>
    <m/>
    <m/>
    <m/>
    <m/>
    <m/>
    <s v=""/>
    <s v=""/>
    <s v=""/>
    <s v=""/>
    <m/>
    <m/>
    <m/>
    <m/>
    <m/>
    <m/>
    <m/>
    <s v="NON-OPERATIONAL"/>
    <s v="Due to land ownership problem, the land owner closed the facility and the LGU has no access to the MRF."/>
    <m/>
    <m/>
    <m/>
    <m/>
    <m/>
    <m/>
    <m/>
    <m/>
    <m/>
  </r>
  <r>
    <x v="6"/>
    <s v="Castillejos"/>
    <s v="Nagbayan"/>
    <s v="OUTSIDE MBA"/>
    <s v="1st"/>
    <n v="14.925186"/>
    <n v="120.148443"/>
    <s v="14.925186,120.148443"/>
    <s v="EMB FUNDED MRF"/>
    <n v="1"/>
    <n v="2019"/>
    <n v="502714.29"/>
    <x v="3"/>
    <s v="Vacant"/>
    <s v="Jun D. Guillermo"/>
    <m/>
    <m/>
    <m/>
    <m/>
    <m/>
    <m/>
    <s v=""/>
    <s v=""/>
    <s v=""/>
    <s v=""/>
    <m/>
    <m/>
    <m/>
    <m/>
    <m/>
    <m/>
    <m/>
    <s v="NON-OPERATIONAL"/>
    <s v="No power supply and currenty used as storage of equipment."/>
    <s v="FFM"/>
    <m/>
    <s v="yES"/>
    <m/>
    <m/>
    <m/>
    <m/>
    <m/>
    <m/>
  </r>
  <r>
    <x v="6"/>
    <s v="Masinloc"/>
    <s v="Bani"/>
    <s v="OUTSIDE MBA"/>
    <s v="2nd"/>
    <n v="15.582189"/>
    <n v="119.934836"/>
    <s v="15.582189,119.934836"/>
    <s v="EMB FUNDED BRGY MRF"/>
    <n v="1"/>
    <n v="2018"/>
    <n v="427500"/>
    <x v="2"/>
    <s v="Ryan Ace R. Angel"/>
    <s v="Jun D. Guillermo"/>
    <m/>
    <m/>
    <m/>
    <m/>
    <m/>
    <m/>
    <s v=""/>
    <s v=""/>
    <s v=""/>
    <s v=""/>
    <m/>
    <m/>
    <m/>
    <m/>
    <m/>
    <m/>
    <m/>
    <s v="OPERATIONAL"/>
    <m/>
    <s v="Non-Compliant"/>
    <m/>
    <m/>
    <m/>
    <m/>
    <m/>
    <m/>
    <m/>
    <m/>
  </r>
  <r>
    <x v="6"/>
    <s v="Masinloc"/>
    <s v="North Poblacion"/>
    <s v="OUTSIDE MBA"/>
    <s v="2nd"/>
    <n v="15.548492"/>
    <n v="119.946567"/>
    <s v="15.548492,119.946567"/>
    <s v="EMB FUNDED BRGY MRF"/>
    <n v="1"/>
    <n v="2018"/>
    <n v="427500"/>
    <x v="0"/>
    <s v="Ryan Ace R. Angel"/>
    <s v="Jun D. Guillermo"/>
    <m/>
    <m/>
    <m/>
    <m/>
    <m/>
    <m/>
    <s v=""/>
    <s v=""/>
    <s v=""/>
    <s v=""/>
    <m/>
    <m/>
    <m/>
    <m/>
    <m/>
    <m/>
    <m/>
    <s v="NON-OPERATIONAL"/>
    <s v="Due to land ownership problem, the land owner closed the facility and the Barangayhas no access to the MRF."/>
    <m/>
    <m/>
    <m/>
    <m/>
    <m/>
    <m/>
    <m/>
    <m/>
    <m/>
  </r>
  <r>
    <x v="6"/>
    <s v="Masinloc"/>
    <s v="San Lorenzo"/>
    <s v="OUTSIDE MBA"/>
    <s v="2nd"/>
    <n v="15.5817066"/>
    <n v="119.94762160000001"/>
    <s v="15.5817066,119.9476216"/>
    <s v="EMB FUNDED BRGY MRF"/>
    <n v="1"/>
    <n v="2018"/>
    <n v="427500"/>
    <x v="4"/>
    <s v="Ryan Ace R. Angel"/>
    <s v="Jun D. Guillermo"/>
    <m/>
    <m/>
    <m/>
    <m/>
    <m/>
    <m/>
    <s v=""/>
    <s v=""/>
    <s v=""/>
    <s v=""/>
    <m/>
    <m/>
    <m/>
    <m/>
    <m/>
    <m/>
    <m/>
    <s v="NON-OPERATIONAL"/>
    <s v="_x0009_The EMB Funded MRF is not operational and currently used as storage room for Equipment in the Barangay."/>
    <m/>
    <m/>
    <s v="NO"/>
    <m/>
    <m/>
    <m/>
    <m/>
    <m/>
    <m/>
  </r>
  <r>
    <x v="6"/>
    <s v="Masinloc"/>
    <s v="South Poblacion"/>
    <s v="OUTSIDE MBA"/>
    <s v="2nd"/>
    <n v="15.539332999999999"/>
    <n v="119.947636"/>
    <s v="15.539333,119.947636"/>
    <s v="EMB FUNDED BRGY MRF"/>
    <n v="1"/>
    <n v="2018"/>
    <n v="427500"/>
    <x v="0"/>
    <s v="Ryan Ace R. Angel"/>
    <s v="Jun D. Guillermo"/>
    <m/>
    <m/>
    <m/>
    <m/>
    <m/>
    <m/>
    <s v=""/>
    <s v=""/>
    <s v=""/>
    <s v=""/>
    <m/>
    <m/>
    <m/>
    <m/>
    <m/>
    <m/>
    <m/>
    <s v="NON-OPERATIONAL"/>
    <s v="Due to land ownership problem, the land owner closed the facility and the Barangayhas no access to the MRF."/>
    <m/>
    <m/>
    <m/>
    <m/>
    <m/>
    <s v=" "/>
    <m/>
    <m/>
    <m/>
  </r>
  <r>
    <x v="6"/>
    <s v="Masinloc"/>
    <s v="Sta. Rita"/>
    <s v="OUTSIDE MBA"/>
    <s v="2nd"/>
    <n v="15.536987999999999"/>
    <n v="119.947481"/>
    <s v="15.536988,119.947481"/>
    <s v="EMB FUNDED BRGY MRF"/>
    <n v="1"/>
    <n v="2018"/>
    <n v="427500"/>
    <x v="4"/>
    <s v="Ryan Ace R. Angel"/>
    <s v="Jun D. Guillermo"/>
    <m/>
    <m/>
    <m/>
    <m/>
    <m/>
    <m/>
    <s v=""/>
    <s v=""/>
    <s v=""/>
    <s v=""/>
    <m/>
    <m/>
    <m/>
    <m/>
    <m/>
    <m/>
    <m/>
    <s v="NON-OPERATIONAL"/>
    <s v="•_x0009_The barangay MRF is currently used as temporary site for livelihood development projects of the municipality"/>
    <s v="Non-Compliant"/>
    <m/>
    <s v="NO"/>
    <m/>
    <m/>
    <m/>
    <m/>
    <m/>
    <m/>
  </r>
  <r>
    <x v="6"/>
    <s v="Masinloc"/>
    <s v="Taltal"/>
    <s v="OUTSIDE MBA"/>
    <s v="2nd"/>
    <n v="15.5774153"/>
    <n v="119.9287502"/>
    <s v="15.5774153,119.9287502"/>
    <s v="EMB FUNDED BRGY MRF"/>
    <n v="1"/>
    <n v="2018"/>
    <n v="427500"/>
    <x v="4"/>
    <s v="Ryan Ace R. Angel"/>
    <s v="Jun D. Guillermo"/>
    <m/>
    <m/>
    <m/>
    <m/>
    <m/>
    <m/>
    <s v=""/>
    <s v=""/>
    <s v=""/>
    <s v=""/>
    <m/>
    <m/>
    <m/>
    <m/>
    <m/>
    <m/>
    <m/>
    <s v="NON-OPERATIONAL"/>
    <s v="The MRF is currently used as storage room for Equipment in the Barangay."/>
    <m/>
    <m/>
    <m/>
    <m/>
    <m/>
    <m/>
    <m/>
    <m/>
    <m/>
  </r>
  <r>
    <x v="6"/>
    <s v="Masinloc"/>
    <s v="Tapuac"/>
    <s v="OUTSIDE MBA"/>
    <s v="2nd"/>
    <n v="15.539705"/>
    <n v="119.961949"/>
    <s v="15.539705,119.961949"/>
    <s v="EMB FUNDED BRGY MRF"/>
    <n v="1"/>
    <n v="2018"/>
    <n v="427500"/>
    <x v="1"/>
    <s v="Ryan Ace R. Angel"/>
    <s v="Jun D. Guillermo"/>
    <m/>
    <m/>
    <m/>
    <m/>
    <m/>
    <m/>
    <s v=""/>
    <s v=""/>
    <s v=""/>
    <s v=""/>
    <m/>
    <m/>
    <m/>
    <m/>
    <m/>
    <m/>
    <m/>
    <s v="NON-OPERATIONAL"/>
    <s v="•_x0009_The barangay MRF is currently used as temporary site for livelihood development projects of the municipality"/>
    <m/>
    <m/>
    <m/>
    <m/>
    <m/>
    <m/>
    <m/>
    <m/>
    <m/>
  </r>
  <r>
    <x v="6"/>
    <s v="Palauig"/>
    <s v="Salaza"/>
    <s v="OUTSIDE MBA"/>
    <s v="2nd"/>
    <n v="15.444043000000001"/>
    <n v="120.016738"/>
    <s v="15.444043,120.016738"/>
    <s v="EMB FUNDED MRF"/>
    <n v="1"/>
    <n v="2019"/>
    <n v="502714.29"/>
    <x v="2"/>
    <s v="Ryan Ace R. Angel"/>
    <s v="Jun D. Guillermo"/>
    <m/>
    <m/>
    <m/>
    <m/>
    <m/>
    <m/>
    <s v=""/>
    <s v=""/>
    <s v=""/>
    <s v=""/>
    <m/>
    <m/>
    <m/>
    <m/>
    <m/>
    <m/>
    <m/>
    <s v="NON-OPERATIONAL"/>
    <m/>
    <s v="Non-Compliant"/>
    <m/>
    <s v="With advise letter (August 27, 2025)"/>
    <m/>
    <m/>
    <m/>
    <m/>
    <m/>
    <m/>
  </r>
  <r>
    <x v="6"/>
    <s v="San Felipe"/>
    <s v="Apostol"/>
    <s v="OUTSIDE MBA"/>
    <s v="2nd"/>
    <n v="15.042164"/>
    <n v="120.0729913"/>
    <s v="15.042164,120.0729913"/>
    <s v="EMB FUNDED MRF"/>
    <n v="1"/>
    <n v="2016"/>
    <n v="270000"/>
    <x v="4"/>
    <s v="Larizze Anne Santos"/>
    <s v="Jun D. Guillermo"/>
    <m/>
    <m/>
    <m/>
    <m/>
    <m/>
    <m/>
    <s v=""/>
    <s v=""/>
    <s v=""/>
    <s v=""/>
    <m/>
    <m/>
    <m/>
    <m/>
    <m/>
    <m/>
    <m/>
    <s v="NON-OPERATIONAL"/>
    <s v="No Power Supply and newly constructed"/>
    <s v="Non-Compliant"/>
    <s v="•_x0009_To conduct a technical conference inviting all concerns to discuss the issue and elicit a formal commitment from the LGU of San Felipe Zambales to improve their MRF and to implement the proper guidelines on Material Recovery Facility (MRF) as stated in Section 32 Establishment of LGU Materials Recovery Facility, and Section 1 (a) and (b) “Operations of a Materials Recovery Facility” under Rule XI “Materials Recovery Facilities and Composting” of IRR (DAO 2001-34) of RA 9003"/>
    <s v="yES"/>
    <m/>
    <m/>
    <m/>
    <m/>
    <m/>
    <m/>
  </r>
  <r>
    <x v="6"/>
    <s v="San Narciso"/>
    <s v="San Pascual"/>
    <s v="OUTSIDE MBA"/>
    <s v="2nd"/>
    <n v="15.016275"/>
    <n v="120.087317"/>
    <s v="15.016275,120.087317"/>
    <s v="EMB FUNDED MRF"/>
    <n v="2"/>
    <s v="2019 &amp; 2021"/>
    <s v="682158.73 / 179444.44"/>
    <x v="6"/>
    <s v="Larizze Anne Santos"/>
    <s v="Jun D. Guillermo"/>
    <m/>
    <m/>
    <m/>
    <m/>
    <m/>
    <m/>
    <s v=""/>
    <s v=""/>
    <s v=""/>
    <s v=""/>
    <m/>
    <m/>
    <m/>
    <m/>
    <m/>
    <m/>
    <m/>
    <s v="OPERATIONAL"/>
    <m/>
    <s v="Non-Compliant"/>
    <s v="No Records"/>
    <s v="NO"/>
    <m/>
    <m/>
    <m/>
    <m/>
    <m/>
    <m/>
  </r>
  <r>
    <x v="6"/>
    <s v="Santa Cruz"/>
    <s v="Sabang"/>
    <s v="OUTSIDE MBA"/>
    <s v="2nd"/>
    <n v="15.733717"/>
    <n v="119.889397"/>
    <s v="15.733717,119.889397"/>
    <s v="EMB FUNDED MRF"/>
    <n v="1"/>
    <n v="2019"/>
    <n v="502714.29"/>
    <x v="4"/>
    <s v="Ryan Ace R. Angel"/>
    <s v="Jun D. Guillermo"/>
    <m/>
    <m/>
    <m/>
    <m/>
    <m/>
    <m/>
    <s v=""/>
    <s v=""/>
    <s v=""/>
    <s v=""/>
    <m/>
    <m/>
    <m/>
    <m/>
    <m/>
    <m/>
    <m/>
    <m/>
    <s v="Returned Funds"/>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s v="Dingalan"/>
    <s v="Caragsacan"/>
    <s v="OUTSIDE MBA"/>
    <s v="lone"/>
    <s v="LGU"/>
    <n v="121.38001939999999"/>
    <n v="15.382611109999999"/>
    <s v="15.38261111,121.3800194"/>
    <n v="2019"/>
    <n v="1"/>
    <s v="4.0 mtons/day"/>
    <n v="1"/>
    <s v="ECC-OL-R03-2019-0433"/>
    <m/>
    <m/>
    <m/>
    <x v="0"/>
    <s v="Nikko Jay M. Valenzuela"/>
    <s v="Diozelle L. Cabalar"/>
    <m/>
    <m/>
    <m/>
    <m/>
    <m/>
    <m/>
    <s v=""/>
    <s v=""/>
    <s v=""/>
    <s v=""/>
    <m/>
    <m/>
    <m/>
    <m/>
    <m/>
    <m/>
    <m/>
    <m/>
    <m/>
    <m/>
    <m/>
    <m/>
    <m/>
    <m/>
    <m/>
    <m/>
    <m/>
    <m/>
  </r>
  <r>
    <x v="0"/>
    <s v="Dipaculao"/>
    <s v="Toytoyan"/>
    <s v="OUTSIDE MBA"/>
    <s v="lone"/>
    <s v="LGU"/>
    <n v="121.52559720000001"/>
    <n v="15.876836109999999"/>
    <s v="15.87683611,121.5255972"/>
    <n v="2009"/>
    <n v="1"/>
    <s v="15 tons / day"/>
    <n v="1"/>
    <s v="R03-0904-094-9999"/>
    <m/>
    <m/>
    <m/>
    <x v="1"/>
    <s v="Zaila Mae R. Leander"/>
    <s v="Diozelle L. Cabalar"/>
    <m/>
    <m/>
    <m/>
    <m/>
    <m/>
    <m/>
    <s v=""/>
    <s v=""/>
    <s v=""/>
    <s v=""/>
    <m/>
    <m/>
    <m/>
    <m/>
    <m/>
    <m/>
    <m/>
    <m/>
    <m/>
    <m/>
    <m/>
    <m/>
    <m/>
    <m/>
    <m/>
    <m/>
    <m/>
    <m/>
  </r>
  <r>
    <x v="0"/>
    <s v="Maria Aurora"/>
    <s v="Bannawag"/>
    <s v="OUTSIDE MBA"/>
    <s v="lone"/>
    <s v="LGU"/>
    <n v="121.47954"/>
    <n v="15.814234000000001"/>
    <s v="15.814234, 121.479540"/>
    <n v="2024"/>
    <n v="1"/>
    <s v="15 tons / day"/>
    <n v="1"/>
    <s v="ECC-OL-RO3-2020-0520"/>
    <m/>
    <m/>
    <m/>
    <x v="2"/>
    <s v="Nikko Jay M. Valenzuela"/>
    <s v="Diozelle L. Cabalar"/>
    <m/>
    <m/>
    <m/>
    <m/>
    <m/>
    <m/>
    <s v=""/>
    <s v=""/>
    <s v=""/>
    <s v=""/>
    <m/>
    <m/>
    <m/>
    <m/>
    <m/>
    <m/>
    <m/>
    <m/>
    <m/>
    <m/>
    <m/>
    <m/>
    <m/>
    <m/>
    <m/>
    <m/>
    <m/>
    <m/>
  </r>
  <r>
    <x v="1"/>
    <s v="Abucay"/>
    <s v="Capitangan"/>
    <s v="MBA"/>
    <s v="1st"/>
    <s v="Provice of Bataan/BEST"/>
    <n v="120.48693900000001"/>
    <n v="14.700714"/>
    <s v="14.700714,120.486939"/>
    <n v="2024"/>
    <n v="4"/>
    <s v="748,422 tons "/>
    <n v="4"/>
    <s v="R03-10272021-5152"/>
    <m/>
    <m/>
    <m/>
    <x v="3"/>
    <s v="Dennis Tolentino"/>
    <s v="Christle D. David"/>
    <m/>
    <m/>
    <m/>
    <m/>
    <m/>
    <m/>
    <s v=""/>
    <s v=""/>
    <s v=""/>
    <s v=""/>
    <m/>
    <m/>
    <m/>
    <m/>
    <m/>
    <m/>
    <m/>
    <m/>
    <m/>
    <m/>
    <m/>
    <m/>
    <m/>
    <m/>
    <m/>
    <m/>
    <m/>
    <m/>
  </r>
  <r>
    <x v="1"/>
    <s v="Abucay"/>
    <s v="Capitangan"/>
    <s v="MBA"/>
    <s v="1st"/>
    <s v="LGU"/>
    <n v="120.487578"/>
    <n v="14.704069"/>
    <s v="14.704069,120.487578"/>
    <n v="2017"/>
    <n v="1"/>
    <s v="15 tons / day"/>
    <n v="1"/>
    <s v="R03-0908-353-9999"/>
    <m/>
    <m/>
    <m/>
    <x v="0"/>
    <s v="Christle D. David"/>
    <s v="Christle D. David"/>
    <m/>
    <m/>
    <m/>
    <m/>
    <m/>
    <m/>
    <s v=""/>
    <s v=""/>
    <s v=""/>
    <s v=""/>
    <m/>
    <m/>
    <m/>
    <m/>
    <m/>
    <m/>
    <m/>
    <m/>
    <m/>
    <m/>
    <m/>
    <m/>
    <m/>
    <m/>
    <m/>
    <m/>
    <m/>
    <m/>
  </r>
  <r>
    <x v="1"/>
    <s v="Limay"/>
    <s v="St. Francis I"/>
    <s v="MBA"/>
    <s v="2nd"/>
    <s v="LGU"/>
    <n v="120.55138890000001"/>
    <n v="14.56944444"/>
    <s v="14.56944444,120.5513889"/>
    <n v="2021"/>
    <n v="2"/>
    <s v="75 tons/day"/>
    <n v="1"/>
    <s v="R03-07092021-5106"/>
    <m/>
    <m/>
    <m/>
    <x v="1"/>
    <s v="Dennis Tolentino"/>
    <s v="Christle D. David"/>
    <m/>
    <m/>
    <m/>
    <m/>
    <m/>
    <m/>
    <s v=""/>
    <s v=""/>
    <s v=""/>
    <s v=""/>
    <m/>
    <m/>
    <m/>
    <m/>
    <m/>
    <m/>
    <m/>
    <m/>
    <m/>
    <m/>
    <m/>
    <m/>
    <m/>
    <m/>
    <m/>
    <m/>
    <m/>
    <m/>
  </r>
  <r>
    <x v="2"/>
    <s v="General Tinio"/>
    <s v="San Pedro"/>
    <s v="MBA"/>
    <s v="3rd"/>
    <s v="LGU"/>
    <n v="121.0623556"/>
    <n v="15.389950000000001"/>
    <s v="15.38995,121.0623556"/>
    <n v="2018"/>
    <n v="1"/>
    <s v="1.7 tons / day"/>
    <n v="1"/>
    <s v="ECC-OL-R03-2019-0068"/>
    <m/>
    <m/>
    <m/>
    <x v="0"/>
    <s v="Christian Jem C. Buluran"/>
    <s v="Zosimo P. Suyat"/>
    <m/>
    <m/>
    <m/>
    <m/>
    <m/>
    <m/>
    <s v=""/>
    <s v=""/>
    <s v=""/>
    <s v=""/>
    <m/>
    <m/>
    <m/>
    <m/>
    <m/>
    <m/>
    <m/>
    <m/>
    <m/>
    <m/>
    <m/>
    <m/>
    <m/>
    <m/>
    <m/>
    <m/>
    <m/>
    <m/>
  </r>
  <r>
    <x v="2"/>
    <s v="Guimba"/>
    <s v="Lennec"/>
    <s v="MBA"/>
    <s v="1st"/>
    <s v="LGU"/>
    <n v="120.7461167"/>
    <n v="15.71451111"/>
    <s v="15.71451111,120.7461167"/>
    <n v="2013"/>
    <n v="1"/>
    <s v="5 tons/day"/>
    <n v="1"/>
    <s v="R03-1304-0208"/>
    <m/>
    <m/>
    <m/>
    <x v="0"/>
    <s v="Aser A. Inocencio, Jr."/>
    <s v="Zosimo P. Suyat"/>
    <m/>
    <m/>
    <m/>
    <m/>
    <m/>
    <m/>
    <s v=""/>
    <s v=""/>
    <s v=""/>
    <s v=""/>
    <m/>
    <m/>
    <m/>
    <m/>
    <m/>
    <m/>
    <m/>
    <m/>
    <m/>
    <m/>
    <m/>
    <m/>
    <m/>
    <m/>
    <m/>
    <m/>
    <m/>
    <m/>
  </r>
  <r>
    <x v="2"/>
    <s v="Santa Rosa"/>
    <s v="Brgy. Soledad"/>
    <s v="MBA"/>
    <s v="2nd"/>
    <s v="LGU"/>
    <n v="120.9720361"/>
    <n v="15.397636110000001"/>
    <s v="15.39763611,120.9720361"/>
    <n v="2019"/>
    <n v="1"/>
    <s v="14.5 mtons / day"/>
    <n v="1"/>
    <s v="ECC-OL-R03-2019-0434"/>
    <m/>
    <m/>
    <m/>
    <x v="4"/>
    <s v="Jan Emerson C. Gonzales"/>
    <s v="Zosimo P. Suyat"/>
    <m/>
    <m/>
    <m/>
    <m/>
    <m/>
    <m/>
    <s v=""/>
    <s v=""/>
    <s v=""/>
    <s v=""/>
    <m/>
    <m/>
    <m/>
    <m/>
    <m/>
    <m/>
    <m/>
    <m/>
    <m/>
    <m/>
    <m/>
    <m/>
    <m/>
    <m/>
    <m/>
    <m/>
    <m/>
    <m/>
  </r>
  <r>
    <x v="3"/>
    <s v="Floridablanca"/>
    <s v="Pabanlag"/>
    <s v="MBA"/>
    <s v="2nd"/>
    <s v="PRIVATE ( Florida Enviro Corp.)"/>
    <n v="120.4544667"/>
    <n v="14.9876"/>
    <s v="14.9876,120.4544667"/>
    <n v="2023"/>
    <n v="4"/>
    <s v="1000 tons / day"/>
    <n v="9"/>
    <s v="R03-11192018-4700"/>
    <m/>
    <m/>
    <m/>
    <x v="0"/>
    <s v="Vacant"/>
    <s v="Jun D. Guillermo"/>
    <m/>
    <m/>
    <m/>
    <m/>
    <m/>
    <m/>
    <s v=""/>
    <s v=""/>
    <s v=""/>
    <s v=""/>
    <m/>
    <m/>
    <m/>
    <m/>
    <m/>
    <m/>
    <m/>
    <m/>
    <m/>
    <m/>
    <m/>
    <m/>
    <m/>
    <m/>
    <m/>
    <m/>
    <m/>
    <m/>
  </r>
  <r>
    <x v="3"/>
    <s v="Porac"/>
    <s v="San Jose Mitla"/>
    <s v="MBA"/>
    <s v="2nd"/>
    <s v="PRIVATE ( Eco Protect Waste Management Corp.)"/>
    <n v="120.5736417"/>
    <n v="15.08266111"/>
    <s v="15.08266111,120.5736417"/>
    <n v="2022"/>
    <n v="4"/>
    <s v="2500 tons / day"/>
    <n v="4"/>
    <s v="R03-07092018-4509"/>
    <m/>
    <m/>
    <m/>
    <x v="5"/>
    <s v="Elyza A. Evilla"/>
    <s v="John Sherwin Y. Loquellano"/>
    <m/>
    <m/>
    <m/>
    <m/>
    <m/>
    <m/>
    <s v=""/>
    <s v=""/>
    <s v=""/>
    <s v=""/>
    <m/>
    <m/>
    <m/>
    <m/>
    <m/>
    <m/>
    <m/>
    <m/>
    <m/>
    <m/>
    <m/>
    <m/>
    <m/>
    <m/>
    <m/>
    <m/>
    <m/>
    <m/>
  </r>
  <r>
    <x v="3"/>
    <s v="Porac"/>
    <s v="Planas"/>
    <s v="MBA"/>
    <s v="2nd"/>
    <s v="PRIVATE (PRIME WASTE SOLUTION)"/>
    <n v="120.48104600000001"/>
    <n v="15.048202"/>
    <s v="15.048202, 120.481046"/>
    <n v="2024"/>
    <n v="4"/>
    <s v="3,000 tons/.day"/>
    <s v="N/A"/>
    <s v="R03-2408-0012"/>
    <m/>
    <m/>
    <m/>
    <x v="2"/>
    <s v="Elyza A. Evilla"/>
    <s v="John Sherwin Y. Loquellano"/>
    <m/>
    <m/>
    <m/>
    <m/>
    <m/>
    <m/>
    <s v=""/>
    <s v=""/>
    <s v=""/>
    <s v=""/>
    <m/>
    <m/>
    <m/>
    <m/>
    <m/>
    <m/>
    <m/>
    <m/>
    <m/>
    <m/>
    <m/>
    <m/>
    <m/>
    <m/>
    <m/>
    <m/>
    <m/>
    <m/>
  </r>
  <r>
    <x v="4"/>
    <s v="Candelaria"/>
    <s v="Pinagrealan"/>
    <s v="OUTSIDE MBA"/>
    <s v="2nd"/>
    <s v="LGU"/>
    <n v="119.975247"/>
    <n v="15.599997"/>
    <s v="15.599997,119.975247"/>
    <n v="2017"/>
    <n v="1"/>
    <s v="10 tons / day"/>
    <n v="1"/>
    <s v="R03-02222017-4035"/>
    <m/>
    <m/>
    <m/>
    <x v="5"/>
    <s v="Ryan Ace R. Angel"/>
    <s v="Jun D. Guillermo"/>
    <m/>
    <m/>
    <m/>
    <m/>
    <m/>
    <m/>
    <s v=""/>
    <s v=""/>
    <s v=""/>
    <s v=""/>
    <m/>
    <m/>
    <m/>
    <m/>
    <m/>
    <m/>
    <m/>
    <m/>
    <m/>
    <m/>
    <m/>
    <m/>
    <m/>
    <m/>
    <m/>
    <m/>
    <m/>
    <m/>
  </r>
  <r>
    <x v="4"/>
    <s v="City Of Olongapo"/>
    <s v="New Cabalan"/>
    <s v="OUTSIDE MBA"/>
    <s v="1st"/>
    <s v="LGU"/>
    <n v="120.3343139"/>
    <n v="14.845700000000001"/>
    <s v="14.8457,120.3343139"/>
    <n v="2011"/>
    <n v="4"/>
    <s v="150 mtons / day"/>
    <n v="1"/>
    <s v="R03-1006-0308"/>
    <m/>
    <m/>
    <m/>
    <x v="3"/>
    <s v="Larizze Ann Santos"/>
    <s v="Jun D. Guillermo"/>
    <m/>
    <m/>
    <m/>
    <m/>
    <m/>
    <m/>
    <s v=""/>
    <s v=""/>
    <s v=""/>
    <s v=""/>
    <m/>
    <m/>
    <m/>
    <m/>
    <m/>
    <m/>
    <m/>
    <m/>
    <m/>
    <m/>
    <m/>
    <m/>
    <m/>
    <m/>
    <m/>
    <m/>
    <m/>
    <m/>
  </r>
  <r>
    <x v="4"/>
    <s v="Iba"/>
    <s v="Amungan"/>
    <s v="OUTSIDE MBA"/>
    <s v="2nd"/>
    <s v="LGU"/>
    <n v="120.02509999999999"/>
    <n v="15.396100000000001"/>
    <s v="15.3961,120.0251"/>
    <n v="2021"/>
    <n v="1"/>
    <s v="15 mtons / day"/>
    <n v="1"/>
    <s v="03ZA 0710 31 570-120A"/>
    <m/>
    <m/>
    <m/>
    <x v="1"/>
    <s v="Larizze Ann Santos"/>
    <s v="Jun D. Guillermo"/>
    <m/>
    <m/>
    <m/>
    <m/>
    <m/>
    <m/>
    <s v=""/>
    <s v=""/>
    <s v=""/>
    <s v=""/>
    <m/>
    <m/>
    <m/>
    <m/>
    <m/>
    <m/>
    <m/>
    <m/>
    <m/>
    <m/>
    <m/>
    <m/>
    <m/>
    <m/>
    <m/>
    <m/>
    <m/>
    <m/>
  </r>
  <r>
    <x v="4"/>
    <s v="Masinloc"/>
    <s v="Baloganon"/>
    <s v="OUTSIDE MBA"/>
    <s v="2nd"/>
    <s v="LGU"/>
    <n v="119.98900829999999"/>
    <n v="15.58263889"/>
    <s v="15.58263889,119.9890083"/>
    <n v="2018"/>
    <n v="1"/>
    <s v="14.5 mtons / day"/>
    <n v="1"/>
    <s v="R03-2018-0141"/>
    <m/>
    <m/>
    <m/>
    <x v="0"/>
    <s v="Ryan Ace R. Angel"/>
    <s v="Jun D. Guillermo"/>
    <m/>
    <m/>
    <m/>
    <m/>
    <m/>
    <m/>
    <s v=""/>
    <s v=""/>
    <s v=""/>
    <s v=""/>
    <m/>
    <m/>
    <m/>
    <m/>
    <m/>
    <m/>
    <m/>
    <m/>
    <m/>
    <m/>
    <m/>
    <m/>
    <m/>
    <m/>
    <m/>
    <m/>
    <m/>
    <m/>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5">
  <r>
    <x v="0"/>
    <s v="Baler (Capital)"/>
    <s v="Barangay I (Pob.)"/>
    <s v="OUTSIDE MBA"/>
    <m/>
    <m/>
    <n v="2024"/>
    <s v="March 1, 2024"/>
    <m/>
    <x v="0"/>
    <m/>
    <s v="MRF"/>
    <s v="OPERATIONAL"/>
    <s v="Technical Assistance"/>
  </r>
  <r>
    <x v="0"/>
    <s v="Baler (Capital)"/>
    <s v="Barangay II (Pob.)"/>
    <s v="OUTSIDE MBA"/>
    <m/>
    <m/>
    <n v="2024"/>
    <s v="May 8, 2024"/>
    <m/>
    <x v="0"/>
    <m/>
    <s v="MRS"/>
    <s v="OPERATIONAL"/>
    <s v="Technical Assistance"/>
  </r>
  <r>
    <x v="0"/>
    <s v="Baler (Capital)"/>
    <s v="Barangay III (Pob.)"/>
    <s v="OUTSIDE MBA"/>
    <m/>
    <m/>
    <n v="2024"/>
    <d v="2024-04-10T00:00:00"/>
    <m/>
    <x v="0"/>
    <m/>
    <m/>
    <m/>
    <s v="Technical Assistance"/>
  </r>
  <r>
    <x v="0"/>
    <s v="Baler (Capital)"/>
    <s v="Barangay IV (Pob.)"/>
    <s v="OUTSIDE MBA"/>
    <m/>
    <m/>
    <n v="2024"/>
    <d v="2024-04-23T00:00:00"/>
    <m/>
    <x v="0"/>
    <m/>
    <m/>
    <m/>
    <s v="Technical Assistance"/>
  </r>
  <r>
    <x v="0"/>
    <s v="Baler (Capital)"/>
    <s v="Barangay V (Pob.)"/>
    <s v="OUTSIDE MBA"/>
    <m/>
    <m/>
    <n v="2024"/>
    <s v="July 9, 2024"/>
    <m/>
    <x v="0"/>
    <m/>
    <s v="MRF"/>
    <s v="OPERATIONAL"/>
    <s v="Technical Assistance"/>
  </r>
  <r>
    <x v="0"/>
    <s v="Baler (Capital)"/>
    <s v="Buhangin"/>
    <s v="OUTSIDE MBA"/>
    <m/>
    <m/>
    <n v="2024"/>
    <s v="July 5, 2024"/>
    <m/>
    <x v="0"/>
    <m/>
    <s v="MRF"/>
    <s v="OPERATIONAL"/>
    <s v="Technical Assistance"/>
  </r>
  <r>
    <x v="0"/>
    <s v="Baler (Capital)"/>
    <s v="Calabuanan"/>
    <s v="OUTSIDE MBA"/>
    <m/>
    <m/>
    <n v="2024"/>
    <s v="May 8, 2024"/>
    <m/>
    <x v="0"/>
    <m/>
    <m/>
    <m/>
    <s v="Technical Assistance"/>
  </r>
  <r>
    <x v="0"/>
    <s v="Baler (Capital)"/>
    <s v="Obligacion"/>
    <s v="OUTSIDE MBA"/>
    <m/>
    <m/>
    <n v="2024"/>
    <s v="July 5, 2024"/>
    <m/>
    <x v="0"/>
    <m/>
    <s v="MRF"/>
    <s v="OPERATIONAL"/>
    <s v="Technical Assistance"/>
  </r>
  <r>
    <x v="0"/>
    <s v="Baler (Capital)"/>
    <s v="Pingit"/>
    <s v="OUTSIDE MBA"/>
    <m/>
    <m/>
    <n v="2024"/>
    <s v="July 15, 2024"/>
    <s v="R3-2024-025283_x000a_R3-2025-003933"/>
    <x v="0"/>
    <m/>
    <s v="MRF"/>
    <s v="OPERATIONAL"/>
    <s v="Technical Assistance"/>
  </r>
  <r>
    <x v="0"/>
    <s v="Baler (Capital)"/>
    <s v="Reserva"/>
    <s v="OUTSIDE MBA"/>
    <m/>
    <m/>
    <n v="2024"/>
    <s v="February 6, 2024"/>
    <m/>
    <x v="0"/>
    <m/>
    <m/>
    <m/>
    <s v="Technical Assistance"/>
  </r>
  <r>
    <x v="0"/>
    <s v="Baler (Capital)"/>
    <s v="Sabang"/>
    <s v="OUTSIDE MBA"/>
    <m/>
    <m/>
    <n v="2024"/>
    <d v="2024-05-08T00:00:00"/>
    <m/>
    <x v="0"/>
    <m/>
    <m/>
    <m/>
    <s v="Technical Assistance"/>
  </r>
  <r>
    <x v="0"/>
    <s v="Baler (Capital)"/>
    <s v="Suclayin"/>
    <s v="OUTSIDE MBA"/>
    <m/>
    <m/>
    <n v="2025"/>
    <d v="2025-01-16T00:00:00"/>
    <s v="R3-2025-001401 "/>
    <x v="0"/>
    <m/>
    <s v="MRF"/>
    <s v="OPERATIONAL"/>
    <s v="Technical Assistance"/>
  </r>
  <r>
    <x v="0"/>
    <s v="Baler (Capital)"/>
    <s v="Zabali"/>
    <s v="OUTSIDE MBA"/>
    <m/>
    <m/>
    <n v="2024"/>
    <s v="July 9, 2024"/>
    <m/>
    <x v="0"/>
    <m/>
    <s v="MRF"/>
    <s v="OPERATIONAL"/>
    <s v="Technical Assistance"/>
  </r>
  <r>
    <x v="0"/>
    <s v="Casiguran"/>
    <s v="Barangay 1 (Pob.)"/>
    <s v="OUTSIDE MBA"/>
    <m/>
    <m/>
    <n v="2024"/>
    <s v="February 7, 2024"/>
    <m/>
    <x v="0"/>
    <m/>
    <s v="MRF"/>
    <s v="OPERATIONAL"/>
    <s v="Technical Assistance"/>
  </r>
  <r>
    <x v="0"/>
    <s v="Casiguran"/>
    <s v="Barangay 2 (Pob.)"/>
    <s v="OUTSIDE MBA"/>
    <m/>
    <m/>
    <n v="2024"/>
    <s v="February 7, 2024"/>
    <m/>
    <x v="0"/>
    <m/>
    <s v="MRF"/>
    <s v="OPERATIONAL"/>
    <s v="Technical Assistance"/>
  </r>
  <r>
    <x v="0"/>
    <s v="Casiguran"/>
    <s v="Barangay 3 (Pob.)"/>
    <s v="OUTSIDE MBA"/>
    <m/>
    <m/>
    <n v="2024"/>
    <s v="February 16, 2024"/>
    <m/>
    <x v="0"/>
    <m/>
    <s v="MRF"/>
    <s v="OPERATIONAL"/>
    <s v="Technical Assistance"/>
  </r>
  <r>
    <x v="0"/>
    <s v="Casiguran"/>
    <s v="Barangay 4 (Pob.)"/>
    <s v="OUTSIDE MBA"/>
    <m/>
    <m/>
    <n v="2024"/>
    <s v="February 16, 2024"/>
    <m/>
    <x v="0"/>
    <m/>
    <s v="MRF"/>
    <s v="OPERATIONAL"/>
    <s v="Technical Assistance"/>
  </r>
  <r>
    <x v="0"/>
    <s v="Casiguran"/>
    <s v="Barangay 5 (Pob.)"/>
    <s v="OUTSIDE MBA"/>
    <m/>
    <m/>
    <n v="2024"/>
    <d v="2024-05-02T00:00:00"/>
    <m/>
    <x v="0"/>
    <m/>
    <s v="MRF"/>
    <s v="OPERATIONAL"/>
    <s v="Technical Assistance"/>
  </r>
  <r>
    <x v="0"/>
    <s v="Casiguran"/>
    <s v="Barangay 6 (Pob.)"/>
    <s v="OUTSIDE MBA"/>
    <m/>
    <m/>
    <n v="2024"/>
    <d v="2024-05-02T00:00:00"/>
    <m/>
    <x v="0"/>
    <m/>
    <s v="MRF"/>
    <s v="OPERATIONAL"/>
    <s v="Technical Assistance"/>
  </r>
  <r>
    <x v="0"/>
    <s v="Casiguran"/>
    <s v="Barangay 7 (Pob.)"/>
    <s v="OUTSIDE MBA"/>
    <m/>
    <m/>
    <n v="2024"/>
    <d v="2024-05-03T00:00:00"/>
    <m/>
    <x v="0"/>
    <m/>
    <s v="MRF"/>
    <s v="OPERATIONAL"/>
    <s v="Technical Assistance"/>
  </r>
  <r>
    <x v="0"/>
    <s v="Casiguran"/>
    <s v="Barangay 8 (Pob.)"/>
    <s v="OUTSIDE MBA"/>
    <m/>
    <m/>
    <n v="2024"/>
    <d v="2024-05-03T00:00:00"/>
    <m/>
    <x v="0"/>
    <m/>
    <s v="MRF"/>
    <s v="OPERATIONAL"/>
    <s v="Technical Assistance"/>
  </r>
  <r>
    <x v="0"/>
    <s v="Casiguran"/>
    <s v="Bianoan"/>
    <s v="OUTSIDE MBA"/>
    <m/>
    <m/>
    <n v="2024"/>
    <d v="2024-09-10T00:00:00"/>
    <m/>
    <x v="0"/>
    <m/>
    <s v="MRF"/>
    <s v="OPERATIONAL"/>
    <s v="Technical Assistance"/>
  </r>
  <r>
    <x v="0"/>
    <s v="Casiguran"/>
    <s v="Calabgan"/>
    <s v="OUTSIDE MBA"/>
    <m/>
    <m/>
    <n v="2024"/>
    <s v="March 12, 2024"/>
    <m/>
    <x v="0"/>
    <m/>
    <s v="MRF"/>
    <s v="OPERATIONAL"/>
    <s v="Technical Assistance"/>
  </r>
  <r>
    <x v="0"/>
    <s v="Casiguran"/>
    <s v="Calangcuasan"/>
    <s v="OUTSIDE MBA"/>
    <m/>
    <m/>
    <n v="2024"/>
    <d v="2024-06-05T00:00:00"/>
    <m/>
    <x v="0"/>
    <m/>
    <s v="MRF"/>
    <s v="OPERATIONAL"/>
    <s v="Technical Assistance"/>
  </r>
  <r>
    <x v="0"/>
    <s v="Casiguran"/>
    <s v="Calantas"/>
    <s v="OUTSIDE MBA"/>
    <m/>
    <m/>
    <n v="2024"/>
    <d v="2024-04-16T00:00:00"/>
    <m/>
    <x v="0"/>
    <m/>
    <s v="MRF"/>
    <s v="OPERATIONAL"/>
    <s v="Technical Assistance"/>
  </r>
  <r>
    <x v="0"/>
    <s v="Casiguran"/>
    <s v="Cozo"/>
    <s v="OUTSIDE MBA"/>
    <m/>
    <m/>
    <n v="2024"/>
    <d v="2024-11-15T00:00:00"/>
    <m/>
    <x v="0"/>
    <m/>
    <s v="MRF"/>
    <s v="OPERATIONAL"/>
    <s v="Technical Assistance"/>
  </r>
  <r>
    <x v="0"/>
    <s v="Casiguran"/>
    <s v="Culat"/>
    <s v="OUTSIDE MBA"/>
    <m/>
    <m/>
    <n v="2024"/>
    <d v="2024-06-11T00:00:00"/>
    <m/>
    <x v="0"/>
    <m/>
    <s v="MRF"/>
    <s v="OPERATIONAL"/>
    <s v="Technical Assistance"/>
  </r>
  <r>
    <x v="0"/>
    <s v="Casiguran"/>
    <s v="Dibacong"/>
    <s v="OUTSIDE MBA"/>
    <m/>
    <m/>
    <n v="2024"/>
    <d v="2024-09-10T00:00:00"/>
    <m/>
    <x v="0"/>
    <m/>
    <s v="MRF"/>
    <s v="OPERATIONAL"/>
    <s v="Technical Assistance"/>
  </r>
  <r>
    <x v="0"/>
    <s v="Casiguran"/>
    <s v="Dibet"/>
    <s v="OUTSIDE MBA"/>
    <m/>
    <m/>
    <n v="2024"/>
    <d v="2024-10-09T00:00:00"/>
    <m/>
    <x v="0"/>
    <m/>
    <s v="MRF"/>
    <s v="OPERATIONAL"/>
    <s v="Technical Assistance"/>
  </r>
  <r>
    <x v="0"/>
    <s v="Casiguran"/>
    <s v="Ditinagyan"/>
    <s v="OUTSIDE MBA"/>
    <m/>
    <m/>
    <n v="2024"/>
    <d v="2024-10-09T00:00:00"/>
    <m/>
    <x v="0"/>
    <m/>
    <s v="MRF"/>
    <s v="OPERATIONAL"/>
    <s v="Technical Assistance"/>
  </r>
  <r>
    <x v="0"/>
    <s v="Casiguran"/>
    <s v="Esperanza"/>
    <s v="OUTSIDE MBA"/>
    <m/>
    <m/>
    <n v="2024"/>
    <d v="2024-11-08T00:00:00"/>
    <m/>
    <x v="0"/>
    <m/>
    <s v="MRF"/>
    <s v="OPERATIONAL"/>
    <s v="Technical Assistance"/>
  </r>
  <r>
    <x v="0"/>
    <s v="Casiguran"/>
    <s v="Esteves"/>
    <s v="OUTSIDE MBA"/>
    <m/>
    <m/>
    <n v="2024"/>
    <s v="March 1, 2024"/>
    <m/>
    <x v="0"/>
    <m/>
    <s v="MRF"/>
    <s v="OPERATIONAL"/>
    <s v="Technical Assistance"/>
  </r>
  <r>
    <x v="0"/>
    <s v="Casiguran"/>
    <s v="Lual"/>
    <s v="OUTSIDE MBA"/>
    <m/>
    <m/>
    <s v="2024/_x000a_2025"/>
    <s v="16-Apr-24_x000a_12-Feb-25"/>
    <s v="R3-2024-014192/_x000a_R3-2025-005130"/>
    <x v="0"/>
    <m/>
    <s v="MRF"/>
    <s v="OPERATIONAL"/>
    <s v="Technical Assistance"/>
  </r>
  <r>
    <x v="0"/>
    <s v="Casiguran"/>
    <s v="Marikit"/>
    <s v="OUTSIDE MBA"/>
    <m/>
    <m/>
    <n v="2024"/>
    <d v="2024-10-16T00:00:00"/>
    <m/>
    <x v="0"/>
    <m/>
    <s v="MRF"/>
    <s v="OPERATIONAL"/>
    <s v="Technical Assistance"/>
  </r>
  <r>
    <x v="0"/>
    <s v="Casiguran"/>
    <s v="San Ildefonso"/>
    <s v="OUTSIDE MBA"/>
    <m/>
    <m/>
    <n v="2024"/>
    <d v="2024-11-15T00:00:00"/>
    <m/>
    <x v="0"/>
    <m/>
    <s v="MRF"/>
    <s v="OPERATIONAL"/>
    <s v="Technical Assistance"/>
  </r>
  <r>
    <x v="0"/>
    <s v="Casiguran"/>
    <s v="Tabas"/>
    <s v="OUTSIDE MBA"/>
    <m/>
    <m/>
    <n v="2024"/>
    <d v="2024-11-08T00:00:00"/>
    <m/>
    <x v="0"/>
    <m/>
    <s v="MRF"/>
    <s v="OPERATIONAL"/>
    <s v="Technical Assistance"/>
  </r>
  <r>
    <x v="0"/>
    <s v="Casiguran"/>
    <s v="Tinib"/>
    <s v="OUTSIDE MBA"/>
    <m/>
    <m/>
    <n v="2024"/>
    <d v="2024-10-16T00:00:00"/>
    <m/>
    <x v="0"/>
    <m/>
    <s v="MRF"/>
    <s v="OPERATIONAL"/>
    <s v="Technical Assistance"/>
  </r>
  <r>
    <x v="0"/>
    <s v="Dilasag"/>
    <s v="Diagyan"/>
    <s v="OUTSIDE MBA"/>
    <m/>
    <m/>
    <n v="2025"/>
    <d v="2025-02-05T00:00:00"/>
    <s v="R3-2025-003955"/>
    <x v="0"/>
    <m/>
    <s v="MRS"/>
    <s v="OPERATIONAL"/>
    <s v="Technical Assistance"/>
  </r>
  <r>
    <x v="0"/>
    <s v="Dilasag"/>
    <s v="Dicabasan"/>
    <s v="OUTSIDE MBA"/>
    <m/>
    <m/>
    <n v="2024"/>
    <d v="2024-11-06T00:00:00"/>
    <m/>
    <x v="0"/>
    <m/>
    <s v="MRF"/>
    <s v="OPERATIONAL"/>
    <s v="Technical Assistance"/>
  </r>
  <r>
    <x v="0"/>
    <s v="Dilasag"/>
    <s v="Dilaguidi"/>
    <s v="OUTSIDE MBA"/>
    <m/>
    <m/>
    <n v="2024"/>
    <d v="2024-11-06T00:00:00"/>
    <m/>
    <x v="0"/>
    <m/>
    <s v="MRF"/>
    <s v="OPERATIONAL"/>
    <s v="Technical Assistance"/>
  </r>
  <r>
    <x v="0"/>
    <s v="Dilasag"/>
    <s v="Dimaseset"/>
    <s v="OUTSIDE MBA"/>
    <m/>
    <m/>
    <n v="2024"/>
    <d v="2024-09-17T00:00:00"/>
    <m/>
    <x v="0"/>
    <m/>
    <s v="MRF"/>
    <s v="OPERATIONAL"/>
    <s v="Technical Assistance"/>
  </r>
  <r>
    <x v="0"/>
    <s v="Dilasag"/>
    <s v="Diniog"/>
    <s v="OUTSIDE MBA"/>
    <m/>
    <m/>
    <n v="2024"/>
    <d v="2024-11-05T00:00:00"/>
    <m/>
    <x v="0"/>
    <m/>
    <s v="MRF"/>
    <s v="OPERATIONAL"/>
    <s v="Technical Assistance"/>
  </r>
  <r>
    <x v="0"/>
    <s v="Dilasag"/>
    <s v="Esperanza"/>
    <s v="OUTSIDE MBA"/>
    <m/>
    <m/>
    <n v="2024"/>
    <d v="2024-11-14T00:00:00"/>
    <m/>
    <x v="0"/>
    <m/>
    <s v="MRF"/>
    <s v="OPERATIONAL"/>
    <s v="Technical Assistance"/>
  </r>
  <r>
    <x v="0"/>
    <s v="Dilasag"/>
    <s v="Lawang"/>
    <s v="OUTSIDE MBA"/>
    <m/>
    <m/>
    <n v="2025"/>
    <d v="2025-03-04T00:00:00"/>
    <s v="R3-2025-007479"/>
    <x v="0"/>
    <m/>
    <s v="MRS"/>
    <s v="OPERATIONAL"/>
    <s v="Technical Assistance"/>
  </r>
  <r>
    <x v="0"/>
    <s v="Dilasag"/>
    <s v="Maligaya (Pob.)"/>
    <s v="OUTSIDE MBA"/>
    <m/>
    <m/>
    <n v="2024"/>
    <d v="2024-10-15T00:00:00"/>
    <m/>
    <x v="0"/>
    <m/>
    <s v="MRF"/>
    <s v="OPERATIONAL"/>
    <s v="Technical Assistance"/>
  </r>
  <r>
    <x v="0"/>
    <s v="Dilasag"/>
    <s v="Manggitahan"/>
    <s v="OUTSIDE MBA"/>
    <m/>
    <m/>
    <n v="2024"/>
    <d v="2024-09-17T00:00:00"/>
    <m/>
    <x v="0"/>
    <m/>
    <s v="MRF"/>
    <s v="OPERATIONAL"/>
    <s v="Technical Assistance"/>
  </r>
  <r>
    <x v="0"/>
    <s v="Dilasag"/>
    <s v="Masagana (Pob.)"/>
    <s v="OUTSIDE MBA"/>
    <m/>
    <m/>
    <n v="2024"/>
    <d v="2024-10-15T00:00:00"/>
    <m/>
    <x v="0"/>
    <m/>
    <s v="MRF"/>
    <s v="OPERATIONAL"/>
    <s v="Technical Assistance"/>
  </r>
  <r>
    <x v="0"/>
    <s v="Dilasag"/>
    <s v="Ura"/>
    <s v="OUTSIDE MBA"/>
    <m/>
    <m/>
    <n v="2025"/>
    <d v="2025-04-08T00:00:00"/>
    <s v="R3-2025-011897"/>
    <x v="0"/>
    <m/>
    <s v="MRS"/>
    <s v="OPERATIONAL"/>
    <s v="Technical Assistance"/>
  </r>
  <r>
    <x v="0"/>
    <s v="Dinalungan"/>
    <s v="Abuleg"/>
    <s v="OUTSIDE MBA"/>
    <m/>
    <m/>
    <n v="2024"/>
    <d v="2024-09-11T00:00:00"/>
    <m/>
    <x v="0"/>
    <m/>
    <s v="MRF"/>
    <s v="OPERATIONAL"/>
    <s v="Technical Assistance"/>
  </r>
  <r>
    <x v="0"/>
    <s v="Dinalungan"/>
    <s v="Dibaraybay"/>
    <s v="OUTSIDE MBA"/>
    <m/>
    <m/>
    <n v="2024"/>
    <d v="2024-04-11T00:00:00"/>
    <m/>
    <x v="0"/>
    <m/>
    <m/>
    <m/>
    <s v="Technical Assistance"/>
  </r>
  <r>
    <x v="0"/>
    <s v="Dinalungan"/>
    <s v="Ditawini"/>
    <s v="OUTSIDE MBA"/>
    <m/>
    <m/>
    <n v="2024"/>
    <d v="2024-09-11T00:00:00"/>
    <m/>
    <x v="0"/>
    <m/>
    <s v="MRF"/>
    <s v="OPERATIONAL"/>
    <s v="Technical Assistance"/>
  </r>
  <r>
    <x v="0"/>
    <s v="Dinalungan"/>
    <s v="Mapalad"/>
    <s v="OUTSIDE MBA"/>
    <m/>
    <m/>
    <n v="2024"/>
    <d v="2024-06-06T00:00:00"/>
    <m/>
    <x v="0"/>
    <m/>
    <m/>
    <m/>
    <s v="Technical Assistance"/>
  </r>
  <r>
    <x v="0"/>
    <s v="Dinalungan"/>
    <s v="Nipoo"/>
    <s v="OUTSIDE MBA"/>
    <m/>
    <m/>
    <s v="2024/_x000a_2025"/>
    <s v="10-Oct-24_x000a_14-Feb-25"/>
    <s v="R3-2024-036436/_x000a_R3-2025-005426"/>
    <x v="0"/>
    <m/>
    <s v="MRS"/>
    <s v="OPERATIONAL"/>
    <s v="Technical Assistance"/>
  </r>
  <r>
    <x v="0"/>
    <s v="Dinalungan"/>
    <s v="Paleg"/>
    <s v="OUTSIDE MBA"/>
    <m/>
    <m/>
    <s v="2024/_x000a_2025"/>
    <s v="12-Apr-24_x000a_7-Feb-25"/>
    <s v="R3-2024-013901/_x000a_R3-2025-004333"/>
    <x v="0"/>
    <m/>
    <s v="MRF"/>
    <s v="OPERATIONAL"/>
    <s v="Technical Assistance"/>
  </r>
  <r>
    <x v="0"/>
    <s v="Dinalungan"/>
    <s v="Simbahan"/>
    <s v="OUTSIDE MBA"/>
    <m/>
    <m/>
    <n v="2024"/>
    <d v="2024-06-07T00:00:00"/>
    <m/>
    <x v="0"/>
    <m/>
    <m/>
    <m/>
    <s v="Technical Assistance"/>
  </r>
  <r>
    <x v="0"/>
    <s v="Dinalungan"/>
    <s v="Zone I (Pob.)"/>
    <s v="OUTSIDE MBA"/>
    <m/>
    <m/>
    <n v="2024"/>
    <s v="March 6, 2024"/>
    <m/>
    <x v="0"/>
    <m/>
    <m/>
    <m/>
    <s v="Technical Assistance"/>
  </r>
  <r>
    <x v="0"/>
    <s v="Dinalungan"/>
    <s v="Zone II (Pob.)"/>
    <s v="OUTSIDE MBA"/>
    <m/>
    <m/>
    <n v="2024"/>
    <s v="March 6, 2024"/>
    <m/>
    <x v="0"/>
    <m/>
    <m/>
    <m/>
    <s v="Technical Assistance"/>
  </r>
  <r>
    <x v="0"/>
    <s v="Dingalan"/>
    <s v="Aplaya"/>
    <s v="OUTSIDE MBA"/>
    <m/>
    <m/>
    <n v="2024"/>
    <d v="2024-11-15T00:00:00"/>
    <m/>
    <x v="0"/>
    <m/>
    <s v="MRF"/>
    <s v="OPERATIONAL"/>
    <s v="Technical Assistance"/>
  </r>
  <r>
    <x v="0"/>
    <s v="Dingalan"/>
    <s v="Butas Na Bato"/>
    <s v="OUTSIDE MBA"/>
    <m/>
    <m/>
    <n v="2024"/>
    <d v="2024-11-15T00:00:00"/>
    <m/>
    <x v="0"/>
    <m/>
    <s v="MRF"/>
    <s v="OPERATIONAL"/>
    <s v="Technical Assistance"/>
  </r>
  <r>
    <x v="0"/>
    <s v="Dingalan"/>
    <s v="Cabog"/>
    <s v="OUTSIDE MBA"/>
    <m/>
    <m/>
    <n v="2024"/>
    <d v="2024-11-14T00:00:00"/>
    <m/>
    <x v="0"/>
    <m/>
    <s v="MRF"/>
    <s v="OPERATIONAL"/>
    <s v="Technical Assistance"/>
  </r>
  <r>
    <x v="0"/>
    <s v="Dingalan"/>
    <s v="Caragsacan"/>
    <s v="OUTSIDE MBA"/>
    <m/>
    <m/>
    <s v="2024/_x000a_2025"/>
    <s v="10-Sep-24_x000a_5-Feb-25"/>
    <s v="R3-2024-032364/_x000a_R3-2025-004583"/>
    <x v="0"/>
    <m/>
    <s v="MRF"/>
    <s v="OPERATIONAL"/>
    <s v="Technical Assistance"/>
  </r>
  <r>
    <x v="0"/>
    <s v="Dingalan"/>
    <s v="Davildavilan"/>
    <s v="OUTSIDE MBA"/>
    <m/>
    <m/>
    <n v="2024"/>
    <s v="March 14, 2024"/>
    <m/>
    <x v="0"/>
    <m/>
    <m/>
    <m/>
    <s v="Technical Assistance"/>
  </r>
  <r>
    <x v="0"/>
    <s v="Dingalan"/>
    <s v="Dikapanikian"/>
    <s v="OUTSIDE MBA"/>
    <m/>
    <m/>
    <n v="2025"/>
    <d v="2025-10-14T00:00:00"/>
    <s v="R3-2025-034983"/>
    <x v="0"/>
    <m/>
    <s v="MRS"/>
    <s v="OPERATIONAL"/>
    <s v="Technical Assistance"/>
  </r>
  <r>
    <x v="0"/>
    <s v="Dingalan"/>
    <s v="Ibona"/>
    <s v="OUTSIDE MBA"/>
    <m/>
    <m/>
    <n v="2024"/>
    <d v="2024-05-09T00:00:00"/>
    <m/>
    <x v="0"/>
    <m/>
    <m/>
    <m/>
    <s v="Technical Assistance"/>
  </r>
  <r>
    <x v="0"/>
    <s v="Dingalan"/>
    <s v="Paltic"/>
    <s v="OUTSIDE MBA"/>
    <m/>
    <m/>
    <n v="2024"/>
    <d v="2024-11-14T00:00:00"/>
    <m/>
    <x v="0"/>
    <m/>
    <s v="MRF"/>
    <s v="OPERATIONAL"/>
    <s v="Technical Assistance"/>
  </r>
  <r>
    <x v="0"/>
    <s v="Dingalan"/>
    <s v="Poblacion"/>
    <s v="OUTSIDE MBA"/>
    <m/>
    <m/>
    <n v="2024"/>
    <s v="March 1, 2024"/>
    <m/>
    <x v="0"/>
    <m/>
    <m/>
    <m/>
    <s v="Technical Assistance"/>
  </r>
  <r>
    <x v="0"/>
    <s v="Dingalan"/>
    <s v="Tanawan"/>
    <s v="OUTSIDE MBA"/>
    <m/>
    <m/>
    <s v="2024/_x000a_2025"/>
    <s v="10-May-24_x000a_14-Feb-25"/>
    <s v="R3-2024-017205/_x000a_R3-2025-005747"/>
    <x v="0"/>
    <m/>
    <s v="MRF"/>
    <s v="OPERATIONAL"/>
    <s v="Technical Assistance"/>
  </r>
  <r>
    <x v="0"/>
    <s v="Dingalan"/>
    <s v="Umiray"/>
    <s v="OUTSIDE MBA"/>
    <m/>
    <m/>
    <n v="2024"/>
    <d v="2024-11-14T00:00:00"/>
    <m/>
    <x v="0"/>
    <m/>
    <s v="MRF"/>
    <s v="OPERATIONAL"/>
    <s v="Technical Assistance"/>
  </r>
  <r>
    <x v="0"/>
    <s v="Dipaculao"/>
    <s v="Bayabas"/>
    <s v="OUTSIDE MBA"/>
    <m/>
    <m/>
    <n v="2024"/>
    <d v="2024-10-03T00:00:00"/>
    <m/>
    <x v="0"/>
    <m/>
    <s v="MRF"/>
    <s v="OPERATIONAL"/>
    <s v="Technical Assistance"/>
  </r>
  <r>
    <x v="0"/>
    <s v="Dipaculao"/>
    <s v="Borlongan"/>
    <s v="OUTSIDE MBA"/>
    <m/>
    <m/>
    <n v="2024"/>
    <d v="2024-11-13T00:00:00"/>
    <m/>
    <x v="0"/>
    <m/>
    <s v="MRF"/>
    <s v="OPERATIONAL"/>
    <s v="Technical Assistance"/>
  </r>
  <r>
    <x v="0"/>
    <s v="Dipaculao"/>
    <s v="Buenavista"/>
    <s v="OUTSIDE MBA"/>
    <m/>
    <m/>
    <n v="2024"/>
    <d v="2024-06-06T00:00:00"/>
    <m/>
    <x v="0"/>
    <m/>
    <m/>
    <m/>
    <s v="Technical Assistance"/>
  </r>
  <r>
    <x v="0"/>
    <s v="Dipaculao"/>
    <s v="Calaocan"/>
    <s v="OUTSIDE MBA"/>
    <m/>
    <m/>
    <n v="2024"/>
    <d v="2024-11-12T00:00:00"/>
    <m/>
    <x v="0"/>
    <m/>
    <s v="MRF"/>
    <s v="OPERATIONAL"/>
    <s v="Technical Assistance"/>
  </r>
  <r>
    <x v="0"/>
    <s v="Dipaculao"/>
    <s v="Dianed"/>
    <s v="OUTSIDE MBA"/>
    <m/>
    <m/>
    <n v="2024"/>
    <d v="2024-11-12T00:00:00"/>
    <m/>
    <x v="0"/>
    <m/>
    <s v="MRF"/>
    <s v="OPERATIONAL"/>
    <s v="Technical Assistance"/>
  </r>
  <r>
    <x v="0"/>
    <s v="Dipaculao"/>
    <s v="Diarabasin"/>
    <s v="OUTSIDE MBA"/>
    <m/>
    <m/>
    <n v="2024"/>
    <d v="2024-11-13T00:00:00"/>
    <m/>
    <x v="0"/>
    <m/>
    <s v="MRF"/>
    <s v="OPERATIONAL"/>
    <s v="Technical Assistance"/>
  </r>
  <r>
    <x v="0"/>
    <s v="Dipaculao"/>
    <s v="Dibutunan"/>
    <s v="OUTSIDE MBA"/>
    <m/>
    <m/>
    <n v="2024"/>
    <d v="2024-08-15T00:00:00"/>
    <m/>
    <x v="0"/>
    <m/>
    <s v="MRF"/>
    <s v="OPERATIONAL"/>
    <s v="Technical Assistance"/>
  </r>
  <r>
    <x v="0"/>
    <s v="Dipaculao"/>
    <s v="Dimabuno"/>
    <s v="OUTSIDE MBA"/>
    <m/>
    <m/>
    <n v="2024"/>
    <d v="2024-08-16T00:00:00"/>
    <m/>
    <x v="0"/>
    <m/>
    <s v="MRF"/>
    <s v="OPERATIONAL"/>
    <s v="Technical Assistance"/>
  </r>
  <r>
    <x v="0"/>
    <s v="Dipaculao"/>
    <s v="Dinadiawan"/>
    <s v="OUTSIDE MBA"/>
    <m/>
    <m/>
    <n v="2024"/>
    <d v="2024-08-16T00:00:00"/>
    <m/>
    <x v="0"/>
    <m/>
    <s v="MRF"/>
    <s v="OPERATIONAL"/>
    <s v="Technical Assistance"/>
  </r>
  <r>
    <x v="0"/>
    <s v="Dipaculao"/>
    <s v="Ditale"/>
    <s v="OUTSIDE MBA"/>
    <m/>
    <m/>
    <n v="2024"/>
    <d v="2024-08-15T00:00:00"/>
    <m/>
    <x v="0"/>
    <m/>
    <s v="MRS"/>
    <s v="OPERATIONAL"/>
    <s v="Technical Assistance"/>
  </r>
  <r>
    <x v="0"/>
    <s v="Dipaculao"/>
    <s v="Gupa"/>
    <s v="OUTSIDE MBA"/>
    <m/>
    <m/>
    <n v="2024"/>
    <d v="2024-08-08T00:00:00"/>
    <m/>
    <x v="0"/>
    <m/>
    <s v="MRF"/>
    <s v="OPERATIONAL"/>
    <s v="Technical Assistance"/>
  </r>
  <r>
    <x v="0"/>
    <s v="Dipaculao"/>
    <s v="Ipil"/>
    <s v="OUTSIDE MBA"/>
    <m/>
    <m/>
    <n v="2024"/>
    <s v="March 15, 2024"/>
    <m/>
    <x v="0"/>
    <m/>
    <m/>
    <m/>
    <s v="Technical Assistance"/>
  </r>
  <r>
    <x v="0"/>
    <s v="Dipaculao"/>
    <s v="Laboy"/>
    <s v="OUTSIDE MBA"/>
    <m/>
    <m/>
    <n v="2024"/>
    <d v="2024-10-03T00:00:00"/>
    <m/>
    <x v="0"/>
    <m/>
    <s v="MRF"/>
    <s v="OPERATIONAL"/>
    <s v="Technical Assistance"/>
  </r>
  <r>
    <x v="0"/>
    <s v="Dipaculao"/>
    <s v="Lipit"/>
    <s v="OUTSIDE MBA"/>
    <m/>
    <m/>
    <n v="2024"/>
    <d v="2024-09-17T00:00:00"/>
    <m/>
    <x v="0"/>
    <m/>
    <s v="MRF"/>
    <s v="OPERATIONAL"/>
    <s v="Technical Assistance"/>
  </r>
  <r>
    <x v="0"/>
    <s v="Dipaculao"/>
    <s v="Lobbot"/>
    <s v="OUTSIDE MBA"/>
    <m/>
    <m/>
    <n v="2024"/>
    <d v="2024-10-10T00:00:00"/>
    <m/>
    <x v="0"/>
    <m/>
    <s v="MRF"/>
    <s v="OPERATIONAL"/>
    <s v="Technical Assistance"/>
  </r>
  <r>
    <x v="0"/>
    <s v="Dipaculao"/>
    <s v="Maligaya"/>
    <s v="OUTSIDE MBA"/>
    <m/>
    <m/>
    <n v="2024"/>
    <d v="2024-09-17T00:00:00"/>
    <m/>
    <x v="0"/>
    <m/>
    <s v="MRF"/>
    <s v="OPERATIONAL"/>
    <s v="Technical Assistance"/>
  </r>
  <r>
    <x v="0"/>
    <s v="Dipaculao"/>
    <s v="Mijares"/>
    <s v="OUTSIDE MBA"/>
    <m/>
    <m/>
    <n v="2024"/>
    <d v="2024-08-12T00:00:00"/>
    <m/>
    <x v="0"/>
    <m/>
    <s v="MRF"/>
    <s v="OPERATIONAL"/>
    <s v="Technical Assistance"/>
  </r>
  <r>
    <x v="0"/>
    <s v="Dipaculao"/>
    <s v="Mucdol"/>
    <s v="OUTSIDE MBA"/>
    <m/>
    <m/>
    <n v="2024"/>
    <d v="2024-09-11T00:00:00"/>
    <m/>
    <x v="0"/>
    <m/>
    <s v="MRF"/>
    <s v="OPERATIONAL"/>
    <s v="Technical Assistance"/>
  </r>
  <r>
    <x v="0"/>
    <s v="Dipaculao"/>
    <s v="North Poblacion"/>
    <s v="OUTSIDE MBA"/>
    <m/>
    <m/>
    <s v="2024/_x000a_2025"/>
    <s v="11-Sep-24_x000a_5-Feb-25"/>
    <s v="R3-2024-032678/_x000a_R3-2025-004215"/>
    <x v="0"/>
    <m/>
    <s v="NO FACILITY"/>
    <s v="Disposal to SLF"/>
    <s v="Technical Assistance"/>
  </r>
  <r>
    <x v="0"/>
    <s v="Dipaculao"/>
    <s v="Puangi"/>
    <s v="OUTSIDE MBA"/>
    <m/>
    <m/>
    <n v="2024"/>
    <d v="2024-06-07T00:00:00"/>
    <m/>
    <x v="0"/>
    <m/>
    <s v="MRF"/>
    <m/>
    <s v="Technical Assistance"/>
  </r>
  <r>
    <x v="0"/>
    <s v="Dipaculao"/>
    <s v="Salay"/>
    <s v="OUTSIDE MBA"/>
    <m/>
    <m/>
    <n v="2024"/>
    <d v="2024-11-08T00:00:00"/>
    <m/>
    <x v="0"/>
    <m/>
    <s v="MRF"/>
    <m/>
    <s v="Technical Assistance"/>
  </r>
  <r>
    <x v="0"/>
    <s v="Dipaculao"/>
    <s v="Sapangkawayan"/>
    <s v="OUTSIDE MBA"/>
    <m/>
    <m/>
    <n v="2025"/>
    <d v="2025-05-15T00:00:00"/>
    <s v=" R3-2025-016646"/>
    <x v="0"/>
    <m/>
    <s v="MRS"/>
    <s v="OPERATIONAL"/>
    <s v="Technical Assistance"/>
  </r>
  <r>
    <x v="0"/>
    <s v="Dipaculao"/>
    <s v="South Poblacion"/>
    <s v="OUTSIDE MBA"/>
    <m/>
    <m/>
    <n v="2024"/>
    <d v="2024-10-10T00:00:00"/>
    <m/>
    <x v="0"/>
    <m/>
    <s v="MRS"/>
    <m/>
    <s v="Technical Assistance"/>
  </r>
  <r>
    <x v="0"/>
    <s v="Dipaculao"/>
    <s v="Toytoyan"/>
    <s v="OUTSIDE MBA"/>
    <m/>
    <m/>
    <n v="2024"/>
    <d v="2024-10-11T00:00:00"/>
    <m/>
    <x v="0"/>
    <m/>
    <s v="MRF"/>
    <s v="OPERATIONAL"/>
    <s v="Technical Assistance"/>
  </r>
  <r>
    <x v="0"/>
    <s v="Dipaculao"/>
    <s v="Diamanen"/>
    <s v="OUTSIDE MBA"/>
    <m/>
    <m/>
    <n v="2025"/>
    <d v="2025-09-02T00:00:00"/>
    <s v="R3-2025-029657"/>
    <x v="0"/>
    <m/>
    <s v="MRF"/>
    <s v="OPERATIONAL"/>
    <s v="Technical Assistance"/>
  </r>
  <r>
    <x v="0"/>
    <s v="Maria Aurora"/>
    <s v="Alcala"/>
    <s v="OUTSIDE MBA"/>
    <m/>
    <m/>
    <n v="2024"/>
    <d v="2024-06-05T00:00:00"/>
    <m/>
    <x v="0"/>
    <m/>
    <m/>
    <m/>
    <s v="Technical Assistance"/>
  </r>
  <r>
    <x v="0"/>
    <s v="Maria Aurora"/>
    <s v="Bagtu"/>
    <s v="OUTSIDE MBA"/>
    <m/>
    <m/>
    <n v="2024"/>
    <d v="2024-07-09T00:00:00"/>
    <m/>
    <x v="0"/>
    <m/>
    <s v="MRF"/>
    <s v="OPERATIONAL"/>
    <s v="Technical Assistance"/>
  </r>
  <r>
    <x v="0"/>
    <s v="Maria Aurora"/>
    <s v="Bangco"/>
    <s v="OUTSIDE MBA"/>
    <m/>
    <m/>
    <n v="2024"/>
    <d v="2024-06-11T00:00:00"/>
    <m/>
    <x v="0"/>
    <m/>
    <m/>
    <m/>
    <s v="Technical Assistance"/>
  </r>
  <r>
    <x v="0"/>
    <s v="Maria Aurora"/>
    <s v="Bannawag"/>
    <s v="OUTSIDE MBA"/>
    <m/>
    <m/>
    <n v="2024"/>
    <d v="2024-09-17T00:00:00"/>
    <m/>
    <x v="0"/>
    <m/>
    <s v="MRF"/>
    <s v="OPERATIONAL"/>
    <s v="Technical Assistance"/>
  </r>
  <r>
    <x v="0"/>
    <s v="Maria Aurora"/>
    <s v="Barangay I (Pob.)"/>
    <s v="OUTSIDE MBA"/>
    <m/>
    <m/>
    <n v="2024"/>
    <s v="April 11, 2024"/>
    <m/>
    <x v="0"/>
    <m/>
    <m/>
    <m/>
    <s v="Technical Assistance"/>
  </r>
  <r>
    <x v="0"/>
    <s v="Maria Aurora"/>
    <s v="Barangay II (Pob.)"/>
    <s v="OUTSIDE MBA"/>
    <m/>
    <m/>
    <n v="2024"/>
    <s v="April 16, 2024"/>
    <m/>
    <x v="0"/>
    <m/>
    <m/>
    <m/>
    <s v="Technical Assistance"/>
  </r>
  <r>
    <x v="0"/>
    <s v="Maria Aurora"/>
    <s v="Barangay III (Pob.)"/>
    <s v="OUTSIDE MBA"/>
    <m/>
    <m/>
    <n v="2024"/>
    <s v="February 6, 2024"/>
    <m/>
    <x v="0"/>
    <m/>
    <m/>
    <m/>
    <s v="Technical Assistance"/>
  </r>
  <r>
    <x v="0"/>
    <s v="Maria Aurora"/>
    <s v="Barangay IV (Pob.)"/>
    <s v="OUTSIDE MBA"/>
    <m/>
    <m/>
    <n v="2024"/>
    <d v="2024-08-07T00:00:00"/>
    <m/>
    <x v="0"/>
    <m/>
    <s v="MRF"/>
    <s v="OPERATIONAL"/>
    <s v="Technical Assistance"/>
  </r>
  <r>
    <x v="0"/>
    <s v="Maria Aurora"/>
    <s v="Baubo"/>
    <s v="OUTSIDE MBA"/>
    <m/>
    <m/>
    <n v="2024"/>
    <d v="2024-08-06T00:00:00"/>
    <m/>
    <x v="0"/>
    <m/>
    <s v="MRF"/>
    <s v="OPERATIONAL"/>
    <s v="Technical Assistance"/>
  </r>
  <r>
    <x v="0"/>
    <s v="Maria Aurora"/>
    <s v="Bayanihan"/>
    <s v="OUTSIDE MBA"/>
    <m/>
    <m/>
    <n v="2024"/>
    <d v="2024-09-17T00:00:00"/>
    <m/>
    <x v="0"/>
    <m/>
    <s v="MRF"/>
    <s v="OPERATIONAL"/>
    <s v="Technical Assistance"/>
  </r>
  <r>
    <x v="0"/>
    <s v="Maria Aurora"/>
    <s v="Bazal"/>
    <s v="OUTSIDE MBA"/>
    <m/>
    <m/>
    <n v="2024"/>
    <s v="February 7, 2024"/>
    <m/>
    <x v="0"/>
    <m/>
    <m/>
    <m/>
    <s v="Technical Assistance"/>
  </r>
  <r>
    <x v="0"/>
    <s v="Maria Aurora"/>
    <s v="Cabituculan East"/>
    <s v="OUTSIDE MBA"/>
    <m/>
    <m/>
    <n v="2024"/>
    <d v="2024-09-05T00:00:00"/>
    <m/>
    <x v="0"/>
    <m/>
    <s v="MRF"/>
    <s v="OPERATIONAL"/>
    <s v="Technical Assistance"/>
  </r>
  <r>
    <x v="0"/>
    <s v="Maria Aurora"/>
    <s v="Cabituculan West"/>
    <s v="OUTSIDE MBA"/>
    <m/>
    <m/>
    <n v="2024"/>
    <s v="March 12, 2024"/>
    <m/>
    <x v="0"/>
    <m/>
    <m/>
    <m/>
    <s v="Technical Assistance"/>
  </r>
  <r>
    <x v="0"/>
    <s v="Maria Aurora"/>
    <s v="Cadayacan"/>
    <s v="OUTSIDE MBA"/>
    <m/>
    <m/>
    <n v="2024"/>
    <d v="2024-07-10T00:00:00"/>
    <m/>
    <x v="0"/>
    <m/>
    <s v="MRF"/>
    <s v="OPERATIONAL"/>
    <s v="Technical Assistance"/>
  </r>
  <r>
    <x v="0"/>
    <s v="Maria Aurora"/>
    <s v="Debucao"/>
    <s v="OUTSIDE MBA"/>
    <m/>
    <m/>
    <n v="2024"/>
    <d v="2024-07-10T00:00:00"/>
    <m/>
    <x v="0"/>
    <m/>
    <s v="MRF"/>
    <s v="OPERATIONAL"/>
    <s v="Technical Assistance"/>
  </r>
  <r>
    <x v="0"/>
    <s v="Maria Aurora"/>
    <s v="Decoliat"/>
    <s v="OUTSIDE MBA"/>
    <m/>
    <m/>
    <n v="2024"/>
    <d v="2024-10-08T00:00:00"/>
    <m/>
    <x v="0"/>
    <m/>
    <s v="MRF"/>
    <s v="OPERATIONAL"/>
    <s v="Technical Assistance"/>
  </r>
  <r>
    <x v="0"/>
    <s v="Maria Aurora"/>
    <s v="Detailen"/>
    <s v="OUTSIDE MBA"/>
    <m/>
    <m/>
    <n v="2024"/>
    <d v="2024-05-07T00:00:00"/>
    <m/>
    <x v="0"/>
    <m/>
    <m/>
    <m/>
    <s v="Technical Assistance"/>
  </r>
  <r>
    <x v="0"/>
    <s v="Maria Aurora"/>
    <s v="Diaat"/>
    <s v="OUTSIDE MBA"/>
    <m/>
    <m/>
    <n v="2024"/>
    <d v="2024-08-13T00:00:00"/>
    <m/>
    <x v="0"/>
    <m/>
    <s v="MRF"/>
    <s v="OPERATIONAL"/>
    <s v="Technical Assistance"/>
  </r>
  <r>
    <x v="0"/>
    <s v="Maria Aurora"/>
    <s v="Dialatman"/>
    <s v="OUTSIDE MBA"/>
    <m/>
    <m/>
    <n v="2024"/>
    <d v="2024-10-15T00:00:00"/>
    <m/>
    <x v="0"/>
    <m/>
    <s v="MRF"/>
    <s v="OPERATIONAL"/>
    <s v="Technical Assistance"/>
  </r>
  <r>
    <x v="0"/>
    <s v="Maria Aurora"/>
    <s v="Diaman"/>
    <s v="OUTSIDE MBA"/>
    <m/>
    <m/>
    <n v="2024"/>
    <d v="2024-10-15T00:00:00"/>
    <m/>
    <x v="0"/>
    <m/>
    <s v="MRF"/>
    <s v="OPERATIONAL"/>
    <s v="Technical Assistance"/>
  </r>
  <r>
    <x v="0"/>
    <s v="Maria Aurora"/>
    <s v="Dianawan"/>
    <s v="OUTSIDE MBA"/>
    <m/>
    <m/>
    <n v="2024"/>
    <d v="2024-10-11T00:00:00"/>
    <m/>
    <x v="0"/>
    <m/>
    <s v="MRF"/>
    <s v="OPERATIONAL"/>
    <s v="Technical Assistance"/>
  </r>
  <r>
    <x v="0"/>
    <s v="Maria Aurora"/>
    <s v="Dikildit"/>
    <s v="OUTSIDE MBA"/>
    <m/>
    <m/>
    <n v="2024"/>
    <s v="February 7, 2024"/>
    <m/>
    <x v="0"/>
    <m/>
    <m/>
    <m/>
    <s v="Technical Assistance"/>
  </r>
  <r>
    <x v="0"/>
    <s v="Maria Aurora"/>
    <s v="Dimanpudso"/>
    <s v="OUTSIDE MBA"/>
    <m/>
    <m/>
    <n v="2024"/>
    <s v="March 12, 2024"/>
    <m/>
    <x v="0"/>
    <m/>
    <m/>
    <m/>
    <s v="Technical Assistance"/>
  </r>
  <r>
    <x v="0"/>
    <s v="Maria Aurora"/>
    <s v="Diome"/>
    <s v="OUTSIDE MBA"/>
    <m/>
    <m/>
    <n v="2024"/>
    <d v="2024-08-13T00:00:00"/>
    <m/>
    <x v="0"/>
    <m/>
    <s v="MRF"/>
    <s v="OPERATIONAL"/>
    <s v="Technical Assistance"/>
  </r>
  <r>
    <x v="0"/>
    <s v="Maria Aurora"/>
    <s v="Estonilo(Sto. Cristo)"/>
    <s v="OUTSIDE MBA"/>
    <m/>
    <m/>
    <n v="2024"/>
    <d v="2024-09-09T00:00:00"/>
    <m/>
    <x v="0"/>
    <m/>
    <s v="MRF"/>
    <s v="NON-OPERATIONAL"/>
    <s v="Technical Assistance"/>
  </r>
  <r>
    <x v="0"/>
    <s v="Maria Aurora"/>
    <s v="Florida"/>
    <s v="OUTSIDE MBA"/>
    <m/>
    <m/>
    <n v="2024"/>
    <d v="2024-11-12T00:00:00"/>
    <m/>
    <x v="0"/>
    <m/>
    <s v="MRF"/>
    <s v="OPERATIONAL"/>
    <s v="Technical Assistance"/>
  </r>
  <r>
    <x v="0"/>
    <s v="Maria Aurora"/>
    <s v="Galintuja"/>
    <s v="OUTSIDE MBA"/>
    <m/>
    <m/>
    <n v="2024"/>
    <d v="2024-10-11T00:00:00"/>
    <m/>
    <x v="0"/>
    <m/>
    <s v="MRF"/>
    <s v="OPERATIONAL"/>
    <s v="Technical Assistance"/>
  </r>
  <r>
    <x v="0"/>
    <s v="Maria Aurora"/>
    <s v="Malasin"/>
    <s v="OUTSIDE MBA"/>
    <m/>
    <m/>
    <n v="2024"/>
    <d v="2024-05-08T00:00:00"/>
    <m/>
    <x v="0"/>
    <m/>
    <m/>
    <m/>
    <s v="Technical Assistance"/>
  </r>
  <r>
    <x v="0"/>
    <s v="Maria Aurora"/>
    <s v="Ponglo"/>
    <s v="OUTSIDE MBA"/>
    <m/>
    <m/>
    <n v="2025"/>
    <d v="2025-11-04T00:00:00"/>
    <s v="R3-2025-036982"/>
    <x v="0"/>
    <m/>
    <s v="MRS"/>
    <s v="OPERATIONAL"/>
    <s v="Technical Assistance"/>
  </r>
  <r>
    <x v="0"/>
    <s v="Maria Aurora"/>
    <s v="Quirino"/>
    <s v="OUTSIDE MBA"/>
    <m/>
    <m/>
    <n v="2024"/>
    <d v="2024-09-17T00:00:00"/>
    <m/>
    <x v="0"/>
    <m/>
    <s v="MRF"/>
    <s v="OPERATIONAL"/>
    <s v="Technical Assistance"/>
  </r>
  <r>
    <x v="0"/>
    <s v="Maria Aurora"/>
    <s v="Ramada"/>
    <s v="OUTSIDE MBA"/>
    <m/>
    <m/>
    <n v="2024"/>
    <d v="2024-04-17T00:00:00"/>
    <m/>
    <x v="0"/>
    <m/>
    <m/>
    <m/>
    <s v="Technical Assistance"/>
  </r>
  <r>
    <x v="0"/>
    <s v="Maria Aurora"/>
    <s v="San Joaquin"/>
    <s v="OUTSIDE MBA"/>
    <m/>
    <m/>
    <n v="2024"/>
    <s v="February 6, 2024"/>
    <m/>
    <x v="0"/>
    <m/>
    <m/>
    <m/>
    <s v="Technical Assistance"/>
  </r>
  <r>
    <x v="0"/>
    <s v="Maria Aurora"/>
    <s v="San Jose"/>
    <s v="OUTSIDE MBA"/>
    <m/>
    <m/>
    <n v="2024"/>
    <s v="April 3, 2024"/>
    <m/>
    <x v="0"/>
    <m/>
    <m/>
    <m/>
    <s v="Technical Assistance"/>
  </r>
  <r>
    <x v="0"/>
    <s v="Maria Aurora"/>
    <s v="San Juan"/>
    <s v="OUTSIDE MBA"/>
    <m/>
    <m/>
    <n v="2024"/>
    <d v="2024-10-09T00:00:00"/>
    <m/>
    <x v="0"/>
    <m/>
    <s v="MRF"/>
    <s v="OPERATIONAL"/>
    <s v="Technical Assistance"/>
  </r>
  <r>
    <x v="0"/>
    <s v="Maria Aurora"/>
    <s v="San Leonardo"/>
    <s v="OUTSIDE MBA"/>
    <m/>
    <m/>
    <n v="2024"/>
    <d v="2024-06-06T00:00:00"/>
    <m/>
    <x v="0"/>
    <m/>
    <m/>
    <m/>
    <s v="Technical Assistance"/>
  </r>
  <r>
    <x v="0"/>
    <s v="Maria Aurora"/>
    <s v="Santa Lucia"/>
    <s v="OUTSIDE MBA"/>
    <m/>
    <m/>
    <n v="2024"/>
    <d v="2024-06-11T00:00:00"/>
    <m/>
    <x v="0"/>
    <m/>
    <m/>
    <m/>
    <s v="Technical Assistance"/>
  </r>
  <r>
    <x v="0"/>
    <s v="Maria Aurora"/>
    <s v="Santo Tomas"/>
    <s v="OUTSIDE MBA"/>
    <m/>
    <m/>
    <n v="2024"/>
    <d v="2024-08-06T00:00:00"/>
    <m/>
    <x v="0"/>
    <m/>
    <s v="MRF"/>
    <s v="OPERATIONAL"/>
    <s v="Technical Assistance"/>
  </r>
  <r>
    <x v="0"/>
    <s v="Maria Aurora"/>
    <s v="Suguit"/>
    <s v="OUTSIDE MBA"/>
    <m/>
    <m/>
    <n v="2024"/>
    <d v="2024-10-16T00:00:00"/>
    <m/>
    <x v="0"/>
    <m/>
    <s v="MRF"/>
    <s v="OPERATIONAL"/>
    <s v="Technical Assistance"/>
  </r>
  <r>
    <x v="0"/>
    <s v="Maria Aurora"/>
    <s v="Villa Aurora"/>
    <s v="OUTSIDE MBA"/>
    <m/>
    <m/>
    <n v="2024"/>
    <d v="2024-11-13T00:00:00"/>
    <m/>
    <x v="0"/>
    <m/>
    <s v="MRF"/>
    <s v="OPERATIONAL"/>
    <s v="Technical Assistance"/>
  </r>
  <r>
    <x v="0"/>
    <s v="Maria Aurora"/>
    <s v="Wenceslao"/>
    <s v="OUTSIDE MBA"/>
    <m/>
    <m/>
    <n v="2024"/>
    <d v="2024-07-09T00:00:00"/>
    <m/>
    <x v="0"/>
    <m/>
    <s v="MRF"/>
    <s v="OPERATIONAL"/>
    <s v="Technical Assistance"/>
  </r>
  <r>
    <x v="0"/>
    <s v="San Luis"/>
    <s v="Bacong"/>
    <s v="OUTSIDE MBA"/>
    <m/>
    <m/>
    <s v="2024/_x000a_2025"/>
    <s v="3-Apr-24_x000a_13-Feb-25"/>
    <s v="R3-2024-014253/_x000a_R3-2025-005414"/>
    <x v="0"/>
    <m/>
    <s v="MRF"/>
    <s v="OPERATIONAL"/>
    <s v="Technical Assistance"/>
  </r>
  <r>
    <x v="0"/>
    <s v="San Luis"/>
    <s v="Barangay I (Pob.)"/>
    <s v="OUTSIDE MBA"/>
    <m/>
    <m/>
    <n v="2024"/>
    <s v="March 6, 2024"/>
    <m/>
    <x v="0"/>
    <m/>
    <m/>
    <m/>
    <s v="Technical Assistance"/>
  </r>
  <r>
    <x v="0"/>
    <s v="San Luis"/>
    <s v="Barangay II (Pob.)"/>
    <s v="OUTSIDE MBA"/>
    <m/>
    <m/>
    <n v="2024"/>
    <s v="Februay 8, 2024"/>
    <m/>
    <x v="0"/>
    <m/>
    <m/>
    <m/>
    <s v="Technical Assistance"/>
  </r>
  <r>
    <x v="0"/>
    <s v="San Luis"/>
    <s v="Barangay III (Pob.)"/>
    <s v="OUTSIDE MBA"/>
    <m/>
    <m/>
    <n v="2024"/>
    <s v="Februay 8, 2024"/>
    <m/>
    <x v="0"/>
    <m/>
    <m/>
    <m/>
    <s v="Technical Assistance"/>
  </r>
  <r>
    <x v="0"/>
    <s v="San Luis"/>
    <s v="Barangay IV (Pob.)"/>
    <s v="OUTSIDE MBA"/>
    <m/>
    <m/>
    <n v="2024"/>
    <d v="2024-10-04T00:00:00"/>
    <m/>
    <x v="0"/>
    <m/>
    <s v="MRF"/>
    <s v="OPERATIONAL"/>
    <s v="Technical Assistance"/>
  </r>
  <r>
    <x v="0"/>
    <s v="San Luis"/>
    <s v="Dibalo"/>
    <s v="OUTSIDE MBA"/>
    <m/>
    <m/>
    <n v="2024"/>
    <d v="2024-11-07T00:00:00"/>
    <m/>
    <x v="0"/>
    <m/>
    <s v="MRS"/>
    <s v="CATER BY LGU"/>
    <s v="Technical Assistance"/>
  </r>
  <r>
    <x v="0"/>
    <s v="San Luis"/>
    <s v="Dibayabay"/>
    <s v="OUTSIDE MBA"/>
    <m/>
    <m/>
    <n v="2025"/>
    <d v="2025-06-26T00:00:00"/>
    <s v="R3-2025-021616"/>
    <x v="0"/>
    <m/>
    <s v="MRF"/>
    <s v="NON-OPERATIONAL"/>
    <s v="Technical Assistance"/>
  </r>
  <r>
    <x v="0"/>
    <s v="San Luis"/>
    <s v="Dibut"/>
    <s v="OUTSIDE MBA"/>
    <m/>
    <m/>
    <n v="2025"/>
    <d v="2025-06-27T00:00:00"/>
    <s v="R3-2025-021668"/>
    <x v="0"/>
    <m/>
    <s v="MRS"/>
    <s v="NON-OPERATIONAL"/>
    <s v="Technical Assistance"/>
  </r>
  <r>
    <x v="0"/>
    <s v="San Luis"/>
    <s v="Dikapinisan"/>
    <s v="OUTSIDE MBA"/>
    <m/>
    <m/>
    <n v="2025"/>
    <d v="2025-06-26T00:00:00"/>
    <s v="R3-2025-021600"/>
    <x v="0"/>
    <m/>
    <s v="MRS"/>
    <s v="NON-OPERATIONAL"/>
    <s v="Technical Assistance"/>
  </r>
  <r>
    <x v="0"/>
    <s v="San Luis"/>
    <s v="Dimanayat"/>
    <s v="OUTSIDE MBA"/>
    <m/>
    <m/>
    <n v="2025"/>
    <d v="2025-06-24T00:00:00"/>
    <s v="R3-2025-021526"/>
    <x v="0"/>
    <m/>
    <s v="NO FACILITY"/>
    <s v="CATER BY LGU"/>
    <s v="Technical Assistance"/>
  </r>
  <r>
    <x v="0"/>
    <s v="San Luis"/>
    <s v="Diteki"/>
    <s v="OUTSIDE MBA"/>
    <m/>
    <m/>
    <n v="2024"/>
    <s v="March 6, 2024"/>
    <m/>
    <x v="0"/>
    <m/>
    <m/>
    <m/>
    <s v="Technical Assistance"/>
  </r>
  <r>
    <x v="0"/>
    <s v="San Luis"/>
    <s v="Ditumabo"/>
    <s v="OUTSIDE MBA"/>
    <m/>
    <m/>
    <n v="2024"/>
    <d v="2024-06-11T00:00:00"/>
    <m/>
    <x v="0"/>
    <m/>
    <m/>
    <m/>
    <s v="Technical Assistance"/>
  </r>
  <r>
    <x v="0"/>
    <s v="San Luis"/>
    <s v="L. Pimentel"/>
    <s v="OUTSIDE MBA"/>
    <m/>
    <m/>
    <n v="2024"/>
    <d v="2024-09-10T00:00:00"/>
    <m/>
    <x v="0"/>
    <m/>
    <s v="MRF"/>
    <s v="OPERATIONAL"/>
    <s v="Technical Assistance"/>
  </r>
  <r>
    <x v="0"/>
    <s v="San Luis"/>
    <s v="Nonong Senior"/>
    <s v="OUTSIDE MBA"/>
    <m/>
    <m/>
    <n v="2024"/>
    <d v="2024-04-11T00:00:00"/>
    <m/>
    <x v="0"/>
    <m/>
    <m/>
    <m/>
    <s v="Technical Assistance"/>
  </r>
  <r>
    <x v="0"/>
    <s v="San Luis"/>
    <s v="Real"/>
    <s v="OUTSIDE MBA"/>
    <m/>
    <m/>
    <n v="2024"/>
    <s v="February 13, 2024"/>
    <m/>
    <x v="0"/>
    <m/>
    <m/>
    <m/>
    <s v="Technical Assistance"/>
  </r>
  <r>
    <x v="0"/>
    <s v="San Luis"/>
    <s v="San Isidro"/>
    <s v="OUTSIDE MBA"/>
    <m/>
    <m/>
    <n v="2024"/>
    <d v="2024-06-18T00:00:00"/>
    <m/>
    <x v="0"/>
    <m/>
    <m/>
    <m/>
    <s v="Technical Assistance"/>
  </r>
  <r>
    <x v="0"/>
    <s v="San Luis"/>
    <s v="San Jose"/>
    <s v="OUTSIDE MBA"/>
    <m/>
    <m/>
    <n v="2024"/>
    <d v="2024-09-10T00:00:00"/>
    <m/>
    <x v="0"/>
    <m/>
    <s v="MRF"/>
    <s v="OPERATIONAL"/>
    <s v="Technical Assistance"/>
  </r>
  <r>
    <x v="0"/>
    <s v="San Luis"/>
    <s v="Zarah"/>
    <s v="OUTSIDE MBA"/>
    <m/>
    <m/>
    <n v="2024"/>
    <d v="2024-05-16T00:00:00"/>
    <m/>
    <x v="0"/>
    <m/>
    <m/>
    <m/>
    <s v="Technical Assistance"/>
  </r>
  <r>
    <x v="1"/>
    <s v="Abucay"/>
    <s v="Bangkal"/>
    <s v="MBA"/>
    <m/>
    <m/>
    <n v="2024"/>
    <s v="May 22, 2024"/>
    <m/>
    <x v="0"/>
    <m/>
    <s v="MRS"/>
    <s v="OPERATIONAL"/>
    <s v="Technical Assistance"/>
  </r>
  <r>
    <x v="1"/>
    <s v="Abucay"/>
    <s v="Calaylayan (Pob.)"/>
    <s v="MBA"/>
    <m/>
    <m/>
    <n v="2024"/>
    <s v="February 21, 2024"/>
    <m/>
    <x v="0"/>
    <m/>
    <s v="MRF"/>
    <s v="OPERATIONAL"/>
    <s v="Technical Assistance"/>
  </r>
  <r>
    <x v="1"/>
    <s v="Abucay"/>
    <s v="Capitangan"/>
    <s v="MBA"/>
    <m/>
    <m/>
    <n v="2024"/>
    <s v="May 02, 2024"/>
    <m/>
    <x v="0"/>
    <m/>
    <s v="MRS"/>
    <s v="CATER BY LGU"/>
    <s v="Technical Assistance"/>
  </r>
  <r>
    <x v="1"/>
    <s v="Abucay"/>
    <s v="Gabon"/>
    <s v="MBA"/>
    <m/>
    <m/>
    <n v="2024"/>
    <s v="March 22, 2024"/>
    <m/>
    <x v="0"/>
    <m/>
    <s v="MRS"/>
    <s v="OPERATIONAL"/>
    <s v="Technical Assistance"/>
  </r>
  <r>
    <x v="1"/>
    <s v="Abucay"/>
    <s v="Laon (Pob.)"/>
    <s v="MBA"/>
    <m/>
    <m/>
    <n v="2024"/>
    <s v="April 17, 2024"/>
    <m/>
    <x v="0"/>
    <m/>
    <s v="MRS"/>
    <s v="OPERATIONAL"/>
    <s v="Technical Assistance"/>
  </r>
  <r>
    <x v="1"/>
    <s v="Abucay"/>
    <s v="Mabatang"/>
    <s v="MBA"/>
    <m/>
    <m/>
    <n v="2024"/>
    <s v="March 28, 2024"/>
    <m/>
    <x v="0"/>
    <m/>
    <s v="MRS"/>
    <s v="OPERATIONAL"/>
    <s v="Technical Assistance"/>
  </r>
  <r>
    <x v="1"/>
    <s v="Abucay"/>
    <s v="Omboy"/>
    <s v="MBA"/>
    <m/>
    <m/>
    <n v="2024"/>
    <s v="March 28, 2024"/>
    <m/>
    <x v="0"/>
    <m/>
    <s v="MRS"/>
    <s v="OPERATIONAL"/>
    <s v="Technical Assistance"/>
  </r>
  <r>
    <x v="1"/>
    <s v="Abucay"/>
    <s v="Salian"/>
    <s v="MBA"/>
    <m/>
    <m/>
    <n v="2024"/>
    <s v="July 03, 2024"/>
    <m/>
    <x v="0"/>
    <m/>
    <s v="MRS"/>
    <s v="OPERATIONAL"/>
    <s v="Technical Assistance"/>
  </r>
  <r>
    <x v="1"/>
    <s v="Abucay"/>
    <s v="Wawa (Pob.)"/>
    <s v="MBA"/>
    <m/>
    <m/>
    <n v="2024"/>
    <s v="April 23, 2024"/>
    <m/>
    <x v="0"/>
    <m/>
    <s v="MRS"/>
    <s v="OPERATIONAL"/>
    <s v="Technical Assistance"/>
  </r>
  <r>
    <x v="1"/>
    <s v="Bagac"/>
    <s v="Atilano L. Ricardo"/>
    <s v="MBA"/>
    <m/>
    <m/>
    <n v="2024"/>
    <d v="2024-10-15T00:00:00"/>
    <m/>
    <x v="0"/>
    <m/>
    <s v="MRF"/>
    <s v="OPERATIONAL"/>
    <s v="Technical Assistance"/>
  </r>
  <r>
    <x v="1"/>
    <s v="Bagac"/>
    <s v="Bagumbayan (Pob.)"/>
    <s v="MBA"/>
    <m/>
    <m/>
    <n v="2024"/>
    <s v="October 01, 2024"/>
    <m/>
    <x v="0"/>
    <m/>
    <s v="MRF"/>
    <s v="OPERATIONAL"/>
    <s v="Technical Assistance"/>
  </r>
  <r>
    <x v="1"/>
    <s v="Bagac"/>
    <s v="Banawang"/>
    <s v="MBA"/>
    <m/>
    <m/>
    <n v="2024"/>
    <s v="October 04, 2024"/>
    <m/>
    <x v="0"/>
    <m/>
    <s v="MRF"/>
    <s v="OPERATIONAL"/>
    <s v="Technical Assistance"/>
  </r>
  <r>
    <x v="1"/>
    <s v="Bagac"/>
    <s v="Binuangan"/>
    <s v="MBA"/>
    <m/>
    <m/>
    <n v="2024"/>
    <d v="2024-11-05T00:00:00"/>
    <m/>
    <x v="0"/>
    <m/>
    <s v="MRF"/>
    <s v="OPERATIONAL"/>
    <s v="Technical Assistance"/>
  </r>
  <r>
    <x v="1"/>
    <s v="Bagac"/>
    <s v="Binukawan"/>
    <s v="MBA"/>
    <m/>
    <m/>
    <n v="2024"/>
    <s v="September 20, 2024"/>
    <m/>
    <x v="0"/>
    <m/>
    <s v="MRF"/>
    <s v="OPERATIONAL"/>
    <s v="Technical Assistance"/>
  </r>
  <r>
    <x v="1"/>
    <s v="Bagac"/>
    <s v="Ibaba"/>
    <s v="MBA"/>
    <m/>
    <m/>
    <n v="2025"/>
    <d v="2025-03-28T00:00:00"/>
    <s v="R3-2025-010834"/>
    <x v="0"/>
    <m/>
    <s v="NO FACILITY"/>
    <s v="Not Applicable"/>
    <s v="Technical Assistance"/>
  </r>
  <r>
    <x v="1"/>
    <s v="Bagac"/>
    <s v="Ibis"/>
    <s v="MBA"/>
    <m/>
    <m/>
    <n v="2024"/>
    <d v="2024-10-29T00:00:00"/>
    <m/>
    <x v="0"/>
    <m/>
    <s v="MRF"/>
    <s v="OPERATIONAL"/>
    <s v="Technical Assistance"/>
  </r>
  <r>
    <x v="1"/>
    <s v="Bagac"/>
    <s v="Pag-asa"/>
    <s v="MBA"/>
    <m/>
    <m/>
    <n v="2024"/>
    <d v="2024-10-22T00:00:00"/>
    <m/>
    <x v="0"/>
    <m/>
    <s v="MRF"/>
    <s v="OPERATIONAL"/>
    <s v="Technical Assistance"/>
  </r>
  <r>
    <x v="1"/>
    <s v="Bagac"/>
    <s v="Parang"/>
    <s v="MBA"/>
    <m/>
    <m/>
    <n v="2024"/>
    <s v="September 11, 2024"/>
    <m/>
    <x v="0"/>
    <m/>
    <s v="MRF"/>
    <s v="OPERATIONAL"/>
    <s v="Technical Assistance"/>
  </r>
  <r>
    <x v="1"/>
    <s v="Bagac"/>
    <s v="Paysawan"/>
    <s v="MBA"/>
    <m/>
    <m/>
    <n v="2024"/>
    <d v="2024-11-05T00:00:00"/>
    <m/>
    <x v="0"/>
    <m/>
    <s v="MRF"/>
    <s v="OPERATIONAL"/>
    <s v="Technical Assistance"/>
  </r>
  <r>
    <x v="1"/>
    <s v="Bagac"/>
    <s v="Quinawan"/>
    <s v="MBA"/>
    <m/>
    <m/>
    <n v="2024"/>
    <d v="2024-11-08T00:00:00"/>
    <m/>
    <x v="0"/>
    <m/>
    <s v="MRF"/>
    <s v="OPERATIONAL"/>
    <s v="Technical Assistance"/>
  </r>
  <r>
    <x v="1"/>
    <s v="Bagac"/>
    <s v="San Antonio"/>
    <s v="MBA"/>
    <m/>
    <m/>
    <n v="2024"/>
    <s v="September 26, 2024"/>
    <m/>
    <x v="0"/>
    <m/>
    <s v="MRF"/>
    <s v="OPERATIONAL"/>
    <s v="Technical Assistance"/>
  </r>
  <r>
    <x v="1"/>
    <s v="Bagac"/>
    <s v="Saysain"/>
    <s v="MBA"/>
    <m/>
    <m/>
    <n v="2024"/>
    <d v="2024-10-31T00:00:00"/>
    <m/>
    <x v="0"/>
    <m/>
    <s v="MRF"/>
    <s v="OPERATIONAL"/>
    <s v="Technical Assistance"/>
  </r>
  <r>
    <x v="1"/>
    <s v="Bagac"/>
    <s v="Tabing-Ilog (Pob.)"/>
    <s v="MBA"/>
    <m/>
    <m/>
    <n v="2024"/>
    <d v="2024-10-18T00:00:00"/>
    <m/>
    <x v="0"/>
    <m/>
    <s v="MRF"/>
    <s v="OPERATIONAL"/>
    <s v="Technical Assistance"/>
  </r>
  <r>
    <x v="1"/>
    <s v="City of Balanga (Capital)"/>
    <s v="Bagong Silang"/>
    <s v="MBA"/>
    <m/>
    <m/>
    <n v="2024"/>
    <s v="September 20, 2024"/>
    <m/>
    <x v="0"/>
    <m/>
    <s v="MRF"/>
    <s v="OPERATIONAL"/>
    <s v="Technical Assistance"/>
  </r>
  <r>
    <x v="1"/>
    <s v="City of Balanga (Capital)"/>
    <s v="Bagumbayan"/>
    <s v="MBA"/>
    <m/>
    <m/>
    <n v="2024"/>
    <s v="March 19, 2024"/>
    <m/>
    <x v="0"/>
    <m/>
    <s v="MRF"/>
    <s v="OPERATIONAL"/>
    <s v="Technical Assistance"/>
  </r>
  <r>
    <x v="1"/>
    <s v="City of Balanga (Capital)"/>
    <s v="Cabog-Cabog"/>
    <s v="MBA"/>
    <m/>
    <m/>
    <n v="2024"/>
    <s v="June 14, 2024"/>
    <m/>
    <x v="0"/>
    <m/>
    <s v="MRF"/>
    <s v="OPERATIONAL"/>
    <s v="Technical Assistance"/>
  </r>
  <r>
    <x v="1"/>
    <s v="City of Balanga (Capital)"/>
    <s v="Camacho"/>
    <s v="MBA"/>
    <m/>
    <m/>
    <n v="2024"/>
    <s v="May 23, 2024"/>
    <m/>
    <x v="0"/>
    <m/>
    <s v="MRF"/>
    <s v="OPERATIONAL"/>
    <s v="Technical Assistance"/>
  </r>
  <r>
    <x v="1"/>
    <s v="City of Balanga (Capital)"/>
    <s v="Cataning"/>
    <s v="MBA"/>
    <m/>
    <m/>
    <n v="2024"/>
    <s v="June 07, 2024"/>
    <m/>
    <x v="0"/>
    <m/>
    <s v="MRF"/>
    <s v="OPERATIONAL"/>
    <s v="Technical Assistance"/>
  </r>
  <r>
    <x v="1"/>
    <s v="City of Balanga (Capital)"/>
    <s v="Central"/>
    <s v="MBA"/>
    <m/>
    <m/>
    <n v="2025"/>
    <d v="2025-02-18T00:00:00"/>
    <s v="R3-2025-005957"/>
    <x v="0"/>
    <m/>
    <s v="MRF"/>
    <s v="OPERATIONAL"/>
    <s v="Technical Assistance"/>
  </r>
  <r>
    <x v="1"/>
    <s v="City of Balanga (Capital)"/>
    <s v="Cupang North"/>
    <s v="MBA"/>
    <m/>
    <m/>
    <n v="2024"/>
    <s v="May 09, 2024"/>
    <m/>
    <x v="0"/>
    <m/>
    <s v="MRF"/>
    <s v="OPERATIONAL"/>
    <s v="Technical Assistance"/>
  </r>
  <r>
    <x v="1"/>
    <s v="City of Balanga (Capital)"/>
    <s v="Cupang Proper"/>
    <s v="MBA"/>
    <m/>
    <m/>
    <n v="2025"/>
    <d v="2025-05-16T00:00:00"/>
    <s v="R3-2025-016653"/>
    <x v="0"/>
    <m/>
    <s v="MRS"/>
    <s v="OPERATIONAL"/>
    <s v="Technical Assistance"/>
  </r>
  <r>
    <x v="1"/>
    <s v="City of Balanga (Capital)"/>
    <s v="Cupang West"/>
    <s v="MBA"/>
    <m/>
    <m/>
    <n v="2025"/>
    <d v="2025-01-22T00:00:00"/>
    <s v="R3-2025-001998"/>
    <x v="0"/>
    <m/>
    <s v="MRF"/>
    <s v="OPERATIONAL"/>
    <s v="Technical Assistance"/>
  </r>
  <r>
    <x v="1"/>
    <s v="City of Balanga (Capital)"/>
    <s v="Dangcol"/>
    <s v="MBA"/>
    <m/>
    <m/>
    <n v="2025"/>
    <d v="2025-03-27T00:00:00"/>
    <s v="R3-2025-010728"/>
    <x v="0"/>
    <m/>
    <s v="MRS"/>
    <s v="NON-OPERATIONAL"/>
    <s v="Technical Assistance"/>
  </r>
  <r>
    <x v="1"/>
    <s v="City of Balanga (Capital)"/>
    <s v="Doña Francisca"/>
    <s v="MBA"/>
    <m/>
    <m/>
    <n v="2024"/>
    <s v="March 19, 2024"/>
    <m/>
    <x v="0"/>
    <m/>
    <s v="MRF"/>
    <s v="NON-OPERATIONAL"/>
    <s v="Technical Assistance"/>
  </r>
  <r>
    <x v="1"/>
    <s v="City of Balanga (Capital)"/>
    <s v="Ibayo"/>
    <s v="MBA"/>
    <m/>
    <m/>
    <n v="2024"/>
    <s v="February 27, 2024"/>
    <m/>
    <x v="0"/>
    <m/>
    <s v="MRF"/>
    <s v="OPERATIONAL"/>
    <s v="Technical Assistance"/>
  </r>
  <r>
    <x v="1"/>
    <s v="City of Balanga (Capital)"/>
    <s v="Lote"/>
    <s v="MBA"/>
    <m/>
    <m/>
    <n v="2024"/>
    <s v="June 18, 2024"/>
    <m/>
    <x v="0"/>
    <m/>
    <s v="MRF"/>
    <s v="OPERATIONAL"/>
    <s v="Technical Assistance"/>
  </r>
  <r>
    <x v="1"/>
    <s v="City of Balanga (Capital)"/>
    <s v="Malabia"/>
    <s v="MBA"/>
    <m/>
    <m/>
    <n v="2024"/>
    <s v="February 23, 2024"/>
    <m/>
    <x v="0"/>
    <m/>
    <s v="MRF"/>
    <s v="OPERATIONAL"/>
    <s v="Technical Assistance"/>
  </r>
  <r>
    <x v="1"/>
    <s v="City of Balanga (Capital)"/>
    <s v="Munting Batangas"/>
    <s v="MBA"/>
    <m/>
    <m/>
    <n v="2024"/>
    <s v="February 28, 2024"/>
    <m/>
    <x v="0"/>
    <m/>
    <s v="MRF"/>
    <s v="OPERATIONAL"/>
    <s v="Technical Assistance"/>
  </r>
  <r>
    <x v="1"/>
    <s v="City of Balanga (Capital)"/>
    <s v="Poblacion"/>
    <s v="MBA"/>
    <m/>
    <m/>
    <n v="2024"/>
    <s v="July 02, 2024"/>
    <m/>
    <x v="0"/>
    <m/>
    <s v="MRF"/>
    <s v="OPERATIONAL"/>
    <s v="Technical Assistance"/>
  </r>
  <r>
    <x v="1"/>
    <s v="City of Balanga (Capital)"/>
    <s v="Pto. Rivas Ibaba"/>
    <s v="MBA"/>
    <m/>
    <m/>
    <n v="2024"/>
    <s v="March 27, 2024"/>
    <m/>
    <x v="0"/>
    <m/>
    <s v="MRF"/>
    <m/>
    <s v="Technical Assistance"/>
  </r>
  <r>
    <x v="1"/>
    <s v="City of Balanga (Capital)"/>
    <s v="Pto. Rivas Itaas"/>
    <s v="MBA"/>
    <m/>
    <m/>
    <n v="2024"/>
    <s v="March 27, 2024"/>
    <m/>
    <x v="0"/>
    <m/>
    <s v="MRF"/>
    <m/>
    <s v="Technical Assistance"/>
  </r>
  <r>
    <x v="1"/>
    <s v="City of Balanga (Capital)"/>
    <s v="San Jose"/>
    <s v="MBA"/>
    <m/>
    <m/>
    <n v="2024"/>
    <s v="April 03, 2024"/>
    <m/>
    <x v="0"/>
    <m/>
    <s v="MRF"/>
    <s v="OPERATIONAL"/>
    <s v="Technical Assistance"/>
  </r>
  <r>
    <x v="1"/>
    <s v="City of Balanga (Capital)"/>
    <s v="Sibacan"/>
    <s v="MBA"/>
    <m/>
    <m/>
    <n v="2024"/>
    <d v="2024-11-06T00:00:00"/>
    <m/>
    <x v="0"/>
    <m/>
    <s v="MRF"/>
    <s v="OPERATIONAL"/>
    <s v="Technical Assistance"/>
  </r>
  <r>
    <x v="1"/>
    <s v="City of Balanga (Capital)"/>
    <s v="Talisay"/>
    <s v="MBA"/>
    <m/>
    <m/>
    <n v="2024"/>
    <s v="May 29, 2024"/>
    <m/>
    <x v="0"/>
    <m/>
    <s v="MRF"/>
    <s v="NON-OPERATIONAL"/>
    <s v="Technical Assistance"/>
  </r>
  <r>
    <x v="1"/>
    <s v="City of Balanga (Capital)"/>
    <s v="Tanato"/>
    <s v="MBA"/>
    <m/>
    <m/>
    <n v="2025"/>
    <d v="2025-08-06T00:00:00"/>
    <s v="R3-2025-026555"/>
    <x v="0"/>
    <m/>
    <s v="MRS"/>
    <s v="OPERATIONAL"/>
    <s v="Technical Assistance"/>
  </r>
  <r>
    <x v="1"/>
    <s v="City of Balanga (Capital)"/>
    <s v="Tenejero"/>
    <s v="MBA"/>
    <m/>
    <m/>
    <n v="2024"/>
    <s v="May 03, 2024"/>
    <m/>
    <x v="0"/>
    <m/>
    <s v="MRF"/>
    <s v="OPERATIONAL"/>
    <s v="Technical Assistance"/>
  </r>
  <r>
    <x v="1"/>
    <s v="City of Balanga (Capital)"/>
    <s v="Tortugas"/>
    <s v="MBA"/>
    <m/>
    <m/>
    <n v="2024"/>
    <s v="October 02, 2024"/>
    <m/>
    <x v="0"/>
    <m/>
    <s v="MRF"/>
    <s v="OPERATIONAL"/>
    <s v="Technical Assistance"/>
  </r>
  <r>
    <x v="1"/>
    <s v="City of Balanga (Capital)"/>
    <s v="Tuyo"/>
    <s v="MBA"/>
    <m/>
    <m/>
    <n v="2024"/>
    <s v="April 26, 2024"/>
    <m/>
    <x v="0"/>
    <m/>
    <s v="MRF"/>
    <s v="NON-OPERATIONAL"/>
    <s v="Technical Assistance"/>
  </r>
  <r>
    <x v="1"/>
    <s v="Dinalupihan"/>
    <s v="Gen. Luna (Pob.)"/>
    <s v="MBA"/>
    <m/>
    <m/>
    <n v="2025"/>
    <d v="2025-09-02T00:00:00"/>
    <s v="R3-2025-030057"/>
    <x v="0"/>
    <m/>
    <s v="MRS"/>
    <s v="OPERATIONAL"/>
    <s v="Technical Assistance"/>
  </r>
  <r>
    <x v="1"/>
    <s v="Dinalupihan"/>
    <s v="Aquino"/>
    <s v="MBA"/>
    <m/>
    <m/>
    <n v="2024"/>
    <d v="2024-10-31T00:00:00"/>
    <m/>
    <x v="0"/>
    <m/>
    <s v="MRF"/>
    <s v="OPERATIONAL"/>
    <s v="Technical Assistance"/>
  </r>
  <r>
    <x v="1"/>
    <s v="Dinalupihan"/>
    <s v="Bangal"/>
    <s v="MBA"/>
    <m/>
    <m/>
    <n v="2024"/>
    <s v="May 21, 2024"/>
    <m/>
    <x v="0"/>
    <m/>
    <s v="MRF"/>
    <s v="OPERATIONAL"/>
    <s v="Technical Assistance"/>
  </r>
  <r>
    <x v="1"/>
    <s v="Dinalupihan"/>
    <s v="Bayan-bayanan"/>
    <s v="MBA"/>
    <m/>
    <m/>
    <n v="2025"/>
    <d v="2025-10-14T00:00:00"/>
    <s v="R3-2025-035084"/>
    <x v="0"/>
    <m/>
    <s v="MRF"/>
    <s v="OPERATIONAL"/>
    <s v="Technical Assistance"/>
  </r>
  <r>
    <x v="1"/>
    <s v="Dinalupihan"/>
    <s v="Bonifacio (Pob.)"/>
    <s v="MBA"/>
    <m/>
    <m/>
    <n v="2024"/>
    <s v="September 24, 2024"/>
    <m/>
    <x v="0"/>
    <m/>
    <s v="MRF"/>
    <s v="OPERATIONAL"/>
    <s v="Technical Assistance"/>
  </r>
  <r>
    <x v="1"/>
    <s v="Dinalupihan"/>
    <s v="Burgos (Pob.)"/>
    <s v="MBA"/>
    <m/>
    <m/>
    <n v="2024"/>
    <s v="October 08, 2024"/>
    <m/>
    <x v="0"/>
    <m/>
    <s v="MRF"/>
    <s v="NON-OPERATIONAL"/>
    <s v="Technical Assistance"/>
  </r>
  <r>
    <x v="1"/>
    <s v="Dinalupihan"/>
    <s v="Colo"/>
    <s v="MBA"/>
    <m/>
    <m/>
    <n v="2024"/>
    <s v="February 27, 2024"/>
    <m/>
    <x v="0"/>
    <m/>
    <s v="MRF"/>
    <s v="OPERATIONAL"/>
    <s v="Technical Assistance"/>
  </r>
  <r>
    <x v="1"/>
    <s v="Dinalupihan"/>
    <s v="Daang Bago"/>
    <s v="MBA"/>
    <m/>
    <m/>
    <n v="2025"/>
    <d v="2025-01-30T00:00:00"/>
    <s v="R3-2025-003340"/>
    <x v="0"/>
    <m/>
    <s v="MRS"/>
    <s v="NON-OPERATIONAL"/>
    <s v="Technical Assistance"/>
  </r>
  <r>
    <x v="1"/>
    <s v="Dinalupihan"/>
    <s v="Dalao"/>
    <s v="MBA"/>
    <m/>
    <m/>
    <n v="2024"/>
    <s v="March 19, 2024"/>
    <m/>
    <x v="0"/>
    <m/>
    <s v="MRF"/>
    <s v="OPERATIONAL"/>
    <s v="Technical Assistance"/>
  </r>
  <r>
    <x v="1"/>
    <s v="Dinalupihan"/>
    <s v="Del Pilar (Pob.)"/>
    <s v="MBA"/>
    <m/>
    <m/>
    <n v="2024"/>
    <s v="August 28, 2024"/>
    <m/>
    <x v="0"/>
    <m/>
    <s v="MRF"/>
    <s v="OPERATIONAL"/>
    <s v="Technical Assistance"/>
  </r>
  <r>
    <x v="1"/>
    <s v="Dinalupihan"/>
    <s v="Padre Dandan (Pob.)"/>
    <s v="MBA"/>
    <m/>
    <m/>
    <n v="2025"/>
    <d v="2025-09-16T00:00:00"/>
    <s v="R3-2025-031502"/>
    <x v="0"/>
    <m/>
    <s v="MRS"/>
    <s v="NON-OPERATIONAL"/>
    <s v="Technical Assistance"/>
  </r>
  <r>
    <x v="1"/>
    <s v="Dinalupihan"/>
    <s v="Gomez (Pob.)"/>
    <s v="MBA"/>
    <m/>
    <m/>
    <n v="2024"/>
    <s v="September 18, 2024"/>
    <m/>
    <x v="0"/>
    <m/>
    <s v="MRF"/>
    <s v="OPERATIONAL"/>
    <s v="Technical Assistance"/>
  </r>
  <r>
    <x v="1"/>
    <s v="Dinalupihan"/>
    <s v="Happy Valley"/>
    <s v="MBA"/>
    <m/>
    <m/>
    <n v="2024"/>
    <s v="June 20, 2024"/>
    <m/>
    <x v="0"/>
    <m/>
    <s v="MRF"/>
    <s v="NON-OPERATIONAL"/>
    <s v="Technical Assistance"/>
  </r>
  <r>
    <x v="1"/>
    <s v="Dinalupihan"/>
    <s v="Jose C. Payumo, Jr."/>
    <s v="MBA"/>
    <m/>
    <m/>
    <n v="2025"/>
    <d v="2025-06-17T00:00:00"/>
    <s v="R3-2025-020177"/>
    <x v="0"/>
    <m/>
    <s v="MRS"/>
    <s v="OPERATIONAL"/>
    <s v="Technical Assistance"/>
  </r>
  <r>
    <x v="1"/>
    <s v="Dinalupihan"/>
    <s v="Kataasan"/>
    <s v="MBA"/>
    <m/>
    <m/>
    <n v="2024"/>
    <s v="March 27, 2024"/>
    <m/>
    <x v="0"/>
    <m/>
    <s v="MRF"/>
    <s v="OPERATIONAL"/>
    <s v="Technical Assistance"/>
  </r>
  <r>
    <x v="1"/>
    <s v="Dinalupihan"/>
    <s v="Layac"/>
    <s v="MBA"/>
    <m/>
    <m/>
    <n v="2024"/>
    <d v="2024-11-08T00:00:00"/>
    <m/>
    <x v="0"/>
    <m/>
    <s v="MRF"/>
    <s v="OPERATIONAL"/>
    <s v="Technical Assistance"/>
  </r>
  <r>
    <x v="1"/>
    <s v="Dinalupihan"/>
    <s v="Luacan"/>
    <s v="MBA"/>
    <m/>
    <m/>
    <n v="2024"/>
    <s v="July 11, 2024"/>
    <m/>
    <x v="0"/>
    <m/>
    <s v="MRF"/>
    <s v="OPERATIONAL"/>
    <s v="Technical Assistance"/>
  </r>
  <r>
    <x v="1"/>
    <s v="Dinalupihan"/>
    <s v="Mabini Ext. (Pob.)"/>
    <s v="MBA"/>
    <m/>
    <m/>
    <n v="2024"/>
    <s v="October 01, 2024"/>
    <m/>
    <x v="0"/>
    <m/>
    <s v="MRF"/>
    <s v="OPERATIONAL"/>
    <s v="Technical Assistance"/>
  </r>
  <r>
    <x v="1"/>
    <s v="Dinalupihan"/>
    <s v="Mabini Proper (Pob.)"/>
    <s v="MBA"/>
    <m/>
    <m/>
    <n v="2024"/>
    <s v="October 01, 2024"/>
    <m/>
    <x v="0"/>
    <m/>
    <s v="MRF"/>
    <s v="OPERATIONAL"/>
    <s v="Technical Assistance"/>
  </r>
  <r>
    <x v="1"/>
    <s v="Dinalupihan"/>
    <s v="Magsaysay"/>
    <s v="MBA"/>
    <m/>
    <m/>
    <n v="2025"/>
    <d v="2025-08-05T00:00:00"/>
    <s v="R3-2025-026574"/>
    <x v="0"/>
    <m/>
    <s v="MRS"/>
    <s v="NON-OPERATIONAL"/>
    <s v="Technical Assistance"/>
  </r>
  <r>
    <x v="1"/>
    <s v="Dinalupihan"/>
    <s v="Maligaya"/>
    <s v="MBA"/>
    <m/>
    <m/>
    <n v="2025"/>
    <d v="2025-07-31T00:00:00"/>
    <s v="R3-2025-025647"/>
    <x v="0"/>
    <m/>
    <s v="MRS"/>
    <s v="NON-OPERATIONAL"/>
    <s v="Technical Assistance"/>
  </r>
  <r>
    <x v="1"/>
    <s v="Dinalupihan"/>
    <s v="Naparing"/>
    <s v="MBA"/>
    <m/>
    <m/>
    <n v="2024"/>
    <s v="April 26, 2024"/>
    <m/>
    <x v="0"/>
    <m/>
    <s v="MRF"/>
    <s v="OPERATIONAL"/>
    <s v="Technical Assistance"/>
  </r>
  <r>
    <x v="1"/>
    <s v="Dinalupihan"/>
    <s v="New San Jose"/>
    <s v="MBA"/>
    <m/>
    <m/>
    <n v="2024"/>
    <s v="April 02, 2024"/>
    <m/>
    <x v="0"/>
    <m/>
    <s v="MRF"/>
    <s v="NON-OPERATIONAL"/>
    <s v="Technical Assistance"/>
  </r>
  <r>
    <x v="1"/>
    <s v="Dinalupihan"/>
    <s v="Old San Jose"/>
    <s v="MBA"/>
    <m/>
    <m/>
    <n v="2025"/>
    <d v="2025-02-27T00:00:00"/>
    <s v="R3-2025-007071"/>
    <x v="0"/>
    <m/>
    <s v="MRS"/>
    <s v="OPERATIONAL"/>
    <s v="Technical Assistance"/>
  </r>
  <r>
    <x v="1"/>
    <s v="Dinalupihan"/>
    <s v="Pagalanggang"/>
    <s v="MBA"/>
    <m/>
    <m/>
    <n v="2024"/>
    <s v="April 22, 2024"/>
    <m/>
    <x v="0"/>
    <m/>
    <s v="MRF"/>
    <s v="OPERATIONAL"/>
    <s v="Technical Assistance"/>
  </r>
  <r>
    <x v="1"/>
    <s v="Dinalupihan"/>
    <s v="Pag-asa"/>
    <s v="MBA"/>
    <m/>
    <m/>
    <n v="2024"/>
    <s v="February 27, 2024"/>
    <m/>
    <x v="0"/>
    <m/>
    <s v="MRF"/>
    <s v="OPERATIONAL"/>
    <s v="Technical Assistance"/>
  </r>
  <r>
    <x v="1"/>
    <s v="Dinalupihan"/>
    <s v="Payangan"/>
    <s v="MBA"/>
    <m/>
    <m/>
    <n v="2024"/>
    <s v="June 04, 2024"/>
    <m/>
    <x v="0"/>
    <m/>
    <s v="MRF"/>
    <s v="NON-OPERATIONAL"/>
    <s v="Technical Assistance"/>
  </r>
  <r>
    <x v="1"/>
    <s v="Dinalupihan"/>
    <s v="Pentor"/>
    <s v="MBA"/>
    <m/>
    <m/>
    <n v="2024"/>
    <s v="August 13, 2024"/>
    <m/>
    <x v="0"/>
    <m/>
    <s v="MRF"/>
    <s v="OPERATIONAL"/>
    <s v="Technical Assistance"/>
  </r>
  <r>
    <x v="1"/>
    <s v="Dinalupihan"/>
    <s v="Pinulot"/>
    <s v="MBA"/>
    <m/>
    <m/>
    <n v="2025"/>
    <d v="2025-07-01T00:00:00"/>
    <s v="R3-2025-022302"/>
    <x v="0"/>
    <m/>
    <s v="MRS"/>
    <s v="OPERATIONAL"/>
    <s v="Technical Assistance"/>
  </r>
  <r>
    <x v="1"/>
    <s v="Dinalupihan"/>
    <s v="Pita"/>
    <s v="MBA"/>
    <m/>
    <m/>
    <n v="2024"/>
    <s v="March 14, 2024"/>
    <m/>
    <x v="0"/>
    <m/>
    <s v="MRF"/>
    <s v="OPERATIONAL"/>
    <s v="Technical Assistance"/>
  </r>
  <r>
    <x v="1"/>
    <s v="Dinalupihan"/>
    <s v="Rizal (Pob.)"/>
    <s v="MBA"/>
    <m/>
    <m/>
    <n v="2024"/>
    <s v="September 24, 2024"/>
    <m/>
    <x v="0"/>
    <m/>
    <s v="MRS"/>
    <s v="OPERATIONAL"/>
    <s v="Technical Assistance"/>
  </r>
  <r>
    <x v="1"/>
    <s v="Dinalupihan"/>
    <s v="Roosevelt"/>
    <s v="MBA"/>
    <m/>
    <m/>
    <n v="2024"/>
    <s v="May 09, 2024"/>
    <m/>
    <x v="0"/>
    <m/>
    <s v="MRF"/>
    <s v="NON-OPERATIONAL"/>
    <s v="Technical Assistance"/>
  </r>
  <r>
    <x v="1"/>
    <s v="Dinalupihan"/>
    <s v="Roxas (Pob.)"/>
    <s v="MBA"/>
    <m/>
    <m/>
    <n v="2025"/>
    <d v="2025-05-15T00:00:00"/>
    <s v="R3-2025-016601"/>
    <x v="0"/>
    <m/>
    <s v="MRS"/>
    <s v="OPERATIONAL"/>
    <s v="Technical Assistance"/>
  </r>
  <r>
    <x v="1"/>
    <s v="Dinalupihan"/>
    <s v="Saguing"/>
    <s v="MBA"/>
    <m/>
    <m/>
    <n v="2025"/>
    <d v="2025-05-07T00:00:00"/>
    <s v="R3-2025-015576"/>
    <x v="0"/>
    <m/>
    <s v="MRS"/>
    <s v="NON-OPERATIONAL"/>
    <s v="Technical Assistance"/>
  </r>
  <r>
    <x v="1"/>
    <s v="Dinalupihan"/>
    <s v="San Benito"/>
    <s v="MBA"/>
    <m/>
    <m/>
    <n v="2025"/>
    <d v="2025-10-07T00:00:00"/>
    <s v="R3-2025-034104"/>
    <x v="0"/>
    <m/>
    <s v="MRS"/>
    <s v="NON-OPERATIONAL"/>
    <s v="Technical Assistance"/>
  </r>
  <r>
    <x v="1"/>
    <s v="Dinalupihan"/>
    <s v="San Isidro (Pob.)"/>
    <s v="MBA"/>
    <m/>
    <m/>
    <n v="2024"/>
    <s v="August 20, 2024"/>
    <m/>
    <x v="0"/>
    <m/>
    <s v="MRF"/>
    <s v="OPERATIONAL"/>
    <s v="Technical Assistance"/>
  </r>
  <r>
    <x v="1"/>
    <s v="Dinalupihan"/>
    <s v="San Pablo"/>
    <s v="MBA"/>
    <m/>
    <m/>
    <n v="2024"/>
    <s v="May 29, 2024"/>
    <m/>
    <x v="0"/>
    <m/>
    <s v="MRF"/>
    <s v="OPERATIONAL"/>
    <s v="Technical Assistance"/>
  </r>
  <r>
    <x v="1"/>
    <s v="Dinalupihan"/>
    <s v="San Ramon"/>
    <s v="MBA"/>
    <m/>
    <m/>
    <n v="2024"/>
    <d v="2024-10-16T00:00:00"/>
    <m/>
    <x v="0"/>
    <m/>
    <s v="MRF"/>
    <s v="OPERATIONAL"/>
    <s v="Technical Assistance"/>
  </r>
  <r>
    <x v="1"/>
    <s v="Dinalupihan"/>
    <s v="San Simon"/>
    <s v="MBA"/>
    <m/>
    <m/>
    <n v="2024"/>
    <s v="April 22, 2024"/>
    <m/>
    <x v="0"/>
    <m/>
    <s v="MRF"/>
    <s v="NON-OPERATIONAL"/>
    <s v="Technical Assistance"/>
  </r>
  <r>
    <x v="1"/>
    <s v="Dinalupihan"/>
    <s v="Santa Isabel"/>
    <s v="MBA"/>
    <m/>
    <m/>
    <n v="2025"/>
    <d v="2025-06-03T00:00:00"/>
    <s v="R3-2025-018855"/>
    <x v="0"/>
    <m/>
    <s v="MRS"/>
    <s v="OPERATIONAL"/>
    <s v="Technical Assistance"/>
  </r>
  <r>
    <x v="1"/>
    <s v="Dinalupihan"/>
    <s v="Santo Niño"/>
    <s v="MBA"/>
    <m/>
    <m/>
    <n v="2024"/>
    <s v="March 27, 2024"/>
    <m/>
    <x v="0"/>
    <m/>
    <s v="MRF"/>
    <s v="NON-OPERATIONAL"/>
    <s v="Technical Assistance"/>
  </r>
  <r>
    <x v="1"/>
    <s v="Dinalupihan"/>
    <s v="Sapang Balas"/>
    <s v="MBA"/>
    <m/>
    <m/>
    <n v="2025"/>
    <d v="2025-07-16T00:00:00"/>
    <s v="R3-2025-023842"/>
    <x v="0"/>
    <m/>
    <s v="MRS"/>
    <s v="OPERATIONAL"/>
    <s v="Technical Assistance"/>
  </r>
  <r>
    <x v="1"/>
    <s v="Dinalupihan"/>
    <s v="Torres Bugauen (Pob.)"/>
    <s v="MBA"/>
    <m/>
    <m/>
    <n v="2025"/>
    <d v="2025-06-10T00:00:00"/>
    <s v="R3-2025-019599"/>
    <x v="0"/>
    <m/>
    <s v="MRS"/>
    <s v="OPERATIONAL"/>
    <s v="Technical Assistance"/>
  </r>
  <r>
    <x v="1"/>
    <s v="Dinalupihan"/>
    <s v="Tubo-tubo"/>
    <s v="MBA"/>
    <m/>
    <m/>
    <n v="2024"/>
    <s v="June 27, 2024"/>
    <m/>
    <x v="0"/>
    <m/>
    <s v="MRF"/>
    <s v="NON-OPERATIONAL"/>
    <s v="Technical Assistance"/>
  </r>
  <r>
    <x v="1"/>
    <s v="Dinalupihan"/>
    <s v="Tucop"/>
    <s v="MBA"/>
    <m/>
    <m/>
    <n v="2024"/>
    <s v="March 07, 2024"/>
    <m/>
    <x v="0"/>
    <m/>
    <s v="MRF"/>
    <s v="OPERATIONAL"/>
    <s v="Technical Assistance"/>
  </r>
  <r>
    <x v="1"/>
    <s v="Dinalupihan"/>
    <s v="Zamora (Pob.)"/>
    <s v="MBA"/>
    <m/>
    <m/>
    <n v="2024"/>
    <s v="September 10, 2024"/>
    <m/>
    <x v="0"/>
    <m/>
    <s v="MRF"/>
    <s v="NON-OPERATIONAL"/>
    <s v="Technical Assistance"/>
  </r>
  <r>
    <x v="1"/>
    <s v="Hermosa"/>
    <s v="A. Rivera (Pob.)"/>
    <s v="MBA"/>
    <m/>
    <m/>
    <n v="2024"/>
    <s v="March 08, 2024"/>
    <m/>
    <x v="0"/>
    <m/>
    <s v="MRF"/>
    <s v="OPERATIONAL"/>
    <s v="Technical Assistance"/>
  </r>
  <r>
    <x v="1"/>
    <s v="Hermosa"/>
    <s v="Almacen"/>
    <s v="MBA"/>
    <m/>
    <m/>
    <n v="2024"/>
    <s v="April 19, 2024"/>
    <m/>
    <x v="0"/>
    <m/>
    <s v="MRF"/>
    <s v="OPERATIONAL"/>
    <s v="Technical Assistance"/>
  </r>
  <r>
    <x v="1"/>
    <s v="Hermosa"/>
    <s v="Bacong"/>
    <s v="MBA"/>
    <m/>
    <m/>
    <n v="2024"/>
    <s v="June 21, 2024"/>
    <m/>
    <x v="0"/>
    <m/>
    <s v="MRF"/>
    <s v="OPERATIONAL"/>
    <s v="Technical Assistance"/>
  </r>
  <r>
    <x v="1"/>
    <s v="Hermosa"/>
    <s v="Balsic"/>
    <s v="MBA"/>
    <m/>
    <m/>
    <n v="2024"/>
    <s v="May 23, 2024"/>
    <m/>
    <x v="0"/>
    <m/>
    <m/>
    <m/>
    <s v="Technical Assistance"/>
  </r>
  <r>
    <x v="1"/>
    <s v="Hermosa"/>
    <s v="Bamban"/>
    <s v="MBA"/>
    <m/>
    <m/>
    <n v="2024"/>
    <s v="May 30, 2024"/>
    <m/>
    <x v="0"/>
    <m/>
    <s v="MRF"/>
    <s v="OPERATIONAL"/>
    <s v="Technical Assistance"/>
  </r>
  <r>
    <x v="1"/>
    <s v="Hermosa"/>
    <s v="Burgos-Soliman (Pob.)"/>
    <s v="MBA"/>
    <m/>
    <m/>
    <n v="2024"/>
    <s v="March 13, 2024"/>
    <m/>
    <x v="0"/>
    <m/>
    <s v="MRF"/>
    <s v="OPERATIONAL"/>
    <s v="Technical Assistance"/>
  </r>
  <r>
    <x v="1"/>
    <s v="Hermosa"/>
    <s v="Cataning (Pob.)"/>
    <s v="MBA"/>
    <m/>
    <m/>
    <n v="2024"/>
    <s v="February 29, 2024"/>
    <m/>
    <x v="0"/>
    <m/>
    <s v="MRF"/>
    <s v="OPERATIONAL"/>
    <s v="Technical Assistance"/>
  </r>
  <r>
    <x v="1"/>
    <s v="Hermosa"/>
    <s v="Culis"/>
    <s v="MBA"/>
    <m/>
    <m/>
    <n v="2024"/>
    <s v="February 23, 2024"/>
    <m/>
    <x v="0"/>
    <m/>
    <s v="MRF"/>
    <s v="OPERATIONAL"/>
    <s v="Technical Assistance"/>
  </r>
  <r>
    <x v="1"/>
    <s v="Hermosa"/>
    <s v="Daungan (Pob.)"/>
    <s v="MBA"/>
    <m/>
    <m/>
    <n v="2024"/>
    <s v="May 08, 2024"/>
    <m/>
    <x v="0"/>
    <m/>
    <s v="MRF"/>
    <s v="OPERATIONAL"/>
    <s v="Technical Assistance"/>
  </r>
  <r>
    <x v="1"/>
    <s v="Hermosa"/>
    <s v="Judge Roman Cruz Sr. (Mandama)"/>
    <s v="MBA"/>
    <m/>
    <m/>
    <n v="2024"/>
    <s v="February 29, 2024"/>
    <m/>
    <x v="0"/>
    <m/>
    <s v="MRF"/>
    <s v="OPERATIONAL"/>
    <s v="Technical Assistance"/>
  </r>
  <r>
    <x v="1"/>
    <s v="Hermosa"/>
    <s v="Mabiga"/>
    <s v="MBA"/>
    <m/>
    <m/>
    <n v="2024"/>
    <s v="June 25, 2024"/>
    <m/>
    <x v="0"/>
    <m/>
    <s v="MRF"/>
    <s v="OPERATIONAL"/>
    <s v="Technical Assistance"/>
  </r>
  <r>
    <x v="1"/>
    <s v="Hermosa"/>
    <s v="Mabuco"/>
    <s v="MBA"/>
    <m/>
    <m/>
    <n v="2024"/>
    <s v="March 22, 2024"/>
    <m/>
    <x v="0"/>
    <m/>
    <s v="MRF"/>
    <s v="OPERATIONAL"/>
    <s v="Technical Assistance"/>
  </r>
  <r>
    <x v="1"/>
    <s v="Hermosa"/>
    <s v="Maite"/>
    <s v="MBA"/>
    <m/>
    <m/>
    <n v="2024"/>
    <s v="August 14, 2024"/>
    <m/>
    <x v="0"/>
    <m/>
    <s v="MRF"/>
    <s v="OPERATIONAL"/>
    <s v="Technical Assistance"/>
  </r>
  <r>
    <x v="1"/>
    <s v="Hermosa"/>
    <s v="Mambog - Mandama"/>
    <s v="MBA"/>
    <m/>
    <m/>
    <n v="2024"/>
    <s v="May 16, 2024"/>
    <m/>
    <x v="0"/>
    <m/>
    <s v="MRF"/>
    <s v="OPERATIONAL"/>
    <s v="Technical Assistance"/>
  </r>
  <r>
    <x v="1"/>
    <s v="Hermosa"/>
    <s v="Palihan"/>
    <s v="MBA"/>
    <m/>
    <m/>
    <n v="2024"/>
    <s v="February 23, 2024"/>
    <m/>
    <x v="0"/>
    <m/>
    <s v="MRF"/>
    <s v="OPERATIONAL"/>
    <s v="Technical Assistance"/>
  </r>
  <r>
    <x v="1"/>
    <s v="Hermosa"/>
    <s v="Pandatung"/>
    <s v="MBA"/>
    <m/>
    <m/>
    <n v="2024"/>
    <s v="July 12, 2024"/>
    <m/>
    <x v="0"/>
    <m/>
    <s v="MRF"/>
    <s v="OPERATIONAL"/>
    <s v="Technical Assistance"/>
  </r>
  <r>
    <x v="1"/>
    <s v="Hermosa"/>
    <s v="Pulo"/>
    <s v="MBA"/>
    <m/>
    <m/>
    <n v="2024"/>
    <s v="June 05, 2024"/>
    <m/>
    <x v="0"/>
    <m/>
    <s v="MRF"/>
    <s v="OPERATIONAL"/>
    <s v="Technical Assistance"/>
  </r>
  <r>
    <x v="1"/>
    <s v="Hermosa"/>
    <s v="Saba"/>
    <s v="MBA"/>
    <m/>
    <m/>
    <n v="2024"/>
    <s v="June 14, 2024"/>
    <m/>
    <x v="0"/>
    <m/>
    <s v="MRF"/>
    <s v="OPERATIONAL"/>
    <s v="Technical Assistance"/>
  </r>
  <r>
    <x v="1"/>
    <s v="Hermosa"/>
    <s v="Sacrifice Valley"/>
    <s v="MBA"/>
    <m/>
    <m/>
    <n v="2024"/>
    <s v="July 02, 2024"/>
    <m/>
    <x v="0"/>
    <m/>
    <s v="MRF"/>
    <s v="OPERATIONAL"/>
    <s v="Technical Assistance"/>
  </r>
  <r>
    <x v="1"/>
    <s v="Hermosa"/>
    <s v="San Pedro (Pob.)"/>
    <s v="MBA"/>
    <m/>
    <m/>
    <n v="2024"/>
    <s v="April 03, 2024"/>
    <m/>
    <x v="0"/>
    <m/>
    <s v="MRF"/>
    <s v="OPERATIONAL"/>
    <s v="Technical Assistance"/>
  </r>
  <r>
    <x v="1"/>
    <s v="Hermosa"/>
    <s v="Santo Cristo (Pob.)"/>
    <s v="MBA"/>
    <m/>
    <m/>
    <n v="2024"/>
    <s v="Aparil 23, 2024"/>
    <m/>
    <x v="0"/>
    <m/>
    <m/>
    <m/>
    <s v="Technical Assistance"/>
  </r>
  <r>
    <x v="1"/>
    <s v="Hermosa"/>
    <s v="Sumalo"/>
    <s v="MBA"/>
    <m/>
    <m/>
    <n v="2024"/>
    <s v="August 08, 2024"/>
    <m/>
    <x v="0"/>
    <m/>
    <s v="MRF"/>
    <s v="OPERATIONAL"/>
    <s v="Technical Assistance"/>
  </r>
  <r>
    <x v="1"/>
    <s v="Hermosa"/>
    <s v="Tipo"/>
    <s v="MBA"/>
    <m/>
    <m/>
    <n v="2024"/>
    <s v="August 14, 2024"/>
    <m/>
    <x v="0"/>
    <m/>
    <s v="MRF"/>
    <s v="OPERATIONAL"/>
    <s v="Technical Assistance"/>
  </r>
  <r>
    <x v="1"/>
    <s v="Limay"/>
    <s v="Alangan"/>
    <s v="MBA"/>
    <m/>
    <m/>
    <n v="2024"/>
    <s v="March 07, 2024"/>
    <m/>
    <x v="0"/>
    <m/>
    <s v="MRF"/>
    <s v="OPERATIONAL"/>
    <s v="Technical Assistance"/>
  </r>
  <r>
    <x v="1"/>
    <s v="Limay"/>
    <s v="Duale"/>
    <s v="MBA"/>
    <m/>
    <m/>
    <n v="2024"/>
    <s v="March 07, 2024"/>
    <m/>
    <x v="0"/>
    <m/>
    <s v="MRF"/>
    <s v="OPERATIONAL"/>
    <s v="Technical Assistance"/>
  </r>
  <r>
    <x v="1"/>
    <s v="Limay"/>
    <s v="Kitang 2 &amp; Luz"/>
    <s v="MBA"/>
    <m/>
    <m/>
    <n v="2024"/>
    <s v="April 05, 2024"/>
    <m/>
    <x v="0"/>
    <m/>
    <s v="MRF"/>
    <s v="OPERATIONAL"/>
    <s v="Technical Assistance"/>
  </r>
  <r>
    <x v="1"/>
    <s v="Limay"/>
    <s v="Kitang I"/>
    <s v="MBA"/>
    <m/>
    <m/>
    <n v="2024"/>
    <s v="September 06, 2024"/>
    <m/>
    <x v="0"/>
    <m/>
    <s v="MRF"/>
    <s v="OPERATIONAL"/>
    <s v="Technical Assistance"/>
  </r>
  <r>
    <x v="1"/>
    <s v="Limay"/>
    <s v="Lamao"/>
    <s v="MBA"/>
    <m/>
    <m/>
    <n v="2024"/>
    <s v="March 07, 2024"/>
    <m/>
    <x v="0"/>
    <m/>
    <s v="MRF"/>
    <s v="OPERATIONAL"/>
    <s v="Technical Assistance"/>
  </r>
  <r>
    <x v="1"/>
    <s v="Limay"/>
    <s v="Landing"/>
    <s v="MBA"/>
    <m/>
    <m/>
    <n v="2024"/>
    <s v="August 09, 2024"/>
    <m/>
    <x v="0"/>
    <m/>
    <s v="MRF"/>
    <s v="OPERATIONAL"/>
    <s v="Technical Assistance"/>
  </r>
  <r>
    <x v="1"/>
    <s v="Limay"/>
    <s v="Poblacion"/>
    <s v="MBA"/>
    <m/>
    <m/>
    <n v="2024"/>
    <s v="April 19, 2024"/>
    <m/>
    <x v="0"/>
    <m/>
    <s v="MRF"/>
    <s v="OPERATIONAL"/>
    <s v="Technical Assistance"/>
  </r>
  <r>
    <x v="1"/>
    <s v="Limay"/>
    <s v="Reformista"/>
    <s v="MBA"/>
    <m/>
    <m/>
    <n v="2024"/>
    <s v="June 28, 2024"/>
    <m/>
    <x v="0"/>
    <m/>
    <s v="MRF"/>
    <s v="OPERATIONAL"/>
    <s v="Technical Assistance"/>
  </r>
  <r>
    <x v="1"/>
    <s v="Limay"/>
    <s v="San Francisco de Asis"/>
    <s v="MBA"/>
    <m/>
    <m/>
    <n v="2024"/>
    <s v="June 21, 2024"/>
    <m/>
    <x v="0"/>
    <m/>
    <s v="MRS"/>
    <s v="OPERATIONAL"/>
    <s v="Technical Assistance"/>
  </r>
  <r>
    <x v="1"/>
    <s v="Limay"/>
    <s v="St. Francis II"/>
    <s v="MBA"/>
    <m/>
    <m/>
    <n v="2024"/>
    <s v="March 13, 2024"/>
    <m/>
    <x v="0"/>
    <m/>
    <s v="MRS"/>
    <s v="OPERATIONAL"/>
    <s v="Technical Assistance"/>
  </r>
  <r>
    <x v="1"/>
    <s v="Limay"/>
    <s v="Townsite"/>
    <s v="MBA"/>
    <m/>
    <m/>
    <n v="2024"/>
    <s v="June 04, 2024"/>
    <m/>
    <x v="0"/>
    <m/>
    <s v="MRF"/>
    <s v="OPERATIONAL"/>
    <s v="Technical Assistance"/>
  </r>
  <r>
    <x v="1"/>
    <s v="Limay"/>
    <s v="Wawa"/>
    <s v="MBA"/>
    <m/>
    <m/>
    <n v="2024"/>
    <s v="August 30, 2024"/>
    <m/>
    <x v="0"/>
    <m/>
    <s v="MRS"/>
    <s v="OPERATIONAL"/>
    <s v="Technical Assistance"/>
  </r>
  <r>
    <x v="1"/>
    <s v="Mariveles"/>
    <s v="Malaya"/>
    <s v="MBA"/>
    <m/>
    <m/>
    <n v="2025"/>
    <d v="2025-09-09T00:00:00"/>
    <s v="R3-2025-030919"/>
    <x v="0"/>
    <m/>
    <s v="MRF"/>
    <s v="OPERATIONAL"/>
    <s v="Technical Assistance"/>
  </r>
  <r>
    <x v="1"/>
    <s v="Mariveles"/>
    <s v="Alas-asin"/>
    <s v="MBA"/>
    <m/>
    <m/>
    <n v="2025"/>
    <d v="2025-02-06T00:00:00"/>
    <s v="R3-2025-004655"/>
    <x v="0"/>
    <m/>
    <s v="MRF"/>
    <s v="OPERATIONAL"/>
    <s v="Technical Assistance"/>
  </r>
  <r>
    <x v="1"/>
    <s v="Mariveles"/>
    <s v="Alion"/>
    <s v="MBA"/>
    <m/>
    <m/>
    <n v="2025"/>
    <d v="2025-04-25T00:00:00"/>
    <s v="R3-2025-014306"/>
    <x v="0"/>
    <m/>
    <s v="MRF"/>
    <s v="OPERATIONAL"/>
    <s v="Technical Assistance"/>
  </r>
  <r>
    <x v="1"/>
    <s v="Mariveles"/>
    <s v="Balon-Anito"/>
    <s v="MBA"/>
    <m/>
    <m/>
    <n v="2025"/>
    <d v="2025-10-16T00:00:00"/>
    <s v="R3-2025-035299"/>
    <x v="0"/>
    <m/>
    <s v="MRF"/>
    <s v="OPERATIONAL"/>
    <s v="Technical Assistance"/>
  </r>
  <r>
    <x v="1"/>
    <s v="Mariveles"/>
    <s v="Baseco Country"/>
    <s v="MBA"/>
    <m/>
    <m/>
    <n v="2025"/>
    <d v="2025-07-09T00:00:00"/>
    <s v="R3-2025-023329"/>
    <x v="0"/>
    <m/>
    <s v="MRF"/>
    <s v="OPERATIONAL"/>
    <s v="Technical Assistance"/>
  </r>
  <r>
    <x v="1"/>
    <s v="Mariveles"/>
    <s v="Batangas II"/>
    <s v="MBA"/>
    <m/>
    <m/>
    <n v="2025"/>
    <d v="2025-03-25T00:00:00"/>
    <s v="R3-2025-010807"/>
    <x v="0"/>
    <m/>
    <s v="MRF"/>
    <s v="OPERATIONAL"/>
    <s v="Technical Assistance"/>
  </r>
  <r>
    <x v="1"/>
    <s v="Mariveles"/>
    <s v="Biaan"/>
    <s v="MBA"/>
    <m/>
    <m/>
    <n v="2024"/>
    <d v="2024-10-16T00:00:00"/>
    <m/>
    <x v="0"/>
    <m/>
    <s v="MRF"/>
    <s v="NON-OPERATIONAL"/>
    <s v="Technical Assistance"/>
  </r>
  <r>
    <x v="1"/>
    <s v="Mariveles"/>
    <s v="Cabcaben"/>
    <s v="MBA"/>
    <m/>
    <m/>
    <n v="2024"/>
    <d v="2024-10-10T00:00:00"/>
    <m/>
    <x v="0"/>
    <m/>
    <s v="MRF"/>
    <s v="NON-OPERATIONAL"/>
    <s v="Technical Assistance"/>
  </r>
  <r>
    <x v="1"/>
    <s v="Mariveles"/>
    <s v="Camaya"/>
    <s v="MBA"/>
    <m/>
    <m/>
    <n v="2025"/>
    <d v="2025-02-25T00:00:00"/>
    <s v="R3-2025-007213"/>
    <x v="0"/>
    <m/>
    <s v="MRS"/>
    <s v="NON-OPERATIONAL"/>
    <s v="Technical Assistance"/>
  </r>
  <r>
    <x v="1"/>
    <s v="Mariveles"/>
    <s v="Ipag"/>
    <s v="MBA"/>
    <m/>
    <m/>
    <n v="2025"/>
    <d v="2025-08-07T00:00:00"/>
    <s v="R3-2025-026615"/>
    <x v="0"/>
    <m/>
    <s v="MRS"/>
    <s v="OPERATIONAL"/>
    <s v="Technical Assistance"/>
  </r>
  <r>
    <x v="1"/>
    <s v="Mariveles"/>
    <s v="Lucanin"/>
    <s v="MBA"/>
    <m/>
    <m/>
    <n v="2025"/>
    <d v="2025-10-16T00:00:00"/>
    <s v="R3-2025-035295"/>
    <x v="0"/>
    <m/>
    <s v="NO FACILITY"/>
    <s v="CATER BY LGU"/>
    <s v="Technical Assistance"/>
  </r>
  <r>
    <x v="1"/>
    <s v="Mariveles"/>
    <s v="Maligaya"/>
    <s v="MBA"/>
    <m/>
    <m/>
    <n v="2025"/>
    <d v="2025-08-27T00:00:00"/>
    <s v="R3-2025-029091"/>
    <x v="0"/>
    <m/>
    <s v="MRS"/>
    <s v="OPERATIONAL"/>
    <s v="Technical Assistance"/>
  </r>
  <r>
    <x v="1"/>
    <s v="Mariveles"/>
    <s v="Mt. View"/>
    <s v="MBA"/>
    <m/>
    <m/>
    <n v="2024"/>
    <s v="October 10, 2024"/>
    <m/>
    <x v="0"/>
    <m/>
    <s v="MRS"/>
    <s v="OPERATIONAL"/>
    <s v="Technical Assistance"/>
  </r>
  <r>
    <x v="1"/>
    <s v="Mariveles"/>
    <s v="Poblacion"/>
    <s v="MBA"/>
    <m/>
    <m/>
    <n v="2025"/>
    <d v="2025-01-21T00:00:00"/>
    <s v="R3-2025-001880"/>
    <x v="0"/>
    <m/>
    <s v="MRS"/>
    <s v="NON-OPERATIONAL"/>
    <s v="Technical Assistance"/>
  </r>
  <r>
    <x v="1"/>
    <s v="Mariveles"/>
    <s v="San Carlos"/>
    <s v="MBA"/>
    <m/>
    <m/>
    <n v="2024"/>
    <d v="2024-10-30T00:00:00"/>
    <m/>
    <x v="0"/>
    <m/>
    <s v="MRS"/>
    <s v="OPERATIONAL"/>
    <s v="Technical Assistance"/>
  </r>
  <r>
    <x v="1"/>
    <s v="Mariveles"/>
    <s v="San Isidro"/>
    <s v="MBA"/>
    <m/>
    <m/>
    <n v="2025"/>
    <d v="2025-10-07T00:00:00"/>
    <s v="R3-2025-034285"/>
    <x v="0"/>
    <m/>
    <s v="MRS"/>
    <s v="OPERATIONAL"/>
    <s v="Technical Assistance"/>
  </r>
  <r>
    <x v="1"/>
    <s v="Mariveles"/>
    <s v="Sisiman"/>
    <s v="MBA"/>
    <m/>
    <m/>
    <n v="2025"/>
    <d v="2025-07-09T00:00:00"/>
    <s v="R3-2025-023338"/>
    <x v="0"/>
    <m/>
    <s v="MRF"/>
    <s v="OPERATIONAL"/>
    <s v="Technical Assistance"/>
  </r>
  <r>
    <x v="1"/>
    <s v="Mariveles"/>
    <s v="Townsite"/>
    <s v="MBA"/>
    <m/>
    <m/>
    <n v="2025"/>
    <d v="2025-10-16T00:00:00"/>
    <s v="R3-2025-035297"/>
    <x v="0"/>
    <m/>
    <s v="NO FACILITY"/>
    <s v="CATER BY LGU"/>
    <s v="Technical Assistance"/>
  </r>
  <r>
    <x v="1"/>
    <s v="Morong"/>
    <s v="Binaritan"/>
    <s v="MBA"/>
    <m/>
    <m/>
    <n v="2025"/>
    <d v="2025-02-20T00:00:00"/>
    <s v="R3-2025-006501"/>
    <x v="0"/>
    <m/>
    <s v="MRS"/>
    <s v="OPERATIONAL"/>
    <s v="Technical Assistance"/>
  </r>
  <r>
    <x v="1"/>
    <s v="Morong"/>
    <s v="Mabayo"/>
    <s v="MBA"/>
    <m/>
    <m/>
    <n v="2025"/>
    <d v="2025-07-10T00:00:00"/>
    <s v="R3-2025-023347"/>
    <x v="0"/>
    <m/>
    <s v="NO FACILITY"/>
    <s v="CATER BY LGU"/>
    <s v="Technical Assistance"/>
  </r>
  <r>
    <x v="1"/>
    <s v="Morong"/>
    <s v="Nagbalayong"/>
    <s v="MBA"/>
    <m/>
    <m/>
    <n v="2024"/>
    <s v="September 19, 2024"/>
    <m/>
    <x v="0"/>
    <m/>
    <s v="MRF"/>
    <s v="NON-OPERATIONAL"/>
    <s v="Technical Assistance"/>
  </r>
  <r>
    <x v="1"/>
    <s v="Morong"/>
    <s v="Poblacion"/>
    <s v="MBA"/>
    <m/>
    <m/>
    <n v="2024"/>
    <s v="September 10, 2024"/>
    <m/>
    <x v="0"/>
    <m/>
    <s v="MRF"/>
    <s v="OPERATIONAL"/>
    <s v="Technical Assistance"/>
  </r>
  <r>
    <x v="1"/>
    <s v="Morong"/>
    <s v="Sabang"/>
    <s v="MBA"/>
    <m/>
    <m/>
    <n v="2024"/>
    <d v="2024-10-17T00:00:00"/>
    <m/>
    <x v="0"/>
    <m/>
    <s v="MRS"/>
    <s v="CATER BY LGU"/>
    <s v="Technical Assistance"/>
  </r>
  <r>
    <x v="1"/>
    <s v="Orani"/>
    <s v="Apollo"/>
    <s v="MBA"/>
    <m/>
    <m/>
    <n v="2024"/>
    <s v="April 24, 2024"/>
    <m/>
    <x v="0"/>
    <m/>
    <m/>
    <m/>
    <s v="Technical Assistance"/>
  </r>
  <r>
    <x v="1"/>
    <s v="Orani"/>
    <s v="Bagong Paraiso (Pob.)"/>
    <s v="MBA"/>
    <m/>
    <m/>
    <n v="2024"/>
    <s v="February 21, 2024"/>
    <m/>
    <x v="0"/>
    <m/>
    <s v="MRF"/>
    <s v="OPERATIONAL"/>
    <s v="Technical Assistance"/>
  </r>
  <r>
    <x v="1"/>
    <s v="Orani"/>
    <s v="Balut (Pob.)"/>
    <s v="MBA"/>
    <m/>
    <m/>
    <n v="2024"/>
    <s v="May 24, 2024"/>
    <m/>
    <x v="0"/>
    <m/>
    <s v="MRF"/>
    <s v="OPERATIONAL"/>
    <s v="Technical Assistance"/>
  </r>
  <r>
    <x v="1"/>
    <s v="Orani"/>
    <s v="Bayan (Pob.)"/>
    <s v="MBA"/>
    <m/>
    <m/>
    <n v="2024"/>
    <d v="2024-11-06T00:00:00"/>
    <m/>
    <x v="0"/>
    <m/>
    <s v="MRF"/>
    <s v="NON-OPERATIONAL"/>
    <s v="Technical Assistance"/>
  </r>
  <r>
    <x v="1"/>
    <s v="Orani"/>
    <s v="Calero (Pob.)"/>
    <s v="MBA"/>
    <m/>
    <m/>
    <n v="2024"/>
    <s v="September 26, 2024"/>
    <m/>
    <x v="0"/>
    <m/>
    <s v="MRF"/>
    <s v="OPERATIONAL"/>
    <s v="Technical Assistance"/>
  </r>
  <r>
    <x v="1"/>
    <s v="Orani"/>
    <s v="Centro I (Pob.)"/>
    <s v="MBA"/>
    <m/>
    <m/>
    <n v="2024"/>
    <s v="May 14, 2024"/>
    <m/>
    <x v="0"/>
    <m/>
    <s v="MRF"/>
    <s v="OPERATIONAL"/>
    <s v="Technical Assistance"/>
  </r>
  <r>
    <x v="1"/>
    <s v="Orani"/>
    <s v="Centro II (Pob.)"/>
    <s v="MBA"/>
    <m/>
    <m/>
    <n v="2024"/>
    <s v="June 26, 2024"/>
    <m/>
    <x v="0"/>
    <m/>
    <s v="MRF"/>
    <s v="NON-OPERATIONAL"/>
    <s v="Technical Assistance"/>
  </r>
  <r>
    <x v="1"/>
    <s v="Orani"/>
    <s v="Dona"/>
    <s v="MBA"/>
    <m/>
    <m/>
    <n v="2024"/>
    <s v="July 05, 2024"/>
    <m/>
    <x v="0"/>
    <m/>
    <s v="MRF"/>
    <s v="NON-OPERATIONAL"/>
    <s v="Technical Assistance"/>
  </r>
  <r>
    <x v="1"/>
    <s v="Orani"/>
    <s v="Kabalutan"/>
    <s v="MBA"/>
    <m/>
    <m/>
    <n v="2025"/>
    <d v="2025-01-22T00:00:00"/>
    <s v="R3-2025-002003"/>
    <x v="0"/>
    <m/>
    <s v="MRS"/>
    <s v="OPERATIONAL"/>
    <s v="Technical Assistance"/>
  </r>
  <r>
    <x v="1"/>
    <s v="Orani"/>
    <s v="Kaparangan"/>
    <s v="MBA"/>
    <m/>
    <m/>
    <n v="2024"/>
    <s v="September 20, 2024"/>
    <m/>
    <x v="0"/>
    <m/>
    <s v="MRF"/>
    <s v="NON-OPERATIONAL"/>
    <s v="Technical Assistance"/>
  </r>
  <r>
    <x v="1"/>
    <s v="Orani"/>
    <s v="Maria Fe"/>
    <s v="MBA"/>
    <m/>
    <m/>
    <n v="2024"/>
    <s v="February 21, 2024"/>
    <m/>
    <x v="0"/>
    <m/>
    <s v="MRF"/>
    <s v="OPERATIONAL"/>
    <s v="Technical Assistance"/>
  </r>
  <r>
    <x v="1"/>
    <s v="Orani"/>
    <s v="Masantol"/>
    <s v="MBA"/>
    <m/>
    <m/>
    <n v="2024"/>
    <s v="July 09, 2024"/>
    <m/>
    <x v="0"/>
    <m/>
    <s v="MRS"/>
    <s v="NON-OPERATIONAL"/>
    <s v="Technical Assistance"/>
  </r>
  <r>
    <x v="1"/>
    <s v="Orani"/>
    <s v="Mulawin"/>
    <s v="MBA"/>
    <m/>
    <m/>
    <n v="2024"/>
    <s v="February 22, 2024"/>
    <m/>
    <x v="0"/>
    <m/>
    <s v="MRF"/>
    <s v="OPERATIONAL"/>
    <s v="Technical Assistance"/>
  </r>
  <r>
    <x v="1"/>
    <s v="Orani"/>
    <s v="Pag-asa"/>
    <s v="MBA"/>
    <m/>
    <m/>
    <n v="2024"/>
    <s v="August 01, 2024"/>
    <m/>
    <x v="0"/>
    <m/>
    <s v="MRF"/>
    <s v="OPERATIONAL"/>
    <s v="Technical Assistance"/>
  </r>
  <r>
    <x v="1"/>
    <s v="Orani"/>
    <s v="Paking-Carbonero (Pob.)"/>
    <s v="MBA"/>
    <m/>
    <m/>
    <n v="2024"/>
    <s v="August 22, 2024"/>
    <m/>
    <x v="0"/>
    <m/>
    <s v="MRF"/>
    <s v="NON-OPERATIONAL"/>
    <s v="Technical Assistance"/>
  </r>
  <r>
    <x v="1"/>
    <s v="Orani"/>
    <s v="Palihan (Pob.)"/>
    <s v="MBA"/>
    <m/>
    <m/>
    <n v="2024"/>
    <s v="February 28, 2024"/>
    <m/>
    <x v="0"/>
    <m/>
    <s v="MRF"/>
    <s v="NON-OPERATIONAL"/>
    <s v="Technical Assistance"/>
  </r>
  <r>
    <x v="1"/>
    <s v="Orani"/>
    <s v="Pantalan Bago (Pob.)"/>
    <s v="MBA"/>
    <m/>
    <m/>
    <n v="2024"/>
    <s v="April 05, 2024"/>
    <m/>
    <x v="0"/>
    <m/>
    <s v="MRF"/>
    <s v="OPERATIONAL"/>
    <s v="Technical Assistance"/>
  </r>
  <r>
    <x v="1"/>
    <s v="Orani"/>
    <s v="Pantalan Luma (Pob.)"/>
    <s v="MBA"/>
    <m/>
    <m/>
    <n v="2024"/>
    <s v="May 02, 2024"/>
    <m/>
    <x v="0"/>
    <m/>
    <s v="MRF"/>
    <s v="OPERATIONAL"/>
    <s v="Technical Assistance"/>
  </r>
  <r>
    <x v="1"/>
    <s v="Orani"/>
    <s v="Parang Parang (Pob.)"/>
    <s v="MBA"/>
    <m/>
    <m/>
    <n v="2024"/>
    <s v="February 22, 2024"/>
    <m/>
    <x v="0"/>
    <m/>
    <s v="MRF"/>
    <s v="NON-OPERATIONAL"/>
    <s v="Technical Assistance"/>
  </r>
  <r>
    <x v="1"/>
    <s v="Orani"/>
    <s v="Puksuan"/>
    <s v="MBA"/>
    <m/>
    <m/>
    <n v="2024"/>
    <s v="June 07, 22024"/>
    <m/>
    <x v="0"/>
    <m/>
    <s v="MRF"/>
    <s v="NON-OPERATIONAL"/>
    <s v="Technical Assistance"/>
  </r>
  <r>
    <x v="1"/>
    <s v="Orani"/>
    <s v="Sibul"/>
    <s v="MBA"/>
    <m/>
    <m/>
    <n v="2024"/>
    <d v="2024-10-30T00:00:00"/>
    <m/>
    <x v="0"/>
    <m/>
    <s v="MRF"/>
    <s v="NON-OPERATIONAL"/>
    <s v="Technical Assistance"/>
  </r>
  <r>
    <x v="1"/>
    <s v="Orani"/>
    <s v="Silahis"/>
    <s v="MBA"/>
    <m/>
    <m/>
    <n v="2024"/>
    <s v="February 28, 2024"/>
    <m/>
    <x v="0"/>
    <m/>
    <s v="MRF"/>
    <s v="OPERATIONAL"/>
    <s v="Technical Assistance"/>
  </r>
  <r>
    <x v="1"/>
    <s v="Orani"/>
    <s v="Tagumpay"/>
    <s v="MBA"/>
    <m/>
    <m/>
    <n v="2024"/>
    <s v="September 04, 2024"/>
    <m/>
    <x v="0"/>
    <m/>
    <s v="MRF"/>
    <s v="OPERATIONAL"/>
    <s v="Technical Assistance"/>
  </r>
  <r>
    <x v="1"/>
    <s v="Orani"/>
    <s v="Tala"/>
    <s v="MBA"/>
    <m/>
    <m/>
    <n v="2024"/>
    <s v="April 16, 2024"/>
    <m/>
    <x v="0"/>
    <m/>
    <s v="MRF"/>
    <s v="OPERATIONAL"/>
    <s v="Technical Assistance"/>
  </r>
  <r>
    <x v="1"/>
    <s v="Orani"/>
    <s v="Talimundoc"/>
    <s v="MBA"/>
    <m/>
    <m/>
    <n v="2024"/>
    <s v="March 20, 2024"/>
    <m/>
    <x v="0"/>
    <m/>
    <m/>
    <m/>
    <s v="Technical Assistance"/>
  </r>
  <r>
    <x v="1"/>
    <s v="Orani"/>
    <s v="Tapulao"/>
    <s v="MBA"/>
    <m/>
    <m/>
    <n v="2024"/>
    <s v="March 12, 2024"/>
    <m/>
    <x v="0"/>
    <m/>
    <s v="MRF"/>
    <s v="OPERATIONAL"/>
    <s v="Technical Assistance"/>
  </r>
  <r>
    <x v="1"/>
    <s v="Orani"/>
    <s v="Tenejero (Pob.)"/>
    <s v="MBA"/>
    <m/>
    <m/>
    <n v="2024"/>
    <s v="April 30, 2024"/>
    <m/>
    <x v="0"/>
    <m/>
    <m/>
    <m/>
    <s v="Technical Assistance"/>
  </r>
  <r>
    <x v="1"/>
    <s v="Orani"/>
    <s v="Tugatog"/>
    <s v="MBA"/>
    <m/>
    <m/>
    <n v="2024"/>
    <d v="2024-10-30T00:00:00"/>
    <m/>
    <x v="0"/>
    <m/>
    <s v="MRF"/>
    <s v="NON-OPERATIONAL"/>
    <s v="Technical Assistance"/>
  </r>
  <r>
    <x v="1"/>
    <s v="Orani"/>
    <s v="Wawa (Pob.)"/>
    <s v="MBA"/>
    <m/>
    <m/>
    <n v="2024"/>
    <s v="May 10, 2024"/>
    <m/>
    <x v="0"/>
    <m/>
    <s v="MRF"/>
    <s v="OPERATIONAL"/>
    <s v="Technical Assistance"/>
  </r>
  <r>
    <x v="1"/>
    <s v="Orion"/>
    <s v="Bilolo"/>
    <s v="MBA"/>
    <m/>
    <m/>
    <n v="2025"/>
    <d v="2025-09-16T00:00:00"/>
    <s v="R3-2025-031486"/>
    <x v="0"/>
    <m/>
    <s v="MRS"/>
    <s v="OPERATIONAL"/>
    <s v="Technical Assistance"/>
  </r>
  <r>
    <x v="1"/>
    <s v="Orion"/>
    <s v="Arellano (Pob.)"/>
    <s v="MBA"/>
    <m/>
    <m/>
    <n v="2024"/>
    <s v="March 12, 2024"/>
    <m/>
    <x v="0"/>
    <m/>
    <s v="MRF"/>
    <s v="OPERATIONAL"/>
    <s v="Technical Assistance"/>
  </r>
  <r>
    <x v="1"/>
    <s v="Orion"/>
    <s v="Bagumbayan (Pob.)"/>
    <s v="MBA"/>
    <m/>
    <m/>
    <n v="2024"/>
    <s v="September 25, 2024"/>
    <m/>
    <x v="0"/>
    <m/>
    <s v="MRF"/>
    <s v="OPERATIONAL"/>
    <s v="Technical Assistance"/>
  </r>
  <r>
    <x v="1"/>
    <s v="Orion"/>
    <s v="Balagtas (Pob.)"/>
    <s v="MBA"/>
    <m/>
    <m/>
    <n v="2024"/>
    <d v="2024-05-15T00:00:00"/>
    <m/>
    <x v="0"/>
    <m/>
    <s v="MRF"/>
    <s v="OPERATIONAL"/>
    <s v="Technical Assistance"/>
  </r>
  <r>
    <x v="1"/>
    <s v="Orion"/>
    <s v="Balut (Pob.)"/>
    <s v="MBA"/>
    <m/>
    <m/>
    <n v="2024"/>
    <s v="October 03, 2024"/>
    <m/>
    <x v="0"/>
    <m/>
    <s v="MRF"/>
    <s v="OPERATIONAL"/>
    <s v="Technical Assistance"/>
  </r>
  <r>
    <x v="1"/>
    <s v="Orion"/>
    <s v="Bantan"/>
    <s v="MBA"/>
    <m/>
    <m/>
    <n v="2024"/>
    <s v="May 30, 2024"/>
    <m/>
    <x v="0"/>
    <m/>
    <s v="MRF"/>
    <s v="OPERATIONAL"/>
    <s v="Technical Assistance"/>
  </r>
  <r>
    <x v="1"/>
    <s v="Orion"/>
    <s v="Calungusan"/>
    <s v="MBA"/>
    <m/>
    <m/>
    <n v="2024"/>
    <s v="August 15, 2024"/>
    <m/>
    <x v="0"/>
    <m/>
    <s v="MRF"/>
    <s v="OPERATIONAL"/>
    <s v="Technical Assistance"/>
  </r>
  <r>
    <x v="1"/>
    <s v="Orion"/>
    <s v="Camachile"/>
    <s v="MBA"/>
    <m/>
    <m/>
    <n v="2024"/>
    <s v="April 26, 2024"/>
    <m/>
    <x v="0"/>
    <m/>
    <s v="MRF"/>
    <s v="OPERATIONAL"/>
    <s v="Technical Assistance"/>
  </r>
  <r>
    <x v="1"/>
    <s v="Orion"/>
    <s v="Daang Bago (Pob.)"/>
    <s v="MBA"/>
    <m/>
    <m/>
    <n v="2024"/>
    <d v="2024-10-18T00:00:00"/>
    <m/>
    <x v="0"/>
    <m/>
    <s v="MRF"/>
    <s v="OPERATIONAL"/>
    <s v="Technical Assistance"/>
  </r>
  <r>
    <x v="1"/>
    <s v="Orion"/>
    <s v="Daang Bilolo (Pob.)"/>
    <s v="MBA"/>
    <m/>
    <m/>
    <n v="2024"/>
    <d v="2024-10-31T00:00:00"/>
    <m/>
    <x v="0"/>
    <m/>
    <s v="MRF"/>
    <s v="OPERATIONAL"/>
    <s v="Technical Assistance"/>
  </r>
  <r>
    <x v="1"/>
    <s v="Orion"/>
    <s v="Daang Pare"/>
    <s v="MBA"/>
    <m/>
    <m/>
    <n v="2024"/>
    <s v="June 05, 2024"/>
    <m/>
    <x v="0"/>
    <m/>
    <s v="MRF"/>
    <s v="OPERATIONAL"/>
    <s v="Technical Assistance"/>
  </r>
  <r>
    <x v="1"/>
    <s v="Orion"/>
    <s v="General Lim"/>
    <s v="MBA"/>
    <m/>
    <m/>
    <n v="2025"/>
    <d v="2025-04-15T00:00:00"/>
    <s v="R3-2025-012953"/>
    <x v="0"/>
    <m/>
    <s v="MRS"/>
    <s v="OPERATIONAL"/>
    <s v="Technical Assistance"/>
  </r>
  <r>
    <x v="1"/>
    <s v="Orion"/>
    <s v="Kapunitan"/>
    <s v="MBA"/>
    <m/>
    <m/>
    <n v="2024"/>
    <s v="August 29, 2024"/>
    <m/>
    <x v="0"/>
    <m/>
    <s v="MRF"/>
    <s v="OPERATIONAL"/>
    <s v="Technical Assistance"/>
  </r>
  <r>
    <x v="1"/>
    <s v="Orion"/>
    <s v="Lati (Pob.)"/>
    <s v="MBA"/>
    <m/>
    <m/>
    <n v="2024"/>
    <s v="July 05, 2024"/>
    <m/>
    <x v="0"/>
    <m/>
    <s v="MRF"/>
    <s v="OPERATIONAL"/>
    <s v="Technical Assistance"/>
  </r>
  <r>
    <x v="1"/>
    <s v="Orion"/>
    <s v="Lusungan (Pob.)"/>
    <s v="MBA"/>
    <m/>
    <m/>
    <n v="2024"/>
    <d v="2024-10-18T00:00:00"/>
    <m/>
    <x v="0"/>
    <m/>
    <s v="MRF"/>
    <s v="OPERATIONAL"/>
    <s v="Technical Assistance"/>
  </r>
  <r>
    <x v="1"/>
    <s v="Orion"/>
    <s v="Puting Buhangin"/>
    <s v="MBA"/>
    <m/>
    <m/>
    <n v="2024"/>
    <s v="September 18, 2024"/>
    <m/>
    <x v="0"/>
    <m/>
    <s v="MRF"/>
    <s v="OPERATIONAL"/>
    <s v="Technical Assistance"/>
  </r>
  <r>
    <x v="1"/>
    <s v="Orion"/>
    <s v="Sabatan"/>
    <s v="MBA"/>
    <m/>
    <m/>
    <n v="2025"/>
    <d v="2025-06-11T00:00:00"/>
    <s v="R3-2025-019682"/>
    <x v="0"/>
    <m/>
    <s v="MRS"/>
    <s v="OPERATIONAL"/>
    <s v="Technical Assistance"/>
  </r>
  <r>
    <x v="1"/>
    <s v="Orion"/>
    <s v="San Vicente (Pob.)"/>
    <s v="MBA"/>
    <m/>
    <m/>
    <n v="2024"/>
    <s v="March 05, 2024"/>
    <m/>
    <x v="0"/>
    <m/>
    <s v="MRF"/>
    <s v="NON-OPERATIONAL"/>
    <s v="Technical Assistance"/>
  </r>
  <r>
    <x v="1"/>
    <s v="Orion"/>
    <s v="Santa Elena"/>
    <s v="MBA"/>
    <m/>
    <m/>
    <n v="2024"/>
    <s v="September 05, 2024"/>
    <m/>
    <x v="0"/>
    <m/>
    <s v="MRF"/>
    <s v="NON-OPERATIONAL"/>
    <s v="Technical Assistance"/>
  </r>
  <r>
    <x v="1"/>
    <s v="Orion"/>
    <s v="Santo Domingo"/>
    <s v="MBA"/>
    <m/>
    <m/>
    <n v="2024"/>
    <s v="June 27, 2024"/>
    <m/>
    <x v="0"/>
    <m/>
    <s v="MRF"/>
    <s v="OPERATIONAL"/>
    <s v="Technical Assistance"/>
  </r>
  <r>
    <x v="1"/>
    <s v="Orion"/>
    <s v="Villa Angeles (Pob.)"/>
    <s v="MBA"/>
    <m/>
    <m/>
    <n v="2024"/>
    <s v="August 08, 2024"/>
    <m/>
    <x v="0"/>
    <m/>
    <s v="MRF"/>
    <s v="OPERATIONAL"/>
    <s v="Technical Assistance"/>
  </r>
  <r>
    <x v="1"/>
    <s v="Orion"/>
    <s v="Wakas (Pob.)"/>
    <s v="MBA"/>
    <m/>
    <m/>
    <n v="2024"/>
    <s v="June 20, 2024"/>
    <m/>
    <x v="0"/>
    <m/>
    <s v="MRF"/>
    <s v="OPERATIONAL"/>
    <s v="Technical Assistance"/>
  </r>
  <r>
    <x v="1"/>
    <s v="Orion"/>
    <s v="Wawa (Pob.)"/>
    <s v="MBA"/>
    <m/>
    <m/>
    <n v="2024"/>
    <s v="February 20, 2024"/>
    <m/>
    <x v="0"/>
    <m/>
    <s v="MRF"/>
    <s v="OPERATIONAL"/>
    <s v="Technical Assistance"/>
  </r>
  <r>
    <x v="1"/>
    <s v="Pilar"/>
    <s v="Ala-uli"/>
    <s v="MBA"/>
    <m/>
    <m/>
    <n v="2024"/>
    <s v="July 04, 2024"/>
    <m/>
    <x v="0"/>
    <m/>
    <s v="MRF"/>
    <s v="OPERATIONAL"/>
    <s v="Technical Assistance"/>
  </r>
  <r>
    <x v="1"/>
    <s v="Pilar"/>
    <s v="Bagumbayan"/>
    <s v="MBA"/>
    <m/>
    <m/>
    <n v="2024"/>
    <s v="June 06, 2024"/>
    <m/>
    <x v="0"/>
    <m/>
    <s v="MRF"/>
    <s v="OPERATIONAL"/>
    <s v="Technical Assistance"/>
  </r>
  <r>
    <x v="1"/>
    <s v="Pilar"/>
    <s v="Balut I"/>
    <s v="MBA"/>
    <m/>
    <m/>
    <n v="2024"/>
    <s v="June 26, 2024"/>
    <m/>
    <x v="0"/>
    <m/>
    <s v="MRF"/>
    <s v="OPERATIONAL"/>
    <s v="Technical Assistance"/>
  </r>
  <r>
    <x v="1"/>
    <s v="Pilar"/>
    <s v="Balut II"/>
    <s v="MBA"/>
    <m/>
    <m/>
    <n v="2024"/>
    <s v="July 31, 2024"/>
    <m/>
    <x v="0"/>
    <m/>
    <s v="MRF"/>
    <s v="OPERATIONAL"/>
    <s v="Technical Assistance"/>
  </r>
  <r>
    <x v="1"/>
    <s v="Pilar"/>
    <s v="Bantan Munti"/>
    <s v="MBA"/>
    <m/>
    <m/>
    <n v="2024"/>
    <s v="May 08, 2024"/>
    <m/>
    <x v="0"/>
    <m/>
    <s v="MRS"/>
    <s v="OPERATIONAL"/>
    <s v="Technical Assistance"/>
  </r>
  <r>
    <x v="1"/>
    <s v="Pilar"/>
    <s v="Burgos"/>
    <s v="MBA"/>
    <m/>
    <m/>
    <n v="2024"/>
    <s v="May 31, 2024"/>
    <m/>
    <x v="0"/>
    <m/>
    <s v="MRF"/>
    <s v="OPERATIONAL"/>
    <s v="Technical Assistance"/>
  </r>
  <r>
    <x v="1"/>
    <s v="Pilar"/>
    <s v="Del Rosario (Pob.)"/>
    <s v="MBA"/>
    <m/>
    <m/>
    <n v="2024"/>
    <s v="April 25, 2024"/>
    <m/>
    <x v="0"/>
    <m/>
    <m/>
    <m/>
    <s v="Technical Assistance"/>
  </r>
  <r>
    <x v="1"/>
    <s v="Pilar"/>
    <s v="Diwa"/>
    <s v="MBA"/>
    <m/>
    <m/>
    <n v="2024"/>
    <s v="August 28, 2024"/>
    <m/>
    <x v="0"/>
    <m/>
    <s v="MRF"/>
    <s v="OPERATIONAL"/>
    <s v="Technical Assistance"/>
  </r>
  <r>
    <x v="1"/>
    <s v="Pilar"/>
    <s v="Landing"/>
    <s v="MBA"/>
    <m/>
    <m/>
    <n v="2024"/>
    <s v="August 21, 2024"/>
    <m/>
    <x v="0"/>
    <m/>
    <s v="MRF"/>
    <s v="OPERATIONAL"/>
    <s v="Technical Assistance"/>
  </r>
  <r>
    <x v="1"/>
    <s v="Pilar"/>
    <s v="Liyang"/>
    <s v="MBA"/>
    <m/>
    <m/>
    <n v="2024"/>
    <s v="October 04, 2024"/>
    <m/>
    <x v="0"/>
    <m/>
    <s v="MRF"/>
    <s v="OPERATIONAL"/>
    <s v="Technical Assistance"/>
  </r>
  <r>
    <x v="1"/>
    <s v="Pilar"/>
    <s v="Nagwaling"/>
    <s v="MBA"/>
    <m/>
    <m/>
    <n v="2024"/>
    <s v="August 13, 2024"/>
    <m/>
    <x v="0"/>
    <m/>
    <s v="MRF"/>
    <s v="NON-OPERATIONAL"/>
    <s v="Technical Assistance"/>
  </r>
  <r>
    <x v="1"/>
    <s v="Pilar"/>
    <s v="Panilao"/>
    <s v="MBA"/>
    <m/>
    <m/>
    <n v="2024"/>
    <s v="February 29, 2024"/>
    <m/>
    <x v="0"/>
    <m/>
    <s v="MRF"/>
    <s v="OPERATIONAL"/>
    <s v="Technical Assistance"/>
  </r>
  <r>
    <x v="1"/>
    <s v="Pilar"/>
    <s v="Pantingan"/>
    <s v="MBA"/>
    <m/>
    <m/>
    <n v="2024"/>
    <s v="October 04, 2024"/>
    <m/>
    <x v="0"/>
    <m/>
    <s v="MRF"/>
    <s v="OPERATIONAL"/>
    <s v="Technical Assistance"/>
  </r>
  <r>
    <x v="1"/>
    <s v="Pilar"/>
    <s v="Poblacion"/>
    <s v="MBA"/>
    <m/>
    <m/>
    <n v="2024"/>
    <s v="March 21, 2024"/>
    <m/>
    <x v="0"/>
    <m/>
    <s v="MRS"/>
    <s v="OPERATIONAL"/>
    <s v="Technical Assistance"/>
  </r>
  <r>
    <x v="1"/>
    <s v="Pilar"/>
    <s v="Rizal (Pob.)"/>
    <s v="MBA"/>
    <m/>
    <m/>
    <n v="2024"/>
    <s v="May 16, 2024"/>
    <m/>
    <x v="0"/>
    <m/>
    <s v="MRF"/>
    <s v="OPERATIONAL"/>
    <s v="Technical Assistance"/>
  </r>
  <r>
    <x v="1"/>
    <s v="Pilar"/>
    <s v="Santa Rosa"/>
    <s v="MBA"/>
    <m/>
    <m/>
    <n v="2024"/>
    <s v="February 23, 2024"/>
    <m/>
    <x v="0"/>
    <m/>
    <s v="MRF"/>
    <s v="OPERATIONAL"/>
    <s v="Technical Assistance"/>
  </r>
  <r>
    <x v="1"/>
    <s v="Pilar"/>
    <s v="Wakas North"/>
    <s v="MBA"/>
    <m/>
    <m/>
    <n v="2024"/>
    <s v="May 21, 2024"/>
    <m/>
    <x v="0"/>
    <m/>
    <s v="MRF"/>
    <s v="OPERATIONAL"/>
    <s v="Technical Assistance"/>
  </r>
  <r>
    <x v="1"/>
    <s v="Pilar"/>
    <s v="Wakas South"/>
    <s v="MBA"/>
    <m/>
    <m/>
    <n v="2024"/>
    <s v="June 19, 2024"/>
    <m/>
    <x v="0"/>
    <m/>
    <m/>
    <m/>
    <s v="Technical Assistance"/>
  </r>
  <r>
    <x v="1"/>
    <s v="Pilar"/>
    <s v="Wawa"/>
    <s v="MBA"/>
    <m/>
    <m/>
    <n v="2024"/>
    <s v="September 19, 2024"/>
    <m/>
    <x v="0"/>
    <m/>
    <s v="MRF"/>
    <s v="OPERATIONAL"/>
    <s v="Technical Assistance"/>
  </r>
  <r>
    <x v="1"/>
    <s v="Samal"/>
    <s v="East Calaguiman (Pob.)"/>
    <s v="MBA"/>
    <m/>
    <m/>
    <n v="2024"/>
    <s v="May 03, 2024"/>
    <m/>
    <x v="0"/>
    <m/>
    <s v="MRF"/>
    <s v="NON-OPERATIONAL"/>
    <s v="Technical Assistance"/>
  </r>
  <r>
    <x v="1"/>
    <s v="Samal"/>
    <s v="East Daang Bago (Pob.)"/>
    <s v="MBA"/>
    <m/>
    <m/>
    <n v="2024"/>
    <s v="February 22, 2024"/>
    <m/>
    <x v="0"/>
    <m/>
    <s v="MRF"/>
    <s v="OPERATIONAL"/>
    <s v="Technical Assistance"/>
  </r>
  <r>
    <x v="1"/>
    <s v="Samal"/>
    <s v="Gugo"/>
    <s v="MBA"/>
    <m/>
    <m/>
    <n v="2024"/>
    <s v="May 22, 2024"/>
    <m/>
    <x v="0"/>
    <m/>
    <m/>
    <m/>
    <s v="Technical Assistance"/>
  </r>
  <r>
    <x v="1"/>
    <s v="Samal"/>
    <s v="Ibaba (Pob.)"/>
    <s v="MBA"/>
    <m/>
    <m/>
    <n v="2024"/>
    <s v="April 04, 2024"/>
    <m/>
    <x v="0"/>
    <m/>
    <s v="MRF"/>
    <s v="OPERATIONAL"/>
    <s v="Technical Assistance"/>
  </r>
  <r>
    <x v="1"/>
    <s v="Samal"/>
    <s v="Imelda"/>
    <s v="MBA"/>
    <m/>
    <m/>
    <n v="2024"/>
    <s v="March 05, 2024"/>
    <m/>
    <x v="0"/>
    <m/>
    <s v="MRF"/>
    <s v="OPERATIONAL"/>
    <s v="Technical Assistance"/>
  </r>
  <r>
    <x v="1"/>
    <s v="Samal"/>
    <s v="Lalawigan"/>
    <s v="MBA"/>
    <m/>
    <m/>
    <n v="2024"/>
    <s v="March 05, 2024"/>
    <m/>
    <x v="0"/>
    <m/>
    <s v="MRF"/>
    <s v="NON-OPERATIONAL"/>
    <s v="Technical Assistance"/>
  </r>
  <r>
    <x v="1"/>
    <s v="Samal"/>
    <s v="Palili"/>
    <s v="MBA"/>
    <m/>
    <m/>
    <n v="2024"/>
    <s v="May 31, 2024"/>
    <m/>
    <x v="0"/>
    <m/>
    <m/>
    <m/>
    <s v="Technical Assistance"/>
  </r>
  <r>
    <x v="1"/>
    <s v="Samal"/>
    <s v="San Juan (Pob.)"/>
    <s v="MBA"/>
    <m/>
    <m/>
    <n v="2024"/>
    <s v="April 18, 2024"/>
    <m/>
    <x v="0"/>
    <m/>
    <m/>
    <m/>
    <s v="Technical Assistance"/>
  </r>
  <r>
    <x v="1"/>
    <s v="Samal"/>
    <s v="San Roque (Pob.)"/>
    <s v="MBA"/>
    <m/>
    <m/>
    <n v="2024"/>
    <s v="March 15, 2024"/>
    <m/>
    <x v="0"/>
    <m/>
    <s v="MRF"/>
    <s v="OPERATIONAL"/>
    <s v="Technical Assistance"/>
  </r>
  <r>
    <x v="1"/>
    <s v="Samal"/>
    <s v="Santa Lucia"/>
    <s v="MBA"/>
    <m/>
    <m/>
    <n v="2024"/>
    <s v="April 25, 2024"/>
    <m/>
    <x v="0"/>
    <m/>
    <m/>
    <m/>
    <s v="Technical Assistance"/>
  </r>
  <r>
    <x v="1"/>
    <s v="Samal"/>
    <s v="Sapa"/>
    <s v="MBA"/>
    <m/>
    <m/>
    <n v="2024"/>
    <s v="March 26, 2024"/>
    <m/>
    <x v="0"/>
    <m/>
    <s v="MRF"/>
    <s v="OPERATIONAL"/>
    <s v="Technical Assistance"/>
  </r>
  <r>
    <x v="1"/>
    <s v="Samal"/>
    <s v="Tabing Ilog"/>
    <s v="MBA"/>
    <m/>
    <m/>
    <n v="2024"/>
    <s v="March 15, 2024"/>
    <m/>
    <x v="0"/>
    <m/>
    <s v="MRF"/>
    <s v="OPERATIONAL"/>
    <s v="Technical Assistance"/>
  </r>
  <r>
    <x v="1"/>
    <s v="Samal"/>
    <s v="West Calaguiman (Pob.)"/>
    <s v="MBA"/>
    <m/>
    <m/>
    <n v="2024"/>
    <s v="May 17, 2024"/>
    <m/>
    <x v="0"/>
    <m/>
    <s v="MRF"/>
    <s v="OPERATIONAL"/>
    <s v="Technical Assistance"/>
  </r>
  <r>
    <x v="1"/>
    <s v="Samal"/>
    <s v="West Daang Bago (Pob.)"/>
    <s v="MBA"/>
    <m/>
    <m/>
    <n v="2024"/>
    <s v="February 22, 2024"/>
    <m/>
    <x v="0"/>
    <m/>
    <s v="MRF"/>
    <s v="OPERATIONAL"/>
    <s v="Technical Assistance"/>
  </r>
  <r>
    <x v="2"/>
    <s v="Angat"/>
    <s v="Donacion"/>
    <s v="MBA"/>
    <m/>
    <m/>
    <n v="2025"/>
    <d v="2025-09-12T00:00:00"/>
    <s v="R3-2025-031081"/>
    <x v="0"/>
    <m/>
    <s v="NO FACILITY"/>
    <s v="CATER BY LGU"/>
    <s v="Technical Assistance"/>
  </r>
  <r>
    <x v="2"/>
    <s v="Angat"/>
    <s v="Banaban"/>
    <s v="MBA"/>
    <m/>
    <m/>
    <n v="2025"/>
    <d v="2025-05-14T00:00:00"/>
    <s v="R3-2025-016519"/>
    <x v="0"/>
    <m/>
    <s v="MRS"/>
    <s v="OPERATIONAL"/>
    <s v="Technical Assistance"/>
  </r>
  <r>
    <x v="2"/>
    <s v="Angat"/>
    <s v="Baybay"/>
    <s v="MBA"/>
    <m/>
    <m/>
    <n v="2025"/>
    <d v="2025-05-14T00:00:00"/>
    <s v="R3-2025-016518 "/>
    <x v="0"/>
    <m/>
    <s v="MRS"/>
    <s v="OPERATIONAL"/>
    <s v="Technical Assistance"/>
  </r>
  <r>
    <x v="2"/>
    <s v="Angat"/>
    <s v="Binagbag"/>
    <s v="MBA"/>
    <m/>
    <m/>
    <n v="2025"/>
    <d v="2025-05-14T00:00:00"/>
    <s v="R3-2025-016517 "/>
    <x v="0"/>
    <m/>
    <s v="MRF"/>
    <s v="OPERATIONAL"/>
    <s v="Technical Assistance"/>
  </r>
  <r>
    <x v="2"/>
    <s v="Angat"/>
    <s v="Marungko"/>
    <s v="MBA"/>
    <m/>
    <m/>
    <n v="2025"/>
    <d v="2025-09-12T00:00:00"/>
    <s v="R3-2025-031082"/>
    <x v="0"/>
    <m/>
    <s v="MRF"/>
    <s v="OPERATIONAL"/>
    <s v="Technical Assistance"/>
  </r>
  <r>
    <x v="2"/>
    <s v="Angat"/>
    <s v="Encanto"/>
    <s v="MBA"/>
    <m/>
    <m/>
    <n v="2025"/>
    <d v="2025-11-07T00:00:00"/>
    <s v="R3-2025-037534"/>
    <x v="0"/>
    <m/>
    <s v="MRS"/>
    <s v="OPERATIONAL"/>
    <s v="Technical Assistance"/>
  </r>
  <r>
    <x v="2"/>
    <s v="Angat"/>
    <s v="Laog"/>
    <s v="MBA"/>
    <m/>
    <m/>
    <n v="2025"/>
    <d v="2025-11-07T00:00:00"/>
    <s v="R3-2025-037536"/>
    <x v="0"/>
    <m/>
    <s v="MRF"/>
    <s v="NON-OPERATIONAL"/>
    <s v="Technical Assistance"/>
  </r>
  <r>
    <x v="2"/>
    <s v="Angat"/>
    <s v="Niugan"/>
    <s v="MBA"/>
    <m/>
    <m/>
    <n v="2025"/>
    <d v="2025-09-12T00:00:00"/>
    <s v="R3-2025-031079"/>
    <x v="0"/>
    <m/>
    <s v="MRF"/>
    <s v="NON-OPERATIONAL"/>
    <s v="Technical Assistance"/>
  </r>
  <r>
    <x v="2"/>
    <s v="Angat"/>
    <s v="Santa Cruz (Pob.)"/>
    <s v="MBA"/>
    <m/>
    <m/>
    <n v="2025"/>
    <d v="2025-09-12T00:00:00"/>
    <s v="R3-2025-031085"/>
    <x v="0"/>
    <m/>
    <s v="NO FACILITY"/>
    <s v="CATER BY LGU"/>
    <s v="Technical Assistance"/>
  </r>
  <r>
    <x v="2"/>
    <s v="Angat"/>
    <s v="Paltok"/>
    <s v="MBA"/>
    <m/>
    <m/>
    <n v="2025"/>
    <d v="2025-08-12T00:00:00"/>
    <s v="R3-2025-027546"/>
    <x v="0"/>
    <m/>
    <s v="MRF"/>
    <s v="NON-OPERATIONAL"/>
    <s v="Technical Assistance"/>
  </r>
  <r>
    <x v="2"/>
    <s v="Angat"/>
    <s v="Pulong Yantok"/>
    <s v="MBA"/>
    <m/>
    <m/>
    <n v="2025"/>
    <d v="2025-11-07T00:00:00"/>
    <s v="R3-2025-037535"/>
    <x v="0"/>
    <m/>
    <s v="MRF"/>
    <s v="NON-OPERATIONAL"/>
    <s v="Technical Assistance"/>
  </r>
  <r>
    <x v="2"/>
    <s v="Angat"/>
    <s v="San Roque (Pob.)"/>
    <s v="MBA"/>
    <m/>
    <m/>
    <n v="2025"/>
    <d v="2025-08-12T00:00:00"/>
    <s v="R3-2025-027549"/>
    <x v="0"/>
    <m/>
    <s v="MRF"/>
    <s v="OPERATIONAL"/>
    <s v="Technical Assistance"/>
  </r>
  <r>
    <x v="2"/>
    <s v="Angat"/>
    <s v="Santa Lucia"/>
    <s v="MBA"/>
    <m/>
    <m/>
    <n v="2025"/>
    <d v="2025-09-12T00:00:00"/>
    <s v="R3-2025-031083"/>
    <x v="0"/>
    <m/>
    <s v="NO FACILITY"/>
    <s v="CATER BY LGU"/>
    <s v="Technical Assistance"/>
  </r>
  <r>
    <x v="2"/>
    <s v="Angat"/>
    <s v="Santo Cristo (Pob.)"/>
    <s v="MBA"/>
    <m/>
    <m/>
    <n v="2025"/>
    <d v="2025-09-12T00:00:00"/>
    <s v="R3-2025-031086"/>
    <x v="0"/>
    <m/>
    <s v="MRF"/>
    <s v="OPERATIONAL"/>
    <s v="Technical Assistance"/>
  </r>
  <r>
    <x v="2"/>
    <s v="Angat"/>
    <s v="Sulucan"/>
    <s v="MBA"/>
    <m/>
    <m/>
    <n v="2025"/>
    <d v="2025-08-12T00:00:00"/>
    <s v="R3-2025-027548"/>
    <x v="0"/>
    <m/>
    <s v="MRF"/>
    <s v="NON-OPERATIONAL"/>
    <s v="Technical Assistance"/>
  </r>
  <r>
    <x v="2"/>
    <s v="Angat"/>
    <s v="Taboc"/>
    <s v="MBA"/>
    <m/>
    <m/>
    <n v="2025"/>
    <d v="2025-08-12T00:00:00"/>
    <s v="R3-2025-027547"/>
    <x v="0"/>
    <m/>
    <s v="MRF"/>
    <s v="NON-OPERATIONAL"/>
    <s v="Technical Assistance"/>
  </r>
  <r>
    <x v="2"/>
    <s v="Balagtas"/>
    <s v="Borol 1st"/>
    <s v="MBA"/>
    <m/>
    <m/>
    <n v="2024"/>
    <d v="2024-04-11T00:00:00"/>
    <m/>
    <x v="0"/>
    <m/>
    <m/>
    <m/>
    <s v="Technical Assistance"/>
  </r>
  <r>
    <x v="2"/>
    <s v="Balagtas"/>
    <s v="Borol 2nd"/>
    <s v="MBA"/>
    <m/>
    <m/>
    <n v="2024"/>
    <d v="2024-04-11T00:00:00"/>
    <m/>
    <x v="0"/>
    <m/>
    <m/>
    <m/>
    <s v="Technical Assistance"/>
  </r>
  <r>
    <x v="2"/>
    <s v="Balagtas"/>
    <s v="Dalig"/>
    <s v="MBA"/>
    <m/>
    <m/>
    <n v="2024"/>
    <d v="2024-04-11T00:00:00"/>
    <m/>
    <x v="0"/>
    <m/>
    <m/>
    <m/>
    <s v="Technical Assistance"/>
  </r>
  <r>
    <x v="2"/>
    <s v="Balagtas"/>
    <s v="Longos"/>
    <s v="MBA"/>
    <m/>
    <m/>
    <n v="2024"/>
    <d v="2024-04-12T00:00:00"/>
    <m/>
    <x v="0"/>
    <m/>
    <m/>
    <m/>
    <s v="Technical Assistance"/>
  </r>
  <r>
    <x v="2"/>
    <s v="Balagtas"/>
    <s v="Panginay"/>
    <s v="MBA"/>
    <m/>
    <m/>
    <n v="2024"/>
    <d v="2024-04-12T00:00:00"/>
    <m/>
    <x v="0"/>
    <m/>
    <m/>
    <m/>
    <s v="Technical Assistance"/>
  </r>
  <r>
    <x v="2"/>
    <s v="Balagtas"/>
    <s v="Pulong Gubat"/>
    <s v="MBA"/>
    <m/>
    <m/>
    <n v="2024"/>
    <d v="2024-04-11T00:00:00"/>
    <m/>
    <x v="0"/>
    <m/>
    <m/>
    <m/>
    <s v="Technical Assistance"/>
  </r>
  <r>
    <x v="2"/>
    <s v="Balagtas"/>
    <s v="San Juan"/>
    <s v="MBA"/>
    <m/>
    <m/>
    <n v="2024"/>
    <s v="March 14, 2024"/>
    <m/>
    <x v="0"/>
    <m/>
    <m/>
    <m/>
    <s v="Technical Assistance"/>
  </r>
  <r>
    <x v="2"/>
    <s v="Balagtas"/>
    <s v="Santol"/>
    <s v="MBA"/>
    <m/>
    <m/>
    <n v="2024"/>
    <d v="2024-04-11T00:00:00"/>
    <m/>
    <x v="0"/>
    <m/>
    <m/>
    <m/>
    <s v="Technical Assistance"/>
  </r>
  <r>
    <x v="2"/>
    <s v="Balagtas"/>
    <s v="Wawa (Pob.)"/>
    <s v="MBA"/>
    <m/>
    <m/>
    <n v="2024"/>
    <d v="2024-04-12T00:00:00"/>
    <m/>
    <x v="0"/>
    <m/>
    <m/>
    <m/>
    <s v="Technical Assistance"/>
  </r>
  <r>
    <x v="2"/>
    <s v="Calumpit"/>
    <s v="Longos"/>
    <s v="MBA"/>
    <s v="Ronaldo P. Roque, Jr."/>
    <s v="Diozelle L. Cabalar"/>
    <m/>
    <m/>
    <m/>
    <x v="1"/>
    <m/>
    <m/>
    <m/>
    <s v="For Monitoring"/>
  </r>
  <r>
    <x v="2"/>
    <s v="Calumpit"/>
    <s v="Pio Cruzcosa"/>
    <s v="MBA"/>
    <s v="Ronaldo P. Roque, Jr."/>
    <s v="Diozelle L. Cabalar"/>
    <m/>
    <m/>
    <m/>
    <x v="1"/>
    <m/>
    <m/>
    <m/>
    <s v="For Monitoring"/>
  </r>
  <r>
    <x v="2"/>
    <s v="Baliuag"/>
    <s v="Calantipay"/>
    <s v="MBA"/>
    <m/>
    <m/>
    <n v="2025"/>
    <d v="2025-11-05T00:00:00"/>
    <s v="R3-2025-037314"/>
    <x v="0"/>
    <m/>
    <s v="MRS"/>
    <s v="CATER BY LGU"/>
    <s v="Technical Assistance"/>
  </r>
  <r>
    <x v="2"/>
    <s v="Baliuag"/>
    <s v="Catulinan"/>
    <s v="MBA"/>
    <m/>
    <m/>
    <n v="2025"/>
    <d v="2025-11-05T00:00:00"/>
    <s v="R3-2025-037312"/>
    <x v="0"/>
    <m/>
    <s v="MRS"/>
    <s v="CATER BY LGU"/>
    <s v="Technical Assistance"/>
  </r>
  <r>
    <x v="2"/>
    <s v="Baliuag"/>
    <s v="Concepcion"/>
    <s v="MBA"/>
    <m/>
    <m/>
    <n v="2024"/>
    <d v="2024-07-11T00:00:00"/>
    <m/>
    <x v="0"/>
    <m/>
    <s v="MRF"/>
    <s v="NON-OPERATIONAL"/>
    <s v="Technical Assistance"/>
  </r>
  <r>
    <x v="2"/>
    <s v="City of San Jose Del Monte"/>
    <s v="Ciudad Real"/>
    <s v="MBA"/>
    <s v="James Wilson T. Peña"/>
    <s v="Diozelle L. Cabalar"/>
    <m/>
    <m/>
    <m/>
    <x v="1"/>
    <m/>
    <m/>
    <m/>
    <s v="For Monitoring"/>
  </r>
  <r>
    <x v="2"/>
    <s v="Baliuag"/>
    <s v="Makinabang"/>
    <s v="MBA"/>
    <m/>
    <m/>
    <n v="2025"/>
    <d v="2025-10-07T00:00:00"/>
    <s v="R3-2025-034064"/>
    <x v="0"/>
    <m/>
    <s v="NO FACILITY"/>
    <s v="CATER BY LGU"/>
    <s v="Technical Assistance"/>
  </r>
  <r>
    <x v="2"/>
    <s v="Baliuag"/>
    <s v="Matangtubig"/>
    <s v="MBA"/>
    <m/>
    <m/>
    <n v="2025"/>
    <d v="2025-11-05T00:00:00"/>
    <s v="R3-2025-037318"/>
    <x v="0"/>
    <m/>
    <s v="MRS"/>
    <s v="CATER BY LGU"/>
    <s v="Technical Assistance"/>
  </r>
  <r>
    <x v="2"/>
    <s v="City of San Jose Del Monte"/>
    <s v="Fatima II"/>
    <s v="MBA"/>
    <s v="James Wilson T. Peña"/>
    <s v="Diozelle L. Cabalar"/>
    <m/>
    <m/>
    <m/>
    <x v="1"/>
    <m/>
    <m/>
    <m/>
    <s v="For Monitoring"/>
  </r>
  <r>
    <x v="2"/>
    <s v="City of San Jose Del Monte"/>
    <s v="San Martin III"/>
    <s v="MBA"/>
    <s v="James Wilson T. Peña"/>
    <s v="Diozelle L. Cabalar"/>
    <m/>
    <m/>
    <m/>
    <x v="1"/>
    <m/>
    <m/>
    <m/>
    <s v="For Monitoring"/>
  </r>
  <r>
    <x v="2"/>
    <s v="City of San Jose Del Monte"/>
    <s v="Santa Cruz"/>
    <s v="MBA"/>
    <s v="James Wilson T. Peña"/>
    <s v="Diozelle L. Cabalar"/>
    <m/>
    <m/>
    <m/>
    <x v="1"/>
    <m/>
    <m/>
    <m/>
    <s v="For Monitoring"/>
  </r>
  <r>
    <x v="2"/>
    <s v="Baliuag"/>
    <s v="Pinagbarilan"/>
    <s v="MBA"/>
    <m/>
    <m/>
    <n v="2025"/>
    <d v="2025-10-07T00:00:00"/>
    <s v="R3-2025-034057"/>
    <x v="0"/>
    <m/>
    <s v="NO FACILITY"/>
    <s v="CATER BY LGU"/>
    <s v="Technical Assistance"/>
  </r>
  <r>
    <x v="2"/>
    <s v="Baliuag"/>
    <s v="Poblacion"/>
    <s v="MBA"/>
    <m/>
    <m/>
    <n v="2025"/>
    <d v="2025-10-07T00:00:00"/>
    <s v="R3-2025-034060"/>
    <x v="0"/>
    <m/>
    <s v="NO FACILITY"/>
    <s v="CATER BY LGU"/>
    <s v="Technical Assistance"/>
  </r>
  <r>
    <x v="2"/>
    <s v="Baliuag"/>
    <s v="Sabang"/>
    <s v="MBA"/>
    <m/>
    <m/>
    <n v="2024"/>
    <d v="2024-10-08T00:00:00"/>
    <m/>
    <x v="0"/>
    <m/>
    <s v="MRF"/>
    <s v="NON-OPERATIONAL"/>
    <s v="Technical Assistance"/>
  </r>
  <r>
    <x v="2"/>
    <s v="Baliuag"/>
    <s v="San Jose"/>
    <s v="MBA"/>
    <m/>
    <m/>
    <n v="2025"/>
    <d v="2025-10-08T00:00:00"/>
    <s v="R3-2025-034063"/>
    <x v="0"/>
    <m/>
    <s v="NO FACILITY"/>
    <s v="CATER BY LGU"/>
    <s v="Technical Assistance"/>
  </r>
  <r>
    <x v="2"/>
    <s v="Hagonoy"/>
    <s v="San Miguel"/>
    <s v="MBA"/>
    <s v="Ronaldo P. Roque, Jr."/>
    <s v="Diozelle L. Cabalar"/>
    <m/>
    <m/>
    <m/>
    <x v="0"/>
    <m/>
    <m/>
    <m/>
    <s v="For Monitoring"/>
  </r>
  <r>
    <x v="2"/>
    <s v="Baliuag"/>
    <s v="Santa Barbara"/>
    <s v="MBA"/>
    <m/>
    <m/>
    <n v="2025"/>
    <d v="2025-10-07T00:00:00"/>
    <s v="R3-2025-034062"/>
    <x v="0"/>
    <m/>
    <s v="NO FACILITY"/>
    <s v="CATER BY LGU"/>
    <s v="Technical Assistance"/>
  </r>
  <r>
    <x v="2"/>
    <s v="Baliuag"/>
    <s v="Santo Cristo"/>
    <s v="MBA"/>
    <m/>
    <m/>
    <n v="2024"/>
    <d v="2024-10-15T00:00:00"/>
    <m/>
    <x v="0"/>
    <m/>
    <s v="MRF"/>
    <s v="NON-OPERATIONAL"/>
    <s v="Technical Assistance"/>
  </r>
  <r>
    <x v="2"/>
    <s v="Baliuag"/>
    <s v="Santo Niño"/>
    <s v="MBA"/>
    <m/>
    <m/>
    <n v="2025"/>
    <d v="2025-01-15T00:00:00"/>
    <s v="R3-2025-001270"/>
    <x v="0"/>
    <m/>
    <s v="MRS"/>
    <s v="OPERATIONAL"/>
    <s v="Technical Assistance"/>
  </r>
  <r>
    <x v="2"/>
    <s v="Baliuag"/>
    <s v="Subic"/>
    <s v="MBA"/>
    <m/>
    <m/>
    <n v="2024"/>
    <d v="2024-04-15T00:00:00"/>
    <m/>
    <x v="0"/>
    <m/>
    <m/>
    <m/>
    <s v="Technical Assistance"/>
  </r>
  <r>
    <x v="2"/>
    <s v="Baliuag"/>
    <s v="Sulivan"/>
    <s v="MBA"/>
    <m/>
    <m/>
    <n v="2024"/>
    <d v="2024-10-09T00:00:00"/>
    <m/>
    <x v="0"/>
    <m/>
    <s v="MRF"/>
    <s v="NON-OPERATIONAL"/>
    <s v="Technical Assistance"/>
  </r>
  <r>
    <x v="2"/>
    <s v="Baliuag"/>
    <s v="Tangos"/>
    <s v="MBA"/>
    <m/>
    <m/>
    <n v="2024"/>
    <d v="2024-10-08T00:00:00"/>
    <m/>
    <x v="0"/>
    <m/>
    <s v="MRF"/>
    <s v="OPERATIONAL"/>
    <s v="Technical Assistance"/>
  </r>
  <r>
    <x v="2"/>
    <s v="Baliuag"/>
    <s v="Tarcan"/>
    <s v="MBA"/>
    <m/>
    <m/>
    <n v="2025"/>
    <d v="2025-11-05T00:00:00"/>
    <s v="R3-2025-037311"/>
    <x v="0"/>
    <m/>
    <s v="MRS"/>
    <s v="CATER BY LGU"/>
    <s v="Technical Assistance"/>
  </r>
  <r>
    <x v="2"/>
    <s v="Baliuag"/>
    <s v="Tiaong"/>
    <s v="MBA"/>
    <m/>
    <m/>
    <n v="2024"/>
    <d v="2024-10-09T00:00:00"/>
    <m/>
    <x v="0"/>
    <m/>
    <s v="MRF"/>
    <s v="NON-OPERATIONAL"/>
    <s v="Technical Assistance"/>
  </r>
  <r>
    <x v="2"/>
    <s v="Baliuag"/>
    <s v="Tibag"/>
    <s v="MBA"/>
    <m/>
    <m/>
    <n v="2025"/>
    <d v="2025-10-07T00:00:00"/>
    <s v="R3-2025-034059"/>
    <x v="0"/>
    <m/>
    <s v="NO FACILITY"/>
    <s v="CATER BY LGU"/>
    <s v="Technical Assistance"/>
  </r>
  <r>
    <x v="3"/>
    <s v="Tarlac City (Capital)"/>
    <s v="Aguso"/>
    <s v="MBA"/>
    <s v="Joshua A. Capones"/>
    <s v="Jan Emerson C. Gonzales"/>
    <m/>
    <m/>
    <m/>
    <x v="1"/>
    <m/>
    <m/>
    <m/>
    <s v="For Monitoring"/>
  </r>
  <r>
    <x v="2"/>
    <s v="Baliuag"/>
    <s v="Virgen delas Flores"/>
    <s v="MBA"/>
    <m/>
    <m/>
    <n v="2024"/>
    <d v="2024-06-07T00:00:00"/>
    <m/>
    <x v="0"/>
    <m/>
    <m/>
    <m/>
    <s v="Technical Assistance"/>
  </r>
  <r>
    <x v="2"/>
    <s v="Bocaue"/>
    <s v="Antipona"/>
    <s v="MBA"/>
    <m/>
    <m/>
    <n v="2025"/>
    <d v="2025-09-11T00:00:00"/>
    <s v="R3-2025-031074"/>
    <x v="0"/>
    <m/>
    <s v="NO FACILITY"/>
    <s v="CATER BY LGU"/>
    <s v="Technical Assistance"/>
  </r>
  <r>
    <x v="2"/>
    <s v="Bocaue"/>
    <s v="Bagumbayan"/>
    <s v="MBA"/>
    <m/>
    <m/>
    <n v="2025"/>
    <d v="2025-09-11T00:00:00"/>
    <s v="R3-2025-031303"/>
    <x v="0"/>
    <m/>
    <s v="NO FACILITY"/>
    <s v="CATER BY LGU"/>
    <s v="Technical Assistance"/>
  </r>
  <r>
    <x v="2"/>
    <s v="Bocaue"/>
    <s v="Bambang"/>
    <s v="MBA"/>
    <m/>
    <m/>
    <n v="2025"/>
    <d v="2025-09-16T00:00:00"/>
    <s v="R3-2025-031263"/>
    <x v="0"/>
    <m/>
    <s v="MRF"/>
    <s v="OPERATIONAL"/>
    <s v="Technical Assistance"/>
  </r>
  <r>
    <x v="2"/>
    <s v="Bocaue"/>
    <s v="Batia"/>
    <s v="MBA"/>
    <m/>
    <m/>
    <n v="2025"/>
    <d v="2025-09-11T00:00:00"/>
    <s v="R3-2025-031302"/>
    <x v="0"/>
    <m/>
    <s v="MRF"/>
    <s v="NON-OPERATIONAL"/>
    <s v="Technical Assistance"/>
  </r>
  <r>
    <x v="2"/>
    <s v="Bocaue"/>
    <s v="Bolacan"/>
    <s v="MBA"/>
    <m/>
    <m/>
    <n v="2025"/>
    <d v="2025-09-11T00:00:00"/>
    <s v="R3-2025-031076"/>
    <x v="0"/>
    <m/>
    <s v="MRF"/>
    <s v="OPERATIONAL"/>
    <s v="Technical Assistance"/>
  </r>
  <r>
    <x v="2"/>
    <s v="Bocaue"/>
    <s v="Biñang 1st"/>
    <s v="MBA"/>
    <m/>
    <m/>
    <n v="2025"/>
    <d v="2025-08-14T00:00:00"/>
    <s v="R3-2025-027519"/>
    <x v="0"/>
    <m/>
    <s v="NO FACILITY"/>
    <s v="CATER BY LGU"/>
    <s v="Technical Assistance"/>
  </r>
  <r>
    <x v="2"/>
    <s v="Bocaue"/>
    <s v="Biñang 2nd"/>
    <s v="MBA"/>
    <m/>
    <m/>
    <n v="2025"/>
    <d v="2025-06-11T00:00:00"/>
    <s v="R3-2025-019787"/>
    <x v="0"/>
    <m/>
    <s v="MRF"/>
    <s v="OPERATIONAL"/>
    <s v="Technical Assistance"/>
  </r>
  <r>
    <x v="2"/>
    <s v="Bocaue"/>
    <s v="Bunlo"/>
    <s v="MBA"/>
    <m/>
    <m/>
    <n v="2025"/>
    <d v="2025-09-16T00:00:00"/>
    <s v="R3-2025-031264"/>
    <x v="0"/>
    <m/>
    <s v="NO FACILITY"/>
    <s v="CATER BY LGU"/>
    <s v="Technical Assistance"/>
  </r>
  <r>
    <x v="2"/>
    <s v="Bocaue"/>
    <s v="Bundukan"/>
    <s v="MBA"/>
    <m/>
    <m/>
    <n v="2025"/>
    <d v="2025-06-13T00:00:00"/>
    <s v="R3-2025-019793"/>
    <x v="0"/>
    <m/>
    <s v="NO FACILITY"/>
    <s v="CATER BY LGU"/>
    <s v="Technical Assistance"/>
  </r>
  <r>
    <x v="2"/>
    <s v="Bocaue"/>
    <s v="Poblacion"/>
    <s v="MBA"/>
    <m/>
    <m/>
    <n v="2025"/>
    <d v="2025-09-16T00:00:00"/>
    <s v="R3-2025-031260"/>
    <x v="0"/>
    <m/>
    <s v="NO FACILITY"/>
    <s v="CATER BY LGU"/>
    <s v="Technical Assistance"/>
  </r>
  <r>
    <x v="2"/>
    <s v="Bocaue"/>
    <s v="Caingin"/>
    <s v="MBA"/>
    <m/>
    <m/>
    <n v="2025"/>
    <d v="2025-08-14T00:00:00"/>
    <s v="R3-2025-027518"/>
    <x v="0"/>
    <m/>
    <s v="NO FACILITY"/>
    <s v="CATER BY LGU"/>
    <s v="Technical Assistance"/>
  </r>
  <r>
    <x v="2"/>
    <s v="Bocaue"/>
    <s v="Duhat"/>
    <s v="MBA"/>
    <m/>
    <m/>
    <n v="2025"/>
    <d v="2025-06-11T00:00:00"/>
    <s v="R3-2025-019788"/>
    <x v="0"/>
    <m/>
    <s v="MRF"/>
    <s v="OPERATIONAL"/>
    <s v="Technical Assistance"/>
  </r>
  <r>
    <x v="2"/>
    <s v="Bocaue"/>
    <s v="Igulot"/>
    <s v="MBA"/>
    <m/>
    <m/>
    <n v="2025"/>
    <d v="2025-06-13T00:00:00"/>
    <s v="R3-2025-019790"/>
    <x v="0"/>
    <m/>
    <s v="MRF"/>
    <s v="NON-OPERATIONAL"/>
    <s v="Technical Assistance"/>
  </r>
  <r>
    <x v="2"/>
    <s v="Bocaue"/>
    <s v="Lolomboy"/>
    <s v="MBA"/>
    <m/>
    <m/>
    <n v="2025"/>
    <d v="2025-06-13T00:00:00"/>
    <s v="R3-2025-019998"/>
    <x v="0"/>
    <m/>
    <s v="NO FACILITY"/>
    <s v="CATER BY LGU"/>
    <s v="Technical Assistance"/>
  </r>
  <r>
    <x v="2"/>
    <s v="Bocaue"/>
    <s v="Sulucan"/>
    <s v="MBA"/>
    <m/>
    <m/>
    <n v="2025"/>
    <d v="2025-09-16T00:00:00"/>
    <s v="R3-2025-031262"/>
    <x v="0"/>
    <m/>
    <s v="NO FACILITY"/>
    <s v="CATER BY LGU"/>
    <s v="Technical Assistance"/>
  </r>
  <r>
    <x v="2"/>
    <s v="Bocaue"/>
    <s v="Tambobong"/>
    <s v="MBA"/>
    <m/>
    <m/>
    <n v="2025"/>
    <d v="2025-09-11T00:00:00"/>
    <s v="R3-2025-031072"/>
    <x v="0"/>
    <m/>
    <s v="NO FACILITY"/>
    <s v="CATER BY LGU"/>
    <s v="Technical Assistance"/>
  </r>
  <r>
    <x v="2"/>
    <s v="Bocaue"/>
    <s v="Taal"/>
    <s v="MBA"/>
    <m/>
    <m/>
    <n v="2025"/>
    <d v="2025-08-14T00:00:00"/>
    <s v="R3-2025-027517"/>
    <x v="0"/>
    <m/>
    <s v="NO FACILITY"/>
    <s v="CATER BY LGU"/>
    <s v="Technical Assistance"/>
  </r>
  <r>
    <x v="2"/>
    <s v="Bocaue"/>
    <s v="Turo"/>
    <s v="MBA"/>
    <m/>
    <m/>
    <n v="2025"/>
    <d v="2025-09-11T00:00:00"/>
    <s v="R3-2025-031077"/>
    <x v="0"/>
    <m/>
    <s v="MRS"/>
    <s v="OPERATIONAL"/>
    <s v="Technical Assistance"/>
  </r>
  <r>
    <x v="2"/>
    <s v="Bocaue"/>
    <s v="Wakas"/>
    <s v="MBA"/>
    <m/>
    <m/>
    <n v="2025"/>
    <d v="2025-08-14T00:00:00"/>
    <s v="R3-2025-027520"/>
    <x v="0"/>
    <m/>
    <s v="NO FACILITY"/>
    <s v="CATER BY LGU"/>
    <s v="Technical Assistance"/>
  </r>
  <r>
    <x v="2"/>
    <s v="Bulakan"/>
    <s v="Bagumbayan"/>
    <s v="MBA"/>
    <m/>
    <m/>
    <n v="2024"/>
    <d v="2024-08-01T00:00:00"/>
    <m/>
    <x v="0"/>
    <m/>
    <s v="MRS"/>
    <m/>
    <s v="Technical Assistance"/>
  </r>
  <r>
    <x v="2"/>
    <s v="Bulakan"/>
    <s v="Balubad"/>
    <s v="MBA"/>
    <m/>
    <m/>
    <n v="2024"/>
    <d v="2024-05-14T00:00:00"/>
    <m/>
    <x v="0"/>
    <m/>
    <m/>
    <m/>
    <s v="Technical Assistance"/>
  </r>
  <r>
    <x v="2"/>
    <s v="Bulakan"/>
    <s v="Bambang"/>
    <s v="MBA"/>
    <m/>
    <m/>
    <n v="2024"/>
    <d v="2024-08-01T00:00:00"/>
    <m/>
    <x v="0"/>
    <m/>
    <s v="MRS"/>
    <m/>
    <s v="Technical Assistance"/>
  </r>
  <r>
    <x v="2"/>
    <s v="Bulakan"/>
    <s v="Matungao"/>
    <s v="MBA"/>
    <m/>
    <m/>
    <n v="2024"/>
    <d v="2024-08-07T00:00:00"/>
    <m/>
    <x v="0"/>
    <m/>
    <s v="MRS"/>
    <m/>
    <s v="Technical Assistance"/>
  </r>
  <r>
    <x v="2"/>
    <s v="Bulakan"/>
    <s v="Maysantol"/>
    <s v="MBA"/>
    <m/>
    <m/>
    <n v="2024"/>
    <d v="2024-08-01T00:00:00"/>
    <m/>
    <x v="0"/>
    <m/>
    <s v="MRS"/>
    <m/>
    <s v="Technical Assistance"/>
  </r>
  <r>
    <x v="2"/>
    <s v="Bulakan"/>
    <s v="Perez"/>
    <s v="MBA"/>
    <m/>
    <m/>
    <n v="2024"/>
    <d v="2024-08-06T00:00:00"/>
    <m/>
    <x v="0"/>
    <m/>
    <s v="MRS"/>
    <m/>
    <s v="Technical Assistance"/>
  </r>
  <r>
    <x v="2"/>
    <s v="Bulakan"/>
    <s v="Pitpitan"/>
    <s v="MBA"/>
    <m/>
    <m/>
    <n v="2024"/>
    <d v="2024-08-06T00:00:00"/>
    <m/>
    <x v="0"/>
    <m/>
    <s v="MRS"/>
    <m/>
    <s v="Technical Assistance"/>
  </r>
  <r>
    <x v="2"/>
    <s v="Bulakan"/>
    <s v="San Francisco"/>
    <s v="MBA"/>
    <m/>
    <m/>
    <n v="2024"/>
    <d v="2024-05-14T00:00:00"/>
    <m/>
    <x v="0"/>
    <m/>
    <m/>
    <m/>
    <s v="Technical Assistance"/>
  </r>
  <r>
    <x v="2"/>
    <s v="Bulakan"/>
    <s v="San Jose (Pob.)"/>
    <s v="MBA"/>
    <m/>
    <m/>
    <n v="2024"/>
    <d v="2024-08-01T00:00:00"/>
    <m/>
    <x v="0"/>
    <m/>
    <s v="MRS"/>
    <m/>
    <s v="Technical Assistance"/>
  </r>
  <r>
    <x v="2"/>
    <s v="Bulakan"/>
    <s v="San Nicolas"/>
    <s v="MBA"/>
    <m/>
    <m/>
    <n v="2024"/>
    <d v="2024-08-06T00:00:00"/>
    <m/>
    <x v="0"/>
    <m/>
    <s v="MRS"/>
    <m/>
    <s v="Technical Assistance"/>
  </r>
  <r>
    <x v="2"/>
    <s v="Bulakan"/>
    <s v="Santa Ana"/>
    <s v="MBA"/>
    <m/>
    <m/>
    <n v="2024"/>
    <d v="2024-08-01T00:00:00"/>
    <m/>
    <x v="0"/>
    <m/>
    <s v="MRS"/>
    <m/>
    <s v="Technical Assistance"/>
  </r>
  <r>
    <x v="2"/>
    <s v="Bulakan"/>
    <s v="Santa Ines"/>
    <s v="MBA"/>
    <m/>
    <m/>
    <n v="2024"/>
    <d v="2024-08-06T00:00:00"/>
    <m/>
    <x v="0"/>
    <m/>
    <s v="MRS"/>
    <m/>
    <s v="Technical Assistance"/>
  </r>
  <r>
    <x v="2"/>
    <s v="Bulakan"/>
    <s v="Taliptip"/>
    <s v="MBA"/>
    <m/>
    <m/>
    <n v="2024"/>
    <d v="2024-08-06T00:00:00"/>
    <m/>
    <x v="0"/>
    <m/>
    <s v="MRS"/>
    <m/>
    <s v="Technical Assistance"/>
  </r>
  <r>
    <x v="2"/>
    <s v="Bulakan"/>
    <s v="Tibig"/>
    <s v="MBA"/>
    <m/>
    <m/>
    <n v="2024"/>
    <d v="2024-08-01T00:00:00"/>
    <m/>
    <x v="0"/>
    <m/>
    <s v="MRS"/>
    <m/>
    <s v="Technical Assistance"/>
  </r>
  <r>
    <x v="2"/>
    <s v="Bustos"/>
    <s v="Catacte"/>
    <s v="MBA"/>
    <m/>
    <m/>
    <n v="2025"/>
    <d v="2025-09-16T00:00:00"/>
    <s v="R3-2025-031331"/>
    <x v="0"/>
    <m/>
    <s v="NO FACILITY"/>
    <s v="CATER BY LGU"/>
    <s v="Technical Assistance"/>
  </r>
  <r>
    <x v="2"/>
    <s v="Bustos"/>
    <s v="Bonga Mayor"/>
    <s v="MBA"/>
    <m/>
    <m/>
    <n v="2025"/>
    <d v="2025-02-12T00:00:00"/>
    <s v="R3-2025-005549"/>
    <x v="0"/>
    <m/>
    <s v="MRS"/>
    <s v="OPERATIONAL"/>
    <s v="Technical Assistance"/>
  </r>
  <r>
    <x v="2"/>
    <s v="Bustos"/>
    <s v="Bonga Menor"/>
    <s v="MBA"/>
    <m/>
    <m/>
    <n v="2025"/>
    <d v="2025-02-12T00:00:00"/>
    <s v=" R3-2025-005548"/>
    <x v="0"/>
    <m/>
    <s v="MRF"/>
    <s v="OPERATIONAL"/>
    <s v="Technical Assistance"/>
  </r>
  <r>
    <x v="2"/>
    <s v="Bustos"/>
    <s v="Buisan"/>
    <s v="MBA"/>
    <m/>
    <m/>
    <n v="2025"/>
    <d v="2025-02-18T00:00:00"/>
    <s v="R3-2025-005898"/>
    <x v="0"/>
    <m/>
    <s v="MRS"/>
    <s v="OPERATIONAL"/>
    <s v="Technical Assistance"/>
  </r>
  <r>
    <x v="3"/>
    <s v="Tarlac City (Capital)"/>
    <s v="Alvindia Segundo"/>
    <s v="MBA"/>
    <s v="Joshua A. Capones"/>
    <s v="Jan Emerson C. Gonzales"/>
    <m/>
    <m/>
    <m/>
    <x v="1"/>
    <m/>
    <m/>
    <m/>
    <s v="For Monitoring"/>
  </r>
  <r>
    <x v="3"/>
    <s v="Tarlac City (Capital)"/>
    <s v="Amucao"/>
    <s v="MBA"/>
    <s v="Joshua A. Capones"/>
    <s v="Jan Emerson C. Gonzales"/>
    <m/>
    <m/>
    <m/>
    <x v="1"/>
    <m/>
    <m/>
    <m/>
    <s v="For Monitoring"/>
  </r>
  <r>
    <x v="2"/>
    <s v="Bustos"/>
    <s v="Liciada"/>
    <s v="MBA"/>
    <m/>
    <m/>
    <n v="2025"/>
    <d v="2025-09-16T00:00:00"/>
    <s v="R3-2025-031333"/>
    <x v="0"/>
    <m/>
    <s v="NO FACILITY"/>
    <s v="CATER BY LGU"/>
    <s v="Technical Assistance"/>
  </r>
  <r>
    <x v="2"/>
    <s v="Bustos"/>
    <s v="Malawak"/>
    <s v="MBA"/>
    <m/>
    <m/>
    <n v="2025"/>
    <d v="2025-09-16T00:00:00"/>
    <s v="R3-2025-031332"/>
    <x v="0"/>
    <m/>
    <s v="NO FACILITY"/>
    <s v="CATER BY LGU"/>
    <s v="Technical Assistance"/>
  </r>
  <r>
    <x v="2"/>
    <s v="Bustos"/>
    <s v="Malamig"/>
    <s v="MBA"/>
    <m/>
    <m/>
    <n v="2024"/>
    <s v="March 08, 2024"/>
    <m/>
    <x v="0"/>
    <m/>
    <m/>
    <m/>
    <s v="Technical Assistance"/>
  </r>
  <r>
    <x v="3"/>
    <s v="Tarlac City (Capital)"/>
    <s v="Armenia"/>
    <s v="MBA"/>
    <s v="Joshua A. Capones"/>
    <s v="Jan Emerson C. Gonzales"/>
    <m/>
    <m/>
    <m/>
    <x v="1"/>
    <m/>
    <m/>
    <m/>
    <s v="For Monitoring"/>
  </r>
  <r>
    <x v="2"/>
    <s v="Bustos"/>
    <s v="San Pedro"/>
    <s v="MBA"/>
    <m/>
    <m/>
    <n v="2024"/>
    <s v="March 08, 2024"/>
    <m/>
    <x v="0"/>
    <m/>
    <m/>
    <m/>
    <s v="Technical Assistance"/>
  </r>
  <r>
    <x v="2"/>
    <s v="Bustos"/>
    <s v="Talampas"/>
    <s v="MBA"/>
    <m/>
    <m/>
    <n v="2024"/>
    <s v="March 08, 2024"/>
    <m/>
    <x v="0"/>
    <m/>
    <m/>
    <m/>
    <s v="Technical Assistance"/>
  </r>
  <r>
    <x v="2"/>
    <s v="Bustos"/>
    <s v="Tanawan"/>
    <s v="MBA"/>
    <m/>
    <m/>
    <n v="2024"/>
    <s v="March 08, 2024"/>
    <m/>
    <x v="0"/>
    <m/>
    <m/>
    <m/>
    <s v="Technical Assistance"/>
  </r>
  <r>
    <x v="3"/>
    <s v="Tarlac City (Capital)"/>
    <s v="Tibag"/>
    <s v="MBA"/>
    <s v="Joshua A. Capones"/>
    <s v="Jan Emerson C. Gonzales"/>
    <m/>
    <m/>
    <m/>
    <x v="1"/>
    <m/>
    <m/>
    <m/>
    <s v="For Monitoring"/>
  </r>
  <r>
    <x v="2"/>
    <s v="Calumpit"/>
    <s v="Balite"/>
    <s v="MBA"/>
    <m/>
    <m/>
    <n v="2024"/>
    <d v="2024-05-14T00:00:00"/>
    <m/>
    <x v="0"/>
    <m/>
    <m/>
    <m/>
    <s v="Technical Assistance"/>
  </r>
  <r>
    <x v="2"/>
    <s v="Calumpit"/>
    <s v="Balungao"/>
    <s v="MBA"/>
    <m/>
    <m/>
    <n v="2025"/>
    <d v="2025-05-14T00:00:00"/>
    <s v="R3-2025-016516 "/>
    <x v="0"/>
    <m/>
    <s v="MRS"/>
    <s v="OPERATIONAL"/>
    <s v="Technical Assistance"/>
  </r>
  <r>
    <x v="2"/>
    <s v="Calumpit"/>
    <s v="Buguion"/>
    <s v="MBA"/>
    <m/>
    <m/>
    <n v="2025"/>
    <d v="2025-03-12T00:00:00"/>
    <s v="R3-2025-008813"/>
    <x v="0"/>
    <m/>
    <s v="MRS"/>
    <s v="OPERATIONAL"/>
    <s v="Technical Assistance"/>
  </r>
  <r>
    <x v="4"/>
    <s v="Angeles City"/>
    <s v="Agapito del Rosario"/>
    <s v="MBA"/>
    <s v="Elyza A. Evilla"/>
    <s v="John Sherwin Y. Loquellano"/>
    <m/>
    <m/>
    <m/>
    <x v="1"/>
    <m/>
    <m/>
    <m/>
    <s v="For Monitoring"/>
  </r>
  <r>
    <x v="4"/>
    <s v="Angeles City"/>
    <s v="Amsic"/>
    <s v="MBA"/>
    <s v="Elyza A. Evilla"/>
    <s v="John Sherwin Y. Loquellano"/>
    <m/>
    <m/>
    <m/>
    <x v="1"/>
    <m/>
    <m/>
    <m/>
    <s v="For Monitoring"/>
  </r>
  <r>
    <x v="2"/>
    <s v="Calumpit"/>
    <s v="Calumpang"/>
    <s v="MBA"/>
    <m/>
    <m/>
    <n v="2025"/>
    <d v="2025-10-08T00:00:00"/>
    <s v="R3-2025-034399"/>
    <x v="0"/>
    <m/>
    <s v="NO FACILITY"/>
    <s v="CATER BY LGU"/>
    <s v="Technical Assistance"/>
  </r>
  <r>
    <x v="2"/>
    <s v="Calumpit"/>
    <s v="Caniogan"/>
    <s v="MBA"/>
    <m/>
    <m/>
    <n v="2025"/>
    <d v="2025-08-14T00:00:00"/>
    <s v="R3-2025-027870"/>
    <x v="0"/>
    <m/>
    <s v="MRS"/>
    <s v="OPERATIONAL"/>
    <s v="Technical Assistance"/>
  </r>
  <r>
    <x v="2"/>
    <s v="Calumpit"/>
    <s v="Corazon"/>
    <s v="MBA"/>
    <m/>
    <m/>
    <n v="2025"/>
    <d v="2025-08-14T00:00:00"/>
    <s v="R3-2025-027868"/>
    <x v="0"/>
    <m/>
    <s v="MRS"/>
    <s v="OPERATIONAL"/>
    <s v="Technical Assistance"/>
  </r>
  <r>
    <x v="4"/>
    <s v="Angeles City"/>
    <s v="Balibago"/>
    <s v="MBA"/>
    <s v="Elyza A. Evilla"/>
    <s v="John Sherwin Y. Loquellano"/>
    <m/>
    <m/>
    <m/>
    <x v="1"/>
    <m/>
    <m/>
    <m/>
    <s v="For Monitoring"/>
  </r>
  <r>
    <x v="2"/>
    <s v="Calumpit"/>
    <s v="Gatbuca"/>
    <s v="MBA"/>
    <m/>
    <m/>
    <n v="2025"/>
    <d v="2025-03-12T00:00:00"/>
    <s v="R3-2025-008815"/>
    <x v="0"/>
    <m/>
    <s v="MRS"/>
    <s v="OPERATIONAL"/>
    <s v="Technical Assistance"/>
  </r>
  <r>
    <x v="4"/>
    <s v="Arayat"/>
    <s v="San Roque Bitas"/>
    <s v="MBA"/>
    <s v="Roger T. Encarnacion II"/>
    <s v="Jun D. Guillermo"/>
    <m/>
    <m/>
    <m/>
    <x v="1"/>
    <m/>
    <m/>
    <m/>
    <s v="For Monitoring"/>
  </r>
  <r>
    <x v="2"/>
    <s v="Calumpit"/>
    <s v="Iba Este"/>
    <s v="MBA"/>
    <m/>
    <m/>
    <n v="2025"/>
    <d v="2025-08-14T00:00:00"/>
    <s v="R3-2025-027871"/>
    <x v="0"/>
    <m/>
    <s v="MRS"/>
    <s v="OPERATIONAL"/>
    <s v="Technical Assistance"/>
  </r>
  <r>
    <x v="4"/>
    <s v="Arayat"/>
    <s v="Santo Niño Tabuan"/>
    <s v="MBA"/>
    <s v="Roger T. Encarnacion II"/>
    <s v="Jun D. Guillermo"/>
    <m/>
    <m/>
    <m/>
    <x v="1"/>
    <m/>
    <m/>
    <m/>
    <s v="For Monitoring"/>
  </r>
  <r>
    <x v="4"/>
    <s v="Arayat"/>
    <s v="Suclayin"/>
    <s v="MBA"/>
    <s v="Roger T. Encarnacion II"/>
    <s v="Jun D. Guillermo"/>
    <m/>
    <m/>
    <m/>
    <x v="1"/>
    <m/>
    <m/>
    <m/>
    <s v="For Monitoring"/>
  </r>
  <r>
    <x v="4"/>
    <s v="Candaba"/>
    <s v="Bahay Pare"/>
    <s v="MBA"/>
    <s v="Roger T. Encarnacion II"/>
    <s v="Jun D. Guillermo"/>
    <m/>
    <m/>
    <m/>
    <x v="1"/>
    <m/>
    <m/>
    <m/>
    <s v="For Monitoring"/>
  </r>
  <r>
    <x v="5"/>
    <s v="City Of Olongapo"/>
    <s v="Kalaklan"/>
    <s v="OUTSIDE MBA"/>
    <s v="Larizze Ann A. Santos"/>
    <s v="Jun D. Guillermo"/>
    <m/>
    <m/>
    <m/>
    <x v="1"/>
    <m/>
    <m/>
    <m/>
    <s v="For Monitoring"/>
  </r>
  <r>
    <x v="2"/>
    <s v="Calumpit"/>
    <s v="Palimbang"/>
    <s v="MBA"/>
    <m/>
    <m/>
    <n v="2025"/>
    <d v="2025-08-14T00:00:00"/>
    <s v="R3-2025-027873"/>
    <x v="0"/>
    <m/>
    <s v="MRS"/>
    <s v="OPERATIONAL"/>
    <s v="Technical Assistance"/>
  </r>
  <r>
    <x v="6"/>
    <s v="Aliaga"/>
    <s v="Poblacion East I"/>
    <s v="MBA"/>
    <s v="Gem C. Vicencio"/>
    <s v="Zosimo P. Suyat"/>
    <m/>
    <m/>
    <m/>
    <x v="1"/>
    <m/>
    <m/>
    <m/>
    <s v="For Monitoring"/>
  </r>
  <r>
    <x v="6"/>
    <s v="Aliaga"/>
    <s v="Poblacion East II"/>
    <s v="MBA"/>
    <s v="Gem C. Vicencio"/>
    <s v="Zosimo P. Suyat"/>
    <m/>
    <m/>
    <m/>
    <x v="1"/>
    <m/>
    <m/>
    <m/>
    <s v="For Monitoring"/>
  </r>
  <r>
    <x v="2"/>
    <s v="Calumpit"/>
    <s v="Poblacion"/>
    <s v="MBA"/>
    <m/>
    <m/>
    <n v="2025"/>
    <d v="2025-03-12T00:00:00"/>
    <s v="R3-2025-008814"/>
    <x v="0"/>
    <m/>
    <s v="MRS"/>
    <s v="OPERATIONAL"/>
    <s v="Technical Assistance"/>
  </r>
  <r>
    <x v="2"/>
    <s v="Calumpit"/>
    <s v="Pungo"/>
    <s v="MBA"/>
    <m/>
    <m/>
    <n v="2025"/>
    <d v="2025-10-08T00:00:00"/>
    <s v="R3-2025-034398"/>
    <x v="0"/>
    <m/>
    <s v="NO FACILITY"/>
    <s v="CATER BY LGU"/>
    <s v="Technical Assistance"/>
  </r>
  <r>
    <x v="6"/>
    <s v="Aliaga"/>
    <s v="Poblacion West III"/>
    <s v="MBA"/>
    <s v="Gem C. Vicencio"/>
    <s v="Zosimo P. Suyat"/>
    <m/>
    <m/>
    <m/>
    <x v="1"/>
    <m/>
    <m/>
    <m/>
    <s v="For Monitoring"/>
  </r>
  <r>
    <x v="2"/>
    <s v="Calumpit"/>
    <s v="San Marcos"/>
    <s v="MBA"/>
    <m/>
    <m/>
    <n v="2025"/>
    <d v="2025-08-14T00:00:00"/>
    <s v="R3-2025-027867"/>
    <x v="0"/>
    <m/>
    <s v="MRS"/>
    <s v="OPERATIONAL"/>
    <s v="Technical Assistance"/>
  </r>
  <r>
    <x v="6"/>
    <s v="Aliaga"/>
    <s v="Poblacion West IV"/>
    <s v="MBA"/>
    <s v="Gem C. Vicencio"/>
    <s v="Zosimo P. Suyat"/>
    <m/>
    <m/>
    <m/>
    <x v="1"/>
    <m/>
    <m/>
    <m/>
    <s v="For Monitoring"/>
  </r>
  <r>
    <x v="6"/>
    <s v="Bongabon"/>
    <s v="Antipolo"/>
    <s v="MBA"/>
    <s v="Christian Jem L. Buluran"/>
    <s v="Zosimo P. Suyat"/>
    <m/>
    <m/>
    <m/>
    <x v="1"/>
    <m/>
    <m/>
    <m/>
    <s v="For Monitoring"/>
  </r>
  <r>
    <x v="2"/>
    <s v="Calumpit"/>
    <s v="Santo Niño"/>
    <s v="MBA"/>
    <m/>
    <m/>
    <n v="2025"/>
    <d v="2025-10-05T00:00:00"/>
    <s v="R3-2025-034397"/>
    <x v="0"/>
    <m/>
    <s v="NO FACILITY"/>
    <s v="CATER BY LGU"/>
    <s v="Technical Assistance"/>
  </r>
  <r>
    <x v="6"/>
    <s v="Bongabon"/>
    <s v="Ariendo"/>
    <s v="MBA"/>
    <s v="Christian Jem L. Buluran"/>
    <s v="Zosimo P. Suyat"/>
    <m/>
    <m/>
    <m/>
    <x v="1"/>
    <m/>
    <m/>
    <m/>
    <s v="For Monitoring"/>
  </r>
  <r>
    <x v="6"/>
    <s v="Carranglan"/>
    <s v="Bantug"/>
    <s v="MBA"/>
    <s v="Aser A. Inocencio, Jr."/>
    <s v="Zosimo P. Suyat"/>
    <m/>
    <m/>
    <m/>
    <x v="1"/>
    <m/>
    <m/>
    <m/>
    <s v="For Monitoring"/>
  </r>
  <r>
    <x v="2"/>
    <s v="Calumpit"/>
    <s v="Sucol"/>
    <s v="MBA"/>
    <m/>
    <m/>
    <n v="2025"/>
    <d v="2025-10-08T00:00:00"/>
    <s v="R3-2025-034396"/>
    <x v="0"/>
    <m/>
    <s v="NO FACILITY"/>
    <s v="CATER BY LGU"/>
    <s v="Technical Assistance"/>
  </r>
  <r>
    <x v="2"/>
    <s v="City of Malolos (Capital)"/>
    <s v="Barihan"/>
    <s v="MBA"/>
    <m/>
    <m/>
    <n v="2025"/>
    <d v="2025-09-09T00:00:00"/>
    <s v="R3-2025-031006"/>
    <x v="0"/>
    <m/>
    <s v="NO FACILITY"/>
    <s v="CATER BY LGU"/>
    <s v="Technical Assistance"/>
  </r>
  <r>
    <x v="2"/>
    <s v="City of Malolos (Capital)"/>
    <s v="Anilao"/>
    <s v="MBA"/>
    <m/>
    <m/>
    <n v="2025"/>
    <d v="2025-02-04T00:00:00"/>
    <s v="R3-2025-004157"/>
    <x v="0"/>
    <m/>
    <s v="MRS"/>
    <s v="OPERATIONAL"/>
    <s v="Technical Assistance"/>
  </r>
  <r>
    <x v="2"/>
    <s v="City of Malolos (Capital)"/>
    <s v="Atlag"/>
    <s v="MBA"/>
    <m/>
    <m/>
    <n v="2025"/>
    <d v="2025-03-07T00:00:00"/>
    <s v="R3-2025-008017"/>
    <x v="0"/>
    <m/>
    <s v="MRS"/>
    <s v="OPERATIONAL"/>
    <s v="Technical Assistance"/>
  </r>
  <r>
    <x v="6"/>
    <s v="Carranglan"/>
    <s v="Burgos"/>
    <s v="MBA"/>
    <s v="Aser A. Inocencio, Jr."/>
    <s v="Zosimo P. Suyat"/>
    <m/>
    <m/>
    <m/>
    <x v="1"/>
    <m/>
    <m/>
    <m/>
    <s v="For Monitoring"/>
  </r>
  <r>
    <x v="6"/>
    <s v="Carranglan"/>
    <s v="G. S. Rosario Pob."/>
    <s v="MBA"/>
    <s v="Aser A. Inocencio, Jr."/>
    <s v="Zosimo P. Suyat"/>
    <m/>
    <m/>
    <m/>
    <x v="1"/>
    <m/>
    <m/>
    <m/>
    <s v="For Monitoring"/>
  </r>
  <r>
    <x v="2"/>
    <s v="City of Malolos (Capital)"/>
    <s v="Bagong Bayan"/>
    <s v="MBA"/>
    <m/>
    <m/>
    <n v="2025"/>
    <d v="2025-10-15T00:00:00"/>
    <s v="R3-2025-034961"/>
    <x v="0"/>
    <m/>
    <s v="MRS"/>
    <s v="OPERATIONAL"/>
    <s v="Technical Assistance"/>
  </r>
  <r>
    <x v="6"/>
    <s v="City of Palayan (Capital)"/>
    <s v="Bagong Buhay"/>
    <s v="MBA"/>
    <s v="Hosannah R. Sabio"/>
    <s v="Zosimo P. Suyat"/>
    <m/>
    <m/>
    <m/>
    <x v="1"/>
    <m/>
    <m/>
    <m/>
    <s v="For Monitoring"/>
  </r>
  <r>
    <x v="2"/>
    <s v="City of Malolos (Capital)"/>
    <s v="Balite"/>
    <s v="MBA"/>
    <m/>
    <m/>
    <n v="2025"/>
    <d v="2025-10-15T00:00:00"/>
    <s v="R3-2025-034962"/>
    <x v="0"/>
    <m/>
    <s v="NO FACILITY"/>
    <s v="CATER BY LGU"/>
    <s v="Technical Assistance"/>
  </r>
  <r>
    <x v="2"/>
    <s v="City of Malolos (Capital)"/>
    <s v="Bangkal"/>
    <s v="MBA"/>
    <m/>
    <m/>
    <n v="2025"/>
    <d v="2025-10-01T00:00:00"/>
    <s v="R3-2025-033487"/>
    <x v="0"/>
    <m/>
    <s v="MRS"/>
    <s v="OPERATIONAL"/>
    <s v="Technical Assistance"/>
  </r>
  <r>
    <x v="2"/>
    <s v="City of Malolos (Capital)"/>
    <s v="Guinhawa"/>
    <s v="MBA"/>
    <m/>
    <m/>
    <n v="2025"/>
    <d v="2025-09-09T00:00:00"/>
    <s v="R3-2025-031008"/>
    <x v="0"/>
    <m/>
    <s v="MRF"/>
    <s v="OPERATIONAL"/>
    <s v="Technical Assistance"/>
  </r>
  <r>
    <x v="2"/>
    <s v="City of Malolos (Capital)"/>
    <s v="Bulihan"/>
    <s v="MBA"/>
    <m/>
    <m/>
    <n v="2024"/>
    <d v="2024-10-08T00:00:00"/>
    <m/>
    <x v="0"/>
    <m/>
    <s v="MRS"/>
    <m/>
    <s v="Technical Assistance"/>
  </r>
  <r>
    <x v="2"/>
    <s v="City of Malolos (Capital)"/>
    <s v="Bungahan"/>
    <s v="MBA"/>
    <m/>
    <m/>
    <n v="2024"/>
    <d v="2024-05-15T00:00:00"/>
    <m/>
    <x v="0"/>
    <m/>
    <m/>
    <m/>
    <s v="Technical Assistance"/>
  </r>
  <r>
    <x v="2"/>
    <s v="City of Malolos (Capital)"/>
    <s v="Caingin"/>
    <s v="MBA"/>
    <m/>
    <m/>
    <n v="2024"/>
    <d v="2024-04-11T00:00:00"/>
    <m/>
    <x v="0"/>
    <m/>
    <m/>
    <m/>
    <s v="Technical Assistance"/>
  </r>
  <r>
    <x v="3"/>
    <s v="Ramos"/>
    <s v="Guiteb"/>
    <s v="OUTSIDE MBA"/>
    <s v="Jasper Kieht B. Pili"/>
    <s v="Jan Emerson C. Gonzales"/>
    <m/>
    <m/>
    <m/>
    <x v="0"/>
    <m/>
    <m/>
    <m/>
    <s v="For Monitoring"/>
  </r>
  <r>
    <x v="2"/>
    <s v="San Ildefonso"/>
    <s v="Akle"/>
    <s v="MBA"/>
    <s v="VACANT"/>
    <s v="Diozelle L. Cabalar"/>
    <m/>
    <m/>
    <m/>
    <x v="0"/>
    <m/>
    <m/>
    <m/>
    <s v="For Monitoring"/>
  </r>
  <r>
    <x v="2"/>
    <s v="San Ildefonso"/>
    <s v="Alagao"/>
    <s v="MBA"/>
    <s v="VACANT"/>
    <s v="Diozelle L. Cabalar"/>
    <m/>
    <m/>
    <m/>
    <x v="0"/>
    <m/>
    <m/>
    <m/>
    <s v="For Monitoring"/>
  </r>
  <r>
    <x v="2"/>
    <s v="City of Malolos (Capital)"/>
    <s v="Caniogan"/>
    <s v="MBA"/>
    <m/>
    <m/>
    <n v="2024"/>
    <d v="2024-10-08T00:00:00"/>
    <m/>
    <x v="0"/>
    <m/>
    <s v="MRS"/>
    <m/>
    <s v="Technical Assistance"/>
  </r>
  <r>
    <x v="2"/>
    <s v="City of Malolos (Capital)"/>
    <s v="Catmon"/>
    <s v="MBA"/>
    <m/>
    <m/>
    <n v="2024"/>
    <d v="2024-10-08T00:00:00"/>
    <m/>
    <x v="0"/>
    <m/>
    <s v="MRF"/>
    <s v="OPERATIONAL"/>
    <s v="Technical Assistance"/>
  </r>
  <r>
    <x v="2"/>
    <s v="San Ildefonso"/>
    <s v="Bagong Barrio"/>
    <s v="MBA"/>
    <s v="VACANT"/>
    <s v="Diozelle L. Cabalar"/>
    <m/>
    <m/>
    <m/>
    <x v="0"/>
    <m/>
    <m/>
    <m/>
    <s v="For Monitoring"/>
  </r>
  <r>
    <x v="2"/>
    <s v="City of Malolos (Capital)"/>
    <s v="Dakila"/>
    <s v="MBA"/>
    <m/>
    <m/>
    <n v="2025"/>
    <d v="2025-11-06T00:00:00"/>
    <s v="R3-2025-037820"/>
    <x v="0"/>
    <m/>
    <s v="MRF"/>
    <s v="OPERATIONAL"/>
    <s v="Technical Assistance"/>
  </r>
  <r>
    <x v="2"/>
    <s v="City of Malolos (Capital)"/>
    <s v="Pinagbakahan"/>
    <s v="MBA"/>
    <m/>
    <m/>
    <n v="2025"/>
    <d v="2025-09-09T00:00:00"/>
    <s v="R3-2025-031005"/>
    <x v="0"/>
    <m/>
    <s v="MRS"/>
    <s v="OPERATIONAL"/>
    <s v="Technical Assistance"/>
  </r>
  <r>
    <x v="2"/>
    <s v="San Ildefonso"/>
    <s v="Poblacion"/>
    <s v="MBA"/>
    <s v="VACANT"/>
    <s v="Diozelle L. Cabalar"/>
    <m/>
    <m/>
    <m/>
    <x v="0"/>
    <m/>
    <m/>
    <m/>
    <s v="For Monitoring"/>
  </r>
  <r>
    <x v="2"/>
    <s v="City of Malolos (Capital)"/>
    <s v="Liyang"/>
    <s v="MBA"/>
    <m/>
    <m/>
    <n v="2025"/>
    <d v="2025-07-17T00:00:00"/>
    <s v="R3-2025-024072"/>
    <x v="0"/>
    <m/>
    <s v="MRS"/>
    <s v="OPERATIONAL"/>
    <s v="Technical Assistance"/>
  </r>
  <r>
    <x v="2"/>
    <s v="City of Malolos (Capital)"/>
    <s v="Longos"/>
    <s v="MBA"/>
    <m/>
    <m/>
    <n v="2024"/>
    <d v="2024-10-08T00:00:00"/>
    <m/>
    <x v="0"/>
    <m/>
    <s v="MRS"/>
    <m/>
    <s v="Technical Assistance"/>
  </r>
  <r>
    <x v="2"/>
    <s v="City of Malolos (Capital)"/>
    <s v="Look 1st"/>
    <s v="MBA"/>
    <m/>
    <m/>
    <n v="2025"/>
    <d v="2025-10-15T00:00:00"/>
    <s v="R3-2025-034958"/>
    <x v="0"/>
    <m/>
    <s v="NO FACILITY"/>
    <s v="CATER BY LGU"/>
    <s v="Technical Assistance"/>
  </r>
  <r>
    <x v="2"/>
    <s v="City of Malolos (Capital)"/>
    <s v="Look 2nd"/>
    <s v="MBA"/>
    <m/>
    <m/>
    <n v="2025"/>
    <d v="2025-10-01T00:00:00"/>
    <s v="R3-2025-033488"/>
    <x v="0"/>
    <m/>
    <s v="MRF"/>
    <s v="NON-OPERATIONAL"/>
    <s v="Technical Assistance"/>
  </r>
  <r>
    <x v="2"/>
    <s v="City of Malolos (Capital)"/>
    <s v="Lugam"/>
    <s v="MBA"/>
    <m/>
    <m/>
    <n v="2025"/>
    <d v="2025-10-15T00:00:00"/>
    <s v="R3-2025-034960"/>
    <x v="0"/>
    <m/>
    <s v="NO FACILITY"/>
    <s v="CATER BY LGU"/>
    <s v="Technical Assistance"/>
  </r>
  <r>
    <x v="2"/>
    <s v="City of Malolos (Capital)"/>
    <s v="Mabolo"/>
    <s v="MBA"/>
    <m/>
    <m/>
    <n v="2024"/>
    <d v="2024-10-08T00:00:00"/>
    <m/>
    <x v="0"/>
    <m/>
    <s v="MRS"/>
    <m/>
    <s v="Technical Assistance"/>
  </r>
  <r>
    <x v="2"/>
    <s v="City of Malolos (Capital)"/>
    <s v="Mambog"/>
    <s v="MBA"/>
    <m/>
    <m/>
    <n v="2025"/>
    <d v="2025-08-13T00:00:00"/>
    <s v="R3-2025-027668"/>
    <x v="0"/>
    <m/>
    <s v="MRS"/>
    <s v="OPERATIONAL"/>
    <s v="Technical Assistance"/>
  </r>
  <r>
    <x v="2"/>
    <s v="San Ildefonso"/>
    <s v="Sapang Putik"/>
    <s v="MBA"/>
    <s v="VACANT"/>
    <s v="Diozelle L. Cabalar"/>
    <m/>
    <m/>
    <m/>
    <x v="0"/>
    <m/>
    <m/>
    <m/>
    <s v="For Monitoring"/>
  </r>
  <r>
    <x v="2"/>
    <s v="City of Malolos (Capital)"/>
    <s v="Matimbo"/>
    <s v="MBA"/>
    <m/>
    <m/>
    <n v="2025"/>
    <d v="2025-08-13T00:00:00"/>
    <s v="R3-2025-027670"/>
    <x v="0"/>
    <m/>
    <s v="MRF"/>
    <s v="OPERATIONAL"/>
    <s v="Technical Assistance"/>
  </r>
  <r>
    <x v="2"/>
    <s v="City of Malolos (Capital)"/>
    <s v="Mojon"/>
    <s v="MBA"/>
    <m/>
    <m/>
    <n v="2024"/>
    <d v="2024-05-17T00:00:00"/>
    <m/>
    <x v="0"/>
    <m/>
    <m/>
    <m/>
    <s v="Technical Assistance"/>
  </r>
  <r>
    <x v="2"/>
    <s v="San Miguel"/>
    <s v="Batasan Bata"/>
    <s v="MBA"/>
    <s v="VACANT"/>
    <s v="Diozelle L. Cabalar"/>
    <m/>
    <m/>
    <m/>
    <x v="0"/>
    <m/>
    <m/>
    <m/>
    <s v="For Monitoring"/>
  </r>
  <r>
    <x v="2"/>
    <s v="San Miguel"/>
    <s v="Calumpang"/>
    <s v="MBA"/>
    <s v="VACANT"/>
    <s v="Diozelle L. Cabalar"/>
    <m/>
    <m/>
    <m/>
    <x v="0"/>
    <m/>
    <m/>
    <m/>
    <s v="For Monitoring"/>
  </r>
  <r>
    <x v="2"/>
    <s v="City of Malolos (Capital)"/>
    <s v="Pamarawan"/>
    <s v="MBA"/>
    <m/>
    <m/>
    <n v="2024"/>
    <d v="2024-11-13T00:00:00"/>
    <m/>
    <x v="0"/>
    <m/>
    <s v="MRF"/>
    <s v="OPERATIONAL"/>
    <s v="Technical Assistance"/>
  </r>
  <r>
    <x v="2"/>
    <s v="City of Malolos (Capital)"/>
    <s v="Panasahan"/>
    <s v="MBA"/>
    <m/>
    <m/>
    <n v="2025"/>
    <d v="2025-03-07T00:00:00"/>
    <s v="R3-2025-008016"/>
    <x v="0"/>
    <m/>
    <s v="NO FACILITY"/>
    <s v="CATER BY LGU"/>
    <s v="Technical Assistance"/>
  </r>
  <r>
    <x v="2"/>
    <s v="City of Malolos (Capital)"/>
    <s v="Santisima Trinidad"/>
    <s v="MBA"/>
    <m/>
    <m/>
    <n v="2025"/>
    <d v="2025-09-09T00:00:00"/>
    <s v="R3-2025-031004"/>
    <x v="0"/>
    <m/>
    <s v="MRF"/>
    <s v="OPERATIONAL"/>
    <s v="Technical Assistance"/>
  </r>
  <r>
    <x v="2"/>
    <s v="City of Malolos (Capital)"/>
    <s v="San Agustin"/>
    <s v="MBA"/>
    <m/>
    <m/>
    <n v="2024"/>
    <d v="2024-05-15T00:00:00"/>
    <m/>
    <x v="0"/>
    <m/>
    <m/>
    <m/>
    <s v="Technical Assistance"/>
  </r>
  <r>
    <x v="2"/>
    <s v="City of Malolos (Capital)"/>
    <s v="San Gabriel"/>
    <s v="MBA"/>
    <m/>
    <m/>
    <n v="2024"/>
    <d v="2024-11-07T00:00:00"/>
    <m/>
    <x v="0"/>
    <m/>
    <s v="MRS"/>
    <s v="CATER BY LGU"/>
    <s v="Technical Assistance"/>
  </r>
  <r>
    <x v="2"/>
    <s v="City of Malolos (Capital)"/>
    <s v="San Juan"/>
    <s v="MBA"/>
    <m/>
    <m/>
    <n v="2024"/>
    <d v="2024-11-08T00:00:00"/>
    <m/>
    <x v="0"/>
    <m/>
    <s v="MRS"/>
    <s v="CATER BY LGU"/>
    <s v="Technical Assistance"/>
  </r>
  <r>
    <x v="2"/>
    <s v="City of Malolos (Capital)"/>
    <s v="San Pablo"/>
    <s v="MBA"/>
    <m/>
    <m/>
    <n v="2024"/>
    <d v="2024-11-07T00:00:00"/>
    <m/>
    <x v="0"/>
    <m/>
    <s v="MRS"/>
    <s v="CATER BY LGU"/>
    <s v="Technical Assistance"/>
  </r>
  <r>
    <x v="2"/>
    <s v="City of Malolos (Capital)"/>
    <s v="San Vicente (Pob.)"/>
    <s v="MBA"/>
    <m/>
    <m/>
    <n v="2025"/>
    <d v="2025-07-17T00:00:00"/>
    <s v="R3-2025-024073"/>
    <x v="0"/>
    <m/>
    <s v="MRS"/>
    <s v="OPERATIONAL"/>
    <s v="Technical Assistance"/>
  </r>
  <r>
    <x v="2"/>
    <s v="City of Malolos (Capital)"/>
    <s v="Santiago"/>
    <s v="MBA"/>
    <m/>
    <m/>
    <n v="2025"/>
    <d v="2025-10-01T00:00:00"/>
    <s v="R3-2025-033491"/>
    <x v="0"/>
    <m/>
    <s v="NO FACILITY"/>
    <s v="CATER BY LGU"/>
    <s v="Technical Assistance"/>
  </r>
  <r>
    <x v="2"/>
    <s v="San Miguel"/>
    <s v="Pinambaran"/>
    <s v="MBA"/>
    <s v="VACANT"/>
    <s v="Diozelle L. Cabalar"/>
    <m/>
    <m/>
    <m/>
    <x v="0"/>
    <m/>
    <m/>
    <m/>
    <s v="For Monitoring"/>
  </r>
  <r>
    <x v="2"/>
    <s v="City of Malolos (Capital)"/>
    <s v="Santo Niño (Pob.)"/>
    <s v="MBA"/>
    <m/>
    <m/>
    <n v="2025"/>
    <d v="2025-10-01T00:00:00"/>
    <s v="R3-2025-033493"/>
    <x v="0"/>
    <m/>
    <s v="NO FACILITY"/>
    <s v="CATER BY LGU"/>
    <s v="Technical Assistance"/>
  </r>
  <r>
    <x v="2"/>
    <s v="City of Malolos (Capital)"/>
    <s v="Santo Rosario (Pob.)"/>
    <s v="MBA"/>
    <m/>
    <m/>
    <n v="2025"/>
    <d v="2025-10-01T00:00:00"/>
    <s v="R3-2025-033528"/>
    <x v="0"/>
    <m/>
    <s v="MRF"/>
    <s v="OPERATIONAL"/>
    <s v="Technical Assistance"/>
  </r>
  <r>
    <x v="2"/>
    <s v="City of Malolos (Capital)"/>
    <s v="Santol"/>
    <s v="MBA"/>
    <m/>
    <m/>
    <n v="2025"/>
    <d v="2025-08-13T00:00:00"/>
    <s v="R3-2025-027667"/>
    <x v="0"/>
    <m/>
    <s v="MRS"/>
    <s v="OPERATIONAL"/>
    <s v="Technical Assistance"/>
  </r>
  <r>
    <x v="2"/>
    <s v="City of Malolos (Capital)"/>
    <s v="Sumapang Bata"/>
    <s v="MBA"/>
    <m/>
    <m/>
    <n v="2024"/>
    <d v="2024-04-11T00:00:00"/>
    <m/>
    <x v="0"/>
    <m/>
    <m/>
    <m/>
    <s v="Technical Assistance"/>
  </r>
  <r>
    <x v="2"/>
    <s v="City of Malolos (Capital)"/>
    <s v="Sumapang Matanda"/>
    <s v="MBA"/>
    <m/>
    <m/>
    <n v="2024"/>
    <d v="2024-04-11T00:00:00"/>
    <m/>
    <x v="0"/>
    <m/>
    <m/>
    <m/>
    <s v="Technical Assistance"/>
  </r>
  <r>
    <x v="2"/>
    <s v="City of Malolos (Capital)"/>
    <s v="Taal"/>
    <s v="MBA"/>
    <m/>
    <m/>
    <n v="2025"/>
    <d v="2025-08-13T00:00:00"/>
    <s v="R3-2025-027669"/>
    <x v="0"/>
    <m/>
    <s v="MRS"/>
    <s v="OPERATIONAL"/>
    <s v="Technical Assistance"/>
  </r>
  <r>
    <x v="2"/>
    <s v="City of Malolos (Capital)"/>
    <s v="Tikay"/>
    <s v="MBA"/>
    <m/>
    <m/>
    <n v="2024"/>
    <d v="2024-08-09T00:00:00"/>
    <m/>
    <x v="0"/>
    <m/>
    <s v="MRS"/>
    <m/>
    <s v="Technical Assistance"/>
  </r>
  <r>
    <x v="2"/>
    <s v="City of Meycauayan"/>
    <s v="Bagbaguin"/>
    <s v="MBA"/>
    <m/>
    <m/>
    <n v="2025"/>
    <d v="2025-04-08T00:00:00"/>
    <s v="R3-2025-012448"/>
    <x v="0"/>
    <m/>
    <s v="MRS"/>
    <s v="OPERATIONAL"/>
    <s v="Technical Assistance"/>
  </r>
  <r>
    <x v="2"/>
    <s v="City of Meycauayan"/>
    <s v="Bahay Pare"/>
    <s v="MBA"/>
    <m/>
    <m/>
    <n v="2024"/>
    <s v="February 21, 2024"/>
    <m/>
    <x v="0"/>
    <m/>
    <m/>
    <m/>
    <s v="Technical Assistance"/>
  </r>
  <r>
    <x v="2"/>
    <s v="City of Meycauayan"/>
    <s v="Bancal"/>
    <s v="MBA"/>
    <m/>
    <m/>
    <n v="2024"/>
    <s v="March 12, 2024"/>
    <m/>
    <x v="0"/>
    <m/>
    <m/>
    <m/>
    <s v="Technical Assistance"/>
  </r>
  <r>
    <x v="2"/>
    <s v="City of Meycauayan"/>
    <s v="Banga"/>
    <s v="MBA"/>
    <m/>
    <m/>
    <n v="2025"/>
    <d v="2025-04-08T00:00:00"/>
    <s v="R3-2025-012449"/>
    <x v="0"/>
    <m/>
    <s v="MRS"/>
    <s v="OPERATIONAL"/>
    <s v="Technical Assistance"/>
  </r>
  <r>
    <x v="2"/>
    <s v="City of Meycauayan"/>
    <s v="Bayugo"/>
    <s v="MBA"/>
    <m/>
    <m/>
    <n v="2024"/>
    <s v="March 12, 2024"/>
    <m/>
    <x v="0"/>
    <m/>
    <m/>
    <m/>
    <s v="Technical Assistance"/>
  </r>
  <r>
    <x v="2"/>
    <s v="San Miguel"/>
    <s v="Pulong Bayabas"/>
    <s v="MBA"/>
    <s v="VACANT"/>
    <s v="Diozelle L. Cabalar"/>
    <m/>
    <m/>
    <m/>
    <x v="0"/>
    <m/>
    <m/>
    <m/>
    <s v="For Monitoring"/>
  </r>
  <r>
    <x v="2"/>
    <s v="San Miguel"/>
    <s v="Pulong Duhat"/>
    <s v="MBA"/>
    <s v="VACANT"/>
    <s v="Diozelle L. Cabalar"/>
    <m/>
    <m/>
    <m/>
    <x v="0"/>
    <m/>
    <m/>
    <m/>
    <s v="For Monitoring"/>
  </r>
  <r>
    <x v="2"/>
    <s v="City of Meycauayan"/>
    <s v="Camalig"/>
    <s v="MBA"/>
    <m/>
    <m/>
    <n v="2025"/>
    <d v="2025-05-13T00:00:00"/>
    <s v="R3-2025-016531 "/>
    <x v="0"/>
    <m/>
    <s v="MRF"/>
    <s v="OPERATIONAL"/>
    <s v="Technical Assistance"/>
  </r>
  <r>
    <x v="2"/>
    <s v="City of Meycauayan"/>
    <s v="Hulo"/>
    <s v="MBA"/>
    <m/>
    <m/>
    <n v="2025"/>
    <d v="2025-05-13T00:00:00"/>
    <s v="R3-2025-016463"/>
    <x v="0"/>
    <m/>
    <s v="MRF"/>
    <s v="OPERATIONAL"/>
    <s v="Technical Assistance"/>
  </r>
  <r>
    <x v="2"/>
    <s v="City of Meycauayan"/>
    <s v="Iba"/>
    <s v="MBA"/>
    <m/>
    <m/>
    <n v="2024"/>
    <s v="February 21, 2024"/>
    <m/>
    <x v="0"/>
    <m/>
    <m/>
    <m/>
    <s v="Technical Assistance"/>
  </r>
  <r>
    <x v="2"/>
    <s v="City of Meycauayan"/>
    <s v="Langka"/>
    <s v="MBA"/>
    <m/>
    <m/>
    <n v="2025"/>
    <d v="2025-03-13T00:00:00"/>
    <s v="R3-2025-008935"/>
    <x v="0"/>
    <m/>
    <s v="MRF"/>
    <s v="OPERATIONAL"/>
    <s v="Technical Assistance"/>
  </r>
  <r>
    <x v="2"/>
    <s v="City of Meycauayan"/>
    <s v="Lawa"/>
    <s v="MBA"/>
    <m/>
    <m/>
    <n v="2025"/>
    <d v="2025-03-13T00:00:00"/>
    <s v="R3-2025-008938"/>
    <x v="0"/>
    <m/>
    <s v="MRF"/>
    <s v="OPERATIONAL"/>
    <s v="Technical Assistance"/>
  </r>
  <r>
    <x v="2"/>
    <s v="City of Meycauayan"/>
    <s v="Libtong"/>
    <s v="MBA"/>
    <m/>
    <m/>
    <n v="2025"/>
    <d v="2025-03-13T00:00:00"/>
    <s v="R3-2025-008939"/>
    <x v="0"/>
    <m/>
    <s v="MRS"/>
    <s v="OPERATIONAL"/>
    <s v="Technical Assistance"/>
  </r>
  <r>
    <x v="2"/>
    <s v="San Rafael"/>
    <s v="Pasong Callos"/>
    <s v="MBA"/>
    <s v="VACANT"/>
    <s v="Diozelle L. Cabalar"/>
    <m/>
    <m/>
    <m/>
    <x v="0"/>
    <m/>
    <m/>
    <m/>
    <s v="For Monitoring"/>
  </r>
  <r>
    <x v="2"/>
    <s v="City of Meycauayan"/>
    <s v="Longos"/>
    <s v="MBA"/>
    <m/>
    <m/>
    <n v="2024"/>
    <s v="March 12, 2024"/>
    <m/>
    <x v="0"/>
    <m/>
    <m/>
    <m/>
    <s v="Technical Assistance"/>
  </r>
  <r>
    <x v="2"/>
    <s v="City of Meycauayan"/>
    <s v="Malhacan"/>
    <s v="MBA"/>
    <m/>
    <m/>
    <n v="2024"/>
    <s v="March 12, 2024"/>
    <m/>
    <x v="0"/>
    <m/>
    <m/>
    <m/>
    <s v="Technical Assistance"/>
  </r>
  <r>
    <x v="2"/>
    <s v="City of Meycauayan"/>
    <s v="Pajo"/>
    <s v="MBA"/>
    <m/>
    <m/>
    <n v="2024"/>
    <s v="February 21, 2024"/>
    <m/>
    <x v="0"/>
    <m/>
    <m/>
    <m/>
    <s v="Technical Assistance"/>
  </r>
  <r>
    <x v="2"/>
    <s v="City of Meycauayan"/>
    <s v="Pandayan"/>
    <s v="MBA"/>
    <m/>
    <m/>
    <n v="2024"/>
    <s v="March 12, 2024"/>
    <m/>
    <x v="0"/>
    <m/>
    <m/>
    <m/>
    <s v="Technical Assistance"/>
  </r>
  <r>
    <x v="2"/>
    <s v="City of Meycauayan"/>
    <s v="Pantoc"/>
    <s v="MBA"/>
    <m/>
    <m/>
    <n v="2024"/>
    <s v="February 21, 2024"/>
    <m/>
    <x v="0"/>
    <m/>
    <m/>
    <m/>
    <s v="Technical Assistance"/>
  </r>
  <r>
    <x v="2"/>
    <s v="City of Meycauayan"/>
    <s v="Perez"/>
    <s v="MBA"/>
    <m/>
    <m/>
    <n v="2024"/>
    <s v="February 21, 2024"/>
    <m/>
    <x v="0"/>
    <m/>
    <m/>
    <m/>
    <s v="Technical Assistance"/>
  </r>
  <r>
    <x v="2"/>
    <s v="City of Meycauayan"/>
    <s v="Poblacion"/>
    <s v="MBA"/>
    <m/>
    <m/>
    <n v="2025"/>
    <d v="2025-01-17T00:00:00"/>
    <s v="R3-2025-001387"/>
    <x v="0"/>
    <m/>
    <s v="MRF"/>
    <s v="OPERATIONAL"/>
    <s v="Technical Assistance"/>
  </r>
  <r>
    <x v="2"/>
    <s v="City of Meycauayan"/>
    <s v="Saint Francis (Gasak)"/>
    <s v="MBA"/>
    <m/>
    <m/>
    <n v="2025"/>
    <d v="2025-08-14T00:00:00"/>
    <s v="R3-2025-027619"/>
    <x v="0"/>
    <m/>
    <s v="MRS"/>
    <s v="OPERATIONAL"/>
    <s v="Technical Assistance"/>
  </r>
  <r>
    <x v="2"/>
    <s v="City of Meycauayan"/>
    <s v="Saluysoy"/>
    <s v="MBA"/>
    <m/>
    <m/>
    <n v="2025"/>
    <d v="2025-08-14T00:00:00"/>
    <s v="R3-2025-027620"/>
    <x v="0"/>
    <m/>
    <s v="MRF"/>
    <s v="OPERATIONAL"/>
    <s v="Technical Assistance"/>
  </r>
  <r>
    <x v="2"/>
    <s v="City of Meycauayan"/>
    <s v="Tugatog"/>
    <s v="MBA"/>
    <m/>
    <m/>
    <n v="2024"/>
    <s v="March 12, 2024"/>
    <m/>
    <x v="0"/>
    <m/>
    <m/>
    <m/>
    <s v="Technical Assistance"/>
  </r>
  <r>
    <x v="2"/>
    <s v="City of Meycauayan"/>
    <s v="Ubihan"/>
    <s v="MBA"/>
    <m/>
    <m/>
    <n v="2025"/>
    <d v="2025-08-14T00:00:00"/>
    <s v="R3-2025-027617"/>
    <x v="0"/>
    <m/>
    <s v="MRF"/>
    <s v="OPERATIONAL"/>
    <s v="Technical Assistance"/>
  </r>
  <r>
    <x v="2"/>
    <s v="San Rafael"/>
    <s v="Pasong Intsik"/>
    <s v="MBA"/>
    <s v="VACANT"/>
    <s v="Diozelle L. Cabalar"/>
    <m/>
    <m/>
    <m/>
    <x v="0"/>
    <m/>
    <m/>
    <m/>
    <s v="For Monitoring"/>
  </r>
  <r>
    <x v="2"/>
    <s v="San Rafael"/>
    <s v="Pinacpinacan"/>
    <s v="MBA"/>
    <s v="VACANT"/>
    <s v="Diozelle L. Cabalar"/>
    <m/>
    <m/>
    <m/>
    <x v="0"/>
    <m/>
    <m/>
    <m/>
    <s v="For Monitoring"/>
  </r>
  <r>
    <x v="2"/>
    <s v="City of San Jose Del Monte"/>
    <s v="Bagong Buhay"/>
    <s v="MBA"/>
    <m/>
    <m/>
    <n v="2025"/>
    <d v="2025-07-11T00:00:00"/>
    <s v="R3-2025-024019"/>
    <x v="0"/>
    <m/>
    <s v="NO FACILITY"/>
    <s v="CATER BY LGU"/>
    <s v="Technical Assistance"/>
  </r>
  <r>
    <x v="2"/>
    <s v="City of San Jose Del Monte"/>
    <s v="Bagong Buhay II"/>
    <s v="MBA"/>
    <m/>
    <m/>
    <n v="2025"/>
    <d v="2025-07-11T00:00:00"/>
    <s v="R3-2025-024131"/>
    <x v="0"/>
    <m/>
    <s v="NO FACILITY"/>
    <s v="CATER BY LGU"/>
    <s v="Technical Assistance"/>
  </r>
  <r>
    <x v="6"/>
    <s v="Cuyapo"/>
    <s v="Sabit"/>
    <s v="OUTSIDE MBA"/>
    <s v="Aser A. Inocencio, Jr."/>
    <s v="Zosimo P. Suyat"/>
    <m/>
    <m/>
    <m/>
    <x v="0"/>
    <m/>
    <m/>
    <m/>
    <s v="For Monitoring"/>
  </r>
  <r>
    <x v="6"/>
    <s v="Cuyapo"/>
    <s v="San Antonio"/>
    <s v="OUTSIDE MBA"/>
    <s v="Aser A. Inocencio, Jr."/>
    <s v="Zosimo P. Suyat"/>
    <m/>
    <m/>
    <m/>
    <x v="0"/>
    <m/>
    <m/>
    <m/>
    <s v="For Monitoring"/>
  </r>
  <r>
    <x v="6"/>
    <s v="Cuyapo"/>
    <s v="San Jose"/>
    <s v="OUTSIDE MBA"/>
    <s v="Aser A. Inocencio, Jr."/>
    <s v="Zosimo P. Suyat"/>
    <m/>
    <m/>
    <m/>
    <x v="0"/>
    <m/>
    <m/>
    <m/>
    <s v="For Monitoring"/>
  </r>
  <r>
    <x v="2"/>
    <s v="City of San Jose Del Monte"/>
    <s v="Dulong Bayan"/>
    <s v="MBA"/>
    <m/>
    <m/>
    <n v="2024"/>
    <d v="2024-10-10T00:00:00"/>
    <m/>
    <x v="0"/>
    <m/>
    <s v="MRF"/>
    <s v="OPERATIONAL"/>
    <s v="Technical Assistance"/>
  </r>
  <r>
    <x v="6"/>
    <s v="Cuyapo"/>
    <s v="San Juan"/>
    <s v="OUTSIDE MBA"/>
    <s v="Aser A. Inocencio, Jr."/>
    <s v="Zosimo P. Suyat"/>
    <m/>
    <m/>
    <m/>
    <x v="0"/>
    <m/>
    <m/>
    <m/>
    <s v="For Monitoring"/>
  </r>
  <r>
    <x v="6"/>
    <s v="Gen. Tinio"/>
    <s v="Sampaguita"/>
    <s v="MBA"/>
    <s v="Christian Jem L. Buluran"/>
    <s v="Zosimo P. Suyat"/>
    <m/>
    <m/>
    <m/>
    <x v="2"/>
    <m/>
    <m/>
    <m/>
    <s v="For Monitoring"/>
  </r>
  <r>
    <x v="6"/>
    <s v="Gen. Tinio"/>
    <s v="San Pedro (Pob.)"/>
    <s v="MBA"/>
    <s v="Christian Jem L. Buluran"/>
    <s v="Zosimo P. Suyat"/>
    <m/>
    <m/>
    <m/>
    <x v="2"/>
    <m/>
    <m/>
    <m/>
    <s v="For Monitoring"/>
  </r>
  <r>
    <x v="6"/>
    <s v="Laur"/>
    <s v="Pinagbayanan"/>
    <s v="MBA"/>
    <s v="Christian Jem L. Buluran"/>
    <s v="Zosimo P. Suyat"/>
    <m/>
    <m/>
    <m/>
    <x v="3"/>
    <m/>
    <m/>
    <m/>
    <s v="For Monitoring"/>
  </r>
  <r>
    <x v="6"/>
    <s v="Laur"/>
    <s v="San Felipe"/>
    <s v="MBA"/>
    <s v="Christian Jem L. Buluran"/>
    <s v="Zosimo P. Suyat"/>
    <m/>
    <m/>
    <m/>
    <x v="3"/>
    <m/>
    <m/>
    <m/>
    <s v="For Monitoring"/>
  </r>
  <r>
    <x v="6"/>
    <s v="Laur"/>
    <s v="San Fernando"/>
    <s v="MBA"/>
    <s v="Christian Jem L. Buluran"/>
    <s v="Zosimo P. Suyat"/>
    <m/>
    <m/>
    <m/>
    <x v="3"/>
    <m/>
    <m/>
    <m/>
    <s v="For Monitoring"/>
  </r>
  <r>
    <x v="2"/>
    <s v="City of San Jose Del Monte"/>
    <s v="Francisco Homes-Mulawin"/>
    <s v="MBA"/>
    <m/>
    <m/>
    <n v="2024"/>
    <d v="2024-10-10T00:00:00"/>
    <m/>
    <x v="0"/>
    <m/>
    <s v="MRF"/>
    <s v="OPERATIONAL"/>
    <s v="Technical Assistance"/>
  </r>
  <r>
    <x v="6"/>
    <s v="Laur"/>
    <s v="San Isidro"/>
    <s v="MBA"/>
    <s v="Christian Jem L. Buluran"/>
    <s v="Zosimo P. Suyat"/>
    <m/>
    <m/>
    <m/>
    <x v="3"/>
    <m/>
    <m/>
    <m/>
    <s v="For Monitoring"/>
  </r>
  <r>
    <x v="6"/>
    <s v="Laur"/>
    <s v="San Juan"/>
    <s v="MBA"/>
    <s v="Christian Jem L. Buluran"/>
    <s v="Zosimo P. Suyat"/>
    <m/>
    <m/>
    <m/>
    <x v="3"/>
    <m/>
    <m/>
    <m/>
    <s v="For Monitoring"/>
  </r>
  <r>
    <x v="2"/>
    <s v="City of San Jose Del Monte"/>
    <s v="Gaya-gaya"/>
    <s v="MBA"/>
    <m/>
    <m/>
    <n v="2025"/>
    <d v="2025-02-04T00:00:00"/>
    <s v="R3-2025-004778"/>
    <x v="0"/>
    <m/>
    <s v="MRF"/>
    <s v="OPERATIONAL"/>
    <s v="Technical Assistance"/>
  </r>
  <r>
    <x v="6"/>
    <s v="Santa Rosa"/>
    <s v="Lourdes"/>
    <s v="MBA"/>
    <s v="Christian Jem L. Buluran"/>
    <s v="Zosimo P. Suyat"/>
    <m/>
    <m/>
    <m/>
    <x v="0"/>
    <m/>
    <m/>
    <m/>
    <s v="For Monitoring"/>
  </r>
  <r>
    <x v="6"/>
    <s v="Santa Rosa"/>
    <s v="Mabini"/>
    <s v="MBA"/>
    <s v="Christian Jem L. Buluran"/>
    <s v="Zosimo P. Suyat"/>
    <m/>
    <m/>
    <m/>
    <x v="0"/>
    <m/>
    <m/>
    <m/>
    <s v="For Monitoring"/>
  </r>
  <r>
    <x v="2"/>
    <s v="City of San Jose Del Monte"/>
    <s v="Gumaoc East"/>
    <s v="MBA"/>
    <m/>
    <m/>
    <n v="2024"/>
    <d v="2024-10-11T00:00:00"/>
    <m/>
    <x v="0"/>
    <m/>
    <s v="MRF"/>
    <s v="OPERATIONAL"/>
    <s v="Technical Assistance"/>
  </r>
  <r>
    <x v="6"/>
    <s v="Santa Rosa"/>
    <s v="Malacañang"/>
    <s v="MBA"/>
    <s v="Christian Jem L. Buluran"/>
    <s v="Zosimo P. Suyat"/>
    <m/>
    <m/>
    <m/>
    <x v="0"/>
    <m/>
    <m/>
    <m/>
    <s v="For Monitoring"/>
  </r>
  <r>
    <x v="2"/>
    <s v="City of San Jose Del Monte"/>
    <s v="Kaybanban"/>
    <s v="MBA"/>
    <m/>
    <m/>
    <n v="2025"/>
    <d v="2025-02-04T00:00:00"/>
    <s v="R3-2025-004781"/>
    <x v="0"/>
    <m/>
    <s v="MRF"/>
    <s v="OPERATIONAL"/>
    <s v="Technical Assistance"/>
  </r>
  <r>
    <x v="2"/>
    <s v="City of San Jose Del Monte"/>
    <s v="Kaypian"/>
    <s v="MBA"/>
    <m/>
    <m/>
    <n v="2025"/>
    <d v="2025-07-02T00:00:00"/>
    <s v="R3-2025-024020"/>
    <x v="0"/>
    <m/>
    <s v="MRF"/>
    <s v="OPERATIONAL"/>
    <s v="Technical Assistance"/>
  </r>
  <r>
    <x v="6"/>
    <s v="Santa Rosa"/>
    <s v="Maliolio"/>
    <s v="MBA"/>
    <s v="Christian Jem L. Buluran"/>
    <s v="Zosimo P. Suyat"/>
    <m/>
    <m/>
    <m/>
    <x v="0"/>
    <m/>
    <m/>
    <m/>
    <s v="For Monitoring"/>
  </r>
  <r>
    <x v="6"/>
    <s v="Santa Rosa"/>
    <s v="Mapalad"/>
    <s v="MBA"/>
    <s v="Christian Jem L. Buluran"/>
    <s v="Zosimo P. Suyat"/>
    <m/>
    <m/>
    <m/>
    <x v="0"/>
    <m/>
    <m/>
    <m/>
    <s v="For Monitoring"/>
  </r>
  <r>
    <x v="2"/>
    <s v="City of San Jose Del Monte"/>
    <s v="Minuyan"/>
    <s v="MBA"/>
    <m/>
    <m/>
    <n v="2025"/>
    <d v="2025-07-02T00:00:00"/>
    <s v="R3-2025-024021"/>
    <x v="0"/>
    <m/>
    <s v="MRF"/>
    <s v="OPERATIONAL"/>
    <s v="Technical Assistance"/>
  </r>
  <r>
    <x v="6"/>
    <s v="Santa Rosa"/>
    <s v="Rajal Centro"/>
    <s v="MBA"/>
    <s v="Christian Jem L. Buluran"/>
    <s v="Zosimo P. Suyat"/>
    <m/>
    <m/>
    <m/>
    <x v="0"/>
    <m/>
    <m/>
    <m/>
    <s v="For Monitoring"/>
  </r>
  <r>
    <x v="6"/>
    <s v="Santa Rosa"/>
    <s v="Rajal Norte"/>
    <s v="MBA"/>
    <s v="Christian Jem L. Buluran"/>
    <s v="Zosimo P. Suyat"/>
    <m/>
    <m/>
    <m/>
    <x v="0"/>
    <m/>
    <m/>
    <m/>
    <s v="For Monitoring"/>
  </r>
  <r>
    <x v="6"/>
    <s v="Santa Rosa"/>
    <s v="Rajal Sur"/>
    <s v="MBA"/>
    <s v="Christian Jem L. Buluran"/>
    <s v="Zosimo P. Suyat"/>
    <m/>
    <m/>
    <m/>
    <x v="0"/>
    <m/>
    <m/>
    <m/>
    <s v="For Monitoring"/>
  </r>
  <r>
    <x v="6"/>
    <s v="Santa Rosa"/>
    <s v="San Gregorio"/>
    <s v="MBA"/>
    <s v="Christian Jem L. Buluran"/>
    <s v="Zosimo P. Suyat"/>
    <m/>
    <m/>
    <m/>
    <x v="0"/>
    <m/>
    <m/>
    <m/>
    <s v="For Monitoring"/>
  </r>
  <r>
    <x v="6"/>
    <s v="Santa Rosa"/>
    <s v="San Isidro"/>
    <s v="MBA"/>
    <s v="Christian Jem L. Buluran"/>
    <s v="Zosimo P. Suyat"/>
    <m/>
    <m/>
    <m/>
    <x v="0"/>
    <m/>
    <m/>
    <m/>
    <s v="For Monitoring"/>
  </r>
  <r>
    <x v="2"/>
    <s v="City of San Jose Del Monte"/>
    <s v="Muzon Proper 2 (Muzon)"/>
    <s v="MBA"/>
    <m/>
    <m/>
    <n v="2025"/>
    <d v="2025-07-11T00:00:00"/>
    <s v="R3-2025-024022"/>
    <x v="0"/>
    <m/>
    <s v="MRF"/>
    <s v="OPERATIONAL"/>
    <s v="Technical Assistance"/>
  </r>
  <r>
    <x v="6"/>
    <s v="Santa Rosa"/>
    <s v="San Josep"/>
    <s v="MBA"/>
    <s v="Christian Jem L. Buluran"/>
    <s v="Zosimo P. Suyat"/>
    <m/>
    <m/>
    <m/>
    <x v="0"/>
    <m/>
    <m/>
    <m/>
    <s v="For Monitoring"/>
  </r>
  <r>
    <x v="6"/>
    <s v="Santa Rosa"/>
    <s v="San Pedro"/>
    <s v="MBA"/>
    <s v="Christian Jem L. Buluran"/>
    <s v="Zosimo P. Suyat"/>
    <m/>
    <m/>
    <m/>
    <x v="0"/>
    <m/>
    <m/>
    <m/>
    <s v="For Monitoring"/>
  </r>
  <r>
    <x v="4"/>
    <s v="Arayat"/>
    <s v="Lacmit"/>
    <s v="MBA"/>
    <s v="Roger T. Encarnacion II"/>
    <s v="Jun D. Guillermo"/>
    <m/>
    <m/>
    <m/>
    <x v="2"/>
    <m/>
    <m/>
    <m/>
    <s v="For Monitoring"/>
  </r>
  <r>
    <x v="4"/>
    <s v="Arayat"/>
    <s v="Lacquios"/>
    <s v="MBA"/>
    <s v="Roger T. Encarnacion II"/>
    <s v="Jun D. Guillermo"/>
    <m/>
    <m/>
    <m/>
    <x v="2"/>
    <m/>
    <m/>
    <m/>
    <s v="For Monitoring"/>
  </r>
  <r>
    <x v="4"/>
    <s v="Candaba"/>
    <s v="Tagulod"/>
    <s v="MBA"/>
    <s v="Roger T. Encarnacion II"/>
    <s v="Jun D. Guillermo"/>
    <m/>
    <m/>
    <m/>
    <x v="0"/>
    <m/>
    <m/>
    <m/>
    <s v="For Monitoring"/>
  </r>
  <r>
    <x v="2"/>
    <s v="City of San Jose Del Monte"/>
    <s v="Poblacion I"/>
    <s v="MBA"/>
    <m/>
    <m/>
    <n v="2024"/>
    <d v="2024-10-11T00:00:00"/>
    <m/>
    <x v="0"/>
    <m/>
    <s v="MRS"/>
    <s v="CATER BY LGU"/>
    <s v="Technical Assistance"/>
  </r>
  <r>
    <x v="4"/>
    <s v="Candaba"/>
    <s v="Tenejero"/>
    <s v="MBA"/>
    <s v="Roger T. Encarnacion II"/>
    <s v="Jun D. Guillermo"/>
    <m/>
    <m/>
    <m/>
    <x v="0"/>
    <m/>
    <m/>
    <m/>
    <s v="For Monitoring"/>
  </r>
  <r>
    <x v="4"/>
    <s v="Candaba"/>
    <s v="Vizal Santo Cristo"/>
    <s v="MBA"/>
    <s v="Roger T. Encarnacion II"/>
    <s v="Jun D. Guillermo"/>
    <m/>
    <m/>
    <m/>
    <x v="0"/>
    <m/>
    <m/>
    <m/>
    <s v="For Monitoring"/>
  </r>
  <r>
    <x v="4"/>
    <s v="Guagua"/>
    <s v="San Nicolas 2nd"/>
    <s v="MBA"/>
    <s v="VACANT"/>
    <s v="Jun D. Guillermo"/>
    <m/>
    <m/>
    <m/>
    <x v="0"/>
    <m/>
    <m/>
    <m/>
    <s v="For Monitoring"/>
  </r>
  <r>
    <x v="4"/>
    <s v="Lubao"/>
    <s v="Remedios"/>
    <s v="MBA"/>
    <s v="VACANT"/>
    <s v="Jun D. Guillermo"/>
    <m/>
    <m/>
    <m/>
    <x v="0"/>
    <m/>
    <m/>
    <m/>
    <s v="For Monitoring"/>
  </r>
  <r>
    <x v="4"/>
    <s v="Lubao"/>
    <s v="San Agustin"/>
    <s v="MBA"/>
    <s v="VACANT"/>
    <s v="Jun D. Guillermo"/>
    <m/>
    <m/>
    <m/>
    <x v="0"/>
    <m/>
    <m/>
    <m/>
    <s v="For Monitoring"/>
  </r>
  <r>
    <x v="4"/>
    <s v="Lubao"/>
    <s v="Santa Maria"/>
    <s v="MBA"/>
    <s v="VACANT"/>
    <s v="Jun D. Guillermo"/>
    <m/>
    <m/>
    <m/>
    <x v="0"/>
    <m/>
    <m/>
    <m/>
    <s v="For Monitoring"/>
  </r>
  <r>
    <x v="4"/>
    <s v="Lubao"/>
    <s v="Santa Rita"/>
    <s v="MBA"/>
    <s v="VACANT"/>
    <s v="Jun D. Guillermo"/>
    <m/>
    <m/>
    <m/>
    <x v="0"/>
    <m/>
    <m/>
    <m/>
    <s v="For Monitoring"/>
  </r>
  <r>
    <x v="2"/>
    <s v="City of San Jose Del Monte"/>
    <s v="San Rafael I"/>
    <s v="MBA"/>
    <m/>
    <m/>
    <n v="2024"/>
    <d v="2024-11-07T00:00:00"/>
    <m/>
    <x v="0"/>
    <m/>
    <s v="MRF"/>
    <s v="OPERATIONAL"/>
    <s v="Technical Assistance"/>
  </r>
  <r>
    <x v="2"/>
    <s v="City of San Jose Del Monte"/>
    <s v="San Rafael II"/>
    <s v="MBA"/>
    <m/>
    <m/>
    <n v="2024"/>
    <d v="2024-11-07T00:00:00"/>
    <m/>
    <x v="0"/>
    <m/>
    <s v="MRF"/>
    <s v="OPERATIONAL"/>
    <s v="Technical Assistance"/>
  </r>
  <r>
    <x v="2"/>
    <s v="City of San Jose Del Monte"/>
    <s v="San Rafael III"/>
    <s v="MBA"/>
    <m/>
    <m/>
    <n v="2024"/>
    <d v="2024-11-07T00:00:00"/>
    <m/>
    <x v="0"/>
    <m/>
    <s v="MRF"/>
    <s v="OPERATIONAL"/>
    <s v="Technical Assistance"/>
  </r>
  <r>
    <x v="2"/>
    <s v="City of San Jose Del Monte"/>
    <s v="San Rafael IV"/>
    <s v="MBA"/>
    <m/>
    <m/>
    <n v="2024"/>
    <d v="2024-05-16T00:00:00"/>
    <m/>
    <x v="0"/>
    <m/>
    <m/>
    <m/>
    <s v="Technical Assistance"/>
  </r>
  <r>
    <x v="2"/>
    <s v="City of San Jose Del Monte"/>
    <s v="San Rafael V"/>
    <s v="MBA"/>
    <m/>
    <m/>
    <n v="2024"/>
    <d v="2024-11-07T00:00:00"/>
    <m/>
    <x v="0"/>
    <m/>
    <s v="MRF"/>
    <s v="OPERATIONAL"/>
    <s v="Technical Assistance"/>
  </r>
  <r>
    <x v="4"/>
    <s v="Santo Tomas"/>
    <s v="Moras De La Paz"/>
    <s v="MBA"/>
    <s v="Elyza A. Evilla"/>
    <s v="John Sherwin Y. Loquellano"/>
    <m/>
    <m/>
    <m/>
    <x v="3"/>
    <m/>
    <m/>
    <m/>
    <s v="For Monitoring"/>
  </r>
  <r>
    <x v="4"/>
    <s v="Santo Tomas"/>
    <s v="San Matias"/>
    <s v="MBA"/>
    <s v="Elyza A. Evilla"/>
    <s v="John Sherwin Y. Loquellano"/>
    <m/>
    <m/>
    <m/>
    <x v="3"/>
    <m/>
    <m/>
    <m/>
    <s v="For Monitoring"/>
  </r>
  <r>
    <x v="2"/>
    <s v="City of San Jose Del Monte"/>
    <s v="Santa Cruz II"/>
    <s v="MBA"/>
    <m/>
    <m/>
    <n v="2024"/>
    <d v="2024-11-08T00:00:00"/>
    <m/>
    <x v="0"/>
    <m/>
    <s v="MRF"/>
    <s v="OPERATIONAL"/>
    <s v="Technical Assistance"/>
  </r>
  <r>
    <x v="4"/>
    <s v="Santo Tomas"/>
    <s v="San Vicente"/>
    <s v="MBA"/>
    <s v="Elyza A. Evilla"/>
    <s v="John Sherwin Y. Loquellano"/>
    <m/>
    <m/>
    <m/>
    <x v="3"/>
    <m/>
    <m/>
    <m/>
    <s v="For Monitoring"/>
  </r>
  <r>
    <x v="2"/>
    <s v="City of San Jose Del Monte"/>
    <s v="Santa Cruz IV"/>
    <s v="MBA"/>
    <m/>
    <m/>
    <n v="2024"/>
    <d v="2024-11-08T00:00:00"/>
    <m/>
    <x v="0"/>
    <m/>
    <s v="MRF"/>
    <s v="OPERATIONAL"/>
    <s v="Technical Assistance"/>
  </r>
  <r>
    <x v="2"/>
    <s v="City of San Jose Del Monte"/>
    <s v="Santa Cruz V"/>
    <s v="MBA"/>
    <m/>
    <m/>
    <n v="2024"/>
    <d v="2024-11-08T00:00:00"/>
    <m/>
    <x v="0"/>
    <m/>
    <s v="MRF"/>
    <s v="OPERATIONAL"/>
    <s v="Technical Assistance"/>
  </r>
  <r>
    <x v="2"/>
    <s v="City of San Jose Del Monte"/>
    <s v="Santo Cristo"/>
    <s v="MBA"/>
    <m/>
    <m/>
    <n v="2024"/>
    <d v="2024-10-11T00:00:00"/>
    <m/>
    <x v="0"/>
    <m/>
    <s v="MRF"/>
    <s v="OPERATIONAL"/>
    <s v="Technical Assistance"/>
  </r>
  <r>
    <x v="3"/>
    <s v="Concepcion"/>
    <s v="Parang"/>
    <s v="MBA"/>
    <s v="Gretzhen M. Apolonio"/>
    <s v="Jan Emerson C. Gonzales"/>
    <m/>
    <m/>
    <m/>
    <x v="3"/>
    <m/>
    <m/>
    <m/>
    <s v="For Monitoring"/>
  </r>
  <r>
    <x v="3"/>
    <s v="Concepcion"/>
    <s v="Parulung"/>
    <s v="MBA"/>
    <s v="Gretzhen M. Apolonio"/>
    <s v="Jan Emerson C. Gonzales"/>
    <m/>
    <m/>
    <m/>
    <x v="3"/>
    <m/>
    <m/>
    <m/>
    <s v="For Monitoring"/>
  </r>
  <r>
    <x v="3"/>
    <s v="Concepcion"/>
    <s v="San Vicente"/>
    <s v="MBA"/>
    <s v="Gretzhen M. Apolonio"/>
    <s v="Jan Emerson C. Gonzales"/>
    <m/>
    <m/>
    <m/>
    <x v="3"/>
    <m/>
    <m/>
    <m/>
    <s v="For Monitoring"/>
  </r>
  <r>
    <x v="3"/>
    <s v="Concepcion"/>
    <s v="Santo Cristo"/>
    <s v="MBA"/>
    <s v="Gretzhen M. Apolonio"/>
    <s v="Jan Emerson C. Gonzales"/>
    <m/>
    <m/>
    <m/>
    <x v="2"/>
    <m/>
    <m/>
    <m/>
    <s v="For Monitoring"/>
  </r>
  <r>
    <x v="3"/>
    <s v="Concepcion"/>
    <s v="Telabanca"/>
    <s v="MBA"/>
    <s v="Gretzhen M. Apolonio"/>
    <s v="Jan Emerson C. Gonzales"/>
    <m/>
    <m/>
    <m/>
    <x v="2"/>
    <m/>
    <m/>
    <m/>
    <s v="For Monitoring"/>
  </r>
  <r>
    <x v="2"/>
    <s v="DRT"/>
    <s v="Bayabas"/>
    <s v="MBA"/>
    <m/>
    <m/>
    <n v="2025"/>
    <d v="2025-07-01T00:00:00"/>
    <s v="R3-2025-024007"/>
    <x v="0"/>
    <m/>
    <s v="MRF"/>
    <s v="OPERATIONAL"/>
    <s v="Technical Assistance"/>
  </r>
  <r>
    <x v="3"/>
    <s v="Sta. Ignacia"/>
    <s v="San Francisco"/>
    <s v="OUTSIDE MBA"/>
    <s v="Joshua A. Capones"/>
    <s v="Jan Emerson C. Gonzales"/>
    <m/>
    <m/>
    <m/>
    <x v="0"/>
    <m/>
    <m/>
    <m/>
    <s v="For Monitoring"/>
  </r>
  <r>
    <x v="3"/>
    <s v="Sta. Ignacia"/>
    <s v="San Sotero"/>
    <s v="OUTSIDE MBA"/>
    <s v="Joshua A. Capones"/>
    <s v="Jan Emerson C. Gonzales"/>
    <m/>
    <m/>
    <m/>
    <x v="0"/>
    <m/>
    <m/>
    <m/>
    <s v="For Monitoring"/>
  </r>
  <r>
    <x v="3"/>
    <s v="Sta. Ignacia"/>
    <s v="Santa Ines Centro"/>
    <s v="OUTSIDE MBA"/>
    <s v="Joshua A. Capones"/>
    <s v="Jan Emerson C. Gonzales"/>
    <m/>
    <m/>
    <m/>
    <x v="0"/>
    <m/>
    <m/>
    <m/>
    <s v="For Monitoring"/>
  </r>
  <r>
    <x v="3"/>
    <s v="Sta. Ignacia"/>
    <s v="Santa Ines West"/>
    <s v="OUTSIDE MBA"/>
    <s v="Joshua A. Capones"/>
    <s v="Jan Emerson C. Gonzales"/>
    <m/>
    <m/>
    <m/>
    <x v="0"/>
    <m/>
    <m/>
    <m/>
    <s v="For Monitoring"/>
  </r>
  <r>
    <x v="2"/>
    <s v="DRT"/>
    <s v="Pulong Sampalok"/>
    <s v="MBA"/>
    <m/>
    <m/>
    <n v="2025"/>
    <d v="2025-07-01T00:00:00"/>
    <s v="R3-2025-024008"/>
    <x v="0"/>
    <m/>
    <s v="MRF"/>
    <s v="OPERATIONAL"/>
    <s v="Technical Assistance"/>
  </r>
  <r>
    <x v="3"/>
    <s v="Sta. Ignacia"/>
    <s v="Taguiporo"/>
    <s v="OUTSIDE MBA"/>
    <s v="Joshua A. Capones"/>
    <s v="Jan Emerson C. Gonzales"/>
    <m/>
    <m/>
    <m/>
    <x v="0"/>
    <m/>
    <m/>
    <m/>
    <s v="For Monitoring"/>
  </r>
  <r>
    <x v="5"/>
    <s v="Palauig"/>
    <s v="Magalawa"/>
    <s v="OUTSIDE MBA"/>
    <s v="Ryan Ace R. Angel"/>
    <s v="Jun D. Guillermo"/>
    <m/>
    <m/>
    <m/>
    <x v="4"/>
    <m/>
    <m/>
    <m/>
    <s v="For Monitoring"/>
  </r>
  <r>
    <x v="2"/>
    <s v="Guiguinto"/>
    <s v="Cutcut"/>
    <s v="MBA"/>
    <m/>
    <m/>
    <n v="2025"/>
    <d v="2025-03-13T00:00:00"/>
    <s v="R3-2025-008762"/>
    <x v="0"/>
    <m/>
    <s v="MRS"/>
    <s v="CATER BY LGU"/>
    <s v="Technical Assistance"/>
  </r>
  <r>
    <x v="2"/>
    <s v="Guiguinto"/>
    <s v="Daungan"/>
    <s v="MBA"/>
    <m/>
    <m/>
    <n v="2025"/>
    <d v="2025-03-13T00:00:00"/>
    <s v="R3-2025-008763"/>
    <x v="0"/>
    <m/>
    <s v="MRS"/>
    <s v="CATER BY LGU"/>
    <s v="Technical Assistance"/>
  </r>
  <r>
    <x v="2"/>
    <s v="Guiguinto"/>
    <s v="Ilang-Ilang"/>
    <s v="MBA"/>
    <m/>
    <m/>
    <n v="2025"/>
    <d v="2025-03-12T00:00:00"/>
    <s v="R3-2025-008764"/>
    <x v="0"/>
    <m/>
    <s v="MRS"/>
    <s v="CATER BY LGU"/>
    <s v="Technical Assistance"/>
  </r>
  <r>
    <x v="2"/>
    <s v="Guiguinto"/>
    <s v="Malis"/>
    <s v="MBA"/>
    <m/>
    <m/>
    <n v="2024"/>
    <d v="2024-08-14T00:00:00"/>
    <m/>
    <x v="0"/>
    <m/>
    <s v="MRF"/>
    <s v="OPERATIONAL"/>
    <s v="Technical Assistance"/>
  </r>
  <r>
    <x v="2"/>
    <s v="Guiguinto"/>
    <s v="Panginay"/>
    <s v="MBA"/>
    <m/>
    <m/>
    <n v="2025"/>
    <d v="2025-03-13T00:00:00"/>
    <s v="R3-2025-008766"/>
    <x v="0"/>
    <m/>
    <s v="MRS"/>
    <s v="CATER BY LGU"/>
    <s v="Technical Assistance"/>
  </r>
  <r>
    <x v="2"/>
    <s v="Guiguinto"/>
    <s v="Poblacion"/>
    <s v="MBA"/>
    <m/>
    <m/>
    <n v="2025"/>
    <d v="2025-02-04T00:00:00"/>
    <s v="R3-2025-004431"/>
    <x v="0"/>
    <m/>
    <s v="MRS"/>
    <s v="CATER BY LGU"/>
    <s v="Technical Assistance"/>
  </r>
  <r>
    <x v="2"/>
    <s v="Guiguinto"/>
    <s v="Pritil"/>
    <s v="MBA"/>
    <m/>
    <m/>
    <n v="2024"/>
    <d v="2024-11-08T00:00:00"/>
    <m/>
    <x v="0"/>
    <m/>
    <s v="MRS"/>
    <s v="CATER BY LGU"/>
    <s v="Technical Assistance"/>
  </r>
  <r>
    <x v="2"/>
    <s v="Guiguinto"/>
    <s v="Pulong Gubat"/>
    <s v="MBA"/>
    <m/>
    <m/>
    <n v="2025"/>
    <d v="2025-03-13T00:00:00"/>
    <s v="R3-2025-008765"/>
    <x v="0"/>
    <m/>
    <s v="MRS"/>
    <s v="CATER BY LGU"/>
    <s v="Technical Assistance"/>
  </r>
  <r>
    <x v="2"/>
    <s v="Guiguinto"/>
    <s v="Santa Cruz"/>
    <s v="MBA"/>
    <m/>
    <m/>
    <n v="2024"/>
    <d v="2024-11-08T00:00:00"/>
    <m/>
    <x v="0"/>
    <m/>
    <s v="MRS"/>
    <s v="CATER BY LGU"/>
    <s v="Technical Assistance"/>
  </r>
  <r>
    <x v="2"/>
    <s v="Guiguinto"/>
    <s v="Santa Rita"/>
    <s v="MBA"/>
    <m/>
    <m/>
    <n v="2024"/>
    <d v="2024-11-07T00:00:00"/>
    <m/>
    <x v="0"/>
    <m/>
    <s v="MRF"/>
    <s v="OPERATIONAL"/>
    <s v="Technical Assistance"/>
  </r>
  <r>
    <x v="2"/>
    <s v="Guiguinto"/>
    <s v="Tabang"/>
    <s v="MBA"/>
    <m/>
    <m/>
    <n v="2025"/>
    <d v="2025-01-17T00:00:00"/>
    <s v="R3-2025-001382"/>
    <x v="0"/>
    <m/>
    <s v="NO FACILITY"/>
    <s v="CATER BY LGU"/>
    <s v="Technical Assistance"/>
  </r>
  <r>
    <x v="2"/>
    <s v="Guiguinto"/>
    <s v="Tabe"/>
    <s v="MBA"/>
    <m/>
    <m/>
    <n v="2025"/>
    <d v="2025-02-04T00:00:00"/>
    <s v="R3-2025-004430"/>
    <x v="0"/>
    <m/>
    <s v="MRS"/>
    <s v="OPERATIONAL"/>
    <s v="Technical Assistance"/>
  </r>
  <r>
    <x v="2"/>
    <s v="Guiguinto"/>
    <s v="Tiaong"/>
    <s v="MBA"/>
    <m/>
    <m/>
    <n v="2024"/>
    <d v="2024-05-10T00:00:00"/>
    <m/>
    <x v="0"/>
    <m/>
    <m/>
    <m/>
    <s v="Technical Assistance"/>
  </r>
  <r>
    <x v="2"/>
    <s v="Guiguinto"/>
    <s v="Tuktukan"/>
    <s v="MBA"/>
    <m/>
    <m/>
    <n v="2025"/>
    <d v="2025-02-07T00:00:00"/>
    <s v="R3-2025-005700"/>
    <x v="0"/>
    <m/>
    <s v="MRF"/>
    <s v="OPERATIONAL"/>
    <s v="Technical Assistance"/>
  </r>
  <r>
    <x v="2"/>
    <s v="Hagonoy"/>
    <s v="Abulalas"/>
    <s v="MBA"/>
    <m/>
    <m/>
    <n v="2024"/>
    <d v="2024-06-06T00:00:00"/>
    <m/>
    <x v="0"/>
    <m/>
    <m/>
    <m/>
    <s v="Technical Assistance"/>
  </r>
  <r>
    <x v="2"/>
    <s v="Hagonoy"/>
    <s v="Carillo"/>
    <s v="MBA"/>
    <m/>
    <m/>
    <n v="2024"/>
    <d v="2024-06-13T00:00:00"/>
    <m/>
    <x v="0"/>
    <m/>
    <m/>
    <m/>
    <s v="Technical Assistance"/>
  </r>
  <r>
    <x v="2"/>
    <s v="Hagonoy"/>
    <s v="Iba"/>
    <s v="MBA"/>
    <m/>
    <m/>
    <n v="2024"/>
    <d v="2024-09-04T00:00:00"/>
    <m/>
    <x v="0"/>
    <m/>
    <s v="MRF"/>
    <s v="OPERATIONAL"/>
    <s v="Technical Assistance"/>
  </r>
  <r>
    <x v="2"/>
    <s v="Hagonoy"/>
    <s v="Iba-Ibayo"/>
    <s v="MBA"/>
    <m/>
    <m/>
    <n v="2024"/>
    <d v="2024-09-04T00:00:00"/>
    <m/>
    <x v="0"/>
    <m/>
    <s v="MRF"/>
    <s v="OPERATIONAL"/>
    <s v="Technical Assistance"/>
  </r>
  <r>
    <x v="2"/>
    <s v="Hagonoy"/>
    <s v="Mercado"/>
    <s v="MBA"/>
    <m/>
    <m/>
    <n v="2025"/>
    <d v="2025-07-16T00:00:00"/>
    <s v="R3-2025-024069"/>
    <x v="0"/>
    <m/>
    <s v="MRF"/>
    <s v="OPERATIONAL"/>
    <s v="Technical Assistance"/>
  </r>
  <r>
    <x v="2"/>
    <s v="Hagonoy"/>
    <s v="Palapat"/>
    <s v="MBA"/>
    <m/>
    <m/>
    <n v="2025"/>
    <d v="2025-07-16T00:00:00"/>
    <s v="R3-2025-024070"/>
    <x v="0"/>
    <m/>
    <s v="MRF"/>
    <s v="OPERATIONAL"/>
    <s v="Technical Assistance"/>
  </r>
  <r>
    <x v="2"/>
    <s v="San Ildefonso"/>
    <s v="Sapang Putol"/>
    <s v="MBA"/>
    <s v="VACANT"/>
    <s v="Diozelle L. Cabalar"/>
    <m/>
    <m/>
    <m/>
    <x v="0"/>
    <m/>
    <m/>
    <m/>
    <s v="For Monitoring"/>
  </r>
  <r>
    <x v="2"/>
    <s v="Hagonoy"/>
    <s v="Sagrada Familia"/>
    <s v="MBA"/>
    <m/>
    <m/>
    <n v="2025"/>
    <d v="2025-03-13T00:00:00"/>
    <s v="R3-2025-008817"/>
    <x v="0"/>
    <m/>
    <s v="MRS"/>
    <s v="OPERATIONAL"/>
    <s v="Technical Assistance"/>
  </r>
  <r>
    <x v="2"/>
    <s v="Hagonoy"/>
    <s v="San Agustin"/>
    <s v="MBA"/>
    <m/>
    <m/>
    <n v="2025"/>
    <d v="2025-03-13T00:00:00"/>
    <s v="R3-2025-008816"/>
    <x v="0"/>
    <m/>
    <s v="MRS"/>
    <s v="OPERATIONAL"/>
    <s v="Technical Assistance"/>
  </r>
  <r>
    <x v="2"/>
    <s v="San Ildefonso"/>
    <s v="Telepatio"/>
    <s v="MBA"/>
    <s v="VACANT"/>
    <s v="Diozelle L. Cabalar"/>
    <m/>
    <m/>
    <m/>
    <x v="0"/>
    <m/>
    <m/>
    <m/>
    <s v="For Monitoring"/>
  </r>
  <r>
    <x v="2"/>
    <s v="San Ildefonso"/>
    <s v="Umpucan"/>
    <s v="MBA"/>
    <s v="VACANT"/>
    <s v="Diozelle L. Cabalar"/>
    <m/>
    <m/>
    <m/>
    <x v="0"/>
    <m/>
    <m/>
    <m/>
    <s v="For Monitoring"/>
  </r>
  <r>
    <x v="2"/>
    <s v="San Miguel"/>
    <s v="Baritan"/>
    <s v="MBA"/>
    <s v="VACANT"/>
    <s v="Diozelle L. Cabalar"/>
    <m/>
    <m/>
    <m/>
    <x v="0"/>
    <m/>
    <m/>
    <m/>
    <s v="For Monitoring"/>
  </r>
  <r>
    <x v="2"/>
    <s v="San Miguel"/>
    <s v="Salacot"/>
    <s v="MBA"/>
    <s v="VACANT"/>
    <s v="Diozelle L. Cabalar"/>
    <m/>
    <m/>
    <m/>
    <x v="0"/>
    <m/>
    <m/>
    <m/>
    <s v="For Monitoring"/>
  </r>
  <r>
    <x v="2"/>
    <s v="San Miguel"/>
    <s v="Salangan"/>
    <s v="MBA"/>
    <s v="VACANT"/>
    <s v="Diozelle L. Cabalar"/>
    <m/>
    <m/>
    <m/>
    <x v="0"/>
    <m/>
    <m/>
    <m/>
    <s v="For Monitoring"/>
  </r>
  <r>
    <x v="2"/>
    <s v="San Miguel"/>
    <s v="San Agustin"/>
    <s v="MBA"/>
    <s v="VACANT"/>
    <s v="Diozelle L. Cabalar"/>
    <m/>
    <m/>
    <m/>
    <x v="0"/>
    <m/>
    <m/>
    <m/>
    <s v="For Monitoring"/>
  </r>
  <r>
    <x v="2"/>
    <s v="San Miguel"/>
    <s v="San Juan"/>
    <s v="MBA"/>
    <s v="VACANT"/>
    <s v="Diozelle L. Cabalar"/>
    <m/>
    <m/>
    <m/>
    <x v="0"/>
    <m/>
    <m/>
    <m/>
    <s v="For Monitoring"/>
  </r>
  <r>
    <x v="2"/>
    <s v="Hagonoy"/>
    <s v="San Pedro"/>
    <s v="MBA"/>
    <m/>
    <m/>
    <n v="2024"/>
    <d v="2024-07-10T00:00:00"/>
    <m/>
    <x v="0"/>
    <m/>
    <s v="MRF"/>
    <s v="OPERATIONAL"/>
    <s v="Technical Assistance"/>
  </r>
  <r>
    <x v="2"/>
    <s v="San Miguel"/>
    <s v="San Vicente"/>
    <s v="MBA"/>
    <s v="VACANT"/>
    <s v="Diozelle L. Cabalar"/>
    <m/>
    <m/>
    <m/>
    <x v="0"/>
    <m/>
    <m/>
    <m/>
    <s v="For Monitoring"/>
  </r>
  <r>
    <x v="2"/>
    <s v="San Miguel"/>
    <s v="Santa Ines"/>
    <s v="MBA"/>
    <s v="VACANT"/>
    <s v="Diozelle L. Cabalar"/>
    <m/>
    <m/>
    <m/>
    <x v="0"/>
    <m/>
    <m/>
    <m/>
    <s v="For Monitoring"/>
  </r>
  <r>
    <x v="2"/>
    <s v="San Rafael"/>
    <s v="Lico"/>
    <s v="MBA"/>
    <s v="VACANT"/>
    <s v="Diozelle L. Cabalar"/>
    <m/>
    <m/>
    <m/>
    <x v="0"/>
    <m/>
    <m/>
    <m/>
    <s v="For Monitoring"/>
  </r>
  <r>
    <x v="2"/>
    <s v="San Rafael"/>
    <s v="Pasong Bangkal"/>
    <s v="MBA"/>
    <s v="VACANT"/>
    <s v="Diozelle L. Cabalar"/>
    <m/>
    <m/>
    <m/>
    <x v="0"/>
    <m/>
    <m/>
    <m/>
    <s v="For Monitoring"/>
  </r>
  <r>
    <x v="6"/>
    <s v="Cabanatuan City"/>
    <s v="Pangatian"/>
    <s v="MBA"/>
    <s v="Christian Jem L. Buluran"/>
    <s v="Zosimo P. Suyat"/>
    <m/>
    <m/>
    <m/>
    <x v="3"/>
    <m/>
    <m/>
    <m/>
    <s v="For Monitoring"/>
  </r>
  <r>
    <x v="2"/>
    <s v="Hagonoy"/>
    <s v="Santo Niño (Pob.)"/>
    <s v="MBA"/>
    <m/>
    <m/>
    <n v="2025"/>
    <d v="2025-07-16T00:00:00"/>
    <s v="R3-2025-024071"/>
    <x v="0"/>
    <m/>
    <s v="MRF"/>
    <s v="OPERATIONAL"/>
    <s v="Technical Assistance"/>
  </r>
  <r>
    <x v="6"/>
    <s v="Cabanatuan City"/>
    <s v="Patalac"/>
    <s v="MBA"/>
    <s v="Christian Jem L. Buluran"/>
    <s v="Zosimo P. Suyat"/>
    <m/>
    <m/>
    <m/>
    <x v="3"/>
    <m/>
    <m/>
    <m/>
    <s v="For Monitoring"/>
  </r>
  <r>
    <x v="6"/>
    <s v="Cabanatuan City"/>
    <s v="Polilio"/>
    <s v="MBA"/>
    <s v="Christian Jem L. Buluran"/>
    <s v="Zosimo P. Suyat"/>
    <m/>
    <m/>
    <m/>
    <x v="3"/>
    <m/>
    <m/>
    <m/>
    <s v="For Monitoring"/>
  </r>
  <r>
    <x v="6"/>
    <s v="Cabanatuan City"/>
    <s v="Quezon District (Pob.)"/>
    <s v="MBA"/>
    <s v="Christian Jem L. Buluran"/>
    <s v="Zosimo P. Suyat"/>
    <m/>
    <m/>
    <m/>
    <x v="3"/>
    <m/>
    <m/>
    <m/>
    <s v="For Monitoring"/>
  </r>
  <r>
    <x v="2"/>
    <s v="Marilao"/>
    <s v="Abangan Norte"/>
    <s v="MBA"/>
    <m/>
    <m/>
    <n v="2025"/>
    <d v="2025-04-10T00:00:00"/>
    <s v="R3-2025-012450"/>
    <x v="0"/>
    <m/>
    <s v="MRS"/>
    <s v="OPERATIONAL"/>
    <s v="Technical Assistance"/>
  </r>
  <r>
    <x v="2"/>
    <s v="Marilao"/>
    <s v="Abangan Sur"/>
    <s v="MBA"/>
    <m/>
    <m/>
    <n v="2025"/>
    <d v="2025-04-10T00:00:00"/>
    <s v="R3-2025-012452"/>
    <x v="0"/>
    <m/>
    <s v="MRS"/>
    <s v="OPERATIONAL"/>
    <s v="Technical Assistance"/>
  </r>
  <r>
    <x v="2"/>
    <s v="Marilao"/>
    <s v="Ibayo"/>
    <s v="MBA"/>
    <m/>
    <m/>
    <n v="2025"/>
    <d v="2025-06-10T00:00:00"/>
    <s v="R3-2025-020059"/>
    <x v="0"/>
    <m/>
    <s v="MRS"/>
    <s v="OPERATIONAL"/>
    <s v="Technical Assistance"/>
  </r>
  <r>
    <x v="2"/>
    <s v="Marilao"/>
    <s v="Lambakin"/>
    <s v="MBA"/>
    <m/>
    <m/>
    <n v="2025"/>
    <d v="2025-06-10T00:00:00"/>
    <s v="R3-2025-020062"/>
    <x v="0"/>
    <m/>
    <s v="MRS"/>
    <s v="OPERATIONAL"/>
    <s v="Technical Assistance"/>
  </r>
  <r>
    <x v="6"/>
    <s v="Cabanatuan City"/>
    <s v="San Isidro"/>
    <s v="MBA"/>
    <s v="Christian Jem L. Buluran"/>
    <s v="Zosimo P. Suyat"/>
    <m/>
    <m/>
    <m/>
    <x v="0"/>
    <m/>
    <m/>
    <m/>
    <s v="For Monitoring"/>
  </r>
  <r>
    <x v="2"/>
    <s v="Marilao"/>
    <s v="Loma de Gato"/>
    <s v="MBA"/>
    <m/>
    <m/>
    <n v="2025"/>
    <d v="2025-05-16T00:00:00"/>
    <s v="R3-2025-016465"/>
    <x v="0"/>
    <m/>
    <s v="MRS"/>
    <s v="OPERATIONAL"/>
    <s v="Technical Assistance"/>
  </r>
  <r>
    <x v="6"/>
    <s v="Cabanatuan City"/>
    <s v="San Juan Pob."/>
    <s v="MBA"/>
    <s v="Christian Jem L. Buluran"/>
    <s v="Zosimo P. Suyat"/>
    <m/>
    <m/>
    <m/>
    <x v="0"/>
    <m/>
    <m/>
    <m/>
    <s v="For Monitoring"/>
  </r>
  <r>
    <x v="2"/>
    <s v="Marilao"/>
    <s v="Patubig"/>
    <s v="MBA"/>
    <m/>
    <m/>
    <n v="2025"/>
    <d v="2025-05-14T00:00:00"/>
    <s v="R3-2025-016464"/>
    <x v="0"/>
    <m/>
    <s v="MRS"/>
    <s v="OPERATIONAL"/>
    <s v="Technical Assistance"/>
  </r>
  <r>
    <x v="2"/>
    <s v="Marilao"/>
    <s v="Poblacion I"/>
    <s v="MBA"/>
    <m/>
    <m/>
    <n v="2025"/>
    <d v="2025-06-10T00:00:00"/>
    <s v="R3-2025-020060"/>
    <x v="0"/>
    <m/>
    <s v="MRS"/>
    <s v="OPERATIONAL"/>
    <s v="Technical Assistance"/>
  </r>
  <r>
    <x v="2"/>
    <s v="Marilao"/>
    <s v="Poblacion II"/>
    <s v="MBA"/>
    <m/>
    <m/>
    <n v="2025"/>
    <d v="2025-06-10T00:00:00"/>
    <s v="R3-2025-020061"/>
    <x v="0"/>
    <m/>
    <s v="MRS"/>
    <s v="OPERATIONAL"/>
    <s v="Technical Assistance"/>
  </r>
  <r>
    <x v="2"/>
    <s v="Marilao"/>
    <s v="Prenza I"/>
    <s v="MBA"/>
    <m/>
    <m/>
    <n v="2025"/>
    <d v="2025-08-07T00:00:00"/>
    <s v="R3-2025-027601"/>
    <x v="0"/>
    <m/>
    <s v="MRS"/>
    <s v="OPERATIONAL"/>
    <s v="Technical Assistance"/>
  </r>
  <r>
    <x v="2"/>
    <s v="Marilao"/>
    <s v="Prenza II"/>
    <s v="MBA"/>
    <m/>
    <m/>
    <n v="2025"/>
    <d v="2025-08-07T00:00:00"/>
    <s v="R3-2025-027615 "/>
    <x v="0"/>
    <m/>
    <s v="MRS"/>
    <s v="OPERATIONAL"/>
    <s v="Technical Assistance"/>
  </r>
  <r>
    <x v="6"/>
    <s v="Cabanatuan City"/>
    <s v="San Roque Norte"/>
    <s v="MBA"/>
    <s v="Christian Jem L. Buluran"/>
    <s v="Zosimo P. Suyat"/>
    <m/>
    <m/>
    <m/>
    <x v="0"/>
    <m/>
    <m/>
    <m/>
    <s v="For Monitoring"/>
  </r>
  <r>
    <x v="2"/>
    <s v="Marilao"/>
    <s v="Santa Rosa II"/>
    <s v="MBA"/>
    <m/>
    <m/>
    <n v="2024"/>
    <d v="2024-09-11T00:00:00"/>
    <m/>
    <x v="0"/>
    <m/>
    <s v="MRS"/>
    <m/>
    <s v="Technical Assistance"/>
  </r>
  <r>
    <x v="2"/>
    <s v="Marilao"/>
    <s v="Saog"/>
    <s v="MBA"/>
    <m/>
    <m/>
    <n v="2025"/>
    <d v="2025-02-06T00:00:00"/>
    <s v="R3-2025-004788"/>
    <x v="0"/>
    <m/>
    <s v="MRS"/>
    <s v="CATER BY LGU"/>
    <s v="Technical Assistance"/>
  </r>
  <r>
    <x v="2"/>
    <s v="Marilao"/>
    <s v="Tabing Ilog"/>
    <s v="MBA"/>
    <m/>
    <m/>
    <n v="2025"/>
    <d v="2025-02-06T00:00:00"/>
    <s v="R3-2025-004789"/>
    <x v="0"/>
    <m/>
    <s v="MRS"/>
    <s v="OPERATIONAL"/>
    <s v="Technical Assistance"/>
  </r>
  <r>
    <x v="2"/>
    <s v="Norzagaray"/>
    <s v="Bangkal"/>
    <s v="MBA"/>
    <m/>
    <m/>
    <n v="2025"/>
    <d v="2025-03-12T00:00:00"/>
    <s v="R3-2025-008940"/>
    <x v="0"/>
    <m/>
    <s v="MRS"/>
    <s v="OPERATIONAL"/>
    <s v="Technical Assistance"/>
  </r>
  <r>
    <x v="2"/>
    <s v="Norzagaray"/>
    <s v="Baraka"/>
    <s v="MBA"/>
    <m/>
    <m/>
    <n v="2025"/>
    <d v="2025-03-12T00:00:00"/>
    <s v="R3-2025-008941"/>
    <x v="0"/>
    <m/>
    <s v="MRS"/>
    <s v="OPERATIONAL"/>
    <s v="Technical Assistance"/>
  </r>
  <r>
    <x v="2"/>
    <s v="Norzagaray"/>
    <s v="Bigte"/>
    <s v="MBA"/>
    <m/>
    <m/>
    <n v="2024"/>
    <s v="February 13, 2024"/>
    <m/>
    <x v="0"/>
    <m/>
    <m/>
    <m/>
    <s v="Technical Assistance"/>
  </r>
  <r>
    <x v="2"/>
    <s v="Norzagaray"/>
    <s v="Bitungol"/>
    <s v="MBA"/>
    <m/>
    <m/>
    <n v="2024"/>
    <s v="February 13, 2024"/>
    <m/>
    <x v="0"/>
    <m/>
    <m/>
    <m/>
    <s v="Technical Assistance"/>
  </r>
  <r>
    <x v="6"/>
    <s v="Cabanatuan City"/>
    <s v="San Roque Sur"/>
    <s v="MBA"/>
    <s v="Christian Jem L. Buluran"/>
    <s v="Zosimo P. Suyat"/>
    <m/>
    <m/>
    <m/>
    <x v="0"/>
    <m/>
    <m/>
    <m/>
    <s v="For Monitoring"/>
  </r>
  <r>
    <x v="2"/>
    <s v="Norzagaray"/>
    <s v="Matictic"/>
    <s v="MBA"/>
    <m/>
    <m/>
    <n v="2024"/>
    <s v="February 13, 2024"/>
    <m/>
    <x v="0"/>
    <m/>
    <m/>
    <m/>
    <s v="Technical Assistance"/>
  </r>
  <r>
    <x v="2"/>
    <s v="Norzagaray"/>
    <s v="Minuyan"/>
    <s v="MBA"/>
    <m/>
    <m/>
    <n v="2024"/>
    <s v="February 13, 2024"/>
    <m/>
    <x v="0"/>
    <m/>
    <m/>
    <m/>
    <s v="Technical Assistance"/>
  </r>
  <r>
    <x v="6"/>
    <s v="Cabanatuan City"/>
    <s v="Sanbermicristi (Pob.)"/>
    <s v="MBA"/>
    <s v="Christian Jem L. Buluran"/>
    <s v="Zosimo P. Suyat"/>
    <m/>
    <m/>
    <m/>
    <x v="0"/>
    <m/>
    <m/>
    <m/>
    <s v="For Monitoring"/>
  </r>
  <r>
    <x v="6"/>
    <s v="Cabanatuan City"/>
    <s v="Sangitan"/>
    <s v="MBA"/>
    <s v="Christian Jem L. Buluran"/>
    <s v="Zosimo P. Suyat"/>
    <m/>
    <m/>
    <m/>
    <x v="0"/>
    <m/>
    <m/>
    <m/>
    <s v="For Monitoring"/>
  </r>
  <r>
    <x v="6"/>
    <s v="Cuyapo"/>
    <s v="Santa Clara"/>
    <s v="OUTSIDE MBA"/>
    <s v="Aser A. Inocencio, Jr."/>
    <s v="Zosimo P. Suyat"/>
    <m/>
    <m/>
    <m/>
    <x v="0"/>
    <m/>
    <m/>
    <m/>
    <s v="For Monitoring"/>
  </r>
  <r>
    <x v="6"/>
    <s v="Cuyapo"/>
    <s v="Santa Cruz"/>
    <s v="OUTSIDE MBA"/>
    <s v="Aser A. Inocencio, Jr."/>
    <s v="Zosimo P. Suyat"/>
    <m/>
    <m/>
    <m/>
    <x v="0"/>
    <m/>
    <m/>
    <m/>
    <s v="For Monitoring"/>
  </r>
  <r>
    <x v="6"/>
    <s v="Cuyapo"/>
    <s v="Sinimbaan"/>
    <s v="OUTSIDE MBA"/>
    <s v="Aser A. Inocencio, Jr."/>
    <s v="Zosimo P. Suyat"/>
    <m/>
    <m/>
    <m/>
    <x v="0"/>
    <m/>
    <m/>
    <m/>
    <s v="For Monitoring"/>
  </r>
  <r>
    <x v="2"/>
    <s v="Norzagaray"/>
    <s v="Tigbe"/>
    <s v="MBA"/>
    <m/>
    <m/>
    <n v="2024"/>
    <d v="2024-05-10T00:00:00"/>
    <m/>
    <x v="0"/>
    <m/>
    <m/>
    <m/>
    <s v="Technical Assistance"/>
  </r>
  <r>
    <x v="6"/>
    <s v="Cuyapo"/>
    <s v="Tagtagumbao"/>
    <s v="OUTSIDE MBA"/>
    <s v="Aser A. Inocencio, Jr."/>
    <s v="Zosimo P. Suyat"/>
    <m/>
    <m/>
    <m/>
    <x v="0"/>
    <m/>
    <m/>
    <m/>
    <s v="For Monitoring"/>
  </r>
  <r>
    <x v="2"/>
    <s v="Obando"/>
    <s v="Catanghalan"/>
    <s v="MBA"/>
    <m/>
    <m/>
    <n v="2025"/>
    <d v="2025-03-07T00:00:00"/>
    <s v="R3-2025-008881"/>
    <x v="0"/>
    <m/>
    <s v="MRS"/>
    <s v="OPERATIONAL"/>
    <s v="Technical Assistance"/>
  </r>
  <r>
    <x v="6"/>
    <s v="Cuyapo"/>
    <s v="Tutuloy"/>
    <s v="OUTSIDE MBA"/>
    <s v="Aser A. Inocencio, Jr."/>
    <s v="Zosimo P. Suyat"/>
    <m/>
    <m/>
    <m/>
    <x v="0"/>
    <m/>
    <m/>
    <m/>
    <s v="For Monitoring"/>
  </r>
  <r>
    <x v="6"/>
    <s v="Santa Rosa"/>
    <s v="Santa Teresita"/>
    <s v="MBA"/>
    <s v="Christian Jem L. Buluran"/>
    <s v="Zosimo P. Suyat"/>
    <m/>
    <m/>
    <m/>
    <x v="0"/>
    <m/>
    <m/>
    <m/>
    <s v="For Monitoring"/>
  </r>
  <r>
    <x v="2"/>
    <s v="Obando"/>
    <s v="Paco"/>
    <s v="MBA"/>
    <m/>
    <m/>
    <n v="2024"/>
    <d v="2024-06-07T00:00:00"/>
    <m/>
    <x v="0"/>
    <m/>
    <m/>
    <m/>
    <s v="Technical Assistance"/>
  </r>
  <r>
    <x v="6"/>
    <s v="Santa Rosa"/>
    <s v="Santo Rosario"/>
    <s v="MBA"/>
    <s v="Christian Jem L. Buluran"/>
    <s v="Zosimo P. Suyat"/>
    <m/>
    <m/>
    <m/>
    <x v="0"/>
    <m/>
    <m/>
    <m/>
    <s v="For Monitoring"/>
  </r>
  <r>
    <x v="6"/>
    <s v="Santa Rosa"/>
    <s v="Sapsap"/>
    <s v="MBA"/>
    <s v="Christian Jem L. Buluran"/>
    <s v="Zosimo P. Suyat"/>
    <m/>
    <m/>
    <m/>
    <x v="0"/>
    <m/>
    <m/>
    <m/>
    <s v="For Monitoring"/>
  </r>
  <r>
    <x v="6"/>
    <s v="Santa Rosa"/>
    <s v="Tagpos"/>
    <s v="MBA"/>
    <s v="Christian Jem L. Buluran"/>
    <s v="Zosimo P. Suyat"/>
    <m/>
    <m/>
    <m/>
    <x v="0"/>
    <m/>
    <m/>
    <m/>
    <s v="For Monitoring"/>
  </r>
  <r>
    <x v="6"/>
    <s v="Santa Rosa"/>
    <s v="Valenzuela (Pob.)"/>
    <s v="MBA"/>
    <s v="Christian Jem L. Buluran"/>
    <s v="Zosimo P. Suyat"/>
    <m/>
    <m/>
    <m/>
    <x v="0"/>
    <m/>
    <m/>
    <m/>
    <s v="For Monitoring"/>
  </r>
  <r>
    <x v="6"/>
    <s v="Santa Rosa"/>
    <s v="Zamora (Pob.)"/>
    <s v="MBA"/>
    <s v="Christian Jem L. Buluran"/>
    <s v="Zosimo P. Suyat"/>
    <m/>
    <m/>
    <m/>
    <x v="0"/>
    <m/>
    <m/>
    <m/>
    <s v="For Monitoring"/>
  </r>
  <r>
    <x v="2"/>
    <s v="Obando"/>
    <s v="Tawiran"/>
    <s v="MBA"/>
    <m/>
    <m/>
    <n v="2024"/>
    <d v="2024-06-07T00:00:00"/>
    <m/>
    <x v="0"/>
    <m/>
    <m/>
    <m/>
    <s v="Technical Assistance"/>
  </r>
  <r>
    <x v="2"/>
    <s v="Pandi"/>
    <s v="Bagbaguin"/>
    <s v="MBA"/>
    <m/>
    <m/>
    <n v="2025"/>
    <d v="2025-04-03T00:00:00"/>
    <s v="R3-2025-011419"/>
    <x v="0"/>
    <m/>
    <s v="MRF"/>
    <s v="OPERATIONAL"/>
    <s v="Technical Assistance"/>
  </r>
  <r>
    <x v="2"/>
    <s v="Pandi"/>
    <s v="Bagong Barrio"/>
    <s v="MBA"/>
    <m/>
    <m/>
    <n v="2024"/>
    <s v="February 21, 2024"/>
    <m/>
    <x v="0"/>
    <m/>
    <m/>
    <m/>
    <s v="Technical Assistance"/>
  </r>
  <r>
    <x v="4"/>
    <s v="Lubao"/>
    <s v="Don Ignacio Dimson"/>
    <s v="MBA"/>
    <s v="VACANT"/>
    <s v="Jun D. Guillermo"/>
    <m/>
    <m/>
    <m/>
    <x v="3"/>
    <m/>
    <m/>
    <m/>
    <s v="For Monitoring"/>
  </r>
  <r>
    <x v="2"/>
    <s v="Pandi"/>
    <s v="Bunsuran I"/>
    <s v="MBA"/>
    <m/>
    <m/>
    <n v="2025"/>
    <d v="2025-06-11T00:00:00"/>
    <s v="R3-2025-019628"/>
    <x v="0"/>
    <m/>
    <s v="MRF"/>
    <s v="OPERATIONAL"/>
    <s v="Technical Assistance"/>
  </r>
  <r>
    <x v="2"/>
    <s v="Pandi"/>
    <s v="Bunsuran II"/>
    <s v="MBA"/>
    <m/>
    <m/>
    <n v="2024"/>
    <d v="2024-09-02T00:00:00"/>
    <m/>
    <x v="0"/>
    <m/>
    <s v="MRF"/>
    <s v="OPERATIONAL"/>
    <s v="Technical Assistance"/>
  </r>
  <r>
    <x v="2"/>
    <s v="Pandi"/>
    <s v="Bunsuran III"/>
    <s v="MBA"/>
    <m/>
    <m/>
    <n v="2025"/>
    <d v="2025-06-11T00:00:00"/>
    <s v="R3-2025-019629"/>
    <x v="0"/>
    <m/>
    <s v="MRF"/>
    <s v="OPERATIONAL"/>
    <s v="Technical Assistance"/>
  </r>
  <r>
    <x v="2"/>
    <s v="Pandi"/>
    <s v="Cacarong Bata"/>
    <s v="MBA"/>
    <m/>
    <m/>
    <n v="2025"/>
    <d v="2025-06-11T00:00:00"/>
    <s v="R3-2025-019630"/>
    <x v="0"/>
    <m/>
    <s v="MRF"/>
    <s v="OPERATIONAL"/>
    <s v="Technical Assistance"/>
  </r>
  <r>
    <x v="2"/>
    <s v="Pandi"/>
    <s v="Cacarong Matanda"/>
    <s v="MBA"/>
    <m/>
    <m/>
    <n v="2025"/>
    <d v="2025-02-07T00:00:00"/>
    <s v="R3-2025-004439"/>
    <x v="0"/>
    <m/>
    <s v="MRF"/>
    <s v="OPERATIONAL"/>
    <s v="Technical Assistance"/>
  </r>
  <r>
    <x v="4"/>
    <s v="Lubao"/>
    <s v="Santa Teresa 1st"/>
    <s v="MBA"/>
    <s v="VACANT"/>
    <s v="Jun D. Guillermo"/>
    <m/>
    <m/>
    <m/>
    <x v="3"/>
    <m/>
    <m/>
    <m/>
    <s v="For Monitoring"/>
  </r>
  <r>
    <x v="4"/>
    <s v="Lubao"/>
    <s v="Santa Teresa 2nd"/>
    <s v="MBA"/>
    <s v="VACANT"/>
    <s v="Jun D. Guillermo"/>
    <m/>
    <m/>
    <m/>
    <x v="3"/>
    <m/>
    <m/>
    <m/>
    <s v="For Monitoring"/>
  </r>
  <r>
    <x v="4"/>
    <s v="Lubao"/>
    <s v="Santiago"/>
    <s v="MBA"/>
    <s v="VACANT"/>
    <s v="Jun D. Guillermo"/>
    <m/>
    <m/>
    <m/>
    <x v="3"/>
    <m/>
    <m/>
    <m/>
    <s v="For Monitoring"/>
  </r>
  <r>
    <x v="2"/>
    <s v="Pandi"/>
    <s v="Manatal"/>
    <s v="MBA"/>
    <m/>
    <m/>
    <n v="2024"/>
    <d v="2024-09-05T00:00:00"/>
    <m/>
    <x v="0"/>
    <m/>
    <s v="MRF"/>
    <s v="OPERATIONAL"/>
    <s v="Technical Assistance"/>
  </r>
  <r>
    <x v="2"/>
    <s v="Pandi"/>
    <s v="Mapulang Lupa"/>
    <s v="MBA"/>
    <m/>
    <m/>
    <n v="2025"/>
    <d v="2025-02-07T00:00:00"/>
    <s v="R3-2025-004437"/>
    <x v="0"/>
    <m/>
    <s v="MRF"/>
    <s v="OPERATIONAL"/>
    <s v="Technical Assistance"/>
  </r>
  <r>
    <x v="2"/>
    <s v="Pandi"/>
    <s v="Masagana"/>
    <s v="MBA"/>
    <m/>
    <m/>
    <n v="2025"/>
    <d v="2025-04-03T00:00:00"/>
    <s v="R3-2025-011418"/>
    <x v="0"/>
    <m/>
    <s v="MRF"/>
    <s v="OPERATIONAL"/>
    <s v="Technical Assistance"/>
  </r>
  <r>
    <x v="4"/>
    <s v="Lubao"/>
    <s v="Santo Cristo"/>
    <s v="MBA"/>
    <s v="VACANT"/>
    <s v="Jun D. Guillermo"/>
    <m/>
    <m/>
    <m/>
    <x v="0"/>
    <m/>
    <m/>
    <m/>
    <s v="For Monitoring"/>
  </r>
  <r>
    <x v="4"/>
    <s v="Lubao"/>
    <s v="Santo Tomas (Pob.)"/>
    <s v="MBA"/>
    <s v="VACANT"/>
    <s v="Jun D. Guillermo"/>
    <m/>
    <m/>
    <m/>
    <x v="0"/>
    <m/>
    <m/>
    <m/>
    <s v="For Monitoring"/>
  </r>
  <r>
    <x v="2"/>
    <s v="Pandi"/>
    <s v="Poblacion"/>
    <s v="MBA"/>
    <m/>
    <m/>
    <n v="2024"/>
    <s v="February 21, 2024"/>
    <m/>
    <x v="0"/>
    <m/>
    <m/>
    <m/>
    <s v="Technical Assistance"/>
  </r>
  <r>
    <x v="4"/>
    <s v="Mabalacat City"/>
    <s v="Dau"/>
    <s v="MBA"/>
    <s v="Roger T. Encarnacion II"/>
    <s v="Jun D. Guillermo"/>
    <m/>
    <m/>
    <m/>
    <x v="5"/>
    <m/>
    <m/>
    <m/>
    <s v="For Monitoring"/>
  </r>
  <r>
    <x v="4"/>
    <s v="Mabalacat City"/>
    <s v="Dolores"/>
    <s v="MBA"/>
    <s v="Roger T. Encarnacion II"/>
    <s v="Jun D. Guillermo"/>
    <m/>
    <m/>
    <m/>
    <x v="5"/>
    <m/>
    <m/>
    <m/>
    <s v="For Monitoring"/>
  </r>
  <r>
    <x v="4"/>
    <s v="Mexico"/>
    <s v="San Juan"/>
    <s v="MBA"/>
    <s v="Roger T. Encarnacion II"/>
    <s v="Jun D. Guillermo"/>
    <m/>
    <m/>
    <m/>
    <x v="0"/>
    <m/>
    <m/>
    <m/>
    <s v="For Monitoring"/>
  </r>
  <r>
    <x v="4"/>
    <s v="Mexico"/>
    <s v="Santa Cruz"/>
    <s v="MBA"/>
    <s v="Roger T. Encarnacion II"/>
    <s v="Jun D. Guillermo"/>
    <m/>
    <m/>
    <m/>
    <x v="0"/>
    <m/>
    <m/>
    <m/>
    <s v="For Monitoring"/>
  </r>
  <r>
    <x v="4"/>
    <s v="Mexico"/>
    <s v="Santa Maria"/>
    <s v="MBA"/>
    <s v="Roger T. Encarnacion II"/>
    <s v="Jun D. Guillermo"/>
    <m/>
    <m/>
    <m/>
    <x v="0"/>
    <m/>
    <m/>
    <m/>
    <s v="For Monitoring"/>
  </r>
  <r>
    <x v="2"/>
    <s v="Paombong"/>
    <s v="Pinalagdan"/>
    <s v="MBA"/>
    <m/>
    <m/>
    <n v="2025"/>
    <d v="2025-08-06T00:00:00"/>
    <s v="R3-2025-026817"/>
    <x v="0"/>
    <m/>
    <s v="MRF"/>
    <s v="NON-OPERATIONAL"/>
    <s v="Technical Assistance"/>
  </r>
  <r>
    <x v="4"/>
    <s v="Mexico"/>
    <s v="Santo Domingo"/>
    <s v="MBA"/>
    <s v="Roger T. Encarnacion II"/>
    <s v="Jun D. Guillermo"/>
    <m/>
    <m/>
    <m/>
    <x v="0"/>
    <m/>
    <m/>
    <m/>
    <s v="For Monitoring"/>
  </r>
  <r>
    <x v="2"/>
    <s v="Paombong"/>
    <s v="Kapitangan"/>
    <s v="MBA"/>
    <m/>
    <m/>
    <n v="2025"/>
    <d v="2025-04-08T00:00:00"/>
    <s v="R3-2025-012415"/>
    <x v="0"/>
    <m/>
    <s v="MRF"/>
    <s v="OPERATIONAL"/>
    <s v="Technical Assistance"/>
  </r>
  <r>
    <x v="4"/>
    <s v="Santo Tomas"/>
    <s v="Santo Rosario"/>
    <s v="MBA"/>
    <s v="Elyza A. Evilla"/>
    <s v="John Sherwin Y. Loquellano"/>
    <m/>
    <m/>
    <m/>
    <x v="4"/>
    <m/>
    <m/>
    <m/>
    <s v="For Monitoring"/>
  </r>
  <r>
    <x v="2"/>
    <s v="Paombong"/>
    <s v="San Roque"/>
    <s v="MBA"/>
    <m/>
    <m/>
    <n v="2025"/>
    <d v="2025-08-06T00:00:00"/>
    <s v="R3-2025-026816"/>
    <x v="0"/>
    <m/>
    <s v="MRF"/>
    <s v="OPERATIONAL"/>
    <s v="Technical Assistance"/>
  </r>
  <r>
    <x v="2"/>
    <s v="Paombong"/>
    <s v="Poblacion"/>
    <s v="MBA"/>
    <m/>
    <m/>
    <n v="2024"/>
    <d v="2024-06-07T00:00:00"/>
    <m/>
    <x v="0"/>
    <m/>
    <m/>
    <m/>
    <s v="Technical Assistance"/>
  </r>
  <r>
    <x v="3"/>
    <s v="Tarlac City (Capital)"/>
    <s v="Suizo"/>
    <s v="MBA"/>
    <s v="Joshua A. Capones"/>
    <s v="Jan Emerson C. Gonzales"/>
    <m/>
    <m/>
    <m/>
    <x v="2"/>
    <m/>
    <m/>
    <m/>
    <s v="For Monitoring"/>
  </r>
  <r>
    <x v="2"/>
    <s v="Paombong"/>
    <s v="San Isidro I"/>
    <s v="MBA"/>
    <m/>
    <m/>
    <n v="2025"/>
    <d v="2025-06-13T00:00:00"/>
    <s v="R3-2025-019643"/>
    <x v="0"/>
    <m/>
    <s v="MRF"/>
    <s v="UNDER CONSTRUCTION"/>
    <s v="Technical Assistance"/>
  </r>
  <r>
    <x v="2"/>
    <s v="Paombong"/>
    <s v="San Isidro II"/>
    <s v="MBA"/>
    <m/>
    <m/>
    <n v="2024"/>
    <d v="2024-07-11T00:00:00"/>
    <m/>
    <x v="0"/>
    <m/>
    <s v="MRF"/>
    <s v="OPERATIONAL"/>
    <s v="Technical Assistance"/>
  </r>
  <r>
    <x v="6"/>
    <s v="City of Palayan (Capital)"/>
    <s v="Bo. Militar"/>
    <s v="MBA"/>
    <s v="Hosannah R. Sabio"/>
    <s v="Zosimo P. Suyat"/>
    <m/>
    <m/>
    <m/>
    <x v="1"/>
    <m/>
    <m/>
    <m/>
    <s v="For Monitoring"/>
  </r>
  <r>
    <x v="2"/>
    <s v="Paombong"/>
    <s v="San Vicente"/>
    <s v="MBA"/>
    <m/>
    <m/>
    <n v="2024"/>
    <d v="2024-07-11T00:00:00"/>
    <m/>
    <x v="0"/>
    <m/>
    <s v="MRF"/>
    <s v="OPERATIONAL"/>
    <s v="Technical Assistance"/>
  </r>
  <r>
    <x v="3"/>
    <s v="Tarlac City (Capital)"/>
    <s v="Tibagan"/>
    <s v="MBA"/>
    <s v="Joshua A. Capones"/>
    <s v="Jan Emerson C. Gonzales"/>
    <m/>
    <m/>
    <m/>
    <x v="2"/>
    <m/>
    <m/>
    <m/>
    <s v="For Monitoring"/>
  </r>
  <r>
    <x v="2"/>
    <s v="Paombong"/>
    <s v="Santo Niño"/>
    <s v="MBA"/>
    <m/>
    <m/>
    <n v="2025"/>
    <d v="2025-06-13T00:00:00"/>
    <s v="R3-2025-019642"/>
    <x v="0"/>
    <m/>
    <s v="MRF"/>
    <s v="UNDER CONSTRUCTION"/>
    <s v="Technical Assistance"/>
  </r>
  <r>
    <x v="2"/>
    <s v="Paombong"/>
    <s v="Santo Rosario"/>
    <s v="MBA"/>
    <m/>
    <m/>
    <n v="2025"/>
    <d v="2025-04-08T00:00:00"/>
    <s v="R3-2025-012416"/>
    <x v="0"/>
    <m/>
    <s v="MRF"/>
    <s v="OPERATIONAL"/>
    <s v="Technical Assistance"/>
  </r>
  <r>
    <x v="2"/>
    <s v="Plaridel"/>
    <s v="Agnaya"/>
    <s v="MBA"/>
    <m/>
    <m/>
    <n v="2024"/>
    <d v="2024-09-17T00:00:00"/>
    <m/>
    <x v="0"/>
    <m/>
    <s v="MRF"/>
    <s v="OPERATIONAL"/>
    <s v="Technical Assistance"/>
  </r>
  <r>
    <x v="2"/>
    <s v="Plaridel"/>
    <s v="Bagong Silang"/>
    <s v="MBA"/>
    <m/>
    <m/>
    <n v="2024"/>
    <d v="2024-06-14T00:00:00"/>
    <m/>
    <x v="0"/>
    <m/>
    <m/>
    <m/>
    <s v="Technical Assistance"/>
  </r>
  <r>
    <x v="2"/>
    <s v="Plaridel"/>
    <s v="Banga I"/>
    <s v="MBA"/>
    <m/>
    <m/>
    <n v="2024"/>
    <s v="February 13, 2024"/>
    <m/>
    <x v="0"/>
    <m/>
    <m/>
    <m/>
    <s v="Technical Assistance"/>
  </r>
  <r>
    <x v="2"/>
    <s v="Plaridel"/>
    <s v="Banga II"/>
    <s v="MBA"/>
    <m/>
    <m/>
    <n v="2024"/>
    <d v="2024-10-10T00:00:00"/>
    <m/>
    <x v="0"/>
    <m/>
    <s v="MRF"/>
    <s v="OPERATIONAL"/>
    <s v="Technical Assistance"/>
  </r>
  <r>
    <x v="2"/>
    <s v="Plaridel"/>
    <s v="Bintog"/>
    <s v="MBA"/>
    <m/>
    <m/>
    <n v="2024"/>
    <d v="2024-10-10T00:00:00"/>
    <m/>
    <x v="0"/>
    <m/>
    <s v="MRS"/>
    <s v="CATER BY LGU"/>
    <s v="Technical Assistance"/>
  </r>
  <r>
    <x v="3"/>
    <s v="Tarlac City (Capital)"/>
    <s v="Trinidad"/>
    <s v="MBA"/>
    <s v="Joshua A. Capones"/>
    <s v="Jan Emerson C. Gonzales"/>
    <m/>
    <m/>
    <m/>
    <x v="2"/>
    <m/>
    <m/>
    <m/>
    <s v="For Monitoring"/>
  </r>
  <r>
    <x v="2"/>
    <s v="Plaridel"/>
    <s v="Culianin"/>
    <s v="MBA"/>
    <m/>
    <m/>
    <n v="2024"/>
    <d v="2024-10-10T00:00:00"/>
    <m/>
    <x v="0"/>
    <m/>
    <s v="MRF"/>
    <s v="OPERATIONAL"/>
    <s v="Technical Assistance"/>
  </r>
  <r>
    <x v="2"/>
    <s v="Plaridel"/>
    <s v="Dampol"/>
    <s v="MBA"/>
    <m/>
    <m/>
    <n v="2025"/>
    <d v="2025-02-14T00:00:00"/>
    <s v="R3-2025-005805"/>
    <x v="0"/>
    <m/>
    <s v="MRF"/>
    <s v="OPERATIONAL"/>
    <s v="Technical Assistance"/>
  </r>
  <r>
    <x v="2"/>
    <s v="Plaridel"/>
    <s v="Lagundi"/>
    <s v="MBA"/>
    <m/>
    <m/>
    <n v="2025"/>
    <d v="2025-02-05T00:00:00"/>
    <s v="R3-2025-004433"/>
    <x v="0"/>
    <m/>
    <s v="MRS"/>
    <s v="CATER BY LGU"/>
    <s v="Technical Assistance"/>
  </r>
  <r>
    <x v="2"/>
    <s v="Plaridel"/>
    <s v="Lalangan"/>
    <s v="MBA"/>
    <m/>
    <m/>
    <n v="2024"/>
    <d v="2024-09-17T00:00:00"/>
    <m/>
    <x v="0"/>
    <m/>
    <s v="MRS"/>
    <s v="NON-OPERATIONAL"/>
    <s v="Technical Assistance"/>
  </r>
  <r>
    <x v="2"/>
    <s v="Plaridel"/>
    <s v="Lumang Bayan"/>
    <s v="MBA"/>
    <m/>
    <m/>
    <n v="2024"/>
    <d v="2024-09-17T00:00:00"/>
    <m/>
    <x v="0"/>
    <m/>
    <s v="MRF"/>
    <s v="OPERATIONAL"/>
    <s v="Technical Assistance"/>
  </r>
  <r>
    <x v="2"/>
    <s v="Plaridel"/>
    <s v="Parulan"/>
    <s v="MBA"/>
    <m/>
    <m/>
    <n v="2024"/>
    <d v="2024-10-10T00:00:00"/>
    <m/>
    <x v="0"/>
    <m/>
    <s v="MRF"/>
    <s v="OPERATIONAL"/>
    <s v="Technical Assistance"/>
  </r>
  <r>
    <x v="2"/>
    <s v="Plaridel"/>
    <s v="Poblacion"/>
    <s v="MBA"/>
    <m/>
    <m/>
    <n v="2025"/>
    <d v="2025-08-07T00:00:00"/>
    <s v="R3-2025-027514"/>
    <x v="0"/>
    <m/>
    <s v="NO FACILITY"/>
    <s v="CATER BY LGU"/>
    <s v="Technical Assistance"/>
  </r>
  <r>
    <x v="2"/>
    <s v="Plaridel"/>
    <s v="Rueda"/>
    <s v="MBA"/>
    <m/>
    <m/>
    <n v="2025"/>
    <d v="2025-02-05T00:00:00"/>
    <s v="R3-2025-004432"/>
    <x v="0"/>
    <m/>
    <s v="MRF"/>
    <s v="OPERATIONAL"/>
    <s v="Technical Assistance"/>
  </r>
  <r>
    <x v="2"/>
    <s v="Plaridel"/>
    <s v="San Jose"/>
    <s v="MBA"/>
    <m/>
    <m/>
    <n v="2024"/>
    <d v="2024-10-10T00:00:00"/>
    <m/>
    <x v="0"/>
    <m/>
    <s v="MRF"/>
    <s v="OPERATIONAL"/>
    <s v="Technical Assistance"/>
  </r>
  <r>
    <x v="2"/>
    <s v="Plaridel"/>
    <s v="Santa Ines"/>
    <s v="MBA"/>
    <m/>
    <m/>
    <n v="2024"/>
    <d v="2024-05-14T00:00:00"/>
    <m/>
    <x v="0"/>
    <m/>
    <m/>
    <m/>
    <s v="Technical Assistance"/>
  </r>
  <r>
    <x v="2"/>
    <s v="Plaridel"/>
    <s v="Santo Niño"/>
    <s v="MBA"/>
    <m/>
    <m/>
    <n v="2024"/>
    <d v="2024-07-10T00:00:00"/>
    <m/>
    <x v="0"/>
    <m/>
    <s v="MRF"/>
    <s v="OPERATIONAL"/>
    <s v="Technical Assistance"/>
  </r>
  <r>
    <x v="2"/>
    <s v="Plaridel"/>
    <s v="Sipat"/>
    <s v="MBA"/>
    <m/>
    <m/>
    <n v="2025"/>
    <d v="2025-03-05T00:00:00"/>
    <s v="R3-2025-008761"/>
    <x v="0"/>
    <m/>
    <s v="MRF"/>
    <s v="OPERATIONAL"/>
    <s v="Technical Assistance"/>
  </r>
  <r>
    <x v="2"/>
    <s v="Plaridel"/>
    <s v="Tabang"/>
    <s v="MBA"/>
    <m/>
    <m/>
    <n v="2024"/>
    <d v="2024-06-13T00:00:00"/>
    <m/>
    <x v="0"/>
    <m/>
    <m/>
    <m/>
    <s v="Technical Assistance"/>
  </r>
  <r>
    <x v="2"/>
    <s v="Pulilan"/>
    <s v="Dulong Malabon"/>
    <s v="MBA"/>
    <m/>
    <m/>
    <n v="2025"/>
    <d v="2025-09-10T00:00:00"/>
    <s v="R3-2025-030552"/>
    <x v="0"/>
    <m/>
    <s v="MRS"/>
    <s v="OPERATIONAL"/>
    <s v="Technical Assistance"/>
  </r>
  <r>
    <x v="2"/>
    <s v="Pulilan"/>
    <s v="Balatong A"/>
    <s v="MBA"/>
    <m/>
    <m/>
    <n v="2025"/>
    <d v="2025-05-16T00:00:00"/>
    <s v="R3-2025-016446"/>
    <x v="0"/>
    <m/>
    <s v="NO FACILITY"/>
    <s v="CATER BY LGU"/>
    <s v="Technical Assistance"/>
  </r>
  <r>
    <x v="2"/>
    <s v="Pulilan"/>
    <s v="Balatong B"/>
    <s v="MBA"/>
    <m/>
    <m/>
    <n v="2025"/>
    <d v="2025-05-16T00:00:00"/>
    <s v="R3-2025-016447"/>
    <x v="0"/>
    <m/>
    <s v="NO FACILITY"/>
    <s v="CATER BY LGU"/>
    <s v="Technical Assistance"/>
  </r>
  <r>
    <x v="2"/>
    <s v="Pulilan"/>
    <s v="Cutcot"/>
    <s v="MBA"/>
    <m/>
    <m/>
    <n v="2025"/>
    <d v="2025-05-16T00:00:00"/>
    <s v="R3-2025-016449"/>
    <x v="0"/>
    <m/>
    <s v="NO FACILITY"/>
    <s v="CATER BY LGU"/>
    <s v="Technical Assistance"/>
  </r>
  <r>
    <x v="2"/>
    <s v="Pulilan"/>
    <s v="Dampol I"/>
    <s v="MBA"/>
    <m/>
    <m/>
    <n v="2025"/>
    <d v="2025-07-10T00:00:00"/>
    <s v="R3-2025-024004"/>
    <x v="0"/>
    <m/>
    <s v="NO FACILITY"/>
    <s v="CATER BY LGU"/>
    <s v="Technical Assistance"/>
  </r>
  <r>
    <x v="2"/>
    <s v="Pulilan"/>
    <s v="Dampol II-A"/>
    <s v="MBA"/>
    <m/>
    <m/>
    <n v="2025"/>
    <d v="2025-07-16T00:00:00"/>
    <s v="R3-2025-024005"/>
    <x v="0"/>
    <m/>
    <s v="NO FACILITY"/>
    <s v="CATER BY LGU"/>
    <s v="Technical Assistance"/>
  </r>
  <r>
    <x v="3"/>
    <s v="Tarlac City (Capital)"/>
    <s v="Ungot"/>
    <s v="MBA"/>
    <s v="Joshua A. Capones"/>
    <s v="Jan Emerson C. Gonzales"/>
    <m/>
    <m/>
    <m/>
    <x v="2"/>
    <m/>
    <m/>
    <m/>
    <s v="For Monitoring"/>
  </r>
  <r>
    <x v="2"/>
    <s v="Pulilan"/>
    <s v="Inaon"/>
    <s v="MBA"/>
    <m/>
    <m/>
    <n v="2025"/>
    <d v="2025-09-10T00:00:00"/>
    <s v="R3-2025-030554"/>
    <x v="0"/>
    <m/>
    <s v="NO FACILITY"/>
    <s v="CATER BY LGU"/>
    <s v="Technical Assistance"/>
  </r>
  <r>
    <x v="2"/>
    <s v="Pulilan"/>
    <s v="Lumbac"/>
    <s v="MBA"/>
    <m/>
    <m/>
    <n v="2025"/>
    <d v="2025-09-10T00:00:00"/>
    <s v="R3-2025-030551"/>
    <x v="0"/>
    <m/>
    <s v="NO FACILITY"/>
    <s v="CATER BY LGU"/>
    <s v="Technical Assistance"/>
  </r>
  <r>
    <x v="2"/>
    <s v="Pulilan"/>
    <s v="Longos"/>
    <s v="MBA"/>
    <m/>
    <m/>
    <n v="2025"/>
    <d v="2025-05-16T00:00:00"/>
    <s v="R3-2025-016448"/>
    <x v="0"/>
    <m/>
    <s v="Clustering"/>
    <s v="CATER BY LGU"/>
    <s v="Technical Assistance"/>
  </r>
  <r>
    <x v="2"/>
    <s v="Pulilan"/>
    <s v="Santa Peregrina"/>
    <s v="MBA"/>
    <m/>
    <m/>
    <n v="2025"/>
    <d v="2025-09-10T00:00:00"/>
    <s v="R3-2025-030553"/>
    <x v="0"/>
    <m/>
    <s v="NO FACILITY"/>
    <s v="CATER BY LGU"/>
    <s v="Technical Assistance"/>
  </r>
  <r>
    <x v="2"/>
    <s v="Pulilan"/>
    <s v="Paltao"/>
    <s v="MBA"/>
    <m/>
    <m/>
    <n v="2025"/>
    <d v="2025-07-09T00:00:00"/>
    <s v="R3-2025-023562 "/>
    <x v="0"/>
    <m/>
    <s v="MRF"/>
    <s v="OPERATIONAL"/>
    <s v="Technical Assistance"/>
  </r>
  <r>
    <x v="2"/>
    <s v="Pulilan"/>
    <s v="Penabatan"/>
    <s v="MBA"/>
    <m/>
    <m/>
    <n v="2025"/>
    <d v="2025-08-07T00:00:00"/>
    <s v="R3-2025-027516"/>
    <x v="0"/>
    <m/>
    <s v="NO FACILITY"/>
    <s v="CATER BY LGU"/>
    <s v="Technical Assistance"/>
  </r>
  <r>
    <x v="2"/>
    <s v="Pulilan"/>
    <s v="Poblacion"/>
    <s v="MBA"/>
    <m/>
    <m/>
    <n v="2024"/>
    <d v="2024-05-15T00:00:00"/>
    <m/>
    <x v="0"/>
    <m/>
    <m/>
    <m/>
    <s v="Technical Assistance"/>
  </r>
  <r>
    <x v="2"/>
    <s v="Pulilan"/>
    <s v="Tinejero"/>
    <s v="MBA"/>
    <m/>
    <m/>
    <n v="2025"/>
    <d v="2025-08-07T00:00:00"/>
    <s v="R3-2025-027515"/>
    <x v="0"/>
    <m/>
    <s v="NO FACILITY"/>
    <s v="CATER BY LGU"/>
    <s v="Technical Assistance"/>
  </r>
  <r>
    <x v="2"/>
    <s v="Pulilan"/>
    <s v="Santo Cristo"/>
    <s v="MBA"/>
    <m/>
    <m/>
    <n v="2025"/>
    <d v="2025-04-10T00:00:00"/>
    <s v="R3-2025-012631"/>
    <x v="0"/>
    <m/>
    <s v="MRS"/>
    <s v="OPERATIONAL"/>
    <s v="Technical Assistance"/>
  </r>
  <r>
    <x v="2"/>
    <s v="Pulilan"/>
    <s v="Taal"/>
    <s v="MBA"/>
    <m/>
    <m/>
    <n v="2025"/>
    <d v="2025-04-10T00:00:00"/>
    <s v="R3-2025-012633"/>
    <x v="0"/>
    <m/>
    <s v="NO FACILITY"/>
    <s v="CATER BY LGU"/>
    <s v="Technical Assistance"/>
  </r>
  <r>
    <x v="2"/>
    <s v="Pulilan"/>
    <s v="Tabon"/>
    <s v="MBA"/>
    <m/>
    <m/>
    <n v="2025"/>
    <d v="2025-04-10T00:00:00"/>
    <s v="R3-2025-013042"/>
    <x v="0"/>
    <m/>
    <s v="NO FACILITY"/>
    <s v="CATER BY LGU"/>
    <s v="Technical Assistance"/>
  </r>
  <r>
    <x v="2"/>
    <s v="Pulilan"/>
    <s v="Tibag"/>
    <s v="MBA"/>
    <m/>
    <m/>
    <n v="2025"/>
    <d v="2025-04-10T00:00:00"/>
    <s v="R3-2025-012635"/>
    <x v="0"/>
    <m/>
    <s v="MRF"/>
    <s v="OPERATIONAL"/>
    <s v="Technical Assistance"/>
  </r>
  <r>
    <x v="3"/>
    <s v="Victoria"/>
    <s v="San Gavino (Pob.)"/>
    <s v="MBA"/>
    <s v="Gretzhen M. Apolonio"/>
    <s v="Jan Emerson C. Gonzales"/>
    <m/>
    <m/>
    <m/>
    <x v="2"/>
    <m/>
    <m/>
    <m/>
    <s v="For Monitoring"/>
  </r>
  <r>
    <x v="3"/>
    <s v="Victoria"/>
    <s v="San Nicolas (Pob.)"/>
    <s v="MBA"/>
    <s v="Gretzhen M. Apolonio"/>
    <s v="Jan Emerson C. Gonzales"/>
    <m/>
    <m/>
    <m/>
    <x v="2"/>
    <m/>
    <m/>
    <m/>
    <s v="For Monitoring"/>
  </r>
  <r>
    <x v="2"/>
    <s v="San Ildefonso"/>
    <s v="Anyatam"/>
    <s v="MBA"/>
    <m/>
    <m/>
    <n v="2024"/>
    <d v="2024-05-16T00:00:00"/>
    <m/>
    <x v="0"/>
    <m/>
    <m/>
    <m/>
    <s v="Technical Assistance"/>
  </r>
  <r>
    <x v="3"/>
    <s v="Paniqui"/>
    <s v="San Juan de Milla"/>
    <s v="OUTSIDE MBA"/>
    <s v="Joshua A. Capones"/>
    <s v="Jan Emerson C. Gonzales"/>
    <m/>
    <m/>
    <m/>
    <x v="0"/>
    <m/>
    <m/>
    <m/>
    <s v="For Monitoring"/>
  </r>
  <r>
    <x v="2"/>
    <s v="San Ildefonso"/>
    <s v="Basuit"/>
    <s v="MBA"/>
    <m/>
    <m/>
    <n v="2024"/>
    <d v="2024-07-10T00:00:00"/>
    <m/>
    <x v="0"/>
    <m/>
    <s v="MRF"/>
    <s v="OPERATIONAL"/>
    <s v="Technical Assistance"/>
  </r>
  <r>
    <x v="3"/>
    <s v="Paniqui"/>
    <s v="Sinigpit"/>
    <s v="OUTSIDE MBA"/>
    <s v="Joshua A. Capones"/>
    <s v="Jan Emerson C. Gonzales"/>
    <m/>
    <m/>
    <m/>
    <x v="0"/>
    <m/>
    <m/>
    <m/>
    <s v="For Monitoring"/>
  </r>
  <r>
    <x v="3"/>
    <s v="Paniqui"/>
    <s v="Tablang"/>
    <s v="OUTSIDE MBA"/>
    <s v="Joshua A. Capones"/>
    <s v="Jan Emerson C. Gonzales"/>
    <m/>
    <m/>
    <m/>
    <x v="0"/>
    <m/>
    <m/>
    <m/>
    <s v="For Monitoring"/>
  </r>
  <r>
    <x v="5"/>
    <s v="Subic"/>
    <s v="Batiawan"/>
    <s v="OUTSIDE MBA"/>
    <s v="Larizze Ann A. Santos"/>
    <s v="Jun D. Guillermo"/>
    <m/>
    <m/>
    <m/>
    <x v="0"/>
    <m/>
    <m/>
    <m/>
    <s v="For Monitoring"/>
  </r>
  <r>
    <x v="2"/>
    <s v="Bustos"/>
    <s v="Camachilihan"/>
    <s v="MBA"/>
    <s v="Ronaldo P. Roque, Jr."/>
    <s v="Diozelle L. Cabalar"/>
    <m/>
    <m/>
    <m/>
    <x v="5"/>
    <m/>
    <m/>
    <m/>
    <s v="For Monitoring"/>
  </r>
  <r>
    <x v="2"/>
    <s v="Bustos"/>
    <s v="Cambaog"/>
    <s v="MBA"/>
    <s v="Ronaldo P. Roque, Jr."/>
    <s v="Diozelle L. Cabalar"/>
    <m/>
    <m/>
    <m/>
    <x v="5"/>
    <m/>
    <m/>
    <m/>
    <s v="For Monitoring"/>
  </r>
  <r>
    <x v="2"/>
    <s v="Bustos"/>
    <s v="Poblacion"/>
    <s v="MBA"/>
    <s v="Ronaldo P. Roque, Jr."/>
    <s v="Diozelle L. Cabalar"/>
    <m/>
    <m/>
    <m/>
    <x v="5"/>
    <m/>
    <m/>
    <m/>
    <s v="For Monitoring"/>
  </r>
  <r>
    <x v="2"/>
    <s v="Bustos"/>
    <s v="Tibagan"/>
    <s v="MBA"/>
    <s v="Ronaldo P. Roque, Jr."/>
    <s v="Diozelle L. Cabalar"/>
    <m/>
    <m/>
    <m/>
    <x v="5"/>
    <m/>
    <m/>
    <m/>
    <s v="For Monitoring"/>
  </r>
  <r>
    <x v="2"/>
    <s v="Calumpit"/>
    <s v="Bulusan"/>
    <s v="MBA"/>
    <s v="Ronaldo P. Roque, Jr."/>
    <s v="Diozelle L. Cabalar"/>
    <m/>
    <m/>
    <m/>
    <x v="5"/>
    <m/>
    <m/>
    <m/>
    <s v="For Monitoring"/>
  </r>
  <r>
    <x v="2"/>
    <s v="Calumpit"/>
    <s v="Sapang Bayan"/>
    <s v="MBA"/>
    <s v="Ronaldo P. Roque, Jr."/>
    <s v="Diozelle L. Cabalar"/>
    <m/>
    <m/>
    <m/>
    <x v="5"/>
    <m/>
    <m/>
    <m/>
    <s v="For Monitoring"/>
  </r>
  <r>
    <x v="2"/>
    <s v="Calumpit"/>
    <s v="Sergio Bayan"/>
    <s v="MBA"/>
    <s v="Ronaldo P. Roque, Jr."/>
    <s v="Diozelle L. Cabalar"/>
    <m/>
    <m/>
    <m/>
    <x v="5"/>
    <m/>
    <m/>
    <m/>
    <s v="For Monitoring"/>
  </r>
  <r>
    <x v="2"/>
    <s v="San Ildefonso"/>
    <s v="Maasim"/>
    <s v="MBA"/>
    <m/>
    <m/>
    <n v="2024"/>
    <d v="2024-09-05T00:00:00"/>
    <m/>
    <x v="0"/>
    <m/>
    <s v="MRS"/>
    <m/>
    <s v="Technical Assistance"/>
  </r>
  <r>
    <x v="2"/>
    <s v="San Ildefonso"/>
    <s v="Makapilapil"/>
    <s v="MBA"/>
    <m/>
    <m/>
    <n v="2024"/>
    <d v="2024-08-14T00:00:00"/>
    <m/>
    <x v="0"/>
    <m/>
    <s v="MRS"/>
    <m/>
    <s v="Technical Assistance"/>
  </r>
  <r>
    <x v="2"/>
    <s v="San Ildefonso"/>
    <s v="Malipampang"/>
    <s v="MBA"/>
    <m/>
    <m/>
    <n v="2024"/>
    <d v="2024-09-05T00:00:00"/>
    <m/>
    <x v="0"/>
    <m/>
    <s v="MRS"/>
    <m/>
    <s v="Technical Assistance"/>
  </r>
  <r>
    <x v="2"/>
    <s v="City of Malolos (Capital)"/>
    <s v="Babatnin"/>
    <s v="MBA"/>
    <s v="Ronaldo P. Roque, Jr."/>
    <s v="Diozelle L. Cabalar"/>
    <m/>
    <m/>
    <m/>
    <x v="5"/>
    <m/>
    <m/>
    <m/>
    <s v="For Monitoring"/>
  </r>
  <r>
    <x v="2"/>
    <s v="City of Malolos (Capital)"/>
    <s v="Bagna"/>
    <s v="MBA"/>
    <s v="Ronaldo P. Roque, Jr."/>
    <s v="Diozelle L. Cabalar"/>
    <m/>
    <m/>
    <m/>
    <x v="5"/>
    <m/>
    <m/>
    <m/>
    <s v="For Monitoring"/>
  </r>
  <r>
    <x v="2"/>
    <s v="City of Malolos (Capital)"/>
    <s v="Balayong"/>
    <s v="MBA"/>
    <s v="Ronaldo P. Roque, Jr."/>
    <s v="Diozelle L. Cabalar"/>
    <m/>
    <m/>
    <m/>
    <x v="5"/>
    <m/>
    <m/>
    <m/>
    <s v="For Monitoring"/>
  </r>
  <r>
    <x v="2"/>
    <s v="City of San Jose Del Monte"/>
    <s v="Francisco Homes-Yakal"/>
    <s v="MBA"/>
    <s v="James Wilson T. Peña"/>
    <s v="Diozelle L. Cabalar"/>
    <m/>
    <m/>
    <m/>
    <x v="5"/>
    <m/>
    <m/>
    <m/>
    <s v="For Monitoring"/>
  </r>
  <r>
    <x v="2"/>
    <s v="City of San Jose Del Monte"/>
    <s v="Graceville"/>
    <s v="MBA"/>
    <s v="James Wilson T. Peña"/>
    <s v="Diozelle L. Cabalar"/>
    <m/>
    <m/>
    <m/>
    <x v="5"/>
    <m/>
    <m/>
    <m/>
    <s v="For Monitoring"/>
  </r>
  <r>
    <x v="2"/>
    <s v="City of San Jose Del Monte"/>
    <s v="Gumaoc Central"/>
    <s v="MBA"/>
    <s v="James Wilson T. Peña"/>
    <s v="Diozelle L. Cabalar"/>
    <m/>
    <m/>
    <m/>
    <x v="5"/>
    <m/>
    <m/>
    <m/>
    <s v="For Monitoring"/>
  </r>
  <r>
    <x v="2"/>
    <s v="City of San Jose Del Monte"/>
    <s v="Gumaoc West"/>
    <s v="MBA"/>
    <s v="James Wilson T. Peña"/>
    <s v="Diozelle L. Cabalar"/>
    <m/>
    <m/>
    <m/>
    <x v="5"/>
    <m/>
    <m/>
    <m/>
    <s v="For Monitoring"/>
  </r>
  <r>
    <x v="2"/>
    <s v="City of San Jose Del Monte"/>
    <s v="Lawang Pari"/>
    <s v="MBA"/>
    <s v="James Wilson T. Peña"/>
    <s v="Diozelle L. Cabalar"/>
    <m/>
    <m/>
    <m/>
    <x v="5"/>
    <m/>
    <m/>
    <m/>
    <s v="For Monitoring"/>
  </r>
  <r>
    <x v="2"/>
    <s v="City of San Jose Del Monte"/>
    <s v="Muzon South 2"/>
    <s v="MBA"/>
    <s v="James Wilson T. Peña"/>
    <s v="Diozelle L. Cabalar"/>
    <m/>
    <m/>
    <m/>
    <x v="5"/>
    <m/>
    <m/>
    <m/>
    <s v="For Monitoring"/>
  </r>
  <r>
    <x v="2"/>
    <s v="City of San Jose Del Monte"/>
    <s v="Muzon West 2"/>
    <s v="MBA"/>
    <s v="James Wilson T. Peña"/>
    <s v="Diozelle L. Cabalar"/>
    <m/>
    <m/>
    <m/>
    <x v="5"/>
    <m/>
    <m/>
    <m/>
    <s v="For Monitoring"/>
  </r>
  <r>
    <x v="2"/>
    <s v="City of San Jose Del Monte"/>
    <s v="Paradise III"/>
    <s v="MBA"/>
    <s v="James Wilson T. Peña"/>
    <s v="Diozelle L. Cabalar"/>
    <m/>
    <m/>
    <m/>
    <x v="5"/>
    <m/>
    <m/>
    <m/>
    <s v="For Monitoring"/>
  </r>
  <r>
    <x v="2"/>
    <s v="City of San Jose Del Monte"/>
    <s v="Poblacion"/>
    <s v="MBA"/>
    <s v="James Wilson T. Peña"/>
    <s v="Diozelle L. Cabalar"/>
    <m/>
    <m/>
    <m/>
    <x v="5"/>
    <m/>
    <m/>
    <m/>
    <s v="For Monitoring"/>
  </r>
  <r>
    <x v="2"/>
    <s v="City of San Jose Del Monte"/>
    <s v="San Isidro"/>
    <s v="MBA"/>
    <s v="James Wilson T. Peña"/>
    <s v="Diozelle L. Cabalar"/>
    <m/>
    <m/>
    <m/>
    <x v="0"/>
    <m/>
    <m/>
    <m/>
    <s v="For Monitoring"/>
  </r>
  <r>
    <x v="2"/>
    <s v="Hagonoy"/>
    <s v="San Pascual"/>
    <s v="MBA"/>
    <s v="Ronaldo P. Roque, Jr."/>
    <s v="Diozelle L. Cabalar"/>
    <m/>
    <m/>
    <m/>
    <x v="5"/>
    <m/>
    <m/>
    <m/>
    <s v="For Monitoring"/>
  </r>
  <r>
    <x v="2"/>
    <s v="San Ildefonso"/>
    <s v="Sumandig"/>
    <s v="MBA"/>
    <m/>
    <m/>
    <n v="2024"/>
    <d v="2024-07-10T00:00:00"/>
    <m/>
    <x v="0"/>
    <m/>
    <s v="MRF"/>
    <s v="OPERATIONAL"/>
    <s v="Technical Assistance"/>
  </r>
  <r>
    <x v="2"/>
    <s v="Hagonoy"/>
    <s v="San Roque"/>
    <s v="MBA"/>
    <s v="Ronaldo P. Roque, Jr."/>
    <s v="Diozelle L. Cabalar"/>
    <m/>
    <m/>
    <m/>
    <x v="5"/>
    <m/>
    <m/>
    <m/>
    <s v="For Monitoring"/>
  </r>
  <r>
    <x v="2"/>
    <s v="Hagonoy"/>
    <s v="San Sebastian"/>
    <s v="MBA"/>
    <s v="Ronaldo P. Roque, Jr."/>
    <s v="Diozelle L. Cabalar"/>
    <m/>
    <m/>
    <m/>
    <x v="5"/>
    <m/>
    <m/>
    <m/>
    <s v="For Monitoring"/>
  </r>
  <r>
    <x v="2"/>
    <s v="Hagonoy"/>
    <s v="Santa Cruz"/>
    <s v="MBA"/>
    <s v="Ronaldo P. Roque, Jr."/>
    <s v="Diozelle L. Cabalar"/>
    <m/>
    <m/>
    <m/>
    <x v="5"/>
    <m/>
    <m/>
    <m/>
    <s v="For Monitoring"/>
  </r>
  <r>
    <x v="2"/>
    <s v="Hagonoy"/>
    <s v="Santa Elena"/>
    <s v="MBA"/>
    <s v="Ronaldo P. Roque, Jr."/>
    <s v="Diozelle L. Cabalar"/>
    <m/>
    <m/>
    <m/>
    <x v="5"/>
    <m/>
    <m/>
    <m/>
    <s v="For Monitoring"/>
  </r>
  <r>
    <x v="2"/>
    <s v="San Miguel"/>
    <s v="Bagong Silang"/>
    <s v="MBA"/>
    <m/>
    <m/>
    <n v="2024"/>
    <d v="2024-11-06T00:00:00"/>
    <m/>
    <x v="0"/>
    <m/>
    <s v="MRF"/>
    <s v="OPERATIONAL"/>
    <s v="Technical Assistance"/>
  </r>
  <r>
    <x v="2"/>
    <s v="Paombong"/>
    <s v="Binakod"/>
    <s v="MBA"/>
    <s v="Ronaldo P. Roque, Jr."/>
    <s v="Diozelle L. Cabalar"/>
    <m/>
    <m/>
    <m/>
    <x v="5"/>
    <m/>
    <m/>
    <m/>
    <s v="For Monitoring"/>
  </r>
  <r>
    <x v="2"/>
    <s v="Paombong"/>
    <s v="Masukol"/>
    <s v="MBA"/>
    <s v="Ronaldo P. Roque, Jr."/>
    <s v="Diozelle L. Cabalar"/>
    <m/>
    <m/>
    <m/>
    <x v="5"/>
    <m/>
    <m/>
    <m/>
    <s v="For Monitoring"/>
  </r>
  <r>
    <x v="2"/>
    <s v="San Miguel"/>
    <s v="Bantog"/>
    <s v="MBA"/>
    <m/>
    <m/>
    <n v="2024"/>
    <d v="2024-11-05T00:00:00"/>
    <m/>
    <x v="0"/>
    <m/>
    <s v="MRF"/>
    <s v="OPERATIONAL"/>
    <s v="Technical Assistance"/>
  </r>
  <r>
    <x v="2"/>
    <s v="Paombong"/>
    <s v="Malumot"/>
    <s v="MBA"/>
    <s v="Ronaldo P. Roque, Jr."/>
    <s v="Diozelle L. Cabalar"/>
    <m/>
    <m/>
    <m/>
    <x v="5"/>
    <m/>
    <m/>
    <m/>
    <s v="For Monitoring"/>
  </r>
  <r>
    <x v="2"/>
    <s v="Paombong"/>
    <s v="San Jose"/>
    <s v="MBA"/>
    <s v="Ronaldo P. Roque, Jr."/>
    <s v="Diozelle L. Cabalar"/>
    <m/>
    <m/>
    <m/>
    <x v="5"/>
    <m/>
    <m/>
    <m/>
    <s v="For Monitoring"/>
  </r>
  <r>
    <x v="6"/>
    <s v="Cabiao"/>
    <s v="Bagong Sikat"/>
    <s v="MBA"/>
    <s v="Christine Ann V. Ramos"/>
    <s v="Zosimo P. Suyat"/>
    <m/>
    <m/>
    <m/>
    <x v="5"/>
    <m/>
    <m/>
    <m/>
    <s v="For Monitoring"/>
  </r>
  <r>
    <x v="6"/>
    <s v="Cabiao"/>
    <s v="Maligaya"/>
    <s v="MBA"/>
    <s v="Christine Ann V. Ramos"/>
    <s v="Zosimo P. Suyat"/>
    <m/>
    <m/>
    <m/>
    <x v="5"/>
    <m/>
    <m/>
    <m/>
    <s v="For Monitoring"/>
  </r>
  <r>
    <x v="6"/>
    <s v="Cabiao"/>
    <s v="Santa Ines"/>
    <s v="MBA"/>
    <s v="Christine Ann V. Ramos"/>
    <s v="Zosimo P. Suyat"/>
    <m/>
    <m/>
    <m/>
    <x v="5"/>
    <m/>
    <m/>
    <m/>
    <s v="For Monitoring"/>
  </r>
  <r>
    <x v="6"/>
    <s v="Cabiao"/>
    <s v="Santa Isabel"/>
    <s v="MBA"/>
    <s v="Christine Ann V. Ramos"/>
    <s v="Zosimo P. Suyat"/>
    <m/>
    <m/>
    <m/>
    <x v="5"/>
    <m/>
    <m/>
    <m/>
    <s v="For Monitoring"/>
  </r>
  <r>
    <x v="6"/>
    <s v="Cabiao"/>
    <s v="Santa Rita"/>
    <s v="MBA"/>
    <s v="Christine Ann V. Ramos"/>
    <s v="Zosimo P. Suyat"/>
    <m/>
    <m/>
    <m/>
    <x v="5"/>
    <m/>
    <m/>
    <m/>
    <s v="For Monitoring"/>
  </r>
  <r>
    <x v="6"/>
    <s v="City of Gapan"/>
    <s v="Kapalangan"/>
    <s v="MBA"/>
    <s v="Christine Ann V. Ramos"/>
    <s v="Zosimo P. Suyat"/>
    <m/>
    <m/>
    <m/>
    <x v="5"/>
    <m/>
    <m/>
    <m/>
    <s v="For Monitoring"/>
  </r>
  <r>
    <x v="2"/>
    <s v="San Miguel"/>
    <s v="Bulualto"/>
    <s v="MBA"/>
    <m/>
    <m/>
    <n v="2024"/>
    <d v="2024-11-05T00:00:00"/>
    <m/>
    <x v="0"/>
    <m/>
    <s v="MRF"/>
    <s v="NON-OPERATIONAL"/>
    <s v="Technical Assistance"/>
  </r>
  <r>
    <x v="6"/>
    <s v="Cuyapo"/>
    <s v="Baloy"/>
    <s v="OUTSIDE MBA"/>
    <s v="Aser A. Inocencio, Jr."/>
    <s v="Zosimo P. Suyat"/>
    <m/>
    <m/>
    <m/>
    <x v="0"/>
    <m/>
    <m/>
    <m/>
    <s v="For Monitoring"/>
  </r>
  <r>
    <x v="2"/>
    <s v="San Miguel"/>
    <s v="Cambio"/>
    <s v="MBA"/>
    <m/>
    <m/>
    <n v="2024"/>
    <d v="2024-11-06T00:00:00"/>
    <m/>
    <x v="0"/>
    <m/>
    <s v="MRF"/>
    <s v="OPERATIONAL"/>
    <s v="Technical Assistance"/>
  </r>
  <r>
    <x v="6"/>
    <s v="Cuyapo"/>
    <s v="Bambanaba"/>
    <s v="OUTSIDE MBA"/>
    <s v="Aser A. Inocencio, Jr."/>
    <s v="Zosimo P. Suyat"/>
    <m/>
    <m/>
    <m/>
    <x v="5"/>
    <m/>
    <m/>
    <m/>
    <s v="For Monitoring"/>
  </r>
  <r>
    <x v="6"/>
    <s v="Cuyapo"/>
    <s v="Bantug"/>
    <s v="OUTSIDE MBA"/>
    <s v="Aser A. Inocencio, Jr."/>
    <s v="Zosimo P. Suyat"/>
    <m/>
    <m/>
    <m/>
    <x v="5"/>
    <m/>
    <m/>
    <m/>
    <s v="For Monitoring"/>
  </r>
  <r>
    <x v="6"/>
    <s v="Cuyapo"/>
    <s v="Bentigan"/>
    <s v="OUTSIDE MBA"/>
    <s v="Aser A. Inocencio, Jr."/>
    <s v="Zosimo P. Suyat"/>
    <m/>
    <m/>
    <m/>
    <x v="5"/>
    <m/>
    <m/>
    <m/>
    <s v="For Monitoring"/>
  </r>
  <r>
    <x v="6"/>
    <s v="Cuyapo"/>
    <s v="Bibiclat"/>
    <s v="OUTSIDE MBA"/>
    <s v="Aser A. Inocencio, Jr."/>
    <s v="Zosimo P. Suyat"/>
    <m/>
    <m/>
    <m/>
    <x v="5"/>
    <m/>
    <m/>
    <m/>
    <s v="For Monitoring"/>
  </r>
  <r>
    <x v="6"/>
    <s v="Guimba"/>
    <s v="Pacac"/>
    <s v="MBA"/>
    <s v="Aser A. Inocencio, Jr."/>
    <s v="Zosimo P. Suyat"/>
    <m/>
    <m/>
    <m/>
    <x v="5"/>
    <m/>
    <m/>
    <m/>
    <s v="For Monitoring"/>
  </r>
  <r>
    <x v="6"/>
    <s v="Guimba"/>
    <s v="Partida I"/>
    <s v="MBA"/>
    <s v="Aser A. Inocencio, Jr."/>
    <s v="Zosimo P. Suyat"/>
    <m/>
    <m/>
    <m/>
    <x v="5"/>
    <m/>
    <m/>
    <m/>
    <s v="For Monitoring"/>
  </r>
  <r>
    <x v="6"/>
    <s v="Guimba"/>
    <s v="Partida II"/>
    <s v="MBA"/>
    <s v="Aser A. Inocencio, Jr."/>
    <s v="Zosimo P. Suyat"/>
    <m/>
    <m/>
    <m/>
    <x v="5"/>
    <m/>
    <m/>
    <m/>
    <s v="For Monitoring"/>
  </r>
  <r>
    <x v="6"/>
    <s v="Guimba"/>
    <s v="Pasong Inchic"/>
    <s v="MBA"/>
    <s v="Aser A. Inocencio, Jr."/>
    <s v="Zosimo P. Suyat"/>
    <m/>
    <m/>
    <m/>
    <x v="5"/>
    <m/>
    <m/>
    <m/>
    <s v="For Monitoring"/>
  </r>
  <r>
    <x v="6"/>
    <s v="Guimba"/>
    <s v="Saint John District (Pob.)"/>
    <s v="MBA"/>
    <s v="Aser A. Inocencio, Jr."/>
    <s v="Zosimo P. Suyat"/>
    <m/>
    <m/>
    <m/>
    <x v="5"/>
    <m/>
    <m/>
    <m/>
    <s v="For Monitoring"/>
  </r>
  <r>
    <x v="6"/>
    <s v="Guimba"/>
    <s v="San Agustin"/>
    <s v="MBA"/>
    <s v="Aser A. Inocencio, Jr."/>
    <s v="Zosimo P. Suyat"/>
    <m/>
    <m/>
    <m/>
    <x v="5"/>
    <m/>
    <m/>
    <m/>
    <s v="For Monitoring"/>
  </r>
  <r>
    <x v="6"/>
    <s v="Guimba"/>
    <s v="San Bernardino"/>
    <s v="MBA"/>
    <s v="Aser A. Inocencio, Jr."/>
    <s v="Zosimo P. Suyat"/>
    <m/>
    <m/>
    <m/>
    <x v="5"/>
    <m/>
    <m/>
    <m/>
    <s v="For Monitoring"/>
  </r>
  <r>
    <x v="6"/>
    <s v="Laur"/>
    <s v="Barangay I (Pob.)"/>
    <s v="MBA"/>
    <s v="Christian Jem L. Buluran"/>
    <s v="Zosimo P. Suyat"/>
    <m/>
    <m/>
    <m/>
    <x v="5"/>
    <m/>
    <m/>
    <m/>
    <s v="For Monitoring"/>
  </r>
  <r>
    <x v="6"/>
    <s v="Laur"/>
    <s v="Barangay III (Pob.)"/>
    <s v="MBA"/>
    <s v="Christian Jem L. Buluran"/>
    <s v="Zosimo P. Suyat"/>
    <m/>
    <m/>
    <m/>
    <x v="5"/>
    <m/>
    <m/>
    <m/>
    <s v="For Monitoring"/>
  </r>
  <r>
    <x v="6"/>
    <s v="Laur"/>
    <s v="Barangay IV (Pob.)"/>
    <s v="MBA"/>
    <s v="Christian Jem L. Buluran"/>
    <s v="Zosimo P. Suyat"/>
    <m/>
    <m/>
    <m/>
    <x v="5"/>
    <m/>
    <m/>
    <m/>
    <s v="For Monitoring"/>
  </r>
  <r>
    <x v="2"/>
    <s v="San Miguel"/>
    <s v="Poblacion"/>
    <s v="MBA"/>
    <m/>
    <m/>
    <n v="2024"/>
    <d v="2024-09-04T00:00:00"/>
    <m/>
    <x v="0"/>
    <m/>
    <s v="MRS"/>
    <m/>
    <s v="Technical Assistance"/>
  </r>
  <r>
    <x v="6"/>
    <s v="Laur"/>
    <s v="Betania"/>
    <s v="MBA"/>
    <s v="Christian Jem L. Buluran"/>
    <s v="Zosimo P. Suyat"/>
    <m/>
    <m/>
    <m/>
    <x v="5"/>
    <m/>
    <m/>
    <m/>
    <s v="For Monitoring"/>
  </r>
  <r>
    <x v="6"/>
    <s v="Laur"/>
    <s v="Canantong"/>
    <s v="MBA"/>
    <s v="Christian Jem L. Buluran"/>
    <s v="Zosimo P. Suyat"/>
    <m/>
    <m/>
    <m/>
    <x v="5"/>
    <m/>
    <m/>
    <m/>
    <s v="For Monitoring"/>
  </r>
  <r>
    <x v="2"/>
    <s v="San Miguel"/>
    <s v="Sacdalan"/>
    <s v="MBA"/>
    <m/>
    <m/>
    <n v="2024"/>
    <d v="2024-11-05T00:00:00"/>
    <m/>
    <x v="0"/>
    <m/>
    <s v="MRF"/>
    <s v="OPERATIONAL"/>
    <s v="Technical Assistance"/>
  </r>
  <r>
    <x v="6"/>
    <s v="Laur"/>
    <s v="Nauzon"/>
    <s v="MBA"/>
    <s v="Christian Jem L. Buluran"/>
    <s v="Zosimo P. Suyat"/>
    <m/>
    <m/>
    <m/>
    <x v="5"/>
    <m/>
    <m/>
    <m/>
    <s v="For Monitoring"/>
  </r>
  <r>
    <x v="6"/>
    <s v="Laur"/>
    <s v="Pangarulong"/>
    <s v="MBA"/>
    <s v="Christian Jem L. Buluran"/>
    <s v="Zosimo P. Suyat"/>
    <m/>
    <m/>
    <m/>
    <x v="5"/>
    <m/>
    <m/>
    <m/>
    <s v="For Monitoring"/>
  </r>
  <r>
    <x v="6"/>
    <s v="Nampicuan"/>
    <s v="Alemania"/>
    <s v="OUTSIDE MBA"/>
    <s v="Aser A. Inocencio, Jr."/>
    <s v="Zosimo P. Suyat"/>
    <m/>
    <m/>
    <m/>
    <x v="5"/>
    <m/>
    <m/>
    <m/>
    <s v="For Monitoring"/>
  </r>
  <r>
    <x v="2"/>
    <s v="San Miguel"/>
    <s v="San Jose"/>
    <s v="MBA"/>
    <m/>
    <m/>
    <n v="2024"/>
    <d v="2024-09-04T00:00:00"/>
    <m/>
    <x v="0"/>
    <m/>
    <s v="MRS"/>
    <m/>
    <s v="Technical Assistance"/>
  </r>
  <r>
    <x v="6"/>
    <s v="Nampicuan"/>
    <s v="Ambasador Alzate Village"/>
    <s v="OUTSIDE MBA"/>
    <s v="Aser A. Inocencio, Jr."/>
    <s v="Zosimo P. Suyat"/>
    <m/>
    <m/>
    <m/>
    <x v="5"/>
    <m/>
    <m/>
    <m/>
    <s v="For Monitoring"/>
  </r>
  <r>
    <x v="6"/>
    <s v="Nampicuan"/>
    <s v="Cabaducan East (Pob.)"/>
    <s v="OUTSIDE MBA"/>
    <s v="Aser A. Inocencio, Jr."/>
    <s v="Zosimo P. Suyat"/>
    <m/>
    <m/>
    <m/>
    <x v="5"/>
    <m/>
    <m/>
    <m/>
    <s v="For Monitoring"/>
  </r>
  <r>
    <x v="6"/>
    <s v="Nampicuan"/>
    <s v="Cabaducan West (Pob.)"/>
    <s v="OUTSIDE MBA"/>
    <s v="Aser A. Inocencio, Jr."/>
    <s v="Zosimo P. Suyat"/>
    <m/>
    <m/>
    <m/>
    <x v="5"/>
    <m/>
    <m/>
    <m/>
    <s v="For Monitoring"/>
  </r>
  <r>
    <x v="6"/>
    <s v="Nampicuan"/>
    <s v="Cabawangan"/>
    <s v="OUTSIDE MBA"/>
    <s v="Aser A. Inocencio, Jr."/>
    <s v="Zosimo P. Suyat"/>
    <m/>
    <m/>
    <m/>
    <x v="5"/>
    <m/>
    <m/>
    <m/>
    <s v="For Monitoring"/>
  </r>
  <r>
    <x v="6"/>
    <s v="Pantabangan"/>
    <s v="Cadaclan"/>
    <s v="MBA"/>
    <s v="Hosannah R. Sabio"/>
    <s v="Zosimo P. Suyat"/>
    <m/>
    <m/>
    <m/>
    <x v="5"/>
    <m/>
    <m/>
    <m/>
    <s v="For Monitoring"/>
  </r>
  <r>
    <x v="6"/>
    <s v="Pantabangan"/>
    <s v="Cambitala"/>
    <s v="MBA"/>
    <s v="Hosannah R. Sabio"/>
    <s v="Zosimo P. Suyat"/>
    <m/>
    <m/>
    <m/>
    <x v="5"/>
    <m/>
    <m/>
    <m/>
    <s v="For Monitoring"/>
  </r>
  <r>
    <x v="6"/>
    <s v="Pantabangan"/>
    <s v="Conversion"/>
    <s v="MBA"/>
    <s v="Hosannah R. Sabio"/>
    <s v="Zosimo P. Suyat"/>
    <m/>
    <m/>
    <m/>
    <x v="5"/>
    <m/>
    <m/>
    <m/>
    <s v="For Monitoring"/>
  </r>
  <r>
    <x v="6"/>
    <s v="Pantabangan"/>
    <s v="Fatima"/>
    <s v="MBA"/>
    <s v="Hosannah R. Sabio"/>
    <s v="Zosimo P. Suyat"/>
    <m/>
    <m/>
    <m/>
    <x v="5"/>
    <m/>
    <m/>
    <m/>
    <s v="For Monitoring"/>
  </r>
  <r>
    <x v="6"/>
    <s v="Pantabangan"/>
    <s v="Ganduz"/>
    <s v="MBA"/>
    <s v="Hosannah R. Sabio"/>
    <s v="Zosimo P. Suyat"/>
    <m/>
    <m/>
    <m/>
    <x v="5"/>
    <m/>
    <m/>
    <m/>
    <s v="For Monitoring"/>
  </r>
  <r>
    <x v="6"/>
    <s v="Pantabangan"/>
    <s v="Liberty"/>
    <s v="MBA"/>
    <s v="Hosannah R. Sabio"/>
    <s v="Zosimo P. Suyat"/>
    <m/>
    <m/>
    <m/>
    <x v="5"/>
    <m/>
    <m/>
    <m/>
    <s v="For Monitoring"/>
  </r>
  <r>
    <x v="6"/>
    <s v="Pantabangan"/>
    <s v="Marikit"/>
    <s v="MBA"/>
    <s v="Hosannah R. Sabio"/>
    <s v="Zosimo P. Suyat"/>
    <m/>
    <m/>
    <m/>
    <x v="5"/>
    <m/>
    <m/>
    <m/>
    <s v="For Monitoring"/>
  </r>
  <r>
    <x v="2"/>
    <s v="San Rafael"/>
    <s v="Banca-banca"/>
    <s v="MBA"/>
    <m/>
    <m/>
    <n v="2025"/>
    <d v="2025-10-13T00:00:00"/>
    <s v="R3-2025-035058"/>
    <x v="0"/>
    <m/>
    <s v="MRS"/>
    <s v="CATER BY LGU"/>
    <s v="Technical Assistance"/>
  </r>
  <r>
    <x v="2"/>
    <s v="San Rafael"/>
    <s v="BMA-Balagtas"/>
    <s v="MBA"/>
    <m/>
    <m/>
    <n v="2025"/>
    <d v="2025-10-13T00:00:00"/>
    <s v="R3-2025-035057"/>
    <x v="0"/>
    <m/>
    <s v="MRS"/>
    <s v="CATER BY LGU"/>
    <s v="Technical Assistance"/>
  </r>
  <r>
    <x v="6"/>
    <s v="Pantabangan"/>
    <s v="Napon-Napon"/>
    <s v="MBA"/>
    <s v="Hosannah R. Sabio"/>
    <s v="Zosimo P. Suyat"/>
    <m/>
    <m/>
    <m/>
    <x v="5"/>
    <m/>
    <m/>
    <m/>
    <s v="For Monitoring"/>
  </r>
  <r>
    <x v="2"/>
    <s v="San Rafael"/>
    <s v="Capihan"/>
    <s v="MBA"/>
    <m/>
    <m/>
    <n v="2025"/>
    <d v="2025-10-07T00:00:00"/>
    <s v="R3-2025-034065"/>
    <x v="0"/>
    <m/>
    <s v="MRS"/>
    <s v="CATER BY LGU"/>
    <s v="Technical Assistance"/>
  </r>
  <r>
    <x v="2"/>
    <s v="San Rafael"/>
    <s v="Coral na Bato"/>
    <s v="MBA"/>
    <m/>
    <m/>
    <n v="2025"/>
    <d v="2025-10-13T00:00:00"/>
    <s v="R3-2025-035059"/>
    <x v="0"/>
    <m/>
    <s v="MRS"/>
    <s v="CATER BY LGU"/>
    <s v="Technical Assistance"/>
  </r>
  <r>
    <x v="2"/>
    <s v="San Rafael"/>
    <s v="Cruz na Daan"/>
    <s v="MBA"/>
    <m/>
    <m/>
    <n v="2025"/>
    <d v="2025-10-13T00:00:00"/>
    <s v="R3-2025-035060"/>
    <x v="0"/>
    <m/>
    <s v="MRS"/>
    <s v="CATER BY LGU"/>
    <s v="Technical Assistance"/>
  </r>
  <r>
    <x v="2"/>
    <s v="San Rafael"/>
    <s v="Dagat-dagatan"/>
    <s v="MBA"/>
    <m/>
    <m/>
    <n v="2025"/>
    <d v="2025-10-13T00:00:00"/>
    <s v="R3-2025-035061"/>
    <x v="0"/>
    <m/>
    <s v="MRS"/>
    <s v="CATER BY LGU"/>
    <s v="Technical Assistance"/>
  </r>
  <r>
    <x v="6"/>
    <s v="Penaranda"/>
    <s v="San Josef"/>
    <s v="MBA"/>
    <s v="Christine Ann V. Ramos"/>
    <s v="Zosimo P. Suyat"/>
    <m/>
    <m/>
    <m/>
    <x v="5"/>
    <m/>
    <m/>
    <m/>
    <s v="For Monitoring"/>
  </r>
  <r>
    <x v="2"/>
    <s v="San Rafael"/>
    <s v="Diliman II"/>
    <s v="MBA"/>
    <m/>
    <m/>
    <n v="2025"/>
    <d v="2025-10-13T00:00:00"/>
    <s v="R3-2025-035062"/>
    <x v="0"/>
    <m/>
    <s v="MRS"/>
    <s v="CATER BY LGU"/>
    <s v="Technical Assistance"/>
  </r>
  <r>
    <x v="2"/>
    <s v="San Rafael"/>
    <s v="Libis"/>
    <s v="MBA"/>
    <m/>
    <m/>
    <n v="2025"/>
    <d v="2025-10-13T00:00:00"/>
    <s v="R3-2025-035063"/>
    <x v="0"/>
    <m/>
    <s v="MRS"/>
    <s v="CATER BY LGU"/>
    <s v="Technical Assistance"/>
  </r>
  <r>
    <x v="6"/>
    <s v="Penaranda"/>
    <s v="Sinasajan"/>
    <s v="MBA"/>
    <s v="Christine Ann V. Ramos"/>
    <s v="Zosimo P. Suyat"/>
    <m/>
    <m/>
    <m/>
    <x v="5"/>
    <m/>
    <m/>
    <m/>
    <s v="For Monitoring"/>
  </r>
  <r>
    <x v="6"/>
    <s v="Quezon"/>
    <s v="Ilog Baliwag"/>
    <s v="MBA"/>
    <s v="Gem C. Vicencio"/>
    <s v="Zosimo P. Suyat"/>
    <m/>
    <m/>
    <m/>
    <x v="5"/>
    <m/>
    <m/>
    <m/>
    <s v="For Monitoring"/>
  </r>
  <r>
    <x v="6"/>
    <s v="Quezon"/>
    <s v="Pulong Bahay"/>
    <s v="MBA"/>
    <s v="Gem C. Vicencio"/>
    <s v="Zosimo P. Suyat"/>
    <m/>
    <m/>
    <m/>
    <x v="5"/>
    <m/>
    <m/>
    <m/>
    <s v="For Monitoring"/>
  </r>
  <r>
    <x v="6"/>
    <s v="Quezon"/>
    <s v="San Manuel"/>
    <s v="MBA"/>
    <s v="Gem C. Vicencio"/>
    <s v="Zosimo P. Suyat"/>
    <m/>
    <m/>
    <m/>
    <x v="5"/>
    <m/>
    <m/>
    <m/>
    <s v="For Monitoring"/>
  </r>
  <r>
    <x v="6"/>
    <s v="Quezon"/>
    <s v="Santa Clara"/>
    <s v="MBA"/>
    <s v="Gem C. Vicencio"/>
    <s v="Zosimo P. Suyat"/>
    <m/>
    <m/>
    <m/>
    <x v="5"/>
    <m/>
    <m/>
    <m/>
    <s v="For Monitoring"/>
  </r>
  <r>
    <x v="6"/>
    <s v="Quezon"/>
    <s v="Santa Rita"/>
    <s v="MBA"/>
    <s v="Gem C. Vicencio"/>
    <s v="Zosimo P. Suyat"/>
    <m/>
    <m/>
    <m/>
    <x v="5"/>
    <m/>
    <m/>
    <m/>
    <s v="For Monitoring"/>
  </r>
  <r>
    <x v="2"/>
    <s v="San Rafael"/>
    <s v="Pansumaloc"/>
    <s v="MBA"/>
    <m/>
    <m/>
    <n v="2024"/>
    <d v="2025-06-04T00:00:00"/>
    <m/>
    <x v="0"/>
    <m/>
    <m/>
    <m/>
    <s v="Technical Assistance"/>
  </r>
  <r>
    <x v="6"/>
    <s v="Quezon"/>
    <s v="Santo Cristo"/>
    <s v="MBA"/>
    <s v="Gem C. Vicencio"/>
    <s v="Zosimo P. Suyat"/>
    <m/>
    <m/>
    <m/>
    <x v="5"/>
    <m/>
    <m/>
    <m/>
    <s v="For Monitoring"/>
  </r>
  <r>
    <x v="6"/>
    <s v="Quezon"/>
    <s v="Santo Tomas Feria"/>
    <s v="MBA"/>
    <s v="Gem C. Vicencio"/>
    <s v="Zosimo P. Suyat"/>
    <m/>
    <m/>
    <m/>
    <x v="5"/>
    <m/>
    <m/>
    <m/>
    <s v="For Monitoring"/>
  </r>
  <r>
    <x v="6"/>
    <s v="Rizal"/>
    <s v="Poblacion Central"/>
    <s v="MBA"/>
    <s v="Hosannah R. Sabio"/>
    <s v="Zosimo P. Suyat"/>
    <m/>
    <m/>
    <m/>
    <x v="5"/>
    <m/>
    <m/>
    <m/>
    <s v="For Monitoring"/>
  </r>
  <r>
    <x v="6"/>
    <s v="Rizal"/>
    <s v="Poblacion East"/>
    <s v="MBA"/>
    <s v="Hosannah R. Sabio"/>
    <s v="Zosimo P. Suyat"/>
    <m/>
    <m/>
    <m/>
    <x v="5"/>
    <m/>
    <m/>
    <m/>
    <s v="For Monitoring"/>
  </r>
  <r>
    <x v="6"/>
    <s v="Rizal"/>
    <s v="Poblacion Norte"/>
    <s v="MBA"/>
    <s v="Hosannah R. Sabio"/>
    <s v="Zosimo P. Suyat"/>
    <m/>
    <m/>
    <m/>
    <x v="5"/>
    <m/>
    <m/>
    <m/>
    <s v="For Monitoring"/>
  </r>
  <r>
    <x v="6"/>
    <s v="Rizal"/>
    <s v="Poblacion Sur"/>
    <s v="MBA"/>
    <s v="Hosannah R. Sabio"/>
    <s v="Zosimo P. Suyat"/>
    <m/>
    <m/>
    <m/>
    <x v="5"/>
    <m/>
    <m/>
    <m/>
    <s v="For Monitoring"/>
  </r>
  <r>
    <x v="6"/>
    <s v="Rizal"/>
    <s v="Poblacion West"/>
    <s v="MBA"/>
    <s v="Hosannah R. Sabio"/>
    <s v="Zosimo P. Suyat"/>
    <m/>
    <m/>
    <m/>
    <x v="5"/>
    <m/>
    <m/>
    <m/>
    <s v="For Monitoring"/>
  </r>
  <r>
    <x v="6"/>
    <s v="Rizal"/>
    <s v="Portal"/>
    <s v="MBA"/>
    <s v="Hosannah R. Sabio"/>
    <s v="Zosimo P. Suyat"/>
    <m/>
    <m/>
    <m/>
    <x v="5"/>
    <m/>
    <m/>
    <m/>
    <s v="For Monitoring"/>
  </r>
  <r>
    <x v="6"/>
    <s v="Rizal"/>
    <s v="San Gregorio"/>
    <s v="MBA"/>
    <s v="Hosannah R. Sabio"/>
    <s v="Zosimo P. Suyat"/>
    <m/>
    <m/>
    <m/>
    <x v="5"/>
    <m/>
    <m/>
    <m/>
    <s v="For Monitoring"/>
  </r>
  <r>
    <x v="2"/>
    <s v="San Rafael"/>
    <s v="Sampaloc"/>
    <s v="MBA"/>
    <m/>
    <m/>
    <n v="2024"/>
    <d v="2024-06-04T00:00:00"/>
    <m/>
    <x v="0"/>
    <m/>
    <m/>
    <m/>
    <s v="Technical Assistance"/>
  </r>
  <r>
    <x v="4"/>
    <s v="Angeles City"/>
    <s v="Capaya"/>
    <s v="MBA"/>
    <s v="Elyza A. Evilla"/>
    <s v="John Sherwin Y. Loquellano"/>
    <m/>
    <m/>
    <m/>
    <x v="5"/>
    <m/>
    <m/>
    <m/>
    <s v="For Monitoring"/>
  </r>
  <r>
    <x v="4"/>
    <s v="Angeles City"/>
    <s v="Claro M. Recto"/>
    <s v="MBA"/>
    <s v="Elyza A. Evilla"/>
    <s v="John Sherwin Y. Loquellano"/>
    <m/>
    <m/>
    <m/>
    <x v="5"/>
    <m/>
    <m/>
    <m/>
    <s v="For Monitoring"/>
  </r>
  <r>
    <x v="4"/>
    <s v="Angeles City"/>
    <s v="Cutud"/>
    <s v="MBA"/>
    <s v="Elyza A. Evilla"/>
    <s v="John Sherwin Y. Loquellano"/>
    <m/>
    <m/>
    <m/>
    <x v="5"/>
    <m/>
    <m/>
    <m/>
    <s v="For Monitoring"/>
  </r>
  <r>
    <x v="4"/>
    <s v="Angeles City"/>
    <s v="Lourdes North West"/>
    <s v="MBA"/>
    <s v="Elyza A. Evilla"/>
    <s v="John Sherwin Y. Loquellano"/>
    <m/>
    <m/>
    <m/>
    <x v="5"/>
    <m/>
    <m/>
    <m/>
    <s v="For Monitoring"/>
  </r>
  <r>
    <x v="2"/>
    <s v="San Rafael"/>
    <s v="Tambubong"/>
    <s v="MBA"/>
    <m/>
    <m/>
    <n v="2024"/>
    <d v="2024-06-04T00:00:00"/>
    <m/>
    <x v="0"/>
    <m/>
    <m/>
    <m/>
    <s v="Technical Assistance"/>
  </r>
  <r>
    <x v="4"/>
    <s v="Angeles City"/>
    <s v="Lourdes Sur"/>
    <s v="MBA"/>
    <s v="Elyza A. Evilla"/>
    <s v="John Sherwin Y. Loquellano"/>
    <m/>
    <m/>
    <m/>
    <x v="5"/>
    <m/>
    <m/>
    <m/>
    <s v="For Monitoring"/>
  </r>
  <r>
    <x v="4"/>
    <s v="Arayat"/>
    <s v="Arenas"/>
    <s v="MBA"/>
    <s v="Roger T. Encarnacion II"/>
    <s v="Jun D. Guillermo"/>
    <m/>
    <m/>
    <m/>
    <x v="5"/>
    <m/>
    <m/>
    <m/>
    <s v="For Monitoring"/>
  </r>
  <r>
    <x v="4"/>
    <s v="Arayat"/>
    <s v="Batasan"/>
    <s v="MBA"/>
    <s v="Roger T. Encarnacion II"/>
    <s v="Jun D. Guillermo"/>
    <m/>
    <m/>
    <m/>
    <x v="5"/>
    <m/>
    <m/>
    <m/>
    <s v="For Monitoring"/>
  </r>
  <r>
    <x v="2"/>
    <s v="Sta. Maria"/>
    <s v="Balasing"/>
    <s v="MBA"/>
    <m/>
    <m/>
    <n v="2024"/>
    <d v="2024-09-10T00:00:00"/>
    <m/>
    <x v="0"/>
    <m/>
    <s v="MRS"/>
    <s v="OPERATIONAL"/>
    <s v="Technical Assistance"/>
  </r>
  <r>
    <x v="2"/>
    <s v="Sta. Maria"/>
    <s v="Buenavista"/>
    <s v="MBA"/>
    <m/>
    <m/>
    <n v="2025"/>
    <d v="2025-08-14T00:00:00"/>
    <s v="R3-2025-027623"/>
    <x v="0"/>
    <m/>
    <s v="MRS"/>
    <s v="OPERATIONAL"/>
    <s v="Technical Assistance"/>
  </r>
  <r>
    <x v="2"/>
    <s v="Sta. Maria"/>
    <s v="Bulac"/>
    <s v="MBA"/>
    <m/>
    <m/>
    <n v="2024"/>
    <d v="2024-09-10T00:00:00"/>
    <m/>
    <x v="0"/>
    <m/>
    <s v="MRF"/>
    <s v="OPERATIONAL"/>
    <s v="Technical Assistance"/>
  </r>
  <r>
    <x v="4"/>
    <s v="Arayat"/>
    <s v="Candating"/>
    <s v="MBA"/>
    <s v="Roger T. Encarnacion II"/>
    <s v="Jun D. Guillermo"/>
    <m/>
    <m/>
    <m/>
    <x v="5"/>
    <m/>
    <m/>
    <m/>
    <s v="For Monitoring"/>
  </r>
  <r>
    <x v="2"/>
    <s v="Sta. Maria"/>
    <s v="Catmon"/>
    <s v="MBA"/>
    <m/>
    <m/>
    <n v="2025"/>
    <d v="2025-02-05T00:00:00"/>
    <s v="R3-2025-004785"/>
    <x v="0"/>
    <m/>
    <s v="MRF"/>
    <s v="OPERATIONAL"/>
    <s v="Technical Assistance"/>
  </r>
  <r>
    <x v="2"/>
    <s v="Sta. Maria"/>
    <s v="Cay Pombo"/>
    <s v="MBA"/>
    <m/>
    <m/>
    <n v="2025"/>
    <d v="2025-02-05T00:00:00"/>
    <s v="R3-2025-004786"/>
    <x v="0"/>
    <m/>
    <s v="MRS"/>
    <s v="OPERATIONAL"/>
    <s v="Technical Assistance"/>
  </r>
  <r>
    <x v="2"/>
    <s v="Sta. Maria"/>
    <s v="Caysio"/>
    <s v="MBA"/>
    <m/>
    <m/>
    <n v="2024"/>
    <d v="2024-09-10T00:00:00"/>
    <m/>
    <x v="0"/>
    <m/>
    <m/>
    <m/>
    <s v="Technical Assistance"/>
  </r>
  <r>
    <x v="2"/>
    <s v="Sta. Maria"/>
    <s v="Guyong"/>
    <s v="MBA"/>
    <m/>
    <m/>
    <n v="2024"/>
    <d v="2024-09-10T00:00:00"/>
    <m/>
    <x v="0"/>
    <m/>
    <s v="MRS"/>
    <s v="OPERATIONAL"/>
    <s v="Technical Assistance"/>
  </r>
  <r>
    <x v="4"/>
    <s v="Arayat"/>
    <s v="Cupang"/>
    <s v="MBA"/>
    <s v="Roger T. Encarnacion II"/>
    <s v="Jun D. Guillermo"/>
    <m/>
    <m/>
    <m/>
    <x v="5"/>
    <m/>
    <m/>
    <m/>
    <s v="For Monitoring"/>
  </r>
  <r>
    <x v="4"/>
    <s v="Arayat"/>
    <s v="La Paz"/>
    <s v="MBA"/>
    <s v="Roger T. Encarnacion II"/>
    <s v="Jun D. Guillermo"/>
    <m/>
    <m/>
    <m/>
    <x v="5"/>
    <m/>
    <m/>
    <m/>
    <s v="For Monitoring"/>
  </r>
  <r>
    <x v="2"/>
    <s v="Sta. Maria"/>
    <s v="Mahabang Parang"/>
    <s v="MBA"/>
    <m/>
    <m/>
    <n v="2024"/>
    <d v="2024-07-09T00:00:00"/>
    <m/>
    <x v="0"/>
    <m/>
    <s v="MRF"/>
    <s v="OPERATIONAL"/>
    <s v="Technical Assistance"/>
  </r>
  <r>
    <x v="4"/>
    <s v="Candaba"/>
    <s v="Mandili"/>
    <s v="MBA"/>
    <s v="Roger T. Encarnacion II"/>
    <s v="Jun D. Guillermo"/>
    <m/>
    <m/>
    <m/>
    <x v="5"/>
    <m/>
    <m/>
    <m/>
    <s v="For Monitoring"/>
  </r>
  <r>
    <x v="2"/>
    <s v="Sta. Maria"/>
    <s v="Parada"/>
    <s v="MBA"/>
    <m/>
    <m/>
    <n v="2025"/>
    <d v="2025-08-14T00:00:00"/>
    <s v="R3-2025-027622"/>
    <x v="0"/>
    <m/>
    <s v="MRS"/>
    <s v="OPERATIONAL"/>
    <s v="Technical Assistance"/>
  </r>
  <r>
    <x v="4"/>
    <s v="Candaba"/>
    <s v="Mangga"/>
    <s v="MBA"/>
    <s v="Roger T. Encarnacion II"/>
    <s v="Jun D. Guillermo"/>
    <m/>
    <m/>
    <m/>
    <x v="5"/>
    <m/>
    <m/>
    <m/>
    <s v="For Monitoring"/>
  </r>
  <r>
    <x v="4"/>
    <s v="Candaba"/>
    <s v="Paligui"/>
    <s v="MBA"/>
    <s v="Roger T. Encarnacion II"/>
    <s v="Jun D. Guillermo"/>
    <m/>
    <m/>
    <m/>
    <x v="5"/>
    <m/>
    <m/>
    <m/>
    <s v="For Monitoring"/>
  </r>
  <r>
    <x v="2"/>
    <s v="Sta. Maria"/>
    <s v="San Gabriel"/>
    <s v="MBA"/>
    <m/>
    <m/>
    <n v="2024"/>
    <d v="2024-07-09T00:00:00"/>
    <m/>
    <x v="0"/>
    <m/>
    <s v="MRF"/>
    <s v="OPERATIONAL"/>
    <s v="Technical Assistance"/>
  </r>
  <r>
    <x v="4"/>
    <s v="Candaba"/>
    <s v="Pangclara"/>
    <s v="MBA"/>
    <s v="Roger T. Encarnacion II"/>
    <s v="Jun D. Guillermo"/>
    <m/>
    <m/>
    <m/>
    <x v="5"/>
    <m/>
    <m/>
    <m/>
    <s v="For Monitoring"/>
  </r>
  <r>
    <x v="2"/>
    <s v="Sta. Maria"/>
    <s v="San Vicente"/>
    <s v="MBA"/>
    <m/>
    <m/>
    <n v="2025"/>
    <d v="2025-08-14T00:00:00"/>
    <s v="R3-2025-027621"/>
    <x v="0"/>
    <m/>
    <s v="MRS"/>
    <s v="OPERATIONAL"/>
    <s v="Technical Assistance"/>
  </r>
  <r>
    <x v="4"/>
    <s v="Candaba"/>
    <s v="Pansinao"/>
    <s v="MBA"/>
    <s v="Roger T. Encarnacion II"/>
    <s v="Jun D. Guillermo"/>
    <m/>
    <m/>
    <m/>
    <x v="5"/>
    <m/>
    <m/>
    <m/>
    <s v="For Monitoring"/>
  </r>
  <r>
    <x v="4"/>
    <s v="City of San Fernando"/>
    <s v="Dela Paz Norte"/>
    <s v="MBA"/>
    <s v="Elyza A. Evilla"/>
    <s v="John Sherwin Y. Loquellano"/>
    <m/>
    <m/>
    <m/>
    <x v="5"/>
    <m/>
    <m/>
    <m/>
    <s v="For Monitoring"/>
  </r>
  <r>
    <x v="4"/>
    <s v="City of San Fernando"/>
    <s v="Dela Paz Sur"/>
    <s v="MBA"/>
    <s v="Elyza A. Evilla"/>
    <s v="John Sherwin Y. Loquellano"/>
    <m/>
    <m/>
    <m/>
    <x v="5"/>
    <m/>
    <m/>
    <m/>
    <s v="For Monitoring"/>
  </r>
  <r>
    <x v="4"/>
    <s v="City of San Fernando"/>
    <s v="Dolores"/>
    <s v="MBA"/>
    <s v="Elyza A. Evilla"/>
    <s v="John Sherwin Y. Loquellano"/>
    <m/>
    <m/>
    <m/>
    <x v="5"/>
    <m/>
    <m/>
    <m/>
    <s v="For Monitoring"/>
  </r>
  <r>
    <x v="4"/>
    <s v="City of San Fernando"/>
    <s v="Juliana"/>
    <s v="MBA"/>
    <s v="Elyza A. Evilla"/>
    <s v="John Sherwin Y. Loquellano"/>
    <m/>
    <m/>
    <m/>
    <x v="5"/>
    <m/>
    <m/>
    <m/>
    <s v="For Monitoring"/>
  </r>
  <r>
    <x v="6"/>
    <s v="Aliaga"/>
    <s v="Macabucod"/>
    <s v="MBA"/>
    <m/>
    <m/>
    <n v="2025"/>
    <d v="2025-09-18T00:00:00"/>
    <s v="R3-2025-031715"/>
    <x v="0"/>
    <m/>
    <s v="MRS"/>
    <s v="OPERATIONAL"/>
    <s v="Technical Assistance"/>
  </r>
  <r>
    <x v="4"/>
    <s v="City of San Fernando"/>
    <s v="Lara"/>
    <s v="MBA"/>
    <s v="Elyza A. Evilla"/>
    <s v="John Sherwin Y. Loquellano"/>
    <m/>
    <m/>
    <m/>
    <x v="5"/>
    <m/>
    <m/>
    <m/>
    <s v="For Monitoring"/>
  </r>
  <r>
    <x v="6"/>
    <s v="Aliaga"/>
    <s v="Bibiclat"/>
    <s v="MBA"/>
    <m/>
    <m/>
    <n v="2025"/>
    <d v="2025-02-19T00:00:00"/>
    <s v="R3-2025-006105"/>
    <x v="0"/>
    <m/>
    <s v="MRS"/>
    <s v="OPERATIONAL"/>
    <s v="Technical Assistance"/>
  </r>
  <r>
    <x v="6"/>
    <s v="Aliaga"/>
    <s v="Bucot"/>
    <s v="MBA"/>
    <m/>
    <m/>
    <n v="2025"/>
    <d v="2025-02-19T00:00:00"/>
    <s v="R3-2025-006104"/>
    <x v="0"/>
    <m/>
    <s v="MRS"/>
    <s v="OPERATIONAL"/>
    <s v="Technical Assistance"/>
  </r>
  <r>
    <x v="4"/>
    <s v="Guagua"/>
    <s v="Maquiapo"/>
    <s v="MBA"/>
    <s v="VACANT"/>
    <s v="Jun D. Guillermo"/>
    <m/>
    <m/>
    <m/>
    <x v="5"/>
    <m/>
    <m/>
    <m/>
    <s v="For Monitoring"/>
  </r>
  <r>
    <x v="6"/>
    <s v="Aliaga"/>
    <s v="San Pablo Matanda"/>
    <s v="MBA"/>
    <m/>
    <m/>
    <n v="2025"/>
    <d v="2025-09-18T00:00:00"/>
    <s v="R3-2025-031688"/>
    <x v="0"/>
    <m/>
    <s v="MRS"/>
    <s v="OPERATIONAL"/>
    <s v="Technical Assistance"/>
  </r>
  <r>
    <x v="6"/>
    <s v="Aliaga"/>
    <s v="Magsaysay"/>
    <s v="MBA"/>
    <m/>
    <m/>
    <n v="2025"/>
    <d v="2025-05-23T00:00:00"/>
    <s v="R3-2025-017645"/>
    <x v="0"/>
    <m/>
    <s v="MRS"/>
    <s v="OPERATIONAL"/>
    <s v="Technical Assistance"/>
  </r>
  <r>
    <x v="6"/>
    <s v="Aliaga"/>
    <s v="Pantoc"/>
    <s v="MBA"/>
    <m/>
    <m/>
    <n v="2025"/>
    <d v="2025-09-25T00:00:00"/>
    <s v="R3-2025-032573"/>
    <x v="0"/>
    <m/>
    <s v="MRS"/>
    <s v="OPERATIONAL"/>
    <s v="Technical Assistance"/>
  </r>
  <r>
    <x v="4"/>
    <s v="Guagua"/>
    <s v="Natividad"/>
    <s v="MBA"/>
    <s v="VACANT"/>
    <s v="Jun D. Guillermo"/>
    <m/>
    <m/>
    <m/>
    <x v="5"/>
    <m/>
    <m/>
    <m/>
    <s v="For Monitoring"/>
  </r>
  <r>
    <x v="4"/>
    <s v="Guagua"/>
    <s v="Pulungmasle"/>
    <s v="MBA"/>
    <s v="VACANT"/>
    <s v="Jun D. Guillermo"/>
    <m/>
    <m/>
    <m/>
    <x v="5"/>
    <m/>
    <m/>
    <m/>
    <s v="For Monitoring"/>
  </r>
  <r>
    <x v="4"/>
    <s v="Guagua"/>
    <s v="San Juan Nepomuceno"/>
    <s v="MBA"/>
    <s v="VACANT"/>
    <s v="Jun D. Guillermo"/>
    <m/>
    <m/>
    <m/>
    <x v="5"/>
    <m/>
    <m/>
    <m/>
    <s v="For Monitoring"/>
  </r>
  <r>
    <x v="4"/>
    <s v="Guagua"/>
    <s v="San Nicolas 1st"/>
    <s v="MBA"/>
    <s v="VACANT"/>
    <s v="Jun D. Guillermo"/>
    <m/>
    <m/>
    <m/>
    <x v="5"/>
    <m/>
    <m/>
    <m/>
    <s v="For Monitoring"/>
  </r>
  <r>
    <x v="4"/>
    <s v="Lubao"/>
    <s v="San Pedro Palcarangan"/>
    <s v="MBA"/>
    <s v="VACANT"/>
    <s v="Jun D. Guillermo"/>
    <m/>
    <m/>
    <m/>
    <x v="5"/>
    <m/>
    <m/>
    <m/>
    <s v="For Monitoring"/>
  </r>
  <r>
    <x v="6"/>
    <s v="Aliaga"/>
    <s v="San Carlos"/>
    <s v="MBA"/>
    <m/>
    <m/>
    <n v="2024"/>
    <d v="2024-05-10T00:00:00"/>
    <m/>
    <x v="0"/>
    <m/>
    <m/>
    <m/>
    <s v="Technical Assistance"/>
  </r>
  <r>
    <x v="4"/>
    <s v="Masantol"/>
    <s v="Balibago"/>
    <s v="MBA"/>
    <s v="Glaiza S. Gaza"/>
    <s v="John Sherwin Y. Loquellano"/>
    <m/>
    <m/>
    <m/>
    <x v="5"/>
    <m/>
    <m/>
    <m/>
    <s v="For Monitoring"/>
  </r>
  <r>
    <x v="6"/>
    <s v="Aliaga"/>
    <s v="San Eustacio"/>
    <s v="MBA"/>
    <m/>
    <m/>
    <n v="2025"/>
    <d v="2025-09-25T00:00:00"/>
    <s v="R3-2025-032577"/>
    <x v="0"/>
    <m/>
    <s v="MRS"/>
    <s v="OPERATIONAL"/>
    <s v="Technical Assistance"/>
  </r>
  <r>
    <x v="4"/>
    <s v="Masantol"/>
    <s v="Nigui"/>
    <s v="MBA"/>
    <s v="Glaiza S. Gaza"/>
    <s v="John Sherwin Y. Loquellano"/>
    <m/>
    <m/>
    <m/>
    <x v="5"/>
    <m/>
    <m/>
    <m/>
    <s v="For Monitoring"/>
  </r>
  <r>
    <x v="4"/>
    <s v="Masantol"/>
    <s v="Palimpe"/>
    <s v="MBA"/>
    <s v="Glaiza S. Gaza"/>
    <s v="John Sherwin Y. Loquellano"/>
    <m/>
    <m/>
    <m/>
    <x v="5"/>
    <m/>
    <m/>
    <m/>
    <s v="For Monitoring"/>
  </r>
  <r>
    <x v="4"/>
    <s v="Masantol"/>
    <s v="San Isidro Anac"/>
    <s v="MBA"/>
    <s v="Glaiza S. Gaza"/>
    <s v="John Sherwin Y. Loquellano"/>
    <m/>
    <m/>
    <m/>
    <x v="5"/>
    <m/>
    <m/>
    <m/>
    <s v="For Monitoring"/>
  </r>
  <r>
    <x v="6"/>
    <s v="Aliaga"/>
    <s v="San Pablo Bata"/>
    <s v="MBA"/>
    <m/>
    <m/>
    <n v="2025"/>
    <d v="2025-08-14T00:00:00"/>
    <s v="R3-2025-027554"/>
    <x v="0"/>
    <m/>
    <s v="MRS"/>
    <s v="OPERATIONAL"/>
    <s v="Technical Assistance"/>
  </r>
  <r>
    <x v="6"/>
    <s v="Aliaga"/>
    <s v="Santa Monica"/>
    <s v="MBA"/>
    <m/>
    <m/>
    <n v="2025"/>
    <d v="2025-09-25T00:00:00"/>
    <s v="R3-2025-032600"/>
    <x v="0"/>
    <m/>
    <s v="MRS"/>
    <s v="OPERATIONAL"/>
    <s v="Technical Assistance"/>
  </r>
  <r>
    <x v="4"/>
    <s v="Masantol"/>
    <s v="San Isidro Matua (Pob.)"/>
    <s v="MBA"/>
    <s v="Glaiza S. Gaza"/>
    <s v="John Sherwin Y. Loquellano"/>
    <m/>
    <m/>
    <m/>
    <x v="5"/>
    <m/>
    <m/>
    <m/>
    <s v="For Monitoring"/>
  </r>
  <r>
    <x v="3"/>
    <s v="Anao"/>
    <s v="Baguindoc"/>
    <s v="OUTSIDE MBA"/>
    <s v="Jasper Kieht B. Pili"/>
    <s v="Jan Emerson C. Gonzales"/>
    <m/>
    <m/>
    <m/>
    <x v="0"/>
    <m/>
    <m/>
    <m/>
    <s v="For Monitoring"/>
  </r>
  <r>
    <x v="6"/>
    <s v="Aliaga"/>
    <s v="Santo Tomas"/>
    <s v="MBA"/>
    <m/>
    <m/>
    <n v="2025"/>
    <d v="2025-08-14T00:00:00"/>
    <s v="R3-2025-027556"/>
    <x v="0"/>
    <m/>
    <s v="MRS"/>
    <s v="OPERATIONAL"/>
    <s v="Technical Assistance"/>
  </r>
  <r>
    <x v="3"/>
    <s v="Anao"/>
    <s v="Bantog"/>
    <s v="OUTSIDE MBA"/>
    <s v="Jasper Kieht B. Pili"/>
    <s v="Jan Emerson C. Gonzales"/>
    <m/>
    <m/>
    <m/>
    <x v="0"/>
    <m/>
    <m/>
    <m/>
    <s v="For Monitoring"/>
  </r>
  <r>
    <x v="3"/>
    <s v="Anao"/>
    <s v="Campos"/>
    <s v="OUTSIDE MBA"/>
    <s v="Jasper Kieht B. Pili"/>
    <s v="Jan Emerson C. Gonzales"/>
    <m/>
    <m/>
    <m/>
    <x v="0"/>
    <m/>
    <m/>
    <m/>
    <s v="For Monitoring"/>
  </r>
  <r>
    <x v="6"/>
    <s v="Bongabon"/>
    <s v="Curva"/>
    <s v="MBA"/>
    <m/>
    <m/>
    <n v="2025"/>
    <d v="2025-08-29T00:00:00"/>
    <s v="R3-2025-031641"/>
    <x v="0"/>
    <m/>
    <s v="MRF"/>
    <s v="OPERATIONAL"/>
    <s v="Technical Assistance"/>
  </r>
  <r>
    <x v="3"/>
    <s v="Anao"/>
    <s v="Rizal"/>
    <s v="OUTSIDE MBA"/>
    <s v="Jasper Kieht B. Pili"/>
    <s v="Jan Emerson C. Gonzales"/>
    <m/>
    <m/>
    <m/>
    <x v="0"/>
    <m/>
    <m/>
    <m/>
    <s v="For Monitoring"/>
  </r>
  <r>
    <x v="3"/>
    <s v="Anao"/>
    <s v="San Francisco East"/>
    <s v="OUTSIDE MBA"/>
    <s v="Jasper Kieht B. Pili"/>
    <s v="Jan Emerson C. Gonzales"/>
    <m/>
    <m/>
    <m/>
    <x v="0"/>
    <m/>
    <m/>
    <m/>
    <s v="For Monitoring"/>
  </r>
  <r>
    <x v="3"/>
    <s v="Anao"/>
    <s v="San Francisco West"/>
    <s v="OUTSIDE MBA"/>
    <s v="Jasper Kieht B. Pili"/>
    <s v="Jan Emerson C. Gonzales"/>
    <m/>
    <m/>
    <m/>
    <x v="0"/>
    <m/>
    <m/>
    <m/>
    <s v="For Monitoring"/>
  </r>
  <r>
    <x v="3"/>
    <s v="Anao"/>
    <s v="Suaverdez"/>
    <s v="OUTSIDE MBA"/>
    <s v="Jasper Kieht B. Pili"/>
    <s v="Jan Emerson C. Gonzales"/>
    <m/>
    <m/>
    <m/>
    <x v="0"/>
    <m/>
    <m/>
    <m/>
    <s v="For Monitoring"/>
  </r>
  <r>
    <x v="3"/>
    <s v="Capas"/>
    <s v="Bueno"/>
    <s v="MBA"/>
    <s v="Gretzhen M. Apolonio"/>
    <s v="Jan Emerson C. Gonzales"/>
    <m/>
    <m/>
    <m/>
    <x v="6"/>
    <m/>
    <m/>
    <m/>
    <s v="For Monitoring"/>
  </r>
  <r>
    <x v="3"/>
    <s v="Capas"/>
    <s v="Lawy"/>
    <s v="MBA"/>
    <s v="Gretzhen M. Apolonio"/>
    <s v="Jan Emerson C. Gonzales"/>
    <m/>
    <m/>
    <m/>
    <x v="6"/>
    <m/>
    <m/>
    <m/>
    <s v="For Monitoring"/>
  </r>
  <r>
    <x v="6"/>
    <s v="Bongabon"/>
    <s v="Lusok"/>
    <s v="MBA"/>
    <m/>
    <m/>
    <n v="2025"/>
    <d v="2025-08-29T00:00:00"/>
    <s v="R3-2025-031639"/>
    <x v="0"/>
    <m/>
    <s v="MRF"/>
    <s v="OPERATIONAL"/>
    <s v="Technical Assistance"/>
  </r>
  <r>
    <x v="3"/>
    <s v="Capas"/>
    <s v="Manlapig"/>
    <s v="MBA"/>
    <s v="Gretzhen M. Apolonio"/>
    <s v="Jan Emerson C. Gonzales"/>
    <m/>
    <m/>
    <m/>
    <x v="6"/>
    <m/>
    <m/>
    <m/>
    <s v="For Monitoring"/>
  </r>
  <r>
    <x v="3"/>
    <s v="Capas"/>
    <s v="Maruglu"/>
    <s v="MBA"/>
    <s v="Gretzhen M. Apolonio"/>
    <s v="Jan Emerson C. Gonzales"/>
    <m/>
    <m/>
    <m/>
    <x v="6"/>
    <m/>
    <m/>
    <m/>
    <s v="For Monitoring"/>
  </r>
  <r>
    <x v="3"/>
    <s v="Capas"/>
    <s v="Santa Juliana"/>
    <s v="MBA"/>
    <s v="Gretzhen M. Apolonio"/>
    <s v="Jan Emerson C. Gonzales"/>
    <m/>
    <m/>
    <m/>
    <x v="6"/>
    <m/>
    <m/>
    <m/>
    <s v="For Monitoring"/>
  </r>
  <r>
    <x v="6"/>
    <s v="Bongabon"/>
    <s v="Larcon"/>
    <s v="MBA"/>
    <m/>
    <m/>
    <n v="2025"/>
    <d v="2025-01-31T00:00:00"/>
    <s v="R3-2025-003541"/>
    <x v="0"/>
    <m/>
    <s v="MRS"/>
    <s v="OPERATIONAL"/>
    <s v="Technical Assistance"/>
  </r>
  <r>
    <x v="3"/>
    <s v="Capas"/>
    <s v="Santo Domingo 2nd"/>
    <s v="MBA"/>
    <s v="Gretzhen M. Apolonio"/>
    <s v="Jan Emerson C. Gonzales"/>
    <m/>
    <m/>
    <m/>
    <x v="5"/>
    <m/>
    <m/>
    <m/>
    <s v="For Monitoring"/>
  </r>
  <r>
    <x v="6"/>
    <s v="Bongabon"/>
    <s v="Magtanggol (Pob.)"/>
    <s v="MBA"/>
    <m/>
    <m/>
    <n v="2025"/>
    <d v="2025-01-30T00:00:00"/>
    <s v="R3-2025-003538"/>
    <x v="0"/>
    <m/>
    <s v="MRS"/>
    <s v="OPERATIONAL"/>
    <s v="Technical Assistance"/>
  </r>
  <r>
    <x v="6"/>
    <s v="Bongabon"/>
    <s v="Mantile (Pob.)"/>
    <s v="MBA"/>
    <m/>
    <m/>
    <n v="2025"/>
    <d v="2025-01-30T00:00:00"/>
    <s v="R3-2025-003540"/>
    <x v="0"/>
    <m/>
    <s v="MRS"/>
    <s v="OPERATIONAL"/>
    <s v="Technical Assistance"/>
  </r>
  <r>
    <x v="3"/>
    <s v="Capas"/>
    <s v="Santo Rosario"/>
    <s v="MBA"/>
    <s v="Gretzhen M. Apolonio"/>
    <s v="Jan Emerson C. Gonzales"/>
    <m/>
    <m/>
    <m/>
    <x v="5"/>
    <m/>
    <m/>
    <m/>
    <s v="For Monitoring"/>
  </r>
  <r>
    <x v="3"/>
    <s v="Tarlac City (Capital)"/>
    <s v="Asturias"/>
    <s v="MBA"/>
    <s v="Joshua A. Capones"/>
    <s v="Jan Emerson C. Gonzales"/>
    <m/>
    <m/>
    <m/>
    <x v="5"/>
    <m/>
    <m/>
    <m/>
    <s v="For Monitoring"/>
  </r>
  <r>
    <x v="6"/>
    <s v="Bongabon"/>
    <s v="Pesa"/>
    <s v="MBA"/>
    <m/>
    <m/>
    <n v="2024"/>
    <d v="2024-09-11T00:00:00"/>
    <m/>
    <x v="0"/>
    <m/>
    <s v="MRF"/>
    <s v="OPERATIONAL"/>
    <s v="Technical Assistance"/>
  </r>
  <r>
    <x v="6"/>
    <s v="Bongabon"/>
    <s v="Rizal (Pob.)"/>
    <s v="MBA"/>
    <m/>
    <m/>
    <n v="2025"/>
    <d v="2025-01-31T00:00:00"/>
    <s v="R3-2025-003539"/>
    <x v="0"/>
    <m/>
    <s v="MRF"/>
    <s v="OPERATIONAL"/>
    <s v="Technical Assistance"/>
  </r>
  <r>
    <x v="6"/>
    <s v="Bongabon"/>
    <s v="Sampalucan (Pob.)"/>
    <s v="MBA"/>
    <m/>
    <m/>
    <n v="2025"/>
    <d v="2025-01-21T00:00:00"/>
    <s v="R3-2025-002029"/>
    <x v="0"/>
    <m/>
    <s v="MRS"/>
    <s v="OPERATIONAL"/>
    <s v="Technical Assistance"/>
  </r>
  <r>
    <x v="3"/>
    <s v="Tarlac City (Capital)"/>
    <s v="Atioc"/>
    <s v="MBA"/>
    <s v="Joshua A. Capones"/>
    <s v="Jan Emerson C. Gonzales"/>
    <m/>
    <m/>
    <m/>
    <x v="5"/>
    <m/>
    <m/>
    <m/>
    <s v="For Monitoring"/>
  </r>
  <r>
    <x v="6"/>
    <s v="Bongabon"/>
    <s v="Santor"/>
    <s v="MBA"/>
    <m/>
    <m/>
    <n v="2024"/>
    <d v="2024-04-03T00:00:00"/>
    <m/>
    <x v="0"/>
    <m/>
    <m/>
    <m/>
    <s v="Technical Assistance"/>
  </r>
  <r>
    <x v="3"/>
    <s v="Tarlac City (Capital)"/>
    <s v="Balanti"/>
    <s v="MBA"/>
    <s v="Joshua A. Capones"/>
    <s v="Jan Emerson C. Gonzales"/>
    <m/>
    <m/>
    <m/>
    <x v="5"/>
    <m/>
    <m/>
    <m/>
    <s v="For Monitoring"/>
  </r>
  <r>
    <x v="6"/>
    <s v="Bongabon"/>
    <s v="Sisilang na Ligaya (Pob.)"/>
    <s v="MBA"/>
    <m/>
    <m/>
    <n v="2024"/>
    <d v="2024-10-31T00:00:00"/>
    <m/>
    <x v="0"/>
    <m/>
    <s v="MRF"/>
    <s v="OPERATIONAL"/>
    <s v="Technical Assistance"/>
  </r>
  <r>
    <x v="6"/>
    <s v="Bongabon"/>
    <s v="Social (Pob.)"/>
    <s v="MBA"/>
    <m/>
    <m/>
    <n v="2025"/>
    <d v="2025-01-30T00:00:00"/>
    <s v="R3-2025-003537"/>
    <x v="0"/>
    <m/>
    <s v="MRS"/>
    <s v="OPERATIONAL"/>
    <s v="Technical Assistance"/>
  </r>
  <r>
    <x v="3"/>
    <s v="Tarlac City (Capital)"/>
    <s v="Balete"/>
    <s v="MBA"/>
    <s v="Joshua A. Capones"/>
    <s v="Jan Emerson C. Gonzales"/>
    <m/>
    <m/>
    <m/>
    <x v="6"/>
    <m/>
    <m/>
    <m/>
    <s v="For Monitoring"/>
  </r>
  <r>
    <x v="6"/>
    <s v="Bongabon"/>
    <s v="Tulay na Bato (Pob.)"/>
    <s v="MBA"/>
    <m/>
    <m/>
    <n v="2025"/>
    <d v="2025-01-30T00:00:00"/>
    <s v="R3-2025-003542"/>
    <x v="0"/>
    <m/>
    <s v="MRF"/>
    <s v="OPERATIONAL"/>
    <s v="Technical Assistance"/>
  </r>
  <r>
    <x v="3"/>
    <s v="Tarlac City (Capital)"/>
    <s v="Balibago II"/>
    <s v="MBA"/>
    <s v="Joshua A. Capones"/>
    <s v="Jan Emerson C. Gonzales"/>
    <m/>
    <m/>
    <m/>
    <x v="6"/>
    <m/>
    <m/>
    <m/>
    <s v="For Monitoring"/>
  </r>
  <r>
    <x v="3"/>
    <s v="Tarlac City (Capital)"/>
    <s v="Balingcanaway"/>
    <s v="MBA"/>
    <s v="Joshua A. Capones"/>
    <s v="Jan Emerson C. Gonzales"/>
    <m/>
    <m/>
    <m/>
    <x v="6"/>
    <m/>
    <m/>
    <m/>
    <s v="For Monitoring"/>
  </r>
  <r>
    <x v="6"/>
    <s v="Cabanatuan City"/>
    <s v="Aduas Norte"/>
    <s v="MBA"/>
    <m/>
    <m/>
    <n v="2025"/>
    <d v="2025-10-08T00:00:00"/>
    <s v="R3-2025-034721"/>
    <x v="0"/>
    <m/>
    <s v="MRS"/>
    <s v="OPERATIONAL"/>
    <s v="Technical Assistance"/>
  </r>
  <r>
    <x v="3"/>
    <s v="Tarlac City (Capital)"/>
    <s v="Banaba"/>
    <s v="MBA"/>
    <s v="Joshua A. Capones"/>
    <s v="Jan Emerson C. Gonzales"/>
    <m/>
    <m/>
    <m/>
    <x v="4"/>
    <m/>
    <m/>
    <m/>
    <s v="For Monitoring"/>
  </r>
  <r>
    <x v="3"/>
    <s v="Pura"/>
    <s v="Maasin"/>
    <s v="OUTSIDE MBA"/>
    <s v="Joshua A. Capones"/>
    <s v="Jan Emerson C. Gonzales"/>
    <m/>
    <m/>
    <m/>
    <x v="5"/>
    <m/>
    <m/>
    <m/>
    <s v="For Monitoring"/>
  </r>
  <r>
    <x v="3"/>
    <s v="Pura"/>
    <s v="Matindeg"/>
    <s v="OUTSIDE MBA"/>
    <s v="Joshua A. Capones"/>
    <s v="Jan Emerson C. Gonzales"/>
    <m/>
    <m/>
    <m/>
    <x v="5"/>
    <m/>
    <m/>
    <m/>
    <s v="For Monitoring"/>
  </r>
  <r>
    <x v="3"/>
    <s v="Pura"/>
    <s v="Nilasin 2nd"/>
    <s v="OUTSIDE MBA"/>
    <s v="Joshua A. Capones"/>
    <s v="Jan Emerson C. Gonzales"/>
    <m/>
    <m/>
    <m/>
    <x v="5"/>
    <m/>
    <m/>
    <m/>
    <s v="For Monitoring"/>
  </r>
  <r>
    <x v="5"/>
    <s v="Masinloc"/>
    <s v="San Salvador"/>
    <s v="OUTSIDE MBA"/>
    <s v="Ryan Ace R. Angel"/>
    <s v="Jun D. Guillermo"/>
    <m/>
    <m/>
    <m/>
    <x v="5"/>
    <m/>
    <m/>
    <m/>
    <s v="For Monitoring"/>
  </r>
  <r>
    <x v="5"/>
    <s v="Sta. Cruz"/>
    <s v="Babuyan"/>
    <s v="OUTSIDE MBA"/>
    <s v="Ryan Ace R. Angel"/>
    <s v="Jun D. Guillermo"/>
    <m/>
    <m/>
    <m/>
    <x v="0"/>
    <m/>
    <m/>
    <m/>
    <s v="For Monitoring"/>
  </r>
  <r>
    <x v="2"/>
    <s v="City of San Jose Del Monte"/>
    <s v="Assumption"/>
    <s v="MBA"/>
    <s v="James Wilson T. Peña"/>
    <s v="Diozelle L. Cabalar"/>
    <m/>
    <m/>
    <m/>
    <x v="3"/>
    <m/>
    <m/>
    <m/>
    <s v="For Monitoring"/>
  </r>
  <r>
    <x v="2"/>
    <s v="City of San Jose Del Monte"/>
    <s v="Bagong Buhay III"/>
    <s v="MBA"/>
    <s v="James Wilson T. Peña"/>
    <s v="Diozelle L. Cabalar"/>
    <m/>
    <m/>
    <m/>
    <x v="3"/>
    <m/>
    <m/>
    <m/>
    <s v="For Monitoring"/>
  </r>
  <r>
    <x v="2"/>
    <s v="City of San Jose Del Monte"/>
    <s v="Citrus"/>
    <s v="MBA"/>
    <s v="James Wilson T. Peña"/>
    <s v="Diozelle L. Cabalar"/>
    <m/>
    <m/>
    <m/>
    <x v="3"/>
    <m/>
    <m/>
    <m/>
    <s v="For Monitoring"/>
  </r>
  <r>
    <x v="2"/>
    <s v="City of San Jose Del Monte"/>
    <s v="Fatima"/>
    <s v="MBA"/>
    <s v="James Wilson T. Peña"/>
    <s v="Diozelle L. Cabalar"/>
    <m/>
    <m/>
    <m/>
    <x v="3"/>
    <m/>
    <m/>
    <m/>
    <s v="For Monitoring"/>
  </r>
  <r>
    <x v="2"/>
    <s v="City of San Jose Del Monte"/>
    <s v="Fatima III"/>
    <s v="MBA"/>
    <s v="James Wilson T. Peña"/>
    <s v="Diozelle L. Cabalar"/>
    <m/>
    <m/>
    <m/>
    <x v="3"/>
    <m/>
    <m/>
    <m/>
    <s v="For Monitoring"/>
  </r>
  <r>
    <x v="6"/>
    <s v="Cabanatuan City"/>
    <s v="Barrera District (Pob.)"/>
    <s v="MBA"/>
    <m/>
    <m/>
    <n v="2024"/>
    <d v="2024-01-25T00:00:00"/>
    <m/>
    <x v="0"/>
    <m/>
    <m/>
    <m/>
    <s v="Technical Assistance"/>
  </r>
  <r>
    <x v="2"/>
    <s v="DRT"/>
    <s v="Talbak"/>
    <s v="MBA"/>
    <s v="VACANT"/>
    <s v="Diozelle L. Cabalar"/>
    <m/>
    <m/>
    <m/>
    <x v="3"/>
    <m/>
    <m/>
    <m/>
    <s v="For Monitoring"/>
  </r>
  <r>
    <x v="2"/>
    <s v="Hagonoy"/>
    <s v="Pugad"/>
    <s v="MBA"/>
    <s v="Ronaldo P. Roque, Jr."/>
    <s v="Diozelle L. Cabalar"/>
    <m/>
    <m/>
    <m/>
    <x v="3"/>
    <m/>
    <m/>
    <m/>
    <s v="For Monitoring"/>
  </r>
  <r>
    <x v="2"/>
    <s v="Hagonoy"/>
    <s v="San Isidro"/>
    <s v="MBA"/>
    <s v="Ronaldo P. Roque, Jr."/>
    <s v="Diozelle L. Cabalar"/>
    <m/>
    <m/>
    <m/>
    <x v="3"/>
    <m/>
    <m/>
    <m/>
    <s v="For Monitoring"/>
  </r>
  <r>
    <x v="6"/>
    <s v="Cabanatuan City"/>
    <s v="Buliran"/>
    <s v="MBA"/>
    <m/>
    <m/>
    <n v="2025"/>
    <d v="2025-07-31T00:00:00"/>
    <s v="R3-2025-027687"/>
    <x v="0"/>
    <m/>
    <s v="MRS"/>
    <s v="OPERATIONAL"/>
    <s v="Technical Assistance"/>
  </r>
  <r>
    <x v="6"/>
    <s v="Cabanatuan City"/>
    <s v="Caalibangbangan"/>
    <s v="MBA"/>
    <m/>
    <m/>
    <n v="2025"/>
    <d v="2025-07-17T00:00:00"/>
    <s v="R3-2025-024356"/>
    <x v="0"/>
    <m/>
    <s v="MRS"/>
    <s v="OPERATIONAL"/>
    <s v="Technical Assistance"/>
  </r>
  <r>
    <x v="6"/>
    <s v="Cabanatuan City"/>
    <s v="Cabu"/>
    <s v="MBA"/>
    <m/>
    <m/>
    <n v="2025"/>
    <d v="2025-05-02T00:00:00"/>
    <s v="R3-2025-014898"/>
    <x v="0"/>
    <m/>
    <s v="MRS"/>
    <s v="OPERATIONAL"/>
    <s v="Technical Assistance"/>
  </r>
  <r>
    <x v="2"/>
    <s v="Hagonoy"/>
    <s v="San Jose"/>
    <s v="MBA"/>
    <s v="Ronaldo P. Roque, Jr."/>
    <s v="Diozelle L. Cabalar"/>
    <m/>
    <m/>
    <m/>
    <x v="3"/>
    <m/>
    <m/>
    <m/>
    <s v="For Monitoring"/>
  </r>
  <r>
    <x v="2"/>
    <s v="Hagonoy"/>
    <s v="San Juan"/>
    <s v="MBA"/>
    <s v="Ronaldo P. Roque, Jr."/>
    <s v="Diozelle L. Cabalar"/>
    <m/>
    <m/>
    <m/>
    <x v="3"/>
    <m/>
    <m/>
    <m/>
    <s v="For Monitoring"/>
  </r>
  <r>
    <x v="2"/>
    <s v="Marilao"/>
    <s v="Lias"/>
    <s v="MBA"/>
    <s v="James Wilson T. Peña"/>
    <s v="Diozelle L. Cabalar"/>
    <m/>
    <m/>
    <m/>
    <x v="3"/>
    <m/>
    <m/>
    <m/>
    <s v="For Monitoring"/>
  </r>
  <r>
    <x v="2"/>
    <s v="Marilao"/>
    <s v="Nagbalon"/>
    <s v="MBA"/>
    <s v="James Wilson T. Peña"/>
    <s v="Diozelle L. Cabalar"/>
    <m/>
    <m/>
    <m/>
    <x v="3"/>
    <m/>
    <m/>
    <m/>
    <s v="For Monitoring"/>
  </r>
  <r>
    <x v="2"/>
    <s v="Marilao"/>
    <s v="Santa Rosa I"/>
    <s v="MBA"/>
    <s v="James Wilson T. Peña"/>
    <s v="Diozelle L. Cabalar"/>
    <m/>
    <m/>
    <m/>
    <x v="3"/>
    <m/>
    <m/>
    <m/>
    <s v="For Monitoring"/>
  </r>
  <r>
    <x v="2"/>
    <s v="Norzagaray"/>
    <s v="Friendship Village Resources"/>
    <s v="MBA"/>
    <s v="James Wilson T. Peña"/>
    <s v="Diozelle L. Cabalar"/>
    <m/>
    <m/>
    <m/>
    <x v="3"/>
    <m/>
    <m/>
    <m/>
    <s v="For Monitoring"/>
  </r>
  <r>
    <x v="2"/>
    <s v="Norzagaray"/>
    <s v="Partida"/>
    <s v="MBA"/>
    <s v="James Wilson T. Peña"/>
    <s v="Diozelle L. Cabalar"/>
    <m/>
    <m/>
    <m/>
    <x v="3"/>
    <m/>
    <m/>
    <m/>
    <s v="For Monitoring"/>
  </r>
  <r>
    <x v="2"/>
    <s v="Pandi"/>
    <s v="Siling Bata"/>
    <s v="MBA"/>
    <s v="Ronaldo P. Roque, Jr."/>
    <s v="Diozelle L. Cabalar"/>
    <m/>
    <m/>
    <m/>
    <x v="3"/>
    <m/>
    <m/>
    <m/>
    <s v="For Monitoring"/>
  </r>
  <r>
    <x v="6"/>
    <s v="Cabanatuan City"/>
    <s v="Daang Sarile"/>
    <s v="MBA"/>
    <m/>
    <m/>
    <n v="2025"/>
    <d v="2025-10-14T00:00:00"/>
    <s v="R3-2025-035199"/>
    <x v="0"/>
    <m/>
    <s v="MRF"/>
    <s v="OPERATIONAL"/>
    <s v="Technical Assistance"/>
  </r>
  <r>
    <x v="2"/>
    <s v="Pandi"/>
    <s v="Siling Matanda"/>
    <s v="MBA"/>
    <s v="Ronaldo P. Roque, Jr."/>
    <s v="Diozelle L. Cabalar"/>
    <m/>
    <m/>
    <m/>
    <x v="3"/>
    <m/>
    <m/>
    <m/>
    <s v="For Monitoring"/>
  </r>
  <r>
    <x v="6"/>
    <s v="Cabanatuan City"/>
    <s v="Dimasalang (Pob.)"/>
    <s v="MBA"/>
    <m/>
    <m/>
    <n v="2025"/>
    <d v="2025-09-30T00:00:00"/>
    <s v="R3-2025-033407"/>
    <x v="0"/>
    <m/>
    <s v="MRS"/>
    <s v="OPERATIONAL"/>
    <s v="Technical Assistance"/>
  </r>
  <r>
    <x v="2"/>
    <s v="Paombong"/>
    <s v="Santa Cruz"/>
    <s v="MBA"/>
    <s v="Ronaldo P. Roque, Jr."/>
    <s v="Diozelle L. Cabalar"/>
    <m/>
    <m/>
    <m/>
    <x v="3"/>
    <m/>
    <m/>
    <m/>
    <s v="For Monitoring"/>
  </r>
  <r>
    <x v="6"/>
    <s v="Cabanatuan City"/>
    <s v="Dionisio S. Garcia"/>
    <s v="MBA"/>
    <m/>
    <m/>
    <n v="2024"/>
    <d v="2024-01-25T00:00:00"/>
    <m/>
    <x v="0"/>
    <m/>
    <m/>
    <m/>
    <s v="Technical Assistance"/>
  </r>
  <r>
    <x v="2"/>
    <s v="Plaridel"/>
    <s v="Bulihan"/>
    <s v="MBA"/>
    <s v="Jasmin Marie N. Siapco"/>
    <s v="Diozelle L. Cabalar"/>
    <m/>
    <m/>
    <m/>
    <x v="3"/>
    <m/>
    <m/>
    <m/>
    <s v="For Monitoring"/>
  </r>
  <r>
    <x v="2"/>
    <s v="Pulilan"/>
    <s v="Dampol II-B"/>
    <s v="MBA"/>
    <s v="Jasmin Marie N. Siapco"/>
    <s v="Diozelle L. Cabalar"/>
    <m/>
    <m/>
    <m/>
    <x v="3"/>
    <m/>
    <m/>
    <m/>
    <s v="For Monitoring"/>
  </r>
  <r>
    <x v="6"/>
    <s v="Cabanatuan City"/>
    <s v="Ibabao Bana"/>
    <s v="MBA"/>
    <m/>
    <m/>
    <n v="2025"/>
    <d v="2025-08-22T00:00:00"/>
    <s v="R3-2025-031713"/>
    <x v="0"/>
    <m/>
    <s v="MRS"/>
    <s v="OPERATIONAL"/>
    <s v="Technical Assistance"/>
  </r>
  <r>
    <x v="6"/>
    <s v="Cabanatuan City"/>
    <s v="Mayapyap Sur"/>
    <s v="MBA"/>
    <m/>
    <m/>
    <n v="2025"/>
    <d v="2025-09-12T00:00:00"/>
    <s v="R3-2025-031718"/>
    <x v="0"/>
    <m/>
    <s v="MRS"/>
    <s v="OPERATIONAL"/>
    <s v="Technical Assistance"/>
  </r>
  <r>
    <x v="6"/>
    <s v="Cabanatuan City"/>
    <s v="Imelda District"/>
    <s v="MBA"/>
    <m/>
    <m/>
    <n v="2024"/>
    <d v="2024-10-30T00:00:00"/>
    <m/>
    <x v="0"/>
    <m/>
    <s v="MRF"/>
    <s v="OPERATIONAL"/>
    <s v="Technical Assistance"/>
  </r>
  <r>
    <x v="2"/>
    <s v="Sta. Maria"/>
    <s v="Camangyanan"/>
    <s v="MBA"/>
    <s v="James Wilson T. Peña"/>
    <s v="Diozelle L. Cabalar"/>
    <m/>
    <m/>
    <m/>
    <x v="3"/>
    <m/>
    <m/>
    <m/>
    <s v="For Monitoring"/>
  </r>
  <r>
    <x v="2"/>
    <s v="Sta. Maria"/>
    <s v="Lalakhan"/>
    <s v="MBA"/>
    <s v="James Wilson T. Peña"/>
    <s v="Diozelle L. Cabalar"/>
    <m/>
    <m/>
    <m/>
    <x v="3"/>
    <m/>
    <m/>
    <m/>
    <s v="For Monitoring"/>
  </r>
  <r>
    <x v="2"/>
    <s v="Sta. Maria"/>
    <s v="Mag-asawang Sapa"/>
    <s v="MBA"/>
    <s v="James Wilson T. Peña"/>
    <s v="Diozelle L. Cabalar"/>
    <m/>
    <m/>
    <m/>
    <x v="3"/>
    <m/>
    <m/>
    <m/>
    <s v="For Monitoring"/>
  </r>
  <r>
    <x v="6"/>
    <s v="Cabanatuan City"/>
    <s v="Kapitan Pepe (Pob.)"/>
    <s v="MBA"/>
    <m/>
    <m/>
    <n v="2024"/>
    <d v="2024-07-31T00:00:00"/>
    <m/>
    <x v="0"/>
    <m/>
    <s v="MRF"/>
    <s v="OPERATIONAL"/>
    <s v="Technical Assistance"/>
  </r>
  <r>
    <x v="2"/>
    <s v="Sta. Maria"/>
    <s v="Manggahan"/>
    <s v="MBA"/>
    <s v="James Wilson T. Peña"/>
    <s v="Diozelle L. Cabalar"/>
    <m/>
    <m/>
    <m/>
    <x v="3"/>
    <m/>
    <m/>
    <m/>
    <s v="For Monitoring"/>
  </r>
  <r>
    <x v="2"/>
    <s v="Sta. Maria"/>
    <s v="Poblacion"/>
    <s v="MBA"/>
    <s v="James Wilson T. Peña"/>
    <s v="Diozelle L. Cabalar"/>
    <m/>
    <m/>
    <m/>
    <x v="3"/>
    <m/>
    <m/>
    <m/>
    <s v="For Monitoring"/>
  </r>
  <r>
    <x v="6"/>
    <s v="Cabanatuan City"/>
    <s v="M. S. Garcia"/>
    <s v="MBA"/>
    <m/>
    <m/>
    <n v="2024"/>
    <d v="2024-10-30T00:00:00"/>
    <m/>
    <x v="0"/>
    <m/>
    <s v="MRS"/>
    <s v="CATER BY LGU"/>
    <s v="Technical Assistance"/>
  </r>
  <r>
    <x v="6"/>
    <s v="Cabanatuan City"/>
    <s v="Mabini Extension"/>
    <s v="MBA"/>
    <m/>
    <m/>
    <n v="2024"/>
    <d v="2024-05-09T00:00:00"/>
    <m/>
    <x v="0"/>
    <m/>
    <m/>
    <m/>
    <s v="Technical Assistance"/>
  </r>
  <r>
    <x v="6"/>
    <s v="Cabanatuan City"/>
    <s v="Mabini Homesite"/>
    <s v="MBA"/>
    <m/>
    <m/>
    <n v="2024"/>
    <d v="2024-01-25T00:00:00"/>
    <m/>
    <x v="0"/>
    <m/>
    <m/>
    <m/>
    <s v="Technical Assistance"/>
  </r>
  <r>
    <x v="6"/>
    <s v="Gabaldon"/>
    <s v="Bagong Sikat"/>
    <s v="MBA"/>
    <s v="Christian Jem L. Buluran"/>
    <s v="Zosimo P. Suyat"/>
    <m/>
    <m/>
    <m/>
    <x v="3"/>
    <m/>
    <m/>
    <m/>
    <s v="For Monitoring"/>
  </r>
  <r>
    <x v="6"/>
    <s v="Cabanatuan City"/>
    <s v="Magsaysay District (Norte)"/>
    <s v="MBA"/>
    <m/>
    <m/>
    <n v="2025"/>
    <d v="2025-05-28T00:00:00"/>
    <s v="R3-2025-018159"/>
    <x v="0"/>
    <m/>
    <s v="MRS"/>
    <s v="OPERATIONAL"/>
    <s v="Technical Assistance"/>
  </r>
  <r>
    <x v="6"/>
    <s v="Cabanatuan City"/>
    <s v="Magsaysay South (Sur)"/>
    <s v="MBA"/>
    <m/>
    <m/>
    <n v="2025"/>
    <d v="2025-05-28T00:00:00"/>
    <s v="R3-2025-018160"/>
    <x v="0"/>
    <m/>
    <s v="MRS"/>
    <s v="OPERATIONAL"/>
    <s v="Technical Assistance"/>
  </r>
  <r>
    <x v="6"/>
    <s v="Gabaldon"/>
    <s v="Bagting"/>
    <s v="MBA"/>
    <s v="Christian Jem L. Buluran"/>
    <s v="Zosimo P. Suyat"/>
    <m/>
    <m/>
    <m/>
    <x v="3"/>
    <m/>
    <m/>
    <m/>
    <s v="For Monitoring"/>
  </r>
  <r>
    <x v="6"/>
    <s v="Gabaldon"/>
    <s v="Bantug"/>
    <s v="MBA"/>
    <s v="Christian Jem L. Buluran"/>
    <s v="Zosimo P. Suyat"/>
    <m/>
    <m/>
    <m/>
    <x v="3"/>
    <m/>
    <m/>
    <m/>
    <s v="For Monitoring"/>
  </r>
  <r>
    <x v="6"/>
    <s v="Cabanatuan City"/>
    <s v="Mayapyap Norte"/>
    <s v="MBA"/>
    <m/>
    <m/>
    <n v="2025"/>
    <d v="2025-08-07T00:00:00"/>
    <s v="R3-2025-027689"/>
    <x v="0"/>
    <m/>
    <s v="MRS"/>
    <s v="OPERATIONAL"/>
    <s v="Technical Assistance"/>
  </r>
  <r>
    <x v="6"/>
    <s v="Gabaldon"/>
    <s v="Bitulok"/>
    <s v="MBA"/>
    <s v="Christian Jem L. Buluran"/>
    <s v="Zosimo P. Suyat"/>
    <m/>
    <m/>
    <m/>
    <x v="3"/>
    <m/>
    <m/>
    <m/>
    <s v="For Monitoring"/>
  </r>
  <r>
    <x v="6"/>
    <s v="Cabanatuan City"/>
    <s v="Nabao (Pob.)"/>
    <s v="MBA"/>
    <m/>
    <m/>
    <n v="2024"/>
    <d v="2024-11-13T00:00:00"/>
    <m/>
    <x v="0"/>
    <m/>
    <s v="MRF"/>
    <s v="OPERATIONAL"/>
    <s v="Technical Assistance"/>
  </r>
  <r>
    <x v="6"/>
    <s v="Gabaldon"/>
    <s v="Bugnan"/>
    <s v="MBA"/>
    <s v="Christian Jem L. Buluran"/>
    <s v="Zosimo P. Suyat"/>
    <m/>
    <m/>
    <m/>
    <x v="3"/>
    <m/>
    <m/>
    <m/>
    <s v="For Monitoring"/>
  </r>
  <r>
    <x v="6"/>
    <s v="Gen. Mamerto Natividad"/>
    <s v="Belen"/>
    <s v="MBA"/>
    <s v="Hosannah R. Sabio"/>
    <s v="Zosimo P. Suyat"/>
    <m/>
    <m/>
    <m/>
    <x v="3"/>
    <m/>
    <m/>
    <m/>
    <s v="For Monitoring"/>
  </r>
  <r>
    <x v="6"/>
    <s v="Cabanatuan City"/>
    <s v="Padre Crisostomo"/>
    <s v="MBA"/>
    <m/>
    <m/>
    <n v="2024"/>
    <d v="2024-01-25T00:00:00"/>
    <m/>
    <x v="0"/>
    <m/>
    <m/>
    <m/>
    <s v="Technical Assistance"/>
  </r>
  <r>
    <x v="6"/>
    <s v="Cabanatuan City"/>
    <s v="Pagas"/>
    <s v="MBA"/>
    <m/>
    <m/>
    <n v="2024"/>
    <d v="2024-09-23T00:00:00"/>
    <m/>
    <x v="0"/>
    <m/>
    <s v="MRF"/>
    <s v="OPERATIONAL"/>
    <s v="Technical Assistance"/>
  </r>
  <r>
    <x v="6"/>
    <s v="Gen. Mamerto Natividad"/>
    <s v="Bravo"/>
    <s v="MBA"/>
    <s v="Hosannah R. Sabio"/>
    <s v="Zosimo P. Suyat"/>
    <m/>
    <m/>
    <m/>
    <x v="3"/>
    <m/>
    <m/>
    <m/>
    <s v="For Monitoring"/>
  </r>
  <r>
    <x v="6"/>
    <s v="Cabanatuan City"/>
    <s v="Pamaldan"/>
    <s v="MBA"/>
    <m/>
    <m/>
    <n v="2025"/>
    <d v="2025-10-28T00:00:00"/>
    <s v="R3-2025-036619"/>
    <x v="0"/>
    <m/>
    <s v="MRS"/>
    <s v="OPERATIONAL"/>
    <s v="Technical Assistance"/>
  </r>
  <r>
    <x v="6"/>
    <s v="Gen. Mamerto Natividad"/>
    <s v="Burol"/>
    <s v="MBA"/>
    <s v="Hosannah R. Sabio"/>
    <s v="Zosimo P. Suyat"/>
    <m/>
    <m/>
    <m/>
    <x v="3"/>
    <m/>
    <m/>
    <m/>
    <s v="For Monitoring"/>
  </r>
  <r>
    <x v="6"/>
    <s v="Gen. Mamerto Natividad"/>
    <s v="Kabulihan"/>
    <s v="MBA"/>
    <s v="Hosannah R. Sabio"/>
    <s v="Zosimo P. Suyat"/>
    <m/>
    <m/>
    <m/>
    <x v="3"/>
    <m/>
    <m/>
    <m/>
    <s v="For Monitoring"/>
  </r>
  <r>
    <x v="6"/>
    <s v="Gen. Mamerto Natividad"/>
    <s v="Mag-asawang Sampaloc"/>
    <s v="MBA"/>
    <s v="Hosannah R. Sabio"/>
    <s v="Zosimo P. Suyat"/>
    <m/>
    <m/>
    <m/>
    <x v="3"/>
    <m/>
    <m/>
    <m/>
    <s v="For Monitoring"/>
  </r>
  <r>
    <x v="6"/>
    <s v="Cabanatuan City"/>
    <s v="Pula"/>
    <s v="MBA"/>
    <m/>
    <m/>
    <n v="2025"/>
    <d v="2025-07-29T00:00:00"/>
    <s v="R3-2025-027151"/>
    <x v="0"/>
    <m/>
    <s v="MRS"/>
    <s v="OPERATIONAL"/>
    <s v="Technical Assistance"/>
  </r>
  <r>
    <x v="6"/>
    <s v="Gen. Tinio"/>
    <s v="Bago"/>
    <s v="MBA"/>
    <s v="Christian Jem L. Buluran"/>
    <s v="Zosimo P. Suyat"/>
    <m/>
    <m/>
    <m/>
    <x v="3"/>
    <m/>
    <m/>
    <m/>
    <s v="For Monitoring"/>
  </r>
  <r>
    <x v="6"/>
    <s v="Cabanatuan City"/>
    <s v="Rizdelis (Pob.)"/>
    <s v="MBA"/>
    <m/>
    <m/>
    <n v="2024"/>
    <d v="2024-11-13T00:00:00"/>
    <m/>
    <x v="0"/>
    <m/>
    <s v="MRF"/>
    <s v="OPERATIONAL"/>
    <s v="Technical Assistance"/>
  </r>
  <r>
    <x v="6"/>
    <s v="Cabanatuan City"/>
    <s v="Samon"/>
    <s v="MBA"/>
    <m/>
    <m/>
    <n v="2025"/>
    <d v="2025-10-28T00:00:00"/>
    <s v="R3-2025-036620"/>
    <x v="0"/>
    <m/>
    <s v="MRS"/>
    <s v="OPERATIONAL"/>
    <s v="Technical Assistance"/>
  </r>
  <r>
    <x v="6"/>
    <s v="Gen. Tinio"/>
    <s v="Concepcion"/>
    <s v="MBA"/>
    <s v="Christian Jem L. Buluran"/>
    <s v="Zosimo P. Suyat"/>
    <m/>
    <m/>
    <m/>
    <x v="3"/>
    <m/>
    <m/>
    <m/>
    <s v="For Monitoring"/>
  </r>
  <r>
    <x v="6"/>
    <s v="Cabanatuan City"/>
    <s v="San Josef Norte"/>
    <s v="MBA"/>
    <m/>
    <m/>
    <n v="2024"/>
    <d v="2024-09-26T00:00:00"/>
    <m/>
    <x v="0"/>
    <m/>
    <s v="MRF"/>
    <s v="OPERATIONAL"/>
    <s v="Technical Assistance"/>
  </r>
  <r>
    <x v="6"/>
    <s v="Cabanatuan City"/>
    <s v="San Josef Sur"/>
    <s v="MBA"/>
    <m/>
    <m/>
    <n v="2024"/>
    <d v="2024-09-26T00:00:00"/>
    <m/>
    <x v="0"/>
    <m/>
    <s v="MRF"/>
    <s v="OPERATIONAL"/>
    <s v="Technical Assistance"/>
  </r>
  <r>
    <x v="6"/>
    <s v="Gen. Tinio"/>
    <s v="Nazareth"/>
    <s v="MBA"/>
    <s v="Christian Jem L. Buluran"/>
    <s v="Zosimo P. Suyat"/>
    <m/>
    <m/>
    <m/>
    <x v="3"/>
    <m/>
    <m/>
    <m/>
    <s v="For Monitoring"/>
  </r>
  <r>
    <x v="6"/>
    <s v="Gen. Tinio"/>
    <s v="Padolina"/>
    <s v="MBA"/>
    <s v="Christian Jem L. Buluran"/>
    <s v="Zosimo P. Suyat"/>
    <m/>
    <m/>
    <m/>
    <x v="3"/>
    <m/>
    <m/>
    <m/>
    <s v="For Monitoring"/>
  </r>
  <r>
    <x v="6"/>
    <s v="Gen. Tinio"/>
    <s v="Palale"/>
    <s v="MBA"/>
    <s v="Christian Jem L. Buluran"/>
    <s v="Zosimo P. Suyat"/>
    <m/>
    <m/>
    <m/>
    <x v="3"/>
    <m/>
    <m/>
    <m/>
    <s v="For Monitoring"/>
  </r>
  <r>
    <x v="6"/>
    <s v="Gen. Tinio"/>
    <s v="Pias"/>
    <s v="MBA"/>
    <s v="Christian Jem L. Buluran"/>
    <s v="Zosimo P. Suyat"/>
    <m/>
    <m/>
    <m/>
    <x v="3"/>
    <m/>
    <m/>
    <m/>
    <s v="For Monitoring"/>
  </r>
  <r>
    <x v="6"/>
    <s v="Guimba"/>
    <s v="Agcano"/>
    <s v="MBA"/>
    <s v="Aser A. Inocencio, Jr."/>
    <s v="Zosimo P. Suyat"/>
    <m/>
    <m/>
    <m/>
    <x v="3"/>
    <m/>
    <m/>
    <m/>
    <s v="For Monitoring"/>
  </r>
  <r>
    <x v="6"/>
    <s v="Guimba"/>
    <s v="Bacayao"/>
    <s v="MBA"/>
    <s v="Aser A. Inocencio, Jr."/>
    <s v="Zosimo P. Suyat"/>
    <m/>
    <m/>
    <m/>
    <x v="3"/>
    <m/>
    <m/>
    <m/>
    <s v="For Monitoring"/>
  </r>
  <r>
    <x v="6"/>
    <s v="Cabanatuan City"/>
    <s v="Santa Arcadia"/>
    <s v="MBA"/>
    <m/>
    <m/>
    <n v="2024"/>
    <d v="2024-08-16T00:00:00"/>
    <m/>
    <x v="0"/>
    <m/>
    <s v="MRF"/>
    <s v="OPERATIONAL"/>
    <s v="Technical Assistance"/>
  </r>
  <r>
    <x v="6"/>
    <s v="Guimba"/>
    <s v="Balingog East"/>
    <s v="MBA"/>
    <s v="Aser A. Inocencio, Jr."/>
    <s v="Zosimo P. Suyat"/>
    <m/>
    <m/>
    <m/>
    <x v="3"/>
    <m/>
    <m/>
    <m/>
    <s v="For Monitoring"/>
  </r>
  <r>
    <x v="6"/>
    <s v="Guimba"/>
    <s v="Balingog West"/>
    <s v="MBA"/>
    <s v="Aser A. Inocencio, Jr."/>
    <s v="Zosimo P. Suyat"/>
    <m/>
    <m/>
    <m/>
    <x v="3"/>
    <m/>
    <m/>
    <m/>
    <s v="For Monitoring"/>
  </r>
  <r>
    <x v="6"/>
    <s v="Guimba"/>
    <s v="Bulakid"/>
    <s v="MBA"/>
    <s v="Aser A. Inocencio, Jr."/>
    <s v="Zosimo P. Suyat"/>
    <m/>
    <m/>
    <m/>
    <x v="3"/>
    <m/>
    <m/>
    <m/>
    <s v="For Monitoring"/>
  </r>
  <r>
    <x v="6"/>
    <s v="Guimba"/>
    <s v="Caballero"/>
    <s v="MBA"/>
    <s v="Aser A. Inocencio, Jr."/>
    <s v="Zosimo P. Suyat"/>
    <m/>
    <m/>
    <m/>
    <x v="3"/>
    <m/>
    <m/>
    <m/>
    <s v="For Monitoring"/>
  </r>
  <r>
    <x v="6"/>
    <s v="Cabanatuan City"/>
    <s v="Sumacab South"/>
    <s v="MBA"/>
    <m/>
    <m/>
    <n v="2024"/>
    <d v="2024-08-22T00:00:00"/>
    <m/>
    <x v="0"/>
    <m/>
    <s v="MRF"/>
    <s v="OPERATIONAL"/>
    <s v="Technical Assistance"/>
  </r>
  <r>
    <x v="6"/>
    <s v="Licab"/>
    <s v="Aquino"/>
    <s v="MBA"/>
    <s v="Gem C. Vicencio"/>
    <s v="Zosimo P. Suyat"/>
    <m/>
    <m/>
    <m/>
    <x v="3"/>
    <m/>
    <m/>
    <m/>
    <s v="For Monitoring"/>
  </r>
  <r>
    <x v="6"/>
    <s v="Cabanatuan City"/>
    <s v="Valdefuente"/>
    <s v="MBA"/>
    <m/>
    <m/>
    <n v="2025"/>
    <d v="2025-10-08T00:00:00"/>
    <s v="R3-2025-034720"/>
    <x v="0"/>
    <m/>
    <s v="MRF"/>
    <s v="OPERATIONAL"/>
    <s v="Technical Assistance"/>
  </r>
  <r>
    <x v="6"/>
    <s v="Licab"/>
    <s v="Poblacion Sur"/>
    <s v="MBA"/>
    <s v="Gem C. Vicencio"/>
    <s v="Zosimo P. Suyat"/>
    <m/>
    <m/>
    <m/>
    <x v="3"/>
    <m/>
    <m/>
    <m/>
    <s v="For Monitoring"/>
  </r>
  <r>
    <x v="6"/>
    <s v="Licab"/>
    <s v="San Casimiro"/>
    <s v="MBA"/>
    <s v="Gem C. Vicencio"/>
    <s v="Zosimo P. Suyat"/>
    <m/>
    <m/>
    <m/>
    <x v="3"/>
    <m/>
    <m/>
    <m/>
    <s v="For Monitoring"/>
  </r>
  <r>
    <x v="6"/>
    <s v="Licab"/>
    <s v="San Cristobal"/>
    <s v="MBA"/>
    <s v="Gem C. Vicencio"/>
    <s v="Zosimo P. Suyat"/>
    <m/>
    <m/>
    <m/>
    <x v="3"/>
    <m/>
    <m/>
    <m/>
    <s v="For Monitoring"/>
  </r>
  <r>
    <x v="6"/>
    <s v="Cabanatuan City"/>
    <s v="Zulueta District (Pob.)"/>
    <s v="MBA"/>
    <m/>
    <m/>
    <n v="2024"/>
    <d v="2024-07-31T00:00:00"/>
    <m/>
    <x v="0"/>
    <m/>
    <s v="MRF"/>
    <s v="OPERATIONAL"/>
    <s v="Technical Assistance"/>
  </r>
  <r>
    <x v="6"/>
    <s v="Cabiao"/>
    <s v="Concepcion"/>
    <s v="MBA"/>
    <m/>
    <m/>
    <n v="2025"/>
    <d v="2025-09-10T00:00:00"/>
    <s v="R3-2025-031577"/>
    <x v="0"/>
    <m/>
    <s v="MRS"/>
    <s v="OPERATIONAL"/>
    <s v="Technical Assistance"/>
  </r>
  <r>
    <x v="6"/>
    <s v="Cabiao"/>
    <s v="Bagong Buhay"/>
    <s v="MBA"/>
    <m/>
    <m/>
    <n v="2024"/>
    <d v="2024-09-18T00:00:00"/>
    <m/>
    <x v="0"/>
    <m/>
    <s v="MRF"/>
    <s v="OPERATIONAL"/>
    <s v="Technical Assistance "/>
  </r>
  <r>
    <x v="6"/>
    <s v="Licab"/>
    <s v="San Jose"/>
    <s v="MBA"/>
    <s v="Gem C. Vicencio"/>
    <s v="Zosimo P. Suyat"/>
    <m/>
    <m/>
    <m/>
    <x v="3"/>
    <m/>
    <m/>
    <m/>
    <s v="For Monitoring"/>
  </r>
  <r>
    <x v="6"/>
    <s v="Cabiao"/>
    <s v="Bagong Silang"/>
    <s v="MBA"/>
    <m/>
    <m/>
    <n v="2024"/>
    <d v="2024-06-11T00:00:00"/>
    <m/>
    <x v="0"/>
    <m/>
    <m/>
    <m/>
    <s v="Technical Assistance"/>
  </r>
  <r>
    <x v="6"/>
    <s v="Cabiao"/>
    <s v="San Roque"/>
    <s v="MBA"/>
    <m/>
    <m/>
    <n v="2025"/>
    <d v="2025-09-17T00:00:00"/>
    <s v="R3-2025-031578"/>
    <x v="0"/>
    <m/>
    <s v="MRS"/>
    <s v="OPERATIONAL"/>
    <s v="Technical Assistance"/>
  </r>
  <r>
    <x v="6"/>
    <s v="Cabiao"/>
    <s v="Entablado"/>
    <s v="MBA"/>
    <m/>
    <m/>
    <n v="2024"/>
    <d v="2024-05-21T00:00:00"/>
    <m/>
    <x v="0"/>
    <m/>
    <m/>
    <m/>
    <s v="Technical Assistance"/>
  </r>
  <r>
    <x v="6"/>
    <s v="Licab"/>
    <s v="Santa Maria"/>
    <s v="MBA"/>
    <s v="Gem C. Vicencio"/>
    <s v="Zosimo P. Suyat"/>
    <m/>
    <m/>
    <m/>
    <x v="3"/>
    <m/>
    <m/>
    <m/>
    <s v="For Monitoring"/>
  </r>
  <r>
    <x v="6"/>
    <s v="Cabiao"/>
    <s v="Natividad North (Pob.)"/>
    <s v="MBA"/>
    <m/>
    <m/>
    <n v="2025"/>
    <d v="2025-08-01T00:00:00"/>
    <s v="R3-2025-026164"/>
    <x v="0"/>
    <m/>
    <s v="MRS"/>
    <s v="OPERATIONAL"/>
    <s v="Technical Assistance"/>
  </r>
  <r>
    <x v="6"/>
    <s v="Cabiao"/>
    <s v="Natividad South (Pob.)"/>
    <s v="MBA"/>
    <m/>
    <m/>
    <n v="2024"/>
    <d v="2024-03-26T00:00:00"/>
    <m/>
    <x v="0"/>
    <m/>
    <m/>
    <m/>
    <s v="Technical Assistance"/>
  </r>
  <r>
    <x v="6"/>
    <s v="Cabiao"/>
    <s v="Palasinan"/>
    <s v="MBA"/>
    <m/>
    <m/>
    <n v="2024"/>
    <d v="2024-05-21T00:00:00"/>
    <m/>
    <x v="0"/>
    <m/>
    <m/>
    <m/>
    <s v="Technical Assistance"/>
  </r>
  <r>
    <x v="6"/>
    <s v="Cabiao"/>
    <s v="Polilio"/>
    <s v="MBA"/>
    <m/>
    <m/>
    <n v="2024"/>
    <d v="2024-03-26T00:00:00"/>
    <m/>
    <x v="0"/>
    <m/>
    <m/>
    <m/>
    <s v="Technical Assistance"/>
  </r>
  <r>
    <x v="6"/>
    <s v="Cabiao"/>
    <s v="San Antonio"/>
    <s v="MBA"/>
    <m/>
    <m/>
    <n v="2025"/>
    <d v="2025-10-03T00:00:00"/>
    <s v="R3-2025-033310"/>
    <x v="0"/>
    <m/>
    <s v="MRS"/>
    <s v="OPERATIONAL"/>
    <s v="Technical Assistance"/>
  </r>
  <r>
    <x v="6"/>
    <s v="Cabiao"/>
    <s v="San Carlos"/>
    <s v="MBA"/>
    <m/>
    <m/>
    <n v="2024"/>
    <d v="2024-03-26T00:00:00"/>
    <m/>
    <x v="0"/>
    <m/>
    <m/>
    <m/>
    <s v="Technical Assistance"/>
  </r>
  <r>
    <x v="6"/>
    <s v="Cabiao"/>
    <s v="San Fernando Norte"/>
    <s v="MBA"/>
    <m/>
    <m/>
    <n v="2024"/>
    <d v="2024-02-06T00:00:00"/>
    <m/>
    <x v="0"/>
    <m/>
    <m/>
    <m/>
    <s v="Technical Assistance"/>
  </r>
  <r>
    <x v="6"/>
    <s v="Cabiao"/>
    <s v="San Fernando Sur"/>
    <s v="MBA"/>
    <m/>
    <m/>
    <n v="2024"/>
    <d v="2024-02-06T00:00:00"/>
    <m/>
    <x v="0"/>
    <m/>
    <m/>
    <m/>
    <s v="Technical Assistance"/>
  </r>
  <r>
    <x v="6"/>
    <s v="Cabiao"/>
    <s v="San Gregorio"/>
    <s v="MBA"/>
    <m/>
    <m/>
    <n v="2024"/>
    <d v="2024-08-01T00:00:00"/>
    <m/>
    <x v="0"/>
    <m/>
    <s v="MRF"/>
    <s v="OPERATIONAL"/>
    <s v="Technical Assistance"/>
  </r>
  <r>
    <x v="6"/>
    <s v="Cabiao"/>
    <s v="San Juan North (Pob.)"/>
    <s v="MBA"/>
    <m/>
    <m/>
    <n v="2024"/>
    <d v="2024-08-01T00:00:00"/>
    <m/>
    <x v="0"/>
    <m/>
    <s v="MRF"/>
    <s v="OPERATIONAL"/>
    <s v="Technical Assistance"/>
  </r>
  <r>
    <x v="6"/>
    <s v="Cabiao"/>
    <s v="San Juan South (Pob.)"/>
    <s v="MBA"/>
    <m/>
    <m/>
    <n v="2024"/>
    <d v="2024-08-01T00:00:00"/>
    <m/>
    <x v="0"/>
    <m/>
    <s v="MRF"/>
    <s v="OPERATIONAL"/>
    <s v="Technical Assistance"/>
  </r>
  <r>
    <x v="6"/>
    <s v="Cabiao"/>
    <s v="San Vicente"/>
    <s v="MBA"/>
    <m/>
    <m/>
    <n v="2024"/>
    <d v="2024-05-22T00:00:00"/>
    <m/>
    <x v="0"/>
    <m/>
    <m/>
    <m/>
    <s v="Technical Assistance"/>
  </r>
  <r>
    <x v="6"/>
    <s v="Llanera"/>
    <s v="A. Bonifacio"/>
    <s v="MBA"/>
    <s v="Hosannah R. Sabio"/>
    <s v="Zosimo P. Suyat"/>
    <m/>
    <m/>
    <m/>
    <x v="3"/>
    <m/>
    <m/>
    <m/>
    <s v="For Monitoring"/>
  </r>
  <r>
    <x v="6"/>
    <s v="Llanera"/>
    <s v="Gomez"/>
    <s v="MBA"/>
    <s v="Hosannah R. Sabio"/>
    <s v="Zosimo P. Suyat"/>
    <m/>
    <m/>
    <m/>
    <x v="3"/>
    <m/>
    <m/>
    <m/>
    <s v="For Monitoring"/>
  </r>
  <r>
    <x v="6"/>
    <s v="Nampicuan"/>
    <s v="North Poblacion"/>
    <s v="OUTSIDE MBA"/>
    <s v="Aser A. Inocencio, Jr."/>
    <s v="Zosimo P. Suyat"/>
    <m/>
    <m/>
    <m/>
    <x v="3"/>
    <m/>
    <m/>
    <m/>
    <s v="For Monitoring"/>
  </r>
  <r>
    <x v="6"/>
    <s v="Nampicuan"/>
    <s v="Northwest Poblacion"/>
    <s v="OUTSIDE MBA"/>
    <s v="Aser A. Inocencio, Jr."/>
    <s v="Zosimo P. Suyat"/>
    <m/>
    <m/>
    <m/>
    <x v="3"/>
    <m/>
    <m/>
    <m/>
    <s v="For Monitoring"/>
  </r>
  <r>
    <x v="6"/>
    <s v="Nampicuan"/>
    <s v="Recuerdo"/>
    <s v="OUTSIDE MBA"/>
    <s v="Aser A. Inocencio, Jr."/>
    <s v="Zosimo P. Suyat"/>
    <m/>
    <m/>
    <m/>
    <x v="3"/>
    <m/>
    <m/>
    <m/>
    <s v="For Monitoring"/>
  </r>
  <r>
    <x v="6"/>
    <s v="Carranglan"/>
    <s v="Bunga"/>
    <s v="MBA"/>
    <m/>
    <m/>
    <n v="2025"/>
    <d v="2025-09-25T00:00:00"/>
    <s v="R3-2025-032648"/>
    <x v="0"/>
    <m/>
    <s v="MRS"/>
    <s v="OPERATIONAL"/>
    <s v="Technical Assistance"/>
  </r>
  <r>
    <x v="6"/>
    <s v="Nampicuan"/>
    <s v="South Central Poblacion"/>
    <s v="OUTSIDE MBA"/>
    <s v="Aser A. Inocencio, Jr."/>
    <s v="Zosimo P. Suyat"/>
    <m/>
    <m/>
    <m/>
    <x v="3"/>
    <m/>
    <m/>
    <m/>
    <s v="For Monitoring"/>
  </r>
  <r>
    <x v="6"/>
    <s v="Carranglan"/>
    <s v="Capintalan"/>
    <s v="MBA"/>
    <m/>
    <m/>
    <n v="2025"/>
    <d v="2025-03-12T00:00:00"/>
    <s v="R3-2025-009113"/>
    <x v="0"/>
    <m/>
    <s v="MRS"/>
    <s v="OPERATIONAL"/>
    <s v="Technical Assistance"/>
  </r>
  <r>
    <x v="6"/>
    <s v="Carranglan"/>
    <s v="D. L. Maglanoc Pob."/>
    <s v="MBA"/>
    <m/>
    <m/>
    <n v="2025"/>
    <d v="2025-09-25T00:00:00"/>
    <s v="R3-2025-032649"/>
    <x v="0"/>
    <m/>
    <s v="MRS"/>
    <s v="OPERATIONAL"/>
    <s v="Technical Assistance"/>
  </r>
  <r>
    <x v="6"/>
    <s v="Nampicuan"/>
    <s v="Southeast Poblacion"/>
    <s v="OUTSIDE MBA"/>
    <s v="Aser A. Inocencio, Jr."/>
    <s v="Zosimo P. Suyat"/>
    <m/>
    <m/>
    <m/>
    <x v="3"/>
    <m/>
    <m/>
    <m/>
    <s v="For Monitoring"/>
  </r>
  <r>
    <x v="6"/>
    <s v="Nampicuan"/>
    <s v="Southwest Poblacion"/>
    <s v="OUTSIDE MBA"/>
    <s v="Aser A. Inocencio, Jr."/>
    <s v="Zosimo P. Suyat"/>
    <m/>
    <m/>
    <m/>
    <x v="3"/>
    <m/>
    <m/>
    <m/>
    <s v="For Monitoring"/>
  </r>
  <r>
    <x v="6"/>
    <s v="Nampicuan"/>
    <s v="Tony"/>
    <s v="OUTSIDE MBA"/>
    <s v="Aser A. Inocencio, Jr."/>
    <s v="Zosimo P. Suyat"/>
    <m/>
    <m/>
    <m/>
    <x v="3"/>
    <m/>
    <m/>
    <m/>
    <s v="For Monitoring"/>
  </r>
  <r>
    <x v="6"/>
    <s v="Carranglan"/>
    <s v="Joson"/>
    <s v="MBA"/>
    <m/>
    <m/>
    <n v="2025"/>
    <d v="2025-04-03T00:00:00"/>
    <s v="R3-2025-011888"/>
    <x v="0"/>
    <m/>
    <s v="MRS"/>
    <s v="OPERATIONAL"/>
    <s v="Technical Assistance"/>
  </r>
  <r>
    <x v="6"/>
    <s v="Carranglan"/>
    <s v="Minuli"/>
    <s v="MBA"/>
    <m/>
    <m/>
    <n v="2025"/>
    <d v="2025-03-07T00:00:00"/>
    <s v="R3-2025-008226"/>
    <x v="0"/>
    <m/>
    <s v="MRS"/>
    <s v="OPERATIONAL"/>
    <s v="Technical Assistance"/>
  </r>
  <r>
    <x v="6"/>
    <s v="Carranglan"/>
    <s v="Piut"/>
    <s v="MBA"/>
    <m/>
    <m/>
    <n v="2025"/>
    <d v="2025-03-12T00:00:00"/>
    <s v="R3-2025-009114"/>
    <x v="0"/>
    <m/>
    <s v="MRS"/>
    <s v="OPERATIONAL"/>
    <s v="Technical Assistance"/>
  </r>
  <r>
    <x v="6"/>
    <s v="Nampicuan"/>
    <s v="West Central Poblacion"/>
    <s v="OUTSIDE MBA"/>
    <s v="Aser A. Inocencio, Jr."/>
    <s v="Zosimo P. Suyat"/>
    <m/>
    <m/>
    <m/>
    <x v="3"/>
    <m/>
    <m/>
    <m/>
    <s v="For Monitoring"/>
  </r>
  <r>
    <x v="6"/>
    <s v="Carranglan"/>
    <s v="Putlan"/>
    <s v="MBA"/>
    <m/>
    <m/>
    <n v="2025"/>
    <d v="2025-03-07T00:00:00"/>
    <s v="R3-2025-008228 "/>
    <x v="0"/>
    <m/>
    <s v="MRS"/>
    <s v="OPERATIONAL"/>
    <s v="Technical Assistance"/>
  </r>
  <r>
    <x v="6"/>
    <s v="Carranglan"/>
    <s v="R.A.Padilla"/>
    <s v="MBA"/>
    <m/>
    <m/>
    <n v="2025"/>
    <d v="2025-09-25T00:00:00"/>
    <s v="R3-2025-032650"/>
    <x v="0"/>
    <m/>
    <s v="MRS"/>
    <s v="OPERATIONAL"/>
    <s v="Technical Assistance"/>
  </r>
  <r>
    <x v="6"/>
    <s v="Nampicuan"/>
    <s v="West Poblacion"/>
    <s v="OUTSIDE MBA"/>
    <s v="Aser A. Inocencio, Jr."/>
    <s v="Zosimo P. Suyat"/>
    <m/>
    <m/>
    <m/>
    <x v="3"/>
    <m/>
    <m/>
    <m/>
    <s v="For Monitoring"/>
  </r>
  <r>
    <x v="6"/>
    <s v="Pantabangan"/>
    <s v="Poblacion West"/>
    <s v="MBA"/>
    <s v="Hosannah R. Sabio"/>
    <s v="Zosimo P. Suyat"/>
    <m/>
    <m/>
    <m/>
    <x v="3"/>
    <m/>
    <m/>
    <m/>
    <s v="For Monitoring"/>
  </r>
  <r>
    <x v="6"/>
    <s v="Pantabangan"/>
    <s v="Sampaloc"/>
    <s v="MBA"/>
    <s v="Hosannah R. Sabio"/>
    <s v="Zosimo P. Suyat"/>
    <m/>
    <m/>
    <m/>
    <x v="3"/>
    <m/>
    <m/>
    <m/>
    <s v="For Monitoring"/>
  </r>
  <r>
    <x v="6"/>
    <s v="City of Gapan"/>
    <s v="Pambuan"/>
    <s v="MBA"/>
    <m/>
    <m/>
    <n v="2025"/>
    <d v="2025-08-20T00:00:00"/>
    <s v="R3-2025-029936"/>
    <x v="0"/>
    <m/>
    <s v="MRS"/>
    <s v="OPERATIONAL"/>
    <s v="Technical Assistance"/>
  </r>
  <r>
    <x v="6"/>
    <s v="City of Gapan"/>
    <s v="Balante"/>
    <s v="MBA"/>
    <m/>
    <m/>
    <n v="2024"/>
    <d v="2024-11-15T00:00:00"/>
    <m/>
    <x v="0"/>
    <m/>
    <s v="MRF"/>
    <s v="OPERATIONAL"/>
    <s v="Technical Assistance"/>
  </r>
  <r>
    <x v="6"/>
    <s v="City of Gapan"/>
    <s v="Bayanihan"/>
    <s v="MBA"/>
    <m/>
    <m/>
    <n v="2025"/>
    <d v="2025-10-22T00:00:00"/>
    <s v="R3-2025-036048"/>
    <x v="0"/>
    <m/>
    <s v="MRS"/>
    <s v="OPERATIONAL"/>
    <s v="Technical Assistance "/>
  </r>
  <r>
    <x v="6"/>
    <s v="City of Gapan"/>
    <s v="Bulak"/>
    <s v="MBA"/>
    <m/>
    <m/>
    <n v="2024"/>
    <d v="2024-06-20T00:00:00"/>
    <m/>
    <x v="0"/>
    <m/>
    <s v="MRF"/>
    <s v="OPERATIONAL"/>
    <s v="Technical Assistance"/>
  </r>
  <r>
    <x v="6"/>
    <s v="City of Gapan"/>
    <s v="Bungo"/>
    <s v="MBA"/>
    <m/>
    <m/>
    <n v="2025"/>
    <d v="2025-10-22T00:00:00"/>
    <s v="R3-2025-036042"/>
    <x v="0"/>
    <m/>
    <s v="MRS"/>
    <s v="OPERATIONAL"/>
    <s v="Technical Assistance"/>
  </r>
  <r>
    <x v="6"/>
    <s v="Pantabangan"/>
    <s v="San Juan"/>
    <s v="MBA"/>
    <s v="Hosannah R. Sabio"/>
    <s v="Zosimo P. Suyat"/>
    <m/>
    <m/>
    <m/>
    <x v="3"/>
    <m/>
    <m/>
    <m/>
    <s v="For Monitoring"/>
  </r>
  <r>
    <x v="6"/>
    <s v="City of Gapan"/>
    <s v="Mabuga"/>
    <s v="MBA"/>
    <m/>
    <m/>
    <n v="2024"/>
    <d v="2024-10-03T00:00:00"/>
    <m/>
    <x v="0"/>
    <m/>
    <s v="MRF"/>
    <s v="OPERATIONAL"/>
    <s v="Technical Assistance"/>
  </r>
  <r>
    <x v="6"/>
    <s v="City of Gapan"/>
    <s v="Maburak"/>
    <s v="MBA"/>
    <m/>
    <m/>
    <n v="2024"/>
    <d v="2024-10-03T00:00:00"/>
    <m/>
    <x v="0"/>
    <m/>
    <s v="MRF"/>
    <s v="OPERATIONAL"/>
    <s v="Technical Assistance"/>
  </r>
  <r>
    <x v="6"/>
    <s v="City of Gapan"/>
    <s v="Mahipon"/>
    <s v="MBA"/>
    <m/>
    <m/>
    <n v="2024"/>
    <d v="2024-06-20T00:00:00"/>
    <m/>
    <x v="0"/>
    <m/>
    <s v="MRF"/>
    <s v="OPERATIONAL"/>
    <s v="Technical Assistance"/>
  </r>
  <r>
    <x v="6"/>
    <s v="City of Gapan"/>
    <s v="Makabaclay"/>
    <s v="MBA"/>
    <m/>
    <m/>
    <n v="2025"/>
    <d v="2025-02-07T00:00:00"/>
    <s v="R3-2025-004798"/>
    <x v="0"/>
    <m/>
    <s v="MRS"/>
    <s v="OPERATIONAL"/>
    <s v="Technical Assistance"/>
  </r>
  <r>
    <x v="6"/>
    <s v="City of Gapan"/>
    <s v="Malimba"/>
    <s v="MBA"/>
    <m/>
    <m/>
    <n v="2024"/>
    <d v="2024-06-20T00:00:00"/>
    <m/>
    <x v="0"/>
    <m/>
    <s v="MRF"/>
    <s v="OPERATIONAL"/>
    <s v="Technical Assistance"/>
  </r>
  <r>
    <x v="6"/>
    <s v="City of Gapan"/>
    <s v="Mangino"/>
    <s v="MBA"/>
    <m/>
    <m/>
    <n v="2024"/>
    <d v="2024-11-15T00:00:00"/>
    <m/>
    <x v="0"/>
    <m/>
    <s v="MRF"/>
    <s v="OPERATIONAL"/>
    <s v="Technical Assistance"/>
  </r>
  <r>
    <x v="6"/>
    <s v="City of Gapan"/>
    <s v="Marelo"/>
    <s v="MBA"/>
    <m/>
    <m/>
    <n v="2024"/>
    <d v="2024-11-14T00:00:00"/>
    <m/>
    <x v="0"/>
    <m/>
    <s v="MRF"/>
    <s v="OPERATIONAL"/>
    <s v="Technical Assistance"/>
  </r>
  <r>
    <x v="6"/>
    <s v="City of Gapan"/>
    <s v="Parcutela"/>
    <s v="MBA"/>
    <m/>
    <m/>
    <n v="2025"/>
    <d v="2025-08-20T00:00:00"/>
    <s v="R3-2025-029947"/>
    <x v="0"/>
    <m/>
    <s v="MRS"/>
    <s v="OPERATIONAL"/>
    <s v="Technical Assistance"/>
  </r>
  <r>
    <x v="6"/>
    <s v="City of Gapan"/>
    <s v="San Roque"/>
    <s v="MBA"/>
    <m/>
    <m/>
    <n v="2025"/>
    <d v="2025-08-20T00:00:00"/>
    <s v="R3-2025-029944"/>
    <x v="0"/>
    <m/>
    <s v="MRS"/>
    <s v="OPERATIONAL"/>
    <s v="Technical Assistance"/>
  </r>
  <r>
    <x v="6"/>
    <s v="City of Gapan"/>
    <s v="Puting Tubig"/>
    <s v="MBA"/>
    <m/>
    <m/>
    <n v="2025"/>
    <d v="2025-04-25T00:00:00"/>
    <s v="R3-2025-014592"/>
    <x v="0"/>
    <m/>
    <s v="MRS"/>
    <s v="OPERATIONAL"/>
    <s v="Technical Assistance"/>
  </r>
  <r>
    <x v="6"/>
    <s v="City of Gapan"/>
    <s v="San Lorenzo (Pob.)"/>
    <s v="MBA"/>
    <m/>
    <m/>
    <n v="2024"/>
    <d v="2024-01-26T00:00:00"/>
    <m/>
    <x v="0"/>
    <m/>
    <m/>
    <m/>
    <s v="Technical Assistance"/>
  </r>
  <r>
    <x v="6"/>
    <s v="City of Gapan"/>
    <s v="San Nicolas"/>
    <s v="MBA"/>
    <m/>
    <m/>
    <n v="2025"/>
    <d v="2025-01-21T00:00:00"/>
    <s v="R3-2025-001900"/>
    <x v="0"/>
    <m/>
    <s v="MRS"/>
    <s v="OPERATIONAL"/>
    <s v="Technical Assistance"/>
  </r>
  <r>
    <x v="6"/>
    <s v="City of Gapan"/>
    <s v="San Vicente (Pob.)"/>
    <s v="MBA"/>
    <m/>
    <m/>
    <n v="2025"/>
    <d v="2025-08-20T00:00:00"/>
    <s v="R3-2025-029935"/>
    <x v="0"/>
    <m/>
    <s v="MRS"/>
    <s v="OPERATIONAL"/>
    <s v="Technical Assistance"/>
  </r>
  <r>
    <x v="6"/>
    <s v="City of Gapan"/>
    <s v="Santa Cruz"/>
    <s v="MBA"/>
    <m/>
    <m/>
    <n v="2024"/>
    <d v="2024-11-15T00:00:00"/>
    <m/>
    <x v="0"/>
    <m/>
    <s v="MRF"/>
    <s v="OPERATIONAL"/>
    <s v="Technical Assistance"/>
  </r>
  <r>
    <x v="6"/>
    <s v="City of Gapan"/>
    <s v="Santo Cristo Norte"/>
    <s v="MBA"/>
    <m/>
    <m/>
    <n v="2025"/>
    <d v="2025-05-29T00:00:00"/>
    <s v="R3-2025-018679"/>
    <x v="0"/>
    <m/>
    <s v="MRS"/>
    <s v="OPERATIONAL"/>
    <s v="Technical Assistance"/>
  </r>
  <r>
    <x v="6"/>
    <s v="City of Gapan"/>
    <s v="Santo Cristo Sur"/>
    <s v="MBA"/>
    <m/>
    <m/>
    <n v="2025"/>
    <d v="2025-05-29T00:00:00"/>
    <s v="R3-2025-018680"/>
    <x v="0"/>
    <m/>
    <s v="MRS"/>
    <s v="OPERATIONAL"/>
    <s v="Technical Assistance"/>
  </r>
  <r>
    <x v="6"/>
    <s v="City of Gapan"/>
    <s v="Santo Niño"/>
    <s v="MBA"/>
    <m/>
    <m/>
    <n v="2025"/>
    <d v="2025-01-22T00:00:00"/>
    <s v="R3-2025-002130"/>
    <x v="0"/>
    <m/>
    <s v="MRS"/>
    <s v="OPERATIONAL"/>
    <s v="Technical Assistance"/>
  </r>
  <r>
    <x v="6"/>
    <s v="City of Palayan (Capital)"/>
    <s v="Atate"/>
    <s v="MBA"/>
    <m/>
    <m/>
    <n v="2024"/>
    <d v="2024-09-11T00:00:00"/>
    <m/>
    <x v="0"/>
    <m/>
    <s v="MRF"/>
    <s v="OPERATIONAL"/>
    <s v="Technical Assistance"/>
  </r>
  <r>
    <x v="6"/>
    <s v="City of Palayan (Capital)"/>
    <s v="Aulo"/>
    <s v="MBA"/>
    <m/>
    <m/>
    <n v="2025"/>
    <d v="2025-08-13T00:00:00"/>
    <s v="R3-2025-027513"/>
    <x v="0"/>
    <m/>
    <s v="MRF"/>
    <s v="OPERATIONAL"/>
    <s v="Technical Assistance"/>
  </r>
  <r>
    <x v="6"/>
    <s v="Rizal"/>
    <s v="Aglipay"/>
    <s v="MBA"/>
    <s v="Hosannah R. Sabio"/>
    <s v="Zosimo P. Suyat"/>
    <m/>
    <m/>
    <m/>
    <x v="3"/>
    <m/>
    <m/>
    <m/>
    <s v="For Monitoring"/>
  </r>
  <r>
    <x v="6"/>
    <s v="Rizal"/>
    <s v="Canaan West"/>
    <s v="MBA"/>
    <s v="Hosannah R. Sabio"/>
    <s v="Zosimo P. Suyat"/>
    <m/>
    <m/>
    <m/>
    <x v="3"/>
    <m/>
    <m/>
    <m/>
    <s v="For Monitoring"/>
  </r>
  <r>
    <x v="6"/>
    <s v="City of Palayan (Capital)"/>
    <s v="Caballero"/>
    <s v="MBA"/>
    <m/>
    <m/>
    <n v="2024"/>
    <d v="2024-09-11T00:00:00"/>
    <m/>
    <x v="0"/>
    <m/>
    <s v="MRF"/>
    <s v="OPERATIONAL"/>
    <s v="Technical Assistance"/>
  </r>
  <r>
    <x v="6"/>
    <s v="City of Palayan (Capital)"/>
    <s v="Caimito"/>
    <s v="MBA"/>
    <m/>
    <m/>
    <n v="2024"/>
    <d v="2024-11-12T00:00:00"/>
    <m/>
    <x v="0"/>
    <m/>
    <s v="MRF"/>
    <s v="OPERATIONAL"/>
    <s v="Technical Assistance"/>
  </r>
  <r>
    <x v="6"/>
    <s v="Rizal"/>
    <s v="Casilagan"/>
    <s v="MBA"/>
    <s v="Hosannah R. Sabio"/>
    <s v="Zosimo P. Suyat"/>
    <m/>
    <m/>
    <m/>
    <x v="3"/>
    <m/>
    <m/>
    <m/>
    <s v="For Monitoring"/>
  </r>
  <r>
    <x v="6"/>
    <s v="City of Palayan (Capital)"/>
    <s v="Ganaderia"/>
    <s v="MBA"/>
    <m/>
    <m/>
    <n v="2024"/>
    <d v="2024-11-12T00:00:00"/>
    <m/>
    <x v="0"/>
    <m/>
    <s v="MRF"/>
    <s v="OPERATIONAL"/>
    <s v="Technical Assistance"/>
  </r>
  <r>
    <x v="6"/>
    <s v="City of Palayan (Capital)"/>
    <s v="Imelda Valley"/>
    <s v="MBA"/>
    <m/>
    <m/>
    <n v="2025"/>
    <d v="2025-08-13T00:00:00"/>
    <s v="R3-2025-027512"/>
    <x v="0"/>
    <m/>
    <s v="MRF"/>
    <s v="UNDER CONSTRUCTION"/>
    <s v="Technical Assistance"/>
  </r>
  <r>
    <x v="6"/>
    <s v="Rizal"/>
    <s v="Maligaya"/>
    <s v="MBA"/>
    <s v="Hosannah R. Sabio"/>
    <s v="Zosimo P. Suyat"/>
    <m/>
    <m/>
    <m/>
    <x v="3"/>
    <m/>
    <m/>
    <m/>
    <s v="For Monitoring"/>
  </r>
  <r>
    <x v="6"/>
    <s v="City of Palayan (Capital)"/>
    <s v="Malate (Pob.)"/>
    <s v="MBA"/>
    <m/>
    <m/>
    <n v="2024"/>
    <d v="2024-11-12T00:00:00"/>
    <m/>
    <x v="0"/>
    <m/>
    <s v="MRF"/>
    <s v="OPERATIONAL"/>
    <s v="Technical Assistance"/>
  </r>
  <r>
    <x v="4"/>
    <s v="Candaba"/>
    <s v="Dalayap"/>
    <s v="MBA"/>
    <s v="Roger T. Encarnacion II"/>
    <s v="Jun D. Guillermo"/>
    <m/>
    <m/>
    <m/>
    <x v="3"/>
    <m/>
    <m/>
    <m/>
    <s v="For Monitoring"/>
  </r>
  <r>
    <x v="6"/>
    <s v="City of Palayan (Capital)"/>
    <s v="Manacnac"/>
    <s v="MBA"/>
    <m/>
    <m/>
    <n v="2025"/>
    <d v="2025-10-03T00:00:00"/>
    <s v="R3-2025-033858"/>
    <x v="0"/>
    <m/>
    <s v="MRF"/>
    <s v="OPERATIONAL"/>
    <s v="Technical Assistance"/>
  </r>
  <r>
    <x v="4"/>
    <s v="Candaba"/>
    <s v="Dulong Ilog"/>
    <s v="MBA"/>
    <s v="Roger T. Encarnacion II"/>
    <s v="Jun D. Guillermo"/>
    <m/>
    <m/>
    <m/>
    <x v="3"/>
    <m/>
    <m/>
    <m/>
    <s v="For Monitoring"/>
  </r>
  <r>
    <x v="6"/>
    <s v="City of Palayan (Capital)"/>
    <s v="Marcos Village"/>
    <s v="MBA"/>
    <m/>
    <m/>
    <n v="2025"/>
    <d v="2025-08-13T00:00:00"/>
    <s v="R3-2025-027493"/>
    <x v="0"/>
    <m/>
    <s v="MRF"/>
    <s v="OPERATIONAL"/>
    <s v="Technical Assistance"/>
  </r>
  <r>
    <x v="6"/>
    <s v="City of Palayan (Capital)"/>
    <s v="Popolon Pagas"/>
    <s v="MBA"/>
    <m/>
    <m/>
    <n v="2025"/>
    <d v="2025-10-03T00:00:00"/>
    <s v="R3-2025-033857"/>
    <x v="0"/>
    <m/>
    <s v="MRF"/>
    <s v="OPERATIONAL"/>
    <s v="Technical Assistance"/>
  </r>
  <r>
    <x v="6"/>
    <s v="City of Palayan (Capital)"/>
    <s v="Santolan"/>
    <s v="MBA"/>
    <m/>
    <m/>
    <n v="2025"/>
    <d v="2025-10-03T00:00:00"/>
    <s v="R3-2025-033859"/>
    <x v="0"/>
    <m/>
    <s v="MRF"/>
    <s v="OPERATIONAL"/>
    <s v="Technical Assistance"/>
  </r>
  <r>
    <x v="6"/>
    <s v="City of Palayan (Capital)"/>
    <s v="Sapang Buho"/>
    <s v="MBA"/>
    <m/>
    <m/>
    <n v="2025"/>
    <d v="2025-08-13T00:00:00"/>
    <s v="R3-2025-027492"/>
    <x v="0"/>
    <m/>
    <s v="MRF"/>
    <s v="UNDER CONSTRUCTION"/>
    <s v="Technical Assistance"/>
  </r>
  <r>
    <x v="6"/>
    <s v="City of Palayan (Capital)"/>
    <s v="Singalat"/>
    <s v="MBA"/>
    <m/>
    <m/>
    <n v="2025"/>
    <d v="2025-08-13T00:00:00"/>
    <s v="R3-2025-027511"/>
    <x v="0"/>
    <m/>
    <s v="MRF"/>
    <s v="OPERATIONAL"/>
    <s v="Technical Assistance"/>
  </r>
  <r>
    <x v="4"/>
    <s v="Candaba"/>
    <s v="Magumbali"/>
    <s v="MBA"/>
    <s v="Roger T. Encarnacion II"/>
    <s v="Jun D. Guillermo"/>
    <m/>
    <m/>
    <m/>
    <x v="3"/>
    <m/>
    <m/>
    <m/>
    <s v="For Monitoring"/>
  </r>
  <r>
    <x v="4"/>
    <s v="Candaba"/>
    <s v="Pasig"/>
    <s v="MBA"/>
    <s v="Roger T. Encarnacion II"/>
    <s v="Jun D. Guillermo"/>
    <m/>
    <m/>
    <m/>
    <x v="3"/>
    <m/>
    <m/>
    <m/>
    <s v="For Monitoring"/>
  </r>
  <r>
    <x v="4"/>
    <s v="Candaba"/>
    <s v="Pulong Gubat"/>
    <s v="MBA"/>
    <s v="Roger T. Encarnacion II"/>
    <s v="Jun D. Guillermo"/>
    <m/>
    <m/>
    <m/>
    <x v="3"/>
    <m/>
    <m/>
    <m/>
    <s v="For Monitoring"/>
  </r>
  <r>
    <x v="4"/>
    <s v="Floridablanca"/>
    <s v="Carmencita"/>
    <s v="MBA"/>
    <s v="Elyza A. Evilla"/>
    <s v="John Sherwin Y. Loquellano"/>
    <m/>
    <m/>
    <m/>
    <x v="3"/>
    <m/>
    <m/>
    <m/>
    <s v="For Monitoring"/>
  </r>
  <r>
    <x v="4"/>
    <s v="Floridablanca"/>
    <s v="Pandaguirig"/>
    <s v="MBA"/>
    <s v="Elyza A. Evilla"/>
    <s v="John Sherwin Y. Loquellano"/>
    <m/>
    <m/>
    <m/>
    <x v="3"/>
    <m/>
    <m/>
    <m/>
    <s v="For Monitoring"/>
  </r>
  <r>
    <x v="4"/>
    <s v="Floridablanca"/>
    <s v="San Pedro"/>
    <s v="MBA"/>
    <s v="Elyza A. Evilla"/>
    <s v="John Sherwin Y. Loquellano"/>
    <m/>
    <m/>
    <m/>
    <x v="3"/>
    <m/>
    <m/>
    <m/>
    <s v="For Monitoring"/>
  </r>
  <r>
    <x v="4"/>
    <s v="Floridablanca"/>
    <s v="San Roque"/>
    <s v="MBA"/>
    <s v="Elyza A. Evilla"/>
    <s v="John Sherwin Y. Loquellano"/>
    <m/>
    <m/>
    <m/>
    <x v="3"/>
    <m/>
    <m/>
    <m/>
    <s v="For Monitoring"/>
  </r>
  <r>
    <x v="4"/>
    <s v="Floridablanca"/>
    <s v="Santa Monica"/>
    <s v="MBA"/>
    <s v="Elyza A. Evilla"/>
    <s v="John Sherwin Y. Loquellano"/>
    <m/>
    <m/>
    <m/>
    <x v="3"/>
    <m/>
    <m/>
    <m/>
    <s v="For Monitoring"/>
  </r>
  <r>
    <x v="4"/>
    <s v="Guagua"/>
    <s v="Santa Ines"/>
    <s v="MBA"/>
    <s v="VACANT"/>
    <s v="Jun D. Guillermo"/>
    <m/>
    <m/>
    <m/>
    <x v="3"/>
    <m/>
    <m/>
    <m/>
    <s v="For Monitoring"/>
  </r>
  <r>
    <x v="4"/>
    <s v="Guagua"/>
    <s v="Santa Ursula"/>
    <s v="MBA"/>
    <s v="VACANT"/>
    <s v="Jun D. Guillermo"/>
    <m/>
    <m/>
    <m/>
    <x v="3"/>
    <m/>
    <m/>
    <m/>
    <s v="For Monitoring"/>
  </r>
  <r>
    <x v="4"/>
    <s v="Lubao"/>
    <s v="Balantacan"/>
    <s v="MBA"/>
    <s v="VACANT"/>
    <s v="Jun D. Guillermo"/>
    <m/>
    <m/>
    <m/>
    <x v="3"/>
    <m/>
    <m/>
    <m/>
    <s v="For Monitoring"/>
  </r>
  <r>
    <x v="4"/>
    <s v="Lubao"/>
    <s v="Bancal Pugad"/>
    <s v="MBA"/>
    <s v="VACANT"/>
    <s v="Jun D. Guillermo"/>
    <m/>
    <m/>
    <m/>
    <x v="3"/>
    <m/>
    <m/>
    <m/>
    <s v="For Monitoring"/>
  </r>
  <r>
    <x v="4"/>
    <s v="Lubao"/>
    <s v="Bancal Sinubli"/>
    <s v="MBA"/>
    <s v="VACANT"/>
    <s v="Jun D. Guillermo"/>
    <m/>
    <m/>
    <m/>
    <x v="3"/>
    <m/>
    <m/>
    <m/>
    <s v="For Monitoring"/>
  </r>
  <r>
    <x v="4"/>
    <s v="Mabalacat City"/>
    <s v="Atlu-Bola"/>
    <s v="MBA"/>
    <s v="Roger T. Encarnacion II"/>
    <s v="Jun D. Guillermo"/>
    <m/>
    <m/>
    <m/>
    <x v="3"/>
    <m/>
    <m/>
    <m/>
    <s v="For Monitoring"/>
  </r>
  <r>
    <x v="4"/>
    <s v="Mabalacat City"/>
    <s v="Cacutud"/>
    <s v="MBA"/>
    <s v="Roger T. Encarnacion II"/>
    <s v="Jun D. Guillermo"/>
    <m/>
    <m/>
    <m/>
    <x v="3"/>
    <m/>
    <m/>
    <m/>
    <s v="For Monitoring"/>
  </r>
  <r>
    <x v="6"/>
    <s v="Cuyapo"/>
    <s v="Columbitin"/>
    <s v="OUTSIDE MBA"/>
    <m/>
    <m/>
    <n v="2025"/>
    <d v="2025-09-24T00:00:00"/>
    <s v="R3-2025-032633"/>
    <x v="0"/>
    <m/>
    <s v="MRS"/>
    <s v="NON-OPERATIONAL"/>
    <s v="Technical Assistance"/>
  </r>
  <r>
    <x v="4"/>
    <s v="Mabalacat City"/>
    <s v="Calumpang"/>
    <s v="MBA"/>
    <s v="Roger T. Encarnacion II"/>
    <s v="Jun D. Guillermo"/>
    <m/>
    <m/>
    <m/>
    <x v="3"/>
    <m/>
    <m/>
    <m/>
    <s v="For Monitoring"/>
  </r>
  <r>
    <x v="6"/>
    <s v="Cuyapo"/>
    <s v="District I"/>
    <s v="OUTSIDE MBA"/>
    <m/>
    <m/>
    <n v="2025"/>
    <d v="2025-04-25T00:00:00"/>
    <s v="R3-2025-014179"/>
    <x v="0"/>
    <m/>
    <s v="MRS"/>
    <s v="OPERATIONAL"/>
    <s v="Technical Assistance"/>
  </r>
  <r>
    <x v="6"/>
    <s v="Cuyapo"/>
    <s v="District II"/>
    <s v="OUTSIDE MBA"/>
    <m/>
    <m/>
    <n v="2025"/>
    <d v="2025-05-07T00:00:00"/>
    <s v="R3-2025-016072"/>
    <x v="0"/>
    <m/>
    <s v="MRS"/>
    <s v="OPERATIONAL"/>
    <s v="Technical Assistance"/>
  </r>
  <r>
    <x v="4"/>
    <s v="Mabalacat City"/>
    <s v="Camachiles"/>
    <s v="MBA"/>
    <s v="Roger T. Encarnacion II"/>
    <s v="Jun D. Guillermo"/>
    <m/>
    <m/>
    <m/>
    <x v="3"/>
    <m/>
    <m/>
    <m/>
    <s v="For Monitoring"/>
  </r>
  <r>
    <x v="4"/>
    <s v="Mabalacat City"/>
    <s v="Dapdap"/>
    <s v="MBA"/>
    <s v="Roger T. Encarnacion II"/>
    <s v="Jun D. Guillermo"/>
    <m/>
    <m/>
    <m/>
    <x v="3"/>
    <m/>
    <m/>
    <m/>
    <s v="For Monitoring"/>
  </r>
  <r>
    <x v="4"/>
    <s v="Porac"/>
    <s v="Diaz"/>
    <s v="MBA"/>
    <s v="Elyza A. Evilla"/>
    <s v="John Sherwin Y. Loquellano"/>
    <m/>
    <m/>
    <m/>
    <x v="3"/>
    <m/>
    <m/>
    <m/>
    <s v="For Monitoring"/>
  </r>
  <r>
    <x v="4"/>
    <s v="Porac"/>
    <s v="Dolores"/>
    <s v="MBA"/>
    <s v="Elyza A. Evilla"/>
    <s v="John Sherwin Y. Loquellano"/>
    <m/>
    <m/>
    <m/>
    <x v="3"/>
    <m/>
    <m/>
    <m/>
    <s v="For Monitoring"/>
  </r>
  <r>
    <x v="6"/>
    <s v="Cuyapo"/>
    <s v="District VIII"/>
    <s v="OUTSIDE MBA"/>
    <m/>
    <m/>
    <n v="2025"/>
    <d v="2025-04-25T00:00:00"/>
    <s v="R3-2025-014180"/>
    <x v="0"/>
    <m/>
    <s v="MRS"/>
    <s v="OPERATIONAL"/>
    <s v="Technical Assistance"/>
  </r>
  <r>
    <x v="4"/>
    <s v="Porac"/>
    <s v="Inararo"/>
    <s v="MBA"/>
    <s v="Elyza A. Evilla"/>
    <s v="John Sherwin Y. Loquellano"/>
    <m/>
    <m/>
    <m/>
    <x v="3"/>
    <m/>
    <m/>
    <m/>
    <s v="For Monitoring"/>
  </r>
  <r>
    <x v="4"/>
    <s v="Porac"/>
    <s v="Mancatian"/>
    <s v="MBA"/>
    <s v="Elyza A. Evilla"/>
    <s v="John Sherwin Y. Loquellano"/>
    <m/>
    <m/>
    <m/>
    <x v="3"/>
    <m/>
    <m/>
    <m/>
    <s v="For Monitoring"/>
  </r>
  <r>
    <x v="4"/>
    <s v="Porac"/>
    <s v="Manuali"/>
    <s v="MBA"/>
    <s v="Elyza A. Evilla"/>
    <s v="John Sherwin Y. Loquellano"/>
    <m/>
    <m/>
    <m/>
    <x v="3"/>
    <m/>
    <m/>
    <m/>
    <s v="For Monitoring"/>
  </r>
  <r>
    <x v="4"/>
    <s v="Sasmuan"/>
    <s v="Santo Tomas"/>
    <s v="MBA"/>
    <s v="VACANT"/>
    <s v="Jun D. Guillermo"/>
    <m/>
    <m/>
    <m/>
    <x v="3"/>
    <m/>
    <m/>
    <m/>
    <s v="For Monitoring"/>
  </r>
  <r>
    <x v="3"/>
    <s v="Camiling"/>
    <s v="Anoling 3rd"/>
    <s v="OUTSIDE MBA"/>
    <s v="Jasper Kieht B. Pili"/>
    <s v="Jan Emerson C. Gonzales"/>
    <m/>
    <m/>
    <m/>
    <x v="3"/>
    <m/>
    <m/>
    <m/>
    <s v="For Monitoring"/>
  </r>
  <r>
    <x v="6"/>
    <s v="Cuyapo"/>
    <s v="Malineng"/>
    <s v="OUTSIDE MBA"/>
    <m/>
    <m/>
    <n v="2025"/>
    <d v="2025-09-24T00:00:00"/>
    <s v="R3-2025-032634"/>
    <x v="0"/>
    <m/>
    <s v="MRS"/>
    <s v="NON-OPERATIONAL"/>
    <s v="Technical Assistance"/>
  </r>
  <r>
    <x v="3"/>
    <s v="Camiling"/>
    <s v="Bacabac"/>
    <s v="OUTSIDE MBA"/>
    <s v="Jasper Kieht B. Pili"/>
    <s v="Jan Emerson C. Gonzales"/>
    <m/>
    <m/>
    <m/>
    <x v="3"/>
    <m/>
    <m/>
    <m/>
    <s v="For Monitoring"/>
  </r>
  <r>
    <x v="3"/>
    <s v="Camiling"/>
    <s v="Bilad"/>
    <s v="OUTSIDE MBA"/>
    <s v="Jasper Kieht B. Pili"/>
    <s v="Jan Emerson C. Gonzales"/>
    <m/>
    <m/>
    <m/>
    <x v="3"/>
    <m/>
    <m/>
    <m/>
    <s v="For Monitoring"/>
  </r>
  <r>
    <x v="3"/>
    <s v="Camiling"/>
    <s v="Caniag"/>
    <s v="OUTSIDE MBA"/>
    <s v="Jasper Kieht B. Pili"/>
    <s v="Jan Emerson C. Gonzales"/>
    <m/>
    <m/>
    <m/>
    <x v="3"/>
    <m/>
    <m/>
    <m/>
    <s v="For Monitoring"/>
  </r>
  <r>
    <x v="3"/>
    <s v="Camiling"/>
    <s v="Cayasan"/>
    <s v="OUTSIDE MBA"/>
    <s v="Jasper Kieht B. Pili"/>
    <s v="Jan Emerson C. Gonzales"/>
    <m/>
    <m/>
    <m/>
    <x v="3"/>
    <m/>
    <m/>
    <m/>
    <s v="For Monitoring"/>
  </r>
  <r>
    <x v="3"/>
    <s v="Camiling"/>
    <s v="Manupeg"/>
    <s v="OUTSIDE MBA"/>
    <s v="Jasper Kieht B. Pili"/>
    <s v="Jan Emerson C. Gonzales"/>
    <m/>
    <m/>
    <m/>
    <x v="3"/>
    <m/>
    <m/>
    <m/>
    <s v="For Monitoring"/>
  </r>
  <r>
    <x v="3"/>
    <s v="Camiling"/>
    <s v="Pao 1st"/>
    <s v="OUTSIDE MBA"/>
    <s v="Jasper Kieht B. Pili"/>
    <s v="Jan Emerson C. Gonzales"/>
    <m/>
    <m/>
    <m/>
    <x v="3"/>
    <m/>
    <m/>
    <m/>
    <s v="For Monitoring"/>
  </r>
  <r>
    <x v="3"/>
    <s v="Camiling"/>
    <s v="Pao 2nd"/>
    <s v="OUTSIDE MBA"/>
    <s v="Jasper Kieht B. Pili"/>
    <s v="Jan Emerson C. Gonzales"/>
    <m/>
    <m/>
    <m/>
    <x v="3"/>
    <m/>
    <m/>
    <m/>
    <s v="For Monitoring"/>
  </r>
  <r>
    <x v="3"/>
    <s v="Camiling"/>
    <s v="Pao 3rd"/>
    <s v="OUTSIDE MBA"/>
    <s v="Jasper Kieht B. Pili"/>
    <s v="Jan Emerson C. Gonzales"/>
    <m/>
    <m/>
    <m/>
    <x v="3"/>
    <m/>
    <m/>
    <m/>
    <s v="For Monitoring"/>
  </r>
  <r>
    <x v="3"/>
    <s v="Camiling"/>
    <s v="Papaac"/>
    <s v="OUTSIDE MBA"/>
    <s v="Jasper Kieht B. Pili"/>
    <s v="Jan Emerson C. Gonzales"/>
    <m/>
    <m/>
    <m/>
    <x v="3"/>
    <m/>
    <m/>
    <m/>
    <s v="For Monitoring"/>
  </r>
  <r>
    <x v="3"/>
    <s v="Concepcion"/>
    <s v="Balutu"/>
    <s v="MBA"/>
    <s v="Gretzhen M. Apolonio"/>
    <s v="Jan Emerson C. Gonzales"/>
    <m/>
    <m/>
    <m/>
    <x v="3"/>
    <m/>
    <m/>
    <m/>
    <s v="For Monitoring"/>
  </r>
  <r>
    <x v="6"/>
    <s v="Cuyapo"/>
    <s v="Salagusog"/>
    <s v="OUTSIDE MBA"/>
    <m/>
    <m/>
    <n v="2025"/>
    <d v="2025-09-24T00:00:00"/>
    <s v="R3-2025-032635"/>
    <x v="0"/>
    <m/>
    <s v="MRS"/>
    <s v="NON-OPERATIONAL"/>
    <s v="Technical Assistance"/>
  </r>
  <r>
    <x v="3"/>
    <s v="Concepcion"/>
    <s v="Calius Gueco"/>
    <s v="MBA"/>
    <s v="Gretzhen M. Apolonio"/>
    <s v="Jan Emerson C. Gonzales"/>
    <m/>
    <m/>
    <m/>
    <x v="3"/>
    <m/>
    <m/>
    <m/>
    <s v="For Monitoring"/>
  </r>
  <r>
    <x v="3"/>
    <s v="Concepcion"/>
    <s v="Castillo"/>
    <s v="MBA"/>
    <s v="Gretzhen M. Apolonio"/>
    <s v="Jan Emerson C. Gonzales"/>
    <m/>
    <m/>
    <m/>
    <x v="3"/>
    <m/>
    <m/>
    <m/>
    <s v="For Monitoring"/>
  </r>
  <r>
    <x v="3"/>
    <s v="Concepcion"/>
    <s v="Culatingan"/>
    <s v="MBA"/>
    <s v="Gretzhen M. Apolonio"/>
    <s v="Jan Emerson C. Gonzales"/>
    <m/>
    <m/>
    <m/>
    <x v="3"/>
    <m/>
    <m/>
    <m/>
    <s v="For Monitoring"/>
  </r>
  <r>
    <x v="3"/>
    <s v="Tarlac City (Capital)"/>
    <s v="Bantog"/>
    <s v="MBA"/>
    <s v="Joshua A. Capones"/>
    <s v="Jan Emerson C. Gonzales"/>
    <m/>
    <m/>
    <m/>
    <x v="3"/>
    <m/>
    <m/>
    <m/>
    <s v="For Monitoring"/>
  </r>
  <r>
    <x v="3"/>
    <s v="Tarlac City (Capital)"/>
    <s v="Baras-baras"/>
    <s v="MBA"/>
    <s v="Joshua A. Capones"/>
    <s v="Jan Emerson C. Gonzales"/>
    <m/>
    <m/>
    <m/>
    <x v="3"/>
    <m/>
    <m/>
    <m/>
    <s v="For Monitoring"/>
  </r>
  <r>
    <x v="3"/>
    <s v="Tarlac City (Capital)"/>
    <s v="Batang-batang"/>
    <s v="MBA"/>
    <s v="Joshua A. Capones"/>
    <s v="Jan Emerson C. Gonzales"/>
    <m/>
    <m/>
    <m/>
    <x v="3"/>
    <m/>
    <m/>
    <m/>
    <s v="For Monitoring"/>
  </r>
  <r>
    <x v="3"/>
    <s v="Tarlac City (Capital)"/>
    <s v="Binauganan"/>
    <s v="MBA"/>
    <s v="Joshua A. Capones"/>
    <s v="Jan Emerson C. Gonzales"/>
    <m/>
    <m/>
    <m/>
    <x v="3"/>
    <m/>
    <m/>
    <m/>
    <s v="For Monitoring"/>
  </r>
  <r>
    <x v="3"/>
    <s v="Tarlac City (Capital)"/>
    <s v="Bora"/>
    <s v="MBA"/>
    <s v="Joshua A. Capones"/>
    <s v="Jan Emerson C. Gonzales"/>
    <m/>
    <m/>
    <m/>
    <x v="3"/>
    <m/>
    <m/>
    <m/>
    <s v="For Monitoring"/>
  </r>
  <r>
    <x v="3"/>
    <s v="Tarlac City (Capital)"/>
    <s v="Buenavista"/>
    <s v="MBA"/>
    <s v="Joshua A. Capones"/>
    <s v="Jan Emerson C. Gonzales"/>
    <m/>
    <m/>
    <m/>
    <x v="3"/>
    <m/>
    <m/>
    <m/>
    <s v="For Monitoring"/>
  </r>
  <r>
    <x v="5"/>
    <s v="City Of Olongapo"/>
    <s v="Barreto"/>
    <s v="OUTSIDE MBA"/>
    <s v="Larizze Ann A. Santos"/>
    <s v="Jun D. Guillermo"/>
    <m/>
    <m/>
    <m/>
    <x v="3"/>
    <m/>
    <m/>
    <m/>
    <s v="For Monitoring"/>
  </r>
  <r>
    <x v="2"/>
    <s v="Baliuag"/>
    <s v="Bagong Nayon"/>
    <s v="MBA"/>
    <s v="VACANT"/>
    <s v="Diozelle L. Cabalar"/>
    <m/>
    <m/>
    <m/>
    <x v="2"/>
    <m/>
    <m/>
    <m/>
    <s v="For Monitoring"/>
  </r>
  <r>
    <x v="2"/>
    <s v="Baliuag"/>
    <s v="Barangca"/>
    <s v="MBA"/>
    <s v="VACANT"/>
    <s v="Diozelle L. Cabalar"/>
    <m/>
    <m/>
    <m/>
    <x v="2"/>
    <m/>
    <m/>
    <m/>
    <s v="For Monitoring"/>
  </r>
  <r>
    <x v="2"/>
    <s v="Baliuag"/>
    <s v="Hinukay"/>
    <s v="MBA"/>
    <s v="VACANT"/>
    <s v="Diozelle L. Cabalar"/>
    <m/>
    <m/>
    <m/>
    <x v="2"/>
    <m/>
    <m/>
    <m/>
    <s v="For Monitoring"/>
  </r>
  <r>
    <x v="2"/>
    <s v="Baliuag"/>
    <s v="Pagala"/>
    <s v="MBA"/>
    <s v="VACANT"/>
    <s v="Diozelle L. Cabalar"/>
    <m/>
    <m/>
    <m/>
    <x v="2"/>
    <m/>
    <m/>
    <m/>
    <s v="For Monitoring"/>
  </r>
  <r>
    <x v="2"/>
    <s v="Baliuag"/>
    <s v="Paitan"/>
    <s v="MBA"/>
    <s v="VACANT"/>
    <s v="Diozelle L. Cabalar"/>
    <m/>
    <m/>
    <m/>
    <x v="2"/>
    <m/>
    <m/>
    <m/>
    <s v="For Monitoring"/>
  </r>
  <r>
    <x v="2"/>
    <s v="City of Meycauayan"/>
    <s v="Zamora"/>
    <s v="MBA"/>
    <s v="James Wilson T. Peña"/>
    <s v="Diozelle L. Cabalar"/>
    <m/>
    <m/>
    <m/>
    <x v="0"/>
    <m/>
    <m/>
    <m/>
    <s v="For Monitoring"/>
  </r>
  <r>
    <x v="2"/>
    <s v="City of San Jose Del Monte"/>
    <s v="Fatima IV"/>
    <s v="MBA"/>
    <s v="James Wilson T. Peña"/>
    <s v="Diozelle L. Cabalar"/>
    <m/>
    <m/>
    <m/>
    <x v="2"/>
    <m/>
    <m/>
    <m/>
    <s v="For Monitoring"/>
  </r>
  <r>
    <x v="2"/>
    <s v="City of San Jose Del Monte"/>
    <s v="Fatima V"/>
    <s v="MBA"/>
    <s v="James Wilson T. Peña"/>
    <s v="Diozelle L. Cabalar"/>
    <m/>
    <m/>
    <m/>
    <x v="2"/>
    <m/>
    <m/>
    <m/>
    <s v="For Monitoring"/>
  </r>
  <r>
    <x v="2"/>
    <s v="City of San Jose Del Monte"/>
    <s v="Francisco Homes-Guijo"/>
    <s v="MBA"/>
    <s v="James Wilson T. Peña"/>
    <s v="Diozelle L. Cabalar"/>
    <m/>
    <m/>
    <m/>
    <x v="2"/>
    <m/>
    <m/>
    <m/>
    <s v="For Monitoring"/>
  </r>
  <r>
    <x v="2"/>
    <s v="City of San Jose Del Monte"/>
    <s v="Francisco Homes-Narra"/>
    <s v="MBA"/>
    <s v="James Wilson T. Peña"/>
    <s v="Diozelle L. Cabalar"/>
    <m/>
    <m/>
    <m/>
    <x v="2"/>
    <m/>
    <m/>
    <m/>
    <s v="For Monitoring"/>
  </r>
  <r>
    <x v="2"/>
    <s v="Hagonoy"/>
    <s v="San Nicolas"/>
    <s v="MBA"/>
    <s v="Ronaldo P. Roque, Jr."/>
    <s v="Diozelle L. Cabalar"/>
    <m/>
    <m/>
    <m/>
    <x v="2"/>
    <m/>
    <m/>
    <m/>
    <s v="For Monitoring"/>
  </r>
  <r>
    <x v="2"/>
    <s v="Hagonoy"/>
    <s v="San Pablo"/>
    <s v="MBA"/>
    <s v="Ronaldo P. Roque, Jr."/>
    <s v="Diozelle L. Cabalar"/>
    <m/>
    <m/>
    <m/>
    <x v="2"/>
    <m/>
    <m/>
    <m/>
    <s v="For Monitoring"/>
  </r>
  <r>
    <x v="2"/>
    <s v="Hagonoy"/>
    <s v="Santa Monica"/>
    <s v="MBA"/>
    <s v="Ronaldo P. Roque, Jr."/>
    <s v="Diozelle L. Cabalar"/>
    <m/>
    <m/>
    <m/>
    <x v="2"/>
    <m/>
    <m/>
    <m/>
    <s v="For Monitoring"/>
  </r>
  <r>
    <x v="2"/>
    <s v="Hagonoy"/>
    <s v="Santo Rosario"/>
    <s v="MBA"/>
    <s v="Ronaldo P. Roque, Jr."/>
    <s v="Diozelle L. Cabalar"/>
    <m/>
    <m/>
    <m/>
    <x v="2"/>
    <m/>
    <m/>
    <m/>
    <s v="For Monitoring"/>
  </r>
  <r>
    <x v="2"/>
    <s v="Hagonoy"/>
    <s v="Tampok"/>
    <s v="MBA"/>
    <s v="Ronaldo P. Roque, Jr."/>
    <s v="Diozelle L. Cabalar"/>
    <m/>
    <m/>
    <m/>
    <x v="2"/>
    <m/>
    <m/>
    <m/>
    <s v="For Monitoring"/>
  </r>
  <r>
    <x v="2"/>
    <s v="Obando"/>
    <s v="Binuangan"/>
    <s v="MBA"/>
    <s v="James Wilson T. Peña"/>
    <s v="Diozelle L. Cabalar"/>
    <m/>
    <m/>
    <m/>
    <x v="2"/>
    <m/>
    <m/>
    <m/>
    <s v="For Monitoring"/>
  </r>
  <r>
    <x v="6"/>
    <s v="Gen. Mamerto Natividad"/>
    <s v="Balangkare Norte"/>
    <s v="MBA"/>
    <m/>
    <m/>
    <n v="2025"/>
    <d v="2025-02-04T00:00:00"/>
    <s v="R3-2025-004809"/>
    <x v="0"/>
    <m/>
    <s v="MRS"/>
    <s v="OPERATIONAL"/>
    <s v="Technical Assistance"/>
  </r>
  <r>
    <x v="6"/>
    <s v="Gen. Mamerto Natividad"/>
    <s v="Balangkare Sur"/>
    <s v="MBA"/>
    <m/>
    <m/>
    <n v="2025"/>
    <d v="2025-02-06T00:00:00"/>
    <s v="R3-2025-004810"/>
    <x v="0"/>
    <m/>
    <s v="MRS"/>
    <s v="OPERATIONAL"/>
    <s v="Technical Assistance"/>
  </r>
  <r>
    <x v="6"/>
    <s v="Gen. Mamerto Natividad"/>
    <s v="Balaring"/>
    <s v="MBA"/>
    <m/>
    <m/>
    <n v="2024"/>
    <d v="2024-01-25T00:00:00"/>
    <m/>
    <x v="0"/>
    <m/>
    <m/>
    <m/>
    <s v="Technical Assistance"/>
  </r>
  <r>
    <x v="2"/>
    <s v="Obando"/>
    <s v="Hulo"/>
    <s v="MBA"/>
    <s v="James Wilson T. Peña"/>
    <s v="Diozelle L. Cabalar"/>
    <m/>
    <m/>
    <m/>
    <x v="2"/>
    <m/>
    <m/>
    <m/>
    <s v="For Monitoring"/>
  </r>
  <r>
    <x v="2"/>
    <s v="Obando"/>
    <s v="Lawa"/>
    <s v="MBA"/>
    <s v="James Wilson T. Peña"/>
    <s v="Diozelle L. Cabalar"/>
    <m/>
    <m/>
    <m/>
    <x v="2"/>
    <m/>
    <m/>
    <m/>
    <s v="For Monitoring"/>
  </r>
  <r>
    <x v="2"/>
    <s v="Obando"/>
    <s v="Pag-asa (Pob.)"/>
    <s v="MBA"/>
    <s v="James Wilson T. Peña"/>
    <s v="Diozelle L. Cabalar"/>
    <m/>
    <m/>
    <m/>
    <x v="2"/>
    <m/>
    <m/>
    <m/>
    <s v="For Monitoring"/>
  </r>
  <r>
    <x v="2"/>
    <s v="Obando"/>
    <s v="Paliwas"/>
    <s v="MBA"/>
    <s v="James Wilson T. Peña"/>
    <s v="Diozelle L. Cabalar"/>
    <m/>
    <m/>
    <m/>
    <x v="2"/>
    <m/>
    <m/>
    <m/>
    <s v="For Monitoring"/>
  </r>
  <r>
    <x v="2"/>
    <s v="Pandi"/>
    <s v="Malibong Bata"/>
    <s v="MBA"/>
    <s v="Ronaldo P. Roque, Jr."/>
    <s v="Diozelle L. Cabalar"/>
    <m/>
    <m/>
    <m/>
    <x v="2"/>
    <m/>
    <m/>
    <m/>
    <s v="For Monitoring"/>
  </r>
  <r>
    <x v="2"/>
    <s v="Pandi"/>
    <s v="Malibong Matanda"/>
    <s v="MBA"/>
    <s v="Ronaldo P. Roque, Jr."/>
    <s v="Diozelle L. Cabalar"/>
    <m/>
    <m/>
    <m/>
    <x v="2"/>
    <m/>
    <m/>
    <m/>
    <s v="For Monitoring"/>
  </r>
  <r>
    <x v="6"/>
    <s v="Gen. Mamerto Natividad"/>
    <s v="Mataas na Kahoy"/>
    <s v="MBA"/>
    <m/>
    <m/>
    <n v="2025"/>
    <d v="2025-02-04T00:00:00"/>
    <s v="R3-2025-004808"/>
    <x v="0"/>
    <m/>
    <s v="MRS"/>
    <s v="OPERATIONAL"/>
    <s v="Technical Assistance"/>
  </r>
  <r>
    <x v="6"/>
    <s v="Gen. Mamerto Natividad"/>
    <s v="Panacsac"/>
    <s v="MBA"/>
    <m/>
    <m/>
    <n v="2024"/>
    <d v="2024-01-25T00:00:00"/>
    <m/>
    <x v="0"/>
    <m/>
    <m/>
    <m/>
    <s v="Technical Assistance"/>
  </r>
  <r>
    <x v="6"/>
    <s v="Gen. Mamerto Natividad"/>
    <s v="Picaleon"/>
    <s v="MBA"/>
    <m/>
    <m/>
    <n v="2024"/>
    <d v="2024-01-25T00:00:00"/>
    <m/>
    <x v="0"/>
    <m/>
    <m/>
    <m/>
    <s v="Technical Assistance"/>
  </r>
  <r>
    <x v="6"/>
    <s v="Gen. Mamerto Natividad"/>
    <s v="Pinahan"/>
    <s v="MBA"/>
    <m/>
    <m/>
    <n v="2024"/>
    <d v="2024-04-26T00:00:00"/>
    <m/>
    <x v="0"/>
    <m/>
    <m/>
    <m/>
    <s v="Technical Assistance"/>
  </r>
  <r>
    <x v="2"/>
    <s v="Pandi"/>
    <s v="Masuso"/>
    <s v="MBA"/>
    <s v="Ronaldo P. Roque, Jr."/>
    <s v="Diozelle L. Cabalar"/>
    <m/>
    <m/>
    <m/>
    <x v="2"/>
    <m/>
    <m/>
    <m/>
    <s v="For Monitoring"/>
  </r>
  <r>
    <x v="6"/>
    <s v="Gen. Mamerto Natividad"/>
    <s v="Poblacion"/>
    <s v="MBA"/>
    <m/>
    <m/>
    <n v="2024"/>
    <d v="2024-04-26T00:00:00"/>
    <m/>
    <x v="0"/>
    <m/>
    <m/>
    <m/>
    <s v="Technical Assistance"/>
  </r>
  <r>
    <x v="2"/>
    <s v="Pandi"/>
    <s v="Pinagkuartelan"/>
    <s v="MBA"/>
    <s v="Ronaldo P. Roque, Jr."/>
    <s v="Diozelle L. Cabalar"/>
    <m/>
    <m/>
    <m/>
    <x v="2"/>
    <m/>
    <m/>
    <m/>
    <s v="For Monitoring"/>
  </r>
  <r>
    <x v="6"/>
    <s v="Gen. Mamerto Natividad"/>
    <s v="Pulong Singkamas"/>
    <s v="MBA"/>
    <m/>
    <m/>
    <n v="2024"/>
    <d v="2024-04-26T00:00:00"/>
    <m/>
    <x v="0"/>
    <m/>
    <m/>
    <m/>
    <s v="Technical Assistance"/>
  </r>
  <r>
    <x v="2"/>
    <s v="Pandi"/>
    <s v="Real de Cacarong"/>
    <s v="MBA"/>
    <s v="Ronaldo P. Roque, Jr."/>
    <s v="Diozelle L. Cabalar"/>
    <m/>
    <m/>
    <m/>
    <x v="2"/>
    <m/>
    <m/>
    <m/>
    <s v="For Monitoring"/>
  </r>
  <r>
    <x v="6"/>
    <s v="Gen. Mamerto Natividad"/>
    <s v="Talabutab Norte"/>
    <s v="MBA"/>
    <m/>
    <m/>
    <n v="2024"/>
    <d v="2024-04-26T00:00:00"/>
    <m/>
    <x v="0"/>
    <m/>
    <m/>
    <m/>
    <s v="Technical Assistance"/>
  </r>
  <r>
    <x v="6"/>
    <s v="Gen. Mamerto Natividad"/>
    <s v="Talabutab Sur"/>
    <s v="MBA"/>
    <m/>
    <m/>
    <n v="2025"/>
    <d v="2025-02-06T00:00:00"/>
    <s v="R3-2025-004811"/>
    <x v="0"/>
    <m/>
    <s v="MRS"/>
    <s v="OPERATIONAL"/>
    <s v="Technical Assistance"/>
  </r>
  <r>
    <x v="2"/>
    <s v="San Ildefonso"/>
    <s v="Bubulong Munti"/>
    <s v="MBA"/>
    <s v="VACANT"/>
    <s v="Diozelle L. Cabalar"/>
    <m/>
    <m/>
    <m/>
    <x v="2"/>
    <m/>
    <m/>
    <m/>
    <s v="For Monitoring"/>
  </r>
  <r>
    <x v="6"/>
    <s v="Aliaga"/>
    <s v="Betes"/>
    <s v="MBA"/>
    <s v="Gem C. Vicencio"/>
    <s v="Zosimo P. Suyat"/>
    <m/>
    <m/>
    <m/>
    <x v="2"/>
    <m/>
    <m/>
    <m/>
    <s v="For Monitoring"/>
  </r>
  <r>
    <x v="6"/>
    <s v="Aliaga"/>
    <s v="La Purisima"/>
    <s v="MBA"/>
    <s v="Gem C. Vicencio"/>
    <s v="Zosimo P. Suyat"/>
    <m/>
    <m/>
    <m/>
    <x v="2"/>
    <m/>
    <m/>
    <m/>
    <s v="For Monitoring"/>
  </r>
  <r>
    <x v="6"/>
    <s v="Aliaga"/>
    <s v="Poblacion Centro"/>
    <s v="MBA"/>
    <s v="Gem C. Vicencio"/>
    <s v="Zosimo P. Suyat"/>
    <m/>
    <m/>
    <m/>
    <x v="2"/>
    <m/>
    <m/>
    <m/>
    <s v="For Monitoring"/>
  </r>
  <r>
    <x v="6"/>
    <s v="Aliaga"/>
    <s v="San Emiliano"/>
    <s v="MBA"/>
    <s v="Gem C. Vicencio"/>
    <s v="Zosimo P. Suyat"/>
    <m/>
    <m/>
    <m/>
    <x v="2"/>
    <m/>
    <m/>
    <m/>
    <s v="For Monitoring"/>
  </r>
  <r>
    <x v="6"/>
    <s v="Aliaga"/>
    <s v="San Felipe Bata"/>
    <s v="MBA"/>
    <s v="Gem C. Vicencio"/>
    <s v="Zosimo P. Suyat"/>
    <m/>
    <m/>
    <m/>
    <x v="2"/>
    <m/>
    <m/>
    <m/>
    <s v="For Monitoring"/>
  </r>
  <r>
    <x v="6"/>
    <s v="Bongabon"/>
    <s v="Bantug"/>
    <s v="MBA"/>
    <s v="Christian Jem L. Buluran"/>
    <s v="Zosimo P. Suyat"/>
    <m/>
    <m/>
    <m/>
    <x v="2"/>
    <m/>
    <m/>
    <m/>
    <s v="For Monitoring"/>
  </r>
  <r>
    <x v="6"/>
    <s v="Bongabon"/>
    <s v="Calaanan"/>
    <s v="MBA"/>
    <s v="Christian Jem L. Buluran"/>
    <s v="Zosimo P. Suyat"/>
    <m/>
    <m/>
    <m/>
    <x v="2"/>
    <m/>
    <m/>
    <m/>
    <s v="For Monitoring"/>
  </r>
  <r>
    <x v="6"/>
    <s v="Bongabon"/>
    <s v="Commercial (Pob.)"/>
    <s v="MBA"/>
    <s v="Christian Jem L. Buluran"/>
    <s v="Zosimo P. Suyat"/>
    <m/>
    <m/>
    <m/>
    <x v="2"/>
    <m/>
    <m/>
    <m/>
    <s v="For Monitoring"/>
  </r>
  <r>
    <x v="6"/>
    <s v="Bongabon"/>
    <s v="Cruz"/>
    <s v="MBA"/>
    <s v="Christian Jem L. Buluran"/>
    <s v="Zosimo P. Suyat"/>
    <m/>
    <m/>
    <m/>
    <x v="2"/>
    <m/>
    <m/>
    <m/>
    <s v="For Monitoring"/>
  </r>
  <r>
    <x v="6"/>
    <s v="Bongabon"/>
    <s v="Digmala"/>
    <s v="MBA"/>
    <s v="Christian Jem L. Buluran"/>
    <s v="Zosimo P. Suyat"/>
    <m/>
    <m/>
    <m/>
    <x v="2"/>
    <m/>
    <m/>
    <m/>
    <s v="For Monitoring"/>
  </r>
  <r>
    <x v="6"/>
    <s v="Cabiao"/>
    <s v="Sinipit"/>
    <s v="MBA"/>
    <s v="Christine Ann V. Ramos"/>
    <s v="Zosimo P. Suyat"/>
    <m/>
    <m/>
    <m/>
    <x v="2"/>
    <m/>
    <m/>
    <m/>
    <s v="For Monitoring"/>
  </r>
  <r>
    <x v="6"/>
    <s v="Carranglan"/>
    <s v="F. C. Otic Pob."/>
    <s v="MBA"/>
    <s v="Aser A. Inocencio, Jr."/>
    <s v="Zosimo P. Suyat"/>
    <m/>
    <m/>
    <m/>
    <x v="2"/>
    <m/>
    <m/>
    <m/>
    <s v="For Monitoring"/>
  </r>
  <r>
    <x v="6"/>
    <s v="Guimba"/>
    <s v="Narvacan II"/>
    <s v="MBA"/>
    <m/>
    <m/>
    <n v="2025"/>
    <d v="2025-09-09T00:00:00"/>
    <s v="R3-2025-031751"/>
    <x v="0"/>
    <m/>
    <s v="MRS"/>
    <s v="OPERATIONAL"/>
    <s v="Technical Assistance"/>
  </r>
  <r>
    <x v="6"/>
    <s v="Carranglan"/>
    <s v="General Luna"/>
    <s v="MBA"/>
    <s v="Aser A. Inocencio, Jr."/>
    <s v="Zosimo P. Suyat"/>
    <m/>
    <m/>
    <m/>
    <x v="2"/>
    <m/>
    <m/>
    <m/>
    <s v="For Monitoring"/>
  </r>
  <r>
    <x v="6"/>
    <s v="Guimba"/>
    <s v="Ayos Lomboy"/>
    <s v="MBA"/>
    <m/>
    <m/>
    <n v="2024"/>
    <d v="2024-09-26T00:00:00"/>
    <m/>
    <x v="0"/>
    <m/>
    <s v="MRF"/>
    <s v="OPERATIONAL"/>
    <s v="Technical Assistance"/>
  </r>
  <r>
    <x v="6"/>
    <s v="Carranglan"/>
    <s v="Puncan"/>
    <s v="MBA"/>
    <s v="Aser A. Inocencio, Jr."/>
    <s v="Zosimo P. Suyat"/>
    <m/>
    <m/>
    <m/>
    <x v="2"/>
    <m/>
    <m/>
    <m/>
    <s v="For Monitoring"/>
  </r>
  <r>
    <x v="6"/>
    <s v="Guimba"/>
    <s v="Bagong Barrio"/>
    <s v="MBA"/>
    <m/>
    <m/>
    <n v="2025"/>
    <d v="2025-08-07T00:00:00"/>
    <s v="R3-2025-027705"/>
    <x v="0"/>
    <m/>
    <s v="MRS"/>
    <s v="OPERATIONAL"/>
    <s v="Technical Assistance"/>
  </r>
  <r>
    <x v="6"/>
    <s v="Guimba"/>
    <s v="Balbalino"/>
    <s v="MBA"/>
    <m/>
    <m/>
    <n v="2025"/>
    <d v="2025-03-13T00:00:00"/>
    <s v="R3-2025-009115"/>
    <x v="0"/>
    <m/>
    <s v="MRS"/>
    <s v="OPERATIONAL"/>
    <s v="Technical Assistance"/>
  </r>
  <r>
    <x v="6"/>
    <s v="Carranglan"/>
    <s v="Salazar"/>
    <s v="MBA"/>
    <s v="Aser A. Inocencio, Jr."/>
    <s v="Zosimo P. Suyat"/>
    <m/>
    <m/>
    <m/>
    <x v="2"/>
    <m/>
    <m/>
    <m/>
    <s v="For Monitoring"/>
  </r>
  <r>
    <x v="6"/>
    <s v="Cuyapo"/>
    <s v="Ungab"/>
    <s v="OUTSIDE MBA"/>
    <s v="Aser A. Inocencio, Jr."/>
    <s v="Zosimo P. Suyat"/>
    <m/>
    <m/>
    <m/>
    <x v="0"/>
    <m/>
    <m/>
    <m/>
    <s v="For Monitoring"/>
  </r>
  <r>
    <x v="6"/>
    <s v="Guimba"/>
    <s v="Banitan"/>
    <s v="MBA"/>
    <m/>
    <m/>
    <n v="2025"/>
    <d v="2025-04-15T00:00:00"/>
    <s v="R3-2025-013405"/>
    <x v="0"/>
    <m/>
    <s v="MRS"/>
    <s v="OPERATIONAL"/>
    <s v="Technical Assistance"/>
  </r>
  <r>
    <x v="6"/>
    <s v="Guimba"/>
    <s v="Bantug"/>
    <s v="MBA"/>
    <m/>
    <m/>
    <n v="2024"/>
    <d v="2024-04-11T00:00:00"/>
    <m/>
    <x v="0"/>
    <m/>
    <m/>
    <m/>
    <s v="Technical Assistance"/>
  </r>
  <r>
    <x v="6"/>
    <s v="Cuyapo"/>
    <s v="Villaflores"/>
    <s v="OUTSIDE MBA"/>
    <s v="Aser A. Inocencio, Jr."/>
    <s v="Zosimo P. Suyat"/>
    <m/>
    <m/>
    <m/>
    <x v="0"/>
    <m/>
    <m/>
    <m/>
    <s v="For Monitoring"/>
  </r>
  <r>
    <x v="6"/>
    <s v="Guimba"/>
    <s v="Bunol"/>
    <s v="MBA"/>
    <m/>
    <m/>
    <n v="2025"/>
    <d v="2025-04-23T00:00:00"/>
    <s v="R3-2025-014177"/>
    <x v="0"/>
    <m/>
    <s v="MRS"/>
    <s v="OPERATIONAL"/>
    <s v="Technical Assistance"/>
  </r>
  <r>
    <x v="6"/>
    <s v="Gabaldon"/>
    <s v="Calabasa"/>
    <s v="MBA"/>
    <s v="Christian Jem L. Buluran"/>
    <s v="Zosimo P. Suyat"/>
    <m/>
    <m/>
    <m/>
    <x v="2"/>
    <m/>
    <m/>
    <m/>
    <s v="For Monitoring"/>
  </r>
  <r>
    <x v="6"/>
    <s v="Guimba"/>
    <s v="Cabaruan"/>
    <s v="MBA"/>
    <m/>
    <m/>
    <n v="2025"/>
    <d v="2025-02-20T00:00:00"/>
    <s v="R3-2025-006649"/>
    <x v="0"/>
    <m/>
    <s v="MRS"/>
    <s v="OPERATIONAL"/>
    <s v="Technical Assistance"/>
  </r>
  <r>
    <x v="6"/>
    <s v="Gabaldon"/>
    <s v="Camachile"/>
    <s v="MBA"/>
    <s v="Christian Jem L. Buluran"/>
    <s v="Zosimo P. Suyat"/>
    <m/>
    <m/>
    <m/>
    <x v="2"/>
    <m/>
    <m/>
    <m/>
    <s v="For Monitoring"/>
  </r>
  <r>
    <x v="6"/>
    <s v="Gabaldon"/>
    <s v="Cuyapa"/>
    <s v="MBA"/>
    <s v="Christian Jem L. Buluran"/>
    <s v="Zosimo P. Suyat"/>
    <m/>
    <m/>
    <m/>
    <x v="2"/>
    <m/>
    <m/>
    <m/>
    <s v="For Monitoring"/>
  </r>
  <r>
    <x v="6"/>
    <s v="Gabaldon"/>
    <s v="Ligaya"/>
    <s v="MBA"/>
    <s v="Christian Jem L. Buluran"/>
    <s v="Zosimo P. Suyat"/>
    <m/>
    <m/>
    <m/>
    <x v="2"/>
    <m/>
    <m/>
    <m/>
    <s v="For Monitoring"/>
  </r>
  <r>
    <x v="6"/>
    <s v="Gabaldon"/>
    <s v="Macasandal"/>
    <s v="MBA"/>
    <s v="Christian Jem L. Buluran"/>
    <s v="Zosimo P. Suyat"/>
    <m/>
    <m/>
    <m/>
    <x v="2"/>
    <m/>
    <m/>
    <m/>
    <s v="For Monitoring"/>
  </r>
  <r>
    <x v="6"/>
    <s v="Guimba"/>
    <s v="Casongsong"/>
    <s v="MBA"/>
    <m/>
    <m/>
    <n v="2025"/>
    <d v="2025-04-04T00:00:00"/>
    <s v="R3-2025-011889"/>
    <x v="0"/>
    <m/>
    <s v="MRS"/>
    <s v="OPERATIONAL"/>
    <s v="Technical Assistance"/>
  </r>
  <r>
    <x v="6"/>
    <s v="Gen. Mamerto Natividad"/>
    <s v="Manarog"/>
    <s v="MBA"/>
    <s v="Hosannah R. Sabio"/>
    <s v="Zosimo P. Suyat"/>
    <m/>
    <m/>
    <m/>
    <x v="2"/>
    <m/>
    <m/>
    <m/>
    <s v="For Monitoring"/>
  </r>
  <r>
    <x v="6"/>
    <s v="Guimba"/>
    <s v="Cavite"/>
    <s v="MBA"/>
    <m/>
    <m/>
    <n v="2024"/>
    <d v="2024-09-26T00:00:00"/>
    <m/>
    <x v="0"/>
    <m/>
    <s v="MRF"/>
    <s v="OPERATIONAL"/>
    <s v="Technical Assistance"/>
  </r>
  <r>
    <x v="6"/>
    <s v="Gen. Mamerto Natividad"/>
    <s v="Platero"/>
    <s v="MBA"/>
    <s v="Hosannah R. Sabio"/>
    <s v="Zosimo P. Suyat"/>
    <m/>
    <m/>
    <m/>
    <x v="2"/>
    <m/>
    <m/>
    <m/>
    <s v="For Monitoring"/>
  </r>
  <r>
    <x v="6"/>
    <s v="Guimba"/>
    <s v="Consuelo"/>
    <s v="MBA"/>
    <m/>
    <m/>
    <n v="2025"/>
    <d v="2025-05-20T00:00:00"/>
    <s v="R3-2025-017540"/>
    <x v="0"/>
    <m/>
    <s v="MRS"/>
    <s v="OPERATIONAL"/>
    <s v="Technical Assistance"/>
  </r>
  <r>
    <x v="6"/>
    <s v="Gen. Mamerto Natividad"/>
    <s v="Pula"/>
    <s v="MBA"/>
    <s v="Hosannah R. Sabio"/>
    <s v="Zosimo P. Suyat"/>
    <m/>
    <m/>
    <m/>
    <x v="2"/>
    <m/>
    <m/>
    <m/>
    <s v="For Monitoring"/>
  </r>
  <r>
    <x v="6"/>
    <s v="Gen. Mamerto Natividad"/>
    <s v="Sapang Bato"/>
    <s v="MBA"/>
    <s v="Hosannah R. Sabio"/>
    <s v="Zosimo P. Suyat"/>
    <m/>
    <m/>
    <m/>
    <x v="2"/>
    <m/>
    <m/>
    <m/>
    <s v="For Monitoring"/>
  </r>
  <r>
    <x v="6"/>
    <s v="Gen. Tinio"/>
    <s v="Poblacion Central"/>
    <s v="MBA"/>
    <s v="Christian Jem L. Buluran"/>
    <s v="Zosimo P. Suyat"/>
    <m/>
    <m/>
    <m/>
    <x v="2"/>
    <m/>
    <m/>
    <m/>
    <s v="For Monitoring"/>
  </r>
  <r>
    <x v="6"/>
    <s v="Gen. Tinio"/>
    <s v="Poblacion East"/>
    <s v="MBA"/>
    <s v="Christian Jem L. Buluran"/>
    <s v="Zosimo P. Suyat"/>
    <m/>
    <m/>
    <m/>
    <x v="2"/>
    <m/>
    <m/>
    <m/>
    <s v="For Monitoring"/>
  </r>
  <r>
    <x v="6"/>
    <s v="Guimba"/>
    <s v="Guiset"/>
    <s v="MBA"/>
    <m/>
    <m/>
    <n v="2024"/>
    <d v="2024-09-26T00:00:00"/>
    <m/>
    <x v="0"/>
    <m/>
    <s v="MRF"/>
    <s v="OPERATIONAL"/>
    <s v="Technical Assistance"/>
  </r>
  <r>
    <x v="6"/>
    <s v="Gen. Tinio"/>
    <s v="Poblacion West"/>
    <s v="MBA"/>
    <s v="Christian Jem L. Buluran"/>
    <s v="Zosimo P. Suyat"/>
    <m/>
    <m/>
    <m/>
    <x v="2"/>
    <m/>
    <m/>
    <m/>
    <s v="For Monitoring"/>
  </r>
  <r>
    <x v="6"/>
    <s v="Gen. Tinio"/>
    <s v="Pulong Matong"/>
    <s v="MBA"/>
    <s v="Christian Jem L. Buluran"/>
    <s v="Zosimo P. Suyat"/>
    <m/>
    <m/>
    <m/>
    <x v="2"/>
    <m/>
    <m/>
    <m/>
    <s v="For Monitoring"/>
  </r>
  <r>
    <x v="6"/>
    <s v="Gen. Tinio"/>
    <s v="Rio Chico"/>
    <s v="MBA"/>
    <s v="Christian Jem L. Buluran"/>
    <s v="Zosimo P. Suyat"/>
    <m/>
    <m/>
    <m/>
    <x v="2"/>
    <m/>
    <m/>
    <m/>
    <s v="For Monitoring"/>
  </r>
  <r>
    <x v="6"/>
    <s v="Llanera"/>
    <s v="Inanama"/>
    <s v="MBA"/>
    <s v="Hosannah R. Sabio"/>
    <s v="Zosimo P. Suyat"/>
    <m/>
    <m/>
    <m/>
    <x v="2"/>
    <m/>
    <m/>
    <m/>
    <s v="For Monitoring"/>
  </r>
  <r>
    <x v="6"/>
    <s v="Llanera"/>
    <s v="Mabini"/>
    <s v="MBA"/>
    <s v="Hosannah R. Sabio"/>
    <s v="Zosimo P. Suyat"/>
    <m/>
    <m/>
    <m/>
    <x v="2"/>
    <m/>
    <m/>
    <m/>
    <s v="For Monitoring"/>
  </r>
  <r>
    <x v="6"/>
    <s v="Llanera"/>
    <s v="San Francisco"/>
    <s v="MBA"/>
    <s v="Hosannah R. Sabio"/>
    <s v="Zosimo P. Suyat"/>
    <m/>
    <m/>
    <m/>
    <x v="2"/>
    <m/>
    <m/>
    <m/>
    <s v="For Monitoring"/>
  </r>
  <r>
    <x v="6"/>
    <s v="Llanera"/>
    <s v="San Vicente"/>
    <s v="MBA"/>
    <s v="Hosannah R. Sabio"/>
    <s v="Zosimo P. Suyat"/>
    <m/>
    <m/>
    <m/>
    <x v="2"/>
    <m/>
    <m/>
    <m/>
    <s v="For Monitoring"/>
  </r>
  <r>
    <x v="6"/>
    <s v="Guimba"/>
    <s v="Maturanoc"/>
    <s v="MBA"/>
    <m/>
    <m/>
    <n v="2025"/>
    <d v="2025-02-20T00:00:00"/>
    <s v="R3-2025-006650"/>
    <x v="0"/>
    <m/>
    <s v="MRS"/>
    <s v="OPERATIONAL"/>
    <s v="Technical Assistance"/>
  </r>
  <r>
    <x v="6"/>
    <s v="Nampicuan"/>
    <s v="East Central Poblacion"/>
    <s v="OUTSIDE MBA"/>
    <s v="Aser A. Inocencio, Jr."/>
    <s v="Zosimo P. Suyat"/>
    <m/>
    <m/>
    <m/>
    <x v="2"/>
    <m/>
    <m/>
    <m/>
    <s v="For Monitoring"/>
  </r>
  <r>
    <x v="6"/>
    <s v="Nampicuan"/>
    <s v="Edy"/>
    <s v="OUTSIDE MBA"/>
    <s v="Aser A. Inocencio, Jr."/>
    <s v="Zosimo P. Suyat"/>
    <m/>
    <m/>
    <m/>
    <x v="2"/>
    <m/>
    <m/>
    <m/>
    <s v="For Monitoring"/>
  </r>
  <r>
    <x v="6"/>
    <s v="Nampicuan"/>
    <s v="Estacion (Pob.)"/>
    <s v="OUTSIDE MBA"/>
    <s v="Aser A. Inocencio, Jr."/>
    <s v="Zosimo P. Suyat"/>
    <m/>
    <m/>
    <m/>
    <x v="2"/>
    <m/>
    <m/>
    <m/>
    <s v="For Monitoring"/>
  </r>
  <r>
    <x v="6"/>
    <s v="Nampicuan"/>
    <s v="Maeling"/>
    <s v="OUTSIDE MBA"/>
    <s v="Aser A. Inocencio, Jr."/>
    <s v="Zosimo P. Suyat"/>
    <m/>
    <m/>
    <m/>
    <x v="2"/>
    <m/>
    <m/>
    <m/>
    <s v="For Monitoring"/>
  </r>
  <r>
    <x v="6"/>
    <s v="Nampicuan"/>
    <s v="Mayantoc"/>
    <s v="OUTSIDE MBA"/>
    <s v="Aser A. Inocencio, Jr."/>
    <s v="Zosimo P. Suyat"/>
    <m/>
    <m/>
    <m/>
    <x v="2"/>
    <m/>
    <m/>
    <m/>
    <s v="For Monitoring"/>
  </r>
  <r>
    <x v="6"/>
    <s v="Nampicuan"/>
    <s v="Medico"/>
    <s v="OUTSIDE MBA"/>
    <s v="Aser A. Inocencio, Jr."/>
    <s v="Zosimo P. Suyat"/>
    <m/>
    <m/>
    <m/>
    <x v="2"/>
    <m/>
    <m/>
    <m/>
    <s v="For Monitoring"/>
  </r>
  <r>
    <x v="6"/>
    <s v="Nampicuan"/>
    <s v="Monic"/>
    <s v="OUTSIDE MBA"/>
    <s v="Aser A. Inocencio, Jr."/>
    <s v="Zosimo P. Suyat"/>
    <m/>
    <m/>
    <m/>
    <x v="2"/>
    <m/>
    <m/>
    <m/>
    <s v="For Monitoring"/>
  </r>
  <r>
    <x v="6"/>
    <s v="Santo Domingo"/>
    <s v="Casulucan"/>
    <s v="MBA"/>
    <s v="Gem C. Vicencio"/>
    <s v="Zosimo P. Suyat"/>
    <m/>
    <m/>
    <m/>
    <x v="2"/>
    <m/>
    <m/>
    <m/>
    <s v="For Monitoring"/>
  </r>
  <r>
    <x v="6"/>
    <s v="Santo Domingo"/>
    <s v="Dolores"/>
    <s v="MBA"/>
    <s v="Gem C. Vicencio"/>
    <s v="Zosimo P. Suyat"/>
    <m/>
    <m/>
    <m/>
    <x v="2"/>
    <m/>
    <m/>
    <m/>
    <s v="For Monitoring"/>
  </r>
  <r>
    <x v="6"/>
    <s v="Santo Domingo"/>
    <s v="General Luna"/>
    <s v="MBA"/>
    <s v="Gem C. Vicencio"/>
    <s v="Zosimo P. Suyat"/>
    <m/>
    <m/>
    <m/>
    <x v="2"/>
    <m/>
    <m/>
    <m/>
    <s v="For Monitoring"/>
  </r>
  <r>
    <x v="6"/>
    <s v="Guimba"/>
    <s v="San Andres"/>
    <s v="MBA"/>
    <m/>
    <m/>
    <n v="2024"/>
    <d v="2024-09-26T00:00:00"/>
    <m/>
    <x v="0"/>
    <m/>
    <s v="MRF"/>
    <s v="OPERATIONAL"/>
    <s v="Technical Assistance"/>
  </r>
  <r>
    <x v="6"/>
    <s v="Santo Domingo"/>
    <s v="Malayantoc"/>
    <s v="MBA"/>
    <s v="Gem C. Vicencio"/>
    <s v="Zosimo P. Suyat"/>
    <m/>
    <m/>
    <m/>
    <x v="2"/>
    <m/>
    <m/>
    <m/>
    <s v="For Monitoring"/>
  </r>
  <r>
    <x v="6"/>
    <s v="Guimba"/>
    <s v="San Marcelino"/>
    <s v="MBA"/>
    <m/>
    <m/>
    <n v="2025"/>
    <d v="2025-08-13T00:00:00"/>
    <s v="R3-2025-027707"/>
    <x v="0"/>
    <m/>
    <s v="MRS"/>
    <s v="OPERATIONAL"/>
    <s v="Technical Assistance"/>
  </r>
  <r>
    <x v="6"/>
    <s v="Guimba"/>
    <s v="San Miguel"/>
    <s v="MBA"/>
    <m/>
    <m/>
    <n v="2025"/>
    <d v="2025-08-13T00:00:00"/>
    <s v="R3-2025-027708"/>
    <x v="0"/>
    <m/>
    <s v="MRS"/>
    <s v="OPERATIONAL"/>
    <s v="Technical Assistance"/>
  </r>
  <r>
    <x v="6"/>
    <s v="Guimba"/>
    <s v="San Rafael"/>
    <s v="MBA"/>
    <m/>
    <m/>
    <n v="2025"/>
    <d v="2025-08-13T00:00:00"/>
    <s v="R3-2025-027709"/>
    <x v="0"/>
    <m/>
    <s v="MRS"/>
    <s v="OPERATIONAL"/>
    <s v="Technical Assistance"/>
  </r>
  <r>
    <x v="6"/>
    <s v="Guimba"/>
    <s v="San Roque"/>
    <s v="MBA"/>
    <m/>
    <m/>
    <n v="2024"/>
    <d v="2024-09-26T00:00:00"/>
    <m/>
    <x v="0"/>
    <m/>
    <s v="MRF"/>
    <s v="OPERATIONAL"/>
    <s v="Technical Assistance"/>
  </r>
  <r>
    <x v="6"/>
    <s v="Santo Domingo"/>
    <s v="Poblacion"/>
    <s v="MBA"/>
    <s v="Gem C. Vicencio"/>
    <s v="Zosimo P. Suyat"/>
    <m/>
    <m/>
    <m/>
    <x v="2"/>
    <m/>
    <m/>
    <m/>
    <s v="For Monitoring"/>
  </r>
  <r>
    <x v="6"/>
    <s v="Santo Domingo"/>
    <s v="Pulong Buli"/>
    <s v="MBA"/>
    <s v="Gem C. Vicencio"/>
    <s v="Zosimo P. Suyat"/>
    <m/>
    <m/>
    <m/>
    <x v="2"/>
    <m/>
    <m/>
    <m/>
    <s v="For Monitoring"/>
  </r>
  <r>
    <x v="4"/>
    <s v="City of San Fernando"/>
    <s v="Maimpis"/>
    <s v="MBA"/>
    <s v="Elyza A. Evilla"/>
    <s v="John Sherwin Y. Loquellano"/>
    <m/>
    <m/>
    <m/>
    <x v="2"/>
    <m/>
    <m/>
    <m/>
    <s v="For Monitoring"/>
  </r>
  <r>
    <x v="6"/>
    <s v="Guimba"/>
    <s v="Santa Veronica District (Pob.)"/>
    <s v="MBA"/>
    <m/>
    <m/>
    <n v="2025"/>
    <d v="2025-04-30T00:00:00"/>
    <s v="R3-2025-015199"/>
    <x v="0"/>
    <m/>
    <s v="MRS"/>
    <s v="NON-OPERATIONAL"/>
    <s v="Technical Assistance"/>
  </r>
  <r>
    <x v="4"/>
    <s v="City of San Fernando"/>
    <s v="Malino"/>
    <s v="MBA"/>
    <s v="Elyza A. Evilla"/>
    <s v="John Sherwin Y. Loquellano"/>
    <m/>
    <m/>
    <m/>
    <x v="2"/>
    <m/>
    <m/>
    <m/>
    <s v="For Monitoring"/>
  </r>
  <r>
    <x v="6"/>
    <s v="Guimba"/>
    <s v="Saranay District (Pob.)"/>
    <s v="MBA"/>
    <m/>
    <m/>
    <n v="2024"/>
    <d v="2024-09-26T00:00:00"/>
    <m/>
    <x v="0"/>
    <m/>
    <s v="MRF"/>
    <s v="OPERATIONAL"/>
    <s v="Technical Assistance"/>
  </r>
  <r>
    <x v="4"/>
    <s v="City of San Fernando"/>
    <s v="Malpitic"/>
    <s v="MBA"/>
    <s v="Elyza A. Evilla"/>
    <s v="John Sherwin Y. Loquellano"/>
    <m/>
    <m/>
    <m/>
    <x v="2"/>
    <m/>
    <m/>
    <m/>
    <s v="For Monitoring"/>
  </r>
  <r>
    <x v="4"/>
    <s v="City of San Fernando"/>
    <s v="Pandaras"/>
    <s v="MBA"/>
    <s v="Elyza A. Evilla"/>
    <s v="John Sherwin Y. Loquellano"/>
    <m/>
    <m/>
    <m/>
    <x v="2"/>
    <m/>
    <m/>
    <m/>
    <s v="For Monitoring"/>
  </r>
  <r>
    <x v="4"/>
    <s v="City of San Fernando"/>
    <s v="Pulung Bulu"/>
    <s v="MBA"/>
    <s v="Elyza A. Evilla"/>
    <s v="John Sherwin Y. Loquellano"/>
    <m/>
    <m/>
    <m/>
    <x v="2"/>
    <m/>
    <m/>
    <m/>
    <s v="For Monitoring"/>
  </r>
  <r>
    <x v="4"/>
    <s v="Lubao"/>
    <s v="San Jose Gumi"/>
    <s v="MBA"/>
    <s v="VACANT"/>
    <s v="Jun D. Guillermo"/>
    <m/>
    <m/>
    <m/>
    <x v="2"/>
    <m/>
    <m/>
    <m/>
    <s v="For Monitoring"/>
  </r>
  <r>
    <x v="6"/>
    <s v="Guimba"/>
    <s v="Triala"/>
    <s v="MBA"/>
    <m/>
    <m/>
    <n v="2025"/>
    <d v="2025-03-13T00:00:00"/>
    <s v="R3-2025-009116"/>
    <x v="0"/>
    <m/>
    <s v="MRS"/>
    <s v="OPERATIONAL"/>
    <s v="Technical Assistance"/>
  </r>
  <r>
    <x v="4"/>
    <s v="Lubao"/>
    <s v="San Matias"/>
    <s v="MBA"/>
    <s v="VACANT"/>
    <s v="Jun D. Guillermo"/>
    <m/>
    <m/>
    <m/>
    <x v="2"/>
    <m/>
    <m/>
    <m/>
    <s v="For Monitoring"/>
  </r>
  <r>
    <x v="6"/>
    <s v="Jaen"/>
    <s v="San Vicente"/>
    <s v="MBA"/>
    <m/>
    <m/>
    <n v="2025"/>
    <d v="2025-08-22T00:00:00"/>
    <s v="R3-2025-031575"/>
    <x v="0"/>
    <m/>
    <s v="MRS"/>
    <s v="OPERATIONAL"/>
    <s v="Technical Assistance"/>
  </r>
  <r>
    <x v="6"/>
    <s v="Jaen"/>
    <s v="Calabasa"/>
    <s v="MBA"/>
    <m/>
    <m/>
    <n v="2025"/>
    <d v="2025-03-25T00:00:00"/>
    <s v="R3-2025-010583"/>
    <x v="0"/>
    <m/>
    <s v="MRS"/>
    <s v="OPERATIONAL"/>
    <s v="Technical Assistance"/>
  </r>
  <r>
    <x v="6"/>
    <s v="Jaen"/>
    <s v="Dampulan (Pob.)"/>
    <s v="MBA"/>
    <m/>
    <m/>
    <n v="2024"/>
    <d v="2024-04-26T00:00:00"/>
    <m/>
    <x v="0"/>
    <m/>
    <m/>
    <m/>
    <s v="Technical Assistance"/>
  </r>
  <r>
    <x v="6"/>
    <s v="Jaen"/>
    <s v="Don Mariano Marcos (Pob.)"/>
    <s v="MBA"/>
    <m/>
    <m/>
    <n v="2025"/>
    <d v="2025-06-20T00:00:00"/>
    <s v="R3-2025-021181"/>
    <x v="0"/>
    <m/>
    <s v="MRS"/>
    <s v="OPERATIONAL"/>
    <s v="Technical Assistance"/>
  </r>
  <r>
    <x v="6"/>
    <s v="Jaen"/>
    <s v="Hilera"/>
    <s v="MBA"/>
    <m/>
    <m/>
    <n v="2025"/>
    <d v="2025-03-25T00:00:00"/>
    <s v="R3-2025-010582"/>
    <x v="0"/>
    <m/>
    <s v="MRS"/>
    <s v="OPERATIONAL"/>
    <s v="Technical Assistance"/>
  </r>
  <r>
    <x v="6"/>
    <s v="Jaen"/>
    <s v="Imbunia"/>
    <s v="MBA"/>
    <m/>
    <m/>
    <n v="2024"/>
    <d v="2024-11-08T00:00:00"/>
    <m/>
    <x v="0"/>
    <m/>
    <s v="MRF"/>
    <s v="OPERATIONAL"/>
    <s v="Technical Assistance"/>
  </r>
  <r>
    <x v="6"/>
    <s v="Jaen"/>
    <s v="Imelda Pob."/>
    <s v="MBA"/>
    <m/>
    <m/>
    <n v="2025"/>
    <d v="2025-09-25T00:00:00"/>
    <s v="R3-2025-032605"/>
    <x v="0"/>
    <m/>
    <s v="MRS"/>
    <s v="OPERATIONAL"/>
    <s v="Technical Assistance"/>
  </r>
  <r>
    <x v="6"/>
    <s v="Jaen"/>
    <s v="Lambakin"/>
    <s v="MBA"/>
    <m/>
    <m/>
    <n v="2025"/>
    <d v="2025-05-30T00:00:00"/>
    <s v="R3-2025-018681"/>
    <x v="0"/>
    <m/>
    <s v="MRS"/>
    <s v="OPERATIONAL"/>
    <s v="Technical Assistance"/>
  </r>
  <r>
    <x v="6"/>
    <s v="Jaen"/>
    <s v="Langla"/>
    <s v="MBA"/>
    <m/>
    <m/>
    <n v="2024"/>
    <d v="2024-05-02T00:00:00"/>
    <m/>
    <x v="0"/>
    <m/>
    <m/>
    <m/>
    <s v="Technical Assistance"/>
  </r>
  <r>
    <x v="6"/>
    <s v="Jaen"/>
    <s v="Magsalisi"/>
    <s v="MBA"/>
    <m/>
    <m/>
    <n v="2025"/>
    <d v="2025-04-22T00:00:00"/>
    <s v="R3-2025-014584"/>
    <x v="0"/>
    <m/>
    <s v="MRS"/>
    <s v="OPERATIONAL"/>
    <s v="Technical Assistance"/>
  </r>
  <r>
    <x v="6"/>
    <s v="Jaen"/>
    <s v="Malabon-Kaingin"/>
    <s v="MBA"/>
    <m/>
    <m/>
    <n v="2025"/>
    <d v="2025-10-09T00:00:00"/>
    <s v="R3-2025-034295"/>
    <x v="0"/>
    <m/>
    <s v="MRS"/>
    <s v="OPERATIONAL"/>
    <s v="Technical Assistance"/>
  </r>
  <r>
    <x v="6"/>
    <s v="Jaen"/>
    <s v="Marawa"/>
    <s v="MBA"/>
    <m/>
    <m/>
    <n v="2024"/>
    <d v="2024-02-02T00:00:00"/>
    <m/>
    <x v="0"/>
    <m/>
    <m/>
    <m/>
    <s v="Technical Assistance"/>
  </r>
  <r>
    <x v="6"/>
    <s v="Jaen"/>
    <s v="Niyugan"/>
    <s v="MBA"/>
    <m/>
    <m/>
    <n v="2025"/>
    <d v="2025-09-25T00:00:00"/>
    <s v="R3-2025-032604"/>
    <x v="0"/>
    <m/>
    <s v="MRS"/>
    <s v="OPERATIONAL"/>
    <s v="Technical Assistance"/>
  </r>
  <r>
    <x v="6"/>
    <s v="Jaen"/>
    <s v="Ocampo-Rivera District (Pob.)"/>
    <s v="MBA"/>
    <m/>
    <m/>
    <n v="2025"/>
    <d v="2025-01-23T00:00:00"/>
    <s v="R3-2025-002300"/>
    <x v="0"/>
    <m/>
    <s v="MRF"/>
    <s v="OPERATIONAL"/>
    <s v="Technical Assistance"/>
  </r>
  <r>
    <x v="6"/>
    <s v="Jaen"/>
    <s v="Pakol"/>
    <s v="MBA"/>
    <m/>
    <m/>
    <n v="2025"/>
    <d v="2025-03-25T00:00:00"/>
    <s v="R3-2025-010581"/>
    <x v="0"/>
    <m/>
    <s v="MRS"/>
    <s v="OPERATIONAL"/>
    <s v="Technical Assistance"/>
  </r>
  <r>
    <x v="6"/>
    <s v="Jaen"/>
    <s v="Pamacpacan"/>
    <s v="MBA"/>
    <m/>
    <m/>
    <n v="2025"/>
    <d v="2025-03-26T00:00:00"/>
    <s v="R3-2025-010584"/>
    <x v="0"/>
    <m/>
    <s v="MRS"/>
    <s v="OPERATIONAL"/>
    <s v="Technical Assistance"/>
  </r>
  <r>
    <x v="6"/>
    <s v="Jaen"/>
    <s v="Pinanggaan"/>
    <s v="MBA"/>
    <m/>
    <m/>
    <n v="2025"/>
    <d v="2025-04-22T00:00:00"/>
    <s v="R3-2025-014587"/>
    <x v="0"/>
    <m/>
    <s v="MRS"/>
    <s v="OPERATIONAL"/>
    <s v="Technical Assistance"/>
  </r>
  <r>
    <x v="6"/>
    <s v="Jaen"/>
    <s v="Putlod"/>
    <s v="MBA"/>
    <m/>
    <m/>
    <n v="2024"/>
    <d v="2024-04-26T00:00:00"/>
    <m/>
    <x v="0"/>
    <m/>
    <m/>
    <m/>
    <s v="Technical Assistance"/>
  </r>
  <r>
    <x v="6"/>
    <s v="Jaen"/>
    <s v="San Jose"/>
    <s v="MBA"/>
    <m/>
    <m/>
    <n v="2024"/>
    <d v="2024-04-26T00:00:00"/>
    <m/>
    <x v="0"/>
    <m/>
    <m/>
    <m/>
    <s v="Technical Assistance"/>
  </r>
  <r>
    <x v="6"/>
    <s v="Jaen"/>
    <s v="San Josef"/>
    <s v="MBA"/>
    <m/>
    <m/>
    <n v="2024"/>
    <d v="2024-05-02T00:00:00"/>
    <m/>
    <x v="0"/>
    <m/>
    <m/>
    <m/>
    <s v="Technical Assistance"/>
  </r>
  <r>
    <x v="6"/>
    <s v="Jaen"/>
    <s v="San Pablo"/>
    <s v="MBA"/>
    <m/>
    <m/>
    <n v="2025"/>
    <d v="2025-04-22T00:00:00"/>
    <s v="R3-2025-014586"/>
    <x v="0"/>
    <m/>
    <s v="MRS"/>
    <s v="OPERATIONAL"/>
    <s v="Technical Assistance"/>
  </r>
  <r>
    <x v="6"/>
    <s v="Jaen"/>
    <s v="San Roque"/>
    <s v="MBA"/>
    <m/>
    <m/>
    <n v="2025"/>
    <d v="2025-09-25T00:00:00"/>
    <s v="R3-2025-032603"/>
    <x v="0"/>
    <m/>
    <s v="MRS"/>
    <s v="OPERATIONAL"/>
    <s v="Technical Assistance"/>
  </r>
  <r>
    <x v="6"/>
    <s v="Jaen"/>
    <s v="Santa Rita"/>
    <s v="MBA"/>
    <m/>
    <m/>
    <n v="2024"/>
    <d v="2024-02-02T00:00:00"/>
    <m/>
    <x v="0"/>
    <m/>
    <m/>
    <m/>
    <s v="Technical Assistance"/>
  </r>
  <r>
    <x v="6"/>
    <s v="Jaen"/>
    <s v="Santo Tomas North"/>
    <s v="MBA"/>
    <m/>
    <m/>
    <n v="2025"/>
    <d v="2025-07-18T00:00:00"/>
    <s v="R3-2025-025390"/>
    <x v="0"/>
    <m/>
    <s v="MRS"/>
    <s v="OPERATIONAL"/>
    <s v="Technical Assistance"/>
  </r>
  <r>
    <x v="6"/>
    <s v="Jaen"/>
    <s v="Santo Tomas South"/>
    <s v="MBA"/>
    <m/>
    <m/>
    <n v="2025"/>
    <d v="2025-07-18T00:00:00"/>
    <s v="R3-2025-025392"/>
    <x v="0"/>
    <m/>
    <s v="MRS"/>
    <s v="OPERATIONAL"/>
    <s v="Technical Assistance"/>
  </r>
  <r>
    <x v="6"/>
    <s v="Jaen"/>
    <s v="Sapang"/>
    <s v="MBA"/>
    <m/>
    <m/>
    <n v="2024"/>
    <d v="2024-06-19T00:00:00"/>
    <m/>
    <x v="0"/>
    <m/>
    <s v="MRF"/>
    <s v="OPERATIONAL"/>
    <s v="Technical Assistance"/>
  </r>
  <r>
    <x v="6"/>
    <s v="Jaen"/>
    <s v="Ulanin-Pitak"/>
    <s v="MBA"/>
    <m/>
    <m/>
    <n v="2025"/>
    <d v="2025-04-22T00:00:00"/>
    <s v="R3-2025-014585"/>
    <x v="0"/>
    <m/>
    <s v="MRS"/>
    <s v="OPERATIONAL"/>
    <s v="Technical Assistance"/>
  </r>
  <r>
    <x v="6"/>
    <s v="Laur"/>
    <s v="Barangay II (Pob.)"/>
    <s v="MBA"/>
    <m/>
    <m/>
    <n v="2025"/>
    <d v="2025-08-22T00:00:00"/>
    <s v="R3-2025-031712"/>
    <x v="0"/>
    <m/>
    <s v="MRF"/>
    <s v="OPERATIONAL"/>
    <s v="Technical Assistance"/>
  </r>
  <r>
    <x v="4"/>
    <s v="Lubao"/>
    <s v="San Pablo 1st"/>
    <s v="MBA"/>
    <s v="VACANT"/>
    <s v="Jun D. Guillermo"/>
    <m/>
    <m/>
    <m/>
    <x v="2"/>
    <m/>
    <m/>
    <m/>
    <s v="For Monitoring"/>
  </r>
  <r>
    <x v="4"/>
    <s v="Lubao"/>
    <s v="San Pablo 2nd"/>
    <s v="MBA"/>
    <s v="VACANT"/>
    <s v="Jun D. Guillermo"/>
    <m/>
    <m/>
    <m/>
    <x v="2"/>
    <m/>
    <m/>
    <m/>
    <s v="For Monitoring"/>
  </r>
  <r>
    <x v="4"/>
    <s v="Lubao"/>
    <s v="San Pedro Saug"/>
    <s v="MBA"/>
    <s v="VACANT"/>
    <s v="Jun D. Guillermo"/>
    <m/>
    <m/>
    <m/>
    <x v="2"/>
    <m/>
    <m/>
    <m/>
    <s v="For Monitoring"/>
  </r>
  <r>
    <x v="4"/>
    <s v="Masantol"/>
    <s v="Sapang Kawayan"/>
    <s v="MBA"/>
    <s v="Glaiza S. Gaza"/>
    <s v="John Sherwin Y. Loquellano"/>
    <m/>
    <m/>
    <m/>
    <x v="2"/>
    <m/>
    <m/>
    <m/>
    <s v="For Monitoring"/>
  </r>
  <r>
    <x v="4"/>
    <s v="Masantol"/>
    <s v="Sua"/>
    <s v="MBA"/>
    <s v="Glaiza S. Gaza"/>
    <s v="John Sherwin Y. Loquellano"/>
    <m/>
    <m/>
    <m/>
    <x v="2"/>
    <m/>
    <m/>
    <m/>
    <s v="For Monitoring"/>
  </r>
  <r>
    <x v="4"/>
    <s v="Mexico"/>
    <s v="Laput"/>
    <s v="MBA"/>
    <s v="Roger T. Encarnacion II"/>
    <s v="Jun D. Guillermo"/>
    <m/>
    <m/>
    <m/>
    <x v="2"/>
    <m/>
    <m/>
    <m/>
    <s v="For Monitoring"/>
  </r>
  <r>
    <x v="4"/>
    <s v="Mexico"/>
    <s v="Laug"/>
    <s v="MBA"/>
    <s v="Roger T. Encarnacion II"/>
    <s v="Jun D. Guillermo"/>
    <m/>
    <m/>
    <m/>
    <x v="2"/>
    <m/>
    <m/>
    <m/>
    <s v="For Monitoring"/>
  </r>
  <r>
    <x v="4"/>
    <s v="Mexico"/>
    <s v="Masamat"/>
    <s v="MBA"/>
    <s v="Roger T. Encarnacion II"/>
    <s v="Jun D. Guillermo"/>
    <m/>
    <m/>
    <m/>
    <x v="2"/>
    <m/>
    <m/>
    <m/>
    <s v="For Monitoring"/>
  </r>
  <r>
    <x v="6"/>
    <s v="Laur"/>
    <s v="Sagana"/>
    <s v="MBA"/>
    <m/>
    <m/>
    <n v="2024"/>
    <d v="2024-03-26T00:00:00"/>
    <m/>
    <x v="0"/>
    <m/>
    <m/>
    <m/>
    <s v="Technical Assistance"/>
  </r>
  <r>
    <x v="4"/>
    <s v="Mexico"/>
    <s v="Nueva Victoria"/>
    <s v="MBA"/>
    <s v="Roger T. Encarnacion II"/>
    <s v="Jun D. Guillermo"/>
    <m/>
    <m/>
    <m/>
    <x v="2"/>
    <m/>
    <m/>
    <m/>
    <s v="For Monitoring"/>
  </r>
  <r>
    <x v="4"/>
    <s v="Minalin"/>
    <s v="Dawe"/>
    <s v="MBA"/>
    <s v="Glaiza S. Gaza"/>
    <s v="John Sherwin Y. Loquellano"/>
    <m/>
    <m/>
    <m/>
    <x v="2"/>
    <m/>
    <m/>
    <m/>
    <s v="For Monitoring"/>
  </r>
  <r>
    <x v="4"/>
    <s v="Minalin"/>
    <s v="San Isidro"/>
    <s v="MBA"/>
    <s v="Glaiza S. Gaza"/>
    <s v="John Sherwin Y. Loquellano"/>
    <m/>
    <m/>
    <m/>
    <x v="2"/>
    <m/>
    <m/>
    <m/>
    <s v="For Monitoring"/>
  </r>
  <r>
    <x v="6"/>
    <s v="Laur"/>
    <s v="San Josef"/>
    <s v="MBA"/>
    <m/>
    <m/>
    <n v="2025"/>
    <d v="2025-10-09T00:00:00"/>
    <s v="R3-2025-034783"/>
    <x v="0"/>
    <m/>
    <s v="MRS"/>
    <s v="OPERATIONAL"/>
    <s v="Technical Assistance"/>
  </r>
  <r>
    <x v="4"/>
    <s v="Porac"/>
    <s v="Balubad"/>
    <s v="MBA"/>
    <s v="Elyza A. Evilla"/>
    <s v="John Sherwin Y. Loquellano"/>
    <m/>
    <m/>
    <m/>
    <x v="2"/>
    <m/>
    <m/>
    <m/>
    <s v="For Monitoring"/>
  </r>
  <r>
    <x v="6"/>
    <s v="Laur"/>
    <s v="San Vicente"/>
    <s v="MBA"/>
    <m/>
    <m/>
    <n v="2024"/>
    <d v="2024-02-29T00:00:00"/>
    <m/>
    <x v="0"/>
    <m/>
    <m/>
    <m/>
    <s v="Technical Assistance"/>
  </r>
  <r>
    <x v="4"/>
    <s v="Sasmuan"/>
    <s v="Batang 1st"/>
    <s v="MBA"/>
    <s v="VACANT"/>
    <s v="Jun D. Guillermo"/>
    <m/>
    <m/>
    <m/>
    <x v="2"/>
    <m/>
    <m/>
    <m/>
    <s v="For Monitoring"/>
  </r>
  <r>
    <x v="4"/>
    <s v="Sasmuan"/>
    <s v="Batang 2nd"/>
    <s v="MBA"/>
    <s v="VACANT"/>
    <s v="Jun D. Guillermo"/>
    <m/>
    <m/>
    <m/>
    <x v="2"/>
    <m/>
    <m/>
    <m/>
    <s v="For Monitoring"/>
  </r>
  <r>
    <x v="6"/>
    <s v="Licab"/>
    <s v="Linao"/>
    <s v="MBA"/>
    <m/>
    <m/>
    <n v="2025"/>
    <d v="2025-03-13T00:00:00"/>
    <s v="R3-2025-008757"/>
    <x v="0"/>
    <m/>
    <s v="MRS"/>
    <s v="OPERATIONAL"/>
    <s v="Technical Assistance"/>
  </r>
  <r>
    <x v="6"/>
    <s v="Licab"/>
    <s v="Poblacion Norte"/>
    <s v="MBA"/>
    <m/>
    <m/>
    <n v="2025"/>
    <d v="2025-02-12T00:00:00"/>
    <s v="R3-2025-005139"/>
    <x v="0"/>
    <m/>
    <s v="MRS"/>
    <s v="OPERATIONAL"/>
    <s v="Technical Assistance"/>
  </r>
  <r>
    <x v="4"/>
    <s v="Sasmuan"/>
    <s v="Mabuanbuan"/>
    <s v="MBA"/>
    <s v="VACANT"/>
    <s v="Jun D. Guillermo"/>
    <m/>
    <m/>
    <m/>
    <x v="2"/>
    <m/>
    <m/>
    <m/>
    <s v="For Monitoring"/>
  </r>
  <r>
    <x v="4"/>
    <s v="Sasmuan"/>
    <s v="Malusac"/>
    <s v="MBA"/>
    <s v="VACANT"/>
    <s v="Jun D. Guillermo"/>
    <m/>
    <m/>
    <m/>
    <x v="2"/>
    <m/>
    <m/>
    <m/>
    <s v="For Monitoring"/>
  </r>
  <r>
    <x v="4"/>
    <s v="Sta. Ana"/>
    <s v="San Jose"/>
    <s v="MBA"/>
    <s v="Roger T. Encarnacion II"/>
    <s v="Jun D. Guillermo"/>
    <m/>
    <m/>
    <m/>
    <x v="2"/>
    <m/>
    <m/>
    <m/>
    <s v="For Monitoring"/>
  </r>
  <r>
    <x v="4"/>
    <s v="Sta. Ana"/>
    <s v="San Juan"/>
    <s v="MBA"/>
    <s v="Roger T. Encarnacion II"/>
    <s v="Jun D. Guillermo"/>
    <m/>
    <m/>
    <m/>
    <x v="2"/>
    <m/>
    <m/>
    <m/>
    <s v="For Monitoring"/>
  </r>
  <r>
    <x v="6"/>
    <s v="Licab"/>
    <s v="San Juan"/>
    <s v="MBA"/>
    <m/>
    <m/>
    <n v="2025"/>
    <d v="2025-08-07T00:00:00"/>
    <s v="R3-2025-026729"/>
    <x v="0"/>
    <m/>
    <s v="MRS"/>
    <s v="OPERATIONAL"/>
    <s v="Technical Assistance"/>
  </r>
  <r>
    <x v="4"/>
    <s v="Sta. Ana"/>
    <s v="San Nicolas"/>
    <s v="MBA"/>
    <s v="Roger T. Encarnacion II"/>
    <s v="Jun D. Guillermo"/>
    <m/>
    <m/>
    <m/>
    <x v="2"/>
    <m/>
    <m/>
    <m/>
    <s v="For Monitoring"/>
  </r>
  <r>
    <x v="6"/>
    <s v="Licab"/>
    <s v="Tabing Ilog"/>
    <s v="MBA"/>
    <m/>
    <m/>
    <n v="2025"/>
    <d v="2025-02-12T00:00:00"/>
    <s v="R3-2025-005140"/>
    <x v="0"/>
    <m/>
    <s v="MRS"/>
    <s v="OPERATIONAL"/>
    <s v="Technical Assistance"/>
  </r>
  <r>
    <x v="6"/>
    <s v="Licab"/>
    <s v="Villarosa"/>
    <s v="MBA"/>
    <m/>
    <m/>
    <n v="2025"/>
    <d v="2025-05-15T00:00:00"/>
    <s v=" R3-2025-016332"/>
    <x v="0"/>
    <m/>
    <s v="MRS"/>
    <s v="OPERATIONAL"/>
    <s v="Technical Assistance"/>
  </r>
  <r>
    <x v="6"/>
    <s v="Llanera"/>
    <s v="Murcon"/>
    <s v="MBA"/>
    <m/>
    <m/>
    <n v="2025"/>
    <d v="2025-08-07T00:00:00"/>
    <s v="R3-2025-027488"/>
    <x v="0"/>
    <m/>
    <s v="MRF"/>
    <s v="OPERATIONAL"/>
    <s v="Technical Assistance"/>
  </r>
  <r>
    <x v="4"/>
    <s v="Sta. Ana"/>
    <s v="Santa Maria"/>
    <s v="MBA"/>
    <s v="Roger T. Encarnacion II"/>
    <s v="Jun D. Guillermo"/>
    <m/>
    <m/>
    <m/>
    <x v="2"/>
    <m/>
    <m/>
    <m/>
    <s v="For Monitoring"/>
  </r>
  <r>
    <x v="6"/>
    <s v="Llanera"/>
    <s v="Bagumbayan (Pob.)"/>
    <s v="MBA"/>
    <m/>
    <m/>
    <n v="2024"/>
    <d v="2024-07-31T00:00:00"/>
    <m/>
    <x v="0"/>
    <m/>
    <s v="MRF"/>
    <s v="OPERATIONAL"/>
    <s v="Technical Assistance"/>
  </r>
  <r>
    <x v="6"/>
    <s v="Llanera"/>
    <s v="Bosque"/>
    <s v="MBA"/>
    <m/>
    <m/>
    <n v="2024"/>
    <d v="2024-05-07T00:00:00"/>
    <m/>
    <x v="0"/>
    <m/>
    <m/>
    <m/>
    <s v="Technical Assistance"/>
  </r>
  <r>
    <x v="6"/>
    <s v="Llanera"/>
    <s v="Caridad Norte"/>
    <s v="MBA"/>
    <m/>
    <m/>
    <n v="2024"/>
    <d v="2024-04-15T00:00:00"/>
    <m/>
    <x v="0"/>
    <m/>
    <m/>
    <m/>
    <s v="Technical Assistance"/>
  </r>
  <r>
    <x v="6"/>
    <s v="Llanera"/>
    <s v="Caridad Sur"/>
    <s v="MBA"/>
    <m/>
    <m/>
    <n v="2024"/>
    <d v="2024-04-15T00:00:00"/>
    <m/>
    <x v="0"/>
    <m/>
    <s v="MRF"/>
    <s v="OPERATIONAL"/>
    <s v="Technical Assistance"/>
  </r>
  <r>
    <x v="6"/>
    <s v="Llanera"/>
    <s v="Casile"/>
    <s v="MBA"/>
    <m/>
    <m/>
    <n v="2025"/>
    <d v="2025-08-07T00:00:00"/>
    <s v="R3-2025-027487"/>
    <x v="0"/>
    <m/>
    <s v="MRF"/>
    <s v="OPERATIONAL"/>
    <s v="Technical Assistance"/>
  </r>
  <r>
    <x v="6"/>
    <s v="Llanera"/>
    <s v="Florida Blanca"/>
    <s v="MBA"/>
    <m/>
    <m/>
    <n v="2025"/>
    <d v="2025-10-10T00:00:00"/>
    <s v=" R3-2025-034635"/>
    <x v="0"/>
    <m/>
    <s v="MRF"/>
    <s v="NON-OPERATIONAL"/>
    <s v="Technical Assistance"/>
  </r>
  <r>
    <x v="6"/>
    <s v="Llanera"/>
    <s v="General Luna"/>
    <s v="MBA"/>
    <m/>
    <m/>
    <n v="2024"/>
    <d v="2024-05-07T00:00:00"/>
    <m/>
    <x v="0"/>
    <m/>
    <m/>
    <m/>
    <s v="Technical Assistance"/>
  </r>
  <r>
    <x v="6"/>
    <s v="Llanera"/>
    <s v="General Ricarte"/>
    <s v="MBA"/>
    <m/>
    <m/>
    <n v="2025"/>
    <d v="2025-05-28T00:00:00"/>
    <s v="R3-2025-018354"/>
    <x v="0"/>
    <m/>
    <s v="MRF"/>
    <s v="UNDER CONSTRUCTION"/>
    <s v="Technical Assistance"/>
  </r>
  <r>
    <x v="3"/>
    <s v="Camiling"/>
    <s v="Pindangan 1st"/>
    <s v="OUTSIDE MBA"/>
    <s v="Jasper Kieht B. Pili"/>
    <s v="Jan Emerson C. Gonzales"/>
    <m/>
    <m/>
    <m/>
    <x v="0"/>
    <m/>
    <m/>
    <m/>
    <s v="For Monitoring"/>
  </r>
  <r>
    <x v="3"/>
    <s v="Camiling"/>
    <s v="Poblacion C"/>
    <s v="OUTSIDE MBA"/>
    <s v="Jasper Kieht B. Pili"/>
    <s v="Jan Emerson C. Gonzales"/>
    <m/>
    <m/>
    <m/>
    <x v="0"/>
    <m/>
    <m/>
    <m/>
    <s v="For Monitoring"/>
  </r>
  <r>
    <x v="6"/>
    <s v="Llanera"/>
    <s v="Ligaya"/>
    <s v="MBA"/>
    <m/>
    <m/>
    <n v="2025"/>
    <d v="2025-10-07T00:00:00"/>
    <s v="R3-2025-034633"/>
    <x v="0"/>
    <m/>
    <s v="MRF"/>
    <s v="OPERATIONAL"/>
    <s v="Technical Assistance"/>
  </r>
  <r>
    <x v="3"/>
    <s v="Camiling"/>
    <s v="Poblacion G"/>
    <s v="OUTSIDE MBA"/>
    <s v="Jasper Kieht B. Pili"/>
    <s v="Jan Emerson C. Gonzales"/>
    <m/>
    <m/>
    <m/>
    <x v="0"/>
    <m/>
    <m/>
    <m/>
    <s v="For Monitoring"/>
  </r>
  <r>
    <x v="6"/>
    <s v="Llanera"/>
    <s v="Plaridel"/>
    <s v="MBA"/>
    <m/>
    <m/>
    <n v="2024"/>
    <d v="2024-07-31T00:00:00"/>
    <m/>
    <x v="0"/>
    <m/>
    <s v="MRF"/>
    <s v="OPERATIONAL"/>
    <s v="Technical Assistance"/>
  </r>
  <r>
    <x v="6"/>
    <s v="Llanera"/>
    <s v="San Felipe"/>
    <s v="MBA"/>
    <m/>
    <m/>
    <n v="2024"/>
    <d v="2024-05-07T00:00:00"/>
    <m/>
    <x v="0"/>
    <m/>
    <m/>
    <m/>
    <s v="Technical Assistance"/>
  </r>
  <r>
    <x v="3"/>
    <s v="Camiling"/>
    <s v="San Isidro"/>
    <s v="OUTSIDE MBA"/>
    <s v="Jasper Kieht B. Pili"/>
    <s v="Jan Emerson C. Gonzales"/>
    <m/>
    <m/>
    <m/>
    <x v="0"/>
    <m/>
    <m/>
    <m/>
    <s v="For Monitoring"/>
  </r>
  <r>
    <x v="6"/>
    <s v="Llanera"/>
    <s v="San Nicolas"/>
    <s v="MBA"/>
    <m/>
    <m/>
    <n v="2024"/>
    <d v="2024-11-15T00:00:00"/>
    <m/>
    <x v="0"/>
    <m/>
    <s v="MRF"/>
    <s v="OPERATIONAL"/>
    <s v="Technical Assistance"/>
  </r>
  <r>
    <x v="3"/>
    <s v="San Manuel"/>
    <s v="San Agustin"/>
    <s v="OUTSIDE MBA"/>
    <s v="Jasper Kieht B. Pili"/>
    <s v="Jan Emerson C. Gonzales"/>
    <m/>
    <m/>
    <m/>
    <x v="0"/>
    <m/>
    <m/>
    <m/>
    <s v="For Monitoring"/>
  </r>
  <r>
    <x v="6"/>
    <s v="Llanera"/>
    <s v="Santa Barbara"/>
    <s v="MBA"/>
    <m/>
    <m/>
    <n v="2025"/>
    <d v="2025-10-10T00:00:00"/>
    <s v="R3-2025-034637"/>
    <x v="0"/>
    <m/>
    <s v="MRF"/>
    <s v="OPERATIONAL"/>
    <s v="Technical Assistance"/>
  </r>
  <r>
    <x v="6"/>
    <s v="Llanera"/>
    <s v="Victoria"/>
    <s v="MBA"/>
    <m/>
    <m/>
    <n v="2024"/>
    <d v="2024-04-05T00:00:00"/>
    <m/>
    <x v="0"/>
    <m/>
    <m/>
    <m/>
    <s v="Technical Assistance"/>
  </r>
  <r>
    <x v="6"/>
    <s v="Llanera"/>
    <s v="Villa Viniegas"/>
    <s v="MBA"/>
    <m/>
    <m/>
    <n v="2025"/>
    <d v="2025-10-10T00:00:00"/>
    <s v="R3-2025-034634"/>
    <x v="0"/>
    <m/>
    <s v="MRF"/>
    <s v="OPERATIONAL"/>
    <s v="Technical Assistance"/>
  </r>
  <r>
    <x v="6"/>
    <s v="Lupao"/>
    <s v="Namulandayan"/>
    <s v="MBA"/>
    <m/>
    <m/>
    <n v="2025"/>
    <d v="2025-09-18T00:00:00"/>
    <s v="R3-2025-031797"/>
    <x v="0"/>
    <m/>
    <s v="MRS"/>
    <s v="OPERATIONAL"/>
    <s v="Technical Assistance"/>
  </r>
  <r>
    <x v="6"/>
    <s v="Lupao"/>
    <s v="Agupalo Este"/>
    <s v="MBA"/>
    <m/>
    <m/>
    <n v="2025"/>
    <d v="2025-07-09T00:00:00"/>
    <s v="R3-2025-023911"/>
    <x v="0"/>
    <m/>
    <s v="MRS"/>
    <s v="OPERATIONAL"/>
    <s v="Technical Assistance"/>
  </r>
  <r>
    <x v="6"/>
    <s v="Lupao"/>
    <s v="Agupalo Weste"/>
    <s v="MBA"/>
    <m/>
    <m/>
    <n v="2024"/>
    <d v="2024-08-13T00:00:00"/>
    <m/>
    <x v="0"/>
    <m/>
    <s v="MRF"/>
    <s v="OPERATIONAL"/>
    <s v="Technical Assistance"/>
  </r>
  <r>
    <x v="6"/>
    <s v="Lupao"/>
    <s v="Alalay Chica"/>
    <s v="MBA"/>
    <m/>
    <m/>
    <n v="2025"/>
    <d v="2025-02-07T00:00:00"/>
    <s v="R3-2025-004801"/>
    <x v="0"/>
    <m/>
    <s v="MRS"/>
    <s v="OPERATIONAL"/>
    <s v="Technical Assistance"/>
  </r>
  <r>
    <x v="3"/>
    <s v="San Manuel"/>
    <s v="San Felipe"/>
    <s v="OUTSIDE MBA"/>
    <s v="Jasper Kieht B. Pili"/>
    <s v="Jan Emerson C. Gonzales"/>
    <m/>
    <m/>
    <m/>
    <x v="0"/>
    <m/>
    <m/>
    <m/>
    <s v="For Monitoring"/>
  </r>
  <r>
    <x v="6"/>
    <s v="Lupao"/>
    <s v="Bagong Flores"/>
    <s v="MBA"/>
    <m/>
    <m/>
    <n v="2025"/>
    <d v="2025-03-11T00:00:00"/>
    <s v="R3-2025-009111"/>
    <x v="0"/>
    <m/>
    <s v="MRS"/>
    <s v="OPERATIONAL"/>
    <s v="Technical Assistance"/>
  </r>
  <r>
    <x v="3"/>
    <s v="San Manuel"/>
    <s v="San Miguel"/>
    <s v="OUTSIDE MBA"/>
    <s v="Jasper Kieht B. Pili"/>
    <s v="Jan Emerson C. Gonzales"/>
    <m/>
    <m/>
    <m/>
    <x v="0"/>
    <m/>
    <m/>
    <m/>
    <s v="For Monitoring"/>
  </r>
  <r>
    <x v="6"/>
    <s v="Lupao"/>
    <s v="Burgos"/>
    <s v="MBA"/>
    <m/>
    <m/>
    <n v="2024"/>
    <d v="2024-08-14T00:00:00"/>
    <m/>
    <x v="0"/>
    <m/>
    <s v="MRF"/>
    <s v="OPERATIONAL"/>
    <s v="Technical Assistance"/>
  </r>
  <r>
    <x v="6"/>
    <s v="Lupao"/>
    <s v="Cordero"/>
    <s v="MBA"/>
    <m/>
    <m/>
    <n v="2024"/>
    <d v="2024-09-06T00:00:00"/>
    <m/>
    <x v="0"/>
    <m/>
    <s v="MRF"/>
    <s v="OPERATIONAL"/>
    <s v="Technical Assistance"/>
  </r>
  <r>
    <x v="6"/>
    <s v="Lupao"/>
    <s v="J. U. Tienzo"/>
    <s v="MBA"/>
    <m/>
    <m/>
    <n v="2024"/>
    <d v="2024-09-06T00:00:00"/>
    <m/>
    <x v="0"/>
    <m/>
    <s v="MRF"/>
    <s v="OPERATIONAL"/>
    <s v="Technical Assistance"/>
  </r>
  <r>
    <x v="6"/>
    <s v="Lupao"/>
    <s v="Mapangpang"/>
    <s v="MBA"/>
    <m/>
    <m/>
    <n v="2025"/>
    <d v="2025-02-07T00:00:00"/>
    <s v="R3-2025-004803"/>
    <x v="0"/>
    <m/>
    <s v="MRS"/>
    <s v="OPERATIONAL"/>
    <s v="Technical Assistance"/>
  </r>
  <r>
    <x v="6"/>
    <s v="Lupao"/>
    <s v="San Antonio Weste"/>
    <s v="MBA"/>
    <m/>
    <m/>
    <n v="2025"/>
    <d v="2025-09-18T00:00:00"/>
    <s v="R3-2025-031745"/>
    <x v="0"/>
    <m/>
    <s v="MRS"/>
    <s v="OPERATIONAL"/>
    <s v="Technical Assistance"/>
  </r>
  <r>
    <x v="6"/>
    <s v="Lupao"/>
    <s v="Parista"/>
    <s v="MBA"/>
    <m/>
    <m/>
    <n v="2025"/>
    <d v="2025-02-12T00:00:00"/>
    <s v="R3-2025-005582"/>
    <x v="0"/>
    <m/>
    <s v="MRS"/>
    <s v="OPERATIONAL"/>
    <s v="Technical Assistance"/>
  </r>
  <r>
    <x v="3"/>
    <s v="San Manuel"/>
    <s v="San Narciso"/>
    <s v="OUTSIDE MBA"/>
    <s v="Jasper Kieht B. Pili"/>
    <s v="Jan Emerson C. Gonzales"/>
    <m/>
    <m/>
    <m/>
    <x v="0"/>
    <m/>
    <m/>
    <m/>
    <s v="For Monitoring"/>
  </r>
  <r>
    <x v="3"/>
    <s v="San Manuel"/>
    <s v="San Vicente"/>
    <s v="OUTSIDE MBA"/>
    <s v="Jasper Kieht B. Pili"/>
    <s v="Jan Emerson C. Gonzales"/>
    <m/>
    <m/>
    <m/>
    <x v="0"/>
    <m/>
    <m/>
    <m/>
    <s v="For Monitoring"/>
  </r>
  <r>
    <x v="6"/>
    <s v="Lupao"/>
    <s v="Poblacion South"/>
    <s v="MBA"/>
    <m/>
    <m/>
    <n v="2025"/>
    <d v="2025-04-10T00:00:00"/>
    <s v="R3-2025-012808"/>
    <x v="0"/>
    <m/>
    <s v="MRS"/>
    <s v="OPERATIONAL"/>
    <s v="Technical Assistance"/>
  </r>
  <r>
    <x v="3"/>
    <s v="San Manuel"/>
    <s v="Santa Maria"/>
    <s v="OUTSIDE MBA"/>
    <s v="Jasper Kieht B. Pili"/>
    <s v="Jan Emerson C. Gonzales"/>
    <m/>
    <m/>
    <m/>
    <x v="0"/>
    <m/>
    <m/>
    <m/>
    <s v="For Monitoring"/>
  </r>
  <r>
    <x v="6"/>
    <s v="Lupao"/>
    <s v="Salvacion I"/>
    <s v="MBA"/>
    <m/>
    <m/>
    <n v="2025"/>
    <d v="2025-03-28T00:00:00"/>
    <s v="R3-2025-011885"/>
    <x v="0"/>
    <m/>
    <s v="MRS"/>
    <s v="OPERATIONAL"/>
    <s v="Technical Assistance"/>
  </r>
  <r>
    <x v="6"/>
    <s v="Lupao"/>
    <s v="Salvacion II"/>
    <s v="MBA"/>
    <m/>
    <m/>
    <n v="2025"/>
    <d v="2025-03-28T00:00:00"/>
    <s v="R3-2025-011886"/>
    <x v="0"/>
    <m/>
    <s v="MRS"/>
    <s v="OPERATIONAL"/>
    <s v="Technical Assistance"/>
  </r>
  <r>
    <x v="6"/>
    <s v="Lupao"/>
    <s v="San Antonio Este"/>
    <s v="MBA"/>
    <m/>
    <m/>
    <n v="2024"/>
    <d v="2024-04-03T00:00:00"/>
    <m/>
    <x v="0"/>
    <m/>
    <m/>
    <m/>
    <s v="Technical Assistance"/>
  </r>
  <r>
    <x v="3"/>
    <s v="Bamban"/>
    <s v="Banaba"/>
    <s v="MBA"/>
    <s v="Gretzhen M. Apolonio"/>
    <s v="Jan Emerson C. Gonzales"/>
    <m/>
    <m/>
    <m/>
    <x v="2"/>
    <m/>
    <m/>
    <m/>
    <s v="For Monitoring"/>
  </r>
  <r>
    <x v="6"/>
    <s v="Lupao"/>
    <s v="San Pedro"/>
    <s v="MBA"/>
    <m/>
    <m/>
    <n v="2025"/>
    <d v="2025-03-11T00:00:00"/>
    <s v="R3-2025-009112"/>
    <x v="0"/>
    <m/>
    <s v="MRS"/>
    <s v="OPERATIONAL"/>
    <s v="Technical Assistance"/>
  </r>
  <r>
    <x v="6"/>
    <s v="Lupao"/>
    <s v="San Roque"/>
    <s v="MBA"/>
    <m/>
    <m/>
    <n v="2025"/>
    <d v="2025-03-14T00:00:00"/>
    <s v="R3-2025-009117"/>
    <x v="0"/>
    <m/>
    <s v="MRS"/>
    <s v="OPERATIONAL"/>
    <s v="Technical Assistance"/>
  </r>
  <r>
    <x v="6"/>
    <s v="Lupao"/>
    <s v="Santo Domingo"/>
    <s v="MBA"/>
    <m/>
    <m/>
    <n v="2025"/>
    <d v="2025-02-26T00:00:00"/>
    <s v="R3-2025-007742"/>
    <x v="0"/>
    <m/>
    <s v="MRS"/>
    <s v="OPERATIONAL"/>
    <s v="Technical Assistance"/>
  </r>
  <r>
    <x v="3"/>
    <s v="Bamban"/>
    <s v="Bangcu"/>
    <s v="MBA"/>
    <s v="Gretzhen M. Apolonio"/>
    <s v="Jan Emerson C. Gonzales"/>
    <m/>
    <m/>
    <m/>
    <x v="2"/>
    <m/>
    <m/>
    <m/>
    <s v="For Monitoring"/>
  </r>
  <r>
    <x v="3"/>
    <s v="Bamban"/>
    <s v="Culubasa"/>
    <s v="MBA"/>
    <s v="Gretzhen M. Apolonio"/>
    <s v="Jan Emerson C. Gonzales"/>
    <m/>
    <m/>
    <m/>
    <x v="2"/>
    <m/>
    <m/>
    <m/>
    <s v="For Monitoring"/>
  </r>
  <r>
    <x v="3"/>
    <s v="Bamban"/>
    <s v="Dela Cruz"/>
    <s v="MBA"/>
    <s v="Gretzhen M. Apolonio"/>
    <s v="Jan Emerson C. Gonzales"/>
    <m/>
    <m/>
    <m/>
    <x v="2"/>
    <m/>
    <m/>
    <m/>
    <s v="For Monitoring"/>
  </r>
  <r>
    <x v="3"/>
    <s v="Bamban"/>
    <s v="La Paz"/>
    <s v="MBA"/>
    <s v="Gretzhen M. Apolonio"/>
    <s v="Jan Emerson C. Gonzales"/>
    <m/>
    <m/>
    <m/>
    <x v="2"/>
    <m/>
    <m/>
    <m/>
    <s v="For Monitoring"/>
  </r>
  <r>
    <x v="3"/>
    <s v="Bamban"/>
    <s v="Malonzo"/>
    <s v="MBA"/>
    <s v="Gretzhen M. Apolonio"/>
    <s v="Jan Emerson C. Gonzales"/>
    <m/>
    <m/>
    <m/>
    <x v="2"/>
    <m/>
    <m/>
    <m/>
    <s v="For Monitoring"/>
  </r>
  <r>
    <x v="3"/>
    <s v="Tarlac City (Capital)"/>
    <s v="Buhilit"/>
    <s v="MBA"/>
    <s v="Joshua A. Capones"/>
    <s v="Jan Emerson C. Gonzales"/>
    <m/>
    <m/>
    <m/>
    <x v="2"/>
    <m/>
    <m/>
    <m/>
    <s v="For Monitoring"/>
  </r>
  <r>
    <x v="3"/>
    <s v="Tarlac City (Capital)"/>
    <s v="Calingcuan"/>
    <s v="MBA"/>
    <s v="Joshua A. Capones"/>
    <s v="Jan Emerson C. Gonzales"/>
    <m/>
    <m/>
    <m/>
    <x v="2"/>
    <m/>
    <m/>
    <m/>
    <s v="For Monitoring"/>
  </r>
  <r>
    <x v="3"/>
    <s v="Tarlac City (Capital)"/>
    <s v="Capehan"/>
    <s v="MBA"/>
    <s v="Joshua A. Capones"/>
    <s v="Jan Emerson C. Gonzales"/>
    <m/>
    <m/>
    <m/>
    <x v="2"/>
    <m/>
    <m/>
    <m/>
    <s v="For Monitoring"/>
  </r>
  <r>
    <x v="3"/>
    <s v="Tarlac City (Capital)"/>
    <s v="Carangian"/>
    <s v="MBA"/>
    <s v="Joshua A. Capones"/>
    <s v="Jan Emerson C. Gonzales"/>
    <m/>
    <m/>
    <m/>
    <x v="2"/>
    <m/>
    <m/>
    <m/>
    <s v="For Monitoring"/>
  </r>
  <r>
    <x v="3"/>
    <s v="Tarlac City (Capital)"/>
    <s v="Central"/>
    <s v="MBA"/>
    <s v="Joshua A. Capones"/>
    <s v="Jan Emerson C. Gonzales"/>
    <m/>
    <m/>
    <m/>
    <x v="2"/>
    <m/>
    <m/>
    <m/>
    <s v="For Monitoring"/>
  </r>
  <r>
    <x v="5"/>
    <s v="City Of Olongapo"/>
    <s v="Gordon Heights"/>
    <s v="OUTSIDE MBA"/>
    <s v="Larizze Ann A. Santos"/>
    <s v="Jun D. Guillermo"/>
    <m/>
    <m/>
    <m/>
    <x v="0"/>
    <m/>
    <m/>
    <m/>
    <s v="For Monitoring"/>
  </r>
  <r>
    <x v="2"/>
    <s v="Baliuag"/>
    <s v="Piel"/>
    <s v="MBA"/>
    <s v="VACANT"/>
    <s v="Diozelle L. Cabalar"/>
    <m/>
    <m/>
    <m/>
    <x v="4"/>
    <m/>
    <m/>
    <m/>
    <s v="For Monitoring"/>
  </r>
  <r>
    <x v="2"/>
    <s v="Baliuag"/>
    <s v="San Roque"/>
    <s v="MBA"/>
    <s v="VACANT"/>
    <s v="Diozelle L. Cabalar"/>
    <m/>
    <m/>
    <m/>
    <x v="4"/>
    <m/>
    <m/>
    <m/>
    <s v="For Monitoring"/>
  </r>
  <r>
    <x v="2"/>
    <s v="Baliuag"/>
    <s v="Tilapayong"/>
    <s v="MBA"/>
    <s v="VACANT"/>
    <s v="Diozelle L. Cabalar"/>
    <m/>
    <m/>
    <m/>
    <x v="4"/>
    <m/>
    <m/>
    <m/>
    <s v="For Monitoring"/>
  </r>
  <r>
    <x v="2"/>
    <s v="Calumpit"/>
    <s v="Calizon"/>
    <s v="MBA"/>
    <s v="Ronaldo P. Roque, Jr."/>
    <s v="Diozelle L. Cabalar"/>
    <m/>
    <m/>
    <m/>
    <x v="4"/>
    <m/>
    <m/>
    <m/>
    <s v="For Monitoring"/>
  </r>
  <r>
    <x v="2"/>
    <s v="Calumpit"/>
    <s v="Frances"/>
    <s v="MBA"/>
    <s v="Ronaldo P. Roque, Jr."/>
    <s v="Diozelle L. Cabalar"/>
    <m/>
    <m/>
    <m/>
    <x v="4"/>
    <m/>
    <m/>
    <m/>
    <s v="For Monitoring"/>
  </r>
  <r>
    <x v="2"/>
    <s v="Calumpit"/>
    <s v="Gugo"/>
    <s v="MBA"/>
    <s v="Ronaldo P. Roque, Jr."/>
    <s v="Diozelle L. Cabalar"/>
    <m/>
    <m/>
    <m/>
    <x v="4"/>
    <m/>
    <m/>
    <m/>
    <s v="For Monitoring"/>
  </r>
  <r>
    <x v="2"/>
    <s v="City of Meycauayan"/>
    <s v="Calvario"/>
    <s v="MBA"/>
    <s v="James Wilson T. Peña"/>
    <s v="Diozelle L. Cabalar"/>
    <m/>
    <m/>
    <m/>
    <x v="4"/>
    <m/>
    <m/>
    <m/>
    <s v="For Monitoring"/>
  </r>
  <r>
    <x v="2"/>
    <s v="City of Meycauayan"/>
    <s v="Liputan"/>
    <s v="MBA"/>
    <s v="James Wilson T. Peña"/>
    <s v="Diozelle L. Cabalar"/>
    <m/>
    <m/>
    <m/>
    <x v="4"/>
    <m/>
    <m/>
    <m/>
    <s v="For Monitoring"/>
  </r>
  <r>
    <x v="2"/>
    <s v="City of San Jose Del Monte"/>
    <s v="Maharlika"/>
    <s v="MBA"/>
    <s v="James Wilson T. Peña"/>
    <s v="Diozelle L. Cabalar"/>
    <m/>
    <m/>
    <m/>
    <x v="4"/>
    <m/>
    <m/>
    <m/>
    <s v="For Monitoring"/>
  </r>
  <r>
    <x v="2"/>
    <s v="City of San Jose Del Monte"/>
    <s v="Minuyan II"/>
    <s v="MBA"/>
    <s v="James Wilson T. Peña"/>
    <s v="Diozelle L. Cabalar"/>
    <m/>
    <m/>
    <m/>
    <x v="4"/>
    <m/>
    <m/>
    <m/>
    <s v="For Monitoring"/>
  </r>
  <r>
    <x v="2"/>
    <s v="DRT"/>
    <s v="Camachile"/>
    <s v="MBA"/>
    <s v="VACANT"/>
    <s v="Diozelle L. Cabalar"/>
    <m/>
    <m/>
    <m/>
    <x v="4"/>
    <m/>
    <m/>
    <m/>
    <s v="For Monitoring"/>
  </r>
  <r>
    <x v="2"/>
    <s v="DRT"/>
    <s v="Camachin"/>
    <s v="MBA"/>
    <s v="VACANT"/>
    <s v="Diozelle L. Cabalar"/>
    <m/>
    <m/>
    <m/>
    <x v="4"/>
    <m/>
    <m/>
    <m/>
    <s v="For Monitoring"/>
  </r>
  <r>
    <x v="2"/>
    <s v="DRT"/>
    <s v="Kabayunan"/>
    <s v="MBA"/>
    <s v="VACANT"/>
    <s v="Diozelle L. Cabalar"/>
    <m/>
    <m/>
    <m/>
    <x v="4"/>
    <m/>
    <m/>
    <m/>
    <s v="For Monitoring"/>
  </r>
  <r>
    <x v="2"/>
    <s v="DRT"/>
    <s v="Kalawakan"/>
    <s v="MBA"/>
    <s v="VACANT"/>
    <s v="Diozelle L. Cabalar"/>
    <m/>
    <m/>
    <m/>
    <x v="4"/>
    <m/>
    <m/>
    <m/>
    <s v="For Monitoring"/>
  </r>
  <r>
    <x v="2"/>
    <s v="DRT"/>
    <s v="Sapang Bulak"/>
    <s v="MBA"/>
    <s v="VACANT"/>
    <s v="Diozelle L. Cabalar"/>
    <m/>
    <m/>
    <m/>
    <x v="4"/>
    <m/>
    <m/>
    <m/>
    <s v="For Monitoring"/>
  </r>
  <r>
    <x v="2"/>
    <s v="Norzagaray"/>
    <s v="San Mateo"/>
    <s v="MBA"/>
    <s v="James Wilson T. Peña"/>
    <s v="Diozelle L. Cabalar"/>
    <m/>
    <m/>
    <m/>
    <x v="0"/>
    <m/>
    <m/>
    <m/>
    <s v="For Monitoring"/>
  </r>
  <r>
    <x v="6"/>
    <s v="Pantabangan"/>
    <s v="Malbang"/>
    <s v="MBA"/>
    <m/>
    <m/>
    <n v="2024"/>
    <d v="2024-06-26T00:00:00"/>
    <m/>
    <x v="0"/>
    <m/>
    <s v="MRF"/>
    <s v="OPERATIONAL"/>
    <s v="Technical Assistance"/>
  </r>
  <r>
    <x v="2"/>
    <s v="Obando"/>
    <s v="Panghulo"/>
    <s v="MBA"/>
    <s v="James Wilson T. Peña"/>
    <s v="Diozelle L. Cabalar"/>
    <m/>
    <m/>
    <m/>
    <x v="4"/>
    <m/>
    <m/>
    <m/>
    <s v="For Monitoring"/>
  </r>
  <r>
    <x v="2"/>
    <s v="Obando"/>
    <s v="Salambao"/>
    <s v="MBA"/>
    <s v="James Wilson T. Peña"/>
    <s v="Diozelle L. Cabalar"/>
    <m/>
    <m/>
    <m/>
    <x v="4"/>
    <m/>
    <m/>
    <m/>
    <s v="For Monitoring"/>
  </r>
  <r>
    <x v="6"/>
    <s v="Pantabangan"/>
    <s v="Poblacion East"/>
    <s v="MBA"/>
    <m/>
    <m/>
    <n v="2024"/>
    <d v="2024-06-27T00:00:00"/>
    <m/>
    <x v="0"/>
    <m/>
    <s v="MRF"/>
    <s v="OPERATIONAL"/>
    <s v="Technical Assistance"/>
  </r>
  <r>
    <x v="2"/>
    <s v="Pandi"/>
    <s v="Baka-bakahan"/>
    <s v="MBA"/>
    <s v="Ronaldo P. Roque, Jr."/>
    <s v="Diozelle L. Cabalar"/>
    <m/>
    <m/>
    <m/>
    <x v="4"/>
    <m/>
    <m/>
    <m/>
    <s v="For Monitoring"/>
  </r>
  <r>
    <x v="2"/>
    <s v="Pandi"/>
    <s v="Cupang"/>
    <s v="MBA"/>
    <s v="Ronaldo P. Roque, Jr."/>
    <s v="Diozelle L. Cabalar"/>
    <m/>
    <m/>
    <m/>
    <x v="4"/>
    <m/>
    <m/>
    <m/>
    <s v="For Monitoring"/>
  </r>
  <r>
    <x v="2"/>
    <s v="Pandi"/>
    <s v="San Roque"/>
    <s v="MBA"/>
    <s v="Ronaldo P. Roque, Jr."/>
    <s v="Diozelle L. Cabalar"/>
    <m/>
    <m/>
    <m/>
    <x v="4"/>
    <m/>
    <m/>
    <m/>
    <s v="For Monitoring"/>
  </r>
  <r>
    <x v="6"/>
    <s v="Pantabangan"/>
    <s v="Villarica"/>
    <s v="MBA"/>
    <m/>
    <m/>
    <n v="2024"/>
    <d v="2024-06-26T00:00:00"/>
    <m/>
    <x v="0"/>
    <m/>
    <s v="MRF"/>
    <s v="OPERATIONAL"/>
    <s v="Technical Assistance"/>
  </r>
  <r>
    <x v="6"/>
    <s v="Penaranda"/>
    <s v="Callos"/>
    <s v="MBA"/>
    <m/>
    <m/>
    <n v="2024"/>
    <d v="2024-08-06T00:00:00"/>
    <m/>
    <x v="0"/>
    <m/>
    <s v="MRS"/>
    <s v="OPERATIONAL"/>
    <s v="Technical Assistance"/>
  </r>
  <r>
    <x v="6"/>
    <s v="Penaranda"/>
    <s v="Las Piñas"/>
    <s v="MBA"/>
    <m/>
    <m/>
    <n v="2025"/>
    <d v="2025-04-03T00:00:00"/>
    <s v="R3-2025-011383"/>
    <x v="0"/>
    <m/>
    <s v="MRS"/>
    <s v="OPERATIONAL"/>
    <s v="Technical Assistance"/>
  </r>
  <r>
    <x v="6"/>
    <s v="Penaranda"/>
    <s v="Poblacion I"/>
    <s v="MBA"/>
    <m/>
    <m/>
    <n v="2025"/>
    <d v="2025-10-01T00:00:00"/>
    <s v="R3-2025-033133"/>
    <x v="0"/>
    <m/>
    <s v="MRS"/>
    <s v="OPERATIONAL"/>
    <s v="Technical Assistance"/>
  </r>
  <r>
    <x v="6"/>
    <s v="Penaranda"/>
    <s v="Poblacion II"/>
    <s v="MBA"/>
    <m/>
    <m/>
    <n v="2025"/>
    <d v="2025-10-01T00:00:00"/>
    <s v="R3-2025-033134"/>
    <x v="0"/>
    <m/>
    <s v="MRS"/>
    <s v="OPERATIONAL"/>
    <s v="Technical Assistance"/>
  </r>
  <r>
    <x v="6"/>
    <s v="Penaranda"/>
    <s v="Poblacion III"/>
    <s v="MBA"/>
    <m/>
    <m/>
    <n v="2025"/>
    <d v="2025-10-01T00:00:00"/>
    <s v="R3-2025-033135"/>
    <x v="0"/>
    <m/>
    <s v="MRS"/>
    <s v="OPERATIONAL"/>
    <s v="Technical Assistance"/>
  </r>
  <r>
    <x v="6"/>
    <s v="Penaranda"/>
    <s v="Poblacion IV"/>
    <s v="MBA"/>
    <m/>
    <m/>
    <n v="2024"/>
    <d v="2024-09-17T00:00:00"/>
    <m/>
    <x v="0"/>
    <m/>
    <s v="MRF"/>
    <s v="OPERATIONAL"/>
    <s v="Technical Assistance"/>
  </r>
  <r>
    <x v="2"/>
    <s v="San Ildefonso"/>
    <s v="Calasag"/>
    <s v="MBA"/>
    <s v="VACANT"/>
    <s v="Diozelle L. Cabalar"/>
    <m/>
    <m/>
    <m/>
    <x v="4"/>
    <m/>
    <m/>
    <m/>
    <s v="For Monitoring"/>
  </r>
  <r>
    <x v="6"/>
    <s v="Penaranda"/>
    <s v="San Mariano"/>
    <s v="MBA"/>
    <m/>
    <m/>
    <n v="2024"/>
    <d v="2024-05-14T00:00:00"/>
    <m/>
    <x v="0"/>
    <m/>
    <m/>
    <m/>
    <s v="Technical Assistance"/>
  </r>
  <r>
    <x v="6"/>
    <s v="Penaranda"/>
    <s v="Santo Tomas"/>
    <s v="MBA"/>
    <m/>
    <m/>
    <n v="2025"/>
    <d v="2025-03-27T00:00:00"/>
    <s v="R3-2025-010587"/>
    <x v="0"/>
    <m/>
    <s v="MRS"/>
    <s v="OPERATIONAL"/>
    <s v="Technical Assistance"/>
  </r>
  <r>
    <x v="2"/>
    <s v="San Ildefonso"/>
    <s v="Calawitan"/>
    <s v="MBA"/>
    <s v="VACANT"/>
    <s v="Diozelle L. Cabalar"/>
    <m/>
    <m/>
    <m/>
    <x v="4"/>
    <m/>
    <m/>
    <m/>
    <s v="For Monitoring"/>
  </r>
  <r>
    <x v="6"/>
    <s v="Quezon"/>
    <s v="San Alejandro"/>
    <s v="MBA"/>
    <m/>
    <m/>
    <n v="2025"/>
    <d v="2025-09-18T00:00:00"/>
    <s v="R3-2025-031717"/>
    <x v="0"/>
    <m/>
    <s v="MRS"/>
    <s v="OPERATIONAL"/>
    <s v="Technical Assistance"/>
  </r>
  <r>
    <x v="6"/>
    <s v="Quezon"/>
    <s v="Barangay I (Pob.)"/>
    <s v="MBA"/>
    <m/>
    <m/>
    <n v="2025"/>
    <d v="2025-11-06T00:00:00"/>
    <s v="R3-2025-037343"/>
    <x v="0"/>
    <m/>
    <s v="MRS"/>
    <s v="OPERATIONAL"/>
    <s v="Technical Assistance"/>
  </r>
  <r>
    <x v="6"/>
    <s v="Quezon"/>
    <s v="Barangay II (Pob.)"/>
    <s v="MBA"/>
    <m/>
    <m/>
    <n v="2025"/>
    <d v="2025-11-06T00:00:00"/>
    <s v="R3-2025-037345"/>
    <x v="0"/>
    <m/>
    <s v="MRS"/>
    <s v="OPERATIONAL"/>
    <s v="Technical Assistance"/>
  </r>
  <r>
    <x v="6"/>
    <s v="Quezon"/>
    <s v="Bertese"/>
    <s v="MBA"/>
    <m/>
    <m/>
    <n v="2025"/>
    <d v="2025-02-07T00:00:00"/>
    <s v="R3-2025-004398"/>
    <x v="0"/>
    <m/>
    <s v="MRS"/>
    <s v="OPERATIONAL"/>
    <s v="Technical Assistance"/>
  </r>
  <r>
    <x v="6"/>
    <s v="Quezon"/>
    <s v="Doña Lucia"/>
    <s v="MBA"/>
    <m/>
    <m/>
    <n v="2025"/>
    <d v="2025-11-06T00:00:00"/>
    <s v="R3-2025-037342"/>
    <x v="0"/>
    <m/>
    <s v="MRS"/>
    <s v="OPERATIONAL"/>
    <s v="Technical Assistance"/>
  </r>
  <r>
    <x v="6"/>
    <s v="Quezon"/>
    <s v="Dulong Bayan"/>
    <s v="MBA"/>
    <m/>
    <m/>
    <n v="2025"/>
    <d v="2025-02-07T00:00:00"/>
    <s v="R3-2025-004399"/>
    <x v="0"/>
    <m/>
    <s v="MRS"/>
    <s v="OPERATIONAL"/>
    <s v="Technical Assistance"/>
  </r>
  <r>
    <x v="2"/>
    <s v="San Ildefonso"/>
    <s v="Casalat"/>
    <s v="MBA"/>
    <s v="VACANT"/>
    <s v="Diozelle L. Cabalar"/>
    <m/>
    <m/>
    <m/>
    <x v="4"/>
    <m/>
    <m/>
    <m/>
    <s v="For Monitoring"/>
  </r>
  <r>
    <x v="2"/>
    <s v="San Ildefonso"/>
    <s v="Gabihan"/>
    <s v="MBA"/>
    <s v="VACANT"/>
    <s v="Diozelle L. Cabalar"/>
    <m/>
    <m/>
    <m/>
    <x v="4"/>
    <m/>
    <m/>
    <m/>
    <s v="For Monitoring"/>
  </r>
  <r>
    <x v="6"/>
    <s v="Quezon"/>
    <s v="San Andres I"/>
    <s v="MBA"/>
    <m/>
    <m/>
    <n v="2025"/>
    <d v="2025-10-02T00:00:00"/>
    <s v="R3-2025-033277"/>
    <x v="0"/>
    <m/>
    <s v="MRS"/>
    <s v="OPERATIONAL"/>
    <s v="Technical Assistance"/>
  </r>
  <r>
    <x v="6"/>
    <s v="Quezon"/>
    <s v="San Andres II"/>
    <s v="MBA"/>
    <m/>
    <m/>
    <n v="2025"/>
    <d v="2025-10-02T00:00:00"/>
    <s v="R3-2025-033275"/>
    <x v="0"/>
    <m/>
    <s v="MRS"/>
    <s v="OPERATIONAL"/>
    <s v="Technical Assistance"/>
  </r>
  <r>
    <x v="2"/>
    <s v="San Ildefonso"/>
    <s v="Garlang"/>
    <s v="MBA"/>
    <s v="VACANT"/>
    <s v="Diozelle L. Cabalar"/>
    <m/>
    <m/>
    <m/>
    <x v="4"/>
    <m/>
    <m/>
    <m/>
    <s v="For Monitoring"/>
  </r>
  <r>
    <x v="6"/>
    <s v="Quezon"/>
    <s v="San Miguel"/>
    <s v="MBA"/>
    <m/>
    <m/>
    <n v="2025"/>
    <d v="2025-07-17T00:00:00"/>
    <s v="R3-2025-024064"/>
    <x v="0"/>
    <m/>
    <s v="MRS"/>
    <s v="OPERATIONAL"/>
    <s v="Technical Assistance"/>
  </r>
  <r>
    <x v="6"/>
    <s v="Aliaga"/>
    <s v="San Felipe Matanda"/>
    <s v="MBA"/>
    <s v="Gem C. Vicencio"/>
    <s v="Zosimo P. Suyat"/>
    <m/>
    <m/>
    <m/>
    <x v="4"/>
    <m/>
    <m/>
    <m/>
    <s v="For Monitoring"/>
  </r>
  <r>
    <x v="6"/>
    <s v="Aliaga"/>
    <s v="San Juan"/>
    <s v="MBA"/>
    <s v="Gem C. Vicencio"/>
    <s v="Zosimo P. Suyat"/>
    <m/>
    <m/>
    <m/>
    <x v="4"/>
    <m/>
    <m/>
    <m/>
    <s v="For Monitoring"/>
  </r>
  <r>
    <x v="6"/>
    <s v="Aliaga"/>
    <s v="Santiago"/>
    <s v="MBA"/>
    <s v="Gem C. Vicencio"/>
    <s v="Zosimo P. Suyat"/>
    <m/>
    <m/>
    <m/>
    <x v="4"/>
    <m/>
    <m/>
    <m/>
    <s v="For Monitoring"/>
  </r>
  <r>
    <x v="6"/>
    <s v="Aliaga"/>
    <s v="Santo Rosario"/>
    <s v="MBA"/>
    <s v="Gem C. Vicencio"/>
    <s v="Zosimo P. Suyat"/>
    <m/>
    <m/>
    <m/>
    <x v="4"/>
    <m/>
    <m/>
    <m/>
    <s v="For Monitoring"/>
  </r>
  <r>
    <x v="6"/>
    <s v="Rizal"/>
    <s v="Canaan East"/>
    <s v="MBA"/>
    <m/>
    <m/>
    <n v="2025"/>
    <d v="2025-09-10T00:00:00"/>
    <s v="R3-2025-031339"/>
    <x v="0"/>
    <m/>
    <s v="MRF"/>
    <s v="OPERATIONAL"/>
    <s v="Technical Assistance"/>
  </r>
  <r>
    <x v="6"/>
    <s v="Rizal"/>
    <s v="Agbannawag"/>
    <s v="MBA"/>
    <m/>
    <m/>
    <n v="2024"/>
    <d v="2024-10-03T00:00:00"/>
    <m/>
    <x v="0"/>
    <m/>
    <s v="MRF"/>
    <s v="OPERATIONAL"/>
    <s v="Technical Assistance"/>
  </r>
  <r>
    <x v="6"/>
    <s v="Aliaga"/>
    <s v="Sunson"/>
    <s v="MBA"/>
    <s v="Gem C. Vicencio"/>
    <s v="Zosimo P. Suyat"/>
    <m/>
    <m/>
    <m/>
    <x v="4"/>
    <m/>
    <m/>
    <m/>
    <s v="For Monitoring"/>
  </r>
  <r>
    <x v="6"/>
    <s v="Rizal"/>
    <s v="Bicos"/>
    <s v="MBA"/>
    <m/>
    <m/>
    <n v="2024"/>
    <d v="2024-06-27T00:00:00"/>
    <m/>
    <x v="0"/>
    <m/>
    <s v="MRF"/>
    <s v="OPERATIONAL"/>
    <s v="Technical Assistance"/>
  </r>
  <r>
    <x v="6"/>
    <s v="Rizal"/>
    <s v="Cabucbucan"/>
    <s v="MBA"/>
    <m/>
    <m/>
    <n v="2024"/>
    <d v="2024-10-03T00:00:00"/>
    <m/>
    <x v="0"/>
    <m/>
    <s v="MRF"/>
    <s v="OPERATIONAL"/>
    <s v="Technical Assistance"/>
  </r>
  <r>
    <x v="6"/>
    <s v="Rizal"/>
    <s v="Calaocan District"/>
    <s v="MBA"/>
    <m/>
    <m/>
    <n v="2024"/>
    <d v="2024-07-23T00:00:00"/>
    <m/>
    <x v="0"/>
    <m/>
    <s v="MRF"/>
    <s v="OPERATIONAL"/>
    <s v="Technical Assistance"/>
  </r>
  <r>
    <x v="6"/>
    <s v="Rizal"/>
    <s v="General Luna"/>
    <s v="MBA"/>
    <m/>
    <m/>
    <n v="2025"/>
    <d v="2025-09-10T00:00:00"/>
    <s v="R3-2025-031340"/>
    <x v="0"/>
    <m/>
    <s v="MRF"/>
    <s v="OPERATIONAL"/>
    <s v="Technical Assistance"/>
  </r>
  <r>
    <x v="6"/>
    <s v="Aliaga"/>
    <s v="Umangan"/>
    <s v="MBA"/>
    <s v="Gem C. Vicencio"/>
    <s v="Zosimo P. Suyat"/>
    <m/>
    <m/>
    <m/>
    <x v="4"/>
    <m/>
    <m/>
    <m/>
    <s v="For Monitoring"/>
  </r>
  <r>
    <x v="6"/>
    <s v="Bongabon"/>
    <s v="Kaingin (Pob.)"/>
    <s v="MBA"/>
    <s v="Christian Jem L. Buluran"/>
    <s v="Zosimo P. Suyat"/>
    <m/>
    <m/>
    <m/>
    <x v="4"/>
    <m/>
    <m/>
    <m/>
    <s v="For Monitoring"/>
  </r>
  <r>
    <x v="6"/>
    <s v="Rizal"/>
    <s v="Del Pilar"/>
    <s v="MBA"/>
    <m/>
    <m/>
    <n v="2024"/>
    <d v="2024-10-03T00:00:00"/>
    <m/>
    <x v="0"/>
    <m/>
    <s v="MRF"/>
    <s v="OPERATIONAL"/>
    <s v="Technical Assistance"/>
  </r>
  <r>
    <x v="6"/>
    <s v="Rizal"/>
    <s v="Estrella"/>
    <s v="MBA"/>
    <m/>
    <m/>
    <n v="2024"/>
    <d v="2024-10-03T00:00:00"/>
    <m/>
    <x v="0"/>
    <m/>
    <s v="MRF"/>
    <s v="OPERATIONAL"/>
    <s v="Technical Assistance"/>
  </r>
  <r>
    <x v="6"/>
    <s v="Rizal"/>
    <s v="San Esteban"/>
    <s v="MBA"/>
    <m/>
    <m/>
    <n v="2025"/>
    <d v="2025-09-10T00:00:00"/>
    <s v="R3-2025-031341"/>
    <x v="0"/>
    <m/>
    <s v="MRF"/>
    <s v="OPERATIONAL"/>
    <s v="Technical Assistance"/>
  </r>
  <r>
    <x v="6"/>
    <s v="Rizal"/>
    <s v="Macapsing"/>
    <s v="MBA"/>
    <m/>
    <m/>
    <n v="2025"/>
    <d v="2025-05-27T00:00:00"/>
    <s v="R3-2025-018353"/>
    <x v="0"/>
    <m/>
    <s v="MRS"/>
    <s v="OPERATIONAL"/>
    <s v="Technical Assistance"/>
  </r>
  <r>
    <x v="6"/>
    <s v="Bongabon"/>
    <s v="Labi"/>
    <s v="MBA"/>
    <s v="Christian Jem L. Buluran"/>
    <s v="Zosimo P. Suyat"/>
    <m/>
    <m/>
    <m/>
    <x v="4"/>
    <m/>
    <m/>
    <m/>
    <s v="For Monitoring"/>
  </r>
  <r>
    <x v="6"/>
    <s v="Rizal"/>
    <s v="Paco Roman"/>
    <s v="MBA"/>
    <m/>
    <m/>
    <n v="2024"/>
    <d v="2024-10-03T00:00:00"/>
    <m/>
    <x v="0"/>
    <m/>
    <s v="MRF"/>
    <s v="OPERATIONAL"/>
    <s v="Technical Assistance"/>
  </r>
  <r>
    <x v="6"/>
    <s v="Rizal"/>
    <s v="Pagasa"/>
    <s v="MBA"/>
    <m/>
    <m/>
    <n v="2024"/>
    <d v="2024-10-03T00:00:00"/>
    <m/>
    <x v="0"/>
    <m/>
    <s v="MRF"/>
    <s v="OPERATIONAL"/>
    <s v="Technical Assistance"/>
  </r>
  <r>
    <x v="6"/>
    <s v="Bongabon"/>
    <s v="Macabaclay"/>
    <s v="MBA"/>
    <s v="Christian Jem L. Buluran"/>
    <s v="Zosimo P. Suyat"/>
    <m/>
    <m/>
    <m/>
    <x v="4"/>
    <m/>
    <m/>
    <m/>
    <s v="For Monitoring"/>
  </r>
  <r>
    <x v="6"/>
    <s v="Bongabon"/>
    <s v="Olivete"/>
    <s v="MBA"/>
    <s v="Christian Jem L. Buluran"/>
    <s v="Zosimo P. Suyat"/>
    <m/>
    <m/>
    <m/>
    <x v="4"/>
    <m/>
    <m/>
    <m/>
    <s v="For Monitoring"/>
  </r>
  <r>
    <x v="6"/>
    <s v="Bongabon"/>
    <s v="Palo Maria (Pob.)"/>
    <s v="MBA"/>
    <s v="Christian Jem L. Buluran"/>
    <s v="Zosimo P. Suyat"/>
    <m/>
    <m/>
    <m/>
    <x v="4"/>
    <m/>
    <m/>
    <m/>
    <s v="For Monitoring"/>
  </r>
  <r>
    <x v="6"/>
    <s v="Bongabon"/>
    <s v="San Roque (Pob.)"/>
    <s v="MBA"/>
    <s v="Christian Jem L. Buluran"/>
    <s v="Zosimo P. Suyat"/>
    <m/>
    <m/>
    <m/>
    <x v="4"/>
    <m/>
    <m/>
    <m/>
    <s v="For Monitoring"/>
  </r>
  <r>
    <x v="6"/>
    <s v="Bongabon"/>
    <s v="Sinipit (Pob.)"/>
    <s v="MBA"/>
    <s v="Christian Jem L. Buluran"/>
    <s v="Zosimo P. Suyat"/>
    <m/>
    <m/>
    <m/>
    <x v="4"/>
    <m/>
    <m/>
    <m/>
    <s v="For Monitoring"/>
  </r>
  <r>
    <x v="6"/>
    <s v="Bongabon"/>
    <s v="Tugatug"/>
    <s v="MBA"/>
    <s v="Christian Jem L. Buluran"/>
    <s v="Zosimo P. Suyat"/>
    <m/>
    <m/>
    <m/>
    <x v="4"/>
    <m/>
    <m/>
    <m/>
    <s v="For Monitoring"/>
  </r>
  <r>
    <x v="6"/>
    <s v="Rizal"/>
    <s v="Villa Labrador"/>
    <s v="MBA"/>
    <m/>
    <m/>
    <n v="2025"/>
    <d v="2025-09-10T00:00:00"/>
    <s v="R3-2025-031343"/>
    <x v="0"/>
    <m/>
    <s v="MRF"/>
    <s v="OPERATIONAL"/>
    <s v="Technical Assistance"/>
  </r>
  <r>
    <x v="6"/>
    <s v="Bongabon"/>
    <s v="Vega"/>
    <s v="MBA"/>
    <s v="Christian Jem L. Buluran"/>
    <s v="Zosimo P. Suyat"/>
    <m/>
    <m/>
    <m/>
    <x v="4"/>
    <m/>
    <m/>
    <m/>
    <s v="For Monitoring"/>
  </r>
  <r>
    <x v="6"/>
    <s v="Rizal"/>
    <s v="Santa Monica"/>
    <s v="MBA"/>
    <m/>
    <m/>
    <n v="2024"/>
    <d v="2024-07-23T00:00:00"/>
    <m/>
    <x v="0"/>
    <m/>
    <s v="MRF"/>
    <s v="OPERATIONAL"/>
    <s v="Technical Assistance"/>
  </r>
  <r>
    <x v="6"/>
    <s v="Rizal"/>
    <s v="Villa Paraiso"/>
    <s v="MBA"/>
    <m/>
    <m/>
    <n v="2025"/>
    <d v="2025-09-10T00:00:00"/>
    <s v="R3-2025-031344"/>
    <x v="0"/>
    <m/>
    <s v="MRS"/>
    <s v="OPERATIONAL"/>
    <s v="Technical Assistance"/>
  </r>
  <r>
    <x v="6"/>
    <s v="San Antonio"/>
    <s v="Buliran"/>
    <s v="MBA"/>
    <m/>
    <m/>
    <n v="2025"/>
    <d v="2025-10-21T00:00:00"/>
    <s v="R3-2025-035706"/>
    <x v="0"/>
    <m/>
    <s v="MRS"/>
    <s v="OPERATIONAL"/>
    <s v="Technical Assistance"/>
  </r>
  <r>
    <x v="6"/>
    <s v="San Antonio"/>
    <s v="Cama Juan"/>
    <s v="MBA"/>
    <m/>
    <m/>
    <n v="2024"/>
    <d v="2024-10-17T00:00:00"/>
    <m/>
    <x v="0"/>
    <m/>
    <s v="MRF"/>
    <s v="OPERATIONAL"/>
    <s v="Technical Assistance"/>
  </r>
  <r>
    <x v="6"/>
    <s v="San Antonio"/>
    <s v="Julo"/>
    <s v="MBA"/>
    <m/>
    <m/>
    <n v="2024"/>
    <d v="2024-02-07T00:00:00"/>
    <m/>
    <x v="0"/>
    <m/>
    <s v="MRF"/>
    <s v="OPERATIONAL"/>
    <s v="Technical Assistance"/>
  </r>
  <r>
    <x v="6"/>
    <s v="San Antonio"/>
    <s v="Lawang Kupang"/>
    <s v="MBA"/>
    <m/>
    <m/>
    <n v="2025"/>
    <d v="2025-10-21T00:00:00"/>
    <s v="R3-2025-035705"/>
    <x v="0"/>
    <m/>
    <s v="MRS"/>
    <s v="OPERATIONAL"/>
    <s v="Technical Assistance"/>
  </r>
  <r>
    <x v="6"/>
    <s v="San Antonio"/>
    <s v="Luyos"/>
    <s v="MBA"/>
    <m/>
    <m/>
    <n v="2025"/>
    <d v="2025-05-21T00:00:00"/>
    <s v="R3-2025-017384"/>
    <x v="0"/>
    <m/>
    <s v="MRS"/>
    <s v="OPERATIONAL"/>
    <s v="Technical Assistance"/>
  </r>
  <r>
    <x v="6"/>
    <s v="San Antonio"/>
    <s v="Maugat"/>
    <s v="MBA"/>
    <m/>
    <m/>
    <n v="2024"/>
    <d v="2024-07-19T00:00:00"/>
    <m/>
    <x v="0"/>
    <m/>
    <s v="MRF"/>
    <s v="OPERATIONAL"/>
    <s v="Technical Assistance"/>
  </r>
  <r>
    <x v="6"/>
    <s v="San Antonio"/>
    <s v="Panabingan"/>
    <s v="MBA"/>
    <m/>
    <m/>
    <n v="2024"/>
    <d v="2024-10-17T00:00:00"/>
    <m/>
    <x v="0"/>
    <m/>
    <s v="MRF"/>
    <s v="OPERATIONAL"/>
    <s v="Technical Assistance"/>
  </r>
  <r>
    <x v="6"/>
    <s v="San Antonio"/>
    <s v="Papaya"/>
    <s v="MBA"/>
    <m/>
    <m/>
    <n v="2024"/>
    <d v="2024-04-18T00:00:00"/>
    <m/>
    <x v="0"/>
    <m/>
    <m/>
    <m/>
    <s v="Technical Assistance"/>
  </r>
  <r>
    <x v="6"/>
    <s v="San Antonio"/>
    <s v="Poblacion"/>
    <s v="MBA"/>
    <m/>
    <m/>
    <n v="2025"/>
    <d v="2025-07-30T00:00:00"/>
    <s v="R3-2025-025556"/>
    <x v="0"/>
    <m/>
    <s v="MRS"/>
    <s v="OPERATIONAL"/>
    <s v="Technical Assistance"/>
  </r>
  <r>
    <x v="6"/>
    <s v="San Antonio"/>
    <s v="San Francisco"/>
    <s v="MBA"/>
    <m/>
    <m/>
    <n v="2025"/>
    <d v="2025-02-06T00:00:00"/>
    <s v="R3-2025-004796"/>
    <x v="0"/>
    <m/>
    <s v="MRF"/>
    <s v="OPERATIONAL"/>
    <s v="Technical Assistance"/>
  </r>
  <r>
    <x v="6"/>
    <s v="San Antonio"/>
    <s v="San Jose"/>
    <s v="MBA"/>
    <m/>
    <m/>
    <n v="2025"/>
    <d v="2025-11-05T00:00:00"/>
    <s v="R3-2025-037237"/>
    <x v="0"/>
    <m/>
    <s v="MRS"/>
    <s v="OPERATIONAL"/>
    <s v="Technical Assistance"/>
  </r>
  <r>
    <x v="6"/>
    <s v="San Antonio"/>
    <s v="San Mariano"/>
    <s v="MBA"/>
    <m/>
    <m/>
    <n v="2025"/>
    <d v="2025-07-30T00:00:00"/>
    <s v="R3-2025-025557"/>
    <x v="0"/>
    <m/>
    <s v="MRS"/>
    <s v="OPERATIONAL"/>
    <s v="Technical Assistance"/>
  </r>
  <r>
    <x v="6"/>
    <s v="San Antonio"/>
    <s v="Santa Barbara"/>
    <s v="MBA"/>
    <m/>
    <m/>
    <n v="2024"/>
    <d v="2024-10-17T00:00:00"/>
    <m/>
    <x v="0"/>
    <m/>
    <s v="MRF"/>
    <s v="OPERATIONAL"/>
    <s v="Technical Assistance"/>
  </r>
  <r>
    <x v="6"/>
    <s v="San Antonio"/>
    <s v="Santa Cruz"/>
    <s v="MBA"/>
    <m/>
    <m/>
    <n v="2025"/>
    <d v="2025-04-23T00:00:00"/>
    <s v="R3-2025-014588"/>
    <x v="0"/>
    <m/>
    <s v="MRS"/>
    <s v="OPERATIONAL"/>
    <s v="Technical Assistance"/>
  </r>
  <r>
    <x v="6"/>
    <s v="San Antonio"/>
    <s v="Santo Cristo"/>
    <s v="MBA"/>
    <m/>
    <m/>
    <n v="2025"/>
    <d v="2025-07-22T00:00:00"/>
    <s v="R3-2025-024612"/>
    <x v="0"/>
    <m/>
    <s v="MRS"/>
    <s v="OPERATIONAL"/>
    <s v="Technical Assistance"/>
  </r>
  <r>
    <x v="6"/>
    <s v="San Antonio"/>
    <s v="Tikiw"/>
    <s v="MBA"/>
    <m/>
    <m/>
    <n v="2025"/>
    <d v="2025-04-23T00:00:00"/>
    <s v="R3-2025-014589"/>
    <x v="0"/>
    <m/>
    <s v="MRS"/>
    <s v="OPERATIONAL"/>
    <s v="Technical Assistance"/>
  </r>
  <r>
    <x v="6"/>
    <s v="San Isidro"/>
    <s v="Alua"/>
    <s v="MBA"/>
    <m/>
    <m/>
    <n v="2024"/>
    <d v="2024-08-20T00:00:00"/>
    <m/>
    <x v="0"/>
    <m/>
    <s v="MRF"/>
    <s v="OPERATIONAL"/>
    <s v="Technical Assistance"/>
  </r>
  <r>
    <x v="6"/>
    <s v="San Isidro"/>
    <s v="Calaba"/>
    <s v="MBA"/>
    <m/>
    <m/>
    <n v="2025"/>
    <d v="2025-03-12T00:00:00"/>
    <s v="R3-2025-008746"/>
    <x v="0"/>
    <m/>
    <s v="MRS"/>
    <s v="OPERATIONAL"/>
    <s v="Technical Assistance"/>
  </r>
  <r>
    <x v="6"/>
    <s v="San Isidro"/>
    <s v="Malapit"/>
    <s v="MBA"/>
    <m/>
    <m/>
    <s v="2024/_x000a_2025"/>
    <s v="27-Mar-24_x000a_14-Feb-25"/>
    <s v="R3-2024-011940/_x000a_R3-2025-005559"/>
    <x v="0"/>
    <m/>
    <s v="MRS"/>
    <s v="OPERATIONAL"/>
    <s v="Technical Assistance"/>
  </r>
  <r>
    <x v="6"/>
    <s v="San Isidro"/>
    <s v="Mangga"/>
    <s v="MBA"/>
    <m/>
    <m/>
    <n v="2025"/>
    <d v="2025-03-12T00:00:00"/>
    <s v="R3-2025-008750"/>
    <x v="0"/>
    <m/>
    <s v="MRS"/>
    <s v="OPERATIONAL"/>
    <s v="Technical Assistance"/>
  </r>
  <r>
    <x v="6"/>
    <s v="San Isidro"/>
    <s v="Poblacion"/>
    <s v="MBA"/>
    <m/>
    <m/>
    <n v="2024"/>
    <d v="2024-03-27T00:00:00"/>
    <m/>
    <x v="0"/>
    <m/>
    <m/>
    <m/>
    <s v="Technical Assistance"/>
  </r>
  <r>
    <x v="6"/>
    <s v="San Isidro"/>
    <s v="Pulo"/>
    <s v="MBA"/>
    <m/>
    <m/>
    <n v="2025"/>
    <d v="2025-03-12T00:00:00"/>
    <s v="R3-2025-008752"/>
    <x v="0"/>
    <m/>
    <s v="MRS"/>
    <s v="OPERATIONAL"/>
    <s v="Technical Assistance"/>
  </r>
  <r>
    <x v="6"/>
    <s v="San Isidro"/>
    <s v="San Roque"/>
    <s v="MBA"/>
    <m/>
    <m/>
    <n v="2024"/>
    <d v="2024-04-17T00:00:00"/>
    <m/>
    <x v="0"/>
    <m/>
    <m/>
    <m/>
    <s v="Technical Assistance"/>
  </r>
  <r>
    <x v="6"/>
    <s v="San Isidro"/>
    <s v="Santo Cristo"/>
    <s v="MBA"/>
    <m/>
    <m/>
    <n v="2025"/>
    <d v="2025-03-12T00:00:00"/>
    <s v="R3-2025-008751"/>
    <x v="0"/>
    <m/>
    <s v="MRS"/>
    <s v="OPERATIONAL"/>
    <s v="Technical Assistance"/>
  </r>
  <r>
    <x v="6"/>
    <s v="San Isidro"/>
    <s v="Tabon"/>
    <s v="MBA"/>
    <m/>
    <m/>
    <n v="2024"/>
    <d v="2024-08-20T00:00:00"/>
    <m/>
    <x v="0"/>
    <m/>
    <s v="MRF"/>
    <s v="OPERATIONAL"/>
    <s v="Technical Assistance"/>
  </r>
  <r>
    <x v="6"/>
    <s v="San Jose City"/>
    <s v="Porais"/>
    <s v="MBA"/>
    <m/>
    <m/>
    <n v="2025"/>
    <d v="2025-08-08T00:00:00"/>
    <s v="R3-2025-027474"/>
    <x v="0"/>
    <m/>
    <s v="MRS"/>
    <s v="OPERATIONAL"/>
    <s v="Technical Assistance"/>
  </r>
  <r>
    <x v="6"/>
    <s v="City of Palayan (Capital)"/>
    <s v="Langka"/>
    <s v="MBA"/>
    <s v="Hosannah R. Sabio"/>
    <s v="Zosimo P. Suyat"/>
    <m/>
    <m/>
    <m/>
    <x v="4"/>
    <m/>
    <m/>
    <m/>
    <s v="For Monitoring"/>
  </r>
  <r>
    <x v="6"/>
    <s v="City of Palayan (Capital)"/>
    <s v="Maligaya"/>
    <s v="MBA"/>
    <s v="Hosannah R. Sabio"/>
    <s v="Zosimo P. Suyat"/>
    <m/>
    <m/>
    <m/>
    <x v="4"/>
    <m/>
    <m/>
    <m/>
    <s v="For Monitoring"/>
  </r>
  <r>
    <x v="6"/>
    <s v="San Jose City"/>
    <s v="Abar Ist"/>
    <s v="MBA"/>
    <m/>
    <m/>
    <n v="2024"/>
    <d v="2024-05-29T00:00:00"/>
    <m/>
    <x v="0"/>
    <m/>
    <m/>
    <m/>
    <s v="Technical Assistance"/>
  </r>
  <r>
    <x v="6"/>
    <s v="City of Palayan (Capital)"/>
    <s v="Mapait"/>
    <s v="MBA"/>
    <s v="Hosannah R. Sabio"/>
    <s v="Zosimo P. Suyat"/>
    <m/>
    <m/>
    <m/>
    <x v="4"/>
    <m/>
    <m/>
    <m/>
    <s v="For Monitoring"/>
  </r>
  <r>
    <x v="6"/>
    <s v="San Jose City"/>
    <s v="Caanawan"/>
    <s v="MBA"/>
    <m/>
    <m/>
    <n v="2024"/>
    <d v="2024-06-13T00:00:00"/>
    <m/>
    <x v="0"/>
    <m/>
    <m/>
    <m/>
    <s v="Technical Assistance"/>
  </r>
  <r>
    <x v="6"/>
    <s v="San Jose City"/>
    <s v="Calaocan"/>
    <s v="MBA"/>
    <m/>
    <m/>
    <n v="2024"/>
    <d v="2024-08-15T00:00:00"/>
    <m/>
    <x v="0"/>
    <m/>
    <s v="MRF"/>
    <s v="OPERATIONAL"/>
    <s v="Technical Assistance"/>
  </r>
  <r>
    <x v="6"/>
    <s v="San Jose City"/>
    <s v="Camanacsacan"/>
    <s v="MBA"/>
    <m/>
    <m/>
    <n v="2025"/>
    <d v="2025-07-17T00:00:00"/>
    <s v="R3-2025-024461"/>
    <x v="0"/>
    <m/>
    <s v="MRS"/>
    <s v="OPERATIONAL"/>
    <s v="Technical Assistance"/>
  </r>
  <r>
    <x v="6"/>
    <s v="San Jose City"/>
    <s v="Canuto Ramos Pob."/>
    <s v="MBA"/>
    <m/>
    <m/>
    <n v="2025"/>
    <d v="2025-07-17T00:00:00"/>
    <s v="R3-2025-024502"/>
    <x v="0"/>
    <m/>
    <s v="MRS"/>
    <s v="OPERATIONAL"/>
    <s v="Technical Assistance"/>
  </r>
  <r>
    <x v="6"/>
    <s v="San Jose City"/>
    <s v="Crisanto Sanchez Pob."/>
    <s v="MBA"/>
    <m/>
    <m/>
    <n v="2025"/>
    <d v="2025-01-23T00:00:00"/>
    <s v="R3-2025-003068"/>
    <x v="0"/>
    <m/>
    <s v="MRF"/>
    <s v="OPERATIONAL"/>
    <s v="Technical Assistance"/>
  </r>
  <r>
    <x v="6"/>
    <s v="Cuyapo"/>
    <s v="Bonifacio"/>
    <s v="OUTSIDE MBA"/>
    <s v="Aser A. Inocencio, Jr."/>
    <s v="Zosimo P. Suyat"/>
    <m/>
    <m/>
    <m/>
    <x v="4"/>
    <m/>
    <m/>
    <m/>
    <s v="For Monitoring"/>
  </r>
  <r>
    <x v="6"/>
    <s v="Cuyapo"/>
    <s v="Bued"/>
    <s v="OUTSIDE MBA"/>
    <s v="Aser A. Inocencio, Jr."/>
    <s v="Zosimo P. Suyat"/>
    <m/>
    <m/>
    <m/>
    <x v="4"/>
    <m/>
    <m/>
    <m/>
    <s v="For Monitoring"/>
  </r>
  <r>
    <x v="6"/>
    <s v="San Jose City"/>
    <s v="Ferdinand E. Marcos Pob."/>
    <s v="MBA"/>
    <m/>
    <m/>
    <n v="2024"/>
    <d v="2024-09-17T00:00:00"/>
    <m/>
    <x v="0"/>
    <m/>
    <s v="MRF"/>
    <s v="OPERATIONAL"/>
    <s v="Technical Assistance"/>
  </r>
  <r>
    <x v="6"/>
    <s v="San Jose City"/>
    <s v="Kaliwanagan"/>
    <s v="MBA"/>
    <m/>
    <m/>
    <n v="2024"/>
    <d v="2024-08-15T00:00:00"/>
    <m/>
    <x v="0"/>
    <m/>
    <s v="MRF"/>
    <s v="OPERATIONAL"/>
    <s v="Technical Assistance"/>
  </r>
  <r>
    <x v="6"/>
    <s v="San Jose City"/>
    <s v="Kita-Kita"/>
    <s v="MBA"/>
    <m/>
    <m/>
    <n v="2024"/>
    <d v="2024-11-05T00:00:00"/>
    <m/>
    <x v="0"/>
    <m/>
    <s v="MRF"/>
    <s v="OPERATIONAL"/>
    <s v="Technical Assistance"/>
  </r>
  <r>
    <x v="6"/>
    <s v="San Jose City"/>
    <s v="Malasin"/>
    <s v="MBA"/>
    <m/>
    <m/>
    <n v="2024"/>
    <d v="2024-11-05T00:00:00"/>
    <m/>
    <x v="0"/>
    <m/>
    <s v="MRF"/>
    <s v="OPERATIONAL"/>
    <s v="Technical Assistance"/>
  </r>
  <r>
    <x v="6"/>
    <s v="Cuyapo"/>
    <s v="Bulala"/>
    <s v="OUTSIDE MBA"/>
    <s v="Aser A. Inocencio, Jr."/>
    <s v="Zosimo P. Suyat"/>
    <m/>
    <m/>
    <m/>
    <x v="4"/>
    <m/>
    <m/>
    <m/>
    <s v="For Monitoring"/>
  </r>
  <r>
    <x v="6"/>
    <s v="Guimba"/>
    <s v="Caingin Tabing Ilog"/>
    <s v="MBA"/>
    <s v="Aser A. Inocencio, Jr."/>
    <s v="Zosimo P. Suyat"/>
    <m/>
    <m/>
    <m/>
    <x v="4"/>
    <m/>
    <m/>
    <m/>
    <s v="For Monitoring"/>
  </r>
  <r>
    <x v="6"/>
    <s v="Guimba"/>
    <s v="Calem"/>
    <s v="MBA"/>
    <s v="Aser A. Inocencio, Jr."/>
    <s v="Zosimo P. Suyat"/>
    <m/>
    <m/>
    <m/>
    <x v="4"/>
    <m/>
    <m/>
    <m/>
    <s v="For Monitoring"/>
  </r>
  <r>
    <x v="6"/>
    <s v="San Jose City"/>
    <s v="Pinili"/>
    <s v="MBA"/>
    <m/>
    <m/>
    <n v="2025"/>
    <d v="2025-08-08T00:00:00"/>
    <s v="R3-2025-027473"/>
    <x v="0"/>
    <m/>
    <s v="MRS"/>
    <s v="OPERATIONAL"/>
    <s v="Technical Assistance"/>
  </r>
  <r>
    <x v="6"/>
    <s v="San Jose City"/>
    <s v="Tulat"/>
    <s v="MBA"/>
    <m/>
    <m/>
    <n v="2025"/>
    <d v="2025-09-09T00:00:00"/>
    <s v="R3-2025-031342"/>
    <x v="0"/>
    <m/>
    <s v="MRF"/>
    <s v="OPERATIONAL"/>
    <s v="Technical Assistance"/>
  </r>
  <r>
    <x v="6"/>
    <s v="San Jose City"/>
    <s v="Rafael Rueda, Sr. Pob."/>
    <s v="MBA"/>
    <m/>
    <m/>
    <n v="2024"/>
    <d v="2024-06-13T00:00:00"/>
    <m/>
    <x v="0"/>
    <m/>
    <m/>
    <m/>
    <s v="Technical Assistance"/>
  </r>
  <r>
    <x v="6"/>
    <s v="San Jose City"/>
    <s v="Raymundo Eugenio Pob."/>
    <s v="MBA"/>
    <m/>
    <m/>
    <n v="2024"/>
    <d v="2024-06-13T00:00:00"/>
    <m/>
    <x v="0"/>
    <m/>
    <m/>
    <m/>
    <s v="Technical Assistance"/>
  </r>
  <r>
    <x v="6"/>
    <s v="San Jose City"/>
    <s v="San Agustin"/>
    <s v="MBA"/>
    <m/>
    <m/>
    <n v="2025"/>
    <d v="2025-01-17T00:00:00"/>
    <s v="R3-2025-001295"/>
    <x v="0"/>
    <m/>
    <s v="MRS"/>
    <s v="OPERATIONAL"/>
    <s v="Technical Assistance"/>
  </r>
  <r>
    <x v="6"/>
    <s v="San Jose City"/>
    <s v="San Juan"/>
    <s v="MBA"/>
    <m/>
    <m/>
    <n v="2025"/>
    <d v="2025-11-07T00:00:00"/>
    <s v="R3-2025-037436"/>
    <x v="0"/>
    <m/>
    <s v="MRS"/>
    <s v="OPERATIONAL"/>
    <s v="Technical Assistance"/>
  </r>
  <r>
    <x v="6"/>
    <s v="Guimba"/>
    <s v="Camiling"/>
    <s v="MBA"/>
    <s v="Aser A. Inocencio, Jr."/>
    <s v="Zosimo P. Suyat"/>
    <m/>
    <m/>
    <m/>
    <x v="4"/>
    <m/>
    <m/>
    <m/>
    <s v="For Monitoring"/>
  </r>
  <r>
    <x v="6"/>
    <s v="San Jose City"/>
    <s v="Santo Niño 1st"/>
    <s v="MBA"/>
    <m/>
    <m/>
    <n v="2024"/>
    <d v="2024-09-17T00:00:00"/>
    <m/>
    <x v="0"/>
    <m/>
    <s v="MRF"/>
    <s v="OPERATIONAL"/>
    <s v="Technical Assistance"/>
  </r>
  <r>
    <x v="6"/>
    <s v="San Jose City"/>
    <s v="Santo Niño 2nd"/>
    <s v="MBA"/>
    <m/>
    <m/>
    <n v="2024"/>
    <d v="2024-09-17T00:00:00"/>
    <m/>
    <x v="0"/>
    <m/>
    <s v="MRF"/>
    <s v="OPERATIONAL"/>
    <s v="Technical Assistance"/>
  </r>
  <r>
    <x v="6"/>
    <s v="Guimba"/>
    <s v="Cardinal"/>
    <s v="MBA"/>
    <s v="Aser A. Inocencio, Jr."/>
    <s v="Zosimo P. Suyat"/>
    <m/>
    <m/>
    <m/>
    <x v="4"/>
    <m/>
    <m/>
    <m/>
    <s v="For Monitoring"/>
  </r>
  <r>
    <x v="6"/>
    <s v="Guimba"/>
    <s v="Catimon"/>
    <s v="MBA"/>
    <s v="Aser A. Inocencio, Jr."/>
    <s v="Zosimo P. Suyat"/>
    <m/>
    <m/>
    <m/>
    <x v="4"/>
    <m/>
    <m/>
    <m/>
    <s v="For Monitoring"/>
  </r>
  <r>
    <x v="6"/>
    <s v="San Jose City"/>
    <s v="Sibut"/>
    <s v="MBA"/>
    <m/>
    <m/>
    <n v="2025"/>
    <d v="2025-02-26T00:00:00"/>
    <s v="R3-2025-007337"/>
    <x v="0"/>
    <m/>
    <s v="MRS"/>
    <s v="OPERATIONAL"/>
    <s v="Technical Assistance"/>
  </r>
  <r>
    <x v="6"/>
    <s v="Guimba"/>
    <s v="Cawayan Bugtong"/>
    <s v="MBA"/>
    <s v="Aser A. Inocencio, Jr."/>
    <s v="Zosimo P. Suyat"/>
    <m/>
    <m/>
    <m/>
    <x v="4"/>
    <m/>
    <m/>
    <m/>
    <s v="For Monitoring"/>
  </r>
  <r>
    <x v="6"/>
    <s v="Guimba"/>
    <s v="Culong"/>
    <s v="MBA"/>
    <s v="Aser A. Inocencio, Jr."/>
    <s v="Zosimo P. Suyat"/>
    <m/>
    <m/>
    <m/>
    <x v="4"/>
    <m/>
    <m/>
    <m/>
    <s v="For Monitoring"/>
  </r>
  <r>
    <x v="6"/>
    <s v="Guimba"/>
    <s v="Escano"/>
    <s v="MBA"/>
    <s v="Aser A. Inocencio, Jr."/>
    <s v="Zosimo P. Suyat"/>
    <m/>
    <m/>
    <m/>
    <x v="4"/>
    <m/>
    <m/>
    <m/>
    <s v="For Monitoring"/>
  </r>
  <r>
    <x v="6"/>
    <s v="Guimba"/>
    <s v="Faigal"/>
    <s v="MBA"/>
    <s v="Aser A. Inocencio, Jr."/>
    <s v="Zosimo P. Suyat"/>
    <m/>
    <m/>
    <m/>
    <x v="4"/>
    <m/>
    <m/>
    <m/>
    <s v="For Monitoring"/>
  </r>
  <r>
    <x v="6"/>
    <s v="Laur"/>
    <s v="Siclong"/>
    <s v="MBA"/>
    <s v="Christian Jem L. Buluran"/>
    <s v="Zosimo P. Suyat"/>
    <m/>
    <m/>
    <m/>
    <x v="4"/>
    <m/>
    <m/>
    <m/>
    <s v="For Monitoring"/>
  </r>
  <r>
    <x v="6"/>
    <s v="San Jose City"/>
    <s v="Villa Joson"/>
    <s v="MBA"/>
    <m/>
    <m/>
    <n v="2025"/>
    <d v="2025-11-07T00:00:00"/>
    <s v="R3-2025-037435"/>
    <x v="0"/>
    <m/>
    <s v="MRF"/>
    <s v="OPERATIONAL"/>
    <s v="Technical Assistance"/>
  </r>
  <r>
    <x v="6"/>
    <s v="San Jose City"/>
    <s v="A. Pascual"/>
    <s v="MBA"/>
    <s v="Hosannah R. Sabio"/>
    <s v="Zosimo P. Suyat"/>
    <m/>
    <m/>
    <m/>
    <x v="4"/>
    <m/>
    <m/>
    <m/>
    <s v="For Monitoring"/>
  </r>
  <r>
    <x v="6"/>
    <s v="San Jose City"/>
    <s v="Abar 2nd"/>
    <s v="MBA"/>
    <s v="Hosannah R. Sabio"/>
    <s v="Zosimo P. Suyat"/>
    <m/>
    <m/>
    <m/>
    <x v="4"/>
    <m/>
    <m/>
    <m/>
    <s v="For Monitoring"/>
  </r>
  <r>
    <x v="6"/>
    <s v="San Jose City"/>
    <s v="Bagong Sikat"/>
    <s v="MBA"/>
    <s v="Hosannah R. Sabio"/>
    <s v="Zosimo P. Suyat"/>
    <m/>
    <m/>
    <m/>
    <x v="4"/>
    <m/>
    <m/>
    <m/>
    <s v="For Monitoring"/>
  </r>
  <r>
    <x v="6"/>
    <s v="San Jose City"/>
    <s v="Culaylay"/>
    <s v="MBA"/>
    <s v="Hosannah R. Sabio"/>
    <s v="Zosimo P. Suyat"/>
    <m/>
    <m/>
    <m/>
    <x v="4"/>
    <m/>
    <m/>
    <m/>
    <s v="For Monitoring"/>
  </r>
  <r>
    <x v="6"/>
    <s v="San Jose City"/>
    <s v="Dizol"/>
    <s v="MBA"/>
    <s v="Hosannah R. Sabio"/>
    <s v="Zosimo P. Suyat"/>
    <m/>
    <m/>
    <m/>
    <x v="4"/>
    <m/>
    <m/>
    <m/>
    <s v="For Monitoring"/>
  </r>
  <r>
    <x v="6"/>
    <s v="San Jose City"/>
    <s v="Manicla"/>
    <s v="MBA"/>
    <s v="Hosannah R. Sabio"/>
    <s v="Zosimo P. Suyat"/>
    <m/>
    <m/>
    <m/>
    <x v="4"/>
    <m/>
    <m/>
    <m/>
    <s v="For Monitoring"/>
  </r>
  <r>
    <x v="6"/>
    <s v="San Jose City"/>
    <s v="Palestina"/>
    <s v="MBA"/>
    <s v="Hosannah R. Sabio"/>
    <s v="Zosimo P. Suyat"/>
    <m/>
    <m/>
    <m/>
    <x v="4"/>
    <m/>
    <m/>
    <m/>
    <s v="For Monitoring"/>
  </r>
  <r>
    <x v="6"/>
    <s v="San Jose City"/>
    <s v="Parang Mangga"/>
    <s v="MBA"/>
    <s v="Hosannah R. Sabio"/>
    <s v="Zosimo P. Suyat"/>
    <m/>
    <m/>
    <m/>
    <x v="4"/>
    <m/>
    <m/>
    <m/>
    <s v="For Monitoring"/>
  </r>
  <r>
    <x v="6"/>
    <s v="San Jose City"/>
    <s v="San Mauricio"/>
    <s v="MBA"/>
    <s v="Hosannah R. Sabio"/>
    <s v="Zosimo P. Suyat"/>
    <m/>
    <m/>
    <m/>
    <x v="4"/>
    <m/>
    <m/>
    <m/>
    <s v="For Monitoring"/>
  </r>
  <r>
    <x v="6"/>
    <s v="San Jose City"/>
    <s v="Santo Niño 3rd"/>
    <s v="MBA"/>
    <s v="Hosannah R. Sabio"/>
    <s v="Zosimo P. Suyat"/>
    <m/>
    <m/>
    <m/>
    <x v="4"/>
    <m/>
    <m/>
    <m/>
    <s v="For Monitoring"/>
  </r>
  <r>
    <x v="6"/>
    <s v="San Leonardo"/>
    <s v="Bonifacio District (Pob.)"/>
    <s v="MBA"/>
    <s v="Christian Jem L. Buluran"/>
    <s v="Zosimo P. Suyat"/>
    <m/>
    <m/>
    <m/>
    <x v="4"/>
    <m/>
    <m/>
    <m/>
    <s v="For Monitoring"/>
  </r>
  <r>
    <x v="6"/>
    <s v="San Leonardo"/>
    <s v="Burgos District (Pob.)"/>
    <s v="MBA"/>
    <s v="Christian Jem L. Buluran"/>
    <s v="Zosimo P. Suyat"/>
    <m/>
    <m/>
    <m/>
    <x v="4"/>
    <m/>
    <m/>
    <m/>
    <s v="For Monitoring"/>
  </r>
  <r>
    <x v="6"/>
    <s v="San Leonardo"/>
    <s v="Castellano"/>
    <s v="MBA"/>
    <s v="Christian Jem L. Buluran"/>
    <s v="Zosimo P. Suyat"/>
    <m/>
    <m/>
    <m/>
    <x v="4"/>
    <m/>
    <m/>
    <m/>
    <s v="For Monitoring"/>
  </r>
  <r>
    <x v="6"/>
    <s v="San Leonardo"/>
    <s v="Tabuating"/>
    <s v="MBA"/>
    <m/>
    <m/>
    <n v="2024"/>
    <d v="2024-04-26T00:00:00"/>
    <m/>
    <x v="0"/>
    <m/>
    <m/>
    <m/>
    <s v="Technical Assistance"/>
  </r>
  <r>
    <x v="6"/>
    <s v="San Leonardo"/>
    <s v="Diversion"/>
    <s v="MBA"/>
    <s v="Christian Jem L. Buluran"/>
    <s v="Zosimo P. Suyat"/>
    <m/>
    <m/>
    <m/>
    <x v="4"/>
    <m/>
    <m/>
    <m/>
    <s v="For Monitoring"/>
  </r>
  <r>
    <x v="6"/>
    <s v="San Leonardo"/>
    <s v="Tambo Adorable"/>
    <s v="MBA"/>
    <m/>
    <m/>
    <n v="2025"/>
    <d v="2026-10-03T00:00:00"/>
    <s v="R3-2025-033408"/>
    <x v="0"/>
    <m/>
    <s v="MRF"/>
    <s v="OPERATIONAL"/>
    <s v="Technical Assistance"/>
  </r>
  <r>
    <x v="6"/>
    <s v="Santa Rosa"/>
    <s v="La Fuente"/>
    <s v="MBA"/>
    <m/>
    <m/>
    <n v="2025"/>
    <d v="2025-08-20T00:00:00"/>
    <s v="R3-2025-031672"/>
    <x v="0"/>
    <m/>
    <s v="MRF"/>
    <s v="OPERATIONAL"/>
    <s v="Technical Assistance"/>
  </r>
  <r>
    <x v="6"/>
    <s v="San Leonardo"/>
    <s v="Magpapalayoc"/>
    <s v="MBA"/>
    <s v="Christian Jem L. Buluran"/>
    <s v="Zosimo P. Suyat"/>
    <m/>
    <m/>
    <m/>
    <x v="4"/>
    <m/>
    <m/>
    <m/>
    <s v="For Monitoring"/>
  </r>
  <r>
    <x v="6"/>
    <s v="San Leonardo"/>
    <s v="Mallorca"/>
    <s v="MBA"/>
    <s v="Christian Jem L. Buluran"/>
    <s v="Zosimo P. Suyat"/>
    <m/>
    <m/>
    <m/>
    <x v="4"/>
    <m/>
    <m/>
    <m/>
    <s v="For Monitoring"/>
  </r>
  <r>
    <x v="6"/>
    <s v="Santa Rosa"/>
    <s v="Burgos"/>
    <s v="MBA"/>
    <m/>
    <m/>
    <n v="2025"/>
    <d v="2025-06-20T00:00:00"/>
    <s v="R3-2025-020834"/>
    <x v="0"/>
    <m/>
    <s v="MRS"/>
    <s v="OPERATIONAL"/>
    <s v="Technical Assistance"/>
  </r>
  <r>
    <x v="6"/>
    <s v="San Leonardo"/>
    <s v="Mambangnan"/>
    <s v="MBA"/>
    <s v="Christian Jem L. Buluran"/>
    <s v="Zosimo P. Suyat"/>
    <m/>
    <m/>
    <m/>
    <x v="4"/>
    <m/>
    <m/>
    <m/>
    <s v="For Monitoring"/>
  </r>
  <r>
    <x v="6"/>
    <s v="San Leonardo"/>
    <s v="Nieves"/>
    <s v="MBA"/>
    <s v="Christian Jem L. Buluran"/>
    <s v="Zosimo P. Suyat"/>
    <m/>
    <m/>
    <m/>
    <x v="4"/>
    <m/>
    <m/>
    <m/>
    <s v="For Monitoring"/>
  </r>
  <r>
    <x v="4"/>
    <s v="Angeles City"/>
    <s v="Santa Trinidad"/>
    <s v="MBA"/>
    <s v="Elyza A. Evilla"/>
    <s v="John Sherwin Y. Loquellano"/>
    <m/>
    <m/>
    <m/>
    <x v="4"/>
    <m/>
    <m/>
    <m/>
    <s v="For Monitoring"/>
  </r>
  <r>
    <x v="4"/>
    <s v="Angeles City"/>
    <s v="Santo Rosario (Pob.)"/>
    <s v="MBA"/>
    <s v="Elyza A. Evilla"/>
    <s v="John Sherwin Y. Loquellano"/>
    <m/>
    <m/>
    <m/>
    <x v="4"/>
    <m/>
    <m/>
    <m/>
    <s v="For Monitoring"/>
  </r>
  <r>
    <x v="4"/>
    <s v="Angeles City"/>
    <s v="Sapangbato"/>
    <s v="MBA"/>
    <s v="Elyza A. Evilla"/>
    <s v="John Sherwin Y. Loquellano"/>
    <m/>
    <m/>
    <m/>
    <x v="4"/>
    <m/>
    <m/>
    <m/>
    <s v="For Monitoring"/>
  </r>
  <r>
    <x v="6"/>
    <s v="Santa Rosa"/>
    <s v="Luna"/>
    <s v="MBA"/>
    <m/>
    <m/>
    <n v="2025"/>
    <d v="2025-09-09T00:00:00"/>
    <s v="R3-2025-031673"/>
    <x v="0"/>
    <m/>
    <s v="MRF"/>
    <s v="OPERATIONAL"/>
    <s v="Technical Assistance"/>
  </r>
  <r>
    <x v="6"/>
    <s v="Santa Rosa"/>
    <s v="Liwayway"/>
    <s v="MBA"/>
    <m/>
    <m/>
    <n v="2025"/>
    <d v="2025-07-30T00:00:00"/>
    <s v="R3-2025-027489"/>
    <x v="0"/>
    <m/>
    <s v="MRF"/>
    <s v="OPERATIONAL"/>
    <s v="Technical Assistance"/>
  </r>
  <r>
    <x v="4"/>
    <s v="Angeles City"/>
    <s v="Tabun"/>
    <s v="MBA"/>
    <s v="Elyza A. Evilla"/>
    <s v="John Sherwin Y. Loquellano"/>
    <m/>
    <m/>
    <m/>
    <x v="4"/>
    <m/>
    <m/>
    <m/>
    <s v="For Monitoring"/>
  </r>
  <r>
    <x v="6"/>
    <s v="Santa Rosa"/>
    <s v="Rizal (Pob.)"/>
    <s v="MBA"/>
    <m/>
    <m/>
    <n v="2025"/>
    <d v="2025-09-09T00:00:00"/>
    <s v="R3-2025-031674"/>
    <x v="0"/>
    <m/>
    <s v="MRS"/>
    <s v="OPERATIONAL"/>
    <s v="Technical Assistance"/>
  </r>
  <r>
    <x v="4"/>
    <s v="Angeles City"/>
    <s v="Virgen Delos Remedios"/>
    <s v="MBA"/>
    <s v="Elyza A. Evilla"/>
    <s v="John Sherwin Y. Loquellano"/>
    <m/>
    <m/>
    <m/>
    <x v="4"/>
    <m/>
    <m/>
    <m/>
    <s v="For Monitoring"/>
  </r>
  <r>
    <x v="4"/>
    <s v="Mabalacat City"/>
    <s v="Lakandula"/>
    <s v="MBA"/>
    <s v="Roger T. Encarnacion II"/>
    <s v="Jun D. Guillermo"/>
    <m/>
    <m/>
    <m/>
    <x v="4"/>
    <m/>
    <m/>
    <m/>
    <s v="For Monitoring"/>
  </r>
  <r>
    <x v="4"/>
    <s v="Mabalacat City"/>
    <s v="Mabiga"/>
    <s v="MBA"/>
    <s v="Roger T. Encarnacion II"/>
    <s v="Jun D. Guillermo"/>
    <m/>
    <m/>
    <m/>
    <x v="4"/>
    <m/>
    <m/>
    <m/>
    <s v="For Monitoring"/>
  </r>
  <r>
    <x v="4"/>
    <s v="Mabalacat City"/>
    <s v="Macapagal Village"/>
    <s v="MBA"/>
    <s v="Roger T. Encarnacion II"/>
    <s v="Jun D. Guillermo"/>
    <m/>
    <m/>
    <m/>
    <x v="4"/>
    <m/>
    <m/>
    <m/>
    <s v="For Monitoring"/>
  </r>
  <r>
    <x v="4"/>
    <s v="Mabalacat City"/>
    <s v="Mamatitang"/>
    <s v="MBA"/>
    <s v="Roger T. Encarnacion II"/>
    <s v="Jun D. Guillermo"/>
    <m/>
    <m/>
    <m/>
    <x v="4"/>
    <m/>
    <m/>
    <m/>
    <s v="For Monitoring"/>
  </r>
  <r>
    <x v="4"/>
    <s v="Mabalacat City"/>
    <s v="Mangalit"/>
    <s v="MBA"/>
    <s v="Roger T. Encarnacion II"/>
    <s v="Jun D. Guillermo"/>
    <m/>
    <m/>
    <m/>
    <x v="4"/>
    <m/>
    <m/>
    <m/>
    <s v="For Monitoring"/>
  </r>
  <r>
    <x v="4"/>
    <s v="Magalang"/>
    <s v="Camias"/>
    <s v="MBA"/>
    <s v="Roger T. Encarnacion II"/>
    <s v="Jun D. Guillermo"/>
    <m/>
    <m/>
    <m/>
    <x v="4"/>
    <m/>
    <m/>
    <m/>
    <s v="For Monitoring"/>
  </r>
  <r>
    <x v="4"/>
    <s v="Magalang"/>
    <s v="Escaler"/>
    <s v="MBA"/>
    <s v="Roger T. Encarnacion II"/>
    <s v="Jun D. Guillermo"/>
    <m/>
    <m/>
    <m/>
    <x v="4"/>
    <m/>
    <m/>
    <m/>
    <s v="For Monitoring"/>
  </r>
  <r>
    <x v="4"/>
    <s v="Magalang"/>
    <s v="San Franciso"/>
    <s v="MBA"/>
    <s v="Roger T. Encarnacion II"/>
    <s v="Jun D. Guillermo"/>
    <m/>
    <m/>
    <m/>
    <x v="4"/>
    <m/>
    <m/>
    <m/>
    <s v="For Monitoring"/>
  </r>
  <r>
    <x v="4"/>
    <s v="Magalang"/>
    <s v="San Ildefonso"/>
    <s v="MBA"/>
    <s v="Roger T. Encarnacion II"/>
    <s v="Jun D. Guillermo"/>
    <m/>
    <m/>
    <m/>
    <x v="4"/>
    <m/>
    <m/>
    <m/>
    <s v="For Monitoring"/>
  </r>
  <r>
    <x v="6"/>
    <s v="Santa Rosa"/>
    <s v="San Mariano"/>
    <s v="MBA"/>
    <m/>
    <m/>
    <n v="2025"/>
    <d v="2025-08-06T00:00:00"/>
    <s v="R3-2025-027691"/>
    <x v="0"/>
    <m/>
    <s v="MRF"/>
    <s v="OPERATIONAL"/>
    <s v="Technical Assistance"/>
  </r>
  <r>
    <x v="4"/>
    <s v="Magalang"/>
    <s v="San Jose"/>
    <s v="MBA"/>
    <s v="Roger T. Encarnacion II"/>
    <s v="Jun D. Guillermo"/>
    <m/>
    <m/>
    <m/>
    <x v="4"/>
    <m/>
    <m/>
    <m/>
    <s v="For Monitoring"/>
  </r>
  <r>
    <x v="4"/>
    <s v="Masantol"/>
    <s v="Alauli"/>
    <s v="MBA"/>
    <s v="Glaiza S. Gaza"/>
    <s v="John Sherwin Y. Loquellano"/>
    <m/>
    <m/>
    <m/>
    <x v="4"/>
    <m/>
    <m/>
    <m/>
    <s v="For Monitoring"/>
  </r>
  <r>
    <x v="4"/>
    <s v="Masantol"/>
    <s v="San Nicolas (Pob.)"/>
    <s v="MBA"/>
    <s v="Glaiza S. Gaza"/>
    <s v="John Sherwin Y. Loquellano"/>
    <m/>
    <m/>
    <m/>
    <x v="4"/>
    <m/>
    <m/>
    <m/>
    <s v="For Monitoring"/>
  </r>
  <r>
    <x v="4"/>
    <s v="Masantol"/>
    <s v="Santa Lucia Anac (Pob.)"/>
    <s v="MBA"/>
    <s v="Glaiza S. Gaza"/>
    <s v="John Sherwin Y. Loquellano"/>
    <m/>
    <m/>
    <m/>
    <x v="4"/>
    <m/>
    <m/>
    <m/>
    <s v="For Monitoring"/>
  </r>
  <r>
    <x v="6"/>
    <s v="Santa Rosa"/>
    <s v="Soledad"/>
    <s v="MBA"/>
    <m/>
    <m/>
    <n v="2024"/>
    <d v="2024-04-23T00:00:00"/>
    <m/>
    <x v="0"/>
    <m/>
    <m/>
    <m/>
    <s v="Technical Assistance"/>
  </r>
  <r>
    <x v="4"/>
    <s v="Masantol"/>
    <s v="Santa Lucia Matua"/>
    <s v="MBA"/>
    <s v="Glaiza S. Gaza"/>
    <s v="John Sherwin Y. Loquellano"/>
    <m/>
    <m/>
    <m/>
    <x v="4"/>
    <m/>
    <m/>
    <m/>
    <s v="For Monitoring"/>
  </r>
  <r>
    <x v="6"/>
    <s v="Santa Rosa"/>
    <s v="Tramo"/>
    <s v="MBA"/>
    <m/>
    <m/>
    <n v="2025"/>
    <d v="2025-10-01T00:00:00"/>
    <s v="R3-2025-033409"/>
    <x v="0"/>
    <m/>
    <s v="MRS"/>
    <s v="OPERATIONAL"/>
    <s v="Technical Assistance"/>
  </r>
  <r>
    <x v="4"/>
    <s v="Masantol"/>
    <s v="Santa Lucia Paguiba"/>
    <s v="MBA"/>
    <s v="Glaiza S. Gaza"/>
    <s v="John Sherwin Y. Loquellano"/>
    <m/>
    <m/>
    <m/>
    <x v="4"/>
    <m/>
    <m/>
    <m/>
    <s v="For Monitoring"/>
  </r>
  <r>
    <x v="4"/>
    <s v="Mexico"/>
    <s v="Concepcion"/>
    <s v="MBA"/>
    <s v="Roger T. Encarnacion II"/>
    <s v="Jun D. Guillermo"/>
    <m/>
    <m/>
    <m/>
    <x v="4"/>
    <m/>
    <m/>
    <m/>
    <s v="For Monitoring"/>
  </r>
  <r>
    <x v="6"/>
    <s v="Santo Domingo"/>
    <s v="Baloc"/>
    <s v="MBA"/>
    <m/>
    <m/>
    <n v="2025"/>
    <d v="2025-05-14T00:00:00"/>
    <s v="R3-2025-016207"/>
    <x v="0"/>
    <m/>
    <s v="MRS"/>
    <s v="OPERATIONAL"/>
    <s v="Technical Assistance"/>
  </r>
  <r>
    <x v="6"/>
    <s v="Santo Domingo"/>
    <s v="Buasao"/>
    <s v="MBA"/>
    <m/>
    <m/>
    <n v="2025"/>
    <d v="2025-05-14T00:00:00"/>
    <s v="R3-2025-016198"/>
    <x v="0"/>
    <m/>
    <s v="MRS"/>
    <s v="OPERATIONAL"/>
    <s v="Technical Assistance"/>
  </r>
  <r>
    <x v="6"/>
    <s v="Santo Domingo"/>
    <s v="Burgos"/>
    <s v="MBA"/>
    <m/>
    <m/>
    <n v="2025"/>
    <d v="2025-02-26T00:00:00"/>
    <s v="R3-2025-006878"/>
    <x v="0"/>
    <m/>
    <s v="MRS"/>
    <s v="OPERATIONAL"/>
    <s v="Technical Assistance"/>
  </r>
  <r>
    <x v="6"/>
    <s v="Santo Domingo"/>
    <s v="Cabugao"/>
    <s v="MBA"/>
    <m/>
    <m/>
    <n v="2025"/>
    <d v="2025-02-20T00:00:00"/>
    <s v="R3-2025-006247"/>
    <x v="0"/>
    <m/>
    <s v="MRS"/>
    <s v="OPERATIONAL"/>
    <s v="Technical Assistance"/>
  </r>
  <r>
    <x v="4"/>
    <s v="Mexico"/>
    <s v="Culubasa"/>
    <s v="MBA"/>
    <s v="Roger T. Encarnacion II"/>
    <s v="Jun D. Guillermo"/>
    <m/>
    <m/>
    <m/>
    <x v="4"/>
    <m/>
    <m/>
    <m/>
    <s v="For Monitoring"/>
  </r>
  <r>
    <x v="6"/>
    <s v="Santo Domingo"/>
    <s v="Comitang"/>
    <s v="MBA"/>
    <m/>
    <m/>
    <n v="2025"/>
    <d v="2026-07-16T00:00:00"/>
    <s v="R3-2025-023807"/>
    <x v="0"/>
    <m/>
    <s v="MRS"/>
    <s v="OPERATIONAL"/>
    <s v="Technical Assistance"/>
  </r>
  <r>
    <x v="6"/>
    <s v="Santo Domingo"/>
    <s v="Concepcion"/>
    <s v="MBA"/>
    <m/>
    <m/>
    <n v="2025"/>
    <d v="2025-01-21T00:00:00"/>
    <s v="R3-2025-002074"/>
    <x v="0"/>
    <m/>
    <s v="MRS"/>
    <s v="OPERATIONAL"/>
    <s v="Technical Assistance"/>
  </r>
  <r>
    <x v="4"/>
    <s v="Mexico"/>
    <s v="Divisoria"/>
    <s v="MBA"/>
    <s v="Roger T. Encarnacion II"/>
    <s v="Jun D. Guillermo"/>
    <m/>
    <m/>
    <m/>
    <x v="4"/>
    <m/>
    <m/>
    <m/>
    <s v="For Monitoring"/>
  </r>
  <r>
    <x v="4"/>
    <s v="Mexico"/>
    <s v="Dolores"/>
    <s v="MBA"/>
    <s v="Roger T. Encarnacion II"/>
    <s v="Jun D. Guillermo"/>
    <m/>
    <m/>
    <m/>
    <x v="4"/>
    <m/>
    <m/>
    <m/>
    <s v="For Monitoring"/>
  </r>
  <r>
    <x v="6"/>
    <s v="Santo Domingo"/>
    <s v="Hulo"/>
    <s v="MBA"/>
    <m/>
    <m/>
    <n v="2025"/>
    <d v="2025-02-06T00:00:00"/>
    <s v="R3-2025-004397"/>
    <x v="0"/>
    <m/>
    <s v="MRS"/>
    <s v="OPERATIONAL"/>
    <s v="Technical Assistance"/>
  </r>
  <r>
    <x v="6"/>
    <s v="Santo Domingo"/>
    <s v="Mabini"/>
    <s v="MBA"/>
    <m/>
    <m/>
    <n v="2025"/>
    <d v="2025-07-16T00:00:00"/>
    <s v="R3-2025-023808"/>
    <x v="0"/>
    <m/>
    <s v="MRS"/>
    <s v="OPERATIONAL"/>
    <s v="Technical Assistance"/>
  </r>
  <r>
    <x v="6"/>
    <s v="Santo Domingo"/>
    <s v="Malasin"/>
    <s v="MBA"/>
    <m/>
    <m/>
    <n v="2024"/>
    <d v="2024-04-05T00:00:00"/>
    <m/>
    <x v="0"/>
    <m/>
    <s v="MRF"/>
    <s v="OPERATIONAL"/>
    <s v="Technical Assistance"/>
  </r>
  <r>
    <x v="6"/>
    <s v="Santo Domingo"/>
    <s v="Malaya"/>
    <s v="MBA"/>
    <m/>
    <m/>
    <n v="2025"/>
    <d v="2025-03-05T00:00:00"/>
    <s v="R3-2025-007895"/>
    <x v="0"/>
    <m/>
    <s v="MRS"/>
    <s v="OPERATIONAL"/>
    <s v="Technical Assistance"/>
  </r>
  <r>
    <x v="4"/>
    <s v="Mexico"/>
    <s v="Gandus"/>
    <s v="MBA"/>
    <s v="Roger T. Encarnacion II"/>
    <s v="Jun D. Guillermo"/>
    <m/>
    <m/>
    <m/>
    <x v="4"/>
    <m/>
    <m/>
    <m/>
    <s v="For Monitoring"/>
  </r>
  <r>
    <x v="6"/>
    <s v="Santo Domingo"/>
    <s v="Mambarao"/>
    <s v="MBA"/>
    <m/>
    <m/>
    <n v="2025"/>
    <d v="2025-02-20T00:00:00"/>
    <s v="R3-2025-006248"/>
    <x v="0"/>
    <m/>
    <s v="MRS"/>
    <s v="OPERATIONAL"/>
    <s v="Technical Assistance"/>
  </r>
  <r>
    <x v="4"/>
    <s v="Mexico"/>
    <s v="San Miguel"/>
    <s v="MBA"/>
    <s v="Roger T. Encarnacion II"/>
    <s v="Jun D. Guillermo"/>
    <m/>
    <m/>
    <m/>
    <x v="4"/>
    <m/>
    <m/>
    <m/>
    <s v="For Monitoring"/>
  </r>
  <r>
    <x v="4"/>
    <s v="Mexico"/>
    <s v="San Nicolas"/>
    <s v="MBA"/>
    <s v="Roger T. Encarnacion II"/>
    <s v="Jun D. Guillermo"/>
    <m/>
    <m/>
    <m/>
    <x v="4"/>
    <m/>
    <m/>
    <m/>
    <s v="For Monitoring"/>
  </r>
  <r>
    <x v="6"/>
    <s v="Santo Domingo"/>
    <s v="Sagaba"/>
    <s v="MBA"/>
    <m/>
    <m/>
    <n v="2024"/>
    <d v="2024-08-08T00:00:00"/>
    <m/>
    <x v="0"/>
    <m/>
    <s v="MRF"/>
    <s v="OPERATIONAL"/>
    <s v="Technical Assistance"/>
  </r>
  <r>
    <x v="6"/>
    <s v="Santo Domingo"/>
    <s v="San Agustin"/>
    <s v="MBA"/>
    <m/>
    <m/>
    <n v="2024"/>
    <d v="2024-11-14T00:00:00"/>
    <m/>
    <x v="0"/>
    <m/>
    <s v="MRF"/>
    <s v="OPERATIONAL"/>
    <s v="Technical Assistance"/>
  </r>
  <r>
    <x v="6"/>
    <s v="Santo Domingo"/>
    <s v="San Fabian"/>
    <s v="MBA"/>
    <m/>
    <m/>
    <n v="2025"/>
    <d v="2025-01-23T00:00:00"/>
    <s v="R3-2025-002700"/>
    <x v="0"/>
    <m/>
    <s v="MRS"/>
    <s v="OPERATIONAL"/>
    <s v="Technical Assistance"/>
  </r>
  <r>
    <x v="6"/>
    <s v="Santo Domingo"/>
    <s v="San Francisco"/>
    <s v="MBA"/>
    <m/>
    <m/>
    <n v="2024"/>
    <d v="2024-11-19T00:00:00"/>
    <m/>
    <x v="0"/>
    <m/>
    <s v="MRF"/>
    <s v="NON-OPERATIONAL"/>
    <s v="Technical Assistance"/>
  </r>
  <r>
    <x v="4"/>
    <s v="Mexico"/>
    <s v="San Pablo"/>
    <s v="MBA"/>
    <s v="Roger T. Encarnacion II"/>
    <s v="Jun D. Guillermo"/>
    <m/>
    <m/>
    <m/>
    <x v="4"/>
    <m/>
    <m/>
    <m/>
    <s v="For Monitoring"/>
  </r>
  <r>
    <x v="3"/>
    <s v="Mayantoc"/>
    <s v="Baybayaoas"/>
    <s v="OUTSIDE MBA"/>
    <s v="Jasper Kieht B. Pili"/>
    <s v="Jan Emerson C. Gonzales"/>
    <m/>
    <m/>
    <m/>
    <x v="0"/>
    <m/>
    <m/>
    <m/>
    <s v="For Monitoring"/>
  </r>
  <r>
    <x v="6"/>
    <s v="Santo Domingo"/>
    <s v="Santo Rosario"/>
    <s v="MBA"/>
    <m/>
    <m/>
    <n v="2025"/>
    <d v="2025-07-16T00:00:00"/>
    <s v="R3-2025-023806"/>
    <x v="0"/>
    <m/>
    <s v="MRF"/>
    <s v="OPERATIONAL"/>
    <s v="Technical Assistance"/>
  </r>
  <r>
    <x v="6"/>
    <s v="Science City of Munoz"/>
    <s v="Bagong Sikat"/>
    <s v="MBA"/>
    <m/>
    <m/>
    <n v="2025"/>
    <d v="2025-02-27T00:00:00"/>
    <s v="R3-2025-007743"/>
    <x v="0"/>
    <m/>
    <s v="MRS"/>
    <s v="OPERATIONAL"/>
    <s v="Technical Assistance"/>
  </r>
  <r>
    <x v="6"/>
    <s v="Science City of Munoz"/>
    <s v="Balante"/>
    <s v="MBA"/>
    <m/>
    <m/>
    <n v="2024"/>
    <d v="2024-11-07T00:00:00"/>
    <m/>
    <x v="0"/>
    <m/>
    <s v="MRF"/>
    <s v="OPERATIONAL"/>
    <s v="Technical Assistance"/>
  </r>
  <r>
    <x v="3"/>
    <s v="Mayantoc"/>
    <s v="Binbinaca"/>
    <s v="OUTSIDE MBA"/>
    <s v="Jasper Kieht B. Pili"/>
    <s v="Jan Emerson C. Gonzales"/>
    <m/>
    <m/>
    <m/>
    <x v="0"/>
    <m/>
    <m/>
    <m/>
    <s v="For Monitoring"/>
  </r>
  <r>
    <x v="6"/>
    <s v="Science City of Munoz"/>
    <s v="Bical"/>
    <s v="MBA"/>
    <m/>
    <m/>
    <n v="2024"/>
    <d v="2024-01-30T00:00:00"/>
    <m/>
    <x v="0"/>
    <m/>
    <m/>
    <m/>
    <s v="Technical Assistance"/>
  </r>
  <r>
    <x v="3"/>
    <s v="Mayantoc"/>
    <s v="Caocaoayan"/>
    <s v="OUTSIDE MBA"/>
    <s v="Jasper Kieht B. Pili"/>
    <s v="Jan Emerson C. Gonzales"/>
    <m/>
    <m/>
    <m/>
    <x v="0"/>
    <m/>
    <m/>
    <m/>
    <s v="For Monitoring"/>
  </r>
  <r>
    <x v="6"/>
    <s v="Science City of Munoz"/>
    <s v="Calabalabaan"/>
    <s v="MBA"/>
    <m/>
    <m/>
    <n v="2025"/>
    <d v="2025-07-15T00:00:00"/>
    <s v="R3-2025-023913"/>
    <x v="0"/>
    <m/>
    <s v="MRF"/>
    <s v="OPERATIONAL"/>
    <s v="Technical Assistance"/>
  </r>
  <r>
    <x v="6"/>
    <s v="Science City of Munoz"/>
    <s v="Calisitan"/>
    <s v="MBA"/>
    <m/>
    <m/>
    <n v="2025"/>
    <d v="2025-07-15T00:00:00"/>
    <s v="R3-2025-023915"/>
    <x v="0"/>
    <m/>
    <s v="MRS"/>
    <s v="OPERATIONAL"/>
    <s v="Technical Assistance"/>
  </r>
  <r>
    <x v="6"/>
    <s v="Science City of Munoz"/>
    <s v="Catalanacan"/>
    <s v="MBA"/>
    <m/>
    <m/>
    <n v="2025"/>
    <d v="2025-03-27T00:00:00"/>
    <s v="R3-2025-011883"/>
    <x v="0"/>
    <m/>
    <s v="MRS"/>
    <s v="OPERATIONAL"/>
    <s v="Technical Assistance"/>
  </r>
  <r>
    <x v="3"/>
    <s v="Mayantoc"/>
    <s v="Carabaoan"/>
    <s v="OUTSIDE MBA"/>
    <s v="Jasper Kieht B. Pili"/>
    <s v="Jan Emerson C. Gonzales"/>
    <m/>
    <m/>
    <m/>
    <x v="0"/>
    <m/>
    <m/>
    <m/>
    <s v="For Monitoring"/>
  </r>
  <r>
    <x v="6"/>
    <s v="Science City of Munoz"/>
    <s v="Franza"/>
    <s v="MBA"/>
    <m/>
    <m/>
    <n v="2024"/>
    <d v="2024-11-07T00:00:00"/>
    <m/>
    <x v="0"/>
    <m/>
    <s v="MRF"/>
    <s v="OPERATIONAL"/>
    <s v="Technical Assistance"/>
  </r>
  <r>
    <x v="6"/>
    <s v="Science City of Munoz"/>
    <s v="Gabaldon"/>
    <s v="MBA"/>
    <m/>
    <m/>
    <n v="2025"/>
    <d v="2025-03-27T00:00:00"/>
    <s v="R3-2025-011884"/>
    <x v="0"/>
    <m/>
    <s v="MRS"/>
    <s v="OPERATIONAL"/>
    <s v="Technical Assistance"/>
  </r>
  <r>
    <x v="6"/>
    <s v="Science City of Munoz"/>
    <s v="Labney"/>
    <s v="MBA"/>
    <m/>
    <m/>
    <n v="2025"/>
    <d v="2025-07-15T00:00:00"/>
    <s v="R3-2025-023916"/>
    <x v="0"/>
    <m/>
    <s v="MRF"/>
    <s v="OPERATIONAL"/>
    <s v="Technical Assistance"/>
  </r>
  <r>
    <x v="3"/>
    <s v="Mayantoc"/>
    <s v="Gayonggayong"/>
    <s v="OUTSIDE MBA"/>
    <s v="Jasper Kieht B. Pili"/>
    <s v="Jan Emerson C. Gonzales"/>
    <m/>
    <m/>
    <m/>
    <x v="0"/>
    <m/>
    <m/>
    <m/>
    <s v="For Monitoring"/>
  </r>
  <r>
    <x v="6"/>
    <s v="Science City of Munoz"/>
    <s v="Linglingay"/>
    <s v="MBA"/>
    <m/>
    <m/>
    <n v="2024"/>
    <d v="2024-09-06T00:00:00"/>
    <m/>
    <x v="0"/>
    <m/>
    <s v="MRS"/>
    <s v="OPERATIONAL"/>
    <s v="Technical Assistance"/>
  </r>
  <r>
    <x v="3"/>
    <s v="Mayantoc"/>
    <s v="Gossood"/>
    <s v="OUTSIDE MBA"/>
    <s v="Jasper Kieht B. Pili"/>
    <s v="Jan Emerson C. Gonzales"/>
    <m/>
    <m/>
    <m/>
    <x v="0"/>
    <m/>
    <m/>
    <m/>
    <s v="For Monitoring"/>
  </r>
  <r>
    <x v="6"/>
    <s v="Science City of Munoz"/>
    <s v="Maligaya"/>
    <s v="MBA"/>
    <m/>
    <m/>
    <n v="2025"/>
    <d v="2025-02-27T00:00:00"/>
    <s v="R3-2025-007744"/>
    <x v="0"/>
    <m/>
    <s v="MRS"/>
    <s v="OPERATIONAL"/>
    <s v="Technical Assistance"/>
  </r>
  <r>
    <x v="6"/>
    <s v="Science City of Munoz"/>
    <s v="Mangandingay"/>
    <s v="MBA"/>
    <m/>
    <m/>
    <n v="2025"/>
    <d v="2025-01-23T00:00:00"/>
    <s v="R3-2025-003032"/>
    <x v="0"/>
    <m/>
    <s v="MRS"/>
    <s v="OPERATIONAL"/>
    <s v="Technical Assistance"/>
  </r>
  <r>
    <x v="6"/>
    <s v="Science City of Munoz"/>
    <s v="Mapangpang"/>
    <s v="MBA"/>
    <m/>
    <m/>
    <n v="2025"/>
    <d v="2025-03-20T00:00:00"/>
    <s v="R3-2025-009814"/>
    <x v="0"/>
    <m/>
    <s v="MRS"/>
    <s v="OPERATIONAL"/>
    <s v="Technical Assistance"/>
  </r>
  <r>
    <x v="3"/>
    <s v="Mayantoc"/>
    <s v="Labney"/>
    <s v="OUTSIDE MBA"/>
    <s v="Jasper Kieht B. Pili"/>
    <s v="Jan Emerson C. Gonzales"/>
    <m/>
    <m/>
    <m/>
    <x v="0"/>
    <m/>
    <m/>
    <m/>
    <s v="For Monitoring"/>
  </r>
  <r>
    <x v="3"/>
    <s v="Mayantoc"/>
    <s v="Maniniog"/>
    <s v="OUTSIDE MBA"/>
    <s v="Jasper Kieht B. Pili"/>
    <s v="Jan Emerson C. Gonzales"/>
    <m/>
    <m/>
    <m/>
    <x v="0"/>
    <m/>
    <m/>
    <m/>
    <s v="For Monitoring"/>
  </r>
  <r>
    <x v="3"/>
    <s v="Moncada"/>
    <s v="Ablang-Sapang"/>
    <s v="OUTSIDE MBA"/>
    <s v="Joshua A. Capones"/>
    <s v="Jan Emerson C. Gonzales"/>
    <m/>
    <m/>
    <m/>
    <x v="0"/>
    <m/>
    <m/>
    <m/>
    <s v="For Monitoring"/>
  </r>
  <r>
    <x v="3"/>
    <s v="Moncada"/>
    <s v="Atencio"/>
    <s v="OUTSIDE MBA"/>
    <s v="Joshua A. Capones"/>
    <s v="Jan Emerson C. Gonzales"/>
    <m/>
    <m/>
    <m/>
    <x v="0"/>
    <m/>
    <m/>
    <m/>
    <s v="For Monitoring"/>
  </r>
  <r>
    <x v="3"/>
    <s v="Moncada"/>
    <s v="Burgos"/>
    <s v="OUTSIDE MBA"/>
    <s v="Joshua A. Capones"/>
    <s v="Jan Emerson C. Gonzales"/>
    <m/>
    <m/>
    <m/>
    <x v="0"/>
    <m/>
    <m/>
    <m/>
    <s v="For Monitoring"/>
  </r>
  <r>
    <x v="6"/>
    <s v="Science City of Munoz"/>
    <s v="Poblacion East"/>
    <s v="MBA"/>
    <m/>
    <m/>
    <n v="2024"/>
    <d v="2024-11-07T00:00:00"/>
    <m/>
    <x v="0"/>
    <m/>
    <s v="MRF"/>
    <s v="OPERATIONAL"/>
    <s v="Technical Assistance"/>
  </r>
  <r>
    <x v="6"/>
    <s v="Science City of Munoz"/>
    <s v="Poblacion North"/>
    <s v="MBA"/>
    <m/>
    <m/>
    <n v="2025"/>
    <d v="2025-07-15T00:00:00"/>
    <s v="R3-2025-023917"/>
    <x v="0"/>
    <m/>
    <s v="MRS"/>
    <s v="OPERATIONAL"/>
    <s v="Technical Assistance"/>
  </r>
  <r>
    <x v="6"/>
    <s v="Science City of Munoz"/>
    <s v="Poblacion South"/>
    <s v="MBA"/>
    <m/>
    <m/>
    <n v="2024"/>
    <d v="2024-11-07T00:00:00"/>
    <m/>
    <x v="0"/>
    <m/>
    <s v="MRF"/>
    <s v="OPERATIONAL"/>
    <s v="Technical Assistance"/>
  </r>
  <r>
    <x v="3"/>
    <s v="Moncada"/>
    <s v="Calapan"/>
    <s v="OUTSIDE MBA"/>
    <s v="Joshua A. Capones"/>
    <s v="Jan Emerson C. Gonzales"/>
    <m/>
    <m/>
    <m/>
    <x v="0"/>
    <m/>
    <m/>
    <m/>
    <s v="For Monitoring"/>
  </r>
  <r>
    <x v="3"/>
    <s v="Moncada"/>
    <s v="Camposanto 1 - Norte"/>
    <s v="OUTSIDE MBA"/>
    <s v="Joshua A. Capones"/>
    <s v="Jan Emerson C. Gonzales"/>
    <m/>
    <m/>
    <m/>
    <x v="0"/>
    <m/>
    <m/>
    <m/>
    <s v="For Monitoring"/>
  </r>
  <r>
    <x v="3"/>
    <s v="Moncada"/>
    <s v="Camposanto 2"/>
    <s v="OUTSIDE MBA"/>
    <s v="Joshua A. Capones"/>
    <s v="Jan Emerson C. Gonzales"/>
    <m/>
    <m/>
    <m/>
    <x v="0"/>
    <m/>
    <m/>
    <m/>
    <s v="For Monitoring"/>
  </r>
  <r>
    <x v="3"/>
    <s v="Moncada"/>
    <s v="Lapsing"/>
    <s v="OUTSIDE MBA"/>
    <s v="Joshua A. Capones"/>
    <s v="Jan Emerson C. Gonzales"/>
    <m/>
    <m/>
    <m/>
    <x v="0"/>
    <m/>
    <m/>
    <m/>
    <s v="For Monitoring"/>
  </r>
  <r>
    <x v="6"/>
    <s v="Science City of Munoz"/>
    <s v="San Antonio"/>
    <s v="MBA"/>
    <m/>
    <m/>
    <n v="2025"/>
    <d v="2025-07-15T00:00:00"/>
    <s v="R3-2025-023919"/>
    <x v="0"/>
    <m/>
    <s v="MRF"/>
    <s v="OPERATIONAL"/>
    <s v="Technical Assistance"/>
  </r>
  <r>
    <x v="6"/>
    <s v="Science City of Munoz"/>
    <s v="San Felipe"/>
    <s v="MBA"/>
    <m/>
    <m/>
    <n v="2024"/>
    <d v="2024-11-08T00:00:00"/>
    <m/>
    <x v="0"/>
    <m/>
    <s v="MRF"/>
    <s v="OPERATIONAL"/>
    <s v="Technical Assistance"/>
  </r>
  <r>
    <x v="6"/>
    <s v="Science City of Munoz"/>
    <s v="Sapang Cawayan"/>
    <s v="MBA"/>
    <m/>
    <m/>
    <n v="2025"/>
    <d v="2025-04-30T00:00:00"/>
    <s v="R3-2025-015195"/>
    <x v="0"/>
    <m/>
    <s v="MRS"/>
    <s v="OPERATIONAL"/>
    <s v="Technical Assistance"/>
  </r>
  <r>
    <x v="6"/>
    <s v="Science City of Munoz"/>
    <s v="Villa Cuizon"/>
    <s v="MBA"/>
    <m/>
    <m/>
    <n v="2025"/>
    <d v="2025-07-08T00:00:00"/>
    <s v="R3-2025-023904"/>
    <x v="0"/>
    <m/>
    <s v="MRS"/>
    <s v="OPERATIONAL"/>
    <s v="Technical Assistance"/>
  </r>
  <r>
    <x v="6"/>
    <s v="Science City of Munoz"/>
    <s v="Villa Isla"/>
    <s v="MBA"/>
    <m/>
    <m/>
    <n v="2025"/>
    <d v="2025-07-08T00:00:00"/>
    <s v="R3-2025-023905"/>
    <x v="0"/>
    <m/>
    <s v="MRF"/>
    <s v="OPERATIONAL"/>
    <s v="Technical Assistance"/>
  </r>
  <r>
    <x v="3"/>
    <s v="San Jose"/>
    <s v="Burgos"/>
    <s v="OUTSIDE MBA"/>
    <s v="Gretzhen M. Apolonio"/>
    <s v="Jan Emerson C. Gonzales"/>
    <m/>
    <m/>
    <m/>
    <x v="0"/>
    <m/>
    <m/>
    <m/>
    <s v="For Monitoring"/>
  </r>
  <r>
    <x v="3"/>
    <s v="San Jose"/>
    <s v="Maamot"/>
    <s v="OUTSIDE MBA"/>
    <s v="Gretzhen M. Apolonio"/>
    <s v="Jan Emerson C. Gonzales"/>
    <m/>
    <m/>
    <m/>
    <x v="0"/>
    <m/>
    <m/>
    <m/>
    <s v="For Monitoring"/>
  </r>
  <r>
    <x v="3"/>
    <s v="San Jose"/>
    <s v="Moriones"/>
    <s v="OUTSIDE MBA"/>
    <s v="Gretzhen M. Apolonio"/>
    <s v="Jan Emerson C. Gonzales"/>
    <m/>
    <m/>
    <m/>
    <x v="0"/>
    <m/>
    <m/>
    <m/>
    <s v="For Monitoring"/>
  </r>
  <r>
    <x v="3"/>
    <s v="San Jose"/>
    <s v="Pao"/>
    <s v="OUTSIDE MBA"/>
    <s v="Gretzhen M. Apolonio"/>
    <s v="Jan Emerson C. Gonzales"/>
    <m/>
    <m/>
    <m/>
    <x v="0"/>
    <m/>
    <m/>
    <m/>
    <s v="For Monitoring"/>
  </r>
  <r>
    <x v="6"/>
    <s v="Talavera"/>
    <s v="Bagong Silang"/>
    <s v="MBA"/>
    <m/>
    <m/>
    <n v="2025"/>
    <d v="2025-02-05T00:00:00"/>
    <s v="R3-2025-004121"/>
    <x v="0"/>
    <m/>
    <s v="MRS"/>
    <s v="OPERATIONAL"/>
    <s v="Technical Assistance"/>
  </r>
  <r>
    <x v="6"/>
    <s v="Talavera"/>
    <s v="Bakal I"/>
    <s v="MBA"/>
    <m/>
    <m/>
    <n v="2025"/>
    <d v="2025-05-13T00:00:00"/>
    <s v="R3-2025-016194"/>
    <x v="0"/>
    <m/>
    <s v="MRS"/>
    <s v="OPERATIONAL"/>
    <s v="Technical Assistance"/>
  </r>
  <r>
    <x v="6"/>
    <s v="Talavera"/>
    <s v="Bakal II"/>
    <s v="MBA"/>
    <m/>
    <m/>
    <n v="2025"/>
    <d v="2025-04-22T00:00:00"/>
    <s v="R3-2025-014135"/>
    <x v="0"/>
    <m/>
    <s v="MRS"/>
    <s v="OPERATIONAL"/>
    <s v="Technical Assistance"/>
  </r>
  <r>
    <x v="6"/>
    <s v="Talavera"/>
    <s v="Bakal III"/>
    <s v="MBA"/>
    <m/>
    <m/>
    <n v="2025"/>
    <d v="2025-08-15T00:00:00"/>
    <s v="R3-2025-027972"/>
    <x v="0"/>
    <m/>
    <s v="MRS"/>
    <s v="OPERATIONAL"/>
    <s v="Technical Assistance"/>
  </r>
  <r>
    <x v="6"/>
    <s v="Talavera"/>
    <s v="Baluga"/>
    <s v="MBA"/>
    <m/>
    <m/>
    <n v="2024"/>
    <d v="2024-11-21T00:00:00"/>
    <m/>
    <x v="0"/>
    <m/>
    <s v="MRF"/>
    <s v="OPERATIONAL"/>
    <s v="Technical Assistance"/>
  </r>
  <r>
    <x v="3"/>
    <s v="San Jose"/>
    <s v="Sula"/>
    <s v="OUTSIDE MBA"/>
    <s v="Gretzhen M. Apolonio"/>
    <s v="Jan Emerson C. Gonzales"/>
    <m/>
    <m/>
    <m/>
    <x v="0"/>
    <m/>
    <m/>
    <m/>
    <s v="For Monitoring"/>
  </r>
  <r>
    <x v="3"/>
    <s v="San Jose"/>
    <s v="Villa Aglipay"/>
    <s v="OUTSIDE MBA"/>
    <s v="Gretzhen M. Apolonio"/>
    <s v="Jan Emerson C. Gonzales"/>
    <m/>
    <m/>
    <m/>
    <x v="0"/>
    <m/>
    <m/>
    <m/>
    <s v="For Monitoring"/>
  </r>
  <r>
    <x v="6"/>
    <s v="Talavera"/>
    <s v="Bantug Hamog"/>
    <s v="MBA"/>
    <m/>
    <m/>
    <n v="2025"/>
    <d v="2025-01-15T00:00:00"/>
    <s v="R3-2025-000978"/>
    <x v="0"/>
    <m/>
    <s v="MRS"/>
    <s v="OPERATIONAL"/>
    <s v="Technical Assistance"/>
  </r>
  <r>
    <x v="6"/>
    <s v="City of Palayan (Capital)"/>
    <s v="Doña Josefa"/>
    <s v="MBA"/>
    <s v="Hosannah R. Sabio"/>
    <s v="Zosimo P. Suyat"/>
    <m/>
    <m/>
    <m/>
    <x v="1"/>
    <m/>
    <m/>
    <m/>
    <s v="For Monitoring"/>
  </r>
  <r>
    <x v="6"/>
    <s v="Talavera"/>
    <s v="Bulac"/>
    <s v="MBA"/>
    <m/>
    <m/>
    <n v="2025"/>
    <d v="2025-01-30T00:00:00"/>
    <s v="R3-2025-003332"/>
    <x v="0"/>
    <m/>
    <s v="MRS"/>
    <s v="OPERATIONAL"/>
    <s v="Technical Assistance"/>
  </r>
  <r>
    <x v="2"/>
    <s v="Calumpit"/>
    <s v="Iba O'Este"/>
    <s v="MBA"/>
    <s v="Ronaldo P. Roque, Jr."/>
    <s v="Diozelle L. Cabalar"/>
    <m/>
    <m/>
    <m/>
    <x v="6"/>
    <m/>
    <m/>
    <m/>
    <s v="For Monitoring"/>
  </r>
  <r>
    <x v="2"/>
    <s v="Calumpit"/>
    <s v="Meysulao"/>
    <s v="MBA"/>
    <s v="Ronaldo P. Roque, Jr."/>
    <s v="Diozelle L. Cabalar"/>
    <m/>
    <m/>
    <m/>
    <x v="6"/>
    <m/>
    <m/>
    <m/>
    <s v="For Monitoring"/>
  </r>
  <r>
    <x v="2"/>
    <s v="Calumpit"/>
    <s v="Meyto"/>
    <s v="MBA"/>
    <s v="Ronaldo P. Roque, Jr."/>
    <s v="Diozelle L. Cabalar"/>
    <m/>
    <m/>
    <m/>
    <x v="6"/>
    <m/>
    <m/>
    <m/>
    <s v="For Monitoring"/>
  </r>
  <r>
    <x v="6"/>
    <s v="Talavera"/>
    <s v="Calipahan"/>
    <s v="MBA"/>
    <m/>
    <m/>
    <n v="2024"/>
    <d v="2024-08-15T00:00:00"/>
    <m/>
    <x v="0"/>
    <m/>
    <s v="MRF"/>
    <s v="OPERATIONAL"/>
    <s v="Technical Assistance"/>
  </r>
  <r>
    <x v="6"/>
    <s v="Talavera"/>
    <s v="Campos"/>
    <s v="MBA"/>
    <m/>
    <m/>
    <n v="2025"/>
    <d v="2025-01-30T00:00:00"/>
    <s v="R3-2025-003333"/>
    <x v="0"/>
    <m/>
    <s v="MRS"/>
    <s v="OPERATIONAL"/>
    <s v="Technical Assistance"/>
  </r>
  <r>
    <x v="2"/>
    <s v="Calumpit"/>
    <s v="Panducot"/>
    <s v="MBA"/>
    <s v="Ronaldo P. Roque, Jr."/>
    <s v="Diozelle L. Cabalar"/>
    <m/>
    <m/>
    <m/>
    <x v="6"/>
    <m/>
    <m/>
    <m/>
    <s v="For Monitoring"/>
  </r>
  <r>
    <x v="2"/>
    <s v="Calumpit"/>
    <s v="San Jose"/>
    <s v="MBA"/>
    <s v="Ronaldo P. Roque, Jr."/>
    <s v="Diozelle L. Cabalar"/>
    <m/>
    <m/>
    <m/>
    <x v="6"/>
    <m/>
    <m/>
    <m/>
    <s v="For Monitoring"/>
  </r>
  <r>
    <x v="6"/>
    <s v="Talavera"/>
    <s v="Collado"/>
    <s v="MBA"/>
    <m/>
    <m/>
    <n v="2025"/>
    <d v="2025-07-08T00:00:00"/>
    <s v="R3-2025-023088"/>
    <x v="0"/>
    <m/>
    <s v="MRS"/>
    <s v="OPERATIONAL"/>
    <s v="Technical Assistance"/>
  </r>
  <r>
    <x v="6"/>
    <s v="Talavera"/>
    <s v="Dimasalang Norte"/>
    <s v="MBA"/>
    <m/>
    <m/>
    <n v="2024"/>
    <d v="2024-11-22T00:00:00"/>
    <m/>
    <x v="0"/>
    <m/>
    <s v="MRF"/>
    <s v="OPERATIONAL"/>
    <s v="Technical Assistance"/>
  </r>
  <r>
    <x v="6"/>
    <s v="Talavera"/>
    <s v="Dimasalang Sur"/>
    <s v="MBA"/>
    <m/>
    <m/>
    <n v="2025"/>
    <d v="2025-09-24T00:00:00"/>
    <s v="R3-2025-032342"/>
    <x v="0"/>
    <m/>
    <s v="MRS"/>
    <s v="OPERATIONAL"/>
    <s v="Technical Assistance"/>
  </r>
  <r>
    <x v="6"/>
    <s v="Talavera"/>
    <s v="Dinarayat"/>
    <s v="MBA"/>
    <m/>
    <m/>
    <n v="2025"/>
    <d v="2025-04-08T00:00:00"/>
    <s v="R3-2025-011905"/>
    <x v="0"/>
    <m/>
    <s v="MRS"/>
    <s v="OPERATIONAL"/>
    <s v="Technical Assistance"/>
  </r>
  <r>
    <x v="2"/>
    <s v="City of San Jose Del Monte"/>
    <s v="San Martin II"/>
    <s v="MBA"/>
    <s v="James Wilson T. Peña"/>
    <s v="Diozelle L. Cabalar"/>
    <m/>
    <m/>
    <m/>
    <x v="6"/>
    <m/>
    <m/>
    <m/>
    <s v="For Monitoring"/>
  </r>
  <r>
    <x v="2"/>
    <s v="City of San Jose Del Monte"/>
    <s v="San Martin IV"/>
    <s v="MBA"/>
    <s v="James Wilson T. Peña"/>
    <s v="Diozelle L. Cabalar"/>
    <m/>
    <m/>
    <m/>
    <x v="6"/>
    <m/>
    <m/>
    <m/>
    <s v="For Monitoring"/>
  </r>
  <r>
    <x v="2"/>
    <s v="City of San Jose Del Monte"/>
    <s v="San Pedro"/>
    <s v="MBA"/>
    <s v="James Wilson T. Peña"/>
    <s v="Diozelle L. Cabalar"/>
    <m/>
    <m/>
    <m/>
    <x v="6"/>
    <m/>
    <m/>
    <m/>
    <s v="For Monitoring"/>
  </r>
  <r>
    <x v="6"/>
    <s v="Talavera"/>
    <s v="Homestead II"/>
    <s v="MBA"/>
    <m/>
    <m/>
    <n v="2024"/>
    <d v="2024-11-13T00:00:00"/>
    <m/>
    <x v="0"/>
    <m/>
    <s v="MRF"/>
    <s v="OPERATIONAL"/>
    <s v="Technical Assistance"/>
  </r>
  <r>
    <x v="2"/>
    <s v="City of San Jose Del Monte"/>
    <s v="San Roque"/>
    <s v="MBA"/>
    <s v="James Wilson T. Peña"/>
    <s v="Diozelle L. Cabalar"/>
    <m/>
    <m/>
    <m/>
    <x v="6"/>
    <m/>
    <m/>
    <m/>
    <s v="For Monitoring"/>
  </r>
  <r>
    <x v="2"/>
    <s v="City of San Jose Del Monte"/>
    <s v="Santa Cruz III"/>
    <s v="MBA"/>
    <s v="James Wilson T. Peña"/>
    <s v="Diozelle L. Cabalar"/>
    <m/>
    <m/>
    <m/>
    <x v="6"/>
    <m/>
    <m/>
    <m/>
    <s v="For Monitoring"/>
  </r>
  <r>
    <x v="6"/>
    <s v="Talavera"/>
    <s v="Lomboy"/>
    <s v="MBA"/>
    <m/>
    <m/>
    <n v="2025"/>
    <d v="2025-01-28T00:00:00"/>
    <s v="R3-2025-003330"/>
    <x v="0"/>
    <m/>
    <s v="MRS"/>
    <s v="OPERATIONAL"/>
    <s v="Technical Assistance"/>
  </r>
  <r>
    <x v="2"/>
    <s v="Hagonoy"/>
    <s v="Tibaguin"/>
    <s v="MBA"/>
    <s v="Ronaldo P. Roque, Jr."/>
    <s v="Diozelle L. Cabalar"/>
    <m/>
    <m/>
    <m/>
    <x v="6"/>
    <m/>
    <m/>
    <m/>
    <s v="For Monitoring"/>
  </r>
  <r>
    <x v="2"/>
    <s v="Norzagaray"/>
    <s v="Pinagtulayan"/>
    <s v="MBA"/>
    <s v="James Wilson T. Peña"/>
    <s v="Diozelle L. Cabalar"/>
    <m/>
    <m/>
    <m/>
    <x v="6"/>
    <m/>
    <m/>
    <m/>
    <s v="For Monitoring"/>
  </r>
  <r>
    <x v="6"/>
    <s v="Talavera"/>
    <s v="Mamandil"/>
    <s v="MBA"/>
    <m/>
    <m/>
    <n v="2025"/>
    <d v="2025-05-13T00:00:00"/>
    <s v="R3-2025-016317"/>
    <x v="0"/>
    <m/>
    <s v="MRS"/>
    <s v="OPERATIONAL"/>
    <s v="Technical Assistance"/>
  </r>
  <r>
    <x v="2"/>
    <s v="Norzagaray"/>
    <s v="Poblacion"/>
    <s v="MBA"/>
    <s v="James Wilson T. Peña"/>
    <s v="Diozelle L. Cabalar"/>
    <m/>
    <m/>
    <m/>
    <x v="6"/>
    <m/>
    <m/>
    <m/>
    <s v="For Monitoring"/>
  </r>
  <r>
    <x v="6"/>
    <s v="Talavera"/>
    <s v="Matingkis"/>
    <s v="MBA"/>
    <m/>
    <m/>
    <n v="2025"/>
    <d v="2025-08-12T00:00:00"/>
    <s v="R3-2025-027298"/>
    <x v="0"/>
    <m/>
    <s v="MRS"/>
    <s v="OPERATIONAL"/>
    <s v="Technical Assistance"/>
  </r>
  <r>
    <x v="6"/>
    <s v="Talavera"/>
    <s v="Minabuyoc"/>
    <s v="MBA"/>
    <m/>
    <m/>
    <n v="2024"/>
    <d v="2024-09-18T00:00:00"/>
    <m/>
    <x v="0"/>
    <m/>
    <s v="MRF"/>
    <s v="OPERATIONAL"/>
    <s v="Technical Assistance"/>
  </r>
  <r>
    <x v="2"/>
    <s v="Norzagaray"/>
    <s v="San Lorenzo"/>
    <s v="MBA"/>
    <s v="James Wilson T. Peña"/>
    <s v="Diozelle L. Cabalar"/>
    <m/>
    <m/>
    <m/>
    <x v="6"/>
    <m/>
    <m/>
    <m/>
    <s v="For Monitoring"/>
  </r>
  <r>
    <x v="2"/>
    <s v="Obando"/>
    <s v="San Pascual"/>
    <s v="MBA"/>
    <s v="James Wilson T. Peña"/>
    <s v="Diozelle L. Cabalar"/>
    <m/>
    <m/>
    <m/>
    <x v="0"/>
    <m/>
    <m/>
    <m/>
    <s v="For Monitoring"/>
  </r>
  <r>
    <x v="6"/>
    <s v="Talavera"/>
    <s v="Pantoc Bulac"/>
    <s v="MBA"/>
    <m/>
    <m/>
    <n v="2025"/>
    <d v="2025-01-28T00:00:00"/>
    <s v="R3-2025-003074 "/>
    <x v="0"/>
    <m/>
    <s v="MRS"/>
    <s v="OPERATIONAL"/>
    <s v="Technical Assistance"/>
  </r>
  <r>
    <x v="6"/>
    <s v="Talavera"/>
    <s v="Pinagpanaan"/>
    <s v="MBA"/>
    <m/>
    <m/>
    <n v="2024"/>
    <d v="2024-05-21T00:00:00"/>
    <m/>
    <x v="0"/>
    <m/>
    <m/>
    <m/>
    <s v="Technical Assistance"/>
  </r>
  <r>
    <x v="2"/>
    <s v="San Ildefonso"/>
    <s v="Upig"/>
    <s v="MBA"/>
    <s v="VACANT"/>
    <s v="Diozelle L. Cabalar"/>
    <m/>
    <m/>
    <m/>
    <x v="6"/>
    <m/>
    <m/>
    <m/>
    <s v="For Monitoring"/>
  </r>
  <r>
    <x v="6"/>
    <s v="Talavera"/>
    <s v="Pula"/>
    <s v="MBA"/>
    <m/>
    <m/>
    <n v="2024"/>
    <d v="2024-09-18T00:00:00"/>
    <m/>
    <x v="0"/>
    <m/>
    <s v="MRF"/>
    <s v="OPERATIONAL"/>
    <s v="Technical Assistance"/>
  </r>
  <r>
    <x v="2"/>
    <s v="San Miguel"/>
    <s v="Bagong Pag-asa"/>
    <s v="MBA"/>
    <s v="VACANT"/>
    <s v="Diozelle L. Cabalar"/>
    <m/>
    <m/>
    <m/>
    <x v="6"/>
    <m/>
    <m/>
    <m/>
    <s v="For Monitoring"/>
  </r>
  <r>
    <x v="2"/>
    <s v="San Miguel"/>
    <s v="Balaong"/>
    <s v="MBA"/>
    <s v="VACANT"/>
    <s v="Diozelle L. Cabalar"/>
    <m/>
    <m/>
    <m/>
    <x v="6"/>
    <m/>
    <m/>
    <m/>
    <s v="For Monitoring"/>
  </r>
  <r>
    <x v="2"/>
    <s v="San Miguel"/>
    <s v="Balite"/>
    <s v="MBA"/>
    <s v="VACANT"/>
    <s v="Diozelle L. Cabalar"/>
    <m/>
    <m/>
    <m/>
    <x v="6"/>
    <m/>
    <m/>
    <m/>
    <s v="For Monitoring"/>
  </r>
  <r>
    <x v="6"/>
    <s v="Talavera"/>
    <s v="San Miguel na Munti"/>
    <s v="MBA"/>
    <m/>
    <m/>
    <n v="2024"/>
    <d v="2024-01-29T00:00:00"/>
    <m/>
    <x v="0"/>
    <m/>
    <m/>
    <m/>
    <s v="Technical Assistance"/>
  </r>
  <r>
    <x v="6"/>
    <s v="Talavera"/>
    <s v="San Pascual"/>
    <s v="MBA"/>
    <m/>
    <m/>
    <n v="2024"/>
    <d v="2024-03-14T00:00:00"/>
    <m/>
    <x v="0"/>
    <m/>
    <m/>
    <m/>
    <s v="Technical Assistance"/>
  </r>
  <r>
    <x v="6"/>
    <s v="Talavera"/>
    <s v="San Ricardo"/>
    <s v="MBA"/>
    <m/>
    <m/>
    <n v="2024"/>
    <d v="2024-09-18T00:00:00"/>
    <m/>
    <x v="0"/>
    <m/>
    <s v="MRF"/>
    <s v="OPERATIONAL"/>
    <s v="Technical Assistance"/>
  </r>
  <r>
    <x v="2"/>
    <s v="San Miguel"/>
    <s v="Bardias"/>
    <s v="MBA"/>
    <s v="VACANT"/>
    <s v="Diozelle L. Cabalar"/>
    <m/>
    <m/>
    <m/>
    <x v="6"/>
    <m/>
    <m/>
    <m/>
    <s v="For Monitoring"/>
  </r>
  <r>
    <x v="6"/>
    <s v="Talavera"/>
    <s v="Sicsican Matanda"/>
    <s v="MBA"/>
    <m/>
    <m/>
    <n v="2025"/>
    <d v="2025-01-28T00:00:00"/>
    <s v="R3-2025-003231"/>
    <x v="0"/>
    <m/>
    <s v="MRF"/>
    <s v="OPERATIONAL"/>
    <s v="Technical Assistance"/>
  </r>
  <r>
    <x v="6"/>
    <s v="Talavera"/>
    <s v="Tabacao"/>
    <s v="MBA"/>
    <m/>
    <m/>
    <n v="2025"/>
    <d v="2025-02-05T00:00:00"/>
    <s v="R3-2025-004120"/>
    <x v="0"/>
    <m/>
    <s v="MRS"/>
    <s v="OPERATIONAL"/>
    <s v="Technical Assistance"/>
  </r>
  <r>
    <x v="6"/>
    <s v="Talavera"/>
    <s v="Tagaytay"/>
    <s v="MBA"/>
    <m/>
    <m/>
    <n v="2025"/>
    <d v="2025-01-28T00:00:00"/>
    <s v="R3-2025-003075"/>
    <x v="0"/>
    <m/>
    <s v="MRS"/>
    <s v="OPERATIONAL"/>
    <s v="Technical Assistance"/>
  </r>
  <r>
    <x v="2"/>
    <s v="San Miguel"/>
    <s v="Lambakin"/>
    <s v="MBA"/>
    <s v="VACANT"/>
    <s v="Diozelle L. Cabalar"/>
    <m/>
    <m/>
    <m/>
    <x v="6"/>
    <m/>
    <m/>
    <m/>
    <s v="For Monitoring"/>
  </r>
  <r>
    <x v="6"/>
    <s v="Talugtug"/>
    <s v="Alula"/>
    <s v="MBA"/>
    <m/>
    <m/>
    <n v="2024"/>
    <d v="2024-06-11T00:00:00"/>
    <m/>
    <x v="0"/>
    <m/>
    <m/>
    <m/>
    <s v="Technical Assistance"/>
  </r>
  <r>
    <x v="6"/>
    <s v="Talugtug"/>
    <s v="Baybayabas"/>
    <s v="MBA"/>
    <m/>
    <m/>
    <n v="2025"/>
    <d v="2025-05-21T00:00:00"/>
    <s v="R3-2025-017543"/>
    <x v="0"/>
    <m/>
    <s v="MRS"/>
    <s v="OPERATIONAL"/>
    <s v="Technical Assistance"/>
  </r>
  <r>
    <x v="6"/>
    <s v="Talugtug"/>
    <s v="Buted"/>
    <s v="MBA"/>
    <m/>
    <m/>
    <n v="2025"/>
    <d v="2025-02-06T00:00:00"/>
    <s v="R3-2025-004802"/>
    <x v="0"/>
    <m/>
    <s v="MRS"/>
    <s v="OPERATIONAL"/>
    <s v="Technical Assistance"/>
  </r>
  <r>
    <x v="2"/>
    <s v="San Miguel"/>
    <s v="Magmarale"/>
    <s v="MBA"/>
    <s v="VACANT"/>
    <s v="Diozelle L. Cabalar"/>
    <m/>
    <m/>
    <m/>
    <x v="6"/>
    <m/>
    <m/>
    <m/>
    <s v="For Monitoring"/>
  </r>
  <r>
    <x v="2"/>
    <s v="San Miguel"/>
    <s v="Malibay"/>
    <s v="MBA"/>
    <s v="VACANT"/>
    <s v="Diozelle L. Cabalar"/>
    <m/>
    <m/>
    <m/>
    <x v="6"/>
    <m/>
    <m/>
    <m/>
    <s v="For Monitoring"/>
  </r>
  <r>
    <x v="6"/>
    <s v="Talugtug"/>
    <s v="Cinense"/>
    <s v="MBA"/>
    <m/>
    <m/>
    <n v="2025"/>
    <d v="2025-05-21T00:00:00"/>
    <s v="R3-2025-017545"/>
    <x v="0"/>
    <m/>
    <s v="MRS"/>
    <s v="OPERATIONAL"/>
    <s v="Technical Assistance"/>
  </r>
  <r>
    <x v="2"/>
    <s v="San Miguel"/>
    <s v="Maligaya"/>
    <s v="MBA"/>
    <s v="VACANT"/>
    <s v="Diozelle L. Cabalar"/>
    <m/>
    <m/>
    <m/>
    <x v="6"/>
    <m/>
    <m/>
    <m/>
    <s v="For Monitoring"/>
  </r>
  <r>
    <x v="6"/>
    <s v="Talugtug"/>
    <s v="Maasin"/>
    <s v="MBA"/>
    <m/>
    <m/>
    <n v="2024"/>
    <d v="2024-06-11T00:00:00"/>
    <m/>
    <x v="0"/>
    <m/>
    <m/>
    <m/>
    <s v="Technical Assistance"/>
  </r>
  <r>
    <x v="6"/>
    <s v="Talugtug"/>
    <s v="Magsaysay (Pob.)"/>
    <s v="MBA"/>
    <m/>
    <m/>
    <n v="2024"/>
    <d v="2024-06-11T00:00:00"/>
    <m/>
    <x v="0"/>
    <m/>
    <m/>
    <m/>
    <s v="Technical Assistance"/>
  </r>
  <r>
    <x v="2"/>
    <s v="San Miguel"/>
    <s v="Mandile"/>
    <s v="MBA"/>
    <s v="VACANT"/>
    <s v="Diozelle L. Cabalar"/>
    <m/>
    <m/>
    <m/>
    <x v="6"/>
    <m/>
    <m/>
    <m/>
    <s v="For Monitoring"/>
  </r>
  <r>
    <x v="2"/>
    <s v="San Rafael"/>
    <s v="Talacsan"/>
    <s v="MBA"/>
    <s v="VACANT"/>
    <s v="Diozelle L. Cabalar"/>
    <m/>
    <m/>
    <m/>
    <x v="6"/>
    <m/>
    <m/>
    <m/>
    <s v="For Monitoring"/>
  </r>
  <r>
    <x v="2"/>
    <s v="Sta. Maria"/>
    <s v="Bagbaguin"/>
    <s v="MBA"/>
    <s v="James Wilson T. Peña"/>
    <s v="Diozelle L. Cabalar"/>
    <m/>
    <m/>
    <m/>
    <x v="0"/>
    <m/>
    <m/>
    <m/>
    <s v="For Monitoring"/>
  </r>
  <r>
    <x v="6"/>
    <s v="Talugtug"/>
    <s v="Osmeña (Pob.)"/>
    <s v="MBA"/>
    <m/>
    <m/>
    <n v="2024"/>
    <d v="2024-06-11T00:00:00"/>
    <m/>
    <x v="0"/>
    <m/>
    <m/>
    <m/>
    <s v="Technical Assistance"/>
  </r>
  <r>
    <x v="2"/>
    <s v="Sta. Maria"/>
    <s v="Pulong Buhangin"/>
    <s v="MBA"/>
    <s v="James Wilson T. Peña"/>
    <s v="Diozelle L. Cabalar"/>
    <m/>
    <m/>
    <m/>
    <x v="0"/>
    <m/>
    <m/>
    <m/>
    <s v="For Monitoring"/>
  </r>
  <r>
    <x v="2"/>
    <s v="Sta. Maria"/>
    <s v="San Jose Patag"/>
    <s v="MBA"/>
    <s v="James Wilson T. Peña"/>
    <s v="Diozelle L. Cabalar"/>
    <m/>
    <m/>
    <m/>
    <x v="0"/>
    <m/>
    <m/>
    <m/>
    <s v="For Monitoring"/>
  </r>
  <r>
    <x v="6"/>
    <s v="Talugtug"/>
    <s v="Quezon (Pob.)"/>
    <s v="MBA"/>
    <m/>
    <m/>
    <n v="2024"/>
    <d v="2024-06-11T00:00:00"/>
    <m/>
    <x v="0"/>
    <m/>
    <m/>
    <m/>
    <s v="Technical Assistance"/>
  </r>
  <r>
    <x v="6"/>
    <s v="Talugtug"/>
    <s v="Quirino (Pob.)"/>
    <s v="MBA"/>
    <m/>
    <m/>
    <n v="2024"/>
    <d v="2024-06-11T00:00:00"/>
    <m/>
    <x v="0"/>
    <m/>
    <m/>
    <m/>
    <s v="Technical Assistance"/>
  </r>
  <r>
    <x v="2"/>
    <s v="Sta. Maria"/>
    <s v="Santa Clara"/>
    <s v="MBA"/>
    <s v="James Wilson T. Peña"/>
    <s v="Diozelle L. Cabalar"/>
    <m/>
    <m/>
    <m/>
    <x v="0"/>
    <m/>
    <m/>
    <m/>
    <s v="For Monitoring"/>
  </r>
  <r>
    <x v="2"/>
    <s v="Sta. Maria"/>
    <s v="Santa Cruz"/>
    <s v="MBA"/>
    <s v="James Wilson T. Peña"/>
    <s v="Diozelle L. Cabalar"/>
    <m/>
    <m/>
    <m/>
    <x v="0"/>
    <m/>
    <m/>
    <m/>
    <s v="For Monitoring"/>
  </r>
  <r>
    <x v="2"/>
    <s v="Sta. Maria"/>
    <s v="Silangan"/>
    <s v="MBA"/>
    <s v="James Wilson T. Peña"/>
    <s v="Diozelle L. Cabalar"/>
    <m/>
    <m/>
    <m/>
    <x v="0"/>
    <m/>
    <m/>
    <m/>
    <s v="For Monitoring"/>
  </r>
  <r>
    <x v="2"/>
    <s v="Sta. Maria"/>
    <s v="Tabing Bakod"/>
    <s v="MBA"/>
    <s v="James Wilson T. Peña"/>
    <s v="Diozelle L. Cabalar"/>
    <m/>
    <m/>
    <m/>
    <x v="0"/>
    <m/>
    <m/>
    <m/>
    <s v="For Monitoring"/>
  </r>
  <r>
    <x v="6"/>
    <s v="Cuyapo"/>
    <s v="Burgos"/>
    <s v="OUTSIDE MBA"/>
    <s v="Aser A. Inocencio, Jr."/>
    <s v="Zosimo P. Suyat"/>
    <m/>
    <m/>
    <m/>
    <x v="0"/>
    <m/>
    <m/>
    <m/>
    <s v="For Monitoring"/>
  </r>
  <r>
    <x v="6"/>
    <s v="Cuyapo"/>
    <s v="Cabatuan"/>
    <s v="OUTSIDE MBA"/>
    <s v="Aser A. Inocencio, Jr."/>
    <s v="Zosimo P. Suyat"/>
    <m/>
    <m/>
    <m/>
    <x v="6"/>
    <m/>
    <m/>
    <m/>
    <s v="For Monitoring"/>
  </r>
  <r>
    <x v="6"/>
    <s v="Cuyapo"/>
    <s v="Cabileo"/>
    <s v="OUTSIDE MBA"/>
    <s v="Aser A. Inocencio, Jr."/>
    <s v="Zosimo P. Suyat"/>
    <m/>
    <m/>
    <m/>
    <x v="6"/>
    <m/>
    <m/>
    <m/>
    <s v="For Monitoring"/>
  </r>
  <r>
    <x v="6"/>
    <s v="Cuyapo"/>
    <s v="Cacapasan"/>
    <s v="OUTSIDE MBA"/>
    <s v="Aser A. Inocencio, Jr."/>
    <s v="Zosimo P. Suyat"/>
    <m/>
    <m/>
    <m/>
    <x v="6"/>
    <m/>
    <m/>
    <m/>
    <s v="For Monitoring"/>
  </r>
  <r>
    <x v="6"/>
    <s v="Cuyapo"/>
    <s v="Calancuasan Norte"/>
    <s v="OUTSIDE MBA"/>
    <s v="Aser A. Inocencio, Jr."/>
    <s v="Zosimo P. Suyat"/>
    <m/>
    <m/>
    <m/>
    <x v="6"/>
    <m/>
    <m/>
    <m/>
    <s v="For Monitoring"/>
  </r>
  <r>
    <x v="6"/>
    <s v="Talugtug"/>
    <s v="Villa Boado"/>
    <s v="MBA"/>
    <m/>
    <m/>
    <n v="2025"/>
    <d v="2025-05-21T00:00:00"/>
    <s v="R3-2025-017546"/>
    <x v="0"/>
    <m/>
    <s v="MRS"/>
    <s v="OPERATIONAL"/>
    <s v="Technical Assistance"/>
  </r>
  <r>
    <x v="6"/>
    <s v="Cuyapo"/>
    <s v="Calancuasan Sur"/>
    <s v="OUTSIDE MBA"/>
    <s v="Aser A. Inocencio, Jr."/>
    <s v="Zosimo P. Suyat"/>
    <m/>
    <m/>
    <m/>
    <x v="6"/>
    <m/>
    <m/>
    <m/>
    <s v="For Monitoring"/>
  </r>
  <r>
    <x v="6"/>
    <s v="Cuyapo"/>
    <s v="Colosboa"/>
    <s v="OUTSIDE MBA"/>
    <s v="Aser A. Inocencio, Jr."/>
    <s v="Zosimo P. Suyat"/>
    <m/>
    <m/>
    <m/>
    <x v="6"/>
    <m/>
    <m/>
    <m/>
    <s v="For Monitoring"/>
  </r>
  <r>
    <x v="6"/>
    <s v="Zaragoza"/>
    <s v="Carmen"/>
    <s v="MBA"/>
    <m/>
    <m/>
    <n v="2025"/>
    <d v="2025-02-11T00:00:00"/>
    <s v="R3-2025-004958"/>
    <x v="0"/>
    <m/>
    <s v="MRS"/>
    <s v="OPERATIONAL"/>
    <s v="Technical Assistance"/>
  </r>
  <r>
    <x v="6"/>
    <s v="Cuyapo"/>
    <s v="Curva"/>
    <s v="OUTSIDE MBA"/>
    <s v="Aser A. Inocencio, Jr."/>
    <s v="Zosimo P. Suyat"/>
    <m/>
    <m/>
    <m/>
    <x v="6"/>
    <m/>
    <m/>
    <m/>
    <s v="For Monitoring"/>
  </r>
  <r>
    <x v="6"/>
    <s v="Cuyapo"/>
    <s v="District IV"/>
    <s v="OUTSIDE MBA"/>
    <s v="Aser A. Inocencio, Jr."/>
    <s v="Zosimo P. Suyat"/>
    <m/>
    <m/>
    <m/>
    <x v="6"/>
    <m/>
    <m/>
    <m/>
    <s v="For Monitoring"/>
  </r>
  <r>
    <x v="6"/>
    <s v="Zaragoza"/>
    <s v="General Luna"/>
    <s v="MBA"/>
    <m/>
    <m/>
    <n v="2025"/>
    <d v="2025-02-11T00:00:00"/>
    <s v="R3-2025-004959"/>
    <x v="0"/>
    <m/>
    <s v="MRS"/>
    <s v="NON-OPERATIONAL"/>
    <s v="Technical Assistance"/>
  </r>
  <r>
    <x v="6"/>
    <s v="Cuyapo"/>
    <s v="District V"/>
    <s v="OUTSIDE MBA"/>
    <s v="Aser A. Inocencio, Jr."/>
    <s v="Zosimo P. Suyat"/>
    <m/>
    <m/>
    <m/>
    <x v="6"/>
    <m/>
    <m/>
    <m/>
    <s v="For Monitoring"/>
  </r>
  <r>
    <x v="6"/>
    <s v="Cuyapo"/>
    <s v="District VI"/>
    <s v="OUTSIDE MBA"/>
    <s v="Aser A. Inocencio, Jr."/>
    <s v="Zosimo P. Suyat"/>
    <m/>
    <m/>
    <m/>
    <x v="6"/>
    <m/>
    <m/>
    <m/>
    <s v="For Monitoring"/>
  </r>
  <r>
    <x v="6"/>
    <s v="San Jose City"/>
    <s v="Santo Tomas"/>
    <s v="MBA"/>
    <s v="Hosannah R. Sabio"/>
    <s v="Zosimo P. Suyat"/>
    <m/>
    <m/>
    <m/>
    <x v="6"/>
    <m/>
    <m/>
    <m/>
    <s v="For Monitoring"/>
  </r>
  <r>
    <x v="6"/>
    <s v="San Jose City"/>
    <s v="Sinipit Bubon"/>
    <s v="MBA"/>
    <s v="Hosannah R. Sabio"/>
    <s v="Zosimo P. Suyat"/>
    <m/>
    <m/>
    <m/>
    <x v="6"/>
    <m/>
    <m/>
    <m/>
    <s v="For Monitoring"/>
  </r>
  <r>
    <x v="6"/>
    <s v="San Jose City"/>
    <s v="Tabulac"/>
    <s v="MBA"/>
    <s v="Hosannah R. Sabio"/>
    <s v="Zosimo P. Suyat"/>
    <m/>
    <m/>
    <m/>
    <x v="6"/>
    <m/>
    <m/>
    <m/>
    <s v="For Monitoring"/>
  </r>
  <r>
    <x v="6"/>
    <s v="San Leonardo"/>
    <s v="Rizal District (Pob.)"/>
    <s v="MBA"/>
    <s v="Christian Jem L. Buluran"/>
    <s v="Zosimo P. Suyat"/>
    <m/>
    <m/>
    <m/>
    <x v="6"/>
    <m/>
    <m/>
    <m/>
    <s v="For Monitoring"/>
  </r>
  <r>
    <x v="6"/>
    <s v="San Leonardo"/>
    <s v="San Anton"/>
    <s v="MBA"/>
    <s v="Christian Jem L. Buluran"/>
    <s v="Zosimo P. Suyat"/>
    <m/>
    <m/>
    <m/>
    <x v="6"/>
    <m/>
    <m/>
    <m/>
    <s v="For Monitoring"/>
  </r>
  <r>
    <x v="6"/>
    <s v="San Leonardo"/>
    <s v="San Bartolome (Pob.)"/>
    <s v="MBA"/>
    <s v="Christian Jem L. Buluran"/>
    <s v="Zosimo P. Suyat"/>
    <m/>
    <m/>
    <m/>
    <x v="6"/>
    <m/>
    <m/>
    <m/>
    <s v="For Monitoring"/>
  </r>
  <r>
    <x v="6"/>
    <s v="San Leonardo"/>
    <s v="San Roque"/>
    <s v="MBA"/>
    <s v="Christian Jem L. Buluran"/>
    <s v="Zosimo P. Suyat"/>
    <m/>
    <m/>
    <m/>
    <x v="6"/>
    <m/>
    <m/>
    <m/>
    <s v="For Monitoring"/>
  </r>
  <r>
    <x v="6"/>
    <s v="San Leonardo"/>
    <s v="Tagumpay"/>
    <s v="MBA"/>
    <s v="Christian Jem L. Buluran"/>
    <s v="Zosimo P. Suyat"/>
    <m/>
    <m/>
    <m/>
    <x v="6"/>
    <m/>
    <m/>
    <m/>
    <s v="For Monitoring"/>
  </r>
  <r>
    <x v="6"/>
    <s v="Zaragoza"/>
    <s v="Santa Lucia Young"/>
    <s v="MBA"/>
    <m/>
    <m/>
    <n v="2025"/>
    <d v="2025-05-20T00:00:00"/>
    <s v="R3-2025-017388"/>
    <x v="0"/>
    <m/>
    <s v="MRF"/>
    <s v="OPERATIONAL"/>
    <s v="Technical Assistance"/>
  </r>
  <r>
    <x v="6"/>
    <s v="Santa Rosa"/>
    <s v="Aguinaldo"/>
    <s v="MBA"/>
    <s v="Christian Jem L. Buluran"/>
    <s v="Zosimo P. Suyat"/>
    <m/>
    <m/>
    <m/>
    <x v="0"/>
    <m/>
    <m/>
    <m/>
    <s v="For Monitoring"/>
  </r>
  <r>
    <x v="6"/>
    <s v="Santa Rosa"/>
    <s v="Berang"/>
    <s v="MBA"/>
    <s v="Christian Jem L. Buluran"/>
    <s v="Zosimo P. Suyat"/>
    <m/>
    <m/>
    <m/>
    <x v="0"/>
    <m/>
    <m/>
    <m/>
    <s v="For Monitoring"/>
  </r>
  <r>
    <x v="6"/>
    <s v="Santa Rosa"/>
    <s v="Cojuangco (Pob.)"/>
    <s v="MBA"/>
    <s v="Christian Jem L. Buluran"/>
    <s v="Zosimo P. Suyat"/>
    <m/>
    <m/>
    <m/>
    <x v="0"/>
    <m/>
    <m/>
    <m/>
    <s v="For Monitoring"/>
  </r>
  <r>
    <x v="6"/>
    <s v="Santa Rosa"/>
    <s v="Del Pilar"/>
    <s v="MBA"/>
    <s v="Christian Jem L. Buluran"/>
    <s v="Zosimo P. Suyat"/>
    <m/>
    <m/>
    <m/>
    <x v="0"/>
    <m/>
    <m/>
    <m/>
    <s v="For Monitoring"/>
  </r>
  <r>
    <x v="6"/>
    <s v="Santa Rosa"/>
    <s v="Gomez"/>
    <s v="MBA"/>
    <s v="Christian Jem L. Buluran"/>
    <s v="Zosimo P. Suyat"/>
    <m/>
    <m/>
    <m/>
    <x v="0"/>
    <m/>
    <m/>
    <m/>
    <s v="For Monitoring"/>
  </r>
  <r>
    <x v="4"/>
    <s v="Angeles City"/>
    <s v="Anunas"/>
    <s v="MBA"/>
    <m/>
    <m/>
    <n v="2025"/>
    <d v="2025-06-04T00:00:00"/>
    <s v="R3-2025-018804"/>
    <x v="0"/>
    <m/>
    <s v="MRS"/>
    <s v="NON-OPERATIONAL"/>
    <s v="Technical Assistance"/>
  </r>
  <r>
    <x v="6"/>
    <s v="Santa Rosa"/>
    <s v="Inspector"/>
    <s v="MBA"/>
    <s v="Christian Jem L. Buluran"/>
    <s v="Zosimo P. Suyat"/>
    <m/>
    <m/>
    <m/>
    <x v="0"/>
    <m/>
    <m/>
    <m/>
    <s v="For Monitoring"/>
  </r>
  <r>
    <x v="6"/>
    <s v="Santa Rosa"/>
    <s v="Isla"/>
    <s v="MBA"/>
    <s v="Christian Jem L. Buluran"/>
    <s v="Zosimo P. Suyat"/>
    <m/>
    <m/>
    <m/>
    <x v="0"/>
    <m/>
    <m/>
    <m/>
    <s v="For Monitoring"/>
  </r>
  <r>
    <x v="6"/>
    <s v="Santo Domingo"/>
    <s v="San Pascual"/>
    <s v="MBA"/>
    <s v="Gem C. Vicencio"/>
    <s v="Zosimo P. Suyat"/>
    <m/>
    <m/>
    <m/>
    <x v="0"/>
    <m/>
    <m/>
    <m/>
    <s v="For Monitoring"/>
  </r>
  <r>
    <x v="4"/>
    <s v="Angeles City"/>
    <s v="Cuayan"/>
    <s v="MBA"/>
    <m/>
    <m/>
    <n v="2024"/>
    <d v="2024-09-11T00:00:00"/>
    <m/>
    <x v="0"/>
    <m/>
    <s v="MRF"/>
    <s v="OPERATIONAL"/>
    <s v="Technical Assistance"/>
  </r>
  <r>
    <x v="4"/>
    <s v="Angeles City"/>
    <s v="Cutcut"/>
    <s v="MBA"/>
    <m/>
    <m/>
    <n v="2025"/>
    <d v="2025-03-13T00:00:00"/>
    <s v="R3-2025-008733"/>
    <x v="0"/>
    <m/>
    <s v="MRS"/>
    <s v="OPERATIONAL"/>
    <s v="Technical Assistance"/>
  </r>
  <r>
    <x v="6"/>
    <s v="Santo Domingo"/>
    <s v="Santa Rita"/>
    <s v="MBA"/>
    <s v="Gem C. Vicencio"/>
    <s v="Zosimo P. Suyat"/>
    <m/>
    <m/>
    <m/>
    <x v="0"/>
    <m/>
    <m/>
    <m/>
    <s v="For Monitoring"/>
  </r>
  <r>
    <x v="6"/>
    <s v="Talavera"/>
    <s v="Andal Alino (Pob.)"/>
    <s v="MBA"/>
    <s v="Gem C. Vicencio"/>
    <s v="Zosimo P. Suyat"/>
    <m/>
    <m/>
    <m/>
    <x v="6"/>
    <m/>
    <m/>
    <m/>
    <s v="For Monitoring"/>
  </r>
  <r>
    <x v="6"/>
    <s v="Talavera"/>
    <s v="Bagong Sikat"/>
    <s v="MBA"/>
    <s v="Gem C. Vicencio"/>
    <s v="Zosimo P. Suyat"/>
    <m/>
    <m/>
    <m/>
    <x v="6"/>
    <m/>
    <m/>
    <m/>
    <s v="For Monitoring"/>
  </r>
  <r>
    <x v="4"/>
    <s v="Angeles City"/>
    <s v="Lourdes Sur East"/>
    <s v="MBA"/>
    <m/>
    <m/>
    <n v="2025"/>
    <d v="2025-08-13T00:00:00"/>
    <s v="R3-2025-027287"/>
    <x v="0"/>
    <m/>
    <s v="MRS"/>
    <s v="OPERATIONAL"/>
    <s v="Technical Assistance"/>
  </r>
  <r>
    <x v="4"/>
    <s v="Angeles City"/>
    <s v="Malabanias"/>
    <s v="MBA"/>
    <m/>
    <m/>
    <n v="2024"/>
    <d v="2024-10-10T00:00:00"/>
    <m/>
    <x v="0"/>
    <m/>
    <s v="MRF"/>
    <s v="OPERATIONAL"/>
    <s v="Technical Assistance"/>
  </r>
  <r>
    <x v="4"/>
    <s v="Angeles City"/>
    <s v="Margot"/>
    <s v="MBA"/>
    <m/>
    <m/>
    <n v="2024"/>
    <d v="2024-09-11T00:00:00"/>
    <m/>
    <x v="0"/>
    <m/>
    <s v="MRF"/>
    <s v="OPERATIONAL"/>
    <s v="Technical Assistance"/>
  </r>
  <r>
    <x v="4"/>
    <s v="Angeles City"/>
    <s v="Mining"/>
    <s v="MBA"/>
    <m/>
    <m/>
    <n v="2024"/>
    <d v="2024-08-02T00:00:00"/>
    <m/>
    <x v="0"/>
    <m/>
    <s v="MRF"/>
    <s v="OPERATIONAL"/>
    <s v="Technical Assistance"/>
  </r>
  <r>
    <x v="4"/>
    <s v="Angeles City"/>
    <s v="Ninoy Aquino"/>
    <s v="MBA"/>
    <m/>
    <m/>
    <n v="2024"/>
    <d v="2024-08-01T00:00:00"/>
    <m/>
    <x v="0"/>
    <m/>
    <s v="MRF"/>
    <s v="OPERATIONAL"/>
    <s v="Technical Assistance"/>
  </r>
  <r>
    <x v="4"/>
    <s v="Angeles City"/>
    <s v="Pampang"/>
    <s v="MBA"/>
    <m/>
    <m/>
    <n v="2024"/>
    <d v="2024-09-11T00:00:00"/>
    <m/>
    <x v="0"/>
    <m/>
    <s v="MRF"/>
    <s v="OPERATIONAL"/>
    <s v="Technical Assistance"/>
  </r>
  <r>
    <x v="4"/>
    <s v="Angeles City"/>
    <s v="Pandan"/>
    <s v="MBA"/>
    <m/>
    <m/>
    <n v="2024"/>
    <d v="2024-08-02T00:00:00"/>
    <m/>
    <x v="0"/>
    <m/>
    <s v="MRF"/>
    <s v="OPERATIONAL"/>
    <s v="Technical Assistance"/>
  </r>
  <r>
    <x v="6"/>
    <s v="Talavera"/>
    <s v="Bantug"/>
    <s v="MBA"/>
    <s v="Gem C. Vicencio"/>
    <s v="Zosimo P. Suyat"/>
    <m/>
    <m/>
    <m/>
    <x v="6"/>
    <m/>
    <m/>
    <m/>
    <s v="For Monitoring"/>
  </r>
  <r>
    <x v="6"/>
    <s v="Talavera"/>
    <s v="Bantug Hacienda"/>
    <s v="MBA"/>
    <s v="Gem C. Vicencio"/>
    <s v="Zosimo P. Suyat"/>
    <m/>
    <m/>
    <m/>
    <x v="6"/>
    <m/>
    <m/>
    <m/>
    <s v="For Monitoring"/>
  </r>
  <r>
    <x v="4"/>
    <s v="Angeles City"/>
    <s v="Pulungbulu"/>
    <s v="MBA"/>
    <m/>
    <m/>
    <n v="2025"/>
    <d v="2025-02-11T00:00:00"/>
    <s v="R3-2025-005785"/>
    <x v="0"/>
    <m/>
    <s v="MRF"/>
    <s v="OPERATIONAL"/>
    <s v="Technical Assistance"/>
  </r>
  <r>
    <x v="6"/>
    <s v="Talavera"/>
    <s v="Bugtong na Buli"/>
    <s v="MBA"/>
    <s v="Gem C. Vicencio"/>
    <s v="Zosimo P. Suyat"/>
    <m/>
    <m/>
    <m/>
    <x v="6"/>
    <m/>
    <m/>
    <m/>
    <s v="For Monitoring"/>
  </r>
  <r>
    <x v="4"/>
    <s v="Angeles City"/>
    <s v="San Jose"/>
    <s v="MBA"/>
    <m/>
    <m/>
    <n v="2025"/>
    <d v="2025-05-13T00:00:00"/>
    <s v="R3-2025-016277"/>
    <x v="0"/>
    <m/>
    <s v="MRS"/>
    <s v="OPERATIONAL"/>
    <s v="Technical Assistance"/>
  </r>
  <r>
    <x v="4"/>
    <s v="Angeles City"/>
    <s v="San Nicolas"/>
    <s v="MBA"/>
    <m/>
    <m/>
    <n v="2024"/>
    <d v="2024-10-10T00:00:00"/>
    <m/>
    <x v="0"/>
    <m/>
    <s v="MRF"/>
    <s v="OPERATIONAL"/>
    <s v="Technical Assistance"/>
  </r>
  <r>
    <x v="4"/>
    <s v="Angeles City"/>
    <s v="Santa Teresita"/>
    <s v="MBA"/>
    <m/>
    <m/>
    <n v="2024"/>
    <d v="2024-10-10T00:00:00"/>
    <m/>
    <x v="0"/>
    <m/>
    <s v="MRS"/>
    <s v="OPERATIONAL"/>
    <s v="Technical Assistance"/>
  </r>
  <r>
    <x v="6"/>
    <s v="Talavera"/>
    <s v="Burnay"/>
    <s v="MBA"/>
    <s v="Gem C. Vicencio"/>
    <s v="Zosimo P. Suyat"/>
    <m/>
    <m/>
    <m/>
    <x v="6"/>
    <m/>
    <m/>
    <m/>
    <s v="For Monitoring"/>
  </r>
  <r>
    <x v="4"/>
    <s v="Angeles City"/>
    <s v="Santo Cristo"/>
    <s v="MBA"/>
    <m/>
    <m/>
    <n v="2024"/>
    <d v="2024-09-11T00:00:00"/>
    <m/>
    <x v="0"/>
    <m/>
    <s v="MRF"/>
    <s v="OPERATIONAL"/>
    <s v="Technical Assistance"/>
  </r>
  <r>
    <x v="4"/>
    <s v="Angeles City"/>
    <s v="Santo Domingo"/>
    <s v="MBA"/>
    <m/>
    <m/>
    <n v="2025"/>
    <d v="2025-06-11T00:00:00"/>
    <s v="R3-2025-019664"/>
    <x v="0"/>
    <m/>
    <s v="MRF"/>
    <s v="OPERATIONAL"/>
    <s v="Technical Assistance"/>
  </r>
  <r>
    <x v="6"/>
    <s v="Talavera"/>
    <s v="Caaniplahan"/>
    <s v="MBA"/>
    <s v="Gem C. Vicencio"/>
    <s v="Zosimo P. Suyat"/>
    <m/>
    <m/>
    <m/>
    <x v="6"/>
    <m/>
    <m/>
    <m/>
    <s v="For Monitoring"/>
  </r>
  <r>
    <x v="4"/>
    <s v="Angeles City"/>
    <s v="Sapalibutad"/>
    <s v="MBA"/>
    <m/>
    <m/>
    <n v="2024"/>
    <d v="2024-08-01T00:00:00"/>
    <m/>
    <x v="0"/>
    <m/>
    <s v="MRF"/>
    <s v="NON-OPERATIONAL"/>
    <s v="Technical Assistance"/>
  </r>
  <r>
    <x v="6"/>
    <s v="Talavera"/>
    <s v="Cabubulaonan"/>
    <s v="MBA"/>
    <s v="Gem C. Vicencio"/>
    <s v="Zosimo P. Suyat"/>
    <m/>
    <m/>
    <m/>
    <x v="6"/>
    <m/>
    <m/>
    <m/>
    <s v="For Monitoring"/>
  </r>
  <r>
    <x v="6"/>
    <s v="Talavera"/>
    <s v="Caputican"/>
    <s v="MBA"/>
    <s v="Gem C. Vicencio"/>
    <s v="Zosimo P. Suyat"/>
    <m/>
    <m/>
    <m/>
    <x v="6"/>
    <m/>
    <m/>
    <m/>
    <s v="For Monitoring"/>
  </r>
  <r>
    <x v="6"/>
    <s v="Talavera"/>
    <s v="Casulucan Este"/>
    <s v="MBA"/>
    <s v="Gem C. Vicencio"/>
    <s v="Zosimo P. Suyat"/>
    <m/>
    <m/>
    <m/>
    <x v="6"/>
    <m/>
    <m/>
    <m/>
    <s v="For Monitoring"/>
  </r>
  <r>
    <x v="4"/>
    <s v="Apalit"/>
    <s v="San Vicente"/>
    <s v="MBA"/>
    <m/>
    <m/>
    <n v="2025"/>
    <d v="2025-09-11T00:00:00"/>
    <s v="R3-2025-031348"/>
    <x v="0"/>
    <m/>
    <s v="MRF"/>
    <s v="OPERATIONAL"/>
    <s v="Technical Assistance"/>
  </r>
  <r>
    <x v="4"/>
    <s v="Apalit"/>
    <s v="Balucuc"/>
    <s v="MBA"/>
    <m/>
    <m/>
    <n v="2025"/>
    <d v="2025-04-10T00:00:00"/>
    <s v="R3-2025-012812"/>
    <x v="0"/>
    <m/>
    <s v="NO FACILITY"/>
    <s v="CATER BY LGU"/>
    <s v="Technical Assistance"/>
  </r>
  <r>
    <x v="4"/>
    <s v="Apalit"/>
    <s v="Calantipe"/>
    <s v="MBA"/>
    <m/>
    <m/>
    <n v="2025"/>
    <d v="2025-04-10T00:00:00"/>
    <s v="R3-2025-012810"/>
    <x v="0"/>
    <m/>
    <s v="NO FACILITY"/>
    <s v="CATER BY LGU"/>
    <s v="Technical Assistance"/>
  </r>
  <r>
    <x v="4"/>
    <s v="Apalit"/>
    <s v="Cansinala"/>
    <s v="MBA"/>
    <m/>
    <m/>
    <n v="2025"/>
    <d v="2025-02-13T00:00:00"/>
    <s v="R3-2025-005865_x0009_"/>
    <x v="0"/>
    <m/>
    <s v="MRS"/>
    <s v="OPERATIONAL"/>
    <s v="Technical Assistance"/>
  </r>
  <r>
    <x v="4"/>
    <s v="Apalit"/>
    <s v="Capalangan"/>
    <s v="MBA"/>
    <m/>
    <m/>
    <n v="2024"/>
    <d v="2024-11-08T00:00:00"/>
    <m/>
    <x v="0"/>
    <m/>
    <s v="MRS"/>
    <s v="CATER BY LGU"/>
    <s v="Technical Assistance"/>
  </r>
  <r>
    <x v="4"/>
    <s v="Apalit"/>
    <s v="Colgante"/>
    <s v="MBA"/>
    <m/>
    <m/>
    <n v="2025"/>
    <d v="2025-07-11T00:00:00"/>
    <s v="R3-2025-023815"/>
    <x v="0"/>
    <m/>
    <s v="NO FACILITY"/>
    <s v="CATER BY LGU"/>
    <s v="Technical Assistance"/>
  </r>
  <r>
    <x v="4"/>
    <s v="Apalit"/>
    <s v="Paligui"/>
    <s v="MBA"/>
    <m/>
    <m/>
    <n v="2025"/>
    <d v="2026-05-16T00:00:00"/>
    <s v="R3-2025-016437"/>
    <x v="0"/>
    <m/>
    <s v="NO FACILITY"/>
    <s v="CATER BY LGU"/>
    <s v="Technical Assistance"/>
  </r>
  <r>
    <x v="4"/>
    <s v="Apalit"/>
    <s v="Sampaloc"/>
    <s v="MBA"/>
    <m/>
    <m/>
    <n v="2024"/>
    <d v="2024-07-11T00:00:00"/>
    <m/>
    <x v="0"/>
    <m/>
    <s v="MRF"/>
    <s v="OPERATIONAL"/>
    <s v="Technical Assistance"/>
  </r>
  <r>
    <x v="4"/>
    <s v="Apalit"/>
    <s v="San Juan (Pob.)"/>
    <s v="MBA"/>
    <m/>
    <m/>
    <n v="2025"/>
    <d v="2025-07-17T00:00:00"/>
    <s v="R3-2025-024186"/>
    <x v="0"/>
    <m/>
    <s v="NO FACILITY"/>
    <s v="CATER BY LGU"/>
    <s v="Technical Assistance"/>
  </r>
  <r>
    <x v="4"/>
    <s v="Apalit"/>
    <s v="Sucad"/>
    <s v="MBA"/>
    <m/>
    <m/>
    <n v="2024"/>
    <d v="2024-11-08T00:00:00"/>
    <m/>
    <x v="0"/>
    <m/>
    <s v="MRS"/>
    <s v="CATER BY LGU"/>
    <s v="Technical Assistance"/>
  </r>
  <r>
    <x v="4"/>
    <s v="Apalit"/>
    <s v="Sulipan"/>
    <s v="MBA"/>
    <m/>
    <m/>
    <n v="2024"/>
    <d v="2024-11-08T00:00:00"/>
    <m/>
    <x v="0"/>
    <m/>
    <s v="MRS"/>
    <s v="CATER BY LGU"/>
    <s v="Technical Assistance"/>
  </r>
  <r>
    <x v="4"/>
    <s v="Apalit"/>
    <s v="Tabuyuc"/>
    <s v="MBA"/>
    <m/>
    <m/>
    <n v="2024"/>
    <d v="2024-10-15T00:00:00"/>
    <m/>
    <x v="0"/>
    <m/>
    <s v="MRS"/>
    <s v="CATER BY LGU"/>
    <s v="Technical Assistance"/>
  </r>
  <r>
    <x v="6"/>
    <s v="Talavera"/>
    <s v="Esguerra District (Pob.)"/>
    <s v="MBA"/>
    <s v="Gem C. Vicencio"/>
    <s v="Zosimo P. Suyat"/>
    <m/>
    <m/>
    <m/>
    <x v="6"/>
    <m/>
    <m/>
    <m/>
    <s v="For Monitoring"/>
  </r>
  <r>
    <x v="4"/>
    <s v="Arayat"/>
    <s v="Baliti"/>
    <s v="MBA"/>
    <m/>
    <m/>
    <n v="2025"/>
    <d v="2025-06-03T00:00:00"/>
    <s v="R3-2025-018656"/>
    <x v="0"/>
    <m/>
    <s v="MRF"/>
    <s v="OPERATIONAL"/>
    <s v="Technical Assistance"/>
  </r>
  <r>
    <x v="6"/>
    <s v="Talugtug"/>
    <s v="Cabiangan"/>
    <s v="MBA"/>
    <s v="Aser A. Inocencio, Jr."/>
    <s v="Zosimo P. Suyat"/>
    <m/>
    <m/>
    <m/>
    <x v="6"/>
    <m/>
    <m/>
    <m/>
    <s v="For Monitoring"/>
  </r>
  <r>
    <x v="4"/>
    <s v="Arayat"/>
    <s v="Buensuceso"/>
    <s v="MBA"/>
    <m/>
    <m/>
    <n v="2024"/>
    <d v="2024-09-04T00:00:00"/>
    <m/>
    <x v="0"/>
    <m/>
    <s v="MRF"/>
    <s v="OPERATIONAL"/>
    <s v="Technical Assistance"/>
  </r>
  <r>
    <x v="6"/>
    <s v="Talugtug"/>
    <s v="Calisitan"/>
    <s v="MBA"/>
    <s v="Aser A. Inocencio, Jr."/>
    <s v="Zosimo P. Suyat"/>
    <m/>
    <m/>
    <m/>
    <x v="6"/>
    <m/>
    <m/>
    <m/>
    <s v="For Monitoring"/>
  </r>
  <r>
    <x v="6"/>
    <s v="Talugtug"/>
    <s v="Culiat"/>
    <s v="MBA"/>
    <s v="Aser A. Inocencio, Jr."/>
    <s v="Zosimo P. Suyat"/>
    <m/>
    <m/>
    <m/>
    <x v="6"/>
    <m/>
    <m/>
    <m/>
    <s v="For Monitoring"/>
  </r>
  <r>
    <x v="4"/>
    <s v="Arayat"/>
    <s v="Gatiawin"/>
    <s v="MBA"/>
    <m/>
    <m/>
    <n v="2025"/>
    <d v="2025-02-12T00:00:00"/>
    <s v="R3-2025-005427"/>
    <x v="0"/>
    <m/>
    <s v="MRF"/>
    <s v="NON-OPERATIONAL"/>
    <s v="Technical Assistance"/>
  </r>
  <r>
    <x v="4"/>
    <s v="Arayat"/>
    <s v="Guemasan"/>
    <s v="MBA"/>
    <m/>
    <m/>
    <n v="2025"/>
    <d v="2025-08-13T00:00:00"/>
    <s v="R3-2025-027143"/>
    <x v="0"/>
    <m/>
    <s v="MRF"/>
    <s v="NON-OPERATIONAL"/>
    <s v="Technical Assistance"/>
  </r>
  <r>
    <x v="4"/>
    <s v="Arayat"/>
    <s v="Kaledian"/>
    <s v="MBA"/>
    <m/>
    <m/>
    <n v="2025"/>
    <d v="2025-07-09T00:00:00"/>
    <s v="R3-2025-022985"/>
    <x v="0"/>
    <m/>
    <s v="MRF"/>
    <s v="NON-OPERATIONAL"/>
    <s v="Technical Assistance"/>
  </r>
  <r>
    <x v="6"/>
    <s v="Talugtug"/>
    <s v="Mayamot I"/>
    <s v="MBA"/>
    <s v="Aser A. Inocencio, Jr."/>
    <s v="Zosimo P. Suyat"/>
    <m/>
    <m/>
    <m/>
    <x v="6"/>
    <m/>
    <m/>
    <m/>
    <s v="For Monitoring"/>
  </r>
  <r>
    <x v="6"/>
    <s v="Talugtug"/>
    <s v="Mayamot II"/>
    <s v="MBA"/>
    <s v="Aser A. Inocencio, Jr."/>
    <s v="Zosimo P. Suyat"/>
    <m/>
    <m/>
    <m/>
    <x v="6"/>
    <m/>
    <m/>
    <m/>
    <s v="For Monitoring"/>
  </r>
  <r>
    <x v="6"/>
    <s v="Talugtug"/>
    <s v="Nangabulan"/>
    <s v="MBA"/>
    <s v="Aser A. Inocencio, Jr."/>
    <s v="Zosimo P. Suyat"/>
    <m/>
    <m/>
    <m/>
    <x v="6"/>
    <m/>
    <m/>
    <m/>
    <s v="For Monitoring"/>
  </r>
  <r>
    <x v="4"/>
    <s v="Arayat"/>
    <s v="Mangga-Cacutud"/>
    <s v="MBA"/>
    <m/>
    <m/>
    <n v="2024"/>
    <d v="2024-06-04T00:00:00"/>
    <m/>
    <x v="0"/>
    <m/>
    <m/>
    <m/>
    <s v="Technical Assistance"/>
  </r>
  <r>
    <x v="6"/>
    <s v="Talugtug"/>
    <s v="Pangit"/>
    <s v="MBA"/>
    <s v="Aser A. Inocencio, Jr."/>
    <s v="Zosimo P. Suyat"/>
    <m/>
    <m/>
    <m/>
    <x v="6"/>
    <m/>
    <m/>
    <m/>
    <s v="For Monitoring"/>
  </r>
  <r>
    <x v="6"/>
    <s v="Talugtug"/>
    <s v="Patola"/>
    <s v="MBA"/>
    <s v="Aser A. Inocencio, Jr."/>
    <s v="Zosimo P. Suyat"/>
    <m/>
    <m/>
    <m/>
    <x v="6"/>
    <m/>
    <m/>
    <m/>
    <s v="For Monitoring"/>
  </r>
  <r>
    <x v="4"/>
    <s v="Arayat"/>
    <s v="Panlinlang"/>
    <s v="MBA"/>
    <m/>
    <m/>
    <n v="2024"/>
    <d v="2024-07-12T00:00:00"/>
    <m/>
    <x v="0"/>
    <m/>
    <m/>
    <m/>
    <s v="Technical Assistance"/>
  </r>
  <r>
    <x v="4"/>
    <s v="Arayat"/>
    <s v="Paralaya"/>
    <s v="MBA"/>
    <m/>
    <m/>
    <n v="2025"/>
    <d v="2025-08-13T00:00:00"/>
    <s v="R3-2025-027146"/>
    <x v="0"/>
    <m/>
    <s v="MRF"/>
    <s v="NON-OPERATIONAL"/>
    <s v="Technical Assistance"/>
  </r>
  <r>
    <x v="4"/>
    <s v="Arayat"/>
    <s v="Plazang Luma"/>
    <s v="MBA"/>
    <m/>
    <m/>
    <n v="2025"/>
    <d v="2025-08-13T00:00:00"/>
    <s v="R3-2025-027147"/>
    <x v="0"/>
    <m/>
    <s v="MRF"/>
    <s v="OPERATIONAL"/>
    <s v="Technical Assistance"/>
  </r>
  <r>
    <x v="6"/>
    <s v="Talugtug"/>
    <s v="Roxas (Pob.)"/>
    <s v="MBA"/>
    <s v="Aser A. Inocencio, Jr."/>
    <s v="Zosimo P. Suyat"/>
    <m/>
    <m/>
    <m/>
    <x v="6"/>
    <m/>
    <m/>
    <m/>
    <s v="For Monitoring"/>
  </r>
  <r>
    <x v="6"/>
    <s v="Talugtug"/>
    <s v="Saguing"/>
    <s v="MBA"/>
    <s v="Aser A. Inocencio, Jr."/>
    <s v="Zosimo P. Suyat"/>
    <m/>
    <m/>
    <m/>
    <x v="6"/>
    <m/>
    <m/>
    <m/>
    <s v="For Monitoring"/>
  </r>
  <r>
    <x v="4"/>
    <s v="Arayat"/>
    <s v="San Agustin Sur"/>
    <s v="MBA"/>
    <m/>
    <m/>
    <n v="2025"/>
    <d v="2025-08-13T00:00:00"/>
    <s v="R3-2025-027142"/>
    <x v="0"/>
    <m/>
    <s v="MRF"/>
    <s v="NON-OPERATIONAL"/>
    <s v="Technical Assistance"/>
  </r>
  <r>
    <x v="6"/>
    <s v="Zaragoza"/>
    <s v="Batitang"/>
    <s v="MBA"/>
    <s v="Gem C. Vicencio"/>
    <s v="Zosimo P. Suyat"/>
    <m/>
    <m/>
    <m/>
    <x v="6"/>
    <m/>
    <m/>
    <m/>
    <s v="For Monitoring"/>
  </r>
  <r>
    <x v="4"/>
    <s v="Arayat"/>
    <s v="San Jose Mesulo"/>
    <s v="MBA"/>
    <m/>
    <m/>
    <n v="2025"/>
    <d v="2025-08-13T00:00:00"/>
    <s v="R3-2025-027148"/>
    <x v="0"/>
    <m/>
    <s v="MRF"/>
    <s v="NON-OPERATIONAL"/>
    <s v="Technical Assistance"/>
  </r>
  <r>
    <x v="4"/>
    <s v="Arayat"/>
    <s v="San Juan Bano"/>
    <s v="MBA"/>
    <m/>
    <m/>
    <n v="2024"/>
    <d v="2024-06-04T00:00:00"/>
    <m/>
    <x v="0"/>
    <m/>
    <m/>
    <m/>
    <s v="Technical Assistance"/>
  </r>
  <r>
    <x v="4"/>
    <s v="Arayat"/>
    <s v="San Mateo"/>
    <s v="MBA"/>
    <m/>
    <m/>
    <n v="2025"/>
    <d v="2025-07-09T00:00:00"/>
    <s v="R3-2025-022986"/>
    <x v="0"/>
    <m/>
    <s v="MRF"/>
    <s v="NON-OPERATIONAL"/>
    <s v="Technical Assistance"/>
  </r>
  <r>
    <x v="4"/>
    <s v="Arayat"/>
    <s v="San Nicolas"/>
    <s v="MBA"/>
    <m/>
    <m/>
    <n v="2025"/>
    <d v="2025-10-09T00:00:00"/>
    <s v="R3-2025-034369"/>
    <x v="0"/>
    <m/>
    <s v="MRF"/>
    <s v="NON-OPERATIONAL"/>
    <s v="Technical Assistance"/>
  </r>
  <r>
    <x v="6"/>
    <s v="Zaragoza"/>
    <s v="Concepcion"/>
    <s v="MBA"/>
    <s v="Gem C. Vicencio"/>
    <s v="Zosimo P. Suyat"/>
    <m/>
    <m/>
    <m/>
    <x v="6"/>
    <m/>
    <m/>
    <m/>
    <s v="For Monitoring"/>
  </r>
  <r>
    <x v="6"/>
    <s v="Zaragoza"/>
    <s v="Del Pilar"/>
    <s v="MBA"/>
    <s v="Gem C. Vicencio"/>
    <s v="Zosimo P. Suyat"/>
    <m/>
    <m/>
    <m/>
    <x v="6"/>
    <m/>
    <m/>
    <m/>
    <s v="For Monitoring"/>
  </r>
  <r>
    <x v="6"/>
    <s v="Zaragoza"/>
    <s v="H. Romero"/>
    <s v="MBA"/>
    <s v="Gem C. Vicencio"/>
    <s v="Zosimo P. Suyat"/>
    <m/>
    <m/>
    <m/>
    <x v="6"/>
    <m/>
    <m/>
    <m/>
    <s v="For Monitoring"/>
  </r>
  <r>
    <x v="4"/>
    <s v="Arayat"/>
    <s v="Telapayong"/>
    <s v="MBA"/>
    <m/>
    <m/>
    <n v="2025"/>
    <d v="2025-02-12T00:00:00"/>
    <s v="R3-2025-005428"/>
    <x v="0"/>
    <m/>
    <s v="MRF"/>
    <s v="NON-OPERATIONAL"/>
    <s v="Technical Assistance"/>
  </r>
  <r>
    <x v="4"/>
    <s v="Bacolor"/>
    <s v="Balas"/>
    <s v="MBA"/>
    <m/>
    <m/>
    <n v="2024"/>
    <d v="2024-11-12T00:00:00"/>
    <m/>
    <x v="0"/>
    <m/>
    <s v="MRF"/>
    <s v="OPERATIONAL"/>
    <s v="Technical Assistance"/>
  </r>
  <r>
    <x v="4"/>
    <s v="Bacolor"/>
    <s v="Cabalantian"/>
    <s v="MBA"/>
    <m/>
    <m/>
    <n v="2024"/>
    <d v="2024-09-06T00:00:00"/>
    <m/>
    <x v="0"/>
    <m/>
    <s v="MRF"/>
    <s v="OPERATIONAL"/>
    <s v="Technical Assistance"/>
  </r>
  <r>
    <x v="4"/>
    <s v="Bacolor"/>
    <s v="Cabambangan (Pob.)"/>
    <s v="MBA"/>
    <m/>
    <m/>
    <n v="2025"/>
    <d v="2025-11-07T00:00:00"/>
    <s v="R3-2025-037403"/>
    <x v="0"/>
    <m/>
    <s v="MRS"/>
    <s v="OPERATIONAL"/>
    <s v="Technical Assistance"/>
  </r>
  <r>
    <x v="4"/>
    <s v="Bacolor"/>
    <s v="Cabetican"/>
    <s v="MBA"/>
    <m/>
    <m/>
    <n v="2024"/>
    <d v="2024-09-06T00:00:00"/>
    <m/>
    <x v="0"/>
    <m/>
    <s v="MRF"/>
    <s v="OPERATIONAL"/>
    <s v="Technical Assistance"/>
  </r>
  <r>
    <x v="4"/>
    <s v="Bacolor"/>
    <s v="Calibutbut"/>
    <s v="MBA"/>
    <m/>
    <m/>
    <n v="2025"/>
    <d v="2025-06-10T00:00:00"/>
    <s v="R3-2025-019459"/>
    <x v="0"/>
    <m/>
    <s v="MRF"/>
    <s v="OPERATIONAL"/>
    <s v="Technical Assistance"/>
  </r>
  <r>
    <x v="4"/>
    <s v="Bacolor"/>
    <s v="Concepcion"/>
    <s v="MBA"/>
    <m/>
    <m/>
    <s v="2024/_x000a_2025"/>
    <s v="12-Nov-24_x000a_13-Feb-25"/>
    <s v="R3-2024-041090/_x000a_R3-2025-005815"/>
    <x v="0"/>
    <m/>
    <s v="MRF"/>
    <s v="OPERATIONAL"/>
    <s v="Technical Assistance"/>
  </r>
  <r>
    <x v="4"/>
    <s v="Bacolor"/>
    <s v="Dolores"/>
    <s v="MBA"/>
    <m/>
    <m/>
    <n v="2024"/>
    <d v="2024-09-06T00:00:00"/>
    <m/>
    <x v="0"/>
    <m/>
    <s v="MRF"/>
    <s v="OPERATIONAL"/>
    <s v="Technical Assistance"/>
  </r>
  <r>
    <x v="4"/>
    <s v="Bacolor"/>
    <s v="Duat"/>
    <s v="MBA"/>
    <m/>
    <m/>
    <s v="2024/_x000a_2025"/>
    <s v="6-Sep-24_x000a_13-Feb-25"/>
    <s v="R3-2024-031846/_x000a_R3-2025-005813"/>
    <x v="0"/>
    <m/>
    <s v="MRF"/>
    <s v="OPERATIONAL"/>
    <s v="Technical Assistance"/>
  </r>
  <r>
    <x v="4"/>
    <s v="Bacolor"/>
    <s v="Macabacle"/>
    <s v="MBA"/>
    <m/>
    <m/>
    <n v="2024"/>
    <d v="2024-11-12T00:00:00"/>
    <m/>
    <x v="0"/>
    <m/>
    <s v="MRF"/>
    <s v="OPERATIONAL"/>
    <s v="Technical Assistance"/>
  </r>
  <r>
    <x v="4"/>
    <s v="Bacolor"/>
    <s v="Magliman"/>
    <s v="MBA"/>
    <m/>
    <m/>
    <n v="2024"/>
    <d v="2024-09-06T00:00:00"/>
    <m/>
    <x v="0"/>
    <m/>
    <s v="MRF"/>
    <s v="OPERATIONAL"/>
    <s v="Technical Assistance"/>
  </r>
  <r>
    <x v="4"/>
    <s v="Bacolor"/>
    <s v="Maliwalu"/>
    <s v="MBA"/>
    <m/>
    <m/>
    <n v="2024"/>
    <d v="2024-07-09T00:00:00"/>
    <m/>
    <x v="0"/>
    <m/>
    <s v="MRF"/>
    <s v="OPERATIONAL"/>
    <s v="Technical Assistance"/>
  </r>
  <r>
    <x v="4"/>
    <s v="Bacolor"/>
    <s v="Mesalipit"/>
    <s v="MBA"/>
    <m/>
    <m/>
    <n v="2025"/>
    <d v="2025-10-10T00:00:00"/>
    <s v="R3-2025-034152"/>
    <x v="0"/>
    <m/>
    <s v="MRS"/>
    <s v="OPERATIONAL"/>
    <s v="Technical Assistance"/>
  </r>
  <r>
    <x v="4"/>
    <s v="Bacolor"/>
    <s v="Parulog"/>
    <s v="MBA"/>
    <m/>
    <m/>
    <n v="2025"/>
    <d v="2025-07-08T00:00:00"/>
    <s v="R3-2025-023112"/>
    <x v="0"/>
    <m/>
    <s v="MRS"/>
    <s v="OPERATIONAL"/>
    <s v="Technical Assistance"/>
  </r>
  <r>
    <x v="4"/>
    <s v="Bacolor"/>
    <s v="Potrero"/>
    <s v="MBA"/>
    <m/>
    <m/>
    <n v="2024"/>
    <d v="2024-09-10T00:00:00"/>
    <m/>
    <x v="0"/>
    <m/>
    <s v="MRF"/>
    <s v="OPERATIONAL"/>
    <s v="Technical Assistance"/>
  </r>
  <r>
    <x v="4"/>
    <s v="Bacolor"/>
    <s v="San Antonio"/>
    <s v="MBA"/>
    <m/>
    <m/>
    <n v="2025"/>
    <d v="2025-07-08T00:00:00"/>
    <s v="R3-2025-024161"/>
    <x v="0"/>
    <m/>
    <s v="MRF"/>
    <s v="OPERATIONAL"/>
    <s v="Technical Assistance"/>
  </r>
  <r>
    <x v="4"/>
    <s v="Bacolor"/>
    <s v="San Isidro"/>
    <s v="MBA"/>
    <m/>
    <m/>
    <n v="2024"/>
    <d v="2024-09-11T00:00:00"/>
    <m/>
    <x v="0"/>
    <m/>
    <s v="MRF"/>
    <s v="OPERATIONAL"/>
    <s v="Technical Assistance"/>
  </r>
  <r>
    <x v="4"/>
    <s v="Bacolor"/>
    <s v="San Vicente"/>
    <s v="MBA"/>
    <m/>
    <m/>
    <n v="2025"/>
    <d v="2025-02-13T00:00:00"/>
    <s v="R3-2025-005808"/>
    <x v="0"/>
    <m/>
    <s v="MRF"/>
    <s v="OPERATIONAL"/>
    <s v="Technical Assistance"/>
  </r>
  <r>
    <x v="4"/>
    <s v="Bacolor"/>
    <s v="Santa Barbara"/>
    <s v="MBA"/>
    <m/>
    <m/>
    <n v="2025"/>
    <d v="2025-11-07T00:00:00"/>
    <s v="R3-2025-037404"/>
    <x v="0"/>
    <m/>
    <s v="MRS"/>
    <s v="OPERATIONAL"/>
    <s v="Technical Assistance"/>
  </r>
  <r>
    <x v="4"/>
    <s v="Bacolor"/>
    <s v="Santa Ines"/>
    <s v="MBA"/>
    <m/>
    <m/>
    <n v="2025"/>
    <d v="2025-10-15T00:00:00"/>
    <s v="R3-2025-034967"/>
    <x v="0"/>
    <m/>
    <s v="MRS"/>
    <s v="OPERATIONAL"/>
    <s v="Technical Assistance"/>
  </r>
  <r>
    <x v="4"/>
    <s v="Bacolor"/>
    <s v="Talba"/>
    <s v="MBA"/>
    <m/>
    <m/>
    <n v="2024"/>
    <d v="2024-11-12T00:00:00"/>
    <m/>
    <x v="0"/>
    <m/>
    <s v="MRF"/>
    <s v="OPERATIONAL"/>
    <s v="Technical Assistance"/>
  </r>
  <r>
    <x v="4"/>
    <s v="Bacolor"/>
    <s v="Tinajero"/>
    <s v="MBA"/>
    <m/>
    <m/>
    <s v="2024/_x000a_2025"/>
    <s v="12-Nov-24_x000a_13-Feb-25"/>
    <s v="R3-2024-041094/_x000a_R3-2025-005816"/>
    <x v="0"/>
    <m/>
    <s v="MRF"/>
    <s v="OPERATIONAL"/>
    <s v="Technical Assistance"/>
  </r>
  <r>
    <x v="4"/>
    <s v="Candaba"/>
    <s v="Paralaya (Pob.)"/>
    <s v="MBA"/>
    <m/>
    <m/>
    <n v="2025"/>
    <d v="2025-08-28T00:00:00"/>
    <s v="R3-2025-031398"/>
    <x v="0"/>
    <m/>
    <s v="MRF"/>
    <s v="OPERATIONAL"/>
    <s v="Technical Assistance"/>
  </r>
  <r>
    <x v="6"/>
    <s v="Zaragoza"/>
    <s v="Macarse"/>
    <s v="MBA"/>
    <s v="Gem C. Vicencio"/>
    <s v="Zosimo P. Suyat"/>
    <m/>
    <m/>
    <m/>
    <x v="6"/>
    <m/>
    <m/>
    <m/>
    <s v="For Monitoring"/>
  </r>
  <r>
    <x v="4"/>
    <s v="Candaba"/>
    <s v="Bambang"/>
    <s v="MBA"/>
    <m/>
    <m/>
    <n v="2024"/>
    <d v="2024-11-14T00:00:00"/>
    <m/>
    <x v="0"/>
    <m/>
    <s v="MRF"/>
    <s v="NON-OPERATIONAL"/>
    <s v="Technical Assistance"/>
  </r>
  <r>
    <x v="6"/>
    <s v="Zaragoza"/>
    <s v="Manaul"/>
    <s v="MBA"/>
    <s v="Gem C. Vicencio"/>
    <s v="Zosimo P. Suyat"/>
    <m/>
    <m/>
    <m/>
    <x v="6"/>
    <m/>
    <m/>
    <m/>
    <s v="For Monitoring"/>
  </r>
  <r>
    <x v="4"/>
    <s v="Candaba"/>
    <s v="Barit"/>
    <s v="MBA"/>
    <m/>
    <m/>
    <n v="2025"/>
    <d v="2025-09-23T00:00:00"/>
    <s v="R3-2025-035177"/>
    <x v="0"/>
    <m/>
    <s v="MRF"/>
    <s v="OPERATIONAL"/>
    <s v="Technical Assistance"/>
  </r>
  <r>
    <x v="6"/>
    <s v="Zaragoza"/>
    <s v="Mayamot"/>
    <s v="MBA"/>
    <s v="Gem C. Vicencio"/>
    <s v="Zosimo P. Suyat"/>
    <m/>
    <m/>
    <m/>
    <x v="6"/>
    <m/>
    <m/>
    <m/>
    <s v="For Monitoring"/>
  </r>
  <r>
    <x v="6"/>
    <s v="Zaragoza"/>
    <s v="Pantoc"/>
    <s v="MBA"/>
    <s v="Gem C. Vicencio"/>
    <s v="Zosimo P. Suyat"/>
    <m/>
    <m/>
    <m/>
    <x v="6"/>
    <m/>
    <m/>
    <m/>
    <s v="For Monitoring"/>
  </r>
  <r>
    <x v="6"/>
    <s v="Zaragoza"/>
    <s v="San Isidro"/>
    <s v="MBA"/>
    <s v="Gem C. Vicencio"/>
    <s v="Zosimo P. Suyat"/>
    <m/>
    <m/>
    <m/>
    <x v="6"/>
    <m/>
    <m/>
    <m/>
    <s v="For Monitoring"/>
  </r>
  <r>
    <x v="6"/>
    <s v="Zaragoza"/>
    <s v="San Rafael"/>
    <s v="MBA"/>
    <s v="Gem C. Vicencio"/>
    <s v="Zosimo P. Suyat"/>
    <m/>
    <m/>
    <m/>
    <x v="6"/>
    <m/>
    <m/>
    <m/>
    <s v="For Monitoring"/>
  </r>
  <r>
    <x v="4"/>
    <s v="Candaba"/>
    <s v="Gulap"/>
    <s v="MBA"/>
    <m/>
    <m/>
    <n v="2024"/>
    <d v="2024-04-08T00:00:00"/>
    <m/>
    <x v="0"/>
    <m/>
    <m/>
    <m/>
    <s v="Technical Assistance"/>
  </r>
  <r>
    <x v="4"/>
    <s v="Candaba"/>
    <s v="Lanang"/>
    <s v="MBA"/>
    <m/>
    <m/>
    <n v="2024"/>
    <d v="2024-11-14T00:00:00"/>
    <m/>
    <x v="0"/>
    <m/>
    <s v="MRF"/>
    <s v="NON-OPERATIONAL"/>
    <s v="Technical Assistance"/>
  </r>
  <r>
    <x v="4"/>
    <s v="Candaba"/>
    <s v="Lourdes"/>
    <s v="MBA"/>
    <m/>
    <m/>
    <n v="2025"/>
    <d v="2025-09-25T00:00:00"/>
    <s v="R3-2025-035182"/>
    <x v="0"/>
    <m/>
    <s v="MRS"/>
    <s v="OPERATIONAL"/>
    <s v="Technical Assistance"/>
  </r>
  <r>
    <x v="4"/>
    <s v="Angeles City"/>
    <s v="Pulung Cacutud"/>
    <s v="MBA"/>
    <s v="Elyza A. Evilla"/>
    <s v="John Sherwin Y. Loquellano"/>
    <m/>
    <m/>
    <m/>
    <x v="6"/>
    <m/>
    <m/>
    <m/>
    <s v="For Monitoring"/>
  </r>
  <r>
    <x v="4"/>
    <s v="Candaba"/>
    <s v="Mandasig"/>
    <s v="MBA"/>
    <m/>
    <m/>
    <n v="2024"/>
    <d v="2024-11-14T00:00:00"/>
    <m/>
    <x v="0"/>
    <m/>
    <s v="MRF"/>
    <s v="OPERATIONAL"/>
    <s v="Technical Assistance"/>
  </r>
  <r>
    <x v="4"/>
    <s v="Angeles City"/>
    <s v="Pulung Maragul"/>
    <s v="MBA"/>
    <s v="Elyza A. Evilla"/>
    <s v="John Sherwin Y. Loquellano"/>
    <m/>
    <m/>
    <m/>
    <x v="6"/>
    <m/>
    <m/>
    <m/>
    <s v="For Monitoring"/>
  </r>
  <r>
    <x v="4"/>
    <s v="Angeles City"/>
    <s v="Salapungan"/>
    <s v="MBA"/>
    <s v="Elyza A. Evilla"/>
    <s v="John Sherwin Y. Loquellano"/>
    <m/>
    <m/>
    <m/>
    <x v="6"/>
    <m/>
    <m/>
    <m/>
    <s v="For Monitoring"/>
  </r>
  <r>
    <x v="4"/>
    <s v="Candaba"/>
    <s v="Mapaniqui"/>
    <s v="MBA"/>
    <m/>
    <m/>
    <n v="2025"/>
    <d v="2025-09-27T00:00:00"/>
    <s v="R3-2025-035183"/>
    <x v="0"/>
    <m/>
    <s v="MRS"/>
    <s v="OPERATIONAL"/>
    <s v="Technical Assistance"/>
  </r>
  <r>
    <x v="4"/>
    <s v="Candaba"/>
    <s v="Vizal Santo Niño"/>
    <s v="MBA"/>
    <s v="Roger T. Encarnacion II"/>
    <s v="Jun D. Guillermo"/>
    <m/>
    <m/>
    <m/>
    <x v="6"/>
    <m/>
    <m/>
    <m/>
    <s v="For Monitoring"/>
  </r>
  <r>
    <x v="4"/>
    <s v="City of San Fernando"/>
    <s v="Calulut"/>
    <s v="MBA"/>
    <s v="Elyza A. Evilla"/>
    <s v="John Sherwin Y. Loquellano"/>
    <m/>
    <m/>
    <m/>
    <x v="6"/>
    <m/>
    <m/>
    <m/>
    <s v="For Monitoring"/>
  </r>
  <r>
    <x v="4"/>
    <s v="City of San Fernando"/>
    <s v="Del Rosario"/>
    <s v="MBA"/>
    <s v="Elyza A. Evilla"/>
    <s v="John Sherwin Y. Loquellano"/>
    <m/>
    <m/>
    <m/>
    <x v="6"/>
    <m/>
    <m/>
    <m/>
    <s v="For Monitoring"/>
  </r>
  <r>
    <x v="4"/>
    <s v="Guagua"/>
    <s v="Ascomo"/>
    <s v="MBA"/>
    <s v="VACANT"/>
    <s v="Jun D. Guillermo"/>
    <m/>
    <m/>
    <m/>
    <x v="6"/>
    <m/>
    <m/>
    <m/>
    <s v="For Monitoring"/>
  </r>
  <r>
    <x v="4"/>
    <s v="Candaba"/>
    <s v="Pescadores (Pob.)"/>
    <s v="MBA"/>
    <m/>
    <m/>
    <n v="2024"/>
    <d v="2024-11-14T00:00:00"/>
    <m/>
    <x v="0"/>
    <m/>
    <s v="MRF"/>
    <s v="NON-OPERATIONAL"/>
    <s v="Technical Assistance"/>
  </r>
  <r>
    <x v="4"/>
    <s v="Guagua"/>
    <s v="Bancal"/>
    <s v="MBA"/>
    <s v="VACANT"/>
    <s v="Jun D. Guillermo"/>
    <m/>
    <m/>
    <m/>
    <x v="6"/>
    <m/>
    <m/>
    <m/>
    <s v="For Monitoring"/>
  </r>
  <r>
    <x v="4"/>
    <s v="Guagua"/>
    <s v="Lambac"/>
    <s v="MBA"/>
    <s v="VACANT"/>
    <s v="Jun D. Guillermo"/>
    <m/>
    <m/>
    <m/>
    <x v="6"/>
    <m/>
    <m/>
    <m/>
    <s v="For Monitoring"/>
  </r>
  <r>
    <x v="4"/>
    <s v="Guagua"/>
    <s v="Magsaysay"/>
    <s v="MBA"/>
    <s v="VACANT"/>
    <s v="Jun D. Guillermo"/>
    <m/>
    <m/>
    <m/>
    <x v="6"/>
    <m/>
    <m/>
    <m/>
    <s v="For Monitoring"/>
  </r>
  <r>
    <x v="4"/>
    <s v="Candaba"/>
    <s v="San Agustin (Pob.)"/>
    <s v="MBA"/>
    <m/>
    <m/>
    <n v="2024"/>
    <d v="2024-11-14T00:00:00"/>
    <m/>
    <x v="0"/>
    <m/>
    <s v="MRF"/>
    <s v="OPERATIONAL"/>
    <s v="Technical Assistance"/>
  </r>
  <r>
    <x v="4"/>
    <s v="Mabalacat City"/>
    <s v="Marcos Village"/>
    <s v="MBA"/>
    <s v="Roger T. Encarnacion II"/>
    <s v="Jun D. Guillermo"/>
    <m/>
    <m/>
    <m/>
    <x v="6"/>
    <m/>
    <m/>
    <m/>
    <s v="For Monitoring"/>
  </r>
  <r>
    <x v="4"/>
    <s v="Mabalacat City"/>
    <s v="Mawaque"/>
    <s v="MBA"/>
    <s v="Roger T. Encarnacion II"/>
    <s v="Jun D. Guillermo"/>
    <m/>
    <m/>
    <m/>
    <x v="6"/>
    <m/>
    <m/>
    <m/>
    <s v="For Monitoring"/>
  </r>
  <r>
    <x v="4"/>
    <s v="Candaba"/>
    <s v="Talang"/>
    <s v="MBA"/>
    <m/>
    <m/>
    <n v="2025"/>
    <d v="2025-09-23T00:00:00"/>
    <s v="R3-2025-035180"/>
    <x v="0"/>
    <m/>
    <s v="MRF"/>
    <s v="OPERATIONAL"/>
    <s v="Technical Assistance"/>
  </r>
  <r>
    <x v="4"/>
    <s v="Mabalacat City"/>
    <s v="Paralayunan"/>
    <s v="MBA"/>
    <s v="Roger T. Encarnacion II"/>
    <s v="Jun D. Guillermo"/>
    <m/>
    <m/>
    <m/>
    <x v="6"/>
    <m/>
    <m/>
    <m/>
    <s v="For Monitoring"/>
  </r>
  <r>
    <x v="4"/>
    <s v="Candaba"/>
    <s v="Vizal San Pablo"/>
    <s v="MBA"/>
    <m/>
    <m/>
    <n v="2025"/>
    <d v="2025-09-24T00:00:00"/>
    <s v="R3-2025-035181"/>
    <x v="0"/>
    <m/>
    <s v="MRS"/>
    <s v="OPERATIONAL"/>
    <s v="Technical Assistance"/>
  </r>
  <r>
    <x v="4"/>
    <s v="Mabalacat City"/>
    <s v="Poblacion"/>
    <s v="MBA"/>
    <s v="Roger T. Encarnacion II"/>
    <s v="Jun D. Guillermo"/>
    <m/>
    <m/>
    <m/>
    <x v="6"/>
    <m/>
    <m/>
    <m/>
    <s v="For Monitoring"/>
  </r>
  <r>
    <x v="4"/>
    <s v="Mabalacat City"/>
    <s v="San Francisco"/>
    <s v="MBA"/>
    <s v="Roger T. Encarnacion II"/>
    <s v="Jun D. Guillermo"/>
    <m/>
    <m/>
    <m/>
    <x v="6"/>
    <m/>
    <m/>
    <m/>
    <s v="For Monitoring"/>
  </r>
  <r>
    <x v="4"/>
    <s v="City of San Fernando"/>
    <s v="Del Pilar"/>
    <s v="MBA"/>
    <m/>
    <m/>
    <n v="2025"/>
    <d v="2025-09-09T00:00:00"/>
    <s v="R3-2025-030719"/>
    <x v="0"/>
    <m/>
    <s v="MRF"/>
    <s v="OPERATIONAL"/>
    <s v="Technical Assistance"/>
  </r>
  <r>
    <x v="4"/>
    <s v="City of San Fernando"/>
    <s v="Alasas"/>
    <s v="MBA"/>
    <m/>
    <m/>
    <n v="2025"/>
    <d v="2025-08-13T00:00:00"/>
    <s v="R3-2025-027286"/>
    <x v="0"/>
    <m/>
    <s v="MRF"/>
    <s v="OPERATIONAL"/>
    <s v="Technical Assistance"/>
  </r>
  <r>
    <x v="4"/>
    <s v="City of San Fernando"/>
    <s v="Baliti"/>
    <s v="MBA"/>
    <m/>
    <m/>
    <n v="2024"/>
    <d v="2024-05-08T00:00:00"/>
    <m/>
    <x v="0"/>
    <m/>
    <m/>
    <m/>
    <s v="Technical Assistance"/>
  </r>
  <r>
    <x v="4"/>
    <s v="Macabebe"/>
    <s v="Batasan"/>
    <s v="MBA"/>
    <s v="Glaiza S. Gaza"/>
    <s v="John Sherwin Y. Loquellano"/>
    <m/>
    <m/>
    <m/>
    <x v="6"/>
    <m/>
    <m/>
    <m/>
    <s v="For Monitoring"/>
  </r>
  <r>
    <x v="4"/>
    <s v="Macabebe"/>
    <s v="Candelaria"/>
    <s v="MBA"/>
    <s v="Glaiza S. Gaza"/>
    <s v="John Sherwin Y. Loquellano"/>
    <m/>
    <m/>
    <m/>
    <x v="6"/>
    <m/>
    <m/>
    <m/>
    <s v="For Monitoring"/>
  </r>
  <r>
    <x v="4"/>
    <s v="City of San Fernando"/>
    <s v="Del Carmen"/>
    <s v="MBA"/>
    <m/>
    <m/>
    <n v="2024"/>
    <d v="2024-04-03T00:00:00"/>
    <m/>
    <x v="0"/>
    <m/>
    <m/>
    <m/>
    <s v="Technical Assistance"/>
  </r>
  <r>
    <x v="4"/>
    <s v="City of San Fernando"/>
    <s v="San Juan"/>
    <s v="MBA"/>
    <m/>
    <m/>
    <n v="2025"/>
    <d v="2025-09-09T00:00:00"/>
    <s v="R3-2025-030720"/>
    <x v="0"/>
    <m/>
    <s v="MRF"/>
    <s v="OPERATIONAL"/>
    <s v="Technical Assistance"/>
  </r>
  <r>
    <x v="4"/>
    <s v="Macabebe"/>
    <s v="Castuli"/>
    <s v="MBA"/>
    <s v="Glaiza S. Gaza"/>
    <s v="John Sherwin Y. Loquellano"/>
    <m/>
    <m/>
    <m/>
    <x v="6"/>
    <m/>
    <m/>
    <m/>
    <s v="For Monitoring"/>
  </r>
  <r>
    <x v="4"/>
    <s v="Macabebe"/>
    <s v="Consuelo"/>
    <s v="MBA"/>
    <s v="Glaiza S. Gaza"/>
    <s v="John Sherwin Y. Loquellano"/>
    <m/>
    <m/>
    <m/>
    <x v="6"/>
    <m/>
    <m/>
    <m/>
    <s v="For Monitoring"/>
  </r>
  <r>
    <x v="4"/>
    <s v="Macabebe"/>
    <s v="Dalayap"/>
    <s v="MBA"/>
    <s v="Glaiza S. Gaza"/>
    <s v="John Sherwin Y. Loquellano"/>
    <m/>
    <m/>
    <m/>
    <x v="6"/>
    <m/>
    <m/>
    <m/>
    <s v="For Monitoring"/>
  </r>
  <r>
    <x v="4"/>
    <s v="Mexico"/>
    <s v="San Lorenzo"/>
    <s v="MBA"/>
    <s v="Roger T. Encarnacion II"/>
    <s v="Jun D. Guillermo"/>
    <m/>
    <m/>
    <m/>
    <x v="6"/>
    <m/>
    <m/>
    <m/>
    <s v="For Monitoring"/>
  </r>
  <r>
    <x v="4"/>
    <s v="Mexico"/>
    <s v="San Patricio"/>
    <s v="MBA"/>
    <s v="Roger T. Encarnacion II"/>
    <s v="Jun D. Guillermo"/>
    <m/>
    <m/>
    <m/>
    <x v="6"/>
    <m/>
    <m/>
    <m/>
    <s v="For Monitoring"/>
  </r>
  <r>
    <x v="4"/>
    <s v="Mexico"/>
    <s v="San Rafael"/>
    <s v="MBA"/>
    <s v="Roger T. Encarnacion II"/>
    <s v="Jun D. Guillermo"/>
    <m/>
    <m/>
    <m/>
    <x v="6"/>
    <m/>
    <m/>
    <m/>
    <s v="For Monitoring"/>
  </r>
  <r>
    <x v="4"/>
    <s v="Mexico"/>
    <s v="San Roque"/>
    <s v="MBA"/>
    <s v="Roger T. Encarnacion II"/>
    <s v="Jun D. Guillermo"/>
    <m/>
    <m/>
    <m/>
    <x v="6"/>
    <m/>
    <m/>
    <m/>
    <s v="For Monitoring"/>
  </r>
  <r>
    <x v="4"/>
    <s v="City of San Fernando"/>
    <s v="Magliman"/>
    <s v="MBA"/>
    <m/>
    <m/>
    <n v="2024"/>
    <d v="2024-10-08T00:00:00"/>
    <m/>
    <x v="0"/>
    <m/>
    <s v="MRF"/>
    <s v="OPERATIONAL"/>
    <s v="Technical Assistance"/>
  </r>
  <r>
    <x v="4"/>
    <s v="Mexico"/>
    <s v="San Vicente"/>
    <s v="MBA"/>
    <s v="Roger T. Encarnacion II"/>
    <s v="Jun D. Guillermo"/>
    <m/>
    <m/>
    <m/>
    <x v="6"/>
    <m/>
    <m/>
    <m/>
    <s v="For Monitoring"/>
  </r>
  <r>
    <x v="4"/>
    <s v="Porac"/>
    <s v="Mitla Proper"/>
    <s v="MBA"/>
    <s v="Elyza A. Evilla"/>
    <s v="John Sherwin Y. Loquellano"/>
    <m/>
    <m/>
    <m/>
    <x v="6"/>
    <m/>
    <m/>
    <m/>
    <s v="For Monitoring"/>
  </r>
  <r>
    <x v="4"/>
    <s v="Porac"/>
    <s v="Pias"/>
    <s v="MBA"/>
    <s v="Elyza A. Evilla"/>
    <s v="John Sherwin Y. Loquellano"/>
    <m/>
    <m/>
    <m/>
    <x v="6"/>
    <m/>
    <m/>
    <m/>
    <s v="For Monitoring"/>
  </r>
  <r>
    <x v="4"/>
    <s v="Porac"/>
    <s v="Salu"/>
    <s v="MBA"/>
    <s v="Elyza A. Evilla"/>
    <s v="John Sherwin Y. Loquellano"/>
    <m/>
    <m/>
    <m/>
    <x v="6"/>
    <m/>
    <m/>
    <m/>
    <s v="For Monitoring"/>
  </r>
  <r>
    <x v="4"/>
    <s v="City of San Fernando"/>
    <s v="Panipuan"/>
    <s v="MBA"/>
    <m/>
    <m/>
    <n v="2025"/>
    <d v="2025-03-14T00:00:00"/>
    <s v="R3-2025-008734"/>
    <x v="0"/>
    <m/>
    <s v="MRS"/>
    <s v="OPERATIONAL"/>
    <s v="Technical Assistance"/>
  </r>
  <r>
    <x v="4"/>
    <s v="Porac"/>
    <s v="Sapang Uwak"/>
    <s v="MBA"/>
    <s v="Elyza A. Evilla"/>
    <s v="John Sherwin Y. Loquellano"/>
    <m/>
    <m/>
    <m/>
    <x v="6"/>
    <m/>
    <m/>
    <m/>
    <s v="For Monitoring"/>
  </r>
  <r>
    <x v="4"/>
    <s v="Porac"/>
    <s v="Sinura"/>
    <s v="MBA"/>
    <s v="Elyza A. Evilla"/>
    <s v="John Sherwin Y. Loquellano"/>
    <m/>
    <m/>
    <m/>
    <x v="6"/>
    <m/>
    <m/>
    <m/>
    <s v="For Monitoring"/>
  </r>
  <r>
    <x v="4"/>
    <s v="City of San Fernando"/>
    <s v="Saguin"/>
    <s v="MBA"/>
    <m/>
    <m/>
    <n v="2025"/>
    <d v="2025-05-02T00:00:00"/>
    <s v="R3-2025-016275"/>
    <x v="0"/>
    <m/>
    <s v="MRS"/>
    <s v="OPERATIONAL"/>
    <s v="Technical Assistance"/>
  </r>
  <r>
    <x v="4"/>
    <s v="Sasmuan"/>
    <s v="Sabitanan"/>
    <s v="MBA"/>
    <s v="VACANT"/>
    <s v="Jun D. Guillermo"/>
    <m/>
    <m/>
    <m/>
    <x v="0"/>
    <m/>
    <m/>
    <m/>
    <s v="For Monitoring"/>
  </r>
  <r>
    <x v="4"/>
    <s v="Sasmuan"/>
    <s v="San Nicolas 1st"/>
    <s v="MBA"/>
    <s v="VACANT"/>
    <s v="Jun D. Guillermo"/>
    <m/>
    <m/>
    <m/>
    <x v="0"/>
    <m/>
    <m/>
    <m/>
    <s v="For Monitoring"/>
  </r>
  <r>
    <x v="4"/>
    <s v="City of San Fernando"/>
    <s v="San Isidro"/>
    <s v="MBA"/>
    <m/>
    <m/>
    <n v="2025"/>
    <d v="2025-07-01T00:00:00"/>
    <s v="R3-2025-022195"/>
    <x v="0"/>
    <m/>
    <s v="MRF"/>
    <s v="OPERATIONAL"/>
    <s v="Technical Assistance"/>
  </r>
  <r>
    <x v="4"/>
    <s v="City of San Fernando"/>
    <s v="San Jose"/>
    <s v="MBA"/>
    <m/>
    <m/>
    <n v="2024"/>
    <d v="2024-09-10T00:00:00"/>
    <m/>
    <x v="0"/>
    <m/>
    <s v="MRF"/>
    <s v="OPERATIONAL"/>
    <s v="Technical Assistance"/>
  </r>
  <r>
    <x v="4"/>
    <s v="City of San Fernando"/>
    <s v="Santa Lucia"/>
    <s v="MBA"/>
    <m/>
    <m/>
    <n v="2025"/>
    <d v="2025-09-09T00:00:00"/>
    <s v="R3-2025-030721"/>
    <x v="0"/>
    <m/>
    <s v="MRF"/>
    <s v="UNDER CONSTRUCTION"/>
    <s v="Technical Assistance"/>
  </r>
  <r>
    <x v="4"/>
    <s v="Sta. Ana"/>
    <s v="San Bartolome"/>
    <s v="MBA"/>
    <s v="Roger T. Encarnacion II"/>
    <s v="Jun D. Guillermo"/>
    <m/>
    <m/>
    <m/>
    <x v="0"/>
    <m/>
    <m/>
    <m/>
    <s v="For Monitoring"/>
  </r>
  <r>
    <x v="4"/>
    <s v="Sta. Ana"/>
    <s v="San Isidro"/>
    <s v="MBA"/>
    <s v="Roger T. Encarnacion II"/>
    <s v="Jun D. Guillermo"/>
    <m/>
    <m/>
    <m/>
    <x v="0"/>
    <m/>
    <m/>
    <m/>
    <s v="For Monitoring"/>
  </r>
  <r>
    <x v="3"/>
    <s v="Gerona"/>
    <s v="Abagon"/>
    <s v="OUTSIDE MBA"/>
    <s v="Joshua A. Capones"/>
    <s v="Jan Emerson C. Gonzales"/>
    <m/>
    <m/>
    <m/>
    <x v="0"/>
    <m/>
    <m/>
    <m/>
    <s v="For Monitoring"/>
  </r>
  <r>
    <x v="4"/>
    <s v="City of San Fernando"/>
    <s v="Santo Niño"/>
    <s v="MBA"/>
    <m/>
    <m/>
    <n v="2025"/>
    <d v="2025-01-22T00:00:00"/>
    <s v="R3-2025-002079"/>
    <x v="0"/>
    <m/>
    <s v="MRF"/>
    <s v="OPERATIONAL"/>
    <s v="Technical Assistance"/>
  </r>
  <r>
    <x v="3"/>
    <s v="Gerona"/>
    <s v="Bawa"/>
    <s v="OUTSIDE MBA"/>
    <s v="Joshua A. Capones"/>
    <s v="Jan Emerson C. Gonzales"/>
    <m/>
    <m/>
    <m/>
    <x v="0"/>
    <m/>
    <m/>
    <m/>
    <s v="For Monitoring"/>
  </r>
  <r>
    <x v="4"/>
    <s v="City of San Fernando"/>
    <s v="Sindalan"/>
    <s v="MBA"/>
    <m/>
    <m/>
    <n v="2025"/>
    <d v="2025-02-12T00:00:00"/>
    <s v="R3-2025-005786"/>
    <x v="0"/>
    <m/>
    <s v="MRF"/>
    <s v="OPERATIONAL"/>
    <s v="Technical Assistance"/>
  </r>
  <r>
    <x v="3"/>
    <s v="Gerona"/>
    <s v="Buenlag"/>
    <s v="OUTSIDE MBA"/>
    <s v="Joshua A. Capones"/>
    <s v="Jan Emerson C. Gonzales"/>
    <m/>
    <m/>
    <m/>
    <x v="0"/>
    <m/>
    <m/>
    <m/>
    <s v="For Monitoring"/>
  </r>
  <r>
    <x v="4"/>
    <s v="Floridablanca"/>
    <s v="Anon"/>
    <s v="MBA"/>
    <m/>
    <m/>
    <n v="2025"/>
    <d v="2025-10-10T00:00:00"/>
    <s v="R3-2025-034336"/>
    <x v="0"/>
    <m/>
    <s v="MRF"/>
    <s v="OPERATIONAL"/>
    <s v="Technical Assistance"/>
  </r>
  <r>
    <x v="4"/>
    <s v="Floridablanca"/>
    <s v="Apalit"/>
    <s v="MBA"/>
    <m/>
    <m/>
    <n v="2024"/>
    <d v="2024-05-16T00:00:00"/>
    <m/>
    <x v="0"/>
    <m/>
    <s v="MRF"/>
    <s v="OPERATIONAL"/>
    <s v="Technical Assistance"/>
  </r>
  <r>
    <x v="4"/>
    <s v="Floridablanca"/>
    <s v="Basa Air Base"/>
    <s v="MBA"/>
    <m/>
    <m/>
    <n v="2025"/>
    <d v="2025-10-10T00:00:00"/>
    <s v="R3-2025-034337"/>
    <x v="0"/>
    <m/>
    <s v="MRF"/>
    <s v="OPERATIONAL"/>
    <s v="Technical Assistance"/>
  </r>
  <r>
    <x v="4"/>
    <s v="Floridablanca"/>
    <s v="Benedicto"/>
    <s v="MBA"/>
    <m/>
    <m/>
    <n v="2024"/>
    <d v="2024-05-16T00:00:00"/>
    <m/>
    <x v="0"/>
    <m/>
    <s v="MRF"/>
    <s v="OPERATIONAL"/>
    <s v="Technical Assistance"/>
  </r>
  <r>
    <x v="4"/>
    <s v="Floridablanca"/>
    <s v="Bodega"/>
    <s v="MBA"/>
    <m/>
    <m/>
    <n v="2024"/>
    <d v="2024-05-16T00:00:00"/>
    <m/>
    <x v="0"/>
    <m/>
    <s v="MRS"/>
    <s v="OPERATIONAL"/>
    <s v="Technical Assistance"/>
  </r>
  <r>
    <x v="4"/>
    <s v="Floridablanca"/>
    <s v="Cabangcalan"/>
    <s v="MBA"/>
    <m/>
    <m/>
    <n v="2025"/>
    <d v="2025-10-02T00:00:00"/>
    <s v="R3-2025-033259"/>
    <x v="0"/>
    <m/>
    <s v="NO FACILITY"/>
    <s v="CATER BY LGU"/>
    <s v="Technical Assistance"/>
  </r>
  <r>
    <x v="4"/>
    <s v="Floridablanca"/>
    <s v="Calantas"/>
    <s v="MBA"/>
    <m/>
    <m/>
    <n v="2025"/>
    <d v="2025-02-14T00:00:00"/>
    <s v="R3-2025-005788"/>
    <x v="0"/>
    <m/>
    <s v="MRF"/>
    <s v="OPERATIONAL"/>
    <s v="Technical Assistance"/>
  </r>
  <r>
    <x v="3"/>
    <s v="Gerona"/>
    <s v="Carbonel"/>
    <s v="OUTSIDE MBA"/>
    <s v="Joshua A. Capones"/>
    <s v="Jan Emerson C. Gonzales"/>
    <m/>
    <m/>
    <m/>
    <x v="0"/>
    <m/>
    <m/>
    <m/>
    <s v="For Monitoring"/>
  </r>
  <r>
    <x v="4"/>
    <s v="Floridablanca"/>
    <s v="Consuelo"/>
    <s v="MBA"/>
    <m/>
    <m/>
    <n v="2024"/>
    <d v="2024-07-12T00:00:00"/>
    <m/>
    <x v="0"/>
    <m/>
    <s v="MRF"/>
    <s v="OPERATIONAL"/>
    <s v="Technical Assistance"/>
  </r>
  <r>
    <x v="4"/>
    <s v="Floridablanca"/>
    <s v="Dampe"/>
    <s v="MBA"/>
    <m/>
    <m/>
    <n v="2024"/>
    <d v="2024-07-12T00:00:00"/>
    <m/>
    <x v="0"/>
    <m/>
    <s v="MRS"/>
    <s v="OPERATIONAL"/>
    <s v="Technical Assistance"/>
  </r>
  <r>
    <x v="4"/>
    <s v="Floridablanca"/>
    <s v="Del Carmen"/>
    <s v="MBA"/>
    <m/>
    <m/>
    <n v="2024"/>
    <d v="2024-06-14T00:00:00"/>
    <m/>
    <x v="0"/>
    <m/>
    <s v="MRF"/>
    <s v="OPERATIONAL"/>
    <s v="Technical Assistance"/>
  </r>
  <r>
    <x v="4"/>
    <s v="Floridablanca"/>
    <s v="Fortuna"/>
    <s v="MBA"/>
    <m/>
    <m/>
    <n v="2025"/>
    <d v="2025-03-12T00:00:00"/>
    <s v="R3-2025-008732"/>
    <x v="0"/>
    <m/>
    <s v="NO FACILITY"/>
    <s v="CATER BY LGU"/>
    <s v="Technical Assistance"/>
  </r>
  <r>
    <x v="4"/>
    <s v="Floridablanca"/>
    <s v="Gutad"/>
    <s v="MBA"/>
    <m/>
    <m/>
    <n v="2025"/>
    <d v="2025-10-10T00:00:00"/>
    <s v="R3-2025-034338"/>
    <x v="0"/>
    <m/>
    <s v="MRF"/>
    <s v="OPERATIONAL"/>
    <s v="Technical Assistance"/>
  </r>
  <r>
    <x v="4"/>
    <s v="Floridablanca"/>
    <s v="Mabical"/>
    <s v="MBA"/>
    <m/>
    <m/>
    <n v="2024"/>
    <d v="2024-06-14T00:00:00"/>
    <m/>
    <x v="0"/>
    <m/>
    <s v="MRF"/>
    <s v="OPERATIONAL"/>
    <s v="Technical Assistance"/>
  </r>
  <r>
    <x v="4"/>
    <s v="Floridablanca"/>
    <s v="Maligaya"/>
    <s v="MBA"/>
    <m/>
    <m/>
    <n v="2025"/>
    <d v="2025-10-10T00:00:00"/>
    <s v="R3-2025-034339"/>
    <x v="0"/>
    <m/>
    <s v="MRS"/>
    <s v="OPERATIONAL"/>
    <s v="Technical Assistance"/>
  </r>
  <r>
    <x v="4"/>
    <s v="Floridablanca"/>
    <s v="Mawacat"/>
    <s v="MBA"/>
    <m/>
    <m/>
    <n v="2025"/>
    <d v="2025-10-10T00:00:00"/>
    <s v="R3-2025-034340"/>
    <x v="0"/>
    <m/>
    <s v="MRS"/>
    <s v="OPERATIONAL"/>
    <s v="Technical Assistance"/>
  </r>
  <r>
    <x v="4"/>
    <s v="Floridablanca"/>
    <s v="Nabuclod"/>
    <s v="MBA"/>
    <m/>
    <m/>
    <n v="2025"/>
    <d v="2025-10-10T00:00:00"/>
    <s v="R3-2025-034341"/>
    <x v="0"/>
    <m/>
    <s v="MRS"/>
    <s v="NON-OPERATIONAL"/>
    <s v="Technical Assistance"/>
  </r>
  <r>
    <x v="4"/>
    <s v="Floridablanca"/>
    <s v="Pabanlag"/>
    <s v="MBA"/>
    <m/>
    <m/>
    <n v="2025"/>
    <d v="2025-10-10T00:00:00"/>
    <s v="R3-2025-034342"/>
    <x v="0"/>
    <m/>
    <s v="MRS"/>
    <s v="OPERATIONAL"/>
    <s v="Technical Assistance"/>
  </r>
  <r>
    <x v="4"/>
    <s v="Floridablanca"/>
    <s v="Paguiruan"/>
    <s v="MBA"/>
    <m/>
    <m/>
    <n v="2024"/>
    <d v="2024-10-04T00:00:00"/>
    <m/>
    <x v="0"/>
    <m/>
    <s v="MRS"/>
    <s v="OPERATIONAL"/>
    <s v="Technical Assistance"/>
  </r>
  <r>
    <x v="4"/>
    <s v="Floridablanca"/>
    <s v="Palmayo"/>
    <s v="MBA"/>
    <m/>
    <m/>
    <n v="2024"/>
    <d v="2024-06-14T00:00:00"/>
    <m/>
    <x v="0"/>
    <m/>
    <s v="MRF"/>
    <s v="OPERATIONAL"/>
    <s v="Technical Assistance"/>
  </r>
  <r>
    <x v="3"/>
    <s v="Gerona"/>
    <s v="Don Basilio"/>
    <s v="OUTSIDE MBA"/>
    <s v="Joshua A. Capones"/>
    <s v="Jan Emerson C. Gonzales"/>
    <m/>
    <m/>
    <m/>
    <x v="0"/>
    <m/>
    <m/>
    <m/>
    <s v="For Monitoring"/>
  </r>
  <r>
    <x v="4"/>
    <s v="Floridablanca"/>
    <s v="Poblacion"/>
    <s v="MBA"/>
    <m/>
    <m/>
    <n v="2025"/>
    <d v="2025-07-02T00:00:00"/>
    <s v="R3-2025-022196"/>
    <x v="0"/>
    <m/>
    <s v="NO FACILITY"/>
    <s v="CATER BY LGU"/>
    <s v="Technical Assistance"/>
  </r>
  <r>
    <x v="4"/>
    <s v="Floridablanca"/>
    <s v="San Antonio"/>
    <s v="MBA"/>
    <m/>
    <m/>
    <n v="2024"/>
    <d v="2024-11-07T00:00:00"/>
    <m/>
    <x v="0"/>
    <m/>
    <s v="MRS"/>
    <s v="OPERATIONAL"/>
    <s v="Technical Assistance"/>
  </r>
  <r>
    <x v="4"/>
    <s v="Floridablanca"/>
    <s v="San Isidro"/>
    <s v="MBA"/>
    <m/>
    <m/>
    <n v="2024"/>
    <d v="2024-06-14T00:00:00"/>
    <m/>
    <x v="0"/>
    <m/>
    <s v="MRS"/>
    <s v="OPERATIONAL"/>
    <s v="Technical Assistance"/>
  </r>
  <r>
    <x v="4"/>
    <s v="Floridablanca"/>
    <s v="San Jose"/>
    <s v="MBA"/>
    <m/>
    <m/>
    <n v="2025"/>
    <d v="2025-04-04T00:00:00"/>
    <s v="R3-2025-011747"/>
    <x v="0"/>
    <m/>
    <s v="MRS"/>
    <s v="OPERATIONAL"/>
    <s v="Technical Assistance"/>
  </r>
  <r>
    <x v="4"/>
    <s v="Floridablanca"/>
    <s v="San Nicolas"/>
    <s v="MBA"/>
    <m/>
    <m/>
    <n v="2024"/>
    <d v="2024-11-07T00:00:00"/>
    <m/>
    <x v="0"/>
    <m/>
    <s v="MRS"/>
    <s v="OPERATIONAL"/>
    <s v="Technical Assistance"/>
  </r>
  <r>
    <x v="3"/>
    <s v="Gerona"/>
    <s v="Mabini"/>
    <s v="OUTSIDE MBA"/>
    <s v="Joshua A. Capones"/>
    <s v="Jan Emerson C. Gonzales"/>
    <m/>
    <m/>
    <m/>
    <x v="0"/>
    <m/>
    <m/>
    <m/>
    <s v="For Monitoring"/>
  </r>
  <r>
    <x v="4"/>
    <s v="Floridablanca"/>
    <s v="San Ramon"/>
    <s v="MBA"/>
    <m/>
    <m/>
    <n v="2025"/>
    <d v="2025-11-06T00:00:00"/>
    <s v="R3-2025-037394 "/>
    <x v="0"/>
    <m/>
    <s v="MRS"/>
    <s v="OPERATIONAL"/>
    <s v="Technical Assistance"/>
  </r>
  <r>
    <x v="3"/>
    <s v="Gerona"/>
    <s v="Magaspac"/>
    <s v="OUTSIDE MBA"/>
    <s v="Joshua A. Capones"/>
    <s v="Jan Emerson C. Gonzales"/>
    <m/>
    <m/>
    <m/>
    <x v="0"/>
    <m/>
    <m/>
    <m/>
    <s v="For Monitoring"/>
  </r>
  <r>
    <x v="3"/>
    <s v="Gerona"/>
    <s v="Malayep"/>
    <s v="OUTSIDE MBA"/>
    <s v="Joshua A. Capones"/>
    <s v="Jan Emerson C. Gonzales"/>
    <m/>
    <m/>
    <m/>
    <x v="0"/>
    <m/>
    <m/>
    <m/>
    <s v="For Monitoring"/>
  </r>
  <r>
    <x v="4"/>
    <s v="Floridablanca"/>
    <s v="Santo Rosario"/>
    <s v="MBA"/>
    <m/>
    <m/>
    <n v="2024"/>
    <d v="2024-11-08T00:00:00"/>
    <m/>
    <x v="0"/>
    <m/>
    <s v="MRS"/>
    <s v="OPERATIONAL"/>
    <s v="Technical Assistance"/>
  </r>
  <r>
    <x v="4"/>
    <s v="Floridablanca"/>
    <s v="Solib"/>
    <s v="MBA"/>
    <m/>
    <m/>
    <n v="2024"/>
    <d v="2024-11-07T00:00:00"/>
    <m/>
    <x v="0"/>
    <m/>
    <s v="MRS"/>
    <s v="OPERATIONAL"/>
    <s v="Technical Assistance"/>
  </r>
  <r>
    <x v="4"/>
    <s v="Floridablanca"/>
    <s v="Valdez"/>
    <s v="MBA"/>
    <m/>
    <m/>
    <n v="2024"/>
    <d v="2024-11-07T00:00:00"/>
    <m/>
    <x v="0"/>
    <m/>
    <s v="MRF"/>
    <s v="NON-OPERATIONAL"/>
    <s v="Technical Assistance"/>
  </r>
  <r>
    <x v="4"/>
    <s v="Guagua"/>
    <s v="Plaza Burgos (Pob.)"/>
    <s v="MBA"/>
    <m/>
    <m/>
    <n v="2025"/>
    <d v="2025-09-16T00:00:00"/>
    <s v="R3-2025-031228"/>
    <x v="0"/>
    <m/>
    <s v="NO FACILITY"/>
    <s v="CATER BY LGU"/>
    <s v="Technical Assistance"/>
  </r>
  <r>
    <x v="3"/>
    <s v="Gerona"/>
    <s v="Matapitap"/>
    <s v="OUTSIDE MBA"/>
    <s v="Joshua A. Capones"/>
    <s v="Jan Emerson C. Gonzales"/>
    <m/>
    <m/>
    <m/>
    <x v="0"/>
    <m/>
    <m/>
    <m/>
    <s v="For Monitoring"/>
  </r>
  <r>
    <x v="3"/>
    <s v="Gerona"/>
    <s v="Matayumcab"/>
    <s v="OUTSIDE MBA"/>
    <s v="Joshua A. Capones"/>
    <s v="Jan Emerson C. Gonzales"/>
    <m/>
    <m/>
    <m/>
    <x v="0"/>
    <m/>
    <m/>
    <m/>
    <s v="For Monitoring"/>
  </r>
  <r>
    <x v="4"/>
    <s v="Guagua"/>
    <s v="Jose Abad Santos (Siran)"/>
    <s v="MBA"/>
    <m/>
    <m/>
    <n v="2025"/>
    <d v="2025-03-05T00:00:00"/>
    <s v="R3-2025-009105"/>
    <x v="0"/>
    <m/>
    <s v="NO FACILITY"/>
    <s v="CATER BY LGU"/>
    <s v="Technical Assistance"/>
  </r>
  <r>
    <x v="3"/>
    <s v="Gerona"/>
    <s v="Oloybuaya"/>
    <s v="OUTSIDE MBA"/>
    <s v="Joshua A. Capones"/>
    <s v="Jan Emerson C. Gonzales"/>
    <m/>
    <m/>
    <m/>
    <x v="0"/>
    <m/>
    <m/>
    <m/>
    <s v="For Monitoring"/>
  </r>
  <r>
    <x v="3"/>
    <s v="Gerona"/>
    <s v="Padapada"/>
    <s v="OUTSIDE MBA"/>
    <s v="Joshua A. Capones"/>
    <s v="Jan Emerson C. Gonzales"/>
    <m/>
    <m/>
    <m/>
    <x v="0"/>
    <m/>
    <m/>
    <m/>
    <s v="For Monitoring"/>
  </r>
  <r>
    <x v="3"/>
    <s v="Gerona"/>
    <s v="Pinasling"/>
    <s v="OUTSIDE MBA"/>
    <s v="Joshua A. Capones"/>
    <s v="Jan Emerson C. Gonzales"/>
    <m/>
    <m/>
    <m/>
    <x v="0"/>
    <m/>
    <m/>
    <m/>
    <s v="For Monitoring"/>
  </r>
  <r>
    <x v="3"/>
    <s v="Gerona"/>
    <s v="Poblacion 3"/>
    <s v="OUTSIDE MBA"/>
    <s v="Joshua A. Capones"/>
    <s v="Jan Emerson C. Gonzales"/>
    <m/>
    <m/>
    <m/>
    <x v="0"/>
    <m/>
    <m/>
    <m/>
    <s v="For Monitoring"/>
  </r>
  <r>
    <x v="4"/>
    <s v="Guagua"/>
    <s v="San Isidro"/>
    <s v="MBA"/>
    <m/>
    <m/>
    <n v="2025"/>
    <d v="2025-09-16T00:00:00"/>
    <s v="R3-2025-031221"/>
    <x v="0"/>
    <m/>
    <s v="NO FACILITY"/>
    <s v="CATER BY LGU"/>
    <s v="Technical Assistance"/>
  </r>
  <r>
    <x v="3"/>
    <s v="Gerona"/>
    <s v="Rizal"/>
    <s v="OUTSIDE MBA"/>
    <s v="Joshua A. Capones"/>
    <s v="Jan Emerson C. Gonzales"/>
    <m/>
    <m/>
    <m/>
    <x v="0"/>
    <m/>
    <m/>
    <m/>
    <s v="For Monitoring"/>
  </r>
  <r>
    <x v="4"/>
    <s v="Guagua"/>
    <s v="Rizal"/>
    <s v="MBA"/>
    <m/>
    <m/>
    <n v="2025"/>
    <d v="2025-03-13T00:00:00"/>
    <s v="R3-2025-009107"/>
    <x v="0"/>
    <m/>
    <s v="NO FACILITY"/>
    <s v="CATER BY LGU"/>
    <s v="Technical Assistance"/>
  </r>
  <r>
    <x v="4"/>
    <s v="Guagua"/>
    <s v="San Agustin"/>
    <s v="MBA"/>
    <m/>
    <m/>
    <n v="2025"/>
    <d v="2025-10-14T00:00:00"/>
    <s v="R3-2025-034965"/>
    <x v="0"/>
    <m/>
    <s v="NO FACILITY"/>
    <s v="CATER BY LGU"/>
    <s v="Technical Assistance"/>
  </r>
  <r>
    <x v="4"/>
    <s v="Guagua"/>
    <s v="San Antonio"/>
    <s v="MBA"/>
    <m/>
    <m/>
    <n v="2024"/>
    <d v="2024-10-16T00:00:00"/>
    <m/>
    <x v="0"/>
    <m/>
    <s v="MRS"/>
    <s v="OPERATIONAL"/>
    <s v="Technical Assistance"/>
  </r>
  <r>
    <x v="4"/>
    <s v="Guagua"/>
    <s v="San Juan"/>
    <s v="MBA"/>
    <m/>
    <m/>
    <n v="2025"/>
    <d v="2025-09-16T00:00:00"/>
    <s v="R3-2025-031218"/>
    <x v="0"/>
    <m/>
    <s v="NO FACILITY"/>
    <s v="CATER BY LGU"/>
    <s v="Technical Assistance"/>
  </r>
  <r>
    <x v="4"/>
    <s v="Guagua"/>
    <s v="San Jose"/>
    <s v="MBA"/>
    <m/>
    <m/>
    <n v="2025"/>
    <d v="2025-04-10T00:00:00"/>
    <s v="R3-2025-012462"/>
    <x v="0"/>
    <m/>
    <s v="NO FACILITY"/>
    <s v="CATER BY LGU"/>
    <s v="Technical Assistance"/>
  </r>
  <r>
    <x v="4"/>
    <s v="Guagua"/>
    <s v="San Pablo"/>
    <s v="MBA"/>
    <m/>
    <m/>
    <n v="2025"/>
    <d v="2025-09-16T00:00:00"/>
    <s v="R3-2025-031222"/>
    <x v="0"/>
    <m/>
    <s v="NO FACILITY"/>
    <s v="CATER BY LGU"/>
    <s v="Technical Assistance"/>
  </r>
  <r>
    <x v="4"/>
    <s v="Guagua"/>
    <s v="San Juan Bautista"/>
    <s v="MBA"/>
    <m/>
    <m/>
    <n v="2025"/>
    <d v="2025-10-14T00:00:00"/>
    <s v="R3-2025-034966"/>
    <x v="0"/>
    <m/>
    <s v="NO FACILITY"/>
    <s v="CATER BY LGU"/>
    <s v="Technical Assistance"/>
  </r>
  <r>
    <x v="3"/>
    <s v="Gerona"/>
    <s v="San Antonio"/>
    <s v="OUTSIDE MBA"/>
    <s v="Joshua A. Capones"/>
    <s v="Jan Emerson C. Gonzales"/>
    <m/>
    <m/>
    <m/>
    <x v="6"/>
    <m/>
    <m/>
    <m/>
    <s v="For Monitoring"/>
  </r>
  <r>
    <x v="4"/>
    <s v="Guagua"/>
    <s v="San Matias"/>
    <s v="MBA"/>
    <m/>
    <m/>
    <n v="2025"/>
    <d v="2025-07-16T00:00:00"/>
    <s v="R3-2025-023799"/>
    <x v="0"/>
    <m/>
    <s v="NO FACILITY"/>
    <s v="CATER BY LGU"/>
    <s v="Technical Assistance"/>
  </r>
  <r>
    <x v="4"/>
    <s v="Guagua"/>
    <s v="San Miguel"/>
    <s v="MBA"/>
    <m/>
    <m/>
    <n v="2025"/>
    <d v="2025-10-14T00:00:00"/>
    <s v="R3-2025-034964"/>
    <x v="0"/>
    <m/>
    <s v="NO FACILITY"/>
    <s v="CATER BY LGU"/>
    <s v="Technical Assistance"/>
  </r>
  <r>
    <x v="3"/>
    <s v="Mayantoc"/>
    <s v="Nambalan"/>
    <s v="OUTSIDE MBA"/>
    <s v="Jasper Kieht B. Pili"/>
    <s v="Jan Emerson C. Gonzales"/>
    <m/>
    <m/>
    <m/>
    <x v="6"/>
    <m/>
    <m/>
    <m/>
    <s v="For Monitoring"/>
  </r>
  <r>
    <x v="3"/>
    <s v="Mayantoc"/>
    <s v="San Bartolome"/>
    <s v="OUTSIDE MBA"/>
    <s v="Jasper Kieht B. Pili"/>
    <s v="Jan Emerson C. Gonzales"/>
    <m/>
    <m/>
    <m/>
    <x v="6"/>
    <m/>
    <m/>
    <m/>
    <s v="For Monitoring"/>
  </r>
  <r>
    <x v="4"/>
    <s v="Guagua"/>
    <s v="San Pedro"/>
    <s v="MBA"/>
    <m/>
    <m/>
    <n v="2025"/>
    <d v="2025-09-16T00:00:00"/>
    <s v="R3-2025-031225 "/>
    <x v="0"/>
    <m/>
    <s v="NO FACILITY"/>
    <s v="CATER BY LGU"/>
    <s v="Technical Assistance"/>
  </r>
  <r>
    <x v="4"/>
    <s v="Guagua"/>
    <s v="San Rafael"/>
    <s v="MBA"/>
    <m/>
    <m/>
    <n v="2025"/>
    <d v="2025-09-16T00:00:00"/>
    <s v="R3-2025-031226"/>
    <x v="0"/>
    <m/>
    <s v="NO FACILITY"/>
    <s v="CATER BY LGU"/>
    <s v="Technical Assistance"/>
  </r>
  <r>
    <x v="4"/>
    <s v="Guagua"/>
    <s v="Santa Filomena (Pob.)"/>
    <s v="MBA"/>
    <m/>
    <m/>
    <n v="2025"/>
    <d v="2025-09-16T00:00:00"/>
    <s v="R3-2025-031229"/>
    <x v="0"/>
    <m/>
    <s v="NO FACILITY"/>
    <s v="CATER BY LGU"/>
    <s v="Technical Assistance"/>
  </r>
  <r>
    <x v="4"/>
    <s v="Guagua"/>
    <s v="San Roque"/>
    <s v="MBA"/>
    <m/>
    <m/>
    <n v="2025"/>
    <d v="2025-03-13T00:00:00"/>
    <s v="R3-2025-009108"/>
    <x v="0"/>
    <m/>
    <s v="NO FACILITY"/>
    <s v="CATER BY LGU"/>
    <s v="Technical Assistance"/>
  </r>
  <r>
    <x v="3"/>
    <s v="Mayantoc"/>
    <s v="San Jose"/>
    <s v="OUTSIDE MBA"/>
    <s v="Jasper Kieht B. Pili"/>
    <s v="Jan Emerson C. Gonzales"/>
    <m/>
    <m/>
    <m/>
    <x v="6"/>
    <m/>
    <m/>
    <m/>
    <s v="For Monitoring"/>
  </r>
  <r>
    <x v="3"/>
    <s v="Mayantoc"/>
    <s v="Taldiapan"/>
    <s v="OUTSIDE MBA"/>
    <s v="Jasper Kieht B. Pili"/>
    <s v="Jan Emerson C. Gonzales"/>
    <m/>
    <m/>
    <m/>
    <x v="6"/>
    <m/>
    <m/>
    <m/>
    <s v="For Monitoring"/>
  </r>
  <r>
    <x v="3"/>
    <s v="Moncada"/>
    <s v="Poblacion 1"/>
    <s v="OUTSIDE MBA"/>
    <s v="Joshua A. Capones"/>
    <s v="Jan Emerson C. Gonzales"/>
    <m/>
    <m/>
    <m/>
    <x v="0"/>
    <m/>
    <m/>
    <m/>
    <s v="For Monitoring"/>
  </r>
  <r>
    <x v="4"/>
    <s v="Guagua"/>
    <s v="Santo Cristo"/>
    <s v="MBA"/>
    <m/>
    <m/>
    <n v="2025"/>
    <d v="2025-10-14T00:00:00"/>
    <s v="R3-2025-034959"/>
    <x v="0"/>
    <m/>
    <s v="NO FACILITY"/>
    <s v="CATER BY LGU"/>
    <s v="Technical Assistance"/>
  </r>
  <r>
    <x v="4"/>
    <s v="Guagua"/>
    <s v="Santo Niño (Pob.)"/>
    <s v="MBA"/>
    <m/>
    <m/>
    <n v="2025"/>
    <d v="2025-10-14T00:00:00"/>
    <s v="R3-2025-034963"/>
    <x v="0"/>
    <m/>
    <s v="NO FACILITY"/>
    <s v="CATER BY LGU"/>
    <s v="Technical Assistance"/>
  </r>
  <r>
    <x v="4"/>
    <s v="Lubao"/>
    <s v="San Roque Dau"/>
    <s v="MBA"/>
    <m/>
    <m/>
    <n v="2024"/>
    <d v="2024-09-05T00:00:00"/>
    <m/>
    <x v="0"/>
    <m/>
    <s v="MRF"/>
    <s v="OPERATIONAL"/>
    <s v="Technical Assistance"/>
  </r>
  <r>
    <x v="3"/>
    <s v="Moncada"/>
    <s v="San Juan"/>
    <s v="OUTSIDE MBA"/>
    <s v="Joshua A. Capones"/>
    <s v="Jan Emerson C. Gonzales"/>
    <m/>
    <m/>
    <m/>
    <x v="0"/>
    <m/>
    <m/>
    <m/>
    <s v="For Monitoring"/>
  </r>
  <r>
    <x v="3"/>
    <s v="Moncada"/>
    <s v="San Roque"/>
    <s v="OUTSIDE MBA"/>
    <s v="Joshua A. Capones"/>
    <s v="Jan Emerson C. Gonzales"/>
    <m/>
    <m/>
    <m/>
    <x v="0"/>
    <m/>
    <m/>
    <m/>
    <s v="For Monitoring"/>
  </r>
  <r>
    <x v="3"/>
    <s v="Moncada"/>
    <s v="Santa Lucia East"/>
    <s v="OUTSIDE MBA"/>
    <s v="Joshua A. Capones"/>
    <s v="Jan Emerson C. Gonzales"/>
    <m/>
    <m/>
    <m/>
    <x v="0"/>
    <m/>
    <m/>
    <m/>
    <s v="For Monitoring"/>
  </r>
  <r>
    <x v="3"/>
    <s v="Moncada"/>
    <s v="Tolega Norte"/>
    <s v="OUTSIDE MBA"/>
    <s v="Joshua A. Capones"/>
    <s v="Jan Emerson C. Gonzales"/>
    <m/>
    <m/>
    <m/>
    <x v="0"/>
    <m/>
    <m/>
    <m/>
    <s v="For Monitoring"/>
  </r>
  <r>
    <x v="4"/>
    <s v="Lubao"/>
    <s v="Calangain"/>
    <s v="MBA"/>
    <m/>
    <m/>
    <n v="2024"/>
    <d v="2024-07-12T00:00:00"/>
    <m/>
    <x v="0"/>
    <m/>
    <s v="MRF"/>
    <s v="OPERATIONAL"/>
    <s v="Technical Assistance"/>
  </r>
  <r>
    <x v="3"/>
    <s v="Moncada"/>
    <s v="Tolega Sur"/>
    <s v="OUTSIDE MBA"/>
    <s v="Joshua A. Capones"/>
    <s v="Jan Emerson C. Gonzales"/>
    <m/>
    <m/>
    <m/>
    <x v="0"/>
    <m/>
    <m/>
    <m/>
    <s v="For Monitoring"/>
  </r>
  <r>
    <x v="3"/>
    <s v="Moncada"/>
    <s v="Villa"/>
    <s v="OUTSIDE MBA"/>
    <s v="Joshua A. Capones"/>
    <s v="Jan Emerson C. Gonzales"/>
    <m/>
    <m/>
    <m/>
    <x v="0"/>
    <m/>
    <m/>
    <m/>
    <s v="For Monitoring"/>
  </r>
  <r>
    <x v="5"/>
    <s v="City Of Olongapo"/>
    <s v="Mabayuan"/>
    <s v="OUTSIDE MBA"/>
    <s v="Larizze Ann A. Santos"/>
    <s v="Jun D. Guillermo"/>
    <m/>
    <m/>
    <m/>
    <x v="6"/>
    <m/>
    <m/>
    <m/>
    <s v="For Monitoring"/>
  </r>
  <r>
    <x v="5"/>
    <s v="San Antonio_Z"/>
    <s v="Santiago"/>
    <s v="OUTSIDE MBA"/>
    <s v="Ryan Ace R. Angel"/>
    <s v="Jun D. Guillermo"/>
    <m/>
    <m/>
    <m/>
    <x v="6"/>
    <m/>
    <m/>
    <m/>
    <s v="For Monitoring"/>
  </r>
  <r>
    <x v="4"/>
    <s v="Lubao"/>
    <s v="Lourdes"/>
    <s v="MBA"/>
    <m/>
    <m/>
    <n v="2025"/>
    <d v="2025-05-14T00:00:00"/>
    <s v="R3-2025-016266"/>
    <x v="0"/>
    <m/>
    <s v="NO FACILITY"/>
    <s v="CATER BY LGU"/>
    <s v="Technical Assistance"/>
  </r>
  <r>
    <x v="4"/>
    <s v="Lubao"/>
    <s v="Prado Siongco"/>
    <s v="MBA"/>
    <m/>
    <m/>
    <n v="2025"/>
    <d v="2025-05-14T00:00:00"/>
    <s v="R3-2025-016265"/>
    <x v="0"/>
    <m/>
    <s v="NO FACILITY"/>
    <s v="CATER BY LGU"/>
    <s v="Technical Assistance"/>
  </r>
  <r>
    <x v="2"/>
    <s v="Calumpit"/>
    <s v="San Miguel"/>
    <s v="MBA"/>
    <s v="Ronaldo P. Roque, Jr."/>
    <s v="Diozelle L. Cabalar"/>
    <m/>
    <m/>
    <m/>
    <x v="3"/>
    <m/>
    <m/>
    <m/>
    <s v="For Monitoring"/>
  </r>
  <r>
    <x v="2"/>
    <s v="Calumpit"/>
    <s v="Santa Lucia"/>
    <s v="MBA"/>
    <s v="Ronaldo P. Roque, Jr."/>
    <s v="Diozelle L. Cabalar"/>
    <m/>
    <m/>
    <m/>
    <x v="3"/>
    <m/>
    <m/>
    <m/>
    <s v="For Monitoring"/>
  </r>
  <r>
    <x v="2"/>
    <s v="City of Malolos (Capital)"/>
    <s v="Calero"/>
    <s v="MBA"/>
    <s v="Ronaldo P. Roque, Jr."/>
    <s v="Diozelle L. Cabalar"/>
    <m/>
    <m/>
    <m/>
    <x v="0"/>
    <m/>
    <m/>
    <m/>
    <s v="For Monitoring"/>
  </r>
  <r>
    <x v="2"/>
    <s v="City of Malolos (Capital)"/>
    <s v="Caliligawan"/>
    <s v="MBA"/>
    <s v="Ronaldo P. Roque, Jr."/>
    <s v="Diozelle L. Cabalar"/>
    <m/>
    <m/>
    <m/>
    <x v="0"/>
    <m/>
    <m/>
    <m/>
    <s v="For Monitoring"/>
  </r>
  <r>
    <x v="4"/>
    <s v="Lubao"/>
    <s v="San Isidro"/>
    <s v="MBA"/>
    <m/>
    <m/>
    <n v="2025"/>
    <d v="2025-05-15T00:00:00"/>
    <s v="R3-2025-016260"/>
    <x v="0"/>
    <m/>
    <s v="MRF"/>
    <s v="OPERATIONAL"/>
    <s v="Technical Assistance"/>
  </r>
  <r>
    <x v="2"/>
    <s v="City of Malolos (Capital)"/>
    <s v="Canalate"/>
    <s v="MBA"/>
    <s v="Ronaldo P. Roque, Jr."/>
    <s v="Diozelle L. Cabalar"/>
    <m/>
    <m/>
    <m/>
    <x v="0"/>
    <m/>
    <m/>
    <m/>
    <s v="For Monitoring"/>
  </r>
  <r>
    <x v="2"/>
    <s v="City of Meycauayan"/>
    <s v="Caingin"/>
    <s v="MBA"/>
    <s v="James Wilson T. Peña"/>
    <s v="Diozelle L. Cabalar"/>
    <m/>
    <m/>
    <m/>
    <x v="3"/>
    <m/>
    <m/>
    <m/>
    <s v="For Monitoring"/>
  </r>
  <r>
    <x v="4"/>
    <s v="Lubao"/>
    <s v="San Juan (Pob.)"/>
    <s v="MBA"/>
    <m/>
    <m/>
    <n v="2024"/>
    <d v="2024-07-12T00:00:00"/>
    <m/>
    <x v="0"/>
    <m/>
    <s v="MRF"/>
    <s v="OPERATIONAL"/>
    <s v="Technical Assistance"/>
  </r>
  <r>
    <x v="2"/>
    <s v="City of San Jose Del Monte"/>
    <s v="Minuyan III"/>
    <s v="MBA"/>
    <s v="James Wilson T. Peña"/>
    <s v="Diozelle L. Cabalar"/>
    <m/>
    <m/>
    <m/>
    <x v="0"/>
    <m/>
    <m/>
    <m/>
    <s v="For Monitoring"/>
  </r>
  <r>
    <x v="4"/>
    <s v="Lubao"/>
    <s v="San Miguel"/>
    <s v="MBA"/>
    <m/>
    <m/>
    <n v="2024"/>
    <d v="2024-04-11T00:00:00"/>
    <m/>
    <x v="0"/>
    <m/>
    <m/>
    <m/>
    <s v="Technical Assistance"/>
  </r>
  <r>
    <x v="4"/>
    <s v="Lubao"/>
    <s v="San Nicolas 1st (Pob.)"/>
    <s v="MBA"/>
    <m/>
    <m/>
    <n v="2024"/>
    <d v="2024-04-12T00:00:00"/>
    <m/>
    <x v="0"/>
    <m/>
    <m/>
    <m/>
    <s v="Technical Assistance"/>
  </r>
  <r>
    <x v="4"/>
    <s v="Lubao"/>
    <s v="San Nicolas 2nd"/>
    <s v="MBA"/>
    <m/>
    <m/>
    <n v="2024"/>
    <d v="2024-04-05T00:00:00"/>
    <m/>
    <x v="0"/>
    <m/>
    <m/>
    <m/>
    <s v="Technical Assistance"/>
  </r>
  <r>
    <x v="2"/>
    <s v="City of San Jose Del Monte"/>
    <s v="Minuyan IV"/>
    <s v="MBA"/>
    <s v="James Wilson T. Peña"/>
    <s v="Diozelle L. Cabalar"/>
    <m/>
    <m/>
    <m/>
    <x v="0"/>
    <m/>
    <m/>
    <m/>
    <s v="For Monitoring"/>
  </r>
  <r>
    <x v="2"/>
    <s v="City of San Jose Del Monte"/>
    <s v="Minuyan Proper"/>
    <s v="MBA"/>
    <s v="James Wilson T. Peña"/>
    <s v="Diozelle L. Cabalar"/>
    <m/>
    <m/>
    <m/>
    <x v="0"/>
    <m/>
    <m/>
    <m/>
    <s v="For Monitoring"/>
  </r>
  <r>
    <x v="2"/>
    <s v="City of San Jose Del Monte"/>
    <s v="Minuyan V"/>
    <s v="MBA"/>
    <s v="James Wilson T. Peña"/>
    <s v="Diozelle L. Cabalar"/>
    <m/>
    <m/>
    <m/>
    <x v="0"/>
    <m/>
    <m/>
    <m/>
    <s v="For Monitoring"/>
  </r>
  <r>
    <x v="2"/>
    <s v="San Ildefonso"/>
    <s v="Buhol na Mangga"/>
    <s v="MBA"/>
    <s v="VACANT"/>
    <s v="Diozelle L. Cabalar"/>
    <m/>
    <m/>
    <m/>
    <x v="0"/>
    <m/>
    <m/>
    <m/>
    <s v="For Monitoring"/>
  </r>
  <r>
    <x v="4"/>
    <s v="Lubao"/>
    <s v="San Roque Arbol"/>
    <s v="MBA"/>
    <m/>
    <m/>
    <n v="2025"/>
    <d v="2025-05-14T00:00:00"/>
    <s v="R3-2025-016261"/>
    <x v="0"/>
    <m/>
    <s v="MRF"/>
    <s v="OPERATIONAL"/>
    <s v="Technical Assistance"/>
  </r>
  <r>
    <x v="4"/>
    <s v="Lubao"/>
    <s v="San Vicente"/>
    <s v="MBA"/>
    <m/>
    <m/>
    <n v="2024"/>
    <d v="2024-04-04T00:00:00"/>
    <m/>
    <x v="0"/>
    <m/>
    <m/>
    <m/>
    <s v="Technical Assistance"/>
  </r>
  <r>
    <x v="4"/>
    <s v="Lubao"/>
    <s v="Santa Barbara"/>
    <s v="MBA"/>
    <m/>
    <m/>
    <n v="2024"/>
    <d v="2024-10-08T00:00:00"/>
    <m/>
    <x v="0"/>
    <m/>
    <s v="MRS"/>
    <s v="OPERATIONAL"/>
    <s v="Technical Assistance"/>
  </r>
  <r>
    <x v="4"/>
    <s v="Lubao"/>
    <s v="Santa Catalina"/>
    <s v="MBA"/>
    <m/>
    <m/>
    <n v="2024"/>
    <d v="2024-10-08T00:00:00"/>
    <m/>
    <x v="0"/>
    <m/>
    <s v="MRS"/>
    <s v="CATER BY LGU"/>
    <s v="Technical Assistance"/>
  </r>
  <r>
    <x v="2"/>
    <s v="San Ildefonso"/>
    <s v="Bulusukan"/>
    <s v="MBA"/>
    <s v="VACANT"/>
    <s v="Diozelle L. Cabalar"/>
    <m/>
    <m/>
    <m/>
    <x v="0"/>
    <m/>
    <m/>
    <m/>
    <s v="For Monitoring"/>
  </r>
  <r>
    <x v="2"/>
    <s v="San Ildefonso"/>
    <s v="Lapnit"/>
    <s v="MBA"/>
    <s v="VACANT"/>
    <s v="Diozelle L. Cabalar"/>
    <m/>
    <m/>
    <m/>
    <x v="0"/>
    <m/>
    <m/>
    <m/>
    <s v="For Monitoring"/>
  </r>
  <r>
    <x v="2"/>
    <s v="San Ildefonso"/>
    <s v="Mataas na Parang"/>
    <s v="MBA"/>
    <s v="VACANT"/>
    <s v="Diozelle L. Cabalar"/>
    <m/>
    <m/>
    <m/>
    <x v="0"/>
    <m/>
    <m/>
    <m/>
    <s v="For Monitoring"/>
  </r>
  <r>
    <x v="4"/>
    <s v="Lubao"/>
    <s v="Santa Monica"/>
    <s v="MBA"/>
    <m/>
    <m/>
    <n v="2024"/>
    <d v="2024-10-08T00:00:00"/>
    <m/>
    <x v="0"/>
    <m/>
    <s v="MRS"/>
    <s v="CATER BY LGU"/>
    <s v="Technical Assistance"/>
  </r>
  <r>
    <x v="2"/>
    <s v="San Ildefonso"/>
    <s v="Matimbubong"/>
    <s v="MBA"/>
    <s v="VACANT"/>
    <s v="Diozelle L. Cabalar"/>
    <m/>
    <m/>
    <m/>
    <x v="0"/>
    <m/>
    <m/>
    <m/>
    <s v="For Monitoring"/>
  </r>
  <r>
    <x v="2"/>
    <s v="San Miguel"/>
    <s v="Batasan Matanda"/>
    <s v="MBA"/>
    <s v="VACANT"/>
    <s v="Diozelle L. Cabalar"/>
    <m/>
    <m/>
    <m/>
    <x v="0"/>
    <m/>
    <m/>
    <m/>
    <s v="For Monitoring"/>
  </r>
  <r>
    <x v="2"/>
    <s v="San Miguel"/>
    <s v="Biak-na-Bato"/>
    <s v="MBA"/>
    <s v="VACANT"/>
    <s v="Diozelle L. Cabalar"/>
    <m/>
    <m/>
    <m/>
    <x v="0"/>
    <m/>
    <m/>
    <m/>
    <s v="For Monitoring"/>
  </r>
  <r>
    <x v="2"/>
    <s v="San Miguel"/>
    <s v="Biclat"/>
    <s v="MBA"/>
    <s v="VACANT"/>
    <s v="Diozelle L. Cabalar"/>
    <m/>
    <m/>
    <m/>
    <x v="0"/>
    <m/>
    <m/>
    <m/>
    <s v="For Monitoring"/>
  </r>
  <r>
    <x v="2"/>
    <s v="San Miguel"/>
    <s v="Buga"/>
    <s v="MBA"/>
    <s v="VACANT"/>
    <s v="Diozelle L. Cabalar"/>
    <m/>
    <m/>
    <m/>
    <x v="0"/>
    <m/>
    <m/>
    <m/>
    <s v="For Monitoring"/>
  </r>
  <r>
    <x v="4"/>
    <s v="Lubao"/>
    <s v="Santo Domingo"/>
    <s v="MBA"/>
    <m/>
    <m/>
    <n v="2024"/>
    <d v="2024-05-14T00:00:00"/>
    <m/>
    <x v="0"/>
    <m/>
    <m/>
    <m/>
    <s v="Technical Assistance"/>
  </r>
  <r>
    <x v="4"/>
    <s v="Lubao"/>
    <s v="Santo Niño"/>
    <s v="MBA"/>
    <m/>
    <m/>
    <n v="2025"/>
    <d v="2025-05-14T00:00:00"/>
    <s v="R3-2025-016258"/>
    <x v="0"/>
    <m/>
    <s v="NO FACILITY"/>
    <s v="CATER BY LGU"/>
    <s v="Technical Assistance"/>
  </r>
  <r>
    <x v="2"/>
    <s v="San Miguel"/>
    <s v="Buliran"/>
    <s v="MBA"/>
    <s v="VACANT"/>
    <s v="Diozelle L. Cabalar"/>
    <m/>
    <m/>
    <m/>
    <x v="0"/>
    <m/>
    <m/>
    <m/>
    <s v="For Monitoring"/>
  </r>
  <r>
    <x v="4"/>
    <s v="Mabalacat City"/>
    <s v="Duquit"/>
    <s v="MBA"/>
    <m/>
    <m/>
    <n v="2025"/>
    <d v="2025-09-16T00:00:00"/>
    <s v="R3-2025-031397"/>
    <x v="0"/>
    <m/>
    <s v="NO FACILITY"/>
    <s v="CATER BY LGU"/>
    <s v="Technical Assistance"/>
  </r>
  <r>
    <x v="2"/>
    <s v="San Miguel"/>
    <s v="Labne"/>
    <s v="MBA"/>
    <s v="VACANT"/>
    <s v="Diozelle L. Cabalar"/>
    <m/>
    <m/>
    <m/>
    <x v="0"/>
    <m/>
    <m/>
    <m/>
    <s v="For Monitoring"/>
  </r>
  <r>
    <x v="4"/>
    <s v="Mabalacat City"/>
    <s v="Bical"/>
    <s v="MBA"/>
    <m/>
    <m/>
    <n v="2025"/>
    <d v="2025-03-18T00:00:00"/>
    <s v="R3-2025-009209"/>
    <x v="0"/>
    <m/>
    <s v="NO FACILITY"/>
    <s v="CATER BY LGU"/>
    <s v="Technical Assistance"/>
  </r>
  <r>
    <x v="4"/>
    <s v="Mabalacat City"/>
    <s v="Bundagul"/>
    <s v="MBA"/>
    <m/>
    <m/>
    <n v="2025"/>
    <d v="2025-03-11T00:00:00"/>
    <s v="R3-2025-009210"/>
    <x v="0"/>
    <m/>
    <s v="NO FACILITY"/>
    <s v="CATER BY LGU"/>
    <s v="Technical Assistance"/>
  </r>
  <r>
    <x v="2"/>
    <s v="San Miguel"/>
    <s v="Masalipit"/>
    <s v="MBA"/>
    <s v="VACANT"/>
    <s v="Diozelle L. Cabalar"/>
    <m/>
    <m/>
    <m/>
    <x v="0"/>
    <m/>
    <m/>
    <m/>
    <s v="For Monitoring"/>
  </r>
  <r>
    <x v="2"/>
    <s v="San Miguel"/>
    <s v="Pacalag"/>
    <s v="MBA"/>
    <s v="VACANT"/>
    <s v="Diozelle L. Cabalar"/>
    <m/>
    <m/>
    <m/>
    <x v="0"/>
    <m/>
    <m/>
    <m/>
    <s v="For Monitoring"/>
  </r>
  <r>
    <x v="2"/>
    <s v="San Miguel"/>
    <s v="Tartaro"/>
    <s v="MBA"/>
    <s v="VACANT"/>
    <s v="Diozelle L. Cabalar"/>
    <m/>
    <m/>
    <m/>
    <x v="0"/>
    <m/>
    <m/>
    <m/>
    <s v="For Monitoring"/>
  </r>
  <r>
    <x v="2"/>
    <s v="San Miguel"/>
    <s v="Tibagan"/>
    <s v="MBA"/>
    <s v="VACANT"/>
    <s v="Diozelle L. Cabalar"/>
    <m/>
    <m/>
    <m/>
    <x v="0"/>
    <m/>
    <m/>
    <m/>
    <s v="For Monitoring"/>
  </r>
  <r>
    <x v="2"/>
    <s v="San Miguel"/>
    <s v="Tigpalas"/>
    <s v="MBA"/>
    <s v="VACANT"/>
    <s v="Diozelle L. Cabalar"/>
    <m/>
    <m/>
    <m/>
    <x v="0"/>
    <m/>
    <m/>
    <m/>
    <s v="For Monitoring"/>
  </r>
  <r>
    <x v="2"/>
    <s v="San Rafael"/>
    <s v="Caingin"/>
    <s v="MBA"/>
    <s v="VACANT"/>
    <s v="Diozelle L. Cabalar"/>
    <m/>
    <m/>
    <m/>
    <x v="0"/>
    <m/>
    <m/>
    <m/>
    <s v="For Monitoring"/>
  </r>
  <r>
    <x v="2"/>
    <s v="San Rafael"/>
    <s v="Diliman I"/>
    <s v="MBA"/>
    <s v="VACANT"/>
    <s v="Diozelle L. Cabalar"/>
    <m/>
    <m/>
    <m/>
    <x v="0"/>
    <m/>
    <m/>
    <m/>
    <s v="For Monitoring"/>
  </r>
  <r>
    <x v="6"/>
    <s v="Cabanatuan City"/>
    <s v="Aduas Centro"/>
    <s v="MBA"/>
    <s v="Christian Jem L. Buluran"/>
    <s v="Zosimo P. Suyat"/>
    <m/>
    <m/>
    <m/>
    <x v="5"/>
    <m/>
    <m/>
    <m/>
    <s v="For Monitoring"/>
  </r>
  <r>
    <x v="6"/>
    <s v="Cabanatuan City"/>
    <s v="Aduas Sur"/>
    <s v="MBA"/>
    <s v="Christian Jem L. Buluran"/>
    <s v="Zosimo P. Suyat"/>
    <m/>
    <m/>
    <m/>
    <x v="5"/>
    <m/>
    <m/>
    <m/>
    <s v="For Monitoring"/>
  </r>
  <r>
    <x v="6"/>
    <s v="Cabanatuan City"/>
    <s v="Bagong Buhay"/>
    <s v="MBA"/>
    <s v="Christian Jem L. Buluran"/>
    <s v="Zosimo P. Suyat"/>
    <m/>
    <m/>
    <m/>
    <x v="0"/>
    <m/>
    <m/>
    <m/>
    <s v="For Monitoring"/>
  </r>
  <r>
    <x v="6"/>
    <s v="Cabanatuan City"/>
    <s v="Bagong Sikat"/>
    <s v="MBA"/>
    <s v="Christian Jem L. Buluran"/>
    <s v="Zosimo P. Suyat"/>
    <m/>
    <m/>
    <m/>
    <x v="0"/>
    <m/>
    <m/>
    <m/>
    <s v="For Monitoring"/>
  </r>
  <r>
    <x v="6"/>
    <s v="Cabanatuan City"/>
    <s v="Bakero"/>
    <s v="MBA"/>
    <s v="Christian Jem L. Buluran"/>
    <s v="Zosimo P. Suyat"/>
    <m/>
    <m/>
    <m/>
    <x v="0"/>
    <m/>
    <m/>
    <m/>
    <s v="For Monitoring"/>
  </r>
  <r>
    <x v="6"/>
    <s v="Cabanatuan City"/>
    <s v="Bakod Bayan"/>
    <s v="MBA"/>
    <s v="Christian Jem L. Buluran"/>
    <s v="Zosimo P. Suyat"/>
    <m/>
    <m/>
    <m/>
    <x v="0"/>
    <m/>
    <m/>
    <m/>
    <s v="For Monitoring"/>
  </r>
  <r>
    <x v="6"/>
    <s v="Cabanatuan City"/>
    <s v="Bangad"/>
    <s v="MBA"/>
    <s v="Christian Jem L. Buluran"/>
    <s v="Zosimo P. Suyat"/>
    <m/>
    <m/>
    <m/>
    <x v="0"/>
    <m/>
    <m/>
    <m/>
    <s v="For Monitoring"/>
  </r>
  <r>
    <x v="6"/>
    <s v="Cabanatuan City"/>
    <s v="Balite"/>
    <s v="MBA"/>
    <s v="Christian Jem L. Buluran"/>
    <s v="Zosimo P. Suyat"/>
    <m/>
    <m/>
    <m/>
    <x v="0"/>
    <m/>
    <m/>
    <m/>
    <s v="For Monitoring"/>
  </r>
  <r>
    <x v="6"/>
    <s v="Cabanatuan City"/>
    <s v="Bantug Bulalo"/>
    <s v="MBA"/>
    <s v="Christian Jem L. Buluran"/>
    <s v="Zosimo P. Suyat"/>
    <m/>
    <m/>
    <m/>
    <x v="0"/>
    <m/>
    <m/>
    <m/>
    <s v="For Monitoring"/>
  </r>
  <r>
    <x v="6"/>
    <s v="Cabanatuan City"/>
    <s v="Bantug Norte"/>
    <s v="MBA"/>
    <s v="Christian Jem L. Buluran"/>
    <s v="Zosimo P. Suyat"/>
    <m/>
    <m/>
    <m/>
    <x v="0"/>
    <m/>
    <m/>
    <m/>
    <s v="For Monitoring"/>
  </r>
  <r>
    <x v="4"/>
    <s v="Mabalacat City"/>
    <s v="Santa Ines"/>
    <s v="MBA"/>
    <m/>
    <m/>
    <n v="2025"/>
    <d v="2025-07-08T00:00:00"/>
    <s v="R3-2025-022983"/>
    <x v="0"/>
    <m/>
    <s v="MRS"/>
    <s v="OPERATIONAL"/>
    <s v="Technical Assistance"/>
  </r>
  <r>
    <x v="6"/>
    <s v="Cuyapo"/>
    <s v="District VII"/>
    <s v="OUTSIDE MBA"/>
    <s v="Aser A. Inocencio, Jr."/>
    <s v="Zosimo P. Suyat"/>
    <m/>
    <m/>
    <m/>
    <x v="0"/>
    <m/>
    <m/>
    <m/>
    <s v="For Monitoring"/>
  </r>
  <r>
    <x v="6"/>
    <s v="Cuyapo"/>
    <s v="Landig"/>
    <s v="OUTSIDE MBA"/>
    <s v="Aser A. Inocencio, Jr."/>
    <s v="Zosimo P. Suyat"/>
    <m/>
    <m/>
    <m/>
    <x v="0"/>
    <m/>
    <m/>
    <m/>
    <s v="For Monitoring"/>
  </r>
  <r>
    <x v="6"/>
    <s v="Cuyapo"/>
    <s v="Latap"/>
    <s v="OUTSIDE MBA"/>
    <s v="Aser A. Inocencio, Jr."/>
    <s v="Zosimo P. Suyat"/>
    <m/>
    <m/>
    <m/>
    <x v="0"/>
    <m/>
    <m/>
    <m/>
    <s v="For Monitoring"/>
  </r>
  <r>
    <x v="6"/>
    <s v="Cuyapo"/>
    <s v="Loob"/>
    <s v="OUTSIDE MBA"/>
    <s v="Aser A. Inocencio, Jr."/>
    <s v="Zosimo P. Suyat"/>
    <m/>
    <m/>
    <m/>
    <x v="0"/>
    <m/>
    <m/>
    <m/>
    <s v="For Monitoring"/>
  </r>
  <r>
    <x v="6"/>
    <s v="Cuyapo"/>
    <s v="Luna"/>
    <s v="OUTSIDE MBA"/>
    <s v="Aser A. Inocencio, Jr."/>
    <s v="Zosimo P. Suyat"/>
    <m/>
    <m/>
    <m/>
    <x v="0"/>
    <m/>
    <m/>
    <m/>
    <s v="For Monitoring"/>
  </r>
  <r>
    <x v="6"/>
    <s v="Cuyapo"/>
    <s v="Malbeg-Patalan"/>
    <s v="OUTSIDE MBA"/>
    <s v="Aser A. Inocencio, Jr."/>
    <s v="Zosimo P. Suyat"/>
    <m/>
    <m/>
    <m/>
    <x v="0"/>
    <m/>
    <m/>
    <m/>
    <s v="For Monitoring"/>
  </r>
  <r>
    <x v="4"/>
    <s v="Macabebe"/>
    <s v="Caduang Tete"/>
    <s v="MBA"/>
    <m/>
    <m/>
    <n v="2024"/>
    <d v="2024-10-04T00:00:00"/>
    <m/>
    <x v="0"/>
    <m/>
    <s v="MRS"/>
    <s v="CATER BY LGU"/>
    <s v="Technical Assistance"/>
  </r>
  <r>
    <x v="6"/>
    <s v="Cuyapo"/>
    <s v="Matindeg"/>
    <s v="OUTSIDE MBA"/>
    <s v="Aser A. Inocencio, Jr."/>
    <s v="Zosimo P. Suyat"/>
    <m/>
    <m/>
    <m/>
    <x v="0"/>
    <m/>
    <m/>
    <m/>
    <s v="For Monitoring"/>
  </r>
  <r>
    <x v="6"/>
    <s v="Guimba"/>
    <s v="Galvan"/>
    <s v="MBA"/>
    <s v="Aser A. Inocencio, Jr."/>
    <s v="Zosimo P. Suyat"/>
    <m/>
    <m/>
    <m/>
    <x v="0"/>
    <m/>
    <m/>
    <m/>
    <s v="For Monitoring"/>
  </r>
  <r>
    <x v="6"/>
    <s v="Guimba"/>
    <s v="Lamorito"/>
    <s v="MBA"/>
    <s v="Aser A. Inocencio, Jr."/>
    <s v="Zosimo P. Suyat"/>
    <m/>
    <m/>
    <m/>
    <x v="0"/>
    <m/>
    <m/>
    <m/>
    <s v="For Monitoring"/>
  </r>
  <r>
    <x v="6"/>
    <s v="Guimba"/>
    <s v="Lennec"/>
    <s v="MBA"/>
    <s v="Aser A. Inocencio, Jr."/>
    <s v="Zosimo P. Suyat"/>
    <m/>
    <m/>
    <m/>
    <x v="0"/>
    <m/>
    <m/>
    <m/>
    <s v="For Monitoring"/>
  </r>
  <r>
    <x v="6"/>
    <s v="Guimba"/>
    <s v="Macamias"/>
    <s v="MBA"/>
    <s v="Aser A. Inocencio, Jr."/>
    <s v="Zosimo P. Suyat"/>
    <m/>
    <m/>
    <m/>
    <x v="0"/>
    <m/>
    <m/>
    <m/>
    <s v="For Monitoring"/>
  </r>
  <r>
    <x v="4"/>
    <s v="Macabebe"/>
    <s v="San Esteban"/>
    <s v="MBA"/>
    <m/>
    <m/>
    <n v="2025"/>
    <d v="2025-11-07T00:00:00"/>
    <s v="R3-2025-037399"/>
    <x v="0"/>
    <m/>
    <s v="NO FACILITY"/>
    <s v="CATER BY LGU"/>
    <s v="Technical Assistance"/>
  </r>
  <r>
    <x v="6"/>
    <s v="Guimba"/>
    <s v="Macapabellag"/>
    <s v="MBA"/>
    <s v="Aser A. Inocencio, Jr."/>
    <s v="Zosimo P. Suyat"/>
    <m/>
    <m/>
    <m/>
    <x v="0"/>
    <m/>
    <m/>
    <m/>
    <s v="For Monitoring"/>
  </r>
  <r>
    <x v="4"/>
    <s v="Macabebe"/>
    <s v="San Gabriel (Pob.)"/>
    <s v="MBA"/>
    <m/>
    <m/>
    <n v="2024"/>
    <d v="2024-10-04T00:00:00"/>
    <m/>
    <x v="0"/>
    <m/>
    <s v="MRS"/>
    <s v="CATER BY LGU"/>
    <s v="Technical Assistance"/>
  </r>
  <r>
    <x v="4"/>
    <s v="Macabebe"/>
    <s v="San Isidro"/>
    <s v="MBA"/>
    <m/>
    <m/>
    <n v="2025"/>
    <d v="2025-08-15T00:00:00"/>
    <s v="R3-2025-027563"/>
    <x v="0"/>
    <m/>
    <s v="NO FACILITY"/>
    <s v="CATER BY LGU"/>
    <s v="Technical Assistance"/>
  </r>
  <r>
    <x v="4"/>
    <s v="Macabebe"/>
    <s v="San Jose"/>
    <s v="MBA"/>
    <m/>
    <m/>
    <n v="2025"/>
    <d v="2025-10-10T00:00:00"/>
    <s v="R3-2025-034606"/>
    <x v="0"/>
    <m/>
    <s v="NO FACILITY"/>
    <s v="CATER BY LGU"/>
    <s v="Technical Assistance"/>
  </r>
  <r>
    <x v="6"/>
    <s v="Guimba"/>
    <s v="Macatcatuit"/>
    <s v="MBA"/>
    <s v="Aser A. Inocencio, Jr."/>
    <s v="Zosimo P. Suyat"/>
    <m/>
    <m/>
    <m/>
    <x v="0"/>
    <m/>
    <m/>
    <m/>
    <s v="For Monitoring"/>
  </r>
  <r>
    <x v="4"/>
    <s v="Macabebe"/>
    <s v="San Rafael"/>
    <s v="MBA"/>
    <m/>
    <m/>
    <n v="2025"/>
    <d v="2025-10-10T00:00:00"/>
    <s v="R3-2025-034609"/>
    <x v="0"/>
    <m/>
    <s v="NO FACILITY"/>
    <s v="CATER BY LGU"/>
    <s v="Technical Assistance"/>
  </r>
  <r>
    <x v="6"/>
    <s v="Guimba"/>
    <s v="Manacsac"/>
    <s v="MBA"/>
    <s v="Aser A. Inocencio, Jr."/>
    <s v="Zosimo P. Suyat"/>
    <m/>
    <m/>
    <m/>
    <x v="0"/>
    <m/>
    <m/>
    <m/>
    <s v="For Monitoring"/>
  </r>
  <r>
    <x v="6"/>
    <s v="Guimba"/>
    <s v="Manggang Marikit"/>
    <s v="MBA"/>
    <s v="Aser A. Inocencio, Jr."/>
    <s v="Zosimo P. Suyat"/>
    <m/>
    <m/>
    <m/>
    <x v="0"/>
    <m/>
    <m/>
    <m/>
    <s v="For Monitoring"/>
  </r>
  <r>
    <x v="4"/>
    <s v="Macabebe"/>
    <s v="Santa Cruz (Pob.)"/>
    <s v="MBA"/>
    <m/>
    <m/>
    <n v="2025"/>
    <d v="2025-08-15T00:00:00"/>
    <s v="R3-2025-027564"/>
    <x v="0"/>
    <m/>
    <s v="NO FACILITY"/>
    <s v="CATER BY LGU"/>
    <s v="Technical Assistance"/>
  </r>
  <r>
    <x v="4"/>
    <s v="Macabebe"/>
    <s v="Santa Lutgarda"/>
    <s v="MBA"/>
    <m/>
    <m/>
    <n v="2025"/>
    <d v="2025-10-10T00:00:00"/>
    <s v="R3-2025-034611"/>
    <x v="0"/>
    <m/>
    <s v="NO FACILITY"/>
    <s v="CATER BY LGU"/>
    <s v="Technical Assistance"/>
  </r>
  <r>
    <x v="4"/>
    <s v="Macabebe"/>
    <s v="Santa Maria"/>
    <s v="MBA"/>
    <m/>
    <m/>
    <n v="2025"/>
    <d v="2025-10-10T00:00:00"/>
    <s v="R3-2025-034613"/>
    <x v="0"/>
    <m/>
    <s v="NO FACILITY"/>
    <s v="CATER BY LGU"/>
    <s v="Technical Assistance"/>
  </r>
  <r>
    <x v="4"/>
    <s v="Macabebe"/>
    <s v="Santa Rita (Pob.)"/>
    <s v="MBA"/>
    <m/>
    <m/>
    <n v="2025"/>
    <d v="2025-08-15T00:00:00"/>
    <s v="R3-2025-027566"/>
    <x v="0"/>
    <m/>
    <s v="NO FACILITY"/>
    <s v="CATER BY LGU"/>
    <s v="Technical Assistance"/>
  </r>
  <r>
    <x v="4"/>
    <s v="Macabebe"/>
    <s v="Santo Niño"/>
    <s v="MBA"/>
    <m/>
    <m/>
    <n v="2025"/>
    <d v="2025-10-10T00:00:00"/>
    <s v="R3-2025-034615"/>
    <x v="0"/>
    <m/>
    <s v="NO FACILITY"/>
    <s v="CATER BY LGU"/>
    <s v="Technical Assistance"/>
  </r>
  <r>
    <x v="4"/>
    <s v="Macabebe"/>
    <s v="Santo Rosario (Pob.)"/>
    <s v="MBA"/>
    <m/>
    <m/>
    <n v="2025"/>
    <d v="2025-08-15T00:00:00"/>
    <s v="R3-2025-027567"/>
    <x v="0"/>
    <m/>
    <s v="NO FACILITY"/>
    <s v="CATER BY LGU"/>
    <s v="Technical Assistance"/>
  </r>
  <r>
    <x v="6"/>
    <s v="Guimba"/>
    <s v="Maybubon"/>
    <s v="MBA"/>
    <s v="Aser A. Inocencio, Jr."/>
    <s v="Zosimo P. Suyat"/>
    <m/>
    <m/>
    <m/>
    <x v="0"/>
    <m/>
    <m/>
    <m/>
    <s v="For Monitoring"/>
  </r>
  <r>
    <x v="4"/>
    <s v="Macabebe"/>
    <s v="Tacasan"/>
    <s v="MBA"/>
    <m/>
    <m/>
    <n v="2025"/>
    <d v="2025-02-13T00:00:00"/>
    <s v="R3-2025-005866_x0009_"/>
    <x v="0"/>
    <m/>
    <s v="MRS"/>
    <s v="OPERATIONAL"/>
    <s v="Technical Assistance"/>
  </r>
  <r>
    <x v="6"/>
    <s v="Guimba"/>
    <s v="Naglabrahan"/>
    <s v="MBA"/>
    <s v="Aser A. Inocencio, Jr."/>
    <s v="Zosimo P. Suyat"/>
    <m/>
    <m/>
    <m/>
    <x v="0"/>
    <m/>
    <m/>
    <m/>
    <s v="For Monitoring"/>
  </r>
  <r>
    <x v="4"/>
    <s v="Magalang"/>
    <s v="Ayala"/>
    <s v="MBA"/>
    <m/>
    <m/>
    <n v="2025"/>
    <d v="2025-09-13T00:00:00"/>
    <s v="R3-2025-031400"/>
    <x v="0"/>
    <m/>
    <s v="MRF"/>
    <s v="OPERATIONAL"/>
    <s v="Technical Assistance"/>
  </r>
  <r>
    <x v="4"/>
    <s v="Magalang"/>
    <s v="La Paz"/>
    <s v="MBA"/>
    <m/>
    <m/>
    <n v="2025"/>
    <d v="2025-09-13T00:00:00"/>
    <s v="R3-2025-031405"/>
    <x v="0"/>
    <m/>
    <s v="MRF"/>
    <s v="OPERATIONAL"/>
    <s v="Technical Assistance"/>
  </r>
  <r>
    <x v="6"/>
    <s v="San Jose City"/>
    <s v="Tayabo"/>
    <s v="MBA"/>
    <s v="Hosannah R. Sabio"/>
    <s v="Zosimo P. Suyat"/>
    <m/>
    <m/>
    <m/>
    <x v="0"/>
    <m/>
    <m/>
    <m/>
    <s v="For Monitoring"/>
  </r>
  <r>
    <x v="6"/>
    <s v="San Jose City"/>
    <s v="Tondod"/>
    <s v="MBA"/>
    <s v="Hosannah R. Sabio"/>
    <s v="Zosimo P. Suyat"/>
    <m/>
    <m/>
    <m/>
    <x v="0"/>
    <m/>
    <m/>
    <m/>
    <s v="For Monitoring"/>
  </r>
  <r>
    <x v="4"/>
    <s v="Magalang"/>
    <s v="Dolores"/>
    <s v="MBA"/>
    <m/>
    <m/>
    <n v="2024"/>
    <d v="2024-10-11T00:00:00"/>
    <m/>
    <x v="0"/>
    <m/>
    <s v="MRF"/>
    <s v="OPERATIONAL"/>
    <s v="Technical Assistance"/>
  </r>
  <r>
    <x v="6"/>
    <s v="Science City of Munoz"/>
    <s v="Bantug"/>
    <s v="MBA"/>
    <s v="Aser A. Inocencio, Jr."/>
    <s v="Zosimo P. Suyat"/>
    <m/>
    <m/>
    <m/>
    <x v="0"/>
    <m/>
    <m/>
    <m/>
    <s v="For Monitoring"/>
  </r>
  <r>
    <x v="4"/>
    <s v="Magalang"/>
    <s v="San Pedro II"/>
    <s v="MBA"/>
    <m/>
    <m/>
    <n v="2025"/>
    <d v="2025-09-13T00:00:00"/>
    <s v="R3-2025-031406"/>
    <x v="0"/>
    <m/>
    <s v="MRF"/>
    <s v="OPERATIONAL"/>
    <s v="Technical Assistance"/>
  </r>
  <r>
    <x v="4"/>
    <s v="Magalang"/>
    <s v="Navaling"/>
    <s v="MBA"/>
    <m/>
    <m/>
    <n v="2024"/>
    <d v="2024-10-11T00:00:00"/>
    <m/>
    <x v="0"/>
    <m/>
    <s v="MRF"/>
    <s v="OPERATIONAL"/>
    <s v="Technical Assistance"/>
  </r>
  <r>
    <x v="4"/>
    <s v="Magalang"/>
    <s v="San Agustin"/>
    <s v="MBA"/>
    <m/>
    <m/>
    <n v="2025"/>
    <d v="2025-08-14T00:00:00"/>
    <s v="R3-2025-027312"/>
    <x v="0"/>
    <m/>
    <s v="MRF"/>
    <s v="NON-OPERATIONAL"/>
    <s v="Technical Assistance"/>
  </r>
  <r>
    <x v="4"/>
    <s v="Magalang"/>
    <s v="San Antonio"/>
    <s v="MBA"/>
    <m/>
    <m/>
    <n v="2025"/>
    <d v="2025-05-15T00:00:00"/>
    <s v="R3-2025-016233"/>
    <x v="0"/>
    <m/>
    <s v="NO FACILITY"/>
    <s v="CATER BY LGU"/>
    <s v="Technical Assistance"/>
  </r>
  <r>
    <x v="6"/>
    <s v="Science City of Munoz"/>
    <s v="Cabisuculan"/>
    <s v="MBA"/>
    <s v="Aser A. Inocencio, Jr."/>
    <s v="Zosimo P. Suyat"/>
    <m/>
    <m/>
    <m/>
    <x v="0"/>
    <m/>
    <m/>
    <m/>
    <s v="For Monitoring"/>
  </r>
  <r>
    <x v="6"/>
    <s v="Science City of Munoz"/>
    <s v="Curva"/>
    <s v="MBA"/>
    <s v="Aser A. Inocencio, Jr."/>
    <s v="Zosimo P. Suyat"/>
    <m/>
    <m/>
    <m/>
    <x v="0"/>
    <m/>
    <m/>
    <m/>
    <s v="For Monitoring"/>
  </r>
  <r>
    <x v="4"/>
    <s v="Magalang"/>
    <s v="San Isidro"/>
    <s v="MBA"/>
    <m/>
    <m/>
    <n v="2025"/>
    <d v="2025-05-15T00:00:00"/>
    <s v="R3-2025-016232"/>
    <x v="0"/>
    <m/>
    <s v="NO FACILITY"/>
    <s v="CATER BY LGU"/>
    <s v="Technical Assistance"/>
  </r>
  <r>
    <x v="6"/>
    <s v="Science City of Munoz"/>
    <s v="Licaong"/>
    <s v="MBA"/>
    <s v="Aser A. Inocencio, Jr."/>
    <s v="Zosimo P. Suyat"/>
    <m/>
    <m/>
    <m/>
    <x v="0"/>
    <m/>
    <m/>
    <m/>
    <s v="For Monitoring"/>
  </r>
  <r>
    <x v="4"/>
    <s v="Magalang"/>
    <s v="San Miguel"/>
    <s v="MBA"/>
    <m/>
    <m/>
    <n v="2024"/>
    <d v="2024-09-04T00:00:00"/>
    <m/>
    <x v="0"/>
    <m/>
    <s v="MRF"/>
    <s v="OPERATIONAL"/>
    <s v="Technical Assistance"/>
  </r>
  <r>
    <x v="4"/>
    <s v="Magalang"/>
    <s v="San Nicolas 1st (Pob.)"/>
    <s v="MBA"/>
    <m/>
    <m/>
    <n v="2025"/>
    <d v="2025-03-18T00:00:00"/>
    <s v="R3-2025-009207"/>
    <x v="0"/>
    <m/>
    <s v="NO FACILITY"/>
    <s v="CATER BY LGU"/>
    <s v="Technical Assistance"/>
  </r>
  <r>
    <x v="6"/>
    <s v="Science City of Munoz"/>
    <s v="Magtanggol"/>
    <s v="MBA"/>
    <s v="Aser A. Inocencio, Jr."/>
    <s v="Zosimo P. Suyat"/>
    <m/>
    <m/>
    <m/>
    <x v="0"/>
    <m/>
    <m/>
    <m/>
    <s v="For Monitoring"/>
  </r>
  <r>
    <x v="4"/>
    <s v="Magalang"/>
    <s v="San Pablo (Pob.)"/>
    <s v="MBA"/>
    <m/>
    <m/>
    <n v="2024"/>
    <d v="2024-09-04T00:00:00"/>
    <m/>
    <x v="0"/>
    <m/>
    <s v="MRF"/>
    <s v="OPERATIONAL"/>
    <s v="Technical Assistance"/>
  </r>
  <r>
    <x v="4"/>
    <s v="Magalang"/>
    <s v="San Pedro I"/>
    <s v="MBA"/>
    <m/>
    <m/>
    <n v="2024"/>
    <d v="2024-10-11T00:00:00"/>
    <m/>
    <x v="0"/>
    <m/>
    <s v="MRF"/>
    <s v="OPERATIONAL"/>
    <s v="Technical Assistance"/>
  </r>
  <r>
    <x v="4"/>
    <s v="Magalang"/>
    <s v="Turu"/>
    <s v="MBA"/>
    <m/>
    <m/>
    <n v="2025"/>
    <d v="2025-09-13T00:00:00"/>
    <s v=" R3-2025-031402 "/>
    <x v="0"/>
    <m/>
    <s v="MRF"/>
    <s v="OPERATIONAL"/>
    <s v="Technical Assistance"/>
  </r>
  <r>
    <x v="4"/>
    <s v="Magalang"/>
    <s v="San Roque"/>
    <s v="MBA"/>
    <m/>
    <m/>
    <n v="2024"/>
    <d v="2024-10-11T00:00:00"/>
    <m/>
    <x v="0"/>
    <m/>
    <s v="MRF"/>
    <s v="OPERATIONAL"/>
    <s v="Technical Assistance"/>
  </r>
  <r>
    <x v="4"/>
    <s v="Magalang"/>
    <s v="San Vicente"/>
    <s v="MBA"/>
    <m/>
    <m/>
    <n v="2025"/>
    <d v="2025-02-11T00:00:00"/>
    <s v="R3-2025-005425"/>
    <x v="0"/>
    <m/>
    <s v="MRF"/>
    <s v="NON-OPERATIONAL"/>
    <s v="Technical Assistance"/>
  </r>
  <r>
    <x v="4"/>
    <s v="Magalang"/>
    <s v="Santa Cruz (Pob.)"/>
    <s v="MBA"/>
    <m/>
    <m/>
    <n v="2024"/>
    <d v="2024-10-11T00:00:00"/>
    <m/>
    <x v="0"/>
    <m/>
    <s v="MRF"/>
    <s v="OPERATIONAL"/>
    <s v="Technical Assistance"/>
  </r>
  <r>
    <x v="4"/>
    <s v="Magalang"/>
    <s v="Santa Lucia"/>
    <s v="MBA"/>
    <m/>
    <m/>
    <n v="2024"/>
    <d v="2024-07-09T00:00:00"/>
    <m/>
    <x v="0"/>
    <m/>
    <s v="MRF"/>
    <s v="NON-OPERATIONAL"/>
    <s v="Technical Assistance"/>
  </r>
  <r>
    <x v="6"/>
    <s v="Science City of Munoz"/>
    <s v="Maragol"/>
    <s v="MBA"/>
    <s v="Aser A. Inocencio, Jr."/>
    <s v="Zosimo P. Suyat"/>
    <m/>
    <m/>
    <m/>
    <x v="0"/>
    <m/>
    <m/>
    <m/>
    <s v="For Monitoring"/>
  </r>
  <r>
    <x v="4"/>
    <s v="Magalang"/>
    <s v="Santo Niño"/>
    <s v="MBA"/>
    <m/>
    <m/>
    <n v="2024"/>
    <d v="2024-06-04T00:00:00"/>
    <m/>
    <x v="0"/>
    <m/>
    <m/>
    <m/>
    <s v="Technical Assistance"/>
  </r>
  <r>
    <x v="4"/>
    <s v="Magalang"/>
    <s v="Santo Rosario"/>
    <s v="MBA"/>
    <m/>
    <m/>
    <n v="2025"/>
    <d v="2025-05-15T00:00:00"/>
    <s v="R3-2025-016234"/>
    <x v="0"/>
    <m/>
    <s v="NO FACILITY"/>
    <s v="CATER BY LGU"/>
    <s v="Technical Assistance"/>
  </r>
  <r>
    <x v="6"/>
    <s v="Science City of Munoz"/>
    <s v="Matingkis"/>
    <s v="MBA"/>
    <s v="Aser A. Inocencio, Jr."/>
    <s v="Zosimo P. Suyat"/>
    <m/>
    <m/>
    <m/>
    <x v="0"/>
    <m/>
    <m/>
    <m/>
    <s v="For Monitoring"/>
  </r>
  <r>
    <x v="4"/>
    <s v="Masantol"/>
    <s v="Bagang"/>
    <s v="MBA"/>
    <m/>
    <m/>
    <n v="2024"/>
    <d v="2024-09-10T00:00:00"/>
    <m/>
    <x v="0"/>
    <m/>
    <s v="MRF"/>
    <s v="OPERATIONAL"/>
    <s v="Technical Assistance"/>
  </r>
  <r>
    <x v="6"/>
    <s v="Science City of Munoz"/>
    <s v="Naglabrahan"/>
    <s v="MBA"/>
    <s v="Aser A. Inocencio, Jr."/>
    <s v="Zosimo P. Suyat"/>
    <m/>
    <m/>
    <m/>
    <x v="0"/>
    <m/>
    <m/>
    <m/>
    <s v="For Monitoring"/>
  </r>
  <r>
    <x v="4"/>
    <s v="Masantol"/>
    <s v="Bebe Anac"/>
    <s v="MBA"/>
    <m/>
    <m/>
    <n v="2025"/>
    <d v="2025-06-10T00:00:00"/>
    <s v="R3-2025-019598"/>
    <x v="0"/>
    <m/>
    <s v="NO FACILITY"/>
    <s v="CATER BY LGU"/>
    <s v="Technical Assistance"/>
  </r>
  <r>
    <x v="4"/>
    <s v="Masantol"/>
    <s v="Bebe Matua"/>
    <s v="MBA"/>
    <m/>
    <m/>
    <n v="2025"/>
    <d v="2025-06-10T00:00:00"/>
    <s v="R3-2025-019600"/>
    <x v="0"/>
    <m/>
    <s v="NO FACILITY"/>
    <s v="CATER BY LGU"/>
    <s v="Technical Assistance"/>
  </r>
  <r>
    <x v="4"/>
    <s v="Masantol"/>
    <s v="Bulacus"/>
    <s v="MBA"/>
    <m/>
    <m/>
    <n v="2025"/>
    <d v="2025-06-10T00:00:00"/>
    <s v="R3-2025-019601"/>
    <x v="0"/>
    <m/>
    <s v="NO FACILITY"/>
    <s v="CATER BY LGU"/>
    <s v="Technical Assistance"/>
  </r>
  <r>
    <x v="4"/>
    <s v="Masantol"/>
    <s v="Cambasi"/>
    <s v="MBA"/>
    <m/>
    <m/>
    <n v="2024"/>
    <d v="2024-09-10T00:00:00"/>
    <m/>
    <x v="0"/>
    <m/>
    <s v="MRF"/>
    <s v="OPERATIONAL"/>
    <s v="Technical Assistance"/>
  </r>
  <r>
    <x v="4"/>
    <s v="Masantol"/>
    <s v="Malauli"/>
    <s v="MBA"/>
    <m/>
    <m/>
    <n v="2024"/>
    <d v="2024-08-14T00:00:00"/>
    <m/>
    <x v="0"/>
    <m/>
    <s v="MRF"/>
    <s v="OPERATIONAL"/>
    <s v="Technical Assistance"/>
  </r>
  <r>
    <x v="6"/>
    <s v="Science City of Munoz"/>
    <s v="Palusapis"/>
    <s v="MBA"/>
    <s v="Aser A. Inocencio, Jr."/>
    <s v="Zosimo P. Suyat"/>
    <m/>
    <m/>
    <m/>
    <x v="0"/>
    <m/>
    <m/>
    <m/>
    <s v="For Monitoring"/>
  </r>
  <r>
    <x v="6"/>
    <s v="Science City of Munoz"/>
    <s v="Pandalla"/>
    <s v="MBA"/>
    <s v="Aser A. Inocencio, Jr."/>
    <s v="Zosimo P. Suyat"/>
    <m/>
    <m/>
    <m/>
    <x v="0"/>
    <m/>
    <m/>
    <m/>
    <s v="For Monitoring"/>
  </r>
  <r>
    <x v="4"/>
    <s v="Masantol"/>
    <s v="Puti"/>
    <s v="MBA"/>
    <m/>
    <m/>
    <n v="2024"/>
    <d v="2024-08-14T00:00:00"/>
    <m/>
    <x v="0"/>
    <m/>
    <s v="MRF"/>
    <s v="OPERATIONAL"/>
    <s v="Technical Assistance"/>
  </r>
  <r>
    <x v="4"/>
    <s v="Masantol"/>
    <s v="Sagrada"/>
    <s v="MBA"/>
    <m/>
    <m/>
    <n v="2024"/>
    <d v="2024-08-14T00:00:00"/>
    <m/>
    <x v="0"/>
    <m/>
    <s v="MRF"/>
    <s v="OPERATIONAL"/>
    <s v="Technical Assistance"/>
  </r>
  <r>
    <x v="4"/>
    <s v="Masantol"/>
    <s v="San Agustin"/>
    <s v="MBA"/>
    <m/>
    <m/>
    <n v="2025"/>
    <d v="2025-06-10T00:00:00"/>
    <s v="R3-2025-019603"/>
    <x v="0"/>
    <m/>
    <s v="MRF"/>
    <s v="NON-OPERATIONAL"/>
    <s v="Technical Assistance"/>
  </r>
  <r>
    <x v="6"/>
    <s v="Talavera"/>
    <s v="Gulod"/>
    <s v="MBA"/>
    <s v="Gem C. Vicencio"/>
    <s v="Zosimo P. Suyat"/>
    <m/>
    <m/>
    <m/>
    <x v="0"/>
    <m/>
    <m/>
    <m/>
    <s v="For Monitoring"/>
  </r>
  <r>
    <x v="6"/>
    <s v="Talavera"/>
    <s v="Homestead I"/>
    <s v="MBA"/>
    <s v="Gem C. Vicencio"/>
    <s v="Zosimo P. Suyat"/>
    <m/>
    <m/>
    <m/>
    <x v="0"/>
    <m/>
    <m/>
    <m/>
    <s v="For Monitoring"/>
  </r>
  <r>
    <x v="6"/>
    <s v="Talavera"/>
    <s v="Kinalanguyan"/>
    <s v="MBA"/>
    <s v="Gem C. Vicencio"/>
    <s v="Zosimo P. Suyat"/>
    <m/>
    <m/>
    <m/>
    <x v="0"/>
    <m/>
    <m/>
    <m/>
    <s v="For Monitoring"/>
  </r>
  <r>
    <x v="4"/>
    <s v="Masantol"/>
    <s v="San Pedro"/>
    <s v="MBA"/>
    <m/>
    <m/>
    <n v="2025"/>
    <d v="2025-06-10T00:00:00"/>
    <s v="R3-2025-019604"/>
    <x v="0"/>
    <m/>
    <s v="MRF"/>
    <s v="NON-OPERATIONAL"/>
    <s v="Technical Assistance"/>
  </r>
  <r>
    <x v="4"/>
    <s v="Masantol"/>
    <s v="Santa Cruz"/>
    <s v="MBA"/>
    <m/>
    <m/>
    <n v="2024"/>
    <d v="2024-09-10T00:00:00"/>
    <m/>
    <x v="0"/>
    <m/>
    <s v="MRF"/>
    <s v="OPERATIONAL"/>
    <s v="Technical Assistance"/>
  </r>
  <r>
    <x v="6"/>
    <s v="Talavera"/>
    <s v="La Torre"/>
    <s v="MBA"/>
    <s v="Gem C. Vicencio"/>
    <s v="Zosimo P. Suyat"/>
    <m/>
    <m/>
    <m/>
    <x v="0"/>
    <m/>
    <m/>
    <m/>
    <s v="For Monitoring"/>
  </r>
  <r>
    <x v="6"/>
    <s v="Talavera"/>
    <s v="Mabuhay"/>
    <s v="MBA"/>
    <s v="Gem C. Vicencio"/>
    <s v="Zosimo P. Suyat"/>
    <m/>
    <m/>
    <m/>
    <x v="0"/>
    <m/>
    <m/>
    <m/>
    <s v="For Monitoring"/>
  </r>
  <r>
    <x v="6"/>
    <s v="Talavera"/>
    <s v="Maestrang Kikay (Pob.)"/>
    <s v="MBA"/>
    <s v="Gem C. Vicencio"/>
    <s v="Zosimo P. Suyat"/>
    <m/>
    <m/>
    <m/>
    <x v="0"/>
    <m/>
    <m/>
    <m/>
    <s v="For Monitoring"/>
  </r>
  <r>
    <x v="6"/>
    <s v="Talavera"/>
    <s v="Marcos District (Pob.)"/>
    <s v="MBA"/>
    <s v="Gem C. Vicencio"/>
    <s v="Zosimo P. Suyat"/>
    <m/>
    <m/>
    <m/>
    <x v="0"/>
    <m/>
    <m/>
    <m/>
    <s v="For Monitoring"/>
  </r>
  <r>
    <x v="6"/>
    <s v="Talavera"/>
    <s v="Pag-asa (Pob.)"/>
    <s v="MBA"/>
    <s v="Gem C. Vicencio"/>
    <s v="Zosimo P. Suyat"/>
    <m/>
    <m/>
    <m/>
    <x v="0"/>
    <m/>
    <m/>
    <m/>
    <s v="For Monitoring"/>
  </r>
  <r>
    <x v="6"/>
    <s v="Talugtug"/>
    <s v="Sampaloc"/>
    <s v="MBA"/>
    <s v="Aser A. Inocencio, Jr."/>
    <s v="Zosimo P. Suyat"/>
    <m/>
    <m/>
    <m/>
    <x v="0"/>
    <m/>
    <m/>
    <m/>
    <s v="For Monitoring"/>
  </r>
  <r>
    <x v="6"/>
    <s v="Talugtug"/>
    <s v="Santa Catalina"/>
    <s v="MBA"/>
    <s v="Aser A. Inocencio, Jr."/>
    <s v="Zosimo P. Suyat"/>
    <m/>
    <m/>
    <m/>
    <x v="0"/>
    <m/>
    <m/>
    <m/>
    <s v="For Monitoring"/>
  </r>
  <r>
    <x v="6"/>
    <s v="Talugtug"/>
    <s v="Santo Domingo"/>
    <s v="MBA"/>
    <s v="Aser A. Inocencio, Jr."/>
    <s v="Zosimo P. Suyat"/>
    <m/>
    <m/>
    <m/>
    <x v="0"/>
    <m/>
    <m/>
    <m/>
    <s v="For Monitoring"/>
  </r>
  <r>
    <x v="6"/>
    <s v="Talugtug"/>
    <s v="Saringaya"/>
    <s v="MBA"/>
    <s v="Aser A. Inocencio, Jr."/>
    <s v="Zosimo P. Suyat"/>
    <m/>
    <m/>
    <m/>
    <x v="0"/>
    <m/>
    <m/>
    <m/>
    <s v="For Monitoring"/>
  </r>
  <r>
    <x v="6"/>
    <s v="Talugtug"/>
    <s v="Saverona"/>
    <s v="MBA"/>
    <s v="Aser A. Inocencio, Jr."/>
    <s v="Zosimo P. Suyat"/>
    <m/>
    <m/>
    <m/>
    <x v="0"/>
    <m/>
    <m/>
    <m/>
    <s v="For Monitoring"/>
  </r>
  <r>
    <x v="4"/>
    <s v="Arayat"/>
    <s v="Matamo"/>
    <s v="MBA"/>
    <s v="Roger T. Encarnacion II"/>
    <s v="Jun D. Guillermo"/>
    <m/>
    <m/>
    <m/>
    <x v="0"/>
    <m/>
    <m/>
    <m/>
    <s v="For Monitoring"/>
  </r>
  <r>
    <x v="4"/>
    <s v="Arayat"/>
    <s v="Poblacion"/>
    <s v="MBA"/>
    <s v="Roger T. Encarnacion II"/>
    <s v="Jun D. Guillermo"/>
    <m/>
    <m/>
    <m/>
    <x v="0"/>
    <m/>
    <m/>
    <m/>
    <s v="For Monitoring"/>
  </r>
  <r>
    <x v="4"/>
    <s v="Mexico"/>
    <s v="Camuning"/>
    <s v="MBA"/>
    <m/>
    <m/>
    <n v="2025"/>
    <d v="2025-04-10T00:00:00"/>
    <s v="R3-2025-012496"/>
    <x v="0"/>
    <m/>
    <s v="NO FACILITY"/>
    <s v="CATER BY LGU"/>
    <s v="Technical Assistance"/>
  </r>
  <r>
    <x v="4"/>
    <s v="Arayat"/>
    <s v="San Agustin Norte"/>
    <s v="MBA"/>
    <s v="Roger T. Encarnacion II"/>
    <s v="Jun D. Guillermo"/>
    <m/>
    <m/>
    <m/>
    <x v="0"/>
    <m/>
    <m/>
    <m/>
    <s v="For Monitoring"/>
  </r>
  <r>
    <x v="4"/>
    <s v="Arayat"/>
    <s v="San Antonio"/>
    <s v="MBA"/>
    <s v="Roger T. Encarnacion II"/>
    <s v="Jun D. Guillermo"/>
    <m/>
    <m/>
    <m/>
    <x v="0"/>
    <m/>
    <m/>
    <m/>
    <s v="For Monitoring"/>
  </r>
  <r>
    <x v="4"/>
    <s v="Candaba"/>
    <s v="Barangca"/>
    <s v="MBA"/>
    <s v="Roger T. Encarnacion II"/>
    <s v="Jun D. Guillermo"/>
    <m/>
    <m/>
    <m/>
    <x v="0"/>
    <m/>
    <m/>
    <m/>
    <s v="For Monitoring"/>
  </r>
  <r>
    <x v="4"/>
    <s v="Lubao"/>
    <s v="San Antonio"/>
    <s v="MBA"/>
    <s v="VACANT"/>
    <s v="Jun D. Guillermo"/>
    <m/>
    <m/>
    <m/>
    <x v="0"/>
    <m/>
    <m/>
    <m/>
    <s v="For Monitoring"/>
  </r>
  <r>
    <x v="4"/>
    <s v="Lubao"/>
    <s v="San Francisco"/>
    <s v="MBA"/>
    <s v="VACANT"/>
    <s v="Jun D. Guillermo"/>
    <m/>
    <m/>
    <m/>
    <x v="0"/>
    <m/>
    <m/>
    <m/>
    <s v="For Monitoring"/>
  </r>
  <r>
    <x v="4"/>
    <s v="Mexico"/>
    <s v="Eden"/>
    <s v="MBA"/>
    <m/>
    <m/>
    <n v="2025"/>
    <d v="2025-04-10T00:00:00"/>
    <s v="R3-2025-012495"/>
    <x v="0"/>
    <m/>
    <s v="NO FACILITY"/>
    <s v="CATER BY LGU"/>
    <s v="Technical Assistance"/>
  </r>
  <r>
    <x v="4"/>
    <s v="Lubao"/>
    <s v="San Jose Apunan"/>
    <s v="MBA"/>
    <s v="VACANT"/>
    <s v="Jun D. Guillermo"/>
    <m/>
    <m/>
    <m/>
    <x v="0"/>
    <m/>
    <m/>
    <m/>
    <s v="For Monitoring"/>
  </r>
  <r>
    <x v="4"/>
    <s v="Lubao"/>
    <s v="Santa Cruz"/>
    <s v="MBA"/>
    <s v="VACANT"/>
    <s v="Jun D. Guillermo"/>
    <m/>
    <m/>
    <m/>
    <x v="0"/>
    <m/>
    <m/>
    <m/>
    <s v="For Monitoring"/>
  </r>
  <r>
    <x v="4"/>
    <s v="Lubao"/>
    <s v="Santa Lucia (Pob.)"/>
    <s v="MBA"/>
    <s v="VACANT"/>
    <s v="Jun D. Guillermo"/>
    <m/>
    <m/>
    <m/>
    <x v="0"/>
    <m/>
    <m/>
    <m/>
    <s v="For Monitoring"/>
  </r>
  <r>
    <x v="4"/>
    <s v="Mabalacat City"/>
    <s v="San Joaquin"/>
    <s v="MBA"/>
    <s v="Roger T. Encarnacion II"/>
    <s v="Jun D. Guillermo"/>
    <m/>
    <m/>
    <m/>
    <x v="0"/>
    <m/>
    <m/>
    <m/>
    <s v="For Monitoring"/>
  </r>
  <r>
    <x v="4"/>
    <s v="Mabalacat City"/>
    <s v="Santa Maria"/>
    <s v="MBA"/>
    <s v="Roger T. Encarnacion II"/>
    <s v="Jun D. Guillermo"/>
    <m/>
    <m/>
    <m/>
    <x v="0"/>
    <m/>
    <m/>
    <m/>
    <s v="For Monitoring"/>
  </r>
  <r>
    <x v="4"/>
    <s v="Mabalacat City"/>
    <s v="Santo Rosario"/>
    <s v="MBA"/>
    <s v="Roger T. Encarnacion II"/>
    <s v="Jun D. Guillermo"/>
    <m/>
    <m/>
    <m/>
    <x v="0"/>
    <m/>
    <m/>
    <m/>
    <s v="For Monitoring"/>
  </r>
  <r>
    <x v="4"/>
    <s v="Mabalacat City"/>
    <s v="Sapang Balen"/>
    <s v="MBA"/>
    <s v="Roger T. Encarnacion II"/>
    <s v="Jun D. Guillermo"/>
    <m/>
    <m/>
    <m/>
    <x v="0"/>
    <m/>
    <m/>
    <m/>
    <s v="For Monitoring"/>
  </r>
  <r>
    <x v="4"/>
    <s v="Mabalacat City"/>
    <s v="Sapang Biabas"/>
    <s v="MBA"/>
    <s v="Roger T. Encarnacion II"/>
    <s v="Jun D. Guillermo"/>
    <m/>
    <m/>
    <m/>
    <x v="0"/>
    <m/>
    <m/>
    <m/>
    <s v="For Monitoring"/>
  </r>
  <r>
    <x v="4"/>
    <s v="Macabebe"/>
    <s v="San Francisco"/>
    <s v="MBA"/>
    <s v="Glaiza S. Gaza"/>
    <s v="John Sherwin Y. Loquellano"/>
    <m/>
    <m/>
    <m/>
    <x v="0"/>
    <m/>
    <m/>
    <m/>
    <s v="For Monitoring"/>
  </r>
  <r>
    <x v="4"/>
    <s v="Macabebe"/>
    <s v="San Juan"/>
    <s v="MBA"/>
    <s v="Glaiza S. Gaza"/>
    <s v="John Sherwin Y. Loquellano"/>
    <m/>
    <m/>
    <m/>
    <x v="0"/>
    <m/>
    <m/>
    <m/>
    <s v="For Monitoring"/>
  </r>
  <r>
    <x v="4"/>
    <s v="Macabebe"/>
    <s v="San Roque"/>
    <s v="MBA"/>
    <s v="Glaiza S. Gaza"/>
    <s v="John Sherwin Y. Loquellano"/>
    <m/>
    <m/>
    <m/>
    <x v="0"/>
    <m/>
    <m/>
    <m/>
    <s v="For Monitoring"/>
  </r>
  <r>
    <x v="4"/>
    <s v="Macabebe"/>
    <s v="San Vicente"/>
    <s v="MBA"/>
    <s v="Glaiza S. Gaza"/>
    <s v="John Sherwin Y. Loquellano"/>
    <m/>
    <m/>
    <m/>
    <x v="0"/>
    <m/>
    <m/>
    <m/>
    <s v="For Monitoring"/>
  </r>
  <r>
    <x v="4"/>
    <s v="Macabebe"/>
    <s v="Saplad David"/>
    <s v="MBA"/>
    <s v="Glaiza S. Gaza"/>
    <s v="John Sherwin Y. Loquellano"/>
    <m/>
    <m/>
    <m/>
    <x v="0"/>
    <m/>
    <m/>
    <m/>
    <s v="For Monitoring"/>
  </r>
  <r>
    <x v="4"/>
    <s v="Mexico"/>
    <s v="Lagundi"/>
    <s v="MBA"/>
    <s v="Roger T. Encarnacion II"/>
    <s v="Jun D. Guillermo"/>
    <m/>
    <m/>
    <m/>
    <x v="0"/>
    <m/>
    <m/>
    <m/>
    <s v="For Monitoring"/>
  </r>
  <r>
    <x v="4"/>
    <s v="Mexico"/>
    <s v="Masangsang"/>
    <s v="MBA"/>
    <s v="Roger T. Encarnacion II"/>
    <s v="Jun D. Guillermo"/>
    <m/>
    <m/>
    <m/>
    <x v="0"/>
    <m/>
    <m/>
    <m/>
    <s v="For Monitoring"/>
  </r>
  <r>
    <x v="4"/>
    <s v="Mexico"/>
    <s v="Pandacaqui"/>
    <s v="MBA"/>
    <s v="Roger T. Encarnacion II"/>
    <s v="Jun D. Guillermo"/>
    <m/>
    <m/>
    <m/>
    <x v="0"/>
    <m/>
    <m/>
    <m/>
    <s v="For Monitoring"/>
  </r>
  <r>
    <x v="4"/>
    <s v="Mexico"/>
    <s v="Pangatlan"/>
    <s v="MBA"/>
    <s v="Roger T. Encarnacion II"/>
    <s v="Jun D. Guillermo"/>
    <m/>
    <m/>
    <m/>
    <x v="0"/>
    <m/>
    <m/>
    <m/>
    <s v="For Monitoring"/>
  </r>
  <r>
    <x v="4"/>
    <s v="Mexico"/>
    <s v="Panipuan"/>
    <s v="MBA"/>
    <s v="Roger T. Encarnacion II"/>
    <s v="Jun D. Guillermo"/>
    <m/>
    <m/>
    <m/>
    <x v="0"/>
    <m/>
    <m/>
    <m/>
    <s v="For Monitoring"/>
  </r>
  <r>
    <x v="4"/>
    <s v="Porac"/>
    <s v="Villa Maria"/>
    <s v="MBA"/>
    <s v="Elyza A. Evilla"/>
    <s v="John Sherwin Y. Loquellano"/>
    <m/>
    <m/>
    <m/>
    <x v="0"/>
    <m/>
    <m/>
    <m/>
    <s v="For Monitoring"/>
  </r>
  <r>
    <x v="4"/>
    <s v="San Luis"/>
    <s v="San Agustin"/>
    <s v="MBA"/>
    <s v="Glaiza S. Gaza"/>
    <s v="John Sherwin Y. Loquellano"/>
    <m/>
    <m/>
    <m/>
    <x v="0"/>
    <m/>
    <m/>
    <m/>
    <s v="For Monitoring"/>
  </r>
  <r>
    <x v="4"/>
    <s v="San Luis"/>
    <s v="San Isidro"/>
    <s v="MBA"/>
    <s v="Glaiza S. Gaza"/>
    <s v="John Sherwin Y. Loquellano"/>
    <m/>
    <m/>
    <m/>
    <x v="0"/>
    <m/>
    <m/>
    <m/>
    <s v="For Monitoring"/>
  </r>
  <r>
    <x v="4"/>
    <s v="San Luis"/>
    <s v="San Nicolas"/>
    <s v="MBA"/>
    <s v="Glaiza S. Gaza"/>
    <s v="John Sherwin Y. Loquellano"/>
    <m/>
    <m/>
    <m/>
    <x v="0"/>
    <m/>
    <m/>
    <m/>
    <s v="For Monitoring"/>
  </r>
  <r>
    <x v="4"/>
    <s v="San Luis"/>
    <s v="Santa Catalina"/>
    <s v="MBA"/>
    <s v="Glaiza S. Gaza"/>
    <s v="John Sherwin Y. Loquellano"/>
    <m/>
    <m/>
    <m/>
    <x v="0"/>
    <m/>
    <m/>
    <m/>
    <s v="For Monitoring"/>
  </r>
  <r>
    <x v="3"/>
    <s v="Gerona"/>
    <s v="San Jose"/>
    <s v="OUTSIDE MBA"/>
    <s v="Joshua A. Capones"/>
    <s v="Jan Emerson C. Gonzales"/>
    <m/>
    <m/>
    <m/>
    <x v="5"/>
    <m/>
    <m/>
    <m/>
    <s v="For Monitoring"/>
  </r>
  <r>
    <x v="3"/>
    <s v="Gerona"/>
    <s v="Singat"/>
    <s v="OUTSIDE MBA"/>
    <s v="Joshua A. Capones"/>
    <s v="Jan Emerson C. Gonzales"/>
    <m/>
    <m/>
    <m/>
    <x v="5"/>
    <m/>
    <m/>
    <m/>
    <s v="For Monitoring"/>
  </r>
  <r>
    <x v="3"/>
    <s v="Gerona"/>
    <s v="Tagumbao"/>
    <s v="OUTSIDE MBA"/>
    <s v="Joshua A. Capones"/>
    <s v="Jan Emerson C. Gonzales"/>
    <m/>
    <m/>
    <m/>
    <x v="5"/>
    <m/>
    <m/>
    <m/>
    <s v="For Monitoring"/>
  </r>
  <r>
    <x v="3"/>
    <s v="Gerona"/>
    <s v="Tangcaran"/>
    <s v="OUTSIDE MBA"/>
    <s v="Joshua A. Capones"/>
    <s v="Jan Emerson C. Gonzales"/>
    <m/>
    <m/>
    <m/>
    <x v="5"/>
    <m/>
    <m/>
    <m/>
    <s v="For Monitoring"/>
  </r>
  <r>
    <x v="3"/>
    <s v="Gerona"/>
    <s v="Villa Paz"/>
    <s v="OUTSIDE MBA"/>
    <s v="Joshua A. Capones"/>
    <s v="Jan Emerson C. Gonzales"/>
    <m/>
    <m/>
    <m/>
    <x v="5"/>
    <m/>
    <m/>
    <m/>
    <s v="For Monitoring"/>
  </r>
  <r>
    <x v="3"/>
    <s v="Paniqui"/>
    <s v="Balaoang"/>
    <s v="OUTSIDE MBA"/>
    <s v="Joshua A. Capones"/>
    <s v="Jan Emerson C. Gonzales"/>
    <m/>
    <m/>
    <m/>
    <x v="5"/>
    <m/>
    <m/>
    <m/>
    <s v="For Monitoring"/>
  </r>
  <r>
    <x v="3"/>
    <s v="Paniqui"/>
    <s v="Barang"/>
    <s v="OUTSIDE MBA"/>
    <s v="Joshua A. Capones"/>
    <s v="Jan Emerson C. Gonzales"/>
    <m/>
    <m/>
    <m/>
    <x v="5"/>
    <m/>
    <m/>
    <m/>
    <s v="For Monitoring"/>
  </r>
  <r>
    <x v="3"/>
    <s v="Paniqui"/>
    <s v="Brillante"/>
    <s v="OUTSIDE MBA"/>
    <s v="Joshua A. Capones"/>
    <s v="Jan Emerson C. Gonzales"/>
    <m/>
    <m/>
    <m/>
    <x v="5"/>
    <m/>
    <m/>
    <m/>
    <s v="For Monitoring"/>
  </r>
  <r>
    <x v="3"/>
    <s v="Paniqui"/>
    <s v="Burgos"/>
    <s v="OUTSIDE MBA"/>
    <s v="Joshua A. Capones"/>
    <s v="Jan Emerson C. Gonzales"/>
    <m/>
    <m/>
    <m/>
    <x v="5"/>
    <m/>
    <m/>
    <m/>
    <s v="For Monitoring"/>
  </r>
  <r>
    <x v="4"/>
    <s v="Minalin"/>
    <s v="Bulac"/>
    <s v="MBA"/>
    <m/>
    <m/>
    <n v="2024"/>
    <d v="2024-05-14T00:00:00"/>
    <m/>
    <x v="0"/>
    <m/>
    <m/>
    <m/>
    <s v="Technical Assistance"/>
  </r>
  <r>
    <x v="3"/>
    <s v="Paniqui"/>
    <s v="Cabayaoasan"/>
    <s v="OUTSIDE MBA"/>
    <s v="Joshua A. Capones"/>
    <s v="Jan Emerson C. Gonzales"/>
    <m/>
    <m/>
    <m/>
    <x v="5"/>
    <m/>
    <m/>
    <m/>
    <s v="For Monitoring"/>
  </r>
  <r>
    <x v="4"/>
    <s v="Minalin"/>
    <s v="Lourdes"/>
    <s v="MBA"/>
    <m/>
    <m/>
    <n v="2024"/>
    <d v="2024-04-11T00:00:00"/>
    <m/>
    <x v="0"/>
    <m/>
    <m/>
    <m/>
    <s v="Technical Assistance"/>
  </r>
  <r>
    <x v="4"/>
    <s v="Minalin"/>
    <s v="Maniango"/>
    <s v="MBA"/>
    <m/>
    <m/>
    <n v="2024"/>
    <d v="2024-06-14T00:00:00"/>
    <m/>
    <x v="0"/>
    <m/>
    <m/>
    <m/>
    <s v="Technical Assistance"/>
  </r>
  <r>
    <x v="4"/>
    <s v="Minalin"/>
    <s v="San Francisco 1st"/>
    <s v="MBA"/>
    <m/>
    <m/>
    <n v="2024"/>
    <d v="2024-05-14T00:00:00"/>
    <m/>
    <x v="0"/>
    <m/>
    <m/>
    <m/>
    <s v="Technical Assistance"/>
  </r>
  <r>
    <x v="4"/>
    <s v="Minalin"/>
    <s v="San Francisco 2nd"/>
    <s v="MBA"/>
    <m/>
    <m/>
    <n v="2024"/>
    <d v="2024-05-14T00:00:00"/>
    <m/>
    <x v="0"/>
    <m/>
    <m/>
    <m/>
    <s v="Technical Assistance"/>
  </r>
  <r>
    <x v="3"/>
    <s v="Paniqui"/>
    <s v="Dapdap"/>
    <s v="OUTSIDE MBA"/>
    <s v="Joshua A. Capones"/>
    <s v="Jan Emerson C. Gonzales"/>
    <m/>
    <m/>
    <m/>
    <x v="5"/>
    <m/>
    <m/>
    <m/>
    <s v="For Monitoring"/>
  </r>
  <r>
    <x v="4"/>
    <s v="Minalin"/>
    <s v="San Nicolas (Pob.)"/>
    <s v="MBA"/>
    <m/>
    <m/>
    <n v="2024"/>
    <d v="2024-06-14T00:00:00"/>
    <m/>
    <x v="0"/>
    <m/>
    <m/>
    <m/>
    <s v="Technical Assistance"/>
  </r>
  <r>
    <x v="4"/>
    <s v="Minalin"/>
    <s v="San Pedro"/>
    <s v="MBA"/>
    <m/>
    <m/>
    <n v="2024"/>
    <d v="2024-06-14T00:00:00"/>
    <m/>
    <x v="0"/>
    <m/>
    <m/>
    <m/>
    <s v="Technical Assistance"/>
  </r>
  <r>
    <x v="4"/>
    <s v="Minalin"/>
    <s v="Santa Catalina"/>
    <s v="MBA"/>
    <m/>
    <m/>
    <n v="2024"/>
    <d v="2024-05-14T00:00:00"/>
    <m/>
    <x v="0"/>
    <m/>
    <m/>
    <m/>
    <s v="Technical Assistance"/>
  </r>
  <r>
    <x v="4"/>
    <s v="Minalin"/>
    <s v="Santa Maria"/>
    <s v="MBA"/>
    <m/>
    <m/>
    <n v="2024"/>
    <d v="2024-04-11T00:00:00"/>
    <m/>
    <x v="0"/>
    <m/>
    <m/>
    <m/>
    <s v="Technical Assistance"/>
  </r>
  <r>
    <x v="4"/>
    <s v="Minalin"/>
    <s v="Santa Rita"/>
    <s v="MBA"/>
    <m/>
    <m/>
    <n v="2024"/>
    <d v="2024-04-11T00:00:00"/>
    <m/>
    <x v="0"/>
    <m/>
    <m/>
    <m/>
    <s v="Technical Assistance"/>
  </r>
  <r>
    <x v="4"/>
    <s v="Minalin"/>
    <s v="Santo Domingo"/>
    <s v="MBA"/>
    <m/>
    <m/>
    <n v="2024"/>
    <d v="2024-04-11T00:00:00"/>
    <m/>
    <x v="0"/>
    <m/>
    <m/>
    <m/>
    <s v="Technical Assistance"/>
  </r>
  <r>
    <x v="4"/>
    <s v="Minalin"/>
    <s v="Santo Rosario (Pob.)"/>
    <s v="MBA"/>
    <m/>
    <m/>
    <n v="2024"/>
    <d v="2024-06-14T00:00:00"/>
    <m/>
    <x v="0"/>
    <m/>
    <m/>
    <m/>
    <s v="Technical Assistance"/>
  </r>
  <r>
    <x v="4"/>
    <s v="Minalin"/>
    <s v="Saplad"/>
    <s v="MBA"/>
    <m/>
    <m/>
    <n v="2024"/>
    <d v="2024-05-14T00:00:00"/>
    <m/>
    <x v="0"/>
    <m/>
    <m/>
    <m/>
    <s v="Technical Assistance"/>
  </r>
  <r>
    <x v="4"/>
    <s v="Porac"/>
    <s v="Calzadang Bayu"/>
    <s v="MBA"/>
    <m/>
    <m/>
    <n v="2025"/>
    <d v="2025-09-10T00:00:00"/>
    <s v="R3-2025-030722"/>
    <x v="0"/>
    <m/>
    <s v="NO FACILITY"/>
    <s v="CATER BY LGU"/>
    <s v="Technical Assistance"/>
  </r>
  <r>
    <x v="4"/>
    <s v="Porac"/>
    <s v="Babo Pangulo"/>
    <s v="MBA"/>
    <m/>
    <m/>
    <n v="2025"/>
    <d v="2025-08-14T00:00:00"/>
    <s v="R3-2025-027288"/>
    <x v="0"/>
    <m/>
    <s v="MRS"/>
    <s v="OPERATIONAL"/>
    <s v="Technical Assistance"/>
  </r>
  <r>
    <x v="4"/>
    <s v="Porac"/>
    <s v="Babo Sacan"/>
    <s v="MBA"/>
    <m/>
    <m/>
    <n v="2025"/>
    <d v="2025-08-14T00:00:00"/>
    <s v="R3-2025-027289"/>
    <x v="0"/>
    <m/>
    <s v="MRF"/>
    <s v="OPERATIONAL"/>
    <s v="Technical Assistance"/>
  </r>
  <r>
    <x v="3"/>
    <s v="Paniqui"/>
    <s v="Mabilang"/>
    <s v="OUTSIDE MBA"/>
    <s v="Joshua A. Capones"/>
    <s v="Jan Emerson C. Gonzales"/>
    <m/>
    <m/>
    <m/>
    <x v="5"/>
    <m/>
    <m/>
    <m/>
    <s v="For Monitoring"/>
  </r>
  <r>
    <x v="4"/>
    <s v="Porac"/>
    <s v="Manibaug Pasig"/>
    <s v="MBA"/>
    <m/>
    <m/>
    <n v="2025"/>
    <d v="2025-09-10T00:00:00"/>
    <s v="R3-2025-030723"/>
    <x v="0"/>
    <m/>
    <s v="NO FACILITY"/>
    <s v="CATER BY LGU"/>
    <s v="Technical Assistance"/>
  </r>
  <r>
    <x v="3"/>
    <s v="Bamban"/>
    <s v="San Pedro"/>
    <s v="MBA"/>
    <s v="Gretzhen M. Apolonio"/>
    <s v="Jan Emerson C. Gonzales"/>
    <m/>
    <m/>
    <m/>
    <x v="0"/>
    <m/>
    <m/>
    <m/>
    <s v="For Monitoring"/>
  </r>
  <r>
    <x v="4"/>
    <s v="Porac"/>
    <s v="Cangatba"/>
    <s v="MBA"/>
    <m/>
    <m/>
    <n v="2024"/>
    <d v="2024-04-11T00:00:00"/>
    <m/>
    <x v="0"/>
    <m/>
    <m/>
    <m/>
    <s v="Technical Assistance"/>
  </r>
  <r>
    <x v="3"/>
    <s v="Bamban"/>
    <s v="San Rafael"/>
    <s v="MBA"/>
    <s v="Gretzhen M. Apolonio"/>
    <s v="Jan Emerson C. Gonzales"/>
    <m/>
    <m/>
    <m/>
    <x v="0"/>
    <m/>
    <m/>
    <m/>
    <s v="For Monitoring"/>
  </r>
  <r>
    <x v="3"/>
    <s v="Bamban"/>
    <s v="San Vicente"/>
    <s v="MBA"/>
    <s v="Gretzhen M. Apolonio"/>
    <s v="Jan Emerson C. Gonzales"/>
    <m/>
    <m/>
    <m/>
    <x v="0"/>
    <m/>
    <m/>
    <m/>
    <s v="For Monitoring"/>
  </r>
  <r>
    <x v="3"/>
    <s v="Bamban"/>
    <s v="Virgen de los Remedios"/>
    <s v="MBA"/>
    <s v="Gretzhen M. Apolonio"/>
    <s v="Jan Emerson C. Gonzales"/>
    <m/>
    <m/>
    <m/>
    <x v="0"/>
    <m/>
    <m/>
    <m/>
    <s v="For Monitoring"/>
  </r>
  <r>
    <x v="4"/>
    <s v="Porac"/>
    <s v="Jalung"/>
    <s v="MBA"/>
    <m/>
    <m/>
    <n v="2024"/>
    <d v="2024-04-11T00:00:00"/>
    <m/>
    <x v="0"/>
    <m/>
    <m/>
    <m/>
    <s v="Technical Assistance"/>
  </r>
  <r>
    <x v="3"/>
    <s v="Concepcion"/>
    <s v="Dungan"/>
    <s v="MBA"/>
    <s v="Gretzhen M. Apolonio"/>
    <s v="Jan Emerson C. Gonzales"/>
    <m/>
    <m/>
    <m/>
    <x v="2"/>
    <m/>
    <m/>
    <m/>
    <s v="For Monitoring"/>
  </r>
  <r>
    <x v="4"/>
    <s v="Porac"/>
    <s v="Manibaug Libutad"/>
    <s v="MBA"/>
    <m/>
    <m/>
    <n v="2025"/>
    <d v="2025-08-14T00:00:00"/>
    <s v="R3-2025-027290"/>
    <x v="0"/>
    <m/>
    <s v="MRF"/>
    <s v="NON-OPERATIONAL"/>
    <s v="Technical Assistance"/>
  </r>
  <r>
    <x v="4"/>
    <s v="Porac"/>
    <s v="Manibaug Paralaya"/>
    <s v="MBA"/>
    <m/>
    <m/>
    <n v="2025"/>
    <d v="2025-06-13T00:00:00"/>
    <s v="R3-2025-019665"/>
    <x v="0"/>
    <m/>
    <s v="NO FACILITY"/>
    <s v="CATER BY LGU"/>
    <s v="Technical Assistance"/>
  </r>
  <r>
    <x v="4"/>
    <s v="Porac"/>
    <s v="Pulong Santol"/>
    <s v="MBA"/>
    <m/>
    <m/>
    <n v="2025"/>
    <d v="2025-09-10T00:00:00"/>
    <s v="R3-2025-030724"/>
    <x v="0"/>
    <m/>
    <s v="NO FACILITY"/>
    <s v="CATER BY LGU"/>
    <s v="Technical Assistance"/>
  </r>
  <r>
    <x v="3"/>
    <s v="Concepcion"/>
    <s v="Lilibangan"/>
    <s v="MBA"/>
    <s v="Gretzhen M. Apolonio"/>
    <s v="Jan Emerson C. Gonzales"/>
    <m/>
    <m/>
    <m/>
    <x v="0"/>
    <m/>
    <m/>
    <m/>
    <s v="For Monitoring"/>
  </r>
  <r>
    <x v="3"/>
    <s v="Tarlac City (Capital)"/>
    <s v="Culipat"/>
    <s v="MBA"/>
    <s v="Joshua A. Capones"/>
    <s v="Jan Emerson C. Gonzales"/>
    <m/>
    <m/>
    <m/>
    <x v="4"/>
    <m/>
    <m/>
    <m/>
    <s v="For Monitoring"/>
  </r>
  <r>
    <x v="4"/>
    <s v="Porac"/>
    <s v="Palat"/>
    <s v="MBA"/>
    <m/>
    <m/>
    <n v="2025"/>
    <d v="2025-07-03T00:00:00"/>
    <s v="R3-2025-022197"/>
    <x v="0"/>
    <m/>
    <s v="NO FACILITY"/>
    <s v="CATER BY LGU"/>
    <s v="Technical Assistance"/>
  </r>
  <r>
    <x v="3"/>
    <s v="Tarlac City (Capital)"/>
    <s v="Cut-cut I"/>
    <s v="MBA"/>
    <s v="Joshua A. Capones"/>
    <s v="Jan Emerson C. Gonzales"/>
    <m/>
    <m/>
    <m/>
    <x v="4"/>
    <m/>
    <m/>
    <m/>
    <s v="For Monitoring"/>
  </r>
  <r>
    <x v="4"/>
    <s v="Porac"/>
    <s v="Pio"/>
    <s v="MBA"/>
    <m/>
    <m/>
    <n v="2025"/>
    <d v="2025-07-09T00:00:00"/>
    <s v="R3-2025-023101"/>
    <x v="0"/>
    <m/>
    <s v="NO FACILITY"/>
    <s v="CATER BY LGU"/>
    <s v="Technical Assistance"/>
  </r>
  <r>
    <x v="4"/>
    <s v="Porac"/>
    <s v="Planas"/>
    <s v="MBA"/>
    <m/>
    <m/>
    <n v="2025"/>
    <d v="2025-02-13T00:00:00"/>
    <s v="R3-2025-005787"/>
    <x v="0"/>
    <m/>
    <s v="MRS"/>
    <s v="OPERATIONAL"/>
    <s v="Technical Assistance"/>
  </r>
  <r>
    <x v="4"/>
    <s v="Porac"/>
    <s v="Poblacion"/>
    <s v="MBA"/>
    <m/>
    <m/>
    <n v="2025"/>
    <d v="2025-08-14T00:00:00"/>
    <s v="R3-2025-027291"/>
    <x v="0"/>
    <m/>
    <s v="NO FACILITY"/>
    <s v="CATER BY LGU"/>
    <s v="Technical Assistance"/>
  </r>
  <r>
    <x v="4"/>
    <s v="Porac"/>
    <s v="Sepung Bulaun"/>
    <s v="MBA"/>
    <m/>
    <m/>
    <n v="2025"/>
    <d v="2025-09-10T00:00:00"/>
    <s v="R3-2025-030725"/>
    <x v="0"/>
    <m/>
    <s v="NO FACILITY"/>
    <s v="CATER BY LGU"/>
    <s v="Technical Assistance"/>
  </r>
  <r>
    <x v="3"/>
    <s v="Tarlac City (Capital)"/>
    <s v="Dalayap"/>
    <s v="MBA"/>
    <s v="Joshua A. Capones"/>
    <s v="Jan Emerson C. Gonzales"/>
    <m/>
    <m/>
    <m/>
    <x v="4"/>
    <m/>
    <m/>
    <m/>
    <s v="For Monitoring"/>
  </r>
  <r>
    <x v="4"/>
    <s v="Porac"/>
    <s v="San Jose Mitla"/>
    <s v="MBA"/>
    <m/>
    <m/>
    <n v="2025"/>
    <d v="2025-06-13T00:00:00"/>
    <s v="R3-2025-019666"/>
    <x v="0"/>
    <m/>
    <s v="MRS"/>
    <s v="OPERATIONAL"/>
    <s v="Technical Assistance"/>
  </r>
  <r>
    <x v="4"/>
    <s v="Porac"/>
    <s v="Santa Cruz"/>
    <s v="MBA"/>
    <m/>
    <m/>
    <n v="2025"/>
    <d v="2025-03-11T00:00:00"/>
    <s v="R3-2025-008731"/>
    <x v="0"/>
    <m/>
    <s v="NO FACILITY"/>
    <s v="CATER BY LGU"/>
    <s v="Technical Assistance"/>
  </r>
  <r>
    <x v="3"/>
    <s v="Tarlac City (Capital)"/>
    <s v="Dela Paz"/>
    <s v="MBA"/>
    <s v="Joshua A. Capones"/>
    <s v="Jan Emerson C. Gonzales"/>
    <m/>
    <m/>
    <m/>
    <x v="4"/>
    <m/>
    <m/>
    <m/>
    <s v="For Monitoring"/>
  </r>
  <r>
    <x v="3"/>
    <s v="Tarlac City (Capital)"/>
    <s v="Ligtasan"/>
    <s v="MBA"/>
    <s v="Joshua A. Capones"/>
    <s v="Jan Emerson C. Gonzales"/>
    <m/>
    <m/>
    <m/>
    <x v="4"/>
    <m/>
    <m/>
    <m/>
    <s v="For Monitoring"/>
  </r>
  <r>
    <x v="3"/>
    <s v="Tarlac City (Capital)"/>
    <s v="Lourdes"/>
    <s v="MBA"/>
    <s v="Joshua A. Capones"/>
    <s v="Jan Emerson C. Gonzales"/>
    <m/>
    <m/>
    <m/>
    <x v="4"/>
    <m/>
    <m/>
    <m/>
    <s v="For Monitoring"/>
  </r>
  <r>
    <x v="4"/>
    <s v="San Luis"/>
    <s v="San Jose"/>
    <s v="MBA"/>
    <m/>
    <m/>
    <n v="2025"/>
    <d v="2025-09-12T00:00:00"/>
    <s v="R3-2025-031361"/>
    <x v="0"/>
    <m/>
    <s v="NO FACILITY"/>
    <s v="CATER BY LGU"/>
    <s v="Technical Assistance"/>
  </r>
  <r>
    <x v="5"/>
    <s v="City Of Olongapo"/>
    <s v="New Cabalan"/>
    <s v="OUTSIDE MBA"/>
    <s v="Larizze Ann A. Santos"/>
    <s v="Jun D. Guillermo"/>
    <m/>
    <m/>
    <m/>
    <x v="0"/>
    <m/>
    <m/>
    <m/>
    <s v="For Monitoring"/>
  </r>
  <r>
    <x v="4"/>
    <s v="San Luis"/>
    <s v="San Carlos"/>
    <s v="MBA"/>
    <m/>
    <m/>
    <n v="2025"/>
    <d v="2025-04-11T00:00:00"/>
    <s v="R3-2025-012858"/>
    <x v="0"/>
    <m/>
    <s v="MRF"/>
    <s v="OPERATIONAL"/>
    <s v="Technical Assistance"/>
  </r>
  <r>
    <x v="2"/>
    <s v="City of Malolos (Capital)"/>
    <s v="Cofradia"/>
    <s v="MBA"/>
    <s v="Ronaldo P. Roque, Jr."/>
    <s v="Diozelle L. Cabalar"/>
    <m/>
    <m/>
    <m/>
    <x v="0"/>
    <m/>
    <m/>
    <m/>
    <s v="For Monitoring"/>
  </r>
  <r>
    <x v="4"/>
    <s v="San Luis"/>
    <s v="San Sebastian"/>
    <s v="MBA"/>
    <m/>
    <m/>
    <n v="2025"/>
    <d v="2025-09-12T00:00:00"/>
    <s v="R3-2025-031359"/>
    <x v="0"/>
    <m/>
    <s v="NO FACILITY"/>
    <s v="CATER BY LGU"/>
    <s v="Technical Assistance"/>
  </r>
  <r>
    <x v="4"/>
    <s v="San Luis"/>
    <s v="San Juan"/>
    <s v="MBA"/>
    <m/>
    <m/>
    <n v="2024"/>
    <d v="2024-11-12T00:00:00"/>
    <m/>
    <x v="0"/>
    <m/>
    <s v="MRF"/>
    <s v="NON-OPERATIONAL"/>
    <s v="Technical Assistance"/>
  </r>
  <r>
    <x v="2"/>
    <s v="City of Malolos (Capital)"/>
    <s v="Ligas"/>
    <s v="MBA"/>
    <s v="Ronaldo P. Roque, Jr."/>
    <s v="Diozelle L. Cabalar"/>
    <m/>
    <m/>
    <m/>
    <x v="0"/>
    <m/>
    <m/>
    <m/>
    <s v="For Monitoring"/>
  </r>
  <r>
    <x v="4"/>
    <s v="San Luis"/>
    <s v="San Roque"/>
    <s v="MBA"/>
    <m/>
    <m/>
    <n v="2025"/>
    <d v="2025-03-12T00:00:00"/>
    <s v="R3-2025-009196_x0009_"/>
    <x v="0"/>
    <m/>
    <s v="MRF"/>
    <s v="UNDER CONSTRUCTION"/>
    <s v="Technical Assistance"/>
  </r>
  <r>
    <x v="4"/>
    <s v="San Luis"/>
    <s v="Santa Cruz Poblacion"/>
    <s v="MBA"/>
    <m/>
    <m/>
    <n v="2025"/>
    <d v="2025-09-12T00:00:00"/>
    <s v="R3-2025-031357"/>
    <x v="0"/>
    <m/>
    <s v="NO FACILITY"/>
    <s v="CATER BY LGU"/>
    <s v="Technical Assistance"/>
  </r>
  <r>
    <x v="2"/>
    <s v="City of Malolos (Capital)"/>
    <s v="Masile"/>
    <s v="MBA"/>
    <s v="Ronaldo P. Roque, Jr."/>
    <s v="Diozelle L. Cabalar"/>
    <m/>
    <m/>
    <m/>
    <x v="0"/>
    <m/>
    <m/>
    <m/>
    <s v="For Monitoring"/>
  </r>
  <r>
    <x v="2"/>
    <s v="City of Malolos (Capital)"/>
    <s v="Namayan"/>
    <s v="MBA"/>
    <s v="Ronaldo P. Roque, Jr."/>
    <s v="Diozelle L. Cabalar"/>
    <m/>
    <m/>
    <m/>
    <x v="0"/>
    <m/>
    <m/>
    <m/>
    <s v="For Monitoring"/>
  </r>
  <r>
    <x v="4"/>
    <s v="San Luis"/>
    <s v="Santa Rita"/>
    <s v="MBA"/>
    <m/>
    <m/>
    <n v="2025"/>
    <d v="2025-09-12T00:00:00"/>
    <s v="R3-2025-031349"/>
    <x v="0"/>
    <m/>
    <s v="NO FACILITY"/>
    <s v="CATER BY LGU"/>
    <s v="Technical Assistance"/>
  </r>
  <r>
    <x v="4"/>
    <s v="San Luis"/>
    <s v="Santa Lucia"/>
    <s v="MBA"/>
    <m/>
    <m/>
    <n v="2025"/>
    <d v="2025-02-14T00:00:00"/>
    <s v="R3-2025-005870"/>
    <x v="0"/>
    <m/>
    <s v="MRS"/>
    <s v="OPERATIONAL"/>
    <s v="Technical Assistance"/>
  </r>
  <r>
    <x v="4"/>
    <s v="San Luis"/>
    <s v="Santa Monica"/>
    <s v="MBA"/>
    <m/>
    <m/>
    <n v="2025"/>
    <d v="2025-01-22T00:00:00"/>
    <s v="R3-2025-002093"/>
    <x v="0"/>
    <m/>
    <s v="MRS"/>
    <s v="OPERATIONAL"/>
    <s v="Technical Assistance"/>
  </r>
  <r>
    <x v="4"/>
    <s v="San Luis"/>
    <s v="Santo Tomas"/>
    <s v="MBA"/>
    <m/>
    <m/>
    <n v="2025"/>
    <d v="2025-09-12T00:00:00"/>
    <s v="R3-2025-031352"/>
    <x v="0"/>
    <m/>
    <s v="NO FACILITY"/>
    <s v="CATER BY LGU"/>
    <s v="Technical Assistance"/>
  </r>
  <r>
    <x v="2"/>
    <s v="City of Malolos (Capital)"/>
    <s v="Niugan"/>
    <s v="MBA"/>
    <s v="Ronaldo P. Roque, Jr."/>
    <s v="Diozelle L. Cabalar"/>
    <m/>
    <m/>
    <m/>
    <x v="0"/>
    <m/>
    <m/>
    <m/>
    <s v="For Monitoring"/>
  </r>
  <r>
    <x v="4"/>
    <s v="San Luis"/>
    <s v="Santo Rosario"/>
    <s v="MBA"/>
    <m/>
    <m/>
    <n v="2025"/>
    <d v="2025-08-14T00:00:00"/>
    <s v="R3-2025-027561"/>
    <x v="0"/>
    <m/>
    <s v="NO FACILITY"/>
    <s v="CATER BY LGU"/>
    <s v="Technical Assistance"/>
  </r>
  <r>
    <x v="4"/>
    <s v="San Simon"/>
    <s v="Concepcion"/>
    <s v="MBA"/>
    <m/>
    <m/>
    <n v="2025"/>
    <d v="2025-07-16T00:00:00"/>
    <s v="R3-2025-024184"/>
    <x v="0"/>
    <m/>
    <s v="MRS"/>
    <s v="OPERATIONAL"/>
    <s v="Technical Assistance"/>
  </r>
  <r>
    <x v="4"/>
    <s v="San Simon"/>
    <s v="De La Paz"/>
    <s v="MBA"/>
    <m/>
    <m/>
    <n v="2025"/>
    <d v="2025-07-08T00:00:00"/>
    <s v="R3-2025-023814"/>
    <x v="0"/>
    <m/>
    <s v="MRS"/>
    <s v="OPERATIONAL"/>
    <s v="Technical Assistance"/>
  </r>
  <r>
    <x v="4"/>
    <s v="San Simon"/>
    <s v="San Agustin"/>
    <s v="MBA"/>
    <m/>
    <m/>
    <n v="2025"/>
    <d v="2025-05-16T00:00:00"/>
    <s v="R3-2025-016436"/>
    <x v="0"/>
    <m/>
    <s v="NO FACILITY"/>
    <s v="CATER BY LGU"/>
    <s v="Technical Assistance"/>
  </r>
  <r>
    <x v="4"/>
    <s v="San Simon"/>
    <s v="San Isidro"/>
    <s v="MBA"/>
    <m/>
    <m/>
    <n v="2025"/>
    <d v="2025-03-12T00:00:00"/>
    <s v="R3-2025-009187"/>
    <x v="0"/>
    <m/>
    <s v="NO FACILITY"/>
    <s v="CATER BY LGU"/>
    <s v="Technical Assistance"/>
  </r>
  <r>
    <x v="4"/>
    <s v="San Simon"/>
    <s v="San Jose"/>
    <s v="MBA"/>
    <m/>
    <m/>
    <n v="2025"/>
    <d v="2025-02-14T00:00:00"/>
    <s v="R3-2025-005867_x0009_"/>
    <x v="0"/>
    <m/>
    <s v="MRS"/>
    <s v="OPERATIONAL"/>
    <s v="Technical Assistance"/>
  </r>
  <r>
    <x v="2"/>
    <s v="City of San Jose Del Monte"/>
    <s v="Muzon East 2"/>
    <s v="MBA"/>
    <s v="James Wilson T. Peña"/>
    <s v="Diozelle L. Cabalar"/>
    <m/>
    <m/>
    <m/>
    <x v="0"/>
    <m/>
    <m/>
    <m/>
    <s v="For Monitoring"/>
  </r>
  <r>
    <x v="4"/>
    <s v="San Simon"/>
    <s v="San Miguel"/>
    <s v="MBA"/>
    <m/>
    <m/>
    <n v="2024"/>
    <d v="2024-08-07T00:00:00"/>
    <m/>
    <x v="0"/>
    <m/>
    <s v="MRF"/>
    <s v="OPERATIONAL"/>
    <s v="Technical Assistance"/>
  </r>
  <r>
    <x v="4"/>
    <s v="San Simon"/>
    <s v="San Nicolas"/>
    <s v="MBA"/>
    <m/>
    <m/>
    <n v="2025"/>
    <d v="2025-03-02T00:00:00"/>
    <s v="R3-2025-009190"/>
    <x v="0"/>
    <m/>
    <s v="MRS"/>
    <s v="OPERATIONAL"/>
    <s v="Technical Assistance"/>
  </r>
  <r>
    <x v="4"/>
    <s v="San Simon"/>
    <s v="San Pablo Libutad"/>
    <s v="MBA"/>
    <m/>
    <m/>
    <n v="2025"/>
    <d v="2025-04-10T00:00:00"/>
    <s v="R3-2025-012814"/>
    <x v="0"/>
    <m/>
    <s v="MRS"/>
    <s v="OPERATIONAL"/>
    <s v="Technical Assistance"/>
  </r>
  <r>
    <x v="4"/>
    <s v="San Simon"/>
    <s v="San Pablo Proper"/>
    <s v="MBA"/>
    <m/>
    <m/>
    <n v="2025"/>
    <d v="2025-03-12T00:00:00"/>
    <s v="R3-2025-009191_x0009_"/>
    <x v="0"/>
    <m/>
    <s v="MRS"/>
    <s v="OPERATIONAL"/>
    <s v="Technical Assistance"/>
  </r>
  <r>
    <x v="4"/>
    <s v="San Simon"/>
    <s v="San Pedro"/>
    <s v="MBA"/>
    <m/>
    <m/>
    <n v="2025"/>
    <d v="2025-03-12T00:00:00"/>
    <s v="R3-2025-009193_x0009_"/>
    <x v="0"/>
    <m/>
    <s v="MRS"/>
    <s v="OPERATIONAL"/>
    <s v="Technical Assistance"/>
  </r>
  <r>
    <x v="4"/>
    <s v="San Simon"/>
    <s v="Santa Cruz"/>
    <s v="MBA"/>
    <m/>
    <m/>
    <n v="2024"/>
    <d v="2024-10-09T00:00:00"/>
    <m/>
    <x v="0"/>
    <m/>
    <s v="MRF"/>
    <s v="OPERATIONAL"/>
    <s v="Technical Assistance"/>
  </r>
  <r>
    <x v="2"/>
    <s v="City of San Jose Del Monte"/>
    <s v="San Manuel"/>
    <s v="MBA"/>
    <s v="James Wilson T. Peña"/>
    <s v="Diozelle L. Cabalar"/>
    <m/>
    <m/>
    <m/>
    <x v="0"/>
    <m/>
    <m/>
    <m/>
    <s v="For Monitoring"/>
  </r>
  <r>
    <x v="4"/>
    <s v="San Simon"/>
    <s v="Santo Niño"/>
    <s v="MBA"/>
    <m/>
    <m/>
    <n v="2025"/>
    <d v="2025-02-14T00:00:00"/>
    <s v="R3-2025-005869_x0009_"/>
    <x v="0"/>
    <m/>
    <s v="MRS"/>
    <s v="OPERATIONAL"/>
    <s v="Technical Assistance"/>
  </r>
  <r>
    <x v="2"/>
    <s v="City of San Jose Del Monte"/>
    <s v="San Martin"/>
    <s v="MBA"/>
    <s v="James Wilson T. Peña"/>
    <s v="Diozelle L. Cabalar"/>
    <m/>
    <m/>
    <m/>
    <x v="0"/>
    <m/>
    <m/>
    <m/>
    <s v="For Monitoring"/>
  </r>
  <r>
    <x v="4"/>
    <s v="Santo Tomas"/>
    <s v="Poblacion"/>
    <s v="MBA"/>
    <m/>
    <m/>
    <n v="2025"/>
    <d v="2025-04-10T00:00:00"/>
    <s v="R3-2025-012195"/>
    <x v="0"/>
    <m/>
    <s v="MRF"/>
    <s v="OPERATIONAL"/>
    <s v="Technical Assistance"/>
  </r>
  <r>
    <x v="4"/>
    <s v="Santo Tomas"/>
    <s v="San Bartolome"/>
    <s v="MBA"/>
    <m/>
    <m/>
    <n v="2025"/>
    <d v="2025-04-03T00:00:00"/>
    <s v="R3-2025-011238"/>
    <x v="0"/>
    <m/>
    <s v="MRF"/>
    <s v="OPERATIONAL"/>
    <s v="Technical Assistance"/>
  </r>
  <r>
    <x v="2"/>
    <s v="City of San Jose Del Monte"/>
    <s v="Santo Niño"/>
    <s v="MBA"/>
    <s v="James Wilson T. Peña"/>
    <s v="Diozelle L. Cabalar"/>
    <m/>
    <m/>
    <m/>
    <x v="0"/>
    <m/>
    <m/>
    <m/>
    <s v="For Monitoring"/>
  </r>
  <r>
    <x v="2"/>
    <s v="City of San Jose Del Monte"/>
    <s v="Santo Niño II"/>
    <s v="MBA"/>
    <s v="James Wilson T. Peña"/>
    <s v="Diozelle L. Cabalar"/>
    <m/>
    <m/>
    <m/>
    <x v="0"/>
    <m/>
    <m/>
    <m/>
    <s v="For Monitoring"/>
  </r>
  <r>
    <x v="2"/>
    <s v="San Ildefonso"/>
    <s v="Bubulong Malaki"/>
    <s v="MBA"/>
    <s v="VACANT"/>
    <s v="Diozelle L. Cabalar"/>
    <m/>
    <m/>
    <m/>
    <x v="0"/>
    <m/>
    <m/>
    <m/>
    <s v="For Monitoring"/>
  </r>
  <r>
    <x v="4"/>
    <s v="Santo Tomas"/>
    <s v="Sapa"/>
    <s v="MBA"/>
    <m/>
    <m/>
    <n v="2025"/>
    <d v="2025-05-14T00:00:00"/>
    <s v="R3-2025-016276"/>
    <x v="0"/>
    <m/>
    <s v="MRF"/>
    <s v="NON-OPERATIONAL"/>
    <s v="Technical Assistance"/>
  </r>
  <r>
    <x v="2"/>
    <s v="San Ildefonso"/>
    <s v="Nabaong Garlang"/>
    <s v="MBA"/>
    <s v="VACANT"/>
    <s v="Diozelle L. Cabalar"/>
    <m/>
    <m/>
    <m/>
    <x v="0"/>
    <m/>
    <m/>
    <m/>
    <s v="For Monitoring"/>
  </r>
  <r>
    <x v="2"/>
    <s v="San Ildefonso"/>
    <s v="Palapala"/>
    <s v="MBA"/>
    <s v="VACANT"/>
    <s v="Diozelle L. Cabalar"/>
    <m/>
    <m/>
    <m/>
    <x v="0"/>
    <m/>
    <m/>
    <m/>
    <s v="For Monitoring"/>
  </r>
  <r>
    <x v="2"/>
    <s v="San Ildefonso"/>
    <s v="Pasong Bangkal"/>
    <s v="MBA"/>
    <s v="VACANT"/>
    <s v="Diozelle L. Cabalar"/>
    <m/>
    <m/>
    <m/>
    <x v="0"/>
    <m/>
    <m/>
    <m/>
    <s v="For Monitoring"/>
  </r>
  <r>
    <x v="2"/>
    <s v="San Ildefonso"/>
    <s v="Pinaod"/>
    <s v="MBA"/>
    <s v="VACANT"/>
    <s v="Diozelle L. Cabalar"/>
    <m/>
    <m/>
    <m/>
    <x v="0"/>
    <m/>
    <m/>
    <m/>
    <s v="For Monitoring"/>
  </r>
  <r>
    <x v="2"/>
    <s v="San Miguel"/>
    <s v="Camias"/>
    <s v="MBA"/>
    <s v="VACANT"/>
    <s v="Diozelle L. Cabalar"/>
    <m/>
    <m/>
    <m/>
    <x v="0"/>
    <m/>
    <m/>
    <m/>
    <s v="For Monitoring"/>
  </r>
  <r>
    <x v="4"/>
    <s v="Sasmuan"/>
    <s v="San Antonio"/>
    <s v="MBA"/>
    <m/>
    <m/>
    <n v="2025"/>
    <d v="2025-04-10T00:00:00"/>
    <s v="R3-2025-012460"/>
    <x v="0"/>
    <m/>
    <s v="MRS"/>
    <s v="OPERATIONAL"/>
    <s v="Technical Assistance"/>
  </r>
  <r>
    <x v="2"/>
    <s v="San Miguel"/>
    <s v="Ilog-Bulo"/>
    <s v="MBA"/>
    <s v="VACANT"/>
    <s v="Diozelle L. Cabalar"/>
    <m/>
    <m/>
    <m/>
    <x v="0"/>
    <m/>
    <m/>
    <m/>
    <s v="For Monitoring"/>
  </r>
  <r>
    <x v="4"/>
    <s v="Sasmuan"/>
    <s v="San Nicolas 2nd"/>
    <s v="MBA"/>
    <m/>
    <m/>
    <n v="2025"/>
    <d v="2025-03-14T00:00:00"/>
    <s v="R3-2025-009106"/>
    <x v="0"/>
    <m/>
    <s v="NO FACILITY"/>
    <s v="CATER BY LGU"/>
    <s v="Technical Assistance"/>
  </r>
  <r>
    <x v="4"/>
    <s v="Sasmuan"/>
    <s v="San Pedro"/>
    <s v="MBA"/>
    <m/>
    <m/>
    <n v="2024"/>
    <d v="2024-10-11T00:00:00"/>
    <m/>
    <x v="0"/>
    <m/>
    <s v="MRF"/>
    <s v="OPERATIONAL"/>
    <s v="Technical Assistance"/>
  </r>
  <r>
    <x v="4"/>
    <s v="Sasmuan"/>
    <s v="Santa Lucia (Pob.)"/>
    <s v="MBA"/>
    <m/>
    <m/>
    <n v="2024"/>
    <d v="2024-05-02T00:00:00"/>
    <m/>
    <x v="0"/>
    <m/>
    <m/>
    <m/>
    <s v="Technical Assistance"/>
  </r>
  <r>
    <x v="4"/>
    <s v="Sasmuan"/>
    <s v="Santa Monica"/>
    <s v="MBA"/>
    <m/>
    <m/>
    <n v="2025"/>
    <d v="2025-04-10T00:00:00"/>
    <s v="R3-2025-012507"/>
    <x v="0"/>
    <m/>
    <s v="NO FACILITY"/>
    <s v="CATER BY LGU"/>
    <s v="Technical Assistance"/>
  </r>
  <r>
    <x v="2"/>
    <s v="San Miguel"/>
    <s v="King Kabayo"/>
    <s v="MBA"/>
    <s v="VACANT"/>
    <s v="Diozelle L. Cabalar"/>
    <m/>
    <m/>
    <m/>
    <x v="0"/>
    <m/>
    <m/>
    <m/>
    <s v="For Monitoring"/>
  </r>
  <r>
    <x v="4"/>
    <s v="Sta. Ana"/>
    <s v="San Agustin"/>
    <s v="MBA"/>
    <m/>
    <m/>
    <n v="2024"/>
    <d v="2024-09-04T00:00:00"/>
    <m/>
    <x v="0"/>
    <m/>
    <m/>
    <m/>
    <s v="Technical Assistance"/>
  </r>
  <r>
    <x v="2"/>
    <s v="San Miguel"/>
    <s v="Paliwasan"/>
    <s v="MBA"/>
    <s v="VACANT"/>
    <s v="Diozelle L. Cabalar"/>
    <m/>
    <m/>
    <m/>
    <x v="0"/>
    <m/>
    <m/>
    <m/>
    <s v="For Monitoring"/>
  </r>
  <r>
    <x v="2"/>
    <s v="San Miguel"/>
    <s v="Partida"/>
    <s v="MBA"/>
    <s v="VACANT"/>
    <s v="Diozelle L. Cabalar"/>
    <m/>
    <m/>
    <m/>
    <x v="0"/>
    <m/>
    <m/>
    <m/>
    <s v="For Monitoring"/>
  </r>
  <r>
    <x v="2"/>
    <s v="San Rafael"/>
    <s v="Maasim"/>
    <s v="MBA"/>
    <s v="VACANT"/>
    <s v="Diozelle L. Cabalar"/>
    <m/>
    <m/>
    <m/>
    <x v="0"/>
    <m/>
    <m/>
    <m/>
    <s v="For Monitoring"/>
  </r>
  <r>
    <x v="2"/>
    <s v="San Rafael"/>
    <s v="Mabalas-balas"/>
    <s v="MBA"/>
    <s v="VACANT"/>
    <s v="Diozelle L. Cabalar"/>
    <m/>
    <m/>
    <m/>
    <x v="0"/>
    <m/>
    <m/>
    <m/>
    <s v="For Monitoring"/>
  </r>
  <r>
    <x v="2"/>
    <s v="San Rafael"/>
    <s v="Maguinao"/>
    <s v="MBA"/>
    <s v="VACANT"/>
    <s v="Diozelle L. Cabalar"/>
    <m/>
    <m/>
    <m/>
    <x v="0"/>
    <m/>
    <m/>
    <m/>
    <s v="For Monitoring"/>
  </r>
  <r>
    <x v="2"/>
    <s v="San Rafael"/>
    <s v="Maronguillo"/>
    <s v="MBA"/>
    <s v="VACANT"/>
    <s v="Diozelle L. Cabalar"/>
    <m/>
    <m/>
    <m/>
    <x v="0"/>
    <m/>
    <m/>
    <m/>
    <s v="For Monitoring"/>
  </r>
  <r>
    <x v="4"/>
    <s v="Sta. Ana"/>
    <s v="San Pablo"/>
    <s v="MBA"/>
    <m/>
    <m/>
    <n v="2024"/>
    <d v="2024-09-04T00:00:00"/>
    <m/>
    <x v="0"/>
    <m/>
    <s v="MRF"/>
    <s v="NON-OPERATIONAL"/>
    <s v="Technical Assistance"/>
  </r>
  <r>
    <x v="4"/>
    <s v="Sta. Ana"/>
    <s v="San Pedro"/>
    <s v="MBA"/>
    <m/>
    <m/>
    <n v="2025"/>
    <d v="2025-04-11T00:00:00"/>
    <s v="R3-2025-012494"/>
    <x v="0"/>
    <m/>
    <s v="NO FACILITY"/>
    <s v="CATER BY LGU"/>
    <s v="Technical Assistance"/>
  </r>
  <r>
    <x v="4"/>
    <s v="Sta. Ana"/>
    <s v="San Roque"/>
    <s v="MBA"/>
    <m/>
    <m/>
    <n v="2025"/>
    <d v="2025-02-11T00:00:00"/>
    <s v="R3-2025-005424"/>
    <x v="0"/>
    <m/>
    <s v="MRF"/>
    <s v="NON-OPERATIONAL"/>
    <s v="Technical Assistance"/>
  </r>
  <r>
    <x v="4"/>
    <s v="Sta. Ana"/>
    <s v="Santa Lucia"/>
    <s v="MBA"/>
    <m/>
    <m/>
    <n v="2024"/>
    <d v="2024-09-04T00:00:00"/>
    <m/>
    <x v="0"/>
    <m/>
    <s v="MRF"/>
    <s v="NON-OPERATIONAL"/>
    <s v="Technical Assistance"/>
  </r>
  <r>
    <x v="2"/>
    <s v="San Rafael"/>
    <s v="Paco"/>
    <s v="MBA"/>
    <s v="VACANT"/>
    <s v="Diozelle L. Cabalar"/>
    <m/>
    <m/>
    <m/>
    <x v="0"/>
    <m/>
    <m/>
    <m/>
    <s v="For Monitoring"/>
  </r>
  <r>
    <x v="4"/>
    <s v="Sta. Ana"/>
    <s v="Santiago"/>
    <s v="MBA"/>
    <m/>
    <m/>
    <n v="2025"/>
    <d v="2025-03-07T00:00:00"/>
    <s v="R3-2025-009208"/>
    <x v="0"/>
    <m/>
    <s v="MRF"/>
    <s v="OPERATIONAL"/>
    <s v="Technical Assistance"/>
  </r>
  <r>
    <x v="2"/>
    <s v="San Rafael"/>
    <s v="Pantubig"/>
    <s v="MBA"/>
    <s v="VACANT"/>
    <s v="Diozelle L. Cabalar"/>
    <m/>
    <m/>
    <m/>
    <x v="0"/>
    <m/>
    <m/>
    <m/>
    <s v="For Monitoring"/>
  </r>
  <r>
    <x v="4"/>
    <s v="Sta. Rita"/>
    <s v="Becuran"/>
    <s v="MBA"/>
    <m/>
    <m/>
    <n v="2025"/>
    <d v="2025-02-12T00:00:00"/>
    <s v="R3-2025-005817"/>
    <x v="0"/>
    <m/>
    <s v="NO FACILITY"/>
    <s v="CATER BY LGU"/>
    <s v="Technical Assistance"/>
  </r>
  <r>
    <x v="6"/>
    <s v="Cabanatuan City"/>
    <s v="Barlis"/>
    <s v="MBA"/>
    <s v="Christian Jem L. Buluran"/>
    <s v="Zosimo P. Suyat"/>
    <m/>
    <m/>
    <m/>
    <x v="0"/>
    <m/>
    <m/>
    <m/>
    <s v="For Monitoring"/>
  </r>
  <r>
    <x v="4"/>
    <s v="Sta. Rita"/>
    <s v="San Agustin"/>
    <s v="MBA"/>
    <m/>
    <m/>
    <n v="2025"/>
    <d v="2025-07-16T00:00:00"/>
    <s v="R3-2025-023797"/>
    <x v="0"/>
    <m/>
    <s v="NO FACILITY"/>
    <s v="CATER BY LGU"/>
    <s v="Technical Assistance"/>
  </r>
  <r>
    <x v="4"/>
    <s v="Sta. Rita"/>
    <s v="San Basilio"/>
    <s v="MBA"/>
    <m/>
    <m/>
    <n v="2025"/>
    <d v="2025-08-07T00:00:00"/>
    <s v="R3-2025-026448"/>
    <x v="0"/>
    <m/>
    <s v="NO FACILITY"/>
    <s v="CATER BY LGU"/>
    <s v="Technical Assistance"/>
  </r>
  <r>
    <x v="4"/>
    <s v="Sta. Rita"/>
    <s v="San Isidro"/>
    <s v="MBA"/>
    <m/>
    <m/>
    <n v="2025"/>
    <d v="2025-08-07T00:00:00"/>
    <s v="R3-2025-026447"/>
    <x v="0"/>
    <m/>
    <s v="NO FACILITY"/>
    <s v="CATER BY LGU"/>
    <s v="Technical Assistance"/>
  </r>
  <r>
    <x v="4"/>
    <s v="Sta. Rita"/>
    <s v="San Jose (Pob.)"/>
    <s v="MBA"/>
    <m/>
    <m/>
    <n v="2025"/>
    <d v="2025-06-25T00:00:00"/>
    <s v="R3-2025-021481"/>
    <x v="0"/>
    <m/>
    <s v="NO FACILITY"/>
    <s v="CATER BY LGU"/>
    <s v="Technical Assistance"/>
  </r>
  <r>
    <x v="4"/>
    <s v="Sta. Rita"/>
    <s v="San Juan"/>
    <s v="MBA"/>
    <m/>
    <m/>
    <n v="2025"/>
    <d v="2025-08-07T00:00:00"/>
    <s v="R3-2025-026450"/>
    <x v="0"/>
    <m/>
    <s v="NO FACILITY"/>
    <s v="CATER BY LGU"/>
    <s v="Technical Assistance"/>
  </r>
  <r>
    <x v="6"/>
    <s v="Cabanatuan City"/>
    <s v="Bernardo District (Pob.)"/>
    <s v="MBA"/>
    <s v="Christian Jem L. Buluran"/>
    <s v="Zosimo P. Suyat"/>
    <m/>
    <m/>
    <m/>
    <x v="0"/>
    <m/>
    <m/>
    <m/>
    <s v="For Monitoring"/>
  </r>
  <r>
    <x v="4"/>
    <s v="Sta. Rita"/>
    <s v="San Vicente"/>
    <s v="MBA"/>
    <m/>
    <m/>
    <n v="2025"/>
    <d v="2025-06-13T00:00:00"/>
    <s v="R3-2025-019586"/>
    <x v="0"/>
    <m/>
    <s v="NO FACILITY"/>
    <s v="CATER BY LGU"/>
    <s v="Technical Assistance"/>
  </r>
  <r>
    <x v="4"/>
    <s v="Sta. Rita"/>
    <s v="Santa Monica"/>
    <s v="MBA"/>
    <m/>
    <m/>
    <n v="2025"/>
    <d v="2025-07-16T00:00:00"/>
    <s v="R3-2025-023798"/>
    <x v="0"/>
    <m/>
    <s v="NO FACILITY"/>
    <s v="CATER BY LGU"/>
    <s v="Technical Assistance"/>
  </r>
  <r>
    <x v="3"/>
    <s v="Anao"/>
    <s v="Casili"/>
    <s v="MBA"/>
    <m/>
    <m/>
    <n v="2025"/>
    <d v="2025-09-17T00:00:00"/>
    <s v="R3-2025-031587"/>
    <x v="0"/>
    <m/>
    <s v="MRF"/>
    <s v="OPERATIONAL"/>
    <s v="Technical Assistance"/>
  </r>
  <r>
    <x v="6"/>
    <s v="Cabanatuan City"/>
    <s v="Bonifacio District (Pob.)"/>
    <s v="MBA"/>
    <s v="Christian Jem L. Buluran"/>
    <s v="Zosimo P. Suyat"/>
    <m/>
    <m/>
    <m/>
    <x v="0"/>
    <m/>
    <m/>
    <m/>
    <s v="For Monitoring"/>
  </r>
  <r>
    <x v="6"/>
    <s v="Cabanatuan City"/>
    <s v="Bitas"/>
    <s v="MBA"/>
    <s v="Christian Jem L. Buluran"/>
    <s v="Zosimo P. Suyat"/>
    <m/>
    <m/>
    <m/>
    <x v="0"/>
    <m/>
    <m/>
    <m/>
    <s v="For Monitoring"/>
  </r>
  <r>
    <x v="6"/>
    <s v="Cabanatuan City"/>
    <s v="Calawagan"/>
    <s v="MBA"/>
    <s v="Christian Jem L. Buluran"/>
    <s v="Zosimo P. Suyat"/>
    <m/>
    <m/>
    <m/>
    <x v="0"/>
    <m/>
    <m/>
    <m/>
    <s v="For Monitoring"/>
  </r>
  <r>
    <x v="3"/>
    <s v="Anao"/>
    <s v="Carmen"/>
    <s v="MBA"/>
    <m/>
    <m/>
    <n v="2025"/>
    <d v="2025-03-13T00:00:00"/>
    <s v="R3-2025-008945"/>
    <x v="0"/>
    <m/>
    <s v="MRF"/>
    <s v="OPERATIONAL"/>
    <s v="Technical Assistance"/>
  </r>
  <r>
    <x v="3"/>
    <s v="Anao"/>
    <s v="Hernando"/>
    <s v="MBA"/>
    <m/>
    <m/>
    <n v="2025"/>
    <d v="2025-09-17T00:00:00"/>
    <s v="R3-2025-031588"/>
    <x v="0"/>
    <m/>
    <s v="MRF"/>
    <s v="OPERATIONAL"/>
    <s v="Technical Assistance"/>
  </r>
  <r>
    <x v="3"/>
    <s v="Anao"/>
    <s v="Don Ramon"/>
    <s v="MBA"/>
    <m/>
    <m/>
    <n v="2025"/>
    <d v="2025-06-13T00:00:00"/>
    <s v="R3-2025-019644"/>
    <x v="0"/>
    <m/>
    <s v="MRF"/>
    <s v="OPERATIONAL"/>
    <s v="Technical Assistance"/>
  </r>
  <r>
    <x v="3"/>
    <s v="Anao"/>
    <s v="Poblacion"/>
    <s v="MBA"/>
    <m/>
    <m/>
    <n v="2025"/>
    <d v="2025-06-13T00:00:00"/>
    <s v="R3-2025-019645"/>
    <x v="0"/>
    <m/>
    <s v="MRF"/>
    <s v="OPERATIONAL"/>
    <s v="Technical Assistance"/>
  </r>
  <r>
    <x v="6"/>
    <s v="Cabanatuan City"/>
    <s v="Campo Tinio"/>
    <s v="MBA"/>
    <s v="Christian Jem L. Buluran"/>
    <s v="Zosimo P. Suyat"/>
    <m/>
    <m/>
    <m/>
    <x v="0"/>
    <m/>
    <m/>
    <m/>
    <s v="For Monitoring"/>
  </r>
  <r>
    <x v="6"/>
    <s v="Cabanatuan City"/>
    <s v="Caridad"/>
    <s v="MBA"/>
    <s v="Christian Jem L. Buluran"/>
    <s v="Zosimo P. Suyat"/>
    <m/>
    <m/>
    <m/>
    <x v="0"/>
    <m/>
    <m/>
    <m/>
    <s v="For Monitoring"/>
  </r>
  <r>
    <x v="6"/>
    <s v="Cabanatuan City"/>
    <s v="Caudillo"/>
    <s v="MBA"/>
    <s v="Christian Jem L. Buluran"/>
    <s v="Zosimo P. Suyat"/>
    <m/>
    <m/>
    <m/>
    <x v="0"/>
    <m/>
    <m/>
    <m/>
    <s v="For Monitoring"/>
  </r>
  <r>
    <x v="3"/>
    <s v="Anao"/>
    <s v="San Jose North"/>
    <s v="MBA"/>
    <m/>
    <m/>
    <n v="2025"/>
    <d v="2025-04-04T00:00:00"/>
    <s v="R3-2025-011430"/>
    <x v="0"/>
    <m/>
    <s v="MRF"/>
    <s v="OPERATIONAL"/>
    <s v="Technical Assistance"/>
  </r>
  <r>
    <x v="3"/>
    <s v="Anao"/>
    <s v="San Jose South"/>
    <s v="MBA"/>
    <m/>
    <m/>
    <n v="2025"/>
    <d v="2025-04-04T00:00:00"/>
    <s v="R3-2025-011433"/>
    <x v="0"/>
    <m/>
    <s v="MRF"/>
    <s v="UNDER CONSTRUCTION"/>
    <s v="Technical Assistance"/>
  </r>
  <r>
    <x v="3"/>
    <s v="Anao"/>
    <s v="San Juan"/>
    <s v="MBA"/>
    <m/>
    <m/>
    <n v="2025"/>
    <d v="2025-05-16T00:00:00"/>
    <s v="R3-2025-016488"/>
    <x v="0"/>
    <m/>
    <s v="MRF"/>
    <s v="OPERATIONAL"/>
    <s v="Technical Assistance"/>
  </r>
  <r>
    <x v="3"/>
    <s v="Anao"/>
    <s v="San Roque"/>
    <s v="MBA"/>
    <m/>
    <m/>
    <n v="2025"/>
    <d v="2025-03-13T00:00:00"/>
    <s v="R3-2025-008948"/>
    <x v="0"/>
    <m/>
    <s v="MRF"/>
    <s v="OPERATIONAL"/>
    <s v="Technical Assistance"/>
  </r>
  <r>
    <x v="3"/>
    <s v="Anao"/>
    <s v="Santo Domingo"/>
    <s v="MBA"/>
    <m/>
    <m/>
    <n v="2024"/>
    <d v="2024-10-17T00:00:00"/>
    <m/>
    <x v="0"/>
    <m/>
    <s v="MRS"/>
    <s v="OPERATIONAL"/>
    <s v="Technical Assistance"/>
  </r>
  <r>
    <x v="3"/>
    <s v="Anao"/>
    <s v="Sinense"/>
    <s v="MBA"/>
    <m/>
    <m/>
    <n v="2024"/>
    <d v="2024-06-06T00:00:00"/>
    <m/>
    <x v="0"/>
    <m/>
    <m/>
    <m/>
    <s v="Technical Assistance"/>
  </r>
  <r>
    <x v="6"/>
    <s v="Cabanatuan City"/>
    <s v="Cinco-Cinco"/>
    <s v="MBA"/>
    <s v="Christian Jem L. Buluran"/>
    <s v="Zosimo P. Suyat"/>
    <m/>
    <m/>
    <m/>
    <x v="0"/>
    <m/>
    <m/>
    <m/>
    <s v="For Monitoring"/>
  </r>
  <r>
    <x v="3"/>
    <s v="Bamban"/>
    <s v="Anupul"/>
    <s v="MBA"/>
    <m/>
    <m/>
    <n v="2025"/>
    <d v="2025-03-14T00:00:00"/>
    <s v="R3-2025-009052"/>
    <x v="0"/>
    <m/>
    <s v="NO FACILITY"/>
    <s v="CATER BY LGU"/>
    <s v="Technical Assistance"/>
  </r>
  <r>
    <x v="6"/>
    <s v="Cabanatuan City"/>
    <s v="City Supermarket (Pob.)"/>
    <s v="MBA"/>
    <s v="Christian Jem L. Buluran"/>
    <s v="Zosimo P. Suyat"/>
    <m/>
    <m/>
    <m/>
    <x v="0"/>
    <m/>
    <m/>
    <m/>
    <s v="For Monitoring"/>
  </r>
  <r>
    <x v="6"/>
    <s v="Cuyapo"/>
    <s v="Maycaban"/>
    <s v="OUTSIDE MBA"/>
    <s v="Aser A. Inocencio, Jr."/>
    <s v="Zosimo P. Suyat"/>
    <m/>
    <m/>
    <m/>
    <x v="0"/>
    <m/>
    <m/>
    <m/>
    <s v="For Monitoring"/>
  </r>
  <r>
    <x v="6"/>
    <s v="Cuyapo"/>
    <s v="Nacuralan"/>
    <s v="OUTSIDE MBA"/>
    <s v="Aser A. Inocencio, Jr."/>
    <s v="Zosimo P. Suyat"/>
    <m/>
    <m/>
    <m/>
    <x v="0"/>
    <m/>
    <m/>
    <m/>
    <s v="For Monitoring"/>
  </r>
  <r>
    <x v="6"/>
    <s v="Cuyapo"/>
    <s v="Nagmisahan"/>
    <s v="OUTSIDE MBA"/>
    <s v="Aser A. Inocencio, Jr."/>
    <s v="Zosimo P. Suyat"/>
    <m/>
    <m/>
    <m/>
    <x v="0"/>
    <m/>
    <m/>
    <m/>
    <s v="For Monitoring"/>
  </r>
  <r>
    <x v="6"/>
    <s v="Cuyapo"/>
    <s v="Paitan Norte"/>
    <s v="OUTSIDE MBA"/>
    <s v="Aser A. Inocencio, Jr."/>
    <s v="Zosimo P. Suyat"/>
    <m/>
    <m/>
    <m/>
    <x v="0"/>
    <m/>
    <m/>
    <m/>
    <s v="For Monitoring"/>
  </r>
  <r>
    <x v="3"/>
    <s v="Bamban"/>
    <s v="Lourdes"/>
    <s v="MBA"/>
    <m/>
    <m/>
    <n v="2025"/>
    <d v="2025-03-04T00:00:00"/>
    <s v="R3-2025-009069"/>
    <x v="0"/>
    <m/>
    <s v="NO FACILITY"/>
    <s v="CATER BY LGU"/>
    <s v="Technical Assistance"/>
  </r>
  <r>
    <x v="6"/>
    <s v="Guimba"/>
    <s v="Nagpandayan"/>
    <s v="MBA"/>
    <s v="Aser A. Inocencio, Jr."/>
    <s v="Zosimo P. Suyat"/>
    <m/>
    <m/>
    <m/>
    <x v="0"/>
    <m/>
    <m/>
    <m/>
    <s v="For Monitoring"/>
  </r>
  <r>
    <x v="3"/>
    <s v="Bamban"/>
    <s v="San Nicolas (Pob.)"/>
    <s v="MBA"/>
    <m/>
    <m/>
    <n v="2025"/>
    <d v="2025-03-04T00:00:00"/>
    <s v="R3-2025-008247"/>
    <x v="0"/>
    <m/>
    <s v="NO FACILITY"/>
    <s v="Not Applicable"/>
    <s v="Technical Assistance"/>
  </r>
  <r>
    <x v="6"/>
    <s v="Guimba"/>
    <s v="Narvacan I"/>
    <s v="MBA"/>
    <s v="Aser A. Inocencio, Jr."/>
    <s v="Zosimo P. Suyat"/>
    <m/>
    <m/>
    <m/>
    <x v="0"/>
    <m/>
    <m/>
    <m/>
    <s v="For Monitoring"/>
  </r>
  <r>
    <x v="6"/>
    <s v="Guimba"/>
    <s v="Santa Ana"/>
    <s v="MBA"/>
    <s v="Aser A. Inocencio, Jr."/>
    <s v="Zosimo P. Suyat"/>
    <m/>
    <m/>
    <m/>
    <x v="0"/>
    <m/>
    <m/>
    <m/>
    <s v="For Monitoring"/>
  </r>
  <r>
    <x v="3"/>
    <s v="Bamban"/>
    <s v="San Roque"/>
    <s v="MBA"/>
    <m/>
    <m/>
    <n v="2025"/>
    <d v="2025-07-08T00:00:00"/>
    <s v="R3-2025-024051"/>
    <x v="0"/>
    <m/>
    <s v="NO FACILITY"/>
    <s v="CATER BY LGU"/>
    <s v="Technical Assistance"/>
  </r>
  <r>
    <x v="6"/>
    <s v="Guimba"/>
    <s v="Santa Cruz"/>
    <s v="MBA"/>
    <s v="Aser A. Inocencio, Jr."/>
    <s v="Zosimo P. Suyat"/>
    <m/>
    <m/>
    <m/>
    <x v="0"/>
    <m/>
    <m/>
    <m/>
    <s v="For Monitoring"/>
  </r>
  <r>
    <x v="3"/>
    <s v="Bamban"/>
    <s v="Santo Niño"/>
    <s v="MBA"/>
    <m/>
    <m/>
    <n v="2025"/>
    <d v="2025-07-08T00:00:00"/>
    <s v="R3-2025-024052"/>
    <x v="0"/>
    <m/>
    <s v="MRF"/>
    <s v="OPERATIONAL"/>
    <s v="Technical Assistance"/>
  </r>
  <r>
    <x v="6"/>
    <s v="Guimba"/>
    <s v="Santa Lucia"/>
    <s v="MBA"/>
    <s v="Aser A. Inocencio, Jr."/>
    <s v="Zosimo P. Suyat"/>
    <m/>
    <m/>
    <m/>
    <x v="0"/>
    <m/>
    <m/>
    <m/>
    <s v="For Monitoring"/>
  </r>
  <r>
    <x v="3"/>
    <s v="Camiling"/>
    <s v="Anoling 1st"/>
    <s v="OUTSIDE MBA"/>
    <m/>
    <m/>
    <n v="2025"/>
    <d v="2025-05-13T00:00:00"/>
    <s v="R3-2025-016219"/>
    <x v="0"/>
    <m/>
    <s v="MRS"/>
    <s v="OPERATIONAL"/>
    <s v="Technical Assistance"/>
  </r>
  <r>
    <x v="3"/>
    <s v="Camiling"/>
    <s v="Anoling 2nd"/>
    <s v="OUTSIDE MBA"/>
    <m/>
    <m/>
    <n v="2025"/>
    <d v="2025-05-13T00:00:00"/>
    <s v="R3-2025-016220"/>
    <x v="0"/>
    <m/>
    <s v="MRS"/>
    <s v="OPERATIONAL"/>
    <s v="Technical Assistance"/>
  </r>
  <r>
    <x v="6"/>
    <s v="Guimba"/>
    <s v="Santo Cristo District (Pob.)"/>
    <s v="MBA"/>
    <s v="Aser A. Inocencio, Jr."/>
    <s v="Zosimo P. Suyat"/>
    <m/>
    <m/>
    <m/>
    <x v="0"/>
    <m/>
    <m/>
    <m/>
    <s v="For Monitoring"/>
  </r>
  <r>
    <x v="6"/>
    <s v="Guimba"/>
    <s v="Sinulatan"/>
    <s v="MBA"/>
    <s v="Aser A. Inocencio, Jr."/>
    <s v="Zosimo P. Suyat"/>
    <m/>
    <m/>
    <m/>
    <x v="0"/>
    <m/>
    <m/>
    <m/>
    <s v="For Monitoring"/>
  </r>
  <r>
    <x v="3"/>
    <s v="Camiling"/>
    <s v="Bacsay"/>
    <s v="OUTSIDE MBA"/>
    <m/>
    <m/>
    <n v="2024"/>
    <d v="2024-05-07T00:00:00"/>
    <m/>
    <x v="0"/>
    <m/>
    <s v="MRS"/>
    <s v="OPERATIONAL"/>
    <s v="Technical Assistance"/>
  </r>
  <r>
    <x v="3"/>
    <s v="Camiling"/>
    <s v="Bancay 1st"/>
    <s v="OUTSIDE MBA"/>
    <m/>
    <m/>
    <n v="2025"/>
    <d v="2025-08-12T00:00:00"/>
    <s v="R3-2025-027824"/>
    <x v="0"/>
    <m/>
    <s v="MRS"/>
    <s v="OPERATIONAL"/>
    <s v="Technical Assistance"/>
  </r>
  <r>
    <x v="6"/>
    <s v="Guimba"/>
    <s v="Subol"/>
    <s v="MBA"/>
    <s v="Aser A. Inocencio, Jr."/>
    <s v="Zosimo P. Suyat"/>
    <m/>
    <m/>
    <m/>
    <x v="0"/>
    <m/>
    <m/>
    <m/>
    <s v="For Monitoring"/>
  </r>
  <r>
    <x v="3"/>
    <s v="Camiling"/>
    <s v="Birbira"/>
    <s v="OUTSIDE MBA"/>
    <m/>
    <m/>
    <n v="2024"/>
    <d v="2024-04-17T00:00:00"/>
    <m/>
    <x v="0"/>
    <m/>
    <s v="MRS"/>
    <s v="OPERATIONAL"/>
    <s v="Technical Assistance"/>
  </r>
  <r>
    <x v="3"/>
    <s v="Camiling"/>
    <s v="Bobon 1st"/>
    <s v="OUTSIDE MBA"/>
    <m/>
    <m/>
    <n v="2025"/>
    <d v="2025-08-05T00:00:00"/>
    <s v="R3-2025-026490"/>
    <x v="0"/>
    <m/>
    <s v="MRS"/>
    <s v="OPERATIONAL"/>
    <s v="Technical Assistance"/>
  </r>
  <r>
    <x v="3"/>
    <s v="Camiling"/>
    <s v="Bobon 2nd"/>
    <s v="OUTSIDE MBA"/>
    <m/>
    <m/>
    <n v="2025"/>
    <d v="2025-08-05T00:00:00"/>
    <s v="R3-2025-026491"/>
    <x v="0"/>
    <m/>
    <s v="MRS"/>
    <s v="OPERATIONAL"/>
    <s v="Technical Assistance"/>
  </r>
  <r>
    <x v="3"/>
    <s v="Camiling"/>
    <s v="Bobon Caarosipan"/>
    <s v="OUTSIDE MBA"/>
    <m/>
    <m/>
    <n v="2025"/>
    <d v="2025-08-05T00:00:00"/>
    <s v="R3-2025-026494"/>
    <x v="0"/>
    <m/>
    <s v="MRS"/>
    <s v="OPERATIONAL"/>
    <s v="Technical Assistance"/>
  </r>
  <r>
    <x v="3"/>
    <s v="Camiling"/>
    <s v="Cabanabaan"/>
    <s v="OUTSIDE MBA"/>
    <m/>
    <m/>
    <n v="2025"/>
    <d v="2025-07-08T00:00:00"/>
    <s v="R3-2025-020583"/>
    <x v="0"/>
    <m/>
    <s v="MRS"/>
    <s v="OPERATIONAL"/>
    <s v="Technical Assistance"/>
  </r>
  <r>
    <x v="3"/>
    <s v="Camiling"/>
    <s v="Cacamilingan Norte"/>
    <s v="OUTSIDE MBA"/>
    <m/>
    <m/>
    <n v="2025"/>
    <d v="2025-04-11T00:00:00"/>
    <s v="R3-2025-012523"/>
    <x v="0"/>
    <m/>
    <s v="MRF"/>
    <s v="OPERATIONAL"/>
    <s v="Technical Assistance"/>
  </r>
  <r>
    <x v="3"/>
    <s v="Camiling"/>
    <s v="Cacamilingan Sur"/>
    <s v="OUTSIDE MBA"/>
    <m/>
    <m/>
    <n v="2025"/>
    <d v="2025-05-06T00:00:00"/>
    <s v="R3-2025-015432"/>
    <x v="0"/>
    <m/>
    <s v="MRS"/>
    <s v="OPERATIONAL"/>
    <s v="Technical Assistance"/>
  </r>
  <r>
    <x v="6"/>
    <s v="Guimba"/>
    <s v="Tampac I"/>
    <s v="MBA"/>
    <s v="Aser A. Inocencio, Jr."/>
    <s v="Zosimo P. Suyat"/>
    <m/>
    <m/>
    <m/>
    <x v="0"/>
    <m/>
    <m/>
    <m/>
    <s v="For Monitoring"/>
  </r>
  <r>
    <x v="3"/>
    <s v="Camiling"/>
    <s v="Carael"/>
    <s v="OUTSIDE MBA"/>
    <m/>
    <m/>
    <n v="2025"/>
    <d v="2025-09-24T00:00:00"/>
    <s v="R3-2025-032754"/>
    <x v="0"/>
    <m/>
    <s v="MRS"/>
    <s v="OPERATIONAL"/>
    <s v="Technical Assistance"/>
  </r>
  <r>
    <x v="3"/>
    <s v="Camiling"/>
    <s v="Cayaoan"/>
    <s v="OUTSIDE MBA"/>
    <m/>
    <m/>
    <n v="2025"/>
    <d v="2025-09-24T00:00:00"/>
    <s v="R3-2025-032752"/>
    <x v="0"/>
    <m/>
    <s v="MRS"/>
    <s v="OPERATIONAL"/>
    <s v="Technical Assistance"/>
  </r>
  <r>
    <x v="6"/>
    <s v="Guimba"/>
    <s v="Tampac II &amp; III"/>
    <s v="MBA"/>
    <s v="Aser A. Inocencio, Jr."/>
    <s v="Zosimo P. Suyat"/>
    <m/>
    <m/>
    <m/>
    <x v="0"/>
    <m/>
    <m/>
    <m/>
    <s v="For Monitoring"/>
  </r>
  <r>
    <x v="3"/>
    <s v="Camiling"/>
    <s v="Florida"/>
    <s v="OUTSIDE MBA"/>
    <m/>
    <m/>
    <n v="2025"/>
    <d v="2025-09-24T00:00:00"/>
    <s v="R3-2025-032760"/>
    <x v="0"/>
    <m/>
    <s v="MRS"/>
    <s v="NON-OPERATIONAL"/>
    <s v="Technical Assistance"/>
  </r>
  <r>
    <x v="3"/>
    <s v="Camiling"/>
    <s v="Lasong"/>
    <s v="OUTSIDE MBA"/>
    <m/>
    <m/>
    <n v="2025"/>
    <d v="2025-05-06T00:00:00"/>
    <s v="R3-2025-015435"/>
    <x v="0"/>
    <m/>
    <s v="MRS"/>
    <s v="OPERATIONAL"/>
    <s v="Technical Assistance"/>
  </r>
  <r>
    <x v="3"/>
    <s v="Camiling"/>
    <s v="Libueg"/>
    <s v="OUTSIDE MBA"/>
    <m/>
    <m/>
    <n v="2025"/>
    <d v="2025-05-06T00:00:00"/>
    <s v="R3-2025-015436"/>
    <x v="0"/>
    <m/>
    <s v="MRS"/>
    <s v="OPERATIONAL"/>
    <s v="Technical Assistance"/>
  </r>
  <r>
    <x v="3"/>
    <s v="Camiling"/>
    <s v="Malacampa"/>
    <s v="OUTSIDE MBA"/>
    <m/>
    <m/>
    <n v="2024"/>
    <d v="2024-11-07T00:00:00"/>
    <m/>
    <x v="0"/>
    <m/>
    <m/>
    <m/>
    <s v="Technical Assistance"/>
  </r>
  <r>
    <x v="3"/>
    <s v="Camiling"/>
    <s v="Manaquem"/>
    <s v="OUTSIDE MBA"/>
    <m/>
    <m/>
    <n v="2025"/>
    <d v="2025-08-05T00:00:00"/>
    <s v="R3-2025-026495"/>
    <x v="0"/>
    <m/>
    <s v="MRS"/>
    <s v="OPERATIONAL"/>
    <s v="Technical Assistance"/>
  </r>
  <r>
    <x v="6"/>
    <s v="Guimba"/>
    <s v="Yuson"/>
    <s v="MBA"/>
    <s v="Aser A. Inocencio, Jr."/>
    <s v="Zosimo P. Suyat"/>
    <m/>
    <m/>
    <m/>
    <x v="0"/>
    <m/>
    <m/>
    <m/>
    <s v="For Monitoring"/>
  </r>
  <r>
    <x v="3"/>
    <s v="Camiling"/>
    <s v="Marawi"/>
    <s v="OUTSIDE MBA"/>
    <m/>
    <m/>
    <n v="2025"/>
    <d v="2025-08-12T00:00:00"/>
    <s v="R3-2025-027829"/>
    <x v="0"/>
    <m/>
    <s v="MRS"/>
    <s v="OPERATIONAL"/>
    <s v="Technical Assistance"/>
  </r>
  <r>
    <x v="3"/>
    <s v="Camiling"/>
    <s v="Matubog"/>
    <s v="OUTSIDE MBA"/>
    <m/>
    <m/>
    <n v="2025"/>
    <d v="2025-08-12T00:00:00"/>
    <s v="R3-2025-027825"/>
    <x v="0"/>
    <m/>
    <s v="MRS"/>
    <s v="OPERATIONAL"/>
    <s v="Technical Assistance"/>
  </r>
  <r>
    <x v="3"/>
    <s v="Camiling"/>
    <s v="Nagrambacan"/>
    <s v="OUTSIDE MBA"/>
    <m/>
    <m/>
    <n v="2025"/>
    <d v="2025-08-05T00:00:00"/>
    <s v="R3-2025-026496"/>
    <x v="0"/>
    <m/>
    <s v="MRS"/>
    <s v="OPERATIONAL"/>
    <s v="Technical Assistance"/>
  </r>
  <r>
    <x v="3"/>
    <s v="Camiling"/>
    <s v="Nagserialan"/>
    <s v="OUTSIDE MBA"/>
    <m/>
    <m/>
    <n v="2025"/>
    <d v="2025-08-12T00:00:00"/>
    <s v="R3-2025-027841"/>
    <x v="0"/>
    <m/>
    <s v="MRS"/>
    <s v="OPERATIONAL"/>
    <s v="Technical Assistance"/>
  </r>
  <r>
    <x v="3"/>
    <s v="Camiling"/>
    <s v="Palimbo Proper"/>
    <s v="OUTSIDE MBA"/>
    <m/>
    <m/>
    <n v="2025"/>
    <d v="2025-04-11T00:00:00"/>
    <s v="R3-2025-012524"/>
    <x v="0"/>
    <m/>
    <s v="MRS"/>
    <s v="OPERATIONAL"/>
    <s v="Technical Assistance"/>
  </r>
  <r>
    <x v="3"/>
    <s v="Camiling"/>
    <s v="Palimbo-Caarosipan"/>
    <s v="OUTSIDE MBA"/>
    <m/>
    <m/>
    <n v="2025"/>
    <d v="2025-07-08T00:00:00"/>
    <s v="R3-2025-023066"/>
    <x v="0"/>
    <m/>
    <s v="MRS"/>
    <s v="OPERATIONAL"/>
    <s v="Technical Assistance"/>
  </r>
  <r>
    <x v="6"/>
    <s v="San Jose City"/>
    <s v="Villa Floresca"/>
    <s v="MBA"/>
    <s v="Hosannah R. Sabio"/>
    <s v="Zosimo P. Suyat"/>
    <m/>
    <m/>
    <m/>
    <x v="0"/>
    <m/>
    <m/>
    <m/>
    <s v="For Monitoring"/>
  </r>
  <r>
    <x v="6"/>
    <s v="San Jose City"/>
    <s v="Villa Marina"/>
    <s v="MBA"/>
    <s v="Hosannah R. Sabio"/>
    <s v="Zosimo P. Suyat"/>
    <m/>
    <m/>
    <m/>
    <x v="0"/>
    <m/>
    <m/>
    <m/>
    <s v="For Monitoring"/>
  </r>
  <r>
    <x v="6"/>
    <s v="Science City of Munoz"/>
    <s v="Poblacion West"/>
    <s v="MBA"/>
    <s v="Aser A. Inocencio, Jr."/>
    <s v="Zosimo P. Suyat"/>
    <m/>
    <m/>
    <m/>
    <x v="0"/>
    <m/>
    <m/>
    <m/>
    <s v="For Monitoring"/>
  </r>
  <r>
    <x v="6"/>
    <s v="Science City of Munoz"/>
    <s v="Rang-ayan"/>
    <s v="MBA"/>
    <s v="Aser A. Inocencio, Jr."/>
    <s v="Zosimo P. Suyat"/>
    <m/>
    <m/>
    <m/>
    <x v="0"/>
    <m/>
    <m/>
    <m/>
    <s v="For Monitoring"/>
  </r>
  <r>
    <x v="6"/>
    <s v="Science City of Munoz"/>
    <s v="Rizal"/>
    <s v="MBA"/>
    <s v="Aser A. Inocencio, Jr."/>
    <s v="Zosimo P. Suyat"/>
    <m/>
    <m/>
    <m/>
    <x v="0"/>
    <m/>
    <m/>
    <m/>
    <s v="For Monitoring"/>
  </r>
  <r>
    <x v="3"/>
    <s v="Camiling"/>
    <s v="Pindangan 2nd"/>
    <s v="OUTSIDE MBA"/>
    <m/>
    <m/>
    <n v="2025"/>
    <d v="2025-10-21T00:00:00"/>
    <s v="R3-2025-037169"/>
    <x v="0"/>
    <m/>
    <s v="MRS"/>
    <s v="OPERATIONAL"/>
    <s v="Technical Assistance"/>
  </r>
  <r>
    <x v="3"/>
    <s v="Camiling"/>
    <s v="Poblacion A"/>
    <s v="OUTSIDE MBA"/>
    <m/>
    <m/>
    <n v="2024"/>
    <d v="2024-09-10T00:00:00"/>
    <m/>
    <x v="0"/>
    <m/>
    <s v="MRS"/>
    <s v="OPERATIONAL"/>
    <s v="Technical Assistance"/>
  </r>
  <r>
    <x v="3"/>
    <s v="Camiling"/>
    <s v="Poblacion B"/>
    <s v="OUTSIDE MBA"/>
    <m/>
    <m/>
    <n v="2024"/>
    <d v="2024-10-15T00:00:00"/>
    <m/>
    <x v="0"/>
    <m/>
    <s v="MRS"/>
    <s v="OPERATIONAL"/>
    <s v="Technical Assistance"/>
  </r>
  <r>
    <x v="6"/>
    <s v="Science City of Munoz"/>
    <s v="San Andres"/>
    <s v="MBA"/>
    <s v="Aser A. Inocencio, Jr."/>
    <s v="Zosimo P. Suyat"/>
    <m/>
    <m/>
    <m/>
    <x v="0"/>
    <m/>
    <m/>
    <m/>
    <s v="For Monitoring"/>
  </r>
  <r>
    <x v="3"/>
    <s v="Camiling"/>
    <s v="Poblacion D"/>
    <s v="OUTSIDE MBA"/>
    <m/>
    <m/>
    <n v="2025"/>
    <d v="2025-02-04T00:00:00"/>
    <s v="R3-2025-004522"/>
    <x v="0"/>
    <m/>
    <s v="MRS"/>
    <s v="OPERATIONAL"/>
    <s v="Technical Assistance"/>
  </r>
  <r>
    <x v="3"/>
    <s v="Camiling"/>
    <s v="Poblacion E"/>
    <s v="OUTSIDE MBA"/>
    <m/>
    <m/>
    <n v="2025"/>
    <d v="2025-02-26T00:00:00"/>
    <s v="R3-2025-006967"/>
    <x v="0"/>
    <m/>
    <s v="MRS"/>
    <s v="NON-OPERATIONAL"/>
    <s v="Technical Assistance"/>
  </r>
  <r>
    <x v="3"/>
    <s v="Camiling"/>
    <s v="Poblacion F"/>
    <s v="OUTSIDE MBA"/>
    <m/>
    <m/>
    <n v="2025"/>
    <d v="2025-03-04T00:00:00"/>
    <s v="R3-2025-008076"/>
    <x v="0"/>
    <m/>
    <s v="MRS"/>
    <s v="OPERATIONAL"/>
    <s v="Technical Assistance"/>
  </r>
  <r>
    <x v="6"/>
    <s v="Science City of Munoz"/>
    <s v="Villa Nati"/>
    <s v="MBA"/>
    <s v="Aser A. Inocencio, Jr."/>
    <s v="Zosimo P. Suyat"/>
    <m/>
    <m/>
    <m/>
    <x v="0"/>
    <m/>
    <m/>
    <m/>
    <s v="For Monitoring"/>
  </r>
  <r>
    <x v="3"/>
    <s v="Camiling"/>
    <s v="Poblacion H"/>
    <s v="OUTSIDE MBA"/>
    <m/>
    <m/>
    <n v="2025"/>
    <d v="2025-03-04T00:00:00"/>
    <s v="R3-2025-008079"/>
    <x v="0"/>
    <m/>
    <s v="MRS"/>
    <s v="NON-OPERATIONAL"/>
    <s v="Technical Assistance"/>
  </r>
  <r>
    <x v="3"/>
    <s v="Camiling"/>
    <s v="Poblacion I"/>
    <s v="OUTSIDE MBA"/>
    <m/>
    <m/>
    <n v="2025"/>
    <d v="2025-02-04T00:00:00"/>
    <s v="R3-2025-004526"/>
    <x v="0"/>
    <m/>
    <s v="MRS"/>
    <s v="OPERATIONAL"/>
    <s v="Technical Assistance"/>
  </r>
  <r>
    <x v="3"/>
    <s v="Camiling"/>
    <s v="Poblacion J"/>
    <s v="OUTSIDE MBA"/>
    <m/>
    <m/>
    <n v="2025"/>
    <d v="2025-02-04T00:00:00"/>
    <s v="R3-2025-004536"/>
    <x v="0"/>
    <m/>
    <s v="MRS"/>
    <s v="OPERATIONAL"/>
    <s v="Technical Assistance"/>
  </r>
  <r>
    <x v="6"/>
    <s v="Science City of Munoz"/>
    <s v="Villa Santos"/>
    <s v="MBA"/>
    <s v="Aser A. Inocencio, Jr."/>
    <s v="Zosimo P. Suyat"/>
    <m/>
    <m/>
    <m/>
    <x v="0"/>
    <m/>
    <m/>
    <m/>
    <s v="For Monitoring"/>
  </r>
  <r>
    <x v="3"/>
    <s v="Camiling"/>
    <s v="Santa Maria"/>
    <s v="OUTSIDE MBA"/>
    <m/>
    <m/>
    <n v="2025"/>
    <d v="2025-02-12T00:00:00"/>
    <s v="R3-2025-005367"/>
    <x v="0"/>
    <m/>
    <s v="MRS"/>
    <s v="OPERATIONAL"/>
    <s v="Technical Assistance"/>
  </r>
  <r>
    <x v="3"/>
    <s v="Camiling"/>
    <s v="Sawat"/>
    <s v="OUTSIDE MBA"/>
    <m/>
    <m/>
    <n v="2025"/>
    <d v="2025-07-08T00:00:00"/>
    <s v="R3-2025-023068"/>
    <x v="0"/>
    <m/>
    <s v="MRS"/>
    <s v="OPERATIONAL"/>
    <s v="Technical Assistance"/>
  </r>
  <r>
    <x v="3"/>
    <s v="Camiling"/>
    <s v="Sinilian 1st"/>
    <s v="OUTSIDE MBA"/>
    <m/>
    <m/>
    <n v="2025"/>
    <d v="2025-06-03T00:00:00"/>
    <s v="R3-2025-018923"/>
    <x v="0"/>
    <m/>
    <s v="MRS"/>
    <s v="OPERATIONAL"/>
    <s v="Technical Assistance"/>
  </r>
  <r>
    <x v="3"/>
    <s v="Camiling"/>
    <s v="Sinilian 2nd"/>
    <s v="OUTSIDE MBA"/>
    <m/>
    <m/>
    <n v="2025"/>
    <d v="2025-06-03T00:00:00"/>
    <s v="R3-2025-018924"/>
    <x v="0"/>
    <m/>
    <s v="MRS"/>
    <s v="OPERATIONAL"/>
    <s v="Technical Assistance"/>
  </r>
  <r>
    <x v="3"/>
    <s v="Camiling"/>
    <s v="Sinilian 3rd"/>
    <s v="OUTSIDE MBA"/>
    <m/>
    <m/>
    <n v="2025"/>
    <d v="2025-06-03T00:00:00"/>
    <s v="R3-2025-018925"/>
    <x v="0"/>
    <m/>
    <s v="MRS"/>
    <s v="OPERATIONAL"/>
    <s v="Technical Assistance"/>
  </r>
  <r>
    <x v="3"/>
    <s v="Camiling"/>
    <s v="Sinilian Cacalibosoan"/>
    <s v="OUTSIDE MBA"/>
    <m/>
    <m/>
    <n v="2025"/>
    <d v="2025-10-21T00:00:00"/>
    <s v="R3-2025-037168"/>
    <x v="0"/>
    <m/>
    <s v="MRS"/>
    <s v="OPERATIONAL"/>
    <s v="Technical Assistance"/>
  </r>
  <r>
    <x v="3"/>
    <s v="Camiling"/>
    <s v="Sinulatan 1st"/>
    <s v="OUTSIDE MBA"/>
    <m/>
    <m/>
    <n v="2025"/>
    <d v="2025-04-11T00:00:00"/>
    <s v="R3-2025-012525"/>
    <x v="0"/>
    <m/>
    <s v="MRF"/>
    <s v="OPERATIONAL"/>
    <s v="Technical Assistance"/>
  </r>
  <r>
    <x v="3"/>
    <s v="Camiling"/>
    <s v="Sinulatan 2nd"/>
    <s v="OUTSIDE MBA"/>
    <m/>
    <m/>
    <n v="2024"/>
    <d v="2024-11-06T00:00:00"/>
    <m/>
    <x v="0"/>
    <m/>
    <s v="MRS"/>
    <s v="OPERATIONAL"/>
    <s v="Technical Assistance"/>
  </r>
  <r>
    <x v="3"/>
    <s v="Camiling"/>
    <s v="Surgui 1st"/>
    <s v="OUTSIDE MBA"/>
    <m/>
    <m/>
    <n v="2025"/>
    <d v="2025-02-12T00:00:00"/>
    <s v="R3-2025-005545"/>
    <x v="0"/>
    <m/>
    <s v="MRS"/>
    <s v="OPERATIONAL"/>
    <s v="Technical Assistance"/>
  </r>
  <r>
    <x v="3"/>
    <s v="Camiling"/>
    <s v="Surgui 2nd"/>
    <s v="OUTSIDE MBA"/>
    <m/>
    <m/>
    <n v="2025"/>
    <d v="2025-04-11T00:00:00"/>
    <s v="R3-2025-012527"/>
    <x v="0"/>
    <m/>
    <s v="MRF"/>
    <s v="OPERATIONAL"/>
    <s v="Technical Assistance"/>
  </r>
  <r>
    <x v="3"/>
    <s v="Camiling"/>
    <s v="Surgui 3rd"/>
    <s v="OUTSIDE MBA"/>
    <m/>
    <m/>
    <n v="2024"/>
    <d v="2024-11-07T00:00:00"/>
    <m/>
    <x v="0"/>
    <m/>
    <s v="MRS"/>
    <s v="OPERATIONAL"/>
    <s v="Technical Assistance"/>
  </r>
  <r>
    <x v="3"/>
    <s v="Camiling"/>
    <s v="Tambugan"/>
    <s v="OUTSIDE MBA"/>
    <m/>
    <m/>
    <n v="2025"/>
    <d v="2025-05-29T00:00:00"/>
    <s v="R3-2025-018205"/>
    <x v="0"/>
    <m/>
    <s v="MRS"/>
    <s v="OPERATIONAL"/>
    <s v="Technical Assistance"/>
  </r>
  <r>
    <x v="3"/>
    <s v="Camiling"/>
    <s v="Telbang"/>
    <s v="OUTSIDE MBA"/>
    <m/>
    <m/>
    <n v="2024"/>
    <d v="2024-10-16T00:00:00"/>
    <m/>
    <x v="0"/>
    <m/>
    <s v="MRS"/>
    <s v="OPERATIONAL"/>
    <s v="Technical Assistance"/>
  </r>
  <r>
    <x v="3"/>
    <s v="Camiling"/>
    <s v="Tuec"/>
    <s v="OUTSIDE MBA"/>
    <m/>
    <m/>
    <n v="2024"/>
    <d v="2024-11-07T00:00:00"/>
    <m/>
    <x v="0"/>
    <m/>
    <s v="MRS"/>
    <s v="OPERATIONAL"/>
    <s v="Technical Assistance"/>
  </r>
  <r>
    <x v="3"/>
    <s v="Capas"/>
    <s v="Aranguren"/>
    <s v="MBA"/>
    <m/>
    <m/>
    <n v="2025"/>
    <d v="2025-01-21T00:00:00"/>
    <s v="R3-2025-001917"/>
    <x v="0"/>
    <m/>
    <s v="MRF"/>
    <s v="OPERATIONAL"/>
    <s v="Technical Assistance"/>
  </r>
  <r>
    <x v="6"/>
    <s v="Talavera"/>
    <s v="Paludpod"/>
    <s v="MBA"/>
    <s v="Gem C. Vicencio"/>
    <s v="Zosimo P. Suyat"/>
    <m/>
    <m/>
    <m/>
    <x v="0"/>
    <m/>
    <m/>
    <m/>
    <s v="For Monitoring"/>
  </r>
  <r>
    <x v="3"/>
    <s v="Capas"/>
    <s v="Cristo Rey"/>
    <s v="MBA"/>
    <m/>
    <m/>
    <n v="2025"/>
    <d v="2025-07-04T00:00:00"/>
    <s v="R3-2025-024045"/>
    <x v="0"/>
    <m/>
    <s v="MRS"/>
    <s v="OPERATIONAL"/>
    <s v="Technical Assistance"/>
  </r>
  <r>
    <x v="3"/>
    <s v="Capas"/>
    <s v="Cubcub (Pob.)"/>
    <s v="MBA"/>
    <m/>
    <m/>
    <n v="2025"/>
    <d v="2025-07-03T00:00:00"/>
    <s v="R3-2025-024044"/>
    <x v="0"/>
    <m/>
    <s v="MRS"/>
    <s v="OPERATIONAL"/>
    <s v="Technical Assistance"/>
  </r>
  <r>
    <x v="3"/>
    <s v="Capas"/>
    <s v="Cutcut 1st"/>
    <s v="MBA"/>
    <m/>
    <m/>
    <n v="2024"/>
    <d v="2024-07-10T00:00:00"/>
    <m/>
    <x v="0"/>
    <m/>
    <m/>
    <m/>
    <s v="Technical Assistance"/>
  </r>
  <r>
    <x v="3"/>
    <s v="Capas"/>
    <s v="Cutcut 2nd"/>
    <s v="MBA"/>
    <m/>
    <m/>
    <n v="2025"/>
    <d v="2025-08-27T00:00:00"/>
    <s v="R3-2025-030893"/>
    <x v="0"/>
    <m/>
    <s v="NO FACILITY"/>
    <s v="CATER BY LGU"/>
    <s v="Technical Assistance"/>
  </r>
  <r>
    <x v="3"/>
    <s v="Capas"/>
    <s v="Dolores"/>
    <s v="MBA"/>
    <m/>
    <m/>
    <n v="2024"/>
    <d v="2024-06-06T00:00:00"/>
    <m/>
    <x v="0"/>
    <m/>
    <m/>
    <m/>
    <s v="Technical Assistance"/>
  </r>
  <r>
    <x v="3"/>
    <s v="Capas"/>
    <s v="Estrada"/>
    <s v="MBA"/>
    <m/>
    <m/>
    <n v="2024"/>
    <d v="2024-11-12T00:00:00"/>
    <m/>
    <x v="0"/>
    <m/>
    <s v="MRS"/>
    <s v="NON-OPERATIONAL"/>
    <s v="Technical Assistance"/>
  </r>
  <r>
    <x v="6"/>
    <s v="Talavera"/>
    <s v="Poblacion Sur"/>
    <s v="MBA"/>
    <s v="Gem C. Vicencio"/>
    <s v="Zosimo P. Suyat"/>
    <m/>
    <m/>
    <m/>
    <x v="0"/>
    <m/>
    <m/>
    <m/>
    <s v="For Monitoring"/>
  </r>
  <r>
    <x v="3"/>
    <s v="Capas"/>
    <s v="Manga"/>
    <s v="MBA"/>
    <m/>
    <m/>
    <n v="2024"/>
    <d v="2024-04-05T00:00:00"/>
    <m/>
    <x v="0"/>
    <m/>
    <m/>
    <m/>
    <s v="Technical Assistance"/>
  </r>
  <r>
    <x v="6"/>
    <s v="Talavera"/>
    <s v="Pulong San Miguel (Pob.)"/>
    <s v="MBA"/>
    <s v="Gem C. Vicencio"/>
    <s v="Zosimo P. Suyat"/>
    <m/>
    <m/>
    <m/>
    <x v="0"/>
    <m/>
    <m/>
    <m/>
    <s v="For Monitoring"/>
  </r>
  <r>
    <x v="6"/>
    <s v="Talavera"/>
    <s v="Purok Matias (Pob.)"/>
    <s v="MBA"/>
    <s v="Gem C. Vicencio"/>
    <s v="Zosimo P. Suyat"/>
    <m/>
    <m/>
    <m/>
    <x v="0"/>
    <m/>
    <m/>
    <m/>
    <s v="For Monitoring"/>
  </r>
  <r>
    <x v="3"/>
    <s v="Capas"/>
    <s v="O'Donnell"/>
    <s v="MBA"/>
    <m/>
    <m/>
    <n v="2025"/>
    <d v="2025-03-13T00:00:00"/>
    <s v="R3-2025-009082"/>
    <x v="0"/>
    <m/>
    <s v="MRS"/>
    <s v="OPERATIONAL"/>
    <s v="Technical Assistance"/>
  </r>
  <r>
    <x v="6"/>
    <s v="Talavera"/>
    <s v="Sampaloc"/>
    <s v="MBA"/>
    <s v="Gem C. Vicencio"/>
    <s v="Zosimo P. Suyat"/>
    <m/>
    <m/>
    <m/>
    <x v="0"/>
    <m/>
    <m/>
    <m/>
    <s v="For Monitoring"/>
  </r>
  <r>
    <x v="3"/>
    <s v="Capas"/>
    <s v="Santa Lucia"/>
    <s v="MBA"/>
    <m/>
    <m/>
    <n v="2025"/>
    <d v="2025-07-04T00:00:00"/>
    <s v="R3-2025-024049"/>
    <x v="0"/>
    <m/>
    <s v="MRS"/>
    <s v="OPERATIONAL"/>
    <s v="Technical Assistance"/>
  </r>
  <r>
    <x v="3"/>
    <s v="Capas"/>
    <s v="Santa Rita"/>
    <s v="MBA"/>
    <m/>
    <m/>
    <n v="2024"/>
    <d v="2024-04-05T00:00:00"/>
    <m/>
    <x v="0"/>
    <m/>
    <m/>
    <m/>
    <s v="Technical Assistance"/>
  </r>
  <r>
    <x v="3"/>
    <s v="Capas"/>
    <s v="Santo Domingo 1st"/>
    <s v="MBA"/>
    <m/>
    <m/>
    <n v="2025"/>
    <d v="2025-01-21T00:00:00"/>
    <s v="R3-2025-001920"/>
    <x v="0"/>
    <m/>
    <s v="MRS"/>
    <s v="OPERATIONAL"/>
    <s v="Technical Assistance"/>
  </r>
  <r>
    <x v="6"/>
    <s v="Talavera"/>
    <s v="Sibul"/>
    <s v="MBA"/>
    <s v="Gem C. Vicencio"/>
    <s v="Zosimo P. Suyat"/>
    <m/>
    <m/>
    <m/>
    <x v="0"/>
    <m/>
    <m/>
    <m/>
    <s v="For Monitoring"/>
  </r>
  <r>
    <x v="6"/>
    <s v="Talavera"/>
    <s v="Valle"/>
    <s v="MBA"/>
    <s v="Gem C. Vicencio"/>
    <s v="Zosimo P. Suyat"/>
    <m/>
    <m/>
    <m/>
    <x v="0"/>
    <m/>
    <m/>
    <m/>
    <s v="For Monitoring"/>
  </r>
  <r>
    <x v="3"/>
    <s v="Capas"/>
    <s v="Talaga"/>
    <s v="MBA"/>
    <m/>
    <m/>
    <n v="2025"/>
    <d v="2025-08-27T00:00:00"/>
    <s v="R3-2025-030894"/>
    <x v="0"/>
    <m/>
    <s v="NO FACILITY"/>
    <s v="CATER BY LGU"/>
    <s v="Technical Assistance"/>
  </r>
  <r>
    <x v="3"/>
    <s v="Concepcion"/>
    <s v="Alfonso"/>
    <s v="MBA"/>
    <m/>
    <m/>
    <n v="2024"/>
    <d v="2024-08-06T00:00:00"/>
    <m/>
    <x v="0"/>
    <m/>
    <s v="MRF"/>
    <s v="OPERATIONAL"/>
    <s v="Technical Assistance"/>
  </r>
  <r>
    <x v="6"/>
    <s v="Talugtug"/>
    <s v="Tandoc"/>
    <s v="MBA"/>
    <s v="Aser A. Inocencio, Jr."/>
    <s v="Zosimo P. Suyat"/>
    <m/>
    <m/>
    <m/>
    <x v="0"/>
    <m/>
    <m/>
    <m/>
    <s v="For Monitoring"/>
  </r>
  <r>
    <x v="3"/>
    <s v="Concepcion"/>
    <s v="Cafe"/>
    <s v="MBA"/>
    <m/>
    <m/>
    <n v="2025"/>
    <d v="2025-06-13T00:00:00"/>
    <s v="R3-2025-020250"/>
    <x v="0"/>
    <m/>
    <s v="MRF"/>
    <s v="OPERATIONAL"/>
    <s v="Technical Assistance"/>
  </r>
  <r>
    <x v="6"/>
    <s v="Talugtug"/>
    <s v="Tibag"/>
    <s v="MBA"/>
    <s v="Aser A. Inocencio, Jr."/>
    <s v="Zosimo P. Suyat"/>
    <m/>
    <m/>
    <m/>
    <x v="0"/>
    <m/>
    <m/>
    <m/>
    <s v="For Monitoring"/>
  </r>
  <r>
    <x v="3"/>
    <s v="Concepcion"/>
    <s v="Caluluan"/>
    <s v="MBA"/>
    <s v="Gretzhen M. Apolonio"/>
    <s v="Jan Emerson C. Gonzales"/>
    <n v="2024"/>
    <d v="2024-07-03T00:00:00"/>
    <m/>
    <x v="0"/>
    <m/>
    <s v="MRF"/>
    <s v="OPERATIONAL"/>
    <s v="Technical Assistance"/>
  </r>
  <r>
    <x v="6"/>
    <s v="Talugtug"/>
    <s v="Villa Rosario"/>
    <s v="MBA"/>
    <s v="Aser A. Inocencio, Jr."/>
    <s v="Zosimo P. Suyat"/>
    <m/>
    <m/>
    <m/>
    <x v="0"/>
    <m/>
    <m/>
    <m/>
    <s v="For Monitoring"/>
  </r>
  <r>
    <x v="3"/>
    <s v="Concepcion"/>
    <s v="Corazon de Jesus"/>
    <s v="MBA"/>
    <s v="Gretzhen M. Apolonio"/>
    <s v="Jan Emerson C. Gonzales"/>
    <n v="2024"/>
    <d v="2024-07-03T00:00:00"/>
    <m/>
    <x v="0"/>
    <m/>
    <s v="MRF"/>
    <s v="OPERATIONAL"/>
    <s v="Technical Assistance"/>
  </r>
  <r>
    <x v="6"/>
    <s v="Zaragoza"/>
    <s v="San Vicente (Pob.)"/>
    <s v="MBA"/>
    <s v="Gem C. Vicencio"/>
    <s v="Zosimo P. Suyat"/>
    <m/>
    <m/>
    <m/>
    <x v="0"/>
    <m/>
    <m/>
    <m/>
    <s v="For Monitoring"/>
  </r>
  <r>
    <x v="6"/>
    <s v="Zaragoza"/>
    <s v="Santa Cruz"/>
    <s v="MBA"/>
    <s v="Gem C. Vicencio"/>
    <s v="Zosimo P. Suyat"/>
    <m/>
    <m/>
    <m/>
    <x v="0"/>
    <m/>
    <m/>
    <m/>
    <s v="For Monitoring"/>
  </r>
  <r>
    <x v="3"/>
    <s v="Concepcion"/>
    <s v="Dutung-A-Matas"/>
    <s v="MBA"/>
    <m/>
    <m/>
    <n v="2024"/>
    <d v="2024-10-11T00:00:00"/>
    <m/>
    <x v="0"/>
    <m/>
    <s v="MRF"/>
    <s v="OPERATIONAL"/>
    <s v="Technical Assistance"/>
  </r>
  <r>
    <x v="3"/>
    <s v="Concepcion"/>
    <s v="Green Village"/>
    <s v="MBA"/>
    <m/>
    <m/>
    <n v="2025"/>
    <d v="2025-02-13T00:00:00"/>
    <s v="R3-2025-005500"/>
    <x v="0"/>
    <m/>
    <s v="MRF"/>
    <s v="OPERATIONAL"/>
    <s v="Technical Assistance"/>
  </r>
  <r>
    <x v="6"/>
    <s v="Zaragoza"/>
    <s v="Santa Lucia Old"/>
    <s v="MBA"/>
    <s v="Gem C. Vicencio"/>
    <s v="Zosimo P. Suyat"/>
    <m/>
    <m/>
    <m/>
    <x v="0"/>
    <m/>
    <m/>
    <m/>
    <s v="For Monitoring"/>
  </r>
  <r>
    <x v="6"/>
    <s v="Zaragoza"/>
    <s v="Santo Rosario Old"/>
    <s v="MBA"/>
    <s v="Gem C. Vicencio"/>
    <s v="Zosimo P. Suyat"/>
    <m/>
    <m/>
    <m/>
    <x v="0"/>
    <m/>
    <m/>
    <m/>
    <s v="For Monitoring"/>
  </r>
  <r>
    <x v="6"/>
    <s v="Zaragoza"/>
    <s v="Santo Rosario Young"/>
    <s v="MBA"/>
    <s v="Gem C. Vicencio"/>
    <s v="Zosimo P. Suyat"/>
    <m/>
    <m/>
    <m/>
    <x v="0"/>
    <m/>
    <m/>
    <m/>
    <s v="For Monitoring"/>
  </r>
  <r>
    <x v="6"/>
    <s v="Zaragoza"/>
    <s v="Valeriana"/>
    <s v="MBA"/>
    <s v="Gem C. Vicencio"/>
    <s v="Zosimo P. Suyat"/>
    <m/>
    <m/>
    <m/>
    <x v="0"/>
    <m/>
    <m/>
    <m/>
    <s v="For Monitoring"/>
  </r>
  <r>
    <x v="3"/>
    <s v="Concepcion"/>
    <s v="Minane"/>
    <s v="MBA"/>
    <m/>
    <m/>
    <n v="2024"/>
    <d v="2024-05-02T00:00:00"/>
    <m/>
    <x v="0"/>
    <m/>
    <m/>
    <m/>
    <s v="Technical Assistance"/>
  </r>
  <r>
    <x v="4"/>
    <s v="City of San Fernando"/>
    <s v="Quebiauan"/>
    <s v="MBA"/>
    <s v="Elyza A. Evilla"/>
    <s v="John Sherwin Y. Loquellano"/>
    <m/>
    <m/>
    <m/>
    <x v="0"/>
    <m/>
    <m/>
    <m/>
    <s v="For Monitoring"/>
  </r>
  <r>
    <x v="4"/>
    <s v="City of San Fernando"/>
    <s v="San Agustin"/>
    <s v="MBA"/>
    <s v="Elyza A. Evilla"/>
    <s v="John Sherwin Y. Loquellano"/>
    <m/>
    <m/>
    <m/>
    <x v="0"/>
    <m/>
    <m/>
    <m/>
    <s v="For Monitoring"/>
  </r>
  <r>
    <x v="4"/>
    <s v="City of San Fernando"/>
    <s v="San Felipe"/>
    <s v="MBA"/>
    <s v="Elyza A. Evilla"/>
    <s v="John Sherwin Y. Loquellano"/>
    <m/>
    <m/>
    <m/>
    <x v="0"/>
    <m/>
    <m/>
    <m/>
    <s v="For Monitoring"/>
  </r>
  <r>
    <x v="4"/>
    <s v="City of San Fernando"/>
    <s v="San Nicolas"/>
    <s v="MBA"/>
    <s v="Elyza A. Evilla"/>
    <s v="John Sherwin Y. Loquellano"/>
    <m/>
    <m/>
    <m/>
    <x v="0"/>
    <m/>
    <m/>
    <m/>
    <s v="For Monitoring"/>
  </r>
  <r>
    <x v="3"/>
    <s v="Concepcion"/>
    <s v="Pitabunan"/>
    <s v="MBA"/>
    <m/>
    <m/>
    <n v="2024"/>
    <d v="2024-07-02T00:00:00"/>
    <m/>
    <x v="0"/>
    <m/>
    <s v="MRF"/>
    <s v="OPERATIONAL"/>
    <s v="Technical Assistance"/>
  </r>
  <r>
    <x v="3"/>
    <s v="Concepcion"/>
    <s v="San Agustin"/>
    <s v="MBA"/>
    <m/>
    <m/>
    <n v="2024"/>
    <d v="2024-09-06T00:00:00"/>
    <m/>
    <x v="0"/>
    <m/>
    <s v="MRF"/>
    <s v="OPERATIONAL"/>
    <s v="Technical Assistance"/>
  </r>
  <r>
    <x v="3"/>
    <s v="Concepcion"/>
    <s v="San Antonio"/>
    <s v="MBA"/>
    <m/>
    <m/>
    <n v="2024"/>
    <d v="2024-11-08T00:00:00"/>
    <m/>
    <x v="0"/>
    <m/>
    <s v="MRF"/>
    <s v="OPERATIONAL"/>
    <s v="Technical Assistance"/>
  </r>
  <r>
    <x v="4"/>
    <s v="City of San Fernando"/>
    <s v="San Pedro"/>
    <s v="MBA"/>
    <s v="Elyza A. Evilla"/>
    <s v="John Sherwin Y. Loquellano"/>
    <m/>
    <m/>
    <m/>
    <x v="0"/>
    <m/>
    <m/>
    <m/>
    <s v="For Monitoring"/>
  </r>
  <r>
    <x v="3"/>
    <s v="Concepcion"/>
    <s v="San Francisco"/>
    <s v="MBA"/>
    <m/>
    <m/>
    <n v="2024"/>
    <d v="2024-05-02T00:00:00"/>
    <m/>
    <x v="0"/>
    <m/>
    <m/>
    <m/>
    <s v="Technical Assistance"/>
  </r>
  <r>
    <x v="4"/>
    <s v="City of San Fernando"/>
    <s v="Santo Rosario (Pob.)"/>
    <s v="MBA"/>
    <s v="Elyza A. Evilla"/>
    <s v="John Sherwin Y. Loquellano"/>
    <m/>
    <m/>
    <m/>
    <x v="0"/>
    <m/>
    <m/>
    <m/>
    <s v="For Monitoring"/>
  </r>
  <r>
    <x v="3"/>
    <s v="Concepcion"/>
    <s v="San Jose (Pob.)"/>
    <s v="MBA"/>
    <m/>
    <m/>
    <n v="2024"/>
    <d v="2024-08-06T00:00:00"/>
    <m/>
    <x v="0"/>
    <m/>
    <s v="MRF"/>
    <s v="OPERATIONAL"/>
    <s v="Technical Assistance"/>
  </r>
  <r>
    <x v="3"/>
    <s v="Concepcion"/>
    <s v="San Juan"/>
    <s v="MBA"/>
    <m/>
    <m/>
    <n v="2024"/>
    <d v="2024-10-11T00:00:00"/>
    <m/>
    <x v="0"/>
    <m/>
    <s v="MRF"/>
    <s v="OPERATIONAL"/>
    <s v="Technical Assistance"/>
  </r>
  <r>
    <x v="4"/>
    <s v="City of San Fernando"/>
    <s v="Telabastagan"/>
    <s v="MBA"/>
    <s v="Elyza A. Evilla"/>
    <s v="John Sherwin Y. Loquellano"/>
    <m/>
    <m/>
    <m/>
    <x v="0"/>
    <m/>
    <m/>
    <m/>
    <s v="For Monitoring"/>
  </r>
  <r>
    <x v="4"/>
    <s v="Guagua"/>
    <s v="San Vicente"/>
    <s v="MBA"/>
    <s v="VACANT"/>
    <s v="Jun D. Guillermo"/>
    <m/>
    <m/>
    <m/>
    <x v="0"/>
    <m/>
    <m/>
    <m/>
    <s v="For Monitoring"/>
  </r>
  <r>
    <x v="4"/>
    <s v="Lubao"/>
    <s v="Baruya"/>
    <s v="MBA"/>
    <s v="VACANT"/>
    <s v="Jun D. Guillermo"/>
    <m/>
    <m/>
    <m/>
    <x v="0"/>
    <m/>
    <m/>
    <m/>
    <s v="For Monitoring"/>
  </r>
  <r>
    <x v="4"/>
    <s v="Lubao"/>
    <s v="Concepcion"/>
    <s v="MBA"/>
    <s v="VACANT"/>
    <s v="Jun D. Guillermo"/>
    <m/>
    <m/>
    <m/>
    <x v="0"/>
    <m/>
    <m/>
    <m/>
    <s v="For Monitoring"/>
  </r>
  <r>
    <x v="3"/>
    <s v="Concepcion"/>
    <s v="Santa Cruz"/>
    <s v="MBA"/>
    <m/>
    <m/>
    <n v="2024"/>
    <d v="2024-06-11T00:00:00"/>
    <m/>
    <x v="0"/>
    <m/>
    <s v="MRF"/>
    <s v="OPERATIONAL"/>
    <s v="Technical Assistance"/>
  </r>
  <r>
    <x v="3"/>
    <s v="Concepcion"/>
    <s v="Santa Maria"/>
    <s v="MBA"/>
    <m/>
    <m/>
    <n v="2024"/>
    <d v="2024-07-23T00:00:00"/>
    <m/>
    <x v="0"/>
    <m/>
    <s v="MRF"/>
    <s v="OPERATIONAL"/>
    <s v="Technical Assistance"/>
  </r>
  <r>
    <x v="3"/>
    <s v="Concepcion"/>
    <s v="Santa Monica"/>
    <s v="MBA"/>
    <m/>
    <m/>
    <n v="2024"/>
    <d v="2024-06-11T00:00:00"/>
    <m/>
    <x v="0"/>
    <m/>
    <s v="MRF"/>
    <s v="OPERATIONAL"/>
    <s v="Technical Assistance"/>
  </r>
  <r>
    <x v="3"/>
    <s v="Concepcion"/>
    <s v="Santa Rita"/>
    <s v="MBA"/>
    <m/>
    <m/>
    <n v="2024"/>
    <d v="2024-07-23T00:00:00"/>
    <m/>
    <x v="0"/>
    <m/>
    <s v="MRF"/>
    <s v="OPERATIONAL"/>
    <s v="Technical Assistance"/>
  </r>
  <r>
    <x v="3"/>
    <s v="Concepcion"/>
    <s v="Santa Rosa"/>
    <s v="MBA"/>
    <m/>
    <m/>
    <n v="2024"/>
    <d v="2024-08-06T00:00:00"/>
    <m/>
    <x v="0"/>
    <m/>
    <s v="MRF"/>
    <s v="OPERATIONAL"/>
    <s v="Technical Assistance"/>
  </r>
  <r>
    <x v="3"/>
    <s v="Concepcion"/>
    <s v="Santiago"/>
    <s v="MBA"/>
    <m/>
    <m/>
    <n v="2024"/>
    <d v="2024-10-11T00:00:00"/>
    <m/>
    <x v="0"/>
    <m/>
    <s v="MRF"/>
    <s v="OPERATIONAL"/>
    <s v="Technical Assistance"/>
  </r>
  <r>
    <x v="4"/>
    <s v="Lubao"/>
    <s v="De La Paz"/>
    <s v="MBA"/>
    <s v="VACANT"/>
    <s v="Jun D. Guillermo"/>
    <m/>
    <m/>
    <m/>
    <x v="0"/>
    <m/>
    <m/>
    <m/>
    <s v="For Monitoring"/>
  </r>
  <r>
    <x v="3"/>
    <s v="Concepcion"/>
    <s v="Santo Niño"/>
    <s v="MBA"/>
    <m/>
    <m/>
    <n v="2025"/>
    <d v="2025-06-17T00:00:00"/>
    <s v="R3-2025-020247"/>
    <x v="0"/>
    <m/>
    <s v="MRF"/>
    <s v="OPERATIONAL"/>
    <s v="Technical Assistance"/>
  </r>
  <r>
    <x v="3"/>
    <s v="Concepcion"/>
    <s v="Santo Rosario"/>
    <s v="MBA"/>
    <m/>
    <m/>
    <n v="2024"/>
    <d v="2024-07-03T00:00:00"/>
    <m/>
    <x v="0"/>
    <m/>
    <s v="MRF"/>
    <s v="OPERATIONAL"/>
    <s v="Technical Assistance"/>
  </r>
  <r>
    <x v="3"/>
    <s v="Concepcion"/>
    <s v="Talimunduc Marimla"/>
    <s v="MBA"/>
    <m/>
    <m/>
    <n v="2025"/>
    <d v="2025-02-13T00:00:00"/>
    <s v="R3-2025-005501"/>
    <x v="0"/>
    <m/>
    <s v="MRF"/>
    <s v="OPERATIONAL"/>
    <s v="Technical Assistance"/>
  </r>
  <r>
    <x v="3"/>
    <s v="Concepcion"/>
    <s v="Talimunduc San Miguel"/>
    <s v="MBA"/>
    <m/>
    <m/>
    <n v="2025"/>
    <d v="2025-02-13T00:00:00"/>
    <s v="R3-2025-005502"/>
    <x v="0"/>
    <m/>
    <s v="MRF"/>
    <s v="OPERATIONAL"/>
    <s v="Technical Assistance"/>
  </r>
  <r>
    <x v="4"/>
    <s v="Lubao"/>
    <s v="Del Carmen"/>
    <s v="MBA"/>
    <s v="VACANT"/>
    <s v="Jun D. Guillermo"/>
    <m/>
    <m/>
    <m/>
    <x v="0"/>
    <m/>
    <m/>
    <m/>
    <s v="For Monitoring"/>
  </r>
  <r>
    <x v="3"/>
    <s v="Concepcion"/>
    <s v="Tinang"/>
    <s v="MBA"/>
    <m/>
    <m/>
    <n v="2024"/>
    <d v="2024-09-06T00:00:00"/>
    <m/>
    <x v="0"/>
    <m/>
    <s v="MRF"/>
    <s v="NON-OPERATIONAL"/>
    <s v="Technical Assistance"/>
  </r>
  <r>
    <x v="4"/>
    <s v="Macabebe"/>
    <s v="Mataguiti"/>
    <s v="MBA"/>
    <s v="Glaiza S. Gaza"/>
    <s v="John Sherwin Y. Loquellano"/>
    <m/>
    <m/>
    <m/>
    <x v="0"/>
    <m/>
    <m/>
    <m/>
    <s v="For Monitoring"/>
  </r>
  <r>
    <x v="3"/>
    <s v="Gerona"/>
    <s v="Amacalan"/>
    <s v="OUTSIDE MBA"/>
    <m/>
    <m/>
    <n v="2024"/>
    <d v="2024-07-09T00:00:00"/>
    <m/>
    <x v="0"/>
    <m/>
    <s v="MRF"/>
    <s v="OPERATIONAL"/>
    <s v="Technical Assistance"/>
  </r>
  <r>
    <x v="3"/>
    <s v="Gerona"/>
    <s v="Apsayan"/>
    <s v="OUTSIDE MBA"/>
    <m/>
    <m/>
    <n v="2025"/>
    <d v="2025-02-13T00:00:00"/>
    <s v=" R3-2025-005566"/>
    <x v="0"/>
    <m/>
    <s v="MRS"/>
    <s v="OPERATIONAL"/>
    <s v="Technical Assistance"/>
  </r>
  <r>
    <x v="3"/>
    <s v="Gerona"/>
    <s v="Ayson"/>
    <s v="OUTSIDE MBA"/>
    <m/>
    <m/>
    <n v="2025"/>
    <d v="2025-02-13T00:00:00"/>
    <s v="R3-2025-005636"/>
    <x v="0"/>
    <m/>
    <s v="MRS"/>
    <s v="OPERATIONAL"/>
    <s v="Technical Assistance"/>
  </r>
  <r>
    <x v="4"/>
    <s v="Macabebe"/>
    <s v="Telacsan"/>
    <s v="MBA"/>
    <s v="Glaiza S. Gaza"/>
    <s v="John Sherwin Y. Loquellano"/>
    <m/>
    <m/>
    <m/>
    <x v="0"/>
    <m/>
    <m/>
    <m/>
    <s v="For Monitoring"/>
  </r>
  <r>
    <x v="4"/>
    <s v="Magalang"/>
    <s v="Santa Maria"/>
    <s v="MBA"/>
    <s v="Roger T. Encarnacion II"/>
    <s v="Jun D. Guillermo"/>
    <m/>
    <m/>
    <m/>
    <x v="0"/>
    <m/>
    <m/>
    <m/>
    <s v="For Monitoring"/>
  </r>
  <r>
    <x v="3"/>
    <s v="Gerona"/>
    <s v="Bularit"/>
    <s v="OUTSIDE MBA"/>
    <m/>
    <m/>
    <n v="2024"/>
    <d v="2024-10-08T00:00:00"/>
    <m/>
    <x v="0"/>
    <m/>
    <s v="MRS"/>
    <s v="OPERATIONAL"/>
    <s v="Technical Assistance"/>
  </r>
  <r>
    <x v="3"/>
    <s v="Gerona"/>
    <s v="Calayaan"/>
    <s v="OUTSIDE MBA"/>
    <m/>
    <m/>
    <n v="2024"/>
    <d v="2024-04-04T00:00:00"/>
    <m/>
    <x v="0"/>
    <m/>
    <m/>
    <m/>
    <s v="Technical Assistance"/>
  </r>
  <r>
    <x v="4"/>
    <s v="Masantol"/>
    <s v="Santa Lucia Wakas"/>
    <s v="MBA"/>
    <s v="Glaiza S. Gaza"/>
    <s v="John Sherwin Y. Loquellano"/>
    <m/>
    <m/>
    <m/>
    <x v="0"/>
    <m/>
    <m/>
    <m/>
    <s v="For Monitoring"/>
  </r>
  <r>
    <x v="3"/>
    <s v="Gerona"/>
    <s v="Cardona"/>
    <s v="OUTSIDE MBA"/>
    <m/>
    <m/>
    <n v="2025"/>
    <d v="2025-04-08T00:00:00"/>
    <s v="R3-2025-011899"/>
    <x v="0"/>
    <m/>
    <s v="MRS"/>
    <s v="OPERATIONAL"/>
    <s v="Technical Assistance"/>
  </r>
  <r>
    <x v="3"/>
    <s v="Gerona"/>
    <s v="Caturay"/>
    <s v="OUTSIDE MBA"/>
    <m/>
    <m/>
    <n v="2024"/>
    <d v="2024-09-17T00:00:00"/>
    <m/>
    <x v="0"/>
    <m/>
    <s v="MRS"/>
    <s v="OPERATIONAL"/>
    <s v="Technical Assistance"/>
  </r>
  <r>
    <x v="3"/>
    <s v="Gerona"/>
    <s v="Danzo"/>
    <s v="OUTSIDE MBA"/>
    <m/>
    <m/>
    <n v="2024"/>
    <d v="2024-06-13T00:00:00"/>
    <m/>
    <x v="0"/>
    <m/>
    <m/>
    <m/>
    <s v="Technical Assistance"/>
  </r>
  <r>
    <x v="3"/>
    <s v="Gerona"/>
    <s v="Dicolor"/>
    <s v="OUTSIDE MBA"/>
    <m/>
    <m/>
    <n v="2025"/>
    <d v="2025-05-16T00:00:00"/>
    <s v="R3-2025-016542"/>
    <x v="0"/>
    <m/>
    <s v="NO FACILITY"/>
    <s v="CATER BY LGU"/>
    <s v="Technical Assistance"/>
  </r>
  <r>
    <x v="4"/>
    <s v="Mexico"/>
    <s v="Acli"/>
    <s v="MBA"/>
    <s v="Roger T. Encarnacion II"/>
    <s v="Jun D. Guillermo"/>
    <m/>
    <m/>
    <m/>
    <x v="0"/>
    <m/>
    <m/>
    <m/>
    <s v="For Monitoring"/>
  </r>
  <r>
    <x v="3"/>
    <s v="Gerona"/>
    <s v="Luna"/>
    <s v="OUTSIDE MBA"/>
    <m/>
    <m/>
    <n v="2024"/>
    <d v="2024-10-03T00:00:00"/>
    <m/>
    <x v="0"/>
    <m/>
    <s v="MRF"/>
    <s v="OPERATIONAL"/>
    <s v="Technical Assistance"/>
  </r>
  <r>
    <x v="4"/>
    <s v="Mexico"/>
    <s v="Anao"/>
    <s v="MBA"/>
    <s v="Roger T. Encarnacion II"/>
    <s v="Jun D. Guillermo"/>
    <m/>
    <m/>
    <m/>
    <x v="0"/>
    <m/>
    <m/>
    <m/>
    <s v="For Monitoring"/>
  </r>
  <r>
    <x v="4"/>
    <s v="Mexico"/>
    <s v="Balas"/>
    <s v="MBA"/>
    <s v="Roger T. Encarnacion II"/>
    <s v="Jun D. Guillermo"/>
    <m/>
    <m/>
    <m/>
    <x v="0"/>
    <m/>
    <m/>
    <m/>
    <s v="For Monitoring"/>
  </r>
  <r>
    <x v="4"/>
    <s v="Mexico"/>
    <s v="Buenavista"/>
    <s v="MBA"/>
    <s v="Roger T. Encarnacion II"/>
    <s v="Jun D. Guillermo"/>
    <m/>
    <m/>
    <m/>
    <x v="0"/>
    <m/>
    <m/>
    <m/>
    <s v="For Monitoring"/>
  </r>
  <r>
    <x v="4"/>
    <s v="Mexico"/>
    <s v="Santo Rosario"/>
    <s v="MBA"/>
    <s v="Roger T. Encarnacion II"/>
    <s v="Jun D. Guillermo"/>
    <m/>
    <m/>
    <m/>
    <x v="0"/>
    <m/>
    <m/>
    <m/>
    <s v="For Monitoring"/>
  </r>
  <r>
    <x v="4"/>
    <s v="Mexico"/>
    <s v="Sapang Maisac"/>
    <s v="MBA"/>
    <s v="Roger T. Encarnacion II"/>
    <s v="Jun D. Guillermo"/>
    <m/>
    <m/>
    <m/>
    <x v="0"/>
    <m/>
    <m/>
    <m/>
    <s v="For Monitoring"/>
  </r>
  <r>
    <x v="3"/>
    <s v="Gerona"/>
    <s v="New Salem"/>
    <s v="OUTSIDE MBA"/>
    <m/>
    <m/>
    <n v="2025"/>
    <d v="2025-08-06T00:00:00"/>
    <s v="R3-2025-026427"/>
    <x v="0"/>
    <m/>
    <s v="MRF"/>
    <s v="OPERATIONAL"/>
    <s v="Technical Assistance"/>
  </r>
  <r>
    <x v="4"/>
    <s v="Mexico"/>
    <s v="Suclaban"/>
    <s v="MBA"/>
    <s v="Roger T. Encarnacion II"/>
    <s v="Jun D. Guillermo"/>
    <m/>
    <m/>
    <m/>
    <x v="0"/>
    <m/>
    <m/>
    <m/>
    <s v="For Monitoring"/>
  </r>
  <r>
    <x v="4"/>
    <s v="Mexico"/>
    <s v="Tangle"/>
    <s v="MBA"/>
    <s v="Roger T. Encarnacion II"/>
    <s v="Jun D. Guillermo"/>
    <m/>
    <m/>
    <m/>
    <x v="0"/>
    <m/>
    <m/>
    <m/>
    <s v="For Monitoring"/>
  </r>
  <r>
    <x v="3"/>
    <s v="Gerona"/>
    <s v="Parsolingan"/>
    <s v="OUTSIDE MBA"/>
    <m/>
    <m/>
    <n v="2024"/>
    <d v="2024-09-09T00:00:00"/>
    <m/>
    <x v="0"/>
    <m/>
    <s v="MRS"/>
    <s v="OPERATIONAL"/>
    <s v="Technical Assistance"/>
  </r>
  <r>
    <x v="4"/>
    <s v="Sta. Ana"/>
    <s v="San Joaquin (Pob.)"/>
    <s v="MBA"/>
    <s v="Roger T. Encarnacion II"/>
    <s v="Jun D. Guillermo"/>
    <m/>
    <m/>
    <m/>
    <x v="0"/>
    <m/>
    <m/>
    <m/>
    <s v="For Monitoring"/>
  </r>
  <r>
    <x v="3"/>
    <s v="Gerona"/>
    <s v="Plastado"/>
    <s v="OUTSIDE MBA"/>
    <m/>
    <m/>
    <n v="2025"/>
    <d v="2025-06-11T00:00:00"/>
    <s v="R3-2025-019620"/>
    <x v="0"/>
    <m/>
    <s v="MRS"/>
    <s v="OPERATIONAL"/>
    <s v="Technical Assistance"/>
  </r>
  <r>
    <x v="3"/>
    <s v="Gerona"/>
    <s v="Poblacion 1"/>
    <s v="OUTSIDE MBA"/>
    <m/>
    <m/>
    <n v="2024"/>
    <d v="2024-11-06T00:00:00"/>
    <m/>
    <x v="0"/>
    <m/>
    <s v="MRS"/>
    <s v="OPERATIONAL"/>
    <s v="Technical Assistance"/>
  </r>
  <r>
    <x v="3"/>
    <s v="Gerona"/>
    <s v="Poblacion 2"/>
    <s v="OUTSIDE MBA"/>
    <m/>
    <m/>
    <n v="2024"/>
    <d v="2024-04-04T00:00:00"/>
    <m/>
    <x v="0"/>
    <m/>
    <m/>
    <m/>
    <s v="Technical Assistance"/>
  </r>
  <r>
    <x v="4"/>
    <s v="Sta. Ana"/>
    <s v="Santo Rosario"/>
    <s v="MBA"/>
    <s v="Roger T. Encarnacion II"/>
    <s v="Jun D. Guillermo"/>
    <m/>
    <m/>
    <m/>
    <x v="0"/>
    <m/>
    <m/>
    <m/>
    <s v="For Monitoring"/>
  </r>
  <r>
    <x v="3"/>
    <s v="Gerona"/>
    <s v="Quezon"/>
    <s v="OUTSIDE MBA"/>
    <m/>
    <m/>
    <n v="2025"/>
    <d v="2025-08-06T00:00:00"/>
    <s v="R3-2025-026428"/>
    <x v="0"/>
    <m/>
    <s v="MRS"/>
    <s v="OPERATIONAL"/>
    <s v="Technical Assistance"/>
  </r>
  <r>
    <x v="4"/>
    <s v="Sta. Rita"/>
    <s v="Dila-dila"/>
    <s v="MBA"/>
    <s v="VACANT"/>
    <s v="Jun D. Guillermo"/>
    <m/>
    <m/>
    <m/>
    <x v="0"/>
    <m/>
    <m/>
    <m/>
    <s v="For Monitoring"/>
  </r>
  <r>
    <x v="3"/>
    <s v="Gerona"/>
    <s v="Salapungan"/>
    <s v="OUTSIDE MBA"/>
    <m/>
    <m/>
    <n v="2024"/>
    <d v="2024-04-04T00:00:00"/>
    <m/>
    <x v="0"/>
    <m/>
    <m/>
    <m/>
    <s v="Technical Assistance"/>
  </r>
  <r>
    <x v="3"/>
    <s v="Gerona"/>
    <s v="San Agustin"/>
    <s v="OUTSIDE MBA"/>
    <m/>
    <m/>
    <n v="2024"/>
    <d v="2024-11-12T00:00:00"/>
    <m/>
    <x v="0"/>
    <m/>
    <s v="MRS"/>
    <s v="OPERATIONAL"/>
    <s v="Technical Assistance"/>
  </r>
  <r>
    <x v="4"/>
    <s v="Sta. Rita"/>
    <s v="San Matias"/>
    <s v="MBA"/>
    <s v="VACANT"/>
    <s v="Jun D. Guillermo"/>
    <m/>
    <m/>
    <m/>
    <x v="0"/>
    <m/>
    <m/>
    <m/>
    <s v="For Monitoring"/>
  </r>
  <r>
    <x v="3"/>
    <s v="Gerona"/>
    <s v="San Bartolome"/>
    <s v="OUTSIDE MBA"/>
    <m/>
    <m/>
    <n v="2025"/>
    <d v="2025-07-10T00:00:00"/>
    <s v="R3-2025-023128"/>
    <x v="0"/>
    <m/>
    <s v="MRS"/>
    <s v="OPERATIONAL"/>
    <s v="Technical Assistance"/>
  </r>
  <r>
    <x v="3"/>
    <s v="Sta. Ignacia"/>
    <s v="Botbotones"/>
    <s v="OUTSIDE MBA"/>
    <s v="Joshua A. Capones"/>
    <s v="Jan Emerson C. Gonzales"/>
    <m/>
    <m/>
    <m/>
    <x v="0"/>
    <m/>
    <m/>
    <m/>
    <s v="For Monitoring"/>
  </r>
  <r>
    <x v="3"/>
    <s v="Gerona"/>
    <s v="Santa Lucia"/>
    <s v="OUTSIDE MBA"/>
    <m/>
    <m/>
    <n v="2025"/>
    <d v="2025-07-10T00:00:00"/>
    <s v="R3-2025-023126"/>
    <x v="0"/>
    <m/>
    <s v="MRS"/>
    <s v="OPERATIONAL"/>
    <s v="Technical Assistance"/>
  </r>
  <r>
    <x v="3"/>
    <s v="Gerona"/>
    <s v="Santiago"/>
    <s v="OUTSIDE MBA"/>
    <m/>
    <m/>
    <n v="2025"/>
    <d v="2025-08-06T00:00:00"/>
    <s v="R3-2025-026429"/>
    <x v="0"/>
    <m/>
    <s v="MRS"/>
    <s v="OPERATIONAL"/>
    <s v="Technical Assistance"/>
  </r>
  <r>
    <x v="3"/>
    <s v="Gerona"/>
    <s v="Sembrano"/>
    <s v="OUTSIDE MBA"/>
    <m/>
    <m/>
    <n v="2024"/>
    <d v="2024-11-06T00:00:00"/>
    <m/>
    <x v="0"/>
    <m/>
    <s v="MRF"/>
    <s v="OPERATIONAL"/>
    <s v="Technical Assistance"/>
  </r>
  <r>
    <x v="3"/>
    <s v="Sta. Ignacia"/>
    <s v="Caduldulaoan"/>
    <s v="OUTSIDE MBA"/>
    <s v="Joshua A. Capones"/>
    <s v="Jan Emerson C. Gonzales"/>
    <m/>
    <m/>
    <m/>
    <x v="0"/>
    <m/>
    <m/>
    <m/>
    <s v="For Monitoring"/>
  </r>
  <r>
    <x v="3"/>
    <s v="Gerona"/>
    <s v="Sulipa"/>
    <s v="OUTSIDE MBA"/>
    <m/>
    <m/>
    <n v="2024"/>
    <d v="2024-11-07T00:00:00"/>
    <m/>
    <x v="0"/>
    <m/>
    <s v="MRF"/>
    <s v="OPERATIONAL"/>
    <s v="Technical Assistance"/>
  </r>
  <r>
    <x v="3"/>
    <s v="Sta. Ignacia"/>
    <s v="Pilpila"/>
    <s v="OUTSIDE MBA"/>
    <s v="Joshua A. Capones"/>
    <s v="Jan Emerson C. Gonzales"/>
    <m/>
    <m/>
    <m/>
    <x v="0"/>
    <m/>
    <m/>
    <m/>
    <s v="For Monitoring"/>
  </r>
  <r>
    <x v="3"/>
    <s v="Sta. Ignacia"/>
    <s v="Pinpinas"/>
    <s v="OUTSIDE MBA"/>
    <s v="Joshua A. Capones"/>
    <s v="Jan Emerson C. Gonzales"/>
    <m/>
    <m/>
    <m/>
    <x v="0"/>
    <m/>
    <m/>
    <m/>
    <s v="For Monitoring"/>
  </r>
  <r>
    <x v="3"/>
    <s v="Sta. Ignacia"/>
    <s v="Pugo-Cecilio"/>
    <s v="OUTSIDE MBA"/>
    <s v="Joshua A. Capones"/>
    <s v="Jan Emerson C. Gonzales"/>
    <m/>
    <m/>
    <m/>
    <x v="0"/>
    <m/>
    <m/>
    <m/>
    <s v="For Monitoring"/>
  </r>
  <r>
    <x v="3"/>
    <s v="La Paz"/>
    <s v="Motrico"/>
    <s v="MBA"/>
    <m/>
    <m/>
    <n v="2025"/>
    <d v="2025-09-10T00:00:00"/>
    <s v="R3-2025-031318"/>
    <x v="0"/>
    <m/>
    <s v="MRS"/>
    <s v="OPERATIONAL"/>
    <s v="Technical Assistance"/>
  </r>
  <r>
    <x v="3"/>
    <s v="La Paz"/>
    <s v="Balanoy"/>
    <s v="MBA"/>
    <m/>
    <m/>
    <n v="2025"/>
    <d v="2025-04-02T00:00:00"/>
    <s v="R3-2025-011691"/>
    <x v="0"/>
    <m/>
    <s v="NO FACILITY"/>
    <s v="CATER BY LGU"/>
    <s v="Technical Assistance"/>
  </r>
  <r>
    <x v="3"/>
    <s v="La Paz"/>
    <s v="Bantog"/>
    <s v="MBA"/>
    <m/>
    <m/>
    <n v="2025"/>
    <d v="2025-08-08T00:00:00"/>
    <s v="R3-2025-027592"/>
    <x v="0"/>
    <m/>
    <s v="MRS"/>
    <s v="OPERATIONAL"/>
    <s v="Technical Assistance"/>
  </r>
  <r>
    <x v="3"/>
    <s v="La Paz"/>
    <s v="Caramutan"/>
    <s v="MBA"/>
    <m/>
    <m/>
    <n v="2025"/>
    <d v="2025-04-02T00:00:00"/>
    <s v="R3-2025-011693"/>
    <x v="0"/>
    <m/>
    <s v="NO FACILITY"/>
    <s v="Not Applicable"/>
    <s v="Technical Assistance"/>
  </r>
  <r>
    <x v="3"/>
    <s v="La Paz"/>
    <s v="Caut"/>
    <s v="MBA"/>
    <m/>
    <m/>
    <n v="2024"/>
    <d v="2024-11-06T00:00:00"/>
    <m/>
    <x v="0"/>
    <m/>
    <s v="MRS"/>
    <s v="OPERATIONAL"/>
    <s v="Technical Assistance"/>
  </r>
  <r>
    <x v="3"/>
    <s v="La Paz"/>
    <s v="Comillas"/>
    <s v="MBA"/>
    <m/>
    <m/>
    <n v="2025"/>
    <d v="2025-08-08T00:00:00"/>
    <s v="R3-2025-027590"/>
    <x v="0"/>
    <m/>
    <s v="NO FACILITY"/>
    <s v="CATER BY LGU"/>
    <s v="Technical Assistance"/>
  </r>
  <r>
    <x v="3"/>
    <s v="La Paz"/>
    <s v="Dumarais"/>
    <s v="MBA"/>
    <m/>
    <m/>
    <n v="2024"/>
    <d v="2024-10-03T00:00:00"/>
    <m/>
    <x v="0"/>
    <m/>
    <s v="MRF"/>
    <s v="OPERATIONAL"/>
    <s v="Technical Assistance"/>
  </r>
  <r>
    <x v="3"/>
    <s v="La Paz"/>
    <s v="Guevarra"/>
    <s v="MBA"/>
    <m/>
    <m/>
    <n v="2025"/>
    <d v="2025-08-07T00:00:00"/>
    <s v="R3-2025-027598"/>
    <x v="0"/>
    <m/>
    <s v="NO FACILITY"/>
    <s v="CATER BY LGU"/>
    <s v="Technical Assistance"/>
  </r>
  <r>
    <x v="3"/>
    <s v="La Paz"/>
    <s v="Kapanikian"/>
    <s v="MBA"/>
    <m/>
    <m/>
    <n v="2024"/>
    <d v="2024-09-10T00:00:00"/>
    <m/>
    <x v="0"/>
    <m/>
    <s v="MRF"/>
    <s v="OPERATIONAL"/>
    <s v="Technical Assistance"/>
  </r>
  <r>
    <x v="3"/>
    <s v="La Paz"/>
    <s v="La Purisima"/>
    <s v="MBA"/>
    <m/>
    <m/>
    <n v="2025"/>
    <d v="2025-08-07T00:00:00"/>
    <s v="R3-2025-027597"/>
    <x v="0"/>
    <m/>
    <s v="MRS"/>
    <s v="OPERATIONAL"/>
    <s v="Technical Assistance"/>
  </r>
  <r>
    <x v="3"/>
    <s v="La Paz"/>
    <s v="Lara"/>
    <s v="MBA"/>
    <m/>
    <m/>
    <n v="2024"/>
    <d v="2024-06-13T00:00:00"/>
    <m/>
    <x v="0"/>
    <m/>
    <m/>
    <m/>
    <s v="Technical Assistance"/>
  </r>
  <r>
    <x v="3"/>
    <s v="La Paz"/>
    <s v="Laungcupang"/>
    <s v="MBA"/>
    <m/>
    <m/>
    <n v="2025"/>
    <d v="2025-08-08T00:00:00"/>
    <s v="R3-2025-027595"/>
    <x v="0"/>
    <m/>
    <s v="NO FACILITY"/>
    <s v="CATER BY LGU"/>
    <s v="Technical Assistance"/>
  </r>
  <r>
    <x v="3"/>
    <s v="La Paz"/>
    <s v="Lomboy"/>
    <s v="MBA"/>
    <m/>
    <m/>
    <n v="2025"/>
    <d v="2025-08-07T00:00:00"/>
    <s v="R3-2025-027600"/>
    <x v="0"/>
    <m/>
    <s v="NO FACILITY"/>
    <s v="CATER BY LGU"/>
    <s v="Technical Assistance"/>
  </r>
  <r>
    <x v="3"/>
    <s v="La Paz"/>
    <s v="Macalong"/>
    <s v="MBA"/>
    <m/>
    <m/>
    <n v="2024"/>
    <d v="2024-04-02T00:00:00"/>
    <m/>
    <x v="0"/>
    <m/>
    <m/>
    <m/>
    <s v="Technical Assistance"/>
  </r>
  <r>
    <x v="3"/>
    <s v="La Paz"/>
    <s v="Matayumtayum"/>
    <s v="MBA"/>
    <m/>
    <m/>
    <n v="2024"/>
    <d v="2024-05-07T00:00:00"/>
    <m/>
    <x v="0"/>
    <m/>
    <m/>
    <m/>
    <s v="Technical Assistance"/>
  </r>
  <r>
    <x v="3"/>
    <s v="La Paz"/>
    <s v="Mayang"/>
    <s v="MBA"/>
    <m/>
    <m/>
    <n v="2024"/>
    <d v="2024-09-10T00:00:00"/>
    <m/>
    <x v="0"/>
    <m/>
    <s v="MRF"/>
    <s v="OPERATIONAL"/>
    <s v="Technical Assistance"/>
  </r>
  <r>
    <x v="3"/>
    <s v="La Paz"/>
    <s v="Paludpud"/>
    <s v="MBA"/>
    <m/>
    <m/>
    <n v="2025"/>
    <d v="2025-09-09T00:00:00"/>
    <s v="R3-2025-031314"/>
    <x v="0"/>
    <m/>
    <s v="NO FACILITY"/>
    <s v="CATER BY LGU"/>
    <s v="Technical Assistance"/>
  </r>
  <r>
    <x v="3"/>
    <s v="La Paz"/>
    <s v="Rizal"/>
    <s v="MBA"/>
    <m/>
    <m/>
    <n v="2025"/>
    <d v="2025-09-09T00:00:00"/>
    <s v="R3-2025-031312"/>
    <x v="0"/>
    <m/>
    <s v="NO FACILITY"/>
    <s v="CATER BY LGU"/>
    <s v="Technical Assistance"/>
  </r>
  <r>
    <x v="3"/>
    <s v="La Paz"/>
    <s v="San Isidro (Pob.)"/>
    <s v="MBA"/>
    <m/>
    <m/>
    <n v="2025"/>
    <d v="2025-09-09T00:00:00"/>
    <s v="R3-2025-031307"/>
    <x v="0"/>
    <m/>
    <s v="NO FACILITY"/>
    <s v="CATER BY LGU"/>
    <s v="Technical Assistance"/>
  </r>
  <r>
    <x v="3"/>
    <s v="La Paz"/>
    <s v="San Roque (Pob.)"/>
    <s v="MBA"/>
    <m/>
    <m/>
    <n v="2025"/>
    <d v="2025-09-09T00:00:00"/>
    <s v="R3-2025-031310"/>
    <x v="0"/>
    <m/>
    <s v="NO FACILITY"/>
    <s v="CATER BY LGU"/>
    <s v="Technical Assistance"/>
  </r>
  <r>
    <x v="3"/>
    <s v="La Paz"/>
    <s v="Sierra"/>
    <s v="MBA"/>
    <m/>
    <m/>
    <n v="2025"/>
    <d v="2025-09-10T00:00:00"/>
    <s v="R3-2025-031321"/>
    <x v="0"/>
    <m/>
    <s v="NO FACILITY"/>
    <s v="CATER BY LGU"/>
    <s v="Technical Assistance"/>
  </r>
  <r>
    <x v="3"/>
    <s v="Mayantoc"/>
    <s v="Ambalingit"/>
    <s v="OUTSIDE MBA"/>
    <m/>
    <m/>
    <n v="2025"/>
    <d v="2025-03-05T00:00:00"/>
    <s v="R3-2025-008069"/>
    <x v="0"/>
    <m/>
    <s v="MRF"/>
    <s v="OPERATIONAL"/>
    <s v="Technical Assistance"/>
  </r>
  <r>
    <x v="3"/>
    <s v="Concepcion"/>
    <s v="Mabilog"/>
    <s v="MBA"/>
    <s v="Gretzhen M. Apolonio"/>
    <s v="Jan Emerson C. Gonzales"/>
    <m/>
    <m/>
    <m/>
    <x v="4"/>
    <m/>
    <m/>
    <m/>
    <s v="For Monitoring"/>
  </r>
  <r>
    <x v="3"/>
    <s v="Mayantoc"/>
    <s v="Bigbiga"/>
    <s v="OUTSIDE MBA"/>
    <m/>
    <m/>
    <n v="2025"/>
    <d v="2025-10-10T00:00:00"/>
    <s v="R3-2025-034451"/>
    <x v="0"/>
    <m/>
    <s v="MRS"/>
    <s v="OPERATIONAL"/>
    <s v="Technical Assistance"/>
  </r>
  <r>
    <x v="3"/>
    <s v="Concepcion"/>
    <s v="Magao"/>
    <s v="MBA"/>
    <s v="Gretzhen M. Apolonio"/>
    <s v="Jan Emerson C. Gonzales"/>
    <m/>
    <m/>
    <m/>
    <x v="4"/>
    <m/>
    <m/>
    <m/>
    <s v="For Monitoring"/>
  </r>
  <r>
    <x v="3"/>
    <s v="Mayantoc"/>
    <s v="Calabtangan"/>
    <s v="OUTSIDE MBA"/>
    <m/>
    <m/>
    <n v="2024"/>
    <d v="2024-04-17T00:00:00"/>
    <m/>
    <x v="0"/>
    <m/>
    <m/>
    <m/>
    <s v="Technical Assistance"/>
  </r>
  <r>
    <x v="3"/>
    <s v="Concepcion"/>
    <s v="Malupa"/>
    <s v="MBA"/>
    <s v="Gretzhen M. Apolonio"/>
    <s v="Jan Emerson C. Gonzales"/>
    <m/>
    <m/>
    <m/>
    <x v="4"/>
    <m/>
    <m/>
    <m/>
    <s v="For Monitoring"/>
  </r>
  <r>
    <x v="3"/>
    <s v="Concepcion"/>
    <s v="Panalicsian"/>
    <s v="MBA"/>
    <s v="Gretzhen M. Apolonio"/>
    <s v="Jan Emerson C. Gonzales"/>
    <m/>
    <m/>
    <m/>
    <x v="4"/>
    <m/>
    <m/>
    <m/>
    <s v="For Monitoring"/>
  </r>
  <r>
    <x v="3"/>
    <s v="Mayantoc"/>
    <s v="Cubcub"/>
    <s v="OUTSIDE MBA"/>
    <m/>
    <m/>
    <n v="2025"/>
    <d v="2025-03-05T00:00:00"/>
    <s v="R3-2025-008074"/>
    <x v="0"/>
    <m/>
    <s v="MRF"/>
    <s v="NON-OPERATIONAL"/>
    <s v="Technical Assistance"/>
  </r>
  <r>
    <x v="3"/>
    <s v="Concepcion"/>
    <s v="Pando"/>
    <s v="MBA"/>
    <s v="Gretzhen M. Apolonio"/>
    <s v="Jan Emerson C. Gonzales"/>
    <m/>
    <m/>
    <m/>
    <x v="4"/>
    <m/>
    <m/>
    <m/>
    <s v="For Monitoring"/>
  </r>
  <r>
    <x v="3"/>
    <s v="Tarlac City (Capital)"/>
    <s v="Cut-cut II"/>
    <s v="MBA"/>
    <s v="Joshua A. Capones"/>
    <s v="Jan Emerson C. Gonzales"/>
    <m/>
    <m/>
    <m/>
    <x v="4"/>
    <m/>
    <m/>
    <m/>
    <s v="For Monitoring"/>
  </r>
  <r>
    <x v="3"/>
    <s v="Tarlac City (Capital)"/>
    <s v="Mabini"/>
    <s v="MBA"/>
    <s v="Joshua A. Capones"/>
    <s v="Jan Emerson C. Gonzales"/>
    <m/>
    <m/>
    <m/>
    <x v="4"/>
    <m/>
    <m/>
    <m/>
    <s v="For Monitoring"/>
  </r>
  <r>
    <x v="3"/>
    <s v="Mayantoc"/>
    <s v="Mamonit"/>
    <s v="OUTSIDE MBA"/>
    <m/>
    <m/>
    <n v="2025"/>
    <d v="2025-10-10T00:00:00"/>
    <s v="R3-2025-034453"/>
    <x v="0"/>
    <m/>
    <s v="MRS"/>
    <s v="OPERATIONAL"/>
    <s v="Technical Assistance"/>
  </r>
  <r>
    <x v="3"/>
    <s v="Tarlac City (Capital)"/>
    <s v="Maligaya"/>
    <s v="MBA"/>
    <s v="Joshua A. Capones"/>
    <s v="Jan Emerson C. Gonzales"/>
    <m/>
    <m/>
    <m/>
    <x v="4"/>
    <m/>
    <m/>
    <m/>
    <s v="For Monitoring"/>
  </r>
  <r>
    <x v="3"/>
    <s v="Mayantoc"/>
    <s v="Mapandan"/>
    <s v="OUTSIDE MBA"/>
    <m/>
    <m/>
    <n v="2025"/>
    <d v="2025-10-10T00:00:00"/>
    <s v="R3-2025-034457"/>
    <x v="0"/>
    <m/>
    <s v="MRF"/>
    <s v="OPERATIONAL"/>
    <s v="Technical Assistance"/>
  </r>
  <r>
    <x v="3"/>
    <s v="Tarlac City (Capital)"/>
    <s v="Maliwalo"/>
    <s v="MBA"/>
    <s v="Joshua A. Capones"/>
    <s v="Jan Emerson C. Gonzales"/>
    <m/>
    <m/>
    <m/>
    <x v="4"/>
    <m/>
    <m/>
    <m/>
    <s v="For Monitoring"/>
  </r>
  <r>
    <x v="3"/>
    <s v="Mayantoc"/>
    <s v="Pedro L. Quines"/>
    <s v="OUTSIDE MBA"/>
    <m/>
    <m/>
    <n v="2025"/>
    <d v="2025-10-10T00:00:00"/>
    <s v="R3-2025-034463"/>
    <x v="0"/>
    <m/>
    <s v="MRS"/>
    <s v="OPERATIONAL"/>
    <s v="Technical Assistance"/>
  </r>
  <r>
    <x v="3"/>
    <s v="Mayantoc"/>
    <s v="Pitombayog"/>
    <s v="OUTSIDE MBA"/>
    <m/>
    <m/>
    <n v="2025"/>
    <d v="2025-10-10T00:00:00"/>
    <s v="R3-2025-034466"/>
    <x v="0"/>
    <m/>
    <s v="MRS"/>
    <s v="OPERATIONAL"/>
    <s v="Technical Assistance"/>
  </r>
  <r>
    <x v="3"/>
    <s v="Mayantoc"/>
    <s v="Poblacion Norte"/>
    <s v="OUTSIDE MBA"/>
    <m/>
    <m/>
    <n v="2025"/>
    <d v="2025-02-27T00:00:00"/>
    <s v="R3-2025-006965"/>
    <x v="0"/>
    <m/>
    <s v="MRF"/>
    <s v="OPERATIONAL"/>
    <s v="Technical Assistance"/>
  </r>
  <r>
    <x v="3"/>
    <s v="Mayantoc"/>
    <s v="Poblacion Sur"/>
    <s v="OUTSIDE MBA"/>
    <m/>
    <m/>
    <n v="2025"/>
    <d v="2025-03-12T00:00:00"/>
    <s v="R3-2025-009250"/>
    <x v="0"/>
    <m/>
    <s v="MRF"/>
    <s v="OPERATIONAL"/>
    <s v="Technical Assistance"/>
  </r>
  <r>
    <x v="3"/>
    <s v="Mayantoc"/>
    <s v="Rotrottooc"/>
    <s v="OUTSIDE MBA"/>
    <m/>
    <m/>
    <n v="2024"/>
    <d v="2024-11-12T00:00:00"/>
    <m/>
    <x v="0"/>
    <m/>
    <s v="MRF"/>
    <s v="OPERATIONAL"/>
    <s v="Technical Assistance"/>
  </r>
  <r>
    <x v="3"/>
    <s v="Tarlac City (Capital)"/>
    <s v="Mapalacsiao"/>
    <s v="MBA"/>
    <s v="Joshua A. Capones"/>
    <s v="Jan Emerson C. Gonzales"/>
    <m/>
    <m/>
    <m/>
    <x v="4"/>
    <m/>
    <m/>
    <m/>
    <s v="For Monitoring"/>
  </r>
  <r>
    <x v="3"/>
    <s v="Tarlac City (Capital)"/>
    <s v="Matadero"/>
    <s v="MBA"/>
    <s v="Joshua A. Capones"/>
    <s v="Jan Emerson C. Gonzales"/>
    <m/>
    <m/>
    <m/>
    <x v="4"/>
    <m/>
    <m/>
    <m/>
    <s v="For Monitoring"/>
  </r>
  <r>
    <x v="3"/>
    <s v="Tarlac City (Capital)"/>
    <s v="Matatalaib"/>
    <s v="MBA"/>
    <s v="Joshua A. Capones"/>
    <s v="Jan Emerson C. Gonzales"/>
    <m/>
    <m/>
    <m/>
    <x v="4"/>
    <m/>
    <m/>
    <m/>
    <s v="For Monitoring"/>
  </r>
  <r>
    <x v="3"/>
    <s v="Mayantoc"/>
    <s v="Tangcarang (Melecio Manganaan)"/>
    <s v="OUTSIDE MBA"/>
    <m/>
    <m/>
    <n v="2025"/>
    <d v="2025-10-10T00:00:00"/>
    <s v="R3-2025-034458"/>
    <x v="0"/>
    <m/>
    <s v="MRF"/>
    <s v="OPERATIONAL"/>
    <s v="Technical Assistance"/>
  </r>
  <r>
    <x v="3"/>
    <s v="Tarlac City (Capital)"/>
    <s v="Paraiso"/>
    <s v="MBA"/>
    <s v="Joshua A. Capones"/>
    <s v="Jan Emerson C. Gonzales"/>
    <m/>
    <m/>
    <m/>
    <x v="4"/>
    <m/>
    <m/>
    <m/>
    <s v="For Monitoring"/>
  </r>
  <r>
    <x v="3"/>
    <s v="Moncada"/>
    <s v="Aringin"/>
    <s v="OUTSIDE MBA"/>
    <m/>
    <m/>
    <n v="2025"/>
    <d v="2025-02-07T00:00:00"/>
    <s v="R3-2025-004495"/>
    <x v="0"/>
    <m/>
    <s v="MRF"/>
    <s v="OPERATIONAL"/>
    <s v="Technical Assistance"/>
  </r>
  <r>
    <x v="3"/>
    <s v="Tarlac City (Capital)"/>
    <s v="Poblacion"/>
    <s v="MBA"/>
    <s v="Joshua A. Capones"/>
    <s v="Jan Emerson C. Gonzales"/>
    <m/>
    <m/>
    <m/>
    <x v="5"/>
    <m/>
    <m/>
    <m/>
    <s v="For Monitoring"/>
  </r>
  <r>
    <x v="3"/>
    <s v="Moncada"/>
    <s v="Banaoang East"/>
    <s v="OUTSIDE MBA"/>
    <m/>
    <m/>
    <n v="2025"/>
    <d v="2025-10-09T00:00:00"/>
    <s v="R3-2025-034170"/>
    <x v="0"/>
    <m/>
    <s v="MRS"/>
    <s v="OPERATIONAL"/>
    <s v="Technical Assistance"/>
  </r>
  <r>
    <x v="3"/>
    <s v="Moncada"/>
    <s v="Banaoang West"/>
    <s v="OUTSIDE MBA"/>
    <m/>
    <m/>
    <n v="2025"/>
    <d v="2025-10-09T00:00:00"/>
    <s v="R3-2025-034172"/>
    <x v="0"/>
    <m/>
    <s v="MRS"/>
    <s v="OPERATIONAL"/>
    <s v="Technical Assistance"/>
  </r>
  <r>
    <x v="3"/>
    <s v="Moncada"/>
    <s v="Baquero Norte"/>
    <s v="OUTSIDE MBA"/>
    <m/>
    <m/>
    <n v="2024"/>
    <d v="2024-04-02T00:00:00"/>
    <m/>
    <x v="0"/>
    <m/>
    <m/>
    <m/>
    <s v="Technical Assistance"/>
  </r>
  <r>
    <x v="3"/>
    <s v="Moncada"/>
    <s v="Baquero Sur"/>
    <s v="OUTSIDE MBA"/>
    <m/>
    <m/>
    <n v="2025"/>
    <d v="2025-10-09T00:00:00"/>
    <s v="R3-2025-034175"/>
    <x v="0"/>
    <m/>
    <s v="MRS"/>
    <s v="OPERATIONAL"/>
    <s v="Technical Assistance"/>
  </r>
  <r>
    <x v="3"/>
    <s v="Tarlac City (Capital)"/>
    <s v="Sepung Calzada"/>
    <s v="MBA"/>
    <s v="Joshua A. Capones"/>
    <s v="Jan Emerson C. Gonzales"/>
    <m/>
    <m/>
    <m/>
    <x v="5"/>
    <m/>
    <m/>
    <m/>
    <s v="For Monitoring"/>
  </r>
  <r>
    <x v="3"/>
    <s v="Moncada"/>
    <s v="Calamay"/>
    <s v="OUTSIDE MBA"/>
    <m/>
    <m/>
    <n v="2024"/>
    <d v="2024-04-02T00:00:00"/>
    <m/>
    <x v="0"/>
    <m/>
    <m/>
    <m/>
    <s v="Technical Assistance"/>
  </r>
  <r>
    <x v="3"/>
    <s v="Tarlac City (Capital)"/>
    <s v="Sinait"/>
    <s v="MBA"/>
    <s v="Joshua A. Capones"/>
    <s v="Jan Emerson C. Gonzales"/>
    <m/>
    <m/>
    <m/>
    <x v="5"/>
    <m/>
    <m/>
    <m/>
    <s v="For Monitoring"/>
  </r>
  <r>
    <x v="3"/>
    <s v="Moncada"/>
    <s v="Camangaan East"/>
    <s v="OUTSIDE MBA"/>
    <m/>
    <m/>
    <n v="2025"/>
    <d v="2025-10-09T00:00:00"/>
    <s v="R3-2025-034176"/>
    <x v="0"/>
    <m/>
    <s v="MRS"/>
    <s v="OPERATIONAL"/>
    <s v="Technical Assistance"/>
  </r>
  <r>
    <x v="3"/>
    <s v="Moncada"/>
    <s v="Camangaan West"/>
    <s v="OUTSIDE MBA"/>
    <m/>
    <m/>
    <n v="2025"/>
    <d v="2025-09-17T00:00:00"/>
    <s v="R3-2025-031555"/>
    <x v="0"/>
    <m/>
    <s v="MRS"/>
    <s v="OPERATIONAL"/>
    <s v="Technical Assistance"/>
  </r>
  <r>
    <x v="5"/>
    <s v="City Of Olongapo"/>
    <s v="Old Cabalan"/>
    <s v="OUTSIDE MBA"/>
    <s v="Larizze Ann A. Santos"/>
    <s v="Jun D. Guillermo"/>
    <m/>
    <m/>
    <m/>
    <x v="2"/>
    <m/>
    <m/>
    <m/>
    <s v="For Monitoring"/>
  </r>
  <r>
    <x v="3"/>
    <s v="Moncada"/>
    <s v="Camposanto 1 - Sur"/>
    <s v="OUTSIDE MBA"/>
    <m/>
    <m/>
    <n v="2025"/>
    <d v="2025-03-14T00:00:00"/>
    <s v="R3-2025-008838"/>
    <x v="0"/>
    <m/>
    <s v="MRS"/>
    <s v="OPERATIONAL"/>
    <s v="Technical Assistance"/>
  </r>
  <r>
    <x v="2"/>
    <s v="City of Malolos (Capital)"/>
    <s v="Santo Cristo"/>
    <s v="MBA"/>
    <s v="Ronaldo P. Roque, Jr."/>
    <s v="Diozelle L. Cabalar"/>
    <m/>
    <m/>
    <m/>
    <x v="0"/>
    <m/>
    <m/>
    <m/>
    <s v="For Monitoring"/>
  </r>
  <r>
    <x v="3"/>
    <s v="Moncada"/>
    <s v="Capaoayan"/>
    <s v="OUTSIDE MBA"/>
    <m/>
    <m/>
    <n v="2025"/>
    <d v="2025-03-11T00:00:00"/>
    <s v="R3-2025-008837"/>
    <x v="0"/>
    <m/>
    <s v="MRS"/>
    <s v="OPERATIONAL"/>
    <s v="Technical Assistance"/>
  </r>
  <r>
    <x v="2"/>
    <s v="City of San Jose Del Monte"/>
    <s v="Sapang Palay"/>
    <s v="MBA"/>
    <s v="James Wilson T. Peña"/>
    <s v="Diozelle L. Cabalar"/>
    <m/>
    <m/>
    <m/>
    <x v="0"/>
    <m/>
    <m/>
    <m/>
    <s v="For Monitoring"/>
  </r>
  <r>
    <x v="3"/>
    <s v="Moncada"/>
    <s v="Mabini"/>
    <s v="OUTSIDE MBA"/>
    <m/>
    <m/>
    <n v="2025"/>
    <d v="2025-05-14T00:00:00"/>
    <s v="R3-2025-016469"/>
    <x v="0"/>
    <m/>
    <s v="NO FACILITY"/>
    <s v="CATER BY LGU"/>
    <s v="Technical Assistance"/>
  </r>
  <r>
    <x v="3"/>
    <s v="Moncada"/>
    <s v="Maluac"/>
    <s v="OUTSIDE MBA"/>
    <m/>
    <m/>
    <n v="2025"/>
    <d v="2025-05-14T00:00:00"/>
    <s v="R3-2025-016468"/>
    <x v="0"/>
    <m/>
    <s v="MRS"/>
    <s v="OPERATIONAL"/>
    <s v="Technical Assistance"/>
  </r>
  <r>
    <x v="2"/>
    <s v="City of San Jose Del Monte"/>
    <s v="St. Martin de Porres"/>
    <s v="MBA"/>
    <s v="James Wilson T. Peña"/>
    <s v="Diozelle L. Cabalar"/>
    <m/>
    <m/>
    <m/>
    <x v="0"/>
    <m/>
    <m/>
    <m/>
    <s v="For Monitoring"/>
  </r>
  <r>
    <x v="3"/>
    <s v="Moncada"/>
    <s v="Poblacion 2"/>
    <s v="OUTSIDE MBA"/>
    <m/>
    <m/>
    <n v="2025"/>
    <d v="2025-03-14T00:00:00"/>
    <s v="R3-2025-009290"/>
    <x v="0"/>
    <m/>
    <s v="MRS"/>
    <s v="OPERATIONAL"/>
    <s v="Technical Assistance"/>
  </r>
  <r>
    <x v="3"/>
    <s v="Moncada"/>
    <s v="Poblacion 3"/>
    <s v="OUTSIDE MBA"/>
    <m/>
    <m/>
    <n v="2025"/>
    <d v="2025-04-11T00:00:00"/>
    <s v="R3-2025-012429"/>
    <x v="0"/>
    <m/>
    <s v="MRS"/>
    <s v="OPERATIONAL"/>
    <s v="Technical Assistance"/>
  </r>
  <r>
    <x v="3"/>
    <s v="Moncada"/>
    <s v="Poblacion 4"/>
    <s v="OUTSIDE MBA"/>
    <m/>
    <m/>
    <n v="2025"/>
    <d v="2025-04-11T00:00:00"/>
    <s v="R3-2025-012430"/>
    <x v="0"/>
    <m/>
    <s v="NO FACILITY"/>
    <s v="Not Applicable"/>
    <s v="Technical Assistance"/>
  </r>
  <r>
    <x v="3"/>
    <s v="Moncada"/>
    <s v="Rizal"/>
    <s v="OUTSIDE MBA"/>
    <m/>
    <m/>
    <n v="2024"/>
    <d v="2024-10-02T00:00:00"/>
    <m/>
    <x v="0"/>
    <m/>
    <s v="MRS"/>
    <s v="OPERATIONAL"/>
    <s v="Technical Assistance"/>
  </r>
  <r>
    <x v="2"/>
    <s v="City of San Jose Del Monte"/>
    <s v="Tungkong Mangga"/>
    <s v="MBA"/>
    <s v="James Wilson T. Peña"/>
    <s v="Diozelle L. Cabalar"/>
    <m/>
    <m/>
    <m/>
    <x v="0"/>
    <m/>
    <m/>
    <m/>
    <s v="For Monitoring"/>
  </r>
  <r>
    <x v="3"/>
    <s v="Moncada"/>
    <s v="San Julian"/>
    <s v="OUTSIDE MBA"/>
    <m/>
    <m/>
    <n v="2025"/>
    <d v="2025-08-15T00:00:00"/>
    <s v="R3-2025-027534"/>
    <x v="0"/>
    <m/>
    <s v="MRS"/>
    <s v="OPERATIONAL"/>
    <s v="Technical Assistance"/>
  </r>
  <r>
    <x v="3"/>
    <s v="Moncada"/>
    <s v="San Leon"/>
    <s v="OUTSIDE MBA"/>
    <m/>
    <m/>
    <n v="2024"/>
    <d v="2024-10-02T00:00:00"/>
    <m/>
    <x v="0"/>
    <m/>
    <s v="MRF"/>
    <s v="OPERATIONAL"/>
    <s v="Technical Assistance"/>
  </r>
  <r>
    <x v="3"/>
    <s v="Moncada"/>
    <s v="San Pedro"/>
    <s v="OUTSIDE MBA"/>
    <m/>
    <m/>
    <n v="2024"/>
    <d v="2024-10-02T00:00:00"/>
    <m/>
    <x v="0"/>
    <m/>
    <s v="MRF"/>
    <s v="OPERATIONAL"/>
    <s v="Technical Assistance"/>
  </r>
  <r>
    <x v="2"/>
    <s v="Pandi"/>
    <s v="Santo Niño"/>
    <s v="MBA"/>
    <s v="Ronaldo P. Roque, Jr."/>
    <s v="Diozelle L. Cabalar"/>
    <m/>
    <m/>
    <m/>
    <x v="0"/>
    <m/>
    <m/>
    <m/>
    <s v="For Monitoring"/>
  </r>
  <r>
    <x v="2"/>
    <s v="San Ildefonso"/>
    <s v="Pulong Tamo"/>
    <s v="MBA"/>
    <s v="VACANT"/>
    <s v="Diozelle L. Cabalar"/>
    <m/>
    <m/>
    <m/>
    <x v="0"/>
    <m/>
    <m/>
    <m/>
    <s v="For Monitoring"/>
  </r>
  <r>
    <x v="3"/>
    <s v="Moncada"/>
    <s v="Santa Lucia West"/>
    <s v="OUTSIDE MBA"/>
    <m/>
    <m/>
    <n v="2024"/>
    <d v="2024-06-05T00:00:00"/>
    <m/>
    <x v="0"/>
    <m/>
    <m/>
    <m/>
    <s v="Technical Assistance"/>
  </r>
  <r>
    <x v="3"/>
    <s v="Moncada"/>
    <s v="Santa Maria"/>
    <s v="OUTSIDE MBA"/>
    <m/>
    <m/>
    <n v="2025"/>
    <d v="2025-08-15T00:00:00"/>
    <s v="R3-2025-027535"/>
    <x v="0"/>
    <m/>
    <s v="NO FACILITY"/>
    <s v="CATER BY LGU"/>
    <s v="Technical Assistance"/>
  </r>
  <r>
    <x v="3"/>
    <s v="Moncada"/>
    <s v="Santa Monica"/>
    <s v="OUTSIDE MBA"/>
    <m/>
    <m/>
    <n v="2024"/>
    <d v="2024-10-02T00:00:00"/>
    <m/>
    <x v="0"/>
    <m/>
    <s v="MRF"/>
    <s v="OPERATIONAL"/>
    <s v="Technical Assistance"/>
  </r>
  <r>
    <x v="2"/>
    <s v="San Ildefonso"/>
    <s v="San Juan"/>
    <s v="MBA"/>
    <s v="VACANT"/>
    <s v="Diozelle L. Cabalar"/>
    <m/>
    <m/>
    <m/>
    <x v="0"/>
    <m/>
    <m/>
    <m/>
    <s v="For Monitoring"/>
  </r>
  <r>
    <x v="2"/>
    <s v="San Ildefonso"/>
    <s v="Santa Catalina Bata"/>
    <s v="MBA"/>
    <s v="VACANT"/>
    <s v="Diozelle L. Cabalar"/>
    <m/>
    <m/>
    <m/>
    <x v="0"/>
    <m/>
    <m/>
    <m/>
    <s v="For Monitoring"/>
  </r>
  <r>
    <x v="2"/>
    <s v="San Ildefonso"/>
    <s v="Santa Catalina Matanda"/>
    <s v="MBA"/>
    <s v="VACANT"/>
    <s v="Diozelle L. Cabalar"/>
    <m/>
    <m/>
    <m/>
    <x v="0"/>
    <m/>
    <m/>
    <m/>
    <s v="For Monitoring"/>
  </r>
  <r>
    <x v="3"/>
    <s v="Moncada"/>
    <s v="Tubectubang"/>
    <s v="OUTSIDE MBA"/>
    <m/>
    <m/>
    <n v="2025"/>
    <d v="2025-09-17T00:00:00"/>
    <s v="R3-2025-031554"/>
    <x v="0"/>
    <m/>
    <s v="MRS"/>
    <s v="OPERATIONAL"/>
    <s v="Technical Assistance"/>
  </r>
  <r>
    <x v="3"/>
    <s v="Paniqui"/>
    <s v="Abogado"/>
    <s v="OUTSIDE MBA"/>
    <m/>
    <m/>
    <n v="2025"/>
    <d v="2025-02-05T00:00:00"/>
    <s v="R3-2025-004348"/>
    <x v="0"/>
    <m/>
    <s v="MRF"/>
    <s v="OPERATIONAL"/>
    <s v="Technical Assistance"/>
  </r>
  <r>
    <x v="3"/>
    <s v="Paniqui"/>
    <s v="Acocolao"/>
    <s v="OUTSIDE MBA"/>
    <m/>
    <m/>
    <n v="2025"/>
    <d v="2025-02-05T00:00:00"/>
    <s v="R3-2025-004349"/>
    <x v="0"/>
    <m/>
    <s v="MRF"/>
    <s v="OPERATIONAL"/>
    <s v="Technical Assistance"/>
  </r>
  <r>
    <x v="3"/>
    <s v="Paniqui"/>
    <s v="Aduas"/>
    <s v="OUTSIDE MBA"/>
    <m/>
    <m/>
    <n v="2025"/>
    <d v="2025-02-05T00:00:00"/>
    <s v="R3-2025-004346"/>
    <x v="0"/>
    <m/>
    <s v="MRF"/>
    <s v="OPERATIONAL"/>
    <s v="Technical Assistance"/>
  </r>
  <r>
    <x v="3"/>
    <s v="Paniqui"/>
    <s v="Apulid"/>
    <s v="OUTSIDE MBA"/>
    <m/>
    <m/>
    <n v="2025"/>
    <d v="2025-02-05T00:00:00"/>
    <s v="R3-2025-004350"/>
    <x v="0"/>
    <m/>
    <s v="MRS"/>
    <s v="OPERATIONAL"/>
    <s v="Technical Assistance"/>
  </r>
  <r>
    <x v="2"/>
    <s v="San Ildefonso"/>
    <s v="Sapang Dayap"/>
    <s v="MBA"/>
    <s v="VACANT"/>
    <s v="Diozelle L. Cabalar"/>
    <m/>
    <m/>
    <m/>
    <x v="0"/>
    <m/>
    <m/>
    <m/>
    <s v="For Monitoring"/>
  </r>
  <r>
    <x v="2"/>
    <s v="San Miguel"/>
    <s v="Santa Lucia"/>
    <s v="MBA"/>
    <s v="VACANT"/>
    <s v="Diozelle L. Cabalar"/>
    <m/>
    <m/>
    <m/>
    <x v="0"/>
    <m/>
    <m/>
    <m/>
    <s v="For Monitoring"/>
  </r>
  <r>
    <x v="2"/>
    <s v="San Miguel"/>
    <s v="Santa Rita Bata"/>
    <s v="MBA"/>
    <s v="VACANT"/>
    <s v="Diozelle L. Cabalar"/>
    <m/>
    <m/>
    <m/>
    <x v="0"/>
    <m/>
    <m/>
    <m/>
    <s v="For Monitoring"/>
  </r>
  <r>
    <x v="2"/>
    <s v="San Miguel"/>
    <s v="Santa Rita Matanda"/>
    <s v="MBA"/>
    <s v="VACANT"/>
    <s v="Diozelle L. Cabalar"/>
    <m/>
    <m/>
    <m/>
    <x v="0"/>
    <m/>
    <m/>
    <m/>
    <s v="For Monitoring"/>
  </r>
  <r>
    <x v="2"/>
    <s v="San Miguel"/>
    <s v="Sapang"/>
    <s v="MBA"/>
    <s v="VACANT"/>
    <s v="Diozelle L. Cabalar"/>
    <m/>
    <m/>
    <m/>
    <x v="0"/>
    <m/>
    <m/>
    <m/>
    <s v="For Monitoring"/>
  </r>
  <r>
    <x v="3"/>
    <s v="Paniqui"/>
    <s v="Carino"/>
    <s v="OUTSIDE MBA"/>
    <m/>
    <m/>
    <n v="2025"/>
    <d v="2025-10-14T00:00:00"/>
    <s v="R3-2025-034779"/>
    <x v="0"/>
    <m/>
    <s v="NO FACILITY"/>
    <s v="CATER BY LGU"/>
    <s v="Technical Assistance"/>
  </r>
  <r>
    <x v="3"/>
    <s v="Paniqui"/>
    <s v="Cayanga"/>
    <s v="OUTSIDE MBA"/>
    <m/>
    <m/>
    <n v="2025"/>
    <d v="2025-10-14T00:00:00"/>
    <s v="R3-2025-034780"/>
    <x v="0"/>
    <m/>
    <s v="MRS"/>
    <s v="OPERATIONAL"/>
    <s v="Technical Assistance"/>
  </r>
  <r>
    <x v="3"/>
    <s v="Paniqui"/>
    <s v="Colibangbang"/>
    <s v="OUTSIDE MBA"/>
    <m/>
    <m/>
    <n v="2025"/>
    <d v="2025-07-02T00:00:00"/>
    <s v="R3-2025-022161"/>
    <x v="0"/>
    <m/>
    <s v="MRS"/>
    <s v="OPERATIONAL"/>
    <s v="Technical Assistance"/>
  </r>
  <r>
    <x v="3"/>
    <s v="Paniqui"/>
    <s v="Coral"/>
    <s v="OUTSIDE MBA"/>
    <m/>
    <m/>
    <n v="2025"/>
    <d v="2025-10-14T00:00:00"/>
    <s v="R3-2025-034777"/>
    <x v="0"/>
    <m/>
    <s v="NO FACILITY"/>
    <s v="CATER BY LGU"/>
    <s v="Technical Assistance"/>
  </r>
  <r>
    <x v="2"/>
    <s v="San Miguel"/>
    <s v="Sibul"/>
    <s v="MBA"/>
    <s v="VACANT"/>
    <s v="Diozelle L. Cabalar"/>
    <m/>
    <m/>
    <m/>
    <x v="0"/>
    <m/>
    <m/>
    <m/>
    <s v="For Monitoring"/>
  </r>
  <r>
    <x v="3"/>
    <s v="Paniqui"/>
    <s v="Estacion"/>
    <s v="OUTSIDE MBA"/>
    <m/>
    <m/>
    <n v="2025"/>
    <d v="2025-08-15T00:00:00"/>
    <s v="R3-2025-027503"/>
    <x v="0"/>
    <m/>
    <s v="NO FACILITY"/>
    <s v="CATER BY LGU"/>
    <s v="Technical Assistance"/>
  </r>
  <r>
    <x v="2"/>
    <s v="San Rafael"/>
    <s v="Poblacion"/>
    <s v="MBA"/>
    <s v="VACANT"/>
    <s v="Diozelle L. Cabalar"/>
    <m/>
    <m/>
    <m/>
    <x v="0"/>
    <m/>
    <m/>
    <m/>
    <s v="For Monitoring"/>
  </r>
  <r>
    <x v="2"/>
    <s v="San Rafael"/>
    <s v="Pulo"/>
    <s v="MBA"/>
    <s v="VACANT"/>
    <s v="Diozelle L. Cabalar"/>
    <m/>
    <m/>
    <m/>
    <x v="0"/>
    <m/>
    <m/>
    <m/>
    <s v="For Monitoring"/>
  </r>
  <r>
    <x v="3"/>
    <s v="Paniqui"/>
    <s v="Matalapitap"/>
    <s v="OUTSIDE MBA"/>
    <m/>
    <m/>
    <n v="2025"/>
    <d v="2025-08-13T00:00:00"/>
    <s v="R3-2025-027501"/>
    <x v="0"/>
    <m/>
    <s v="NO FACILITY"/>
    <s v="CATER BY LGU"/>
    <s v="Technical Assistance"/>
  </r>
  <r>
    <x v="2"/>
    <s v="San Rafael"/>
    <s v="Pulong Bayabas"/>
    <s v="MBA"/>
    <s v="VACANT"/>
    <s v="Diozelle L. Cabalar"/>
    <m/>
    <m/>
    <m/>
    <x v="0"/>
    <m/>
    <m/>
    <m/>
    <s v="For Monitoring"/>
  </r>
  <r>
    <x v="3"/>
    <s v="Paniqui"/>
    <s v="Nancamarinan"/>
    <s v="OUTSIDE MBA"/>
    <m/>
    <m/>
    <n v="2025"/>
    <d v="2025-10-14T00:00:00"/>
    <s v="R3-2025-034781"/>
    <x v="0"/>
    <m/>
    <s v="NO FACILITY"/>
    <s v="CATER BY LGU"/>
    <s v="Technical Assistance"/>
  </r>
  <r>
    <x v="2"/>
    <s v="San Rafael"/>
    <s v="Salapungan"/>
    <s v="MBA"/>
    <s v="VACANT"/>
    <s v="Diozelle L. Cabalar"/>
    <m/>
    <m/>
    <m/>
    <x v="0"/>
    <m/>
    <m/>
    <m/>
    <s v="For Monitoring"/>
  </r>
  <r>
    <x v="3"/>
    <s v="Paniqui"/>
    <s v="Patalan"/>
    <s v="OUTSIDE MBA"/>
    <m/>
    <m/>
    <n v="2025"/>
    <d v="2025-05-13T00:00:00"/>
    <s v="R3-2025-016255"/>
    <x v="0"/>
    <m/>
    <s v="NO FACILITY"/>
    <s v="CATER BY LGU"/>
    <s v="Technical Assistance"/>
  </r>
  <r>
    <x v="3"/>
    <s v="Paniqui"/>
    <s v="Poblacion Norte"/>
    <s v="OUTSIDE MBA"/>
    <m/>
    <m/>
    <n v="2025"/>
    <d v="2025-05-13T00:00:00"/>
    <s v="R3-2025-016257"/>
    <x v="0"/>
    <m/>
    <s v="NO FACILITY"/>
    <s v="CATER BY LGU"/>
    <s v="Technical Assistance"/>
  </r>
  <r>
    <x v="3"/>
    <s v="Paniqui"/>
    <s v="Poblacion Sur"/>
    <s v="OUTSIDE MBA"/>
    <m/>
    <m/>
    <n v="2025"/>
    <d v="2025-05-13T00:00:00"/>
    <s v="R3-2025-016256"/>
    <x v="0"/>
    <m/>
    <s v="MRF"/>
    <s v="OPERATIONAL"/>
    <s v="Technical Assistance"/>
  </r>
  <r>
    <x v="3"/>
    <s v="Paniqui"/>
    <s v="Rang-ayan"/>
    <s v="OUTSIDE MBA"/>
    <m/>
    <m/>
    <n v="2025"/>
    <d v="2025-10-14T00:00:00"/>
    <s v="R3-2025-034778"/>
    <x v="0"/>
    <m/>
    <s v="NO FACILITY"/>
    <s v="CATER BY LGU"/>
    <s v="Technical Assistance"/>
  </r>
  <r>
    <x v="3"/>
    <s v="Paniqui"/>
    <s v="Salumague"/>
    <s v="OUTSIDE MBA"/>
    <m/>
    <m/>
    <n v="2025"/>
    <d v="2025-06-17T00:00:00"/>
    <s v="R3-2025-020266"/>
    <x v="0"/>
    <m/>
    <s v="MRS"/>
    <s v="OPERATIONAL"/>
    <s v="Technical Assistance"/>
  </r>
  <r>
    <x v="3"/>
    <s v="Paniqui"/>
    <s v="Samput"/>
    <s v="OUTSIDE MBA"/>
    <m/>
    <m/>
    <n v="2025"/>
    <d v="2025-06-17T00:00:00"/>
    <s v="R3-2025-020267"/>
    <x v="0"/>
    <m/>
    <s v="NO FACILITY"/>
    <s v="CATER BY LGU"/>
    <s v="Technical Assistance"/>
  </r>
  <r>
    <x v="2"/>
    <s v="San Rafael"/>
    <s v="San Agustin"/>
    <s v="MBA"/>
    <s v="VACANT"/>
    <s v="Diozelle L. Cabalar"/>
    <m/>
    <m/>
    <m/>
    <x v="0"/>
    <m/>
    <m/>
    <m/>
    <s v="For Monitoring"/>
  </r>
  <r>
    <x v="3"/>
    <s v="Paniqui"/>
    <s v="San Isidro"/>
    <s v="OUTSIDE MBA"/>
    <m/>
    <m/>
    <n v="2024"/>
    <d v="2024-09-10T00:00:00"/>
    <m/>
    <x v="0"/>
    <m/>
    <s v="MRS"/>
    <s v="OPERATIONAL"/>
    <s v="Technical Assistance"/>
  </r>
  <r>
    <x v="2"/>
    <s v="San Rafael"/>
    <s v="San Roque"/>
    <s v="MBA"/>
    <s v="VACANT"/>
    <s v="Diozelle L. Cabalar"/>
    <m/>
    <m/>
    <m/>
    <x v="0"/>
    <m/>
    <m/>
    <m/>
    <s v="For Monitoring"/>
  </r>
  <r>
    <x v="3"/>
    <s v="Paniqui"/>
    <s v="Santa Ines"/>
    <s v="OUTSIDE MBA"/>
    <m/>
    <m/>
    <n v="2024"/>
    <d v="2024-07-03T00:00:00"/>
    <m/>
    <x v="0"/>
    <m/>
    <s v="MRF"/>
    <s v="OPERATIONAL"/>
    <s v="Technical Assistance"/>
  </r>
  <r>
    <x v="2"/>
    <s v="San Rafael"/>
    <s v="Sapang Pahalang"/>
    <s v="MBA"/>
    <s v="VACANT"/>
    <s v="Diozelle L. Cabalar"/>
    <m/>
    <m/>
    <m/>
    <x v="0"/>
    <m/>
    <m/>
    <m/>
    <s v="For Monitoring"/>
  </r>
  <r>
    <x v="2"/>
    <s v="San Rafael"/>
    <s v="Tukod"/>
    <s v="MBA"/>
    <s v="VACANT"/>
    <s v="Diozelle L. Cabalar"/>
    <m/>
    <m/>
    <m/>
    <x v="0"/>
    <m/>
    <m/>
    <m/>
    <s v="For Monitoring"/>
  </r>
  <r>
    <x v="3"/>
    <s v="Paniqui"/>
    <s v="Ventenilla"/>
    <s v="OUTSIDE MBA"/>
    <m/>
    <m/>
    <n v="2024"/>
    <d v="2024-07-03T00:00:00"/>
    <m/>
    <x v="0"/>
    <m/>
    <s v="MRF"/>
    <s v="OPERATIONAL"/>
    <s v="Technical Assistance"/>
  </r>
  <r>
    <x v="3"/>
    <s v="Paniqui"/>
    <s v="Canan"/>
    <s v="OUTSIDE MBA"/>
    <m/>
    <m/>
    <n v="2025"/>
    <d v="2025-08-13T00:00:00"/>
    <s v="R3-2025-027502"/>
    <x v="0"/>
    <m/>
    <s v="MRS"/>
    <s v="OPERATIONAL"/>
    <s v="Technical Assistance"/>
  </r>
  <r>
    <x v="3"/>
    <s v="Pura"/>
    <s v="Balite"/>
    <s v="OUTSIDE MBA"/>
    <m/>
    <m/>
    <n v="2024"/>
    <d v="2024-11-06T00:00:00"/>
    <m/>
    <x v="0"/>
    <m/>
    <s v="MRF"/>
    <s v="OPERATIONAL"/>
    <s v="Technical Assistance"/>
  </r>
  <r>
    <x v="3"/>
    <s v="Pura"/>
    <s v="Buenavista"/>
    <s v="OUTSIDE MBA"/>
    <m/>
    <m/>
    <n v="2025"/>
    <d v="2025-03-05T00:00:00"/>
    <s v="R3-2025-007910"/>
    <x v="0"/>
    <m/>
    <s v="MRF"/>
    <s v="OPERATIONAL"/>
    <s v="Technical Assistance"/>
  </r>
  <r>
    <x v="3"/>
    <s v="Pura"/>
    <s v="Cadanglaan"/>
    <s v="OUTSIDE MBA"/>
    <m/>
    <m/>
    <n v="2025"/>
    <d v="2025-03-05T00:00:00"/>
    <s v="R3-2025-007911"/>
    <x v="0"/>
    <m/>
    <s v="MRS"/>
    <s v="OPERATIONAL"/>
    <s v="Technical Assistance"/>
  </r>
  <r>
    <x v="3"/>
    <s v="Pura"/>
    <s v="Estipona"/>
    <s v="OUTSIDE MBA"/>
    <m/>
    <m/>
    <n v="2024"/>
    <d v="2024-05-07T00:00:00"/>
    <m/>
    <x v="0"/>
    <m/>
    <m/>
    <m/>
    <s v="Technical Assistance"/>
  </r>
  <r>
    <x v="2"/>
    <s v="San Rafael"/>
    <s v="Ulingao"/>
    <s v="MBA"/>
    <s v="VACANT"/>
    <s v="Diozelle L. Cabalar"/>
    <m/>
    <m/>
    <m/>
    <x v="0"/>
    <m/>
    <m/>
    <m/>
    <s v="For Monitoring"/>
  </r>
  <r>
    <x v="2"/>
    <s v="Sta. Maria"/>
    <s v="Tumana"/>
    <s v="MBA"/>
    <s v="James Wilson T. Peña"/>
    <s v="Diozelle L. Cabalar"/>
    <m/>
    <m/>
    <m/>
    <x v="0"/>
    <m/>
    <m/>
    <m/>
    <s v="For Monitoring"/>
  </r>
  <r>
    <x v="3"/>
    <s v="Pura"/>
    <s v="Naya"/>
    <s v="OUTSIDE MBA"/>
    <m/>
    <m/>
    <n v="2024"/>
    <d v="2024-09-05T00:00:00"/>
    <m/>
    <x v="0"/>
    <m/>
    <s v="MRF"/>
    <s v="OPERATIONAL"/>
    <s v="Technical Assistance"/>
  </r>
  <r>
    <x v="3"/>
    <s v="Pura"/>
    <s v="Nilasin 1st"/>
    <s v="OUTSIDE MBA"/>
    <m/>
    <m/>
    <n v="2024"/>
    <d v="2024-08-07T00:00:00"/>
    <m/>
    <x v="0"/>
    <m/>
    <s v="MRF"/>
    <s v="OPERATIONAL"/>
    <s v="Technical Assistance"/>
  </r>
  <r>
    <x v="6"/>
    <s v="Cabanatuan City"/>
    <s v="Communal"/>
    <s v="MBA"/>
    <s v="Christian Jem L. Buluran"/>
    <s v="Zosimo P. Suyat"/>
    <m/>
    <m/>
    <m/>
    <x v="0"/>
    <m/>
    <m/>
    <m/>
    <s v="For Monitoring"/>
  </r>
  <r>
    <x v="3"/>
    <s v="Pura"/>
    <s v="Poblacion 2"/>
    <s v="OUTSIDE MBA"/>
    <m/>
    <m/>
    <n v="2024"/>
    <d v="2024-06-18T00:00:00"/>
    <m/>
    <x v="0"/>
    <m/>
    <m/>
    <m/>
    <s v="Technical Assistance"/>
  </r>
  <r>
    <x v="3"/>
    <s v="Pura"/>
    <s v="Poblacion 3"/>
    <s v="OUTSIDE MBA"/>
    <m/>
    <m/>
    <n v="2025"/>
    <d v="2025-11-05T00:00:00"/>
    <s v="R3-2025-037109"/>
    <x v="0"/>
    <m/>
    <s v="MRS"/>
    <s v="OPERATIONAL"/>
    <s v="Technical Assistance"/>
  </r>
  <r>
    <x v="3"/>
    <s v="Pura"/>
    <s v="Poroc"/>
    <s v="OUTSIDE MBA"/>
    <m/>
    <m/>
    <n v="2024"/>
    <d v="2024-05-02T00:00:00"/>
    <m/>
    <x v="0"/>
    <m/>
    <m/>
    <m/>
    <s v="Technical Assistance"/>
  </r>
  <r>
    <x v="3"/>
    <s v="Pura"/>
    <s v="Singat"/>
    <s v="OUTSIDE MBA"/>
    <m/>
    <m/>
    <n v="2024"/>
    <d v="2024-09-05T00:00:00"/>
    <m/>
    <x v="0"/>
    <m/>
    <s v="MRF"/>
    <s v="OPERATIONAL"/>
    <s v="Technical Assistance"/>
  </r>
  <r>
    <x v="3"/>
    <s v="Pura"/>
    <s v="Linao"/>
    <s v="OUTSIDE MBA"/>
    <m/>
    <m/>
    <n v="2025"/>
    <d v="2025-09-11T00:00:00"/>
    <s v="R3-2025-030818"/>
    <x v="0"/>
    <m/>
    <s v="NO FACILITY"/>
    <s v="CATER BY LGU"/>
    <s v="Technical Assistance"/>
  </r>
  <r>
    <x v="3"/>
    <s v="Pura"/>
    <s v="Maungib"/>
    <s v="OUTSIDE MBA"/>
    <m/>
    <m/>
    <n v="2025"/>
    <d v="2025-09-11T00:00:00"/>
    <s v="R3-2025-030820"/>
    <x v="0"/>
    <m/>
    <s v="NO FACILITY"/>
    <s v="CATER BY LGU"/>
    <s v="Technical Assistance"/>
  </r>
  <r>
    <x v="3"/>
    <s v="Pura"/>
    <s v="Poblacion 1"/>
    <s v="OUTSIDE MBA"/>
    <m/>
    <m/>
    <n v="2025"/>
    <d v="2025-09-11T00:00:00"/>
    <s v="R3-2025-030819"/>
    <x v="0"/>
    <m/>
    <s v="NO FACILITY"/>
    <s v="CATER BY LGU"/>
    <s v="Technical Assistance"/>
  </r>
  <r>
    <x v="3"/>
    <s v="Ramos"/>
    <s v="Coral-Iloco"/>
    <s v="OUTSIDE MBA"/>
    <m/>
    <m/>
    <n v="2024"/>
    <d v="2024-09-11T00:00:00"/>
    <m/>
    <x v="0"/>
    <m/>
    <s v="MRS"/>
    <s v="OPERATIONAL"/>
    <s v="Technical Assistance"/>
  </r>
  <r>
    <x v="6"/>
    <s v="Cabanatuan City"/>
    <s v="Dicarma (Pob.)"/>
    <s v="MBA"/>
    <s v="Christian Jem L. Buluran"/>
    <s v="Zosimo P. Suyat"/>
    <m/>
    <m/>
    <m/>
    <x v="0"/>
    <m/>
    <m/>
    <m/>
    <s v="For Monitoring"/>
  </r>
  <r>
    <x v="3"/>
    <s v="Ramos"/>
    <s v="Pance"/>
    <s v="OUTSIDE MBA"/>
    <m/>
    <m/>
    <n v="2025"/>
    <d v="2025-05-23T00:00:00"/>
    <s v="R3-2025-017515"/>
    <x v="0"/>
    <m/>
    <s v="MRS"/>
    <s v="OPERATIONAL"/>
    <s v="Technical Assistance"/>
  </r>
  <r>
    <x v="3"/>
    <s v="Ramos"/>
    <s v="Poblacion Center"/>
    <s v="OUTSIDE MBA"/>
    <m/>
    <m/>
    <n v="2025"/>
    <d v="2025-01-21T00:00:00"/>
    <s v="R3-2025-002010"/>
    <x v="0"/>
    <m/>
    <s v="MRF"/>
    <s v="OPERATIONAL"/>
    <s v="Technical Assistance"/>
  </r>
  <r>
    <x v="3"/>
    <s v="Ramos"/>
    <s v="Poblacion North"/>
    <s v="OUTSIDE MBA"/>
    <m/>
    <m/>
    <n v="2024"/>
    <d v="2024-10-03T00:00:00"/>
    <m/>
    <x v="0"/>
    <m/>
    <s v="MRS"/>
    <s v="OPERATIONAL"/>
    <s v="Technical Assistance"/>
  </r>
  <r>
    <x v="3"/>
    <s v="Ramos"/>
    <s v="Poblacion South"/>
    <s v="OUTSIDE MBA"/>
    <m/>
    <m/>
    <n v="2025"/>
    <d v="2025-05-23T00:00:00"/>
    <s v="R3-2025-017514"/>
    <x v="0"/>
    <m/>
    <s v="MRS"/>
    <s v="OPERATIONAL"/>
    <s v="Technical Assistance"/>
  </r>
  <r>
    <x v="3"/>
    <s v="Ramos"/>
    <s v="Toledo"/>
    <s v="OUTSIDE MBA"/>
    <m/>
    <m/>
    <n v="2024"/>
    <d v="2024-10-03T00:00:00"/>
    <m/>
    <x v="0"/>
    <m/>
    <s v="MRF"/>
    <s v="OPERATIONAL"/>
    <s v="Technical Assistance"/>
  </r>
  <r>
    <x v="3"/>
    <s v="Ramos"/>
    <s v="San Juan"/>
    <s v="OUTSIDE MBA"/>
    <m/>
    <m/>
    <n v="2025"/>
    <d v="2025-08-28T00:00:00"/>
    <s v="R3-2025-028931"/>
    <x v="0"/>
    <m/>
    <s v="MRS"/>
    <s v="OPERATIONAL"/>
    <s v="Technical Assistance"/>
  </r>
  <r>
    <x v="3"/>
    <s v="Ramos"/>
    <s v="San Raymundo"/>
    <s v="OUTSIDE MBA"/>
    <m/>
    <m/>
    <n v="2025"/>
    <d v="2025-08-28T00:00:00"/>
    <s v="R3-2025-028932"/>
    <x v="0"/>
    <m/>
    <s v="MRS"/>
    <s v="OPERATIONAL"/>
    <s v="Technical Assistance"/>
  </r>
  <r>
    <x v="3"/>
    <s v="San Clemente"/>
    <s v="Balloc"/>
    <s v="OUTSIDE MBA"/>
    <m/>
    <m/>
    <n v="2024"/>
    <d v="2024-10-10T00:00:00"/>
    <m/>
    <x v="0"/>
    <m/>
    <s v="MRF"/>
    <s v="OPERATIONAL"/>
    <s v="Technical Assistance"/>
  </r>
  <r>
    <x v="3"/>
    <s v="San Clemente"/>
    <s v="Bamban"/>
    <s v="OUTSIDE MBA"/>
    <m/>
    <m/>
    <n v="2025"/>
    <d v="2025-06-25T00:00:00"/>
    <s v="R3-2025-021234"/>
    <x v="0"/>
    <m/>
    <s v="MRS"/>
    <s v="OPERATIONAL"/>
    <s v="Technical Assistance"/>
  </r>
  <r>
    <x v="3"/>
    <s v="San Clemente"/>
    <s v="Casipo"/>
    <s v="OUTSIDE MBA"/>
    <m/>
    <m/>
    <n v="2024"/>
    <d v="2024-04-17T00:00:00"/>
    <m/>
    <x v="0"/>
    <m/>
    <m/>
    <m/>
    <s v="Technical Assistance"/>
  </r>
  <r>
    <x v="3"/>
    <s v="San Clemente"/>
    <s v="Catagudingan"/>
    <s v="OUTSIDE MBA"/>
    <m/>
    <m/>
    <n v="2024"/>
    <d v="2024-11-06T00:00:00"/>
    <m/>
    <x v="0"/>
    <m/>
    <s v="MRS"/>
    <s v="OPERATIONAL"/>
    <s v="Technical Assistance"/>
  </r>
  <r>
    <x v="3"/>
    <s v="San Clemente"/>
    <s v="Daldalayap"/>
    <s v="OUTSIDE MBA"/>
    <m/>
    <m/>
    <n v="2025"/>
    <d v="2025-11-04T00:00:00"/>
    <s v="R3-2025-036975"/>
    <x v="0"/>
    <m/>
    <s v="MRS"/>
    <s v="OPERATIONAL"/>
    <s v="Technical Assistance"/>
  </r>
  <r>
    <x v="3"/>
    <s v="San Clemente"/>
    <s v="Maasin"/>
    <s v="OUTSIDE MBA"/>
    <m/>
    <m/>
    <n v="2024"/>
    <d v="2024-05-03T00:00:00"/>
    <m/>
    <x v="0"/>
    <m/>
    <m/>
    <m/>
    <s v="Technical Assistance"/>
  </r>
  <r>
    <x v="3"/>
    <s v="San Clemente"/>
    <s v="Nagsabaran"/>
    <s v="OUTSIDE MBA"/>
    <m/>
    <m/>
    <n v="2024"/>
    <d v="2024-09-05T00:00:00"/>
    <m/>
    <x v="0"/>
    <m/>
    <s v="MRF"/>
    <s v="OPERATIONAL"/>
    <s v="Technical Assistance"/>
  </r>
  <r>
    <x v="3"/>
    <s v="San Clemente"/>
    <s v="Pit-ao"/>
    <s v="OUTSIDE MBA"/>
    <m/>
    <m/>
    <n v="2025"/>
    <d v="2025-11-04T00:00:00"/>
    <s v="R3-2025-036972"/>
    <x v="0"/>
    <m/>
    <s v="MRS"/>
    <s v="OPERATIONAL"/>
    <s v="Technical Assistance"/>
  </r>
  <r>
    <x v="3"/>
    <s v="San Clemente"/>
    <s v="Poblacion Norte"/>
    <s v="OUTSIDE MBA"/>
    <m/>
    <m/>
    <n v="2024"/>
    <d v="2024-09-10T00:00:00"/>
    <m/>
    <x v="0"/>
    <m/>
    <s v="MRS"/>
    <s v="OPERATIONAL"/>
    <s v="Technical Assistance"/>
  </r>
  <r>
    <x v="3"/>
    <s v="San Clemente"/>
    <s v="Poblacion Sur"/>
    <s v="OUTSIDE MBA"/>
    <m/>
    <m/>
    <n v="2024"/>
    <d v="2024-09-10T00:00:00"/>
    <m/>
    <x v="0"/>
    <m/>
    <s v="MRS"/>
    <s v="OPERATIONAL"/>
    <s v="Technical Assistance"/>
  </r>
  <r>
    <x v="3"/>
    <s v="San Clemente"/>
    <s v="Doclong 1"/>
    <s v="OUTSIDE MBA"/>
    <m/>
    <m/>
    <n v="2025"/>
    <d v="2025-08-20T00:00:00"/>
    <s v="R3-2025-029020"/>
    <x v="0"/>
    <m/>
    <s v="MRS"/>
    <s v="OPERATIONAL"/>
    <s v="Technical Assistance"/>
  </r>
  <r>
    <x v="3"/>
    <s v="San Clemente"/>
    <s v="Doclong 2"/>
    <s v="OUTSIDE MBA"/>
    <m/>
    <m/>
    <n v="2025"/>
    <d v="2025-08-20T00:00:00"/>
    <s v="R3-2025-029021"/>
    <x v="0"/>
    <m/>
    <s v="MRS"/>
    <s v="OPERATIONAL"/>
    <s v="Technical Assistance"/>
  </r>
  <r>
    <x v="6"/>
    <s v="Cabanatuan City"/>
    <s v="Cruz Roja"/>
    <s v="MBA"/>
    <s v="Christian Jem L. Buluran"/>
    <s v="Zosimo P. Suyat"/>
    <m/>
    <m/>
    <m/>
    <x v="0"/>
    <m/>
    <m/>
    <m/>
    <s v="For Monitoring"/>
  </r>
  <r>
    <x v="3"/>
    <s v="San Jose"/>
    <s v="David"/>
    <s v="OUTSIDE MBA"/>
    <m/>
    <m/>
    <n v="2025"/>
    <d v="2025-01-22T00:00:00"/>
    <s v="R3-2025-002516"/>
    <x v="0"/>
    <m/>
    <s v="MRS"/>
    <s v="OPERATIONAL"/>
    <s v="Technical Assistance"/>
  </r>
  <r>
    <x v="3"/>
    <s v="San Jose"/>
    <s v="Iba"/>
    <s v="OUTSIDE MBA"/>
    <m/>
    <m/>
    <n v="2024"/>
    <d v="2024-05-09T00:00:00"/>
    <m/>
    <x v="0"/>
    <m/>
    <m/>
    <m/>
    <s v="Technical Assistance"/>
  </r>
  <r>
    <x v="3"/>
    <s v="San Jose"/>
    <s v="Labney"/>
    <s v="OUTSIDE MBA"/>
    <m/>
    <m/>
    <n v="2024"/>
    <d v="2024-11-07T00:00:00"/>
    <m/>
    <x v="0"/>
    <m/>
    <s v="MRS"/>
    <s v="OPERATIONAL"/>
    <s v="Technical Assistance"/>
  </r>
  <r>
    <x v="3"/>
    <s v="San Jose"/>
    <s v="Lawacamulag"/>
    <s v="OUTSIDE MBA"/>
    <m/>
    <m/>
    <n v="2024"/>
    <d v="2024-11-07T00:00:00"/>
    <m/>
    <x v="0"/>
    <m/>
    <s v="MRF"/>
    <s v="OPERATIONAL"/>
    <s v="Technical Assistance"/>
  </r>
  <r>
    <x v="3"/>
    <s v="San Jose"/>
    <s v="Lubigan"/>
    <s v="OUTSIDE MBA"/>
    <m/>
    <m/>
    <n v="2025"/>
    <d v="2025-06-18T00:00:00"/>
    <s v="R3-2025-020242"/>
    <x v="0"/>
    <m/>
    <s v="NO FACILITY"/>
    <s v="CATER BY LGU"/>
    <s v="Technical Assistance"/>
  </r>
  <r>
    <x v="6"/>
    <s v="Cabanatuan City"/>
    <s v="Dalampang"/>
    <s v="MBA"/>
    <s v="Christian Jem L. Buluran"/>
    <s v="Zosimo P. Suyat"/>
    <m/>
    <m/>
    <m/>
    <x v="0"/>
    <m/>
    <m/>
    <m/>
    <s v="For Monitoring"/>
  </r>
  <r>
    <x v="3"/>
    <s v="San Jose"/>
    <s v="Mababanaba"/>
    <s v="OUTSIDE MBA"/>
    <m/>
    <m/>
    <n v="2024"/>
    <d v="2024-09-05T00:00:00"/>
    <m/>
    <x v="0"/>
    <m/>
    <s v="NO FACILITY"/>
    <s v="CATER BY LGU"/>
    <s v="Technical Assistance"/>
  </r>
  <r>
    <x v="6"/>
    <s v="Cabanatuan City"/>
    <s v="Fatima (Pob.)"/>
    <s v="MBA"/>
    <s v="Christian Jem L. Buluran"/>
    <s v="Zosimo P. Suyat"/>
    <m/>
    <m/>
    <m/>
    <x v="0"/>
    <m/>
    <m/>
    <m/>
    <s v="For Monitoring"/>
  </r>
  <r>
    <x v="6"/>
    <s v="Cabanatuan City"/>
    <s v="General Luna (Pob.)"/>
    <s v="MBA"/>
    <s v="Christian Jem L. Buluran"/>
    <s v="Zosimo P. Suyat"/>
    <m/>
    <m/>
    <m/>
    <x v="0"/>
    <m/>
    <m/>
    <m/>
    <s v="For Monitoring"/>
  </r>
  <r>
    <x v="3"/>
    <s v="San Jose"/>
    <s v="San Juan de Valdez"/>
    <s v="OUTSIDE MBA"/>
    <m/>
    <m/>
    <n v="2025"/>
    <d v="2025-01-22T00:00:00"/>
    <s v="R3-2025-002517"/>
    <x v="0"/>
    <m/>
    <s v="MRS"/>
    <s v="NON-OPERATIONAL"/>
    <s v="Technical Assistance"/>
  </r>
  <r>
    <x v="6"/>
    <s v="Cabanatuan City"/>
    <s v="Hermogenes C. Concepcion, Sr."/>
    <s v="MBA"/>
    <s v="Christian Jem L. Buluran"/>
    <s v="Zosimo P. Suyat"/>
    <m/>
    <m/>
    <m/>
    <x v="0"/>
    <m/>
    <m/>
    <m/>
    <s v="For Monitoring"/>
  </r>
  <r>
    <x v="6"/>
    <s v="Cabanatuan City"/>
    <s v="Isla (Pob.)"/>
    <s v="MBA"/>
    <s v="Christian Jem L. Buluran"/>
    <s v="Zosimo P. Suyat"/>
    <m/>
    <m/>
    <m/>
    <x v="0"/>
    <m/>
    <m/>
    <m/>
    <s v="For Monitoring"/>
  </r>
  <r>
    <x v="3"/>
    <s v="San Manuel"/>
    <s v="Lanat"/>
    <s v="OUTSIDE MBA"/>
    <m/>
    <m/>
    <n v="2025"/>
    <d v="2025-01-23T00:00:00"/>
    <s v="R3-2025-002301"/>
    <x v="0"/>
    <m/>
    <s v="MRS"/>
    <s v="OPERATIONAL"/>
    <s v="Technical Assistance"/>
  </r>
  <r>
    <x v="3"/>
    <s v="San Manuel"/>
    <s v="Mangandingay"/>
    <s v="OUTSIDE MBA"/>
    <m/>
    <m/>
    <n v="2024"/>
    <d v="2024-05-09T00:00:00"/>
    <m/>
    <x v="0"/>
    <m/>
    <m/>
    <m/>
    <s v="Technical Assistance"/>
  </r>
  <r>
    <x v="3"/>
    <s v="San Manuel"/>
    <s v="Pacpaco"/>
    <s v="OUTSIDE MBA"/>
    <m/>
    <m/>
    <n v="2025"/>
    <d v="2025-09-25T00:00:00"/>
    <s v="R3-2025-032699"/>
    <x v="0"/>
    <m/>
    <s v="MRS"/>
    <s v="OPERATIONAL"/>
    <s v="Technical Assistance"/>
  </r>
  <r>
    <x v="3"/>
    <s v="San Manuel"/>
    <s v="Poblacion"/>
    <s v="OUTSIDE MBA"/>
    <m/>
    <m/>
    <n v="2025"/>
    <d v="2025-02-13T00:00:00"/>
    <s v="R3-2025-005365"/>
    <x v="0"/>
    <m/>
    <s v="MRF"/>
    <s v="OPERATIONAL"/>
    <s v="Technical Assistance"/>
  </r>
  <r>
    <x v="3"/>
    <s v="San Manuel"/>
    <s v="Salcedo"/>
    <s v="OUTSIDE MBA"/>
    <m/>
    <m/>
    <n v="2025"/>
    <d v="2025-09-25T00:00:00"/>
    <s v="R3-2025-032702"/>
    <x v="0"/>
    <m/>
    <s v="MRS"/>
    <s v="OPERATIONAL"/>
    <s v="Technical Assistance"/>
  </r>
  <r>
    <x v="6"/>
    <s v="Cabanatuan City"/>
    <s v="Kalikid Norte"/>
    <s v="MBA"/>
    <s v="Christian Jem L. Buluran"/>
    <s v="Zosimo P. Suyat"/>
    <m/>
    <m/>
    <m/>
    <x v="0"/>
    <m/>
    <m/>
    <m/>
    <s v="For Monitoring"/>
  </r>
  <r>
    <x v="6"/>
    <s v="Cabanatuan City"/>
    <s v="Kalikid Sur"/>
    <s v="MBA"/>
    <s v="Christian Jem L. Buluran"/>
    <s v="Zosimo P. Suyat"/>
    <m/>
    <m/>
    <m/>
    <x v="0"/>
    <m/>
    <m/>
    <m/>
    <s v="For Monitoring"/>
  </r>
  <r>
    <x v="3"/>
    <s v="San Manuel"/>
    <s v="San Jacinto"/>
    <s v="OUTSIDE MBA"/>
    <m/>
    <m/>
    <n v="2025"/>
    <d v="2025-09-25T00:00:00"/>
    <s v="R3-2025-032703"/>
    <x v="0"/>
    <m/>
    <s v="MRS"/>
    <s v="OPERATIONAL"/>
    <s v="Technical Assistance"/>
  </r>
  <r>
    <x v="6"/>
    <s v="Cabanatuan City"/>
    <s v="Lagare"/>
    <s v="MBA"/>
    <s v="Christian Jem L. Buluran"/>
    <s v="Zosimo P. Suyat"/>
    <m/>
    <m/>
    <m/>
    <x v="0"/>
    <m/>
    <m/>
    <m/>
    <s v="For Monitoring"/>
  </r>
  <r>
    <x v="6"/>
    <s v="Cabanatuan City"/>
    <s v="Lourdes"/>
    <s v="MBA"/>
    <s v="Christian Jem L. Buluran"/>
    <s v="Zosimo P. Suyat"/>
    <m/>
    <m/>
    <m/>
    <x v="0"/>
    <m/>
    <m/>
    <m/>
    <s v="For Monitoring"/>
  </r>
  <r>
    <x v="6"/>
    <s v="Cabanatuan City"/>
    <s v="Macatbong"/>
    <s v="MBA"/>
    <s v="Christian Jem L. Buluran"/>
    <s v="Zosimo P. Suyat"/>
    <m/>
    <m/>
    <m/>
    <x v="0"/>
    <m/>
    <m/>
    <m/>
    <s v="For Monitoring"/>
  </r>
  <r>
    <x v="6"/>
    <s v="Cabanatuan City"/>
    <s v="Maria Theresa"/>
    <s v="MBA"/>
    <s v="Christian Jem L. Buluran"/>
    <s v="Zosimo P. Suyat"/>
    <m/>
    <m/>
    <m/>
    <x v="0"/>
    <m/>
    <m/>
    <m/>
    <s v="For Monitoring"/>
  </r>
  <r>
    <x v="3"/>
    <s v="San Manuel"/>
    <s v="Colubot"/>
    <s v="OUTSIDE MBA"/>
    <m/>
    <m/>
    <n v="2025"/>
    <d v="2025-09-11T00:00:00"/>
    <s v="R3-2025-030838"/>
    <x v="0"/>
    <m/>
    <s v="MRS"/>
    <s v="OPERATIONAL"/>
    <s v="Technical Assistance"/>
  </r>
  <r>
    <x v="3"/>
    <s v="San Manuel"/>
    <s v="Legaspi"/>
    <s v="OUTSIDE MBA"/>
    <m/>
    <m/>
    <n v="2025"/>
    <d v="2025-09-12T00:00:00"/>
    <s v="R3-2025-030842"/>
    <x v="0"/>
    <m/>
    <s v="NO FACILITY"/>
    <s v="CATER BY LGU"/>
    <s v="Technical Assistance"/>
  </r>
  <r>
    <x v="3"/>
    <s v="San Manuel"/>
    <s v="Matarannoc"/>
    <s v="OUTSIDE MBA"/>
    <m/>
    <m/>
    <n v="2025"/>
    <d v="2025-09-12T00:00:00"/>
    <s v="R3-2025-030845"/>
    <x v="0"/>
    <m/>
    <s v="MRS"/>
    <s v="OPERATIONAL"/>
    <s v="Technical Assistance"/>
  </r>
  <r>
    <x v="3"/>
    <s v="Sta. Ignacia"/>
    <s v="Baldios"/>
    <s v="OUTSIDE MBA"/>
    <m/>
    <m/>
    <n v="2024"/>
    <d v="2024-09-10T00:00:00"/>
    <m/>
    <x v="0"/>
    <m/>
    <s v="MRS"/>
    <s v="OPERATIONAL"/>
    <s v="Technical Assistance"/>
  </r>
  <r>
    <x v="6"/>
    <s v="Cabanatuan City"/>
    <s v="Matadero (Pob.)"/>
    <s v="MBA"/>
    <s v="Christian Jem L. Buluran"/>
    <s v="Zosimo P. Suyat"/>
    <m/>
    <m/>
    <m/>
    <x v="0"/>
    <m/>
    <m/>
    <m/>
    <s v="For Monitoring"/>
  </r>
  <r>
    <x v="3"/>
    <s v="Sta. Ignacia"/>
    <s v="Caanamongan"/>
    <s v="OUTSIDE MBA"/>
    <m/>
    <m/>
    <n v="2025"/>
    <d v="2025-02-11T00:00:00"/>
    <s v="R3-2025-005304"/>
    <x v="0"/>
    <m/>
    <s v="MRS"/>
    <s v="OPERATIONAL"/>
    <s v="Technical Assistance"/>
  </r>
  <r>
    <x v="3"/>
    <s v="Sta. Ignacia"/>
    <s v="Cabaruan"/>
    <s v="OUTSIDE MBA"/>
    <m/>
    <m/>
    <n v="2025"/>
    <d v="2025-02-11T00:00:00"/>
    <s v="R3-2025-005144"/>
    <x v="0"/>
    <m/>
    <s v="MRS"/>
    <s v="OPERATIONAL"/>
    <s v="Technical Assistance"/>
  </r>
  <r>
    <x v="3"/>
    <s v="Sta. Ignacia"/>
    <s v="Cabugbugan"/>
    <s v="OUTSIDE MBA"/>
    <m/>
    <m/>
    <n v="2025"/>
    <d v="2025-06-04T00:00:00"/>
    <s v="R3-2025-018845"/>
    <x v="0"/>
    <m/>
    <s v="MRS"/>
    <s v="OPERATIONAL"/>
    <s v="Technical Assistance"/>
  </r>
  <r>
    <x v="6"/>
    <s v="Cabanatuan City"/>
    <s v="Melojavilla (Pob.)"/>
    <s v="MBA"/>
    <s v="Christian Jem L. Buluran"/>
    <s v="Zosimo P. Suyat"/>
    <m/>
    <m/>
    <m/>
    <x v="0"/>
    <m/>
    <m/>
    <m/>
    <s v="For Monitoring"/>
  </r>
  <r>
    <x v="3"/>
    <s v="Sta. Ignacia"/>
    <s v="Calipayan"/>
    <s v="OUTSIDE MBA"/>
    <m/>
    <m/>
    <n v="2025"/>
    <d v="2025-06-04T00:00:00"/>
    <s v="R3-2025-018846"/>
    <x v="0"/>
    <m/>
    <s v="MRS"/>
    <s v="OPERATIONAL"/>
    <s v="Technical Assistance"/>
  </r>
  <r>
    <x v="3"/>
    <s v="Sta. Ignacia"/>
    <s v="Macaguing"/>
    <s v="OUTSIDE MBA"/>
    <m/>
    <m/>
    <n v="2025"/>
    <d v="2025-06-04T00:00:00"/>
    <s v="R3-2025-018847"/>
    <x v="0"/>
    <m/>
    <s v="MRS"/>
    <s v="OPERATIONAL"/>
    <s v="Technical Assistance"/>
  </r>
  <r>
    <x v="3"/>
    <s v="Sta. Ignacia"/>
    <s v="Nambalan"/>
    <s v="OUTSIDE MBA"/>
    <m/>
    <m/>
    <n v="2025"/>
    <d v="2025-04-04T00:00:00"/>
    <s v="R3-2025-011568"/>
    <x v="0"/>
    <m/>
    <s v="MRF"/>
    <s v="OPERATIONAL"/>
    <s v="Technical Assistance"/>
  </r>
  <r>
    <x v="3"/>
    <s v="Sta. Ignacia"/>
    <s v="Padapada"/>
    <s v="OUTSIDE MBA"/>
    <m/>
    <m/>
    <n v="2025"/>
    <d v="2025-04-04T00:00:00"/>
    <s v="R3-2025-011569"/>
    <x v="0"/>
    <m/>
    <s v="MRS"/>
    <s v="OPERATIONAL"/>
    <s v="Technical Assistance"/>
  </r>
  <r>
    <x v="6"/>
    <s v="Cabanatuan City"/>
    <s v="Obrero"/>
    <s v="MBA"/>
    <s v="Christian Jem L. Buluran"/>
    <s v="Zosimo P. Suyat"/>
    <m/>
    <m/>
    <m/>
    <x v="0"/>
    <m/>
    <m/>
    <m/>
    <s v="For Monitoring"/>
  </r>
  <r>
    <x v="6"/>
    <s v="Cabanatuan City"/>
    <s v="Padre Burgos (Pob.)"/>
    <s v="MBA"/>
    <s v="Christian Jem L. Buluran"/>
    <s v="Zosimo P. Suyat"/>
    <m/>
    <m/>
    <m/>
    <x v="0"/>
    <m/>
    <m/>
    <m/>
    <s v="For Monitoring"/>
  </r>
  <r>
    <x v="3"/>
    <s v="Sta. Ignacia"/>
    <s v="Poblacion East"/>
    <s v="OUTSIDE MBA"/>
    <m/>
    <m/>
    <n v="2024"/>
    <d v="2024-05-02T00:00:00"/>
    <m/>
    <x v="0"/>
    <m/>
    <m/>
    <m/>
    <s v="Technical Assistance"/>
  </r>
  <r>
    <x v="3"/>
    <s v="Sta. Ignacia"/>
    <s v="Poblacion West"/>
    <s v="OUTSIDE MBA"/>
    <m/>
    <m/>
    <n v="2024"/>
    <d v="2024-08-02T00:00:00"/>
    <m/>
    <x v="0"/>
    <m/>
    <s v="MRS"/>
    <s v="OPERATIONAL"/>
    <s v="Technical Assistance"/>
  </r>
  <r>
    <x v="6"/>
    <s v="Cabanatuan City"/>
    <s v="Palagay"/>
    <s v="MBA"/>
    <s v="Christian Jem L. Buluran"/>
    <s v="Zosimo P. Suyat"/>
    <m/>
    <m/>
    <m/>
    <x v="0"/>
    <m/>
    <m/>
    <m/>
    <s v="For Monitoring"/>
  </r>
  <r>
    <x v="6"/>
    <s v="Cabanatuan City"/>
    <s v="Sangitan East"/>
    <s v="MBA"/>
    <s v="Christian Jem L. Buluran"/>
    <s v="Zosimo P. Suyat"/>
    <m/>
    <m/>
    <m/>
    <x v="0"/>
    <m/>
    <m/>
    <m/>
    <s v="For Monitoring"/>
  </r>
  <r>
    <x v="6"/>
    <s v="Cabanatuan City"/>
    <s v="Santo Niño"/>
    <s v="MBA"/>
    <s v="Christian Jem L. Buluran"/>
    <s v="Zosimo P. Suyat"/>
    <m/>
    <m/>
    <m/>
    <x v="0"/>
    <m/>
    <m/>
    <m/>
    <s v="For Monitoring"/>
  </r>
  <r>
    <x v="3"/>
    <s v="Sta. Ignacia"/>
    <s v="San Vicente"/>
    <s v="OUTSIDE MBA"/>
    <m/>
    <m/>
    <n v="2024"/>
    <d v="2024-08-02T00:00:00"/>
    <m/>
    <x v="0"/>
    <m/>
    <s v="MRS"/>
    <s v="OPERATIONAL"/>
    <s v="Technical Assistance"/>
  </r>
  <r>
    <x v="6"/>
    <s v="Cabanatuan City"/>
    <s v="Sapang"/>
    <s v="MBA"/>
    <s v="Christian Jem L. Buluran"/>
    <s v="Zosimo P. Suyat"/>
    <m/>
    <m/>
    <m/>
    <x v="0"/>
    <m/>
    <m/>
    <m/>
    <s v="For Monitoring"/>
  </r>
  <r>
    <x v="3"/>
    <s v="Sta. Ignacia"/>
    <s v="Santa Ines East"/>
    <s v="OUTSIDE MBA"/>
    <m/>
    <m/>
    <n v="2024"/>
    <d v="2024-06-11T00:00:00"/>
    <m/>
    <x v="0"/>
    <m/>
    <s v="MRF"/>
    <s v="OPERATIONAL"/>
    <s v="Technical Assistance"/>
  </r>
  <r>
    <x v="6"/>
    <s v="Cabanatuan City"/>
    <s v="Sumacab Este"/>
    <s v="MBA"/>
    <s v="Christian Jem L. Buluran"/>
    <s v="Zosimo P. Suyat"/>
    <m/>
    <m/>
    <m/>
    <x v="0"/>
    <m/>
    <m/>
    <m/>
    <s v="For Monitoring"/>
  </r>
  <r>
    <x v="6"/>
    <s v="Cabanatuan City"/>
    <s v="Sumacab Norte"/>
    <s v="MBA"/>
    <s v="Christian Jem L. Buluran"/>
    <s v="Zosimo P. Suyat"/>
    <m/>
    <m/>
    <m/>
    <x v="0"/>
    <m/>
    <m/>
    <m/>
    <s v="For Monitoring"/>
  </r>
  <r>
    <x v="3"/>
    <s v="Sta. Ignacia"/>
    <s v="Timmaguab"/>
    <s v="OUTSIDE MBA"/>
    <m/>
    <m/>
    <n v="2024"/>
    <d v="2024-08-02T00:00:00"/>
    <m/>
    <x v="0"/>
    <m/>
    <s v="MRF"/>
    <s v="OPERATIONAL"/>
    <s v="Technical Assistance"/>
  </r>
  <r>
    <x v="3"/>
    <s v="Sta. Ignacia"/>
    <s v="Vargas"/>
    <s v="OUTSIDE MBA"/>
    <m/>
    <m/>
    <n v="2024"/>
    <d v="2024-05-02T00:00:00"/>
    <m/>
    <x v="0"/>
    <m/>
    <m/>
    <m/>
    <s v="Technical Assistance"/>
  </r>
  <r>
    <x v="3"/>
    <s v="Tarlac City (Capital)"/>
    <s v="Care"/>
    <s v="MBA"/>
    <m/>
    <m/>
    <n v="2025"/>
    <d v="2025-09-10T00:00:00"/>
    <s v="R3-2025-030686"/>
    <x v="0"/>
    <m/>
    <s v="NO FACILITY"/>
    <s v="CATER BY LGU"/>
    <s v="Technical Assistance"/>
  </r>
  <r>
    <x v="6"/>
    <s v="Cabanatuan City"/>
    <s v="Talipapa"/>
    <s v="MBA"/>
    <s v="Christian Jem L. Buluran"/>
    <s v="Zosimo P. Suyat"/>
    <m/>
    <m/>
    <m/>
    <x v="0"/>
    <m/>
    <m/>
    <m/>
    <s v="For Monitoring"/>
  </r>
  <r>
    <x v="3"/>
    <s v="Tarlac City (Capital)"/>
    <s v="Laoang"/>
    <s v="MBA"/>
    <m/>
    <m/>
    <n v="2025"/>
    <d v="2025-09-10T00:00:00"/>
    <s v="R3-2025-030689"/>
    <x v="0"/>
    <m/>
    <s v="MRF"/>
    <s v="OPERATIONAL"/>
    <s v="Technical Assistance"/>
  </r>
  <r>
    <x v="3"/>
    <s v="Tarlac City (Capital)"/>
    <s v="Santo Cristo"/>
    <s v="MBA"/>
    <m/>
    <m/>
    <n v="2025"/>
    <d v="2025-09-10T00:00:00"/>
    <s v="R3-2025-030690"/>
    <x v="0"/>
    <m/>
    <s v="NO FACILITY"/>
    <s v="CATER BY LGU"/>
    <s v="Technical Assistance"/>
  </r>
  <r>
    <x v="3"/>
    <s v="Tarlac City (Capital)"/>
    <s v="Santo Domingo"/>
    <s v="MBA"/>
    <m/>
    <m/>
    <n v="2025"/>
    <d v="2025-09-10T00:00:00"/>
    <s v="R3-2025-030691"/>
    <x v="0"/>
    <m/>
    <s v="MRS"/>
    <s v="OPERATIONAL"/>
    <s v="Technical Assistance"/>
  </r>
  <r>
    <x v="3"/>
    <s v="Tarlac City (Capital)"/>
    <s v="Tariji"/>
    <s v="MBA"/>
    <m/>
    <m/>
    <n v="2025"/>
    <d v="2025-08-08T00:00:00"/>
    <s v="R3-2025-026452"/>
    <x v="0"/>
    <m/>
    <s v="NO FACILITY"/>
    <s v="CATER BY LGU"/>
    <s v="Technical Assistance"/>
  </r>
  <r>
    <x v="6"/>
    <s v="Cabanatuan City"/>
    <s v="Valle Cruz"/>
    <s v="MBA"/>
    <s v="Christian Jem L. Buluran"/>
    <s v="Zosimo P. Suyat"/>
    <m/>
    <m/>
    <m/>
    <x v="0"/>
    <m/>
    <m/>
    <m/>
    <s v="For Monitoring"/>
  </r>
  <r>
    <x v="6"/>
    <s v="Cabanatuan City"/>
    <s v="Vijandre District (Pob.)"/>
    <s v="MBA"/>
    <s v="Christian Jem L. Buluran"/>
    <s v="Zosimo P. Suyat"/>
    <m/>
    <m/>
    <m/>
    <x v="0"/>
    <m/>
    <m/>
    <m/>
    <s v="For Monitoring"/>
  </r>
  <r>
    <x v="6"/>
    <s v="Cabanatuan City"/>
    <s v="Villa Ofelia-Caridad"/>
    <s v="MBA"/>
    <s v="Christian Jem L. Buluran"/>
    <s v="Zosimo P. Suyat"/>
    <m/>
    <m/>
    <m/>
    <x v="0"/>
    <m/>
    <m/>
    <m/>
    <s v="For Monitoring"/>
  </r>
  <r>
    <x v="6"/>
    <s v="Carranglan"/>
    <s v="San Agustin"/>
    <s v="MBA"/>
    <s v="Aser A. Inocencio, Jr."/>
    <s v="Zosimo P. Suyat"/>
    <m/>
    <m/>
    <m/>
    <x v="0"/>
    <m/>
    <m/>
    <m/>
    <s v="For Monitoring"/>
  </r>
  <r>
    <x v="6"/>
    <s v="Carranglan"/>
    <s v="T. L. Padilla Pob."/>
    <s v="MBA"/>
    <s v="Aser A. Inocencio, Jr."/>
    <s v="Zosimo P. Suyat"/>
    <m/>
    <m/>
    <m/>
    <x v="0"/>
    <m/>
    <m/>
    <m/>
    <s v="For Monitoring"/>
  </r>
  <r>
    <x v="6"/>
    <s v="Cuyapo"/>
    <s v="Paitan Sur"/>
    <s v="OUTSIDE MBA"/>
    <s v="Aser A. Inocencio, Jr."/>
    <s v="Zosimo P. Suyat"/>
    <m/>
    <m/>
    <m/>
    <x v="0"/>
    <m/>
    <m/>
    <m/>
    <s v="For Monitoring"/>
  </r>
  <r>
    <x v="6"/>
    <s v="Cuyapo"/>
    <s v="Piglisan"/>
    <s v="OUTSIDE MBA"/>
    <s v="Aser A. Inocencio, Jr."/>
    <s v="Zosimo P. Suyat"/>
    <m/>
    <m/>
    <m/>
    <x v="0"/>
    <m/>
    <m/>
    <m/>
    <s v="For Monitoring"/>
  </r>
  <r>
    <x v="6"/>
    <s v="Cuyapo"/>
    <s v="Pugo"/>
    <s v="OUTSIDE MBA"/>
    <s v="Aser A. Inocencio, Jr."/>
    <s v="Zosimo P. Suyat"/>
    <m/>
    <m/>
    <m/>
    <x v="0"/>
    <m/>
    <m/>
    <m/>
    <s v="For Monitoring"/>
  </r>
  <r>
    <x v="3"/>
    <s v="Tarlac City (Capital)"/>
    <s v="Balibago I"/>
    <s v="MBA"/>
    <m/>
    <m/>
    <n v="2025"/>
    <d v="2025-06-05T00:00:00"/>
    <s v="R3-2025-018851"/>
    <x v="0"/>
    <m/>
    <s v="NO FACILITY"/>
    <s v="CATER BY LGU"/>
    <s v="Technical Assistance"/>
  </r>
  <r>
    <x v="6"/>
    <s v="Cuyapo"/>
    <s v="Rizal"/>
    <s v="OUTSIDE MBA"/>
    <s v="Aser A. Inocencio, Jr."/>
    <s v="Zosimo P. Suyat"/>
    <m/>
    <m/>
    <m/>
    <x v="0"/>
    <m/>
    <m/>
    <m/>
    <s v="For Monitoring"/>
  </r>
  <r>
    <x v="6"/>
    <s v="Gabaldon"/>
    <s v="Malinao"/>
    <s v="MBA"/>
    <s v="Christian Jem L. Buluran"/>
    <s v="Zosimo P. Suyat"/>
    <m/>
    <m/>
    <m/>
    <x v="0"/>
    <m/>
    <m/>
    <m/>
    <s v="For Monitoring"/>
  </r>
  <r>
    <x v="6"/>
    <s v="Gabaldon"/>
    <s v="Pantoc"/>
    <s v="MBA"/>
    <s v="Christian Jem L. Buluran"/>
    <s v="Zosimo P. Suyat"/>
    <m/>
    <m/>
    <m/>
    <x v="0"/>
    <m/>
    <m/>
    <m/>
    <s v="For Monitoring"/>
  </r>
  <r>
    <x v="6"/>
    <s v="Gabaldon"/>
    <s v="Pinamalisan"/>
    <s v="MBA"/>
    <s v="Christian Jem L. Buluran"/>
    <s v="Zosimo P. Suyat"/>
    <m/>
    <m/>
    <m/>
    <x v="0"/>
    <m/>
    <m/>
    <m/>
    <s v="For Monitoring"/>
  </r>
  <r>
    <x v="6"/>
    <s v="Gabaldon"/>
    <s v="Sawmill"/>
    <s v="MBA"/>
    <s v="Christian Jem L. Buluran"/>
    <s v="Zosimo P. Suyat"/>
    <m/>
    <m/>
    <m/>
    <x v="0"/>
    <m/>
    <m/>
    <m/>
    <s v="For Monitoring"/>
  </r>
  <r>
    <x v="6"/>
    <s v="Gabaldon"/>
    <s v="South Poblacion"/>
    <s v="MBA"/>
    <s v="Christian Jem L. Buluran"/>
    <s v="Zosimo P. Suyat"/>
    <m/>
    <m/>
    <m/>
    <x v="0"/>
    <m/>
    <m/>
    <m/>
    <s v="For Monitoring"/>
  </r>
  <r>
    <x v="6"/>
    <s v="Gabaldon"/>
    <s v="Tagumpay"/>
    <s v="MBA"/>
    <s v="Christian Jem L. Buluran"/>
    <s v="Zosimo P. Suyat"/>
    <m/>
    <m/>
    <m/>
    <x v="0"/>
    <m/>
    <m/>
    <m/>
    <s v="For Monitoring"/>
  </r>
  <r>
    <x v="6"/>
    <s v="Lupao"/>
    <s v="Alalay Grande"/>
    <s v="MBA"/>
    <s v="Aser A. Inocencio, Jr."/>
    <s v="Zosimo P. Suyat"/>
    <m/>
    <m/>
    <m/>
    <x v="0"/>
    <m/>
    <m/>
    <m/>
    <s v="For Monitoring"/>
  </r>
  <r>
    <x v="6"/>
    <s v="Lupao"/>
    <s v="Balbalungao"/>
    <s v="MBA"/>
    <s v="Aser A. Inocencio, Jr."/>
    <s v="Zosimo P. Suyat"/>
    <m/>
    <m/>
    <m/>
    <x v="0"/>
    <m/>
    <m/>
    <m/>
    <s v="For Monitoring"/>
  </r>
  <r>
    <x v="6"/>
    <s v="Lupao"/>
    <s v="Poblacion East"/>
    <s v="MBA"/>
    <s v="Aser A. Inocencio, Jr."/>
    <s v="Zosimo P. Suyat"/>
    <m/>
    <m/>
    <m/>
    <x v="0"/>
    <m/>
    <m/>
    <m/>
    <s v="For Monitoring"/>
  </r>
  <r>
    <x v="3"/>
    <s v="Tarlac City (Capital)"/>
    <s v="Burot"/>
    <s v="MBA"/>
    <m/>
    <m/>
    <n v="2025"/>
    <d v="2025-05-21T00:00:00"/>
    <s v="R3-2025-017504"/>
    <x v="0"/>
    <m/>
    <s v="NO FACILITY"/>
    <s v="CATER BY LGU"/>
    <s v="Technical Assistance"/>
  </r>
  <r>
    <x v="6"/>
    <s v="Lupao"/>
    <s v="Poblacion North"/>
    <s v="MBA"/>
    <s v="Aser A. Inocencio, Jr."/>
    <s v="Zosimo P. Suyat"/>
    <m/>
    <m/>
    <m/>
    <x v="0"/>
    <m/>
    <m/>
    <m/>
    <s v="For Monitoring"/>
  </r>
  <r>
    <x v="6"/>
    <s v="Lupao"/>
    <s v="Poblacion West"/>
    <s v="MBA"/>
    <s v="Aser A. Inocencio, Jr."/>
    <s v="Zosimo P. Suyat"/>
    <m/>
    <m/>
    <m/>
    <x v="0"/>
    <m/>
    <m/>
    <m/>
    <s v="For Monitoring"/>
  </r>
  <r>
    <x v="6"/>
    <s v="Lupao"/>
    <s v="San Isidro"/>
    <s v="MBA"/>
    <s v="Aser A. Inocencio, Jr."/>
    <s v="Zosimo P. Suyat"/>
    <m/>
    <m/>
    <m/>
    <x v="0"/>
    <m/>
    <m/>
    <m/>
    <s v="For Monitoring"/>
  </r>
  <r>
    <x v="4"/>
    <s v="Arayat"/>
    <s v="Mapalad"/>
    <s v="MBA"/>
    <s v="Roger T. Encarnacion II"/>
    <s v="Jun D. Guillermo"/>
    <m/>
    <m/>
    <m/>
    <x v="0"/>
    <m/>
    <m/>
    <m/>
    <s v="For Monitoring"/>
  </r>
  <r>
    <x v="4"/>
    <s v="Candaba"/>
    <s v="Buas (Pob.)"/>
    <s v="MBA"/>
    <s v="Roger T. Encarnacion II"/>
    <s v="Jun D. Guillermo"/>
    <m/>
    <m/>
    <m/>
    <x v="0"/>
    <m/>
    <m/>
    <m/>
    <s v="For Monitoring"/>
  </r>
  <r>
    <x v="4"/>
    <s v="Candaba"/>
    <s v="Cuayang Bugtong"/>
    <s v="MBA"/>
    <s v="Roger T. Encarnacion II"/>
    <s v="Jun D. Guillermo"/>
    <m/>
    <m/>
    <m/>
    <x v="0"/>
    <m/>
    <m/>
    <m/>
    <s v="For Monitoring"/>
  </r>
  <r>
    <x v="4"/>
    <s v="Candaba"/>
    <s v="Pulong Palazan"/>
    <s v="MBA"/>
    <s v="Roger T. Encarnacion II"/>
    <s v="Jun D. Guillermo"/>
    <m/>
    <m/>
    <m/>
    <x v="0"/>
    <m/>
    <m/>
    <m/>
    <s v="For Monitoring"/>
  </r>
  <r>
    <x v="4"/>
    <s v="Candaba"/>
    <s v="Salapungan"/>
    <s v="MBA"/>
    <s v="Roger T. Encarnacion II"/>
    <s v="Jun D. Guillermo"/>
    <m/>
    <m/>
    <m/>
    <x v="0"/>
    <m/>
    <m/>
    <m/>
    <s v="For Monitoring"/>
  </r>
  <r>
    <x v="3"/>
    <s v="Tarlac City (Capital)"/>
    <s v="Dolores"/>
    <s v="MBA"/>
    <s v="Joshua A. Capones"/>
    <s v="Jan Emerson C. Gonzales"/>
    <n v="2025"/>
    <d v="2025-01-21T00:00:00"/>
    <s v="R3-2025-002069"/>
    <x v="0"/>
    <m/>
    <s v="MRF"/>
    <s v="OPERATIONAL"/>
    <s v="Technical Assistance"/>
  </r>
  <r>
    <x v="4"/>
    <s v="Candaba"/>
    <s v="Santo Rosario"/>
    <s v="MBA"/>
    <s v="Roger T. Encarnacion II"/>
    <s v="Jun D. Guillermo"/>
    <m/>
    <m/>
    <m/>
    <x v="0"/>
    <m/>
    <m/>
    <m/>
    <s v="For Monitoring"/>
  </r>
  <r>
    <x v="4"/>
    <s v="City of San Fernando"/>
    <s v="Bulaon"/>
    <s v="MBA"/>
    <s v="Elyza A. Evilla"/>
    <s v="John Sherwin Y. Loquellano"/>
    <m/>
    <m/>
    <m/>
    <x v="0"/>
    <m/>
    <m/>
    <m/>
    <s v="For Monitoring"/>
  </r>
  <r>
    <x v="4"/>
    <s v="City of San Fernando"/>
    <s v="Lourdes"/>
    <s v="MBA"/>
    <s v="Elyza A. Evilla"/>
    <s v="John Sherwin Y. Loquellano"/>
    <m/>
    <m/>
    <m/>
    <x v="0"/>
    <m/>
    <m/>
    <m/>
    <s v="For Monitoring"/>
  </r>
  <r>
    <x v="4"/>
    <s v="City of San Fernando"/>
    <s v="Santa Teresita"/>
    <s v="MBA"/>
    <s v="Elyza A. Evilla"/>
    <s v="John Sherwin Y. Loquellano"/>
    <m/>
    <m/>
    <m/>
    <x v="0"/>
    <m/>
    <m/>
    <m/>
    <s v="For Monitoring"/>
  </r>
  <r>
    <x v="4"/>
    <s v="Mabalacat City"/>
    <s v="Tabun"/>
    <s v="MBA"/>
    <s v="Roger T. Encarnacion II"/>
    <s v="Jun D. Guillermo"/>
    <m/>
    <m/>
    <m/>
    <x v="0"/>
    <m/>
    <m/>
    <m/>
    <s v="For Monitoring"/>
  </r>
  <r>
    <x v="4"/>
    <s v="Magalang"/>
    <s v="Bucanan"/>
    <s v="MBA"/>
    <s v="Roger T. Encarnacion II"/>
    <s v="Jun D. Guillermo"/>
    <m/>
    <m/>
    <m/>
    <x v="0"/>
    <m/>
    <m/>
    <m/>
    <s v="For Monitoring"/>
  </r>
  <r>
    <x v="3"/>
    <s v="Tarlac City (Capital)"/>
    <s v="Mapalad"/>
    <s v="MBA"/>
    <m/>
    <m/>
    <n v="2025"/>
    <d v="2025-01-21T00:00:00"/>
    <s v="R3-2025-002070"/>
    <x v="0"/>
    <m/>
    <s v="MRS"/>
    <s v="OPERATIONAL"/>
    <s v="Technical Assistance"/>
  </r>
  <r>
    <x v="4"/>
    <s v="Magalang"/>
    <s v="San Nicolas 2nd"/>
    <s v="MBA"/>
    <s v="Roger T. Encarnacion II"/>
    <s v="Jun D. Guillermo"/>
    <m/>
    <m/>
    <m/>
    <x v="0"/>
    <m/>
    <m/>
    <m/>
    <s v="For Monitoring"/>
  </r>
  <r>
    <x v="4"/>
    <s v="Masantol"/>
    <s v="Santa Monica"/>
    <s v="MBA"/>
    <s v="Glaiza S. Gaza"/>
    <s v="John Sherwin Y. Loquellano"/>
    <m/>
    <m/>
    <m/>
    <x v="0"/>
    <m/>
    <m/>
    <m/>
    <s v="For Monitoring"/>
  </r>
  <r>
    <x v="4"/>
    <s v="Masantol"/>
    <s v="Santo Niño"/>
    <s v="MBA"/>
    <s v="Glaiza S. Gaza"/>
    <s v="John Sherwin Y. Loquellano"/>
    <m/>
    <m/>
    <m/>
    <x v="0"/>
    <m/>
    <m/>
    <m/>
    <s v="For Monitoring"/>
  </r>
  <r>
    <x v="4"/>
    <s v="Mexico"/>
    <s v="Cawayan"/>
    <s v="MBA"/>
    <s v="Roger T. Encarnacion II"/>
    <s v="Jun D. Guillermo"/>
    <m/>
    <m/>
    <m/>
    <x v="0"/>
    <m/>
    <m/>
    <m/>
    <s v="For Monitoring"/>
  </r>
  <r>
    <x v="3"/>
    <s v="Tarlac City (Capital)"/>
    <s v="Salapungan"/>
    <s v="MBA"/>
    <m/>
    <m/>
    <n v="2025"/>
    <d v="2025-04-02T00:00:00"/>
    <s v="R3-2025-011232"/>
    <x v="0"/>
    <m/>
    <s v="NO FACILITY"/>
    <s v="Not Applicable"/>
    <s v="Technical Assistance"/>
  </r>
  <r>
    <x v="4"/>
    <s v="Mexico"/>
    <s v="Parian (Pob.)"/>
    <s v="MBA"/>
    <s v="Roger T. Encarnacion II"/>
    <s v="Jun D. Guillermo"/>
    <m/>
    <m/>
    <m/>
    <x v="0"/>
    <m/>
    <m/>
    <m/>
    <s v="For Monitoring"/>
  </r>
  <r>
    <x v="4"/>
    <s v="Mexico"/>
    <s v="Sabanilla"/>
    <s v="MBA"/>
    <s v="Roger T. Encarnacion II"/>
    <s v="Jun D. Guillermo"/>
    <m/>
    <m/>
    <m/>
    <x v="0"/>
    <m/>
    <m/>
    <m/>
    <s v="For Monitoring"/>
  </r>
  <r>
    <x v="3"/>
    <s v="Tarlac City (Capital)"/>
    <s v="San Isidro"/>
    <s v="MBA"/>
    <m/>
    <m/>
    <n v="2024"/>
    <d v="2024-09-10T00:00:00"/>
    <m/>
    <x v="0"/>
    <m/>
    <s v="MRF"/>
    <s v="OPERATIONAL"/>
    <s v="Technical Assistance"/>
  </r>
  <r>
    <x v="3"/>
    <s v="Tarlac City (Capital)"/>
    <s v="San Jose"/>
    <s v="MBA"/>
    <m/>
    <m/>
    <n v="2024"/>
    <d v="2024-10-10T00:00:00"/>
    <m/>
    <x v="0"/>
    <m/>
    <s v="MRF"/>
    <s v="OPERATIONAL"/>
    <s v="Technical Assistance"/>
  </r>
  <r>
    <x v="4"/>
    <s v="Mexico"/>
    <s v="San Antonio"/>
    <s v="MBA"/>
    <s v="Roger T. Encarnacion II"/>
    <s v="Jun D. Guillermo"/>
    <m/>
    <m/>
    <m/>
    <x v="0"/>
    <m/>
    <m/>
    <m/>
    <s v="For Monitoring"/>
  </r>
  <r>
    <x v="3"/>
    <s v="Tarlac City (Capital)"/>
    <s v="San Juan de Mata"/>
    <s v="MBA"/>
    <m/>
    <m/>
    <n v="2024"/>
    <d v="2024-07-05T00:00:00"/>
    <m/>
    <x v="0"/>
    <m/>
    <s v="MRS"/>
    <s v="OPERATIONAL"/>
    <s v="Technical Assistance"/>
  </r>
  <r>
    <x v="4"/>
    <s v="Mexico"/>
    <s v="San Carlos"/>
    <s v="MBA"/>
    <s v="Roger T. Encarnacion II"/>
    <s v="Jun D. Guillermo"/>
    <m/>
    <m/>
    <m/>
    <x v="0"/>
    <m/>
    <m/>
    <m/>
    <s v="For Monitoring"/>
  </r>
  <r>
    <x v="3"/>
    <s v="Tarlac City (Capital)"/>
    <s v="San Manuel"/>
    <s v="MBA"/>
    <m/>
    <m/>
    <n v="2025"/>
    <d v="2025-03-07T00:00:00"/>
    <s v="R3-2025-007983"/>
    <x v="0"/>
    <m/>
    <s v="NO FACILITY"/>
    <s v="Not Applicable"/>
    <s v="Technical Assistance"/>
  </r>
  <r>
    <x v="4"/>
    <s v="Mexico"/>
    <s v="San Jose Malino"/>
    <s v="MBA"/>
    <s v="Roger T. Encarnacion II"/>
    <s v="Jun D. Guillermo"/>
    <m/>
    <m/>
    <m/>
    <x v="0"/>
    <m/>
    <m/>
    <m/>
    <s v="For Monitoring"/>
  </r>
  <r>
    <x v="3"/>
    <s v="Tarlac City (Capital)"/>
    <s v="San Nicolas"/>
    <s v="MBA"/>
    <m/>
    <m/>
    <n v="2025"/>
    <d v="2025-03-07T00:00:00"/>
    <s v="R3-2025-007981"/>
    <x v="0"/>
    <m/>
    <s v="NO FACILITY"/>
    <s v="Not Applicable"/>
    <s v="Technical Assistance"/>
  </r>
  <r>
    <x v="4"/>
    <s v="Mexico"/>
    <s v="San Jose Matulid"/>
    <s v="MBA"/>
    <s v="Roger T. Encarnacion II"/>
    <s v="Jun D. Guillermo"/>
    <m/>
    <m/>
    <m/>
    <x v="0"/>
    <m/>
    <m/>
    <m/>
    <s v="For Monitoring"/>
  </r>
  <r>
    <x v="4"/>
    <s v="Porac"/>
    <s v="Camias"/>
    <s v="MBA"/>
    <s v="Elyza A. Evilla"/>
    <s v="John Sherwin Y. Loquellano"/>
    <m/>
    <m/>
    <m/>
    <x v="0"/>
    <m/>
    <m/>
    <m/>
    <s v="For Monitoring"/>
  </r>
  <r>
    <x v="4"/>
    <s v="San Luis"/>
    <s v="Santa Cruz Pambilog"/>
    <s v="MBA"/>
    <s v="Glaiza S. Gaza"/>
    <s v="John Sherwin Y. Loquellano"/>
    <m/>
    <m/>
    <m/>
    <x v="0"/>
    <m/>
    <m/>
    <m/>
    <s v="For Monitoring"/>
  </r>
  <r>
    <x v="3"/>
    <s v="Tarlac City (Capital)"/>
    <s v="San Roque"/>
    <s v="MBA"/>
    <m/>
    <m/>
    <n v="2025"/>
    <d v="2025-07-09T00:00:00"/>
    <s v="R3-2025-023122"/>
    <x v="0"/>
    <m/>
    <s v="MRS"/>
    <s v="OPERATIONAL"/>
    <s v="Technical Assistance"/>
  </r>
  <r>
    <x v="3"/>
    <s v="Tarlac City (Capital)"/>
    <s v="San Sebastian"/>
    <s v="MBA"/>
    <m/>
    <m/>
    <n v="2025"/>
    <d v="2025-07-09T00:00:00"/>
    <s v="R3-2025-023124"/>
    <x v="0"/>
    <m/>
    <s v="MRS"/>
    <s v="OPERATIONAL"/>
    <s v="Technical Assistance"/>
  </r>
  <r>
    <x v="4"/>
    <s v="San Luis"/>
    <s v="Santo Niño"/>
    <s v="MBA"/>
    <s v="Glaiza S. Gaza"/>
    <s v="John Sherwin Y. Loquellano"/>
    <m/>
    <m/>
    <m/>
    <x v="0"/>
    <m/>
    <m/>
    <m/>
    <s v="For Monitoring"/>
  </r>
  <r>
    <x v="4"/>
    <s v="San Simon"/>
    <s v="San Juan (Pob.)"/>
    <s v="MBA"/>
    <s v="Glaiza S. Gaza"/>
    <s v="John Sherwin Y. Loquellano"/>
    <m/>
    <m/>
    <m/>
    <x v="0"/>
    <m/>
    <m/>
    <m/>
    <s v="For Monitoring"/>
  </r>
  <r>
    <x v="3"/>
    <s v="Tarlac City (Capital)"/>
    <s v="Santa Maria"/>
    <s v="MBA"/>
    <s v="Joshua A. Capones"/>
    <s v="Jan Emerson C. Gonzales"/>
    <n v="2025"/>
    <d v="2025-01-21T00:00:00"/>
    <s v="R3-2025-002078"/>
    <x v="0"/>
    <m/>
    <s v="NO FACILITY"/>
    <s v="CATER BY LGU"/>
    <s v="Technical Assistance"/>
  </r>
  <r>
    <x v="3"/>
    <s v="Tarlac City (Capital)"/>
    <s v="Santo Niño"/>
    <s v="MBA"/>
    <s v="Joshua A. Capones"/>
    <s v="Jan Emerson C. Gonzales"/>
    <n v="2025"/>
    <d v="2025-01-22T00:00:00"/>
    <s v="R3-2025-002077"/>
    <x v="0"/>
    <m/>
    <s v="MRF"/>
    <s v="OPERATIONAL"/>
    <s v="Technical Assistance"/>
  </r>
  <r>
    <x v="4"/>
    <s v="San Simon"/>
    <s v="Santa Monica"/>
    <s v="MBA"/>
    <s v="Glaiza S. Gaza"/>
    <s v="John Sherwin Y. Loquellano"/>
    <m/>
    <m/>
    <m/>
    <x v="0"/>
    <m/>
    <m/>
    <m/>
    <s v="For Monitoring"/>
  </r>
  <r>
    <x v="3"/>
    <s v="Paniqui"/>
    <s v="Manaois"/>
    <s v="OUTSIDE MBA"/>
    <s v="Joshua A. Capones"/>
    <s v="Jan Emerson C. Gonzales"/>
    <m/>
    <m/>
    <m/>
    <x v="0"/>
    <m/>
    <m/>
    <m/>
    <s v="For Monitoring"/>
  </r>
  <r>
    <x v="3"/>
    <s v="Paniqui"/>
    <s v="Nagmisaan"/>
    <s v="OUTSIDE MBA"/>
    <s v="Joshua A. Capones"/>
    <s v="Jan Emerson C. Gonzales"/>
    <m/>
    <m/>
    <m/>
    <x v="0"/>
    <m/>
    <m/>
    <m/>
    <s v="For Monitoring"/>
  </r>
  <r>
    <x v="3"/>
    <s v="Paniqui"/>
    <s v="Nipaco"/>
    <s v="OUTSIDE MBA"/>
    <s v="Joshua A. Capones"/>
    <s v="Jan Emerson C. Gonzales"/>
    <m/>
    <m/>
    <m/>
    <x v="0"/>
    <m/>
    <m/>
    <m/>
    <s v="For Monitoring"/>
  </r>
  <r>
    <x v="3"/>
    <s v="Paniqui"/>
    <s v="San Carlos"/>
    <s v="OUTSIDE MBA"/>
    <s v="Joshua A. Capones"/>
    <s v="Jan Emerson C. Gonzales"/>
    <m/>
    <m/>
    <m/>
    <x v="0"/>
    <m/>
    <m/>
    <m/>
    <s v="For Monitoring"/>
  </r>
  <r>
    <x v="3"/>
    <s v="Concepcion"/>
    <s v="San Bartolome"/>
    <s v="MBA"/>
    <s v="Gretzhen M. Apolonio"/>
    <s v="Jan Emerson C. Gonzales"/>
    <m/>
    <m/>
    <m/>
    <x v="0"/>
    <m/>
    <m/>
    <m/>
    <s v="For Monitoring"/>
  </r>
  <r>
    <x v="3"/>
    <s v="Concepcion"/>
    <s v="San Isidro"/>
    <s v="MBA"/>
    <s v="Gretzhen M. Apolonio"/>
    <s v="Jan Emerson C. Gonzales"/>
    <m/>
    <m/>
    <m/>
    <x v="0"/>
    <m/>
    <m/>
    <m/>
    <s v="For Monitoring"/>
  </r>
  <r>
    <x v="3"/>
    <s v="Concepcion"/>
    <s v="San Martin"/>
    <s v="MBA"/>
    <s v="Gretzhen M. Apolonio"/>
    <s v="Jan Emerson C. Gonzales"/>
    <m/>
    <m/>
    <m/>
    <x v="0"/>
    <m/>
    <m/>
    <m/>
    <s v="For Monitoring"/>
  </r>
  <r>
    <x v="3"/>
    <s v="Concepcion"/>
    <s v="San Nicolas (Pob.)"/>
    <s v="MBA"/>
    <s v="Gretzhen M. Apolonio"/>
    <s v="Jan Emerson C. Gonzales"/>
    <m/>
    <m/>
    <m/>
    <x v="0"/>
    <m/>
    <m/>
    <m/>
    <s v="For Monitoring"/>
  </r>
  <r>
    <x v="3"/>
    <s v="Tarlac City (Capital)"/>
    <s v="Villa Bacolor"/>
    <s v="MBA"/>
    <m/>
    <m/>
    <n v="2025"/>
    <d v="2025-04-02T00:00:00"/>
    <s v="R3-2025-011231"/>
    <x v="0"/>
    <m/>
    <s v="NO FACILITY"/>
    <s v="CATER BY LGU"/>
    <s v="Technical Assistance"/>
  </r>
  <r>
    <x v="3"/>
    <s v="Victoria"/>
    <s v="Palacpalac"/>
    <s v="MBA"/>
    <m/>
    <m/>
    <n v="2025"/>
    <d v="2025-09-11T00:00:00"/>
    <s v="R3-2025-031073"/>
    <x v="0"/>
    <m/>
    <s v="MRS"/>
    <s v="OPERATIONAL"/>
    <s v="Technical Assistance"/>
  </r>
  <r>
    <x v="3"/>
    <s v="Victoria"/>
    <s v="Baculong"/>
    <s v="MBA"/>
    <m/>
    <m/>
    <n v="2025"/>
    <d v="2025-05-06T00:00:00"/>
    <s v="R3-2025-016244"/>
    <x v="0"/>
    <m/>
    <s v="MRS"/>
    <s v="OPERATIONAL"/>
    <s v="Technical Assistance"/>
  </r>
  <r>
    <x v="3"/>
    <s v="Victoria"/>
    <s v="Balayang"/>
    <s v="MBA"/>
    <m/>
    <m/>
    <n v="2024"/>
    <d v="2024-10-01T00:00:00"/>
    <m/>
    <x v="0"/>
    <m/>
    <s v="MRS"/>
    <s v="OPERATIONAL"/>
    <s v="Technical Assistance"/>
  </r>
  <r>
    <x v="3"/>
    <s v="Victoria"/>
    <s v="Balbaloto"/>
    <s v="MBA"/>
    <m/>
    <m/>
    <n v="2025"/>
    <d v="2025-08-05T00:00:00"/>
    <s v="R3-2025-027536"/>
    <x v="0"/>
    <m/>
    <s v="MRF"/>
    <s v="OPERATIONAL"/>
    <s v="Technical Assistance"/>
  </r>
  <r>
    <x v="3"/>
    <s v="Victoria"/>
    <s v="Bangar"/>
    <s v="MBA"/>
    <m/>
    <m/>
    <n v="2025"/>
    <d v="2025-08-05T00:00:00"/>
    <s v="R3-2025-027544"/>
    <x v="0"/>
    <m/>
    <s v="NO FACILITY"/>
    <s v="CATER BY LGU"/>
    <s v="Technical Assistance"/>
  </r>
  <r>
    <x v="3"/>
    <s v="Victoria"/>
    <s v="Bantog"/>
    <s v="MBA"/>
    <m/>
    <m/>
    <n v="2024"/>
    <d v="2024-09-04T00:00:00"/>
    <m/>
    <x v="0"/>
    <m/>
    <s v="MRS"/>
    <s v="OPERATIONAL"/>
    <s v="Technical Assistance"/>
  </r>
  <r>
    <x v="3"/>
    <s v="Victoria"/>
    <s v="Batangbatang"/>
    <s v="MBA"/>
    <m/>
    <m/>
    <n v="2024"/>
    <d v="2024-10-01T00:00:00"/>
    <m/>
    <x v="0"/>
    <m/>
    <s v="MRS"/>
    <s v="OPERATIONAL"/>
    <s v="Technical Assistance"/>
  </r>
  <r>
    <x v="3"/>
    <s v="Victoria"/>
    <s v="Bulo"/>
    <s v="MBA"/>
    <m/>
    <m/>
    <n v="2025"/>
    <d v="2025-08-06T00:00:00"/>
    <s v="R3-2025-027527"/>
    <x v="0"/>
    <m/>
    <s v="MRS"/>
    <s v="OPERATIONAL"/>
    <s v="Technical Assistance"/>
  </r>
  <r>
    <x v="3"/>
    <s v="Victoria"/>
    <s v="Cabuluan"/>
    <s v="MBA"/>
    <m/>
    <m/>
    <n v="2025"/>
    <d v="2025-08-05T00:00:00"/>
    <s v="R3-2025-027540"/>
    <x v="0"/>
    <m/>
    <s v="MRS"/>
    <s v="OPERATIONAL"/>
    <s v="Technical Assistance"/>
  </r>
  <r>
    <x v="3"/>
    <s v="Victoria"/>
    <s v="Calibungan"/>
    <s v="MBA"/>
    <m/>
    <m/>
    <n v="2024"/>
    <d v="2024-04-11T00:00:00"/>
    <m/>
    <x v="0"/>
    <m/>
    <m/>
    <m/>
    <s v="Technical Assistance"/>
  </r>
  <r>
    <x v="3"/>
    <s v="Victoria"/>
    <s v="Canarem"/>
    <s v="MBA"/>
    <m/>
    <m/>
    <n v="2025"/>
    <d v="2025-02-12T00:00:00"/>
    <s v="R3-2025-005459"/>
    <x v="0"/>
    <m/>
    <s v="MRF"/>
    <s v="OPERATIONAL"/>
    <s v="Technical Assistance"/>
  </r>
  <r>
    <x v="3"/>
    <s v="Victoria"/>
    <s v="Cruz"/>
    <s v="MBA"/>
    <m/>
    <m/>
    <n v="2025"/>
    <d v="2025-08-05T00:00:00"/>
    <s v="R3-2025-027533"/>
    <x v="0"/>
    <m/>
    <s v="MRS"/>
    <s v="OPERATIONAL"/>
    <s v="Technical Assistance"/>
  </r>
  <r>
    <x v="3"/>
    <s v="Victoria"/>
    <s v="Lalapac"/>
    <s v="MBA"/>
    <m/>
    <m/>
    <n v="2025"/>
    <d v="2025-08-06T00:00:00"/>
    <s v="R3-2025-027266"/>
    <x v="0"/>
    <m/>
    <s v="MRF"/>
    <s v="OPERATIONAL"/>
    <s v="Technical Assistance"/>
  </r>
  <r>
    <x v="3"/>
    <s v="Victoria"/>
    <s v="Maluid"/>
    <s v="MBA"/>
    <m/>
    <m/>
    <n v="2024"/>
    <d v="2024-09-11T00:00:00"/>
    <m/>
    <x v="0"/>
    <m/>
    <s v="MRS"/>
    <s v="OPERATIONAL"/>
    <s v="Technical Assistance"/>
  </r>
  <r>
    <x v="3"/>
    <s v="Victoria"/>
    <s v="Mangolago"/>
    <s v="MBA"/>
    <m/>
    <m/>
    <n v="2025"/>
    <d v="2025-02-12T00:00:00"/>
    <s v="R3-2025-005460"/>
    <x v="0"/>
    <m/>
    <s v="MRS"/>
    <s v="OPERATIONAL"/>
    <s v="Technical Assistance"/>
  </r>
  <r>
    <x v="3"/>
    <s v="Victoria"/>
    <s v="Masalasa"/>
    <s v="MBA"/>
    <m/>
    <m/>
    <n v="2025"/>
    <d v="2025-02-12T00:00:00"/>
    <s v="R3-2025-005461"/>
    <x v="0"/>
    <m/>
    <s v="MRF"/>
    <s v="OPERATIONAL"/>
    <s v="Technical Assistance"/>
  </r>
  <r>
    <x v="3"/>
    <s v="Victoria"/>
    <s v="San Agustin"/>
    <s v="MBA"/>
    <m/>
    <m/>
    <n v="2025"/>
    <d v="2025-09-12T00:00:00"/>
    <s v="R3-2025-031661"/>
    <x v="0"/>
    <m/>
    <s v="MRF"/>
    <s v="OPERATIONAL"/>
    <s v="Technical Assistance"/>
  </r>
  <r>
    <x v="3"/>
    <s v="Victoria"/>
    <s v="San Andres"/>
    <s v="MBA"/>
    <m/>
    <m/>
    <n v="2025"/>
    <d v="2025-05-06T00:00:00"/>
    <s v="R3-2025-016612"/>
    <x v="0"/>
    <m/>
    <s v="NO FACILITY"/>
    <s v="CATER BY LGU"/>
    <s v="Technical Assistance"/>
  </r>
  <r>
    <x v="3"/>
    <s v="Victoria"/>
    <s v="San Fernando (Pob.)"/>
    <s v="MBA"/>
    <m/>
    <m/>
    <n v="2025"/>
    <d v="2025-09-12T00:00:00"/>
    <s v="R3-2025-031650"/>
    <x v="0"/>
    <m/>
    <s v="MRS"/>
    <s v="OPERATIONAL"/>
    <s v="Technical Assistance"/>
  </r>
  <r>
    <x v="3"/>
    <s v="Victoria"/>
    <s v="San Francisco"/>
    <s v="MBA"/>
    <m/>
    <m/>
    <n v="2024"/>
    <d v="2024-11-15T00:00:00"/>
    <m/>
    <x v="0"/>
    <m/>
    <s v="MRS"/>
    <s v="OPERATIONAL"/>
    <s v="Technical Assistance"/>
  </r>
  <r>
    <x v="3"/>
    <s v="Concepcion"/>
    <s v="San Nicolas Balas"/>
    <s v="MBA"/>
    <s v="Gretzhen M. Apolonio"/>
    <s v="Jan Emerson C. Gonzales"/>
    <m/>
    <m/>
    <m/>
    <x v="0"/>
    <m/>
    <m/>
    <m/>
    <s v="For Monitoring"/>
  </r>
  <r>
    <x v="3"/>
    <s v="Victoria"/>
    <s v="San Jacinto"/>
    <s v="MBA"/>
    <m/>
    <m/>
    <n v="2025"/>
    <d v="2025-05-07T00:00:00"/>
    <s v="R3-2025-016617"/>
    <x v="0"/>
    <m/>
    <s v="MRS"/>
    <s v="OPERATIONAL"/>
    <s v="Technical Assistance"/>
  </r>
  <r>
    <x v="3"/>
    <s v="Tarlac City (Capital)"/>
    <s v="San Carlos"/>
    <s v="MBA"/>
    <s v="Joshua A. Capones"/>
    <s v="Jan Emerson C. Gonzales"/>
    <m/>
    <m/>
    <m/>
    <x v="0"/>
    <m/>
    <m/>
    <m/>
    <s v="For Monitoring"/>
  </r>
  <r>
    <x v="3"/>
    <s v="Victoria"/>
    <s v="San Vicente"/>
    <s v="MBA"/>
    <m/>
    <m/>
    <n v="2025"/>
    <d v="2025-05-07T00:00:00"/>
    <s v="R3-2025-016247"/>
    <x v="0"/>
    <m/>
    <s v="MRS"/>
    <s v="OPERATIONAL"/>
    <s v="Technical Assistance"/>
  </r>
  <r>
    <x v="3"/>
    <s v="Victoria"/>
    <s v="Santa Barbara"/>
    <s v="MBA"/>
    <m/>
    <m/>
    <n v="2024"/>
    <d v="2024-10-02T00:00:00"/>
    <m/>
    <x v="0"/>
    <m/>
    <s v="MRF"/>
    <s v="OPERATIONAL"/>
    <s v="Technical Assistance"/>
  </r>
  <r>
    <x v="3"/>
    <s v="Victoria"/>
    <s v="Santa Lucia (Pob.)"/>
    <s v="MBA"/>
    <m/>
    <m/>
    <n v="2025"/>
    <d v="2025-09-12T00:00:00"/>
    <s v="R3-2025-031656"/>
    <x v="0"/>
    <m/>
    <s v="MRS"/>
    <s v="OPERATIONAL"/>
    <s v="Technical Assistance"/>
  </r>
  <r>
    <x v="5"/>
    <s v="Botolan"/>
    <s v="Bancal"/>
    <s v="OUTSIDE MBA"/>
    <m/>
    <m/>
    <n v="2024"/>
    <d v="2024-11-06T00:00:00"/>
    <m/>
    <x v="0"/>
    <m/>
    <s v="MRF"/>
    <s v="OPERATIONAL"/>
    <s v="Technical Assistance"/>
  </r>
  <r>
    <x v="5"/>
    <s v="Botolan"/>
    <s v="Bangan"/>
    <s v="OUTSIDE MBA"/>
    <m/>
    <m/>
    <n v="2025"/>
    <d v="2025-10-07T00:00:00"/>
    <s v="R3-2025-034512"/>
    <x v="0"/>
    <m/>
    <s v="MRF"/>
    <s v="OPERATIONAL"/>
    <s v="Technical Assistance"/>
  </r>
  <r>
    <x v="5"/>
    <s v="Botolan"/>
    <s v="Batonlapoc"/>
    <s v="OUTSIDE MBA"/>
    <m/>
    <m/>
    <n v="2025"/>
    <d v="2025-09-10T00:00:00"/>
    <s v="R3-2025-031058"/>
    <x v="0"/>
    <m/>
    <s v="MRF"/>
    <s v="OPERATIONAL"/>
    <s v="Technical Assistance"/>
  </r>
  <r>
    <x v="5"/>
    <s v="Botolan"/>
    <s v="Belbel"/>
    <s v="OUTSIDE MBA"/>
    <m/>
    <m/>
    <n v="2025"/>
    <d v="2025-08-14T00:00:00"/>
    <s v="R3-2025-027723"/>
    <x v="0"/>
    <m/>
    <s v="NO FACILITY"/>
    <s v="CATER BY LGU"/>
    <s v="Technical Assistance"/>
  </r>
  <r>
    <x v="5"/>
    <s v="Botolan"/>
    <s v="Beneg"/>
    <s v="OUTSIDE MBA"/>
    <m/>
    <m/>
    <n v="2025"/>
    <d v="2025-10-07T00:00:00"/>
    <s v="R3-2025-034509"/>
    <x v="0"/>
    <m/>
    <s v="MRF"/>
    <s v="OPERATIONAL"/>
    <s v="Technical Assistance"/>
  </r>
  <r>
    <x v="5"/>
    <s v="Botolan"/>
    <s v="Binuclutan"/>
    <s v="OUTSIDE MBA"/>
    <m/>
    <m/>
    <n v="2025"/>
    <d v="2025-05-14T00:00:00"/>
    <s v="R3-2025-016768"/>
    <x v="0"/>
    <m/>
    <s v="MRF"/>
    <s v="OPERATIONAL"/>
    <s v="Technical Assistance"/>
  </r>
  <r>
    <x v="5"/>
    <s v="Botolan"/>
    <s v="Burgos"/>
    <s v="OUTSIDE MBA"/>
    <m/>
    <m/>
    <n v="2025"/>
    <d v="2025-10-07T00:00:00"/>
    <s v="R3-2025-034465"/>
    <x v="0"/>
    <m/>
    <s v="MRS"/>
    <s v="OPERATIONAL"/>
    <s v="Technical Assistance"/>
  </r>
  <r>
    <x v="5"/>
    <s v="Botolan"/>
    <s v="Cabatuan"/>
    <s v="OUTSIDE MBA"/>
    <m/>
    <m/>
    <n v="2025"/>
    <d v="2025-09-10T00:00:00"/>
    <s v="R3-2025-031060"/>
    <x v="0"/>
    <m/>
    <s v="NO FACILITY"/>
    <s v="CATER BY LGU"/>
    <s v="Technical Assistance"/>
  </r>
  <r>
    <x v="5"/>
    <s v="Botolan"/>
    <s v="Capayawan"/>
    <s v="OUTSIDE MBA"/>
    <m/>
    <m/>
    <n v="2025"/>
    <d v="2025-10-07T00:00:00"/>
    <s v="R3-2025-034511"/>
    <x v="0"/>
    <m/>
    <s v="MRF"/>
    <s v="OPERATIONAL"/>
    <s v="Technical Assistance"/>
  </r>
  <r>
    <x v="5"/>
    <s v="Botolan"/>
    <s v="Carael"/>
    <s v="OUTSIDE MBA"/>
    <m/>
    <m/>
    <n v="2025"/>
    <d v="2025-05-14T00:00:00"/>
    <s v="R3-2025-016771"/>
    <x v="0"/>
    <m/>
    <s v="MRF"/>
    <s v="OPERATIONAL"/>
    <s v="Technical Assistance"/>
  </r>
  <r>
    <x v="5"/>
    <s v="Botolan"/>
    <s v="Danacbunga"/>
    <s v="OUTSIDE MBA"/>
    <m/>
    <m/>
    <n v="2025"/>
    <d v="2025-10-07T00:00:00"/>
    <s v="R3-2025-034513"/>
    <x v="0"/>
    <m/>
    <s v="MRF"/>
    <s v="OPERATIONAL"/>
    <s v="Technical Assistance"/>
  </r>
  <r>
    <x v="5"/>
    <s v="Botolan"/>
    <s v="Maguisguis"/>
    <s v="OUTSIDE MBA"/>
    <m/>
    <m/>
    <n v="2025"/>
    <d v="2025-08-14T00:00:00"/>
    <s v="R3-2025-027720"/>
    <x v="0"/>
    <m/>
    <s v="MRS"/>
    <s v="OPERATIONAL"/>
    <s v="Technical Assistance"/>
  </r>
  <r>
    <x v="5"/>
    <s v="Botolan"/>
    <s v="Malomboy"/>
    <s v="OUTSIDE MBA"/>
    <m/>
    <m/>
    <n v="2025"/>
    <d v="2025-09-10T00:00:00"/>
    <s v="R3-2025-031059"/>
    <x v="0"/>
    <m/>
    <s v="MRF"/>
    <s v="OPERATIONAL"/>
    <s v="Technical Assistance"/>
  </r>
  <r>
    <x v="5"/>
    <s v="Botolan"/>
    <s v="Mambog"/>
    <s v="OUTSIDE MBA"/>
    <m/>
    <m/>
    <n v="2025"/>
    <d v="2025-10-07T00:00:00"/>
    <s v=" R3-2025-034459"/>
    <x v="0"/>
    <m/>
    <s v="MRS"/>
    <s v="OPERATIONAL"/>
    <s v="Technical Assistance"/>
  </r>
  <r>
    <x v="5"/>
    <s v="Botolan"/>
    <s v="Moraza"/>
    <s v="OUTSIDE MBA"/>
    <m/>
    <m/>
    <n v="2025"/>
    <d v="2025-10-07T00:00:00"/>
    <s v="R3-2025-034461"/>
    <x v="0"/>
    <m/>
    <s v="MRS"/>
    <s v="OPERATIONAL"/>
    <s v="Technical Assistance"/>
  </r>
  <r>
    <x v="5"/>
    <s v="Botolan"/>
    <s v="Nacolcol"/>
    <s v="OUTSIDE MBA"/>
    <m/>
    <m/>
    <n v="2025"/>
    <d v="2025-10-07T00:00:00"/>
    <s v="R3-2025-034464"/>
    <x v="0"/>
    <m/>
    <s v="MRS"/>
    <s v="OPERATIONAL"/>
    <s v="Technical Assistance"/>
  </r>
  <r>
    <x v="5"/>
    <s v="Botolan"/>
    <s v="Owaog-Nibloc"/>
    <s v="OUTSIDE MBA"/>
    <m/>
    <m/>
    <n v="2025"/>
    <d v="2025-08-14T00:00:00"/>
    <s v="R3-2025-027722"/>
    <x v="0"/>
    <m/>
    <s v="NO FACILITY"/>
    <s v="CATER BY LGU"/>
    <s v="Technical Assistance"/>
  </r>
  <r>
    <x v="5"/>
    <s v="Botolan"/>
    <s v="Paco (Pob.)"/>
    <s v="OUTSIDE MBA"/>
    <m/>
    <m/>
    <n v="2024"/>
    <d v="2024-11-06T00:00:00"/>
    <m/>
    <x v="0"/>
    <m/>
    <s v="MRF"/>
    <s v="OPERATIONAL"/>
    <s v="Technical Assistance"/>
  </r>
  <r>
    <x v="5"/>
    <s v="Botolan"/>
    <s v="Palis"/>
    <s v="OUTSIDE MBA"/>
    <m/>
    <m/>
    <n v="2025"/>
    <d v="2025-08-14T00:00:00"/>
    <s v="R3-2025-027718"/>
    <x v="0"/>
    <m/>
    <s v="MRF"/>
    <s v="OPERATIONAL"/>
    <s v="Technical Assistance"/>
  </r>
  <r>
    <x v="5"/>
    <s v="Botolan"/>
    <s v="Panan"/>
    <s v="OUTSIDE MBA"/>
    <m/>
    <m/>
    <n v="2025"/>
    <d v="2025-09-10T00:00:00"/>
    <s v="R3-2025-031056"/>
    <x v="0"/>
    <m/>
    <s v="MRF"/>
    <s v="OPERATIONAL"/>
    <s v="Technical Assistance"/>
  </r>
  <r>
    <x v="5"/>
    <s v="Botolan"/>
    <s v="Parel"/>
    <s v="OUTSIDE MBA"/>
    <m/>
    <m/>
    <n v="2025"/>
    <d v="2025-10-07T00:00:00"/>
    <s v="R3-2025-034515"/>
    <x v="0"/>
    <m/>
    <s v="MRF"/>
    <s v="OPERATIONAL"/>
    <s v="Technical Assistance"/>
  </r>
  <r>
    <x v="5"/>
    <s v="Botolan"/>
    <s v="Paudpod"/>
    <s v="OUTSIDE MBA"/>
    <m/>
    <m/>
    <n v="2024"/>
    <d v="2024-11-06T00:00:00"/>
    <m/>
    <x v="0"/>
    <m/>
    <s v="MRF"/>
    <s v="OPERATIONAL"/>
    <s v="Technical Assistance"/>
  </r>
  <r>
    <x v="5"/>
    <s v="Botolan"/>
    <s v="Poonbato"/>
    <s v="OUTSIDE MBA"/>
    <m/>
    <m/>
    <n v="2025"/>
    <d v="2025-08-14T00:00:00"/>
    <s v="R3-2025-027721"/>
    <x v="0"/>
    <m/>
    <s v="MRS"/>
    <s v="NON-OPERATIONAL"/>
    <s v="Technical Assistance"/>
  </r>
  <r>
    <x v="5"/>
    <s v="Botolan"/>
    <s v="Porac"/>
    <s v="OUTSIDE MBA"/>
    <m/>
    <m/>
    <n v="2025"/>
    <d v="2025-10-07T00:00:00"/>
    <s v="R3-2025-034506"/>
    <x v="0"/>
    <m/>
    <s v="MRF"/>
    <s v="OPERATIONAL"/>
    <s v="Technical Assistance"/>
  </r>
  <r>
    <x v="5"/>
    <s v="Botolan"/>
    <s v="San Isidro"/>
    <s v="OUTSIDE MBA"/>
    <m/>
    <m/>
    <n v="2024"/>
    <d v="2024-11-06T00:00:00"/>
    <m/>
    <x v="0"/>
    <m/>
    <s v="MRF"/>
    <s v="OPERATIONAL"/>
    <s v="Technical Assistance"/>
  </r>
  <r>
    <x v="5"/>
    <s v="Botolan"/>
    <s v="San Juan"/>
    <s v="OUTSIDE MBA"/>
    <m/>
    <m/>
    <n v="2024"/>
    <d v="2024-11-06T00:00:00"/>
    <m/>
    <x v="0"/>
    <m/>
    <s v="MRF"/>
    <s v="OPERATIONAL"/>
    <s v="Technical Assistance"/>
  </r>
  <r>
    <x v="5"/>
    <s v="Botolan"/>
    <s v="San Miguel"/>
    <s v="OUTSIDE MBA"/>
    <m/>
    <m/>
    <n v="2024"/>
    <d v="2024-11-06T00:00:00"/>
    <m/>
    <x v="0"/>
    <m/>
    <s v="MRF"/>
    <s v="OPERATIONAL"/>
    <s v="Technical Assistance"/>
  </r>
  <r>
    <x v="5"/>
    <s v="Botolan"/>
    <s v="Santiago"/>
    <s v="OUTSIDE MBA"/>
    <m/>
    <m/>
    <n v="2025"/>
    <d v="2025-09-10T00:00:00"/>
    <s v="R3-2025-031061"/>
    <x v="0"/>
    <m/>
    <s v="MRF"/>
    <s v="OPERATIONAL"/>
    <s v="Technical Assistance"/>
  </r>
  <r>
    <x v="5"/>
    <s v="Botolan"/>
    <s v="Tampo (Pob.)"/>
    <s v="OUTSIDE MBA"/>
    <m/>
    <m/>
    <n v="2025"/>
    <d v="2025-09-10T00:00:00"/>
    <s v="R3-2025-031062_x0009_"/>
    <x v="0"/>
    <m/>
    <s v="NO FACILITY"/>
    <s v="CATER BY LGU"/>
    <s v="Technical Assistance"/>
  </r>
  <r>
    <x v="5"/>
    <s v="Botolan"/>
    <s v="Taugtog"/>
    <s v="OUTSIDE MBA"/>
    <m/>
    <m/>
    <n v="2024"/>
    <d v="2024-09-04T00:00:00"/>
    <m/>
    <x v="0"/>
    <m/>
    <s v="MRF"/>
    <s v="OPERATIONAL"/>
    <s v="Technical Assistance"/>
  </r>
  <r>
    <x v="5"/>
    <s v="Botolan"/>
    <s v="Villar"/>
    <s v="OUTSIDE MBA"/>
    <m/>
    <m/>
    <n v="2025"/>
    <d v="2025-08-14T00:00:00"/>
    <s v="R3-2025-027719"/>
    <x v="0"/>
    <m/>
    <s v="NO FACILITY"/>
    <s v="CATER BY LGU"/>
    <s v="Technical Assistance"/>
  </r>
  <r>
    <x v="5"/>
    <s v="Cabangan"/>
    <s v="Anonang"/>
    <s v="OUTSIDE MBA"/>
    <m/>
    <m/>
    <n v="2025"/>
    <d v="2025-05-15T00:00:00"/>
    <s v="R3-2025-016773"/>
    <x v="0"/>
    <m/>
    <s v="MRF"/>
    <s v="OPERATIONAL"/>
    <s v="Technical Assistance"/>
  </r>
  <r>
    <x v="5"/>
    <s v="Cabangan"/>
    <s v="Apo-apo"/>
    <s v="OUTSIDE MBA"/>
    <m/>
    <m/>
    <n v="2024"/>
    <d v="2024-10-17T00:00:00"/>
    <m/>
    <x v="0"/>
    <m/>
    <s v="MRF"/>
    <s v="OPERATIONAL"/>
    <s v="Technical Assistance"/>
  </r>
  <r>
    <x v="5"/>
    <s v="Cabangan"/>
    <s v="Arew"/>
    <s v="OUTSIDE MBA"/>
    <m/>
    <m/>
    <n v="2025"/>
    <d v="2025-09-11T00:00:00"/>
    <s v="R3-2025-031063"/>
    <x v="0"/>
    <m/>
    <s v="MRF"/>
    <s v="OPERATIONAL"/>
    <s v="Technical Assistance"/>
  </r>
  <r>
    <x v="5"/>
    <s v="Cabangan"/>
    <s v="Banuambayo (Pob.)"/>
    <s v="OUTSIDE MBA"/>
    <m/>
    <m/>
    <n v="2024"/>
    <d v="2024-07-11T00:00:00"/>
    <m/>
    <x v="0"/>
    <m/>
    <s v="MRF"/>
    <s v="OPERATIONAL"/>
    <s v="Technical Assistance"/>
  </r>
  <r>
    <x v="5"/>
    <s v="Cabangan"/>
    <s v="Cadmang-Reserva"/>
    <s v="OUTSIDE MBA"/>
    <m/>
    <m/>
    <n v="2025"/>
    <d v="2025-10-14T00:00:00"/>
    <s v=" R3-2025-035040"/>
    <x v="0"/>
    <m/>
    <s v="MRF"/>
    <s v="OPERATIONAL"/>
    <s v="Technical Assistance"/>
  </r>
  <r>
    <x v="5"/>
    <s v="Cabangan"/>
    <s v="Camiling"/>
    <s v="OUTSIDE MBA"/>
    <m/>
    <m/>
    <n v="2025"/>
    <d v="2025-06-13T00:00:00"/>
    <s v="R3-2025-019917"/>
    <x v="0"/>
    <m/>
    <s v="MRF"/>
    <s v="OPERATIONAL"/>
    <s v="Technical Assistance"/>
  </r>
  <r>
    <x v="5"/>
    <s v="Cabangan"/>
    <s v="Casabaan"/>
    <s v="OUTSIDE MBA"/>
    <m/>
    <m/>
    <n v="2025"/>
    <d v="2025-02-13T00:00:00"/>
    <s v="R3-2025-005888"/>
    <x v="0"/>
    <m/>
    <s v="MRF"/>
    <s v="OPERATIONAL"/>
    <s v="Technical Assistance"/>
  </r>
  <r>
    <x v="5"/>
    <s v="Cabangan"/>
    <s v="Del Carmen (Pob.)"/>
    <s v="OUTSIDE MBA"/>
    <m/>
    <m/>
    <n v="2025"/>
    <d v="2025-09-11T00:00:00"/>
    <s v="R3-2025-031064"/>
    <x v="0"/>
    <m/>
    <s v="MRF"/>
    <s v="OPERATIONAL"/>
    <s v="Technical Assistance"/>
  </r>
  <r>
    <x v="5"/>
    <s v="Cabangan"/>
    <s v="Dolores (Pob.)"/>
    <s v="OUTSIDE MBA"/>
    <m/>
    <m/>
    <n v="2025"/>
    <d v="2025-03-12T00:00:00"/>
    <s v="R3-2025-009174"/>
    <x v="0"/>
    <m/>
    <s v="MRF"/>
    <s v="OPERATIONAL"/>
    <s v="Technical Assistance"/>
  </r>
  <r>
    <x v="5"/>
    <s v="Cabangan"/>
    <s v="Felmida-Diaz"/>
    <s v="OUTSIDE MBA"/>
    <m/>
    <m/>
    <n v="2025"/>
    <d v="2025-09-11T00:00:00"/>
    <s v="R3-2025-031067"/>
    <x v="0"/>
    <m/>
    <s v="MRF"/>
    <s v="OPERATIONAL"/>
    <s v="Technical Assistance"/>
  </r>
  <r>
    <x v="5"/>
    <s v="Cabangan"/>
    <s v="Laoag"/>
    <s v="OUTSIDE MBA"/>
    <m/>
    <m/>
    <n v="2025"/>
    <d v="2025-09-11T00:00:00"/>
    <s v="R3-2025-031068"/>
    <x v="0"/>
    <m/>
    <s v="MRF"/>
    <s v="OPERATIONAL"/>
    <s v="Technical Assistance"/>
  </r>
  <r>
    <x v="5"/>
    <s v="Cabangan"/>
    <s v="Lomboy"/>
    <s v="OUTSIDE MBA"/>
    <m/>
    <m/>
    <n v="2025"/>
    <d v="2025-06-13T00:00:00"/>
    <s v="R3-2025-019918"/>
    <x v="0"/>
    <m/>
    <s v="MRF"/>
    <s v="OPERATIONAL"/>
    <s v="Technical Assistance"/>
  </r>
  <r>
    <x v="5"/>
    <s v="Cabangan"/>
    <s v="Longos"/>
    <s v="OUTSIDE MBA"/>
    <m/>
    <m/>
    <n v="2024"/>
    <d v="2024-09-05T00:00:00"/>
    <m/>
    <x v="0"/>
    <m/>
    <s v="MRF"/>
    <s v="OPERATIONAL"/>
    <s v="Technical Assistance"/>
  </r>
  <r>
    <x v="5"/>
    <s v="Cabangan"/>
    <s v="Mabanglit"/>
    <s v="OUTSIDE MBA"/>
    <m/>
    <m/>
    <n v="2025"/>
    <d v="2025-09-11T00:00:00"/>
    <s v="R3-2025-031069"/>
    <x v="0"/>
    <m/>
    <s v="MRF"/>
    <s v="OPERATIONAL"/>
    <s v="Technical Assistance"/>
  </r>
  <r>
    <x v="5"/>
    <s v="Cabangan"/>
    <s v="New San Juan"/>
    <s v="OUTSIDE MBA"/>
    <m/>
    <m/>
    <n v="2025"/>
    <d v="2025-09-11T00:00:00"/>
    <s v="R3-2025-031070"/>
    <x v="0"/>
    <m/>
    <s v="MRF"/>
    <s v="OPERATIONAL"/>
    <s v="Technical Assistance"/>
  </r>
  <r>
    <x v="5"/>
    <s v="Cabangan"/>
    <s v="San Antonio"/>
    <s v="OUTSIDE MBA"/>
    <m/>
    <m/>
    <n v="2024"/>
    <d v="2024-07-11T00:00:00"/>
    <m/>
    <x v="0"/>
    <m/>
    <s v="MRF"/>
    <s v="OPERATIONAL"/>
    <s v="Technical Assistance"/>
  </r>
  <r>
    <x v="5"/>
    <s v="Cabangan"/>
    <s v="San Isidro"/>
    <s v="OUTSIDE MBA"/>
    <m/>
    <m/>
    <n v="2025"/>
    <d v="2025-09-11T00:00:00"/>
    <s v="R3-2025-031071"/>
    <x v="0"/>
    <m/>
    <s v="MRF"/>
    <s v="OPERATIONAL"/>
    <s v="Technical Assistance"/>
  </r>
  <r>
    <x v="5"/>
    <s v="Cabangan"/>
    <s v="San Juan (Pob.)"/>
    <s v="OUTSIDE MBA"/>
    <m/>
    <m/>
    <n v="2025"/>
    <d v="2025-04-10T00:00:00"/>
    <s v="R3-2025-012821"/>
    <x v="0"/>
    <m/>
    <s v="MRF"/>
    <s v="OPERATIONAL"/>
    <s v="Technical Assistance"/>
  </r>
  <r>
    <x v="5"/>
    <s v="Cabangan"/>
    <s v="San Rafael"/>
    <s v="OUTSIDE MBA"/>
    <m/>
    <m/>
    <n v="2025"/>
    <d v="2025-10-14T00:00:00"/>
    <s v="R3-2025-035034"/>
    <x v="0"/>
    <m/>
    <s v="MRF"/>
    <s v="OPERATIONAL"/>
    <s v="Technical Assistance"/>
  </r>
  <r>
    <x v="5"/>
    <s v="Cabangan"/>
    <s v="Santa Rita"/>
    <s v="OUTSIDE MBA"/>
    <m/>
    <m/>
    <n v="2024"/>
    <d v="2024-07-11T00:00:00"/>
    <m/>
    <x v="0"/>
    <m/>
    <s v="MRF"/>
    <s v="OPERATIONAL"/>
    <s v="Technical Assistance"/>
  </r>
  <r>
    <x v="5"/>
    <s v="Cabangan"/>
    <s v="Santo Niño"/>
    <s v="OUTSIDE MBA"/>
    <m/>
    <m/>
    <n v="2024"/>
    <d v="2024-10-17T00:00:00"/>
    <m/>
    <x v="0"/>
    <m/>
    <s v="MRF"/>
    <s v="OPERATIONAL"/>
    <s v="Technical Assistance"/>
  </r>
  <r>
    <x v="5"/>
    <s v="Cabangan"/>
    <s v="Tondo"/>
    <s v="OUTSIDE MBA"/>
    <m/>
    <m/>
    <n v="2025"/>
    <d v="2025-05-15T00:00:00"/>
    <s v="R3-2025-016774"/>
    <x v="0"/>
    <m/>
    <s v="MRF"/>
    <s v="OPERATIONAL"/>
    <s v="Technical Assistance"/>
  </r>
  <r>
    <x v="5"/>
    <s v="Candelaria"/>
    <s v="Babancal"/>
    <s v="OUTSIDE MBA"/>
    <m/>
    <m/>
    <n v="2025"/>
    <d v="2025-04-03T00:00:00"/>
    <s v="R3-2025-011518"/>
    <x v="0"/>
    <m/>
    <s v="MRF"/>
    <s v="OPERATIONAL"/>
    <s v="Technical Assistance"/>
  </r>
  <r>
    <x v="5"/>
    <s v="Candelaria"/>
    <s v="Binabalian"/>
    <s v="OUTSIDE MBA"/>
    <m/>
    <m/>
    <n v="2024"/>
    <d v="2024-07-11T00:00:00"/>
    <m/>
    <x v="0"/>
    <m/>
    <s v="MRF"/>
    <s v="OPERATIONAL"/>
    <s v="Technical Assistance"/>
  </r>
  <r>
    <x v="5"/>
    <s v="Candelaria"/>
    <s v="Catol"/>
    <s v="OUTSIDE MBA"/>
    <m/>
    <m/>
    <n v="2024"/>
    <d v="2024-07-11T00:00:00"/>
    <m/>
    <x v="0"/>
    <m/>
    <s v="MRF"/>
    <s v="OPERATIONAL"/>
    <s v="Technical Assistance"/>
  </r>
  <r>
    <x v="5"/>
    <s v="Candelaria"/>
    <s v="Dampay"/>
    <s v="OUTSIDE MBA"/>
    <m/>
    <m/>
    <n v="2025"/>
    <d v="2025-03-06T00:00:00"/>
    <s v="R3-2025-008143"/>
    <x v="0"/>
    <m/>
    <s v="MRF"/>
    <s v="OPERATIONAL"/>
    <s v="Technical Assistance"/>
  </r>
  <r>
    <x v="5"/>
    <s v="Candelaria"/>
    <s v="Lauis"/>
    <s v="OUTSIDE MBA"/>
    <m/>
    <m/>
    <n v="2024"/>
    <d v="2024-07-11T00:00:00"/>
    <m/>
    <x v="0"/>
    <m/>
    <s v="MRF"/>
    <s v="OPERATIONAL"/>
    <s v="Technical Assistance"/>
  </r>
  <r>
    <x v="5"/>
    <s v="Candelaria"/>
    <s v="Libertador"/>
    <s v="OUTSIDE MBA"/>
    <m/>
    <m/>
    <n v="2025"/>
    <d v="2025-03-06T00:00:00"/>
    <s v="R3-2025-008141"/>
    <x v="0"/>
    <m/>
    <s v="MRF"/>
    <s v="NON-OPERATIONAL"/>
    <s v="Technical Assistance"/>
  </r>
  <r>
    <x v="5"/>
    <s v="Candelaria"/>
    <s v="Malabon"/>
    <s v="OUTSIDE MBA"/>
    <m/>
    <m/>
    <n v="2024"/>
    <s v="November 14, 2024"/>
    <m/>
    <x v="0"/>
    <m/>
    <s v="MRF"/>
    <s v="OPERATIONAL"/>
    <s v="Technical Assistance"/>
  </r>
  <r>
    <x v="5"/>
    <s v="Candelaria"/>
    <s v="Malimanga"/>
    <s v="OUTSIDE MBA"/>
    <m/>
    <m/>
    <n v="2024"/>
    <s v="November 14, 2024"/>
    <m/>
    <x v="0"/>
    <m/>
    <s v="MRF"/>
    <s v="OPERATIONAL"/>
    <s v="Technical Assistance"/>
  </r>
  <r>
    <x v="5"/>
    <s v="Candelaria"/>
    <s v="Pamibian"/>
    <s v="OUTSIDE MBA"/>
    <m/>
    <m/>
    <n v="2024"/>
    <d v="2024-07-11T00:00:00"/>
    <m/>
    <x v="0"/>
    <m/>
    <s v="MRF"/>
    <s v="OPERATIONAL"/>
    <s v="Technical Assistance"/>
  </r>
  <r>
    <x v="5"/>
    <s v="Candelaria"/>
    <s v="Panayonan"/>
    <s v="OUTSIDE MBA"/>
    <m/>
    <m/>
    <n v="2025"/>
    <d v="2025-11-06T00:00:00"/>
    <s v="R3-2025-037567"/>
    <x v="0"/>
    <m/>
    <s v="MRF"/>
    <s v="OPERATIONAL"/>
    <s v="Technical Assistance"/>
  </r>
  <r>
    <x v="5"/>
    <s v="Candelaria"/>
    <s v="Pinagrealan"/>
    <s v="OUTSIDE MBA"/>
    <m/>
    <m/>
    <n v="2025"/>
    <d v="2025-03-27T00:00:00"/>
    <s v="R3-2025-010766"/>
    <x v="0"/>
    <m/>
    <s v="MRF"/>
    <s v="OPERATIONAL"/>
    <s v="Technical Assistance"/>
  </r>
  <r>
    <x v="5"/>
    <s v="Candelaria"/>
    <s v="Poblacion"/>
    <s v="OUTSIDE MBA"/>
    <m/>
    <m/>
    <n v="2025"/>
    <d v="2025-03-06T00:00:00"/>
    <s v="R3-2025-008072"/>
    <x v="0"/>
    <m/>
    <s v="MRS"/>
    <s v="OPERATIONAL"/>
    <s v="Technical Assistance"/>
  </r>
  <r>
    <x v="5"/>
    <s v="Candelaria"/>
    <s v="Sinabacan"/>
    <s v="OUTSIDE MBA"/>
    <m/>
    <m/>
    <n v="2024"/>
    <s v="November 14, 2024"/>
    <m/>
    <x v="0"/>
    <m/>
    <s v="MRF"/>
    <s v="OPERATIONAL"/>
    <s v="Technical Assistance"/>
  </r>
  <r>
    <x v="5"/>
    <s v="Candelaria"/>
    <s v="Taposo"/>
    <s v="OUTSIDE MBA"/>
    <m/>
    <m/>
    <n v="2025"/>
    <d v="2025-04-03T00:00:00"/>
    <s v="R3-2025-011539"/>
    <x v="0"/>
    <m/>
    <s v="MRS"/>
    <s v="OPERATIONAL"/>
    <s v="Technical Assistance"/>
  </r>
  <r>
    <x v="5"/>
    <s v="Candelaria"/>
    <s v="Uacon"/>
    <s v="OUTSIDE MBA"/>
    <m/>
    <m/>
    <n v="2024"/>
    <s v="November 14, 2024"/>
    <m/>
    <x v="0"/>
    <m/>
    <s v="MRF"/>
    <s v="OPERATIONAL"/>
    <s v="Technical Assistance"/>
  </r>
  <r>
    <x v="5"/>
    <s v="Candelaria"/>
    <s v="Yamot"/>
    <s v="OUTSIDE MBA"/>
    <m/>
    <m/>
    <n v="2024"/>
    <d v="2024-07-11T00:00:00"/>
    <m/>
    <x v="0"/>
    <m/>
    <s v="MRF"/>
    <s v="NON-OPERATIONAL"/>
    <s v="Technical Assistance"/>
  </r>
  <r>
    <x v="5"/>
    <s v="Castillejos"/>
    <s v="Balaybay"/>
    <s v="OUTSIDE MBA"/>
    <m/>
    <m/>
    <n v="2025"/>
    <d v="2025-08-14T00:00:00"/>
    <s v="R3-2025-027578"/>
    <x v="0"/>
    <m/>
    <s v="MRF"/>
    <s v="NON-OPERATIONAL"/>
    <s v="Technical Assistance"/>
  </r>
  <r>
    <x v="5"/>
    <s v="Castillejos"/>
    <s v="Buenavista"/>
    <s v="OUTSIDE MBA"/>
    <m/>
    <m/>
    <n v="2025"/>
    <d v="2025-08-14T00:00:00"/>
    <s v="R3-2025-027579"/>
    <x v="0"/>
    <m/>
    <s v="MRF"/>
    <s v="OPERATIONAL"/>
    <s v="Technical Assistance"/>
  </r>
  <r>
    <x v="5"/>
    <s v="Castillejos"/>
    <s v="Del Pilar"/>
    <s v="OUTSIDE MBA"/>
    <m/>
    <m/>
    <n v="2024"/>
    <d v="2024-10-03T00:00:00"/>
    <m/>
    <x v="0"/>
    <m/>
    <s v="MRF"/>
    <s v="OPERATIONAL"/>
    <s v="Technical Assistance"/>
  </r>
  <r>
    <x v="5"/>
    <s v="Castillejos"/>
    <s v="Looc"/>
    <s v="OUTSIDE MBA"/>
    <m/>
    <m/>
    <n v="2025"/>
    <d v="2025-08-14T00:00:00"/>
    <s v="R3-2025-027581"/>
    <x v="0"/>
    <m/>
    <s v="MRF"/>
    <s v="OPERATIONAL"/>
    <s v="Technical Assistance"/>
  </r>
  <r>
    <x v="5"/>
    <s v="Castillejos"/>
    <s v="Magsaysay"/>
    <s v="OUTSIDE MBA"/>
    <m/>
    <m/>
    <n v="2025"/>
    <d v="2025-08-14T00:00:00"/>
    <s v="R3-2025-027580"/>
    <x v="0"/>
    <m/>
    <s v="MRF"/>
    <s v="OPERATIONAL"/>
    <s v="Technical Assistance"/>
  </r>
  <r>
    <x v="5"/>
    <s v="Castillejos"/>
    <s v="Nagbayan"/>
    <s v="OUTSIDE MBA"/>
    <m/>
    <m/>
    <n v="2024"/>
    <d v="2024-11-14T00:00:00"/>
    <m/>
    <x v="0"/>
    <m/>
    <s v="MRF"/>
    <s v="OPERATIONAL"/>
    <s v="Technical Assistance"/>
  </r>
  <r>
    <x v="5"/>
    <s v="Castillejos"/>
    <s v="Nagbunga"/>
    <s v="OUTSIDE MBA"/>
    <m/>
    <m/>
    <n v="2024"/>
    <d v="2024-11-14T00:00:00"/>
    <m/>
    <x v="0"/>
    <m/>
    <s v="MRF"/>
    <s v="OPERATIONAL"/>
    <s v="Technical Assistance"/>
  </r>
  <r>
    <x v="5"/>
    <s v="Castillejos"/>
    <s v="San Agustin"/>
    <s v="OUTSIDE MBA"/>
    <m/>
    <m/>
    <n v="2025"/>
    <d v="2025-01-17T00:00:00"/>
    <s v="R3-2025-001649"/>
    <x v="0"/>
    <m/>
    <s v="MRF"/>
    <s v="OPERATIONAL"/>
    <s v="Technical Assistance"/>
  </r>
  <r>
    <x v="5"/>
    <s v="Castillejos"/>
    <s v="San Jose (Pob.)"/>
    <s v="OUTSIDE MBA"/>
    <m/>
    <m/>
    <n v="2024"/>
    <d v="2024-11-14T00:00:00"/>
    <m/>
    <x v="0"/>
    <m/>
    <s v="MRF"/>
    <s v="OPERATIONAL"/>
    <s v="Technical Assistance"/>
  </r>
  <r>
    <x v="5"/>
    <s v="Castillejos"/>
    <s v="San Juan (Pob.)"/>
    <s v="OUTSIDE MBA"/>
    <m/>
    <m/>
    <n v="2024"/>
    <d v="2024-10-03T00:00:00"/>
    <m/>
    <x v="0"/>
    <m/>
    <s v="MRF"/>
    <s v="OPERATIONAL"/>
    <s v="Technical Assistance"/>
  </r>
  <r>
    <x v="5"/>
    <s v="Castillejos"/>
    <s v="San Nicolas"/>
    <s v="OUTSIDE MBA"/>
    <m/>
    <m/>
    <n v="2024"/>
    <d v="2024-11-14T00:00:00"/>
    <m/>
    <x v="0"/>
    <m/>
    <s v="MRF"/>
    <s v="OPERATIONAL"/>
    <s v="Technical Assistance"/>
  </r>
  <r>
    <x v="5"/>
    <s v="Castillejos"/>
    <s v="San Pablo (Pob.)"/>
    <s v="OUTSIDE MBA"/>
    <m/>
    <m/>
    <n v="2024"/>
    <d v="2024-10-03T00:00:00"/>
    <m/>
    <x v="0"/>
    <m/>
    <s v="MRF"/>
    <s v="OPERATIONAL"/>
    <s v="Technical Assistance"/>
  </r>
  <r>
    <x v="5"/>
    <s v="Castillejos"/>
    <s v="San Roque"/>
    <s v="OUTSIDE MBA"/>
    <m/>
    <m/>
    <n v="2024"/>
    <d v="2024-10-03T00:00:00"/>
    <m/>
    <x v="0"/>
    <m/>
    <s v="MRF"/>
    <s v="OPERATIONAL"/>
    <s v="Technical Assistance"/>
  </r>
  <r>
    <x v="5"/>
    <s v="Castillejos"/>
    <s v="Santa Maria"/>
    <s v="OUTSIDE MBA"/>
    <m/>
    <m/>
    <n v="2024"/>
    <d v="2024-05-16T00:00:00"/>
    <m/>
    <x v="0"/>
    <m/>
    <s v="MRF"/>
    <s v="OPERATIONAL"/>
    <s v="Technical Assistance"/>
  </r>
  <r>
    <x v="5"/>
    <s v="Iba (Capital)"/>
    <s v="Amungan"/>
    <s v="OUTSIDE MBA"/>
    <m/>
    <m/>
    <n v="2024"/>
    <d v="2024-05-15T00:00:00"/>
    <m/>
    <x v="0"/>
    <m/>
    <s v="MRF"/>
    <s v="OPERATIONAL"/>
    <s v="Technical Assistance"/>
  </r>
  <r>
    <x v="5"/>
    <s v="Iba (Capital)"/>
    <s v="Bangantalinga"/>
    <s v="OUTSIDE MBA"/>
    <m/>
    <m/>
    <n v="2024"/>
    <d v="2024-07-16T00:00:00"/>
    <m/>
    <x v="0"/>
    <m/>
    <s v="MRF"/>
    <s v="OPERATIONAL"/>
    <s v="Technical Assistance"/>
  </r>
  <r>
    <x v="5"/>
    <s v="Iba (Capital)"/>
    <s v="Dirita-Baloguen"/>
    <s v="OUTSIDE MBA"/>
    <m/>
    <m/>
    <n v="2024"/>
    <d v="2024-05-15T00:00:00"/>
    <m/>
    <x v="0"/>
    <m/>
    <s v="MRF"/>
    <s v="OPERATIONAL"/>
    <s v="Technical Assistance"/>
  </r>
  <r>
    <x v="5"/>
    <s v="Iba (Capital)"/>
    <s v="Lipay-Dingin-Panibuatan"/>
    <s v="OUTSIDE MBA"/>
    <m/>
    <m/>
    <n v="2024"/>
    <d v="2024-07-16T00:00:00"/>
    <m/>
    <x v="0"/>
    <m/>
    <s v="MRS"/>
    <s v="CATER BY LGU"/>
    <s v="Technical Assistance"/>
  </r>
  <r>
    <x v="5"/>
    <s v="Iba (Capital)"/>
    <s v="Palanginan"/>
    <s v="OUTSIDE MBA"/>
    <m/>
    <m/>
    <n v="2024"/>
    <d v="2024-07-16T00:00:00"/>
    <m/>
    <x v="0"/>
    <m/>
    <s v="MRS"/>
    <s v="CATER BY LGU"/>
    <s v="Technical Assistance"/>
  </r>
  <r>
    <x v="5"/>
    <s v="Iba (Capital)"/>
    <s v="San Agustin"/>
    <s v="OUTSIDE MBA"/>
    <m/>
    <m/>
    <n v="2024"/>
    <d v="2024-07-16T00:00:00"/>
    <m/>
    <x v="0"/>
    <m/>
    <s v="MRF"/>
    <s v="OPERATIONAL"/>
    <s v="Technical Assistance"/>
  </r>
  <r>
    <x v="5"/>
    <s v="Iba (Capital)"/>
    <s v="Santa Barbara"/>
    <s v="OUTSIDE MBA"/>
    <m/>
    <m/>
    <n v="2024"/>
    <d v="2024-05-15T00:00:00"/>
    <m/>
    <x v="0"/>
    <m/>
    <s v="MRF"/>
    <s v="OPERATIONAL"/>
    <s v="Technical Assistance"/>
  </r>
  <r>
    <x v="5"/>
    <s v="Iba (Capital)"/>
    <s v="Santo Rosario"/>
    <s v="OUTSIDE MBA"/>
    <m/>
    <m/>
    <n v="2024"/>
    <d v="2024-09-17T00:00:00"/>
    <m/>
    <x v="0"/>
    <m/>
    <s v="MRS"/>
    <s v="CATER BY LGU"/>
    <s v="Technical Assistance"/>
  </r>
  <r>
    <x v="5"/>
    <s v="Iba (Capital)"/>
    <s v="Zone 1 Pob."/>
    <s v="OUTSIDE MBA"/>
    <m/>
    <m/>
    <n v="2024"/>
    <d v="2024-09-17T00:00:00"/>
    <m/>
    <x v="0"/>
    <m/>
    <s v="MRS"/>
    <s v="CATER BY LGU"/>
    <s v="Technical Assistance"/>
  </r>
  <r>
    <x v="5"/>
    <s v="Iba (Capital)"/>
    <s v="Zone 2 Pob."/>
    <s v="OUTSIDE MBA"/>
    <m/>
    <m/>
    <n v="2024"/>
    <d v="2024-10-16T00:00:00"/>
    <m/>
    <x v="0"/>
    <m/>
    <s v="MRS"/>
    <s v="OPERATIONAL"/>
    <s v="Technical Assistance"/>
  </r>
  <r>
    <x v="5"/>
    <s v="Iba (Capital)"/>
    <s v="Zone 3 Pob."/>
    <s v="OUTSIDE MBA"/>
    <m/>
    <m/>
    <n v="2024"/>
    <d v="2024-10-16T00:00:00"/>
    <m/>
    <x v="0"/>
    <m/>
    <s v="MRS"/>
    <s v="OPERATIONAL"/>
    <s v="Technical Assistance"/>
  </r>
  <r>
    <x v="5"/>
    <s v="Iba (Capital)"/>
    <s v="Zone 4 Pob."/>
    <s v="OUTSIDE MBA"/>
    <m/>
    <m/>
    <n v="2024"/>
    <d v="2024-10-16T00:00:00"/>
    <m/>
    <x v="0"/>
    <m/>
    <s v="MRS"/>
    <s v="OPERATIONAL"/>
    <s v="Technical Assistance"/>
  </r>
  <r>
    <x v="5"/>
    <s v="Iba (Capital)"/>
    <s v="Zone 5 Pob."/>
    <s v="OUTSIDE MBA"/>
    <m/>
    <m/>
    <n v="2024"/>
    <d v="2024-10-16T00:00:00"/>
    <m/>
    <x v="0"/>
    <m/>
    <s v="MRS"/>
    <s v="OPERATIONAL"/>
    <s v="Technical Assistance"/>
  </r>
  <r>
    <x v="5"/>
    <s v="Iba (Capital)"/>
    <s v="Zone 6 Pob."/>
    <s v="OUTSIDE MBA"/>
    <m/>
    <m/>
    <n v="2024"/>
    <d v="2024-05-15T00:00:00"/>
    <m/>
    <x v="0"/>
    <m/>
    <s v="MRF"/>
    <s v="OPERATIONAL"/>
    <s v="Technical Assistance"/>
  </r>
  <r>
    <x v="5"/>
    <s v="Masinloc"/>
    <s v="Baloganon"/>
    <s v="OUTSIDE MBA"/>
    <m/>
    <m/>
    <n v="2025"/>
    <d v="2025-03-12T00:00:00"/>
    <s v="R3-2025-008721"/>
    <x v="0"/>
    <m/>
    <s v="NO FACILITY"/>
    <s v="CATER BY LGU"/>
    <s v="Technical Assistance"/>
  </r>
  <r>
    <x v="5"/>
    <s v="Masinloc"/>
    <s v="Bamban"/>
    <s v="OUTSIDE MBA"/>
    <m/>
    <m/>
    <n v="2025"/>
    <d v="2025-02-12T00:00:00"/>
    <s v="R3-2025-005837"/>
    <x v="0"/>
    <m/>
    <s v="MRS"/>
    <s v="OPERATIONAL"/>
    <s v="Technical Assistance"/>
  </r>
  <r>
    <x v="5"/>
    <s v="Masinloc"/>
    <s v="Bani"/>
    <s v="OUTSIDE MBA"/>
    <m/>
    <m/>
    <n v="2024"/>
    <d v="2024-08-09T00:00:00"/>
    <m/>
    <x v="0"/>
    <m/>
    <s v="MRF"/>
    <s v="OPERATIONAL"/>
    <s v="Technical Assistance"/>
  </r>
  <r>
    <x v="5"/>
    <s v="Masinloc"/>
    <s v="Collat"/>
    <s v="OUTSIDE MBA"/>
    <m/>
    <m/>
    <n v="2025"/>
    <d v="2025-03-12T00:00:00"/>
    <s v="R3-2025-008882"/>
    <x v="0"/>
    <m/>
    <s v="MRF"/>
    <s v="OPERATIONAL"/>
    <s v="Technical Assistance"/>
  </r>
  <r>
    <x v="5"/>
    <s v="Masinloc"/>
    <s v="Inhobol"/>
    <s v="OUTSIDE MBA"/>
    <m/>
    <m/>
    <n v="2025"/>
    <d v="2025-02-12T00:00:00"/>
    <s v="R3-2025-005838"/>
    <x v="0"/>
    <m/>
    <s v="MRF"/>
    <s v="OPERATIONAL"/>
    <s v="Technical Assistance"/>
  </r>
  <r>
    <x v="5"/>
    <s v="Masinloc"/>
    <s v="North Poblacion"/>
    <s v="OUTSIDE MBA"/>
    <m/>
    <m/>
    <n v="2024"/>
    <d v="2024-08-09T00:00:00"/>
    <m/>
    <x v="0"/>
    <m/>
    <s v="MRF"/>
    <s v="OPERATIONAL"/>
    <s v="Technical Assistance"/>
  </r>
  <r>
    <x v="5"/>
    <s v="Masinloc"/>
    <s v="San Lorenzo"/>
    <s v="OUTSIDE MBA"/>
    <m/>
    <m/>
    <n v="2024"/>
    <d v="2024-08-09T00:00:00"/>
    <m/>
    <x v="0"/>
    <m/>
    <s v="MRF"/>
    <s v="OPERATIONAL"/>
    <s v="Technical Assistance"/>
  </r>
  <r>
    <x v="3"/>
    <s v="Tarlac City (Capital)"/>
    <s v="San Francisco"/>
    <s v="MBA"/>
    <s v="Joshua A. Capones"/>
    <s v="Jan Emerson C. Gonzales"/>
    <m/>
    <m/>
    <m/>
    <x v="0"/>
    <m/>
    <m/>
    <m/>
    <s v="For Monitoring"/>
  </r>
  <r>
    <x v="5"/>
    <s v="Masinloc"/>
    <s v="Santa Rita"/>
    <s v="OUTSIDE MBA"/>
    <m/>
    <m/>
    <n v="2024"/>
    <d v="2024-08-09T00:00:00"/>
    <m/>
    <x v="0"/>
    <m/>
    <s v="MRF"/>
    <s v="NON-OPERATIONAL"/>
    <s v="Technical Assistance"/>
  </r>
  <r>
    <x v="5"/>
    <s v="Masinloc"/>
    <s v="Santo Rosario"/>
    <s v="OUTSIDE MBA"/>
    <m/>
    <m/>
    <n v="2025"/>
    <d v="2025-02-12T00:00:00"/>
    <s v="R3-2025-005836"/>
    <x v="0"/>
    <m/>
    <s v="MRS"/>
    <s v="OPERATIONAL"/>
    <s v="Technical Assistance"/>
  </r>
  <r>
    <x v="5"/>
    <s v="Masinloc"/>
    <s v="South Poblacion"/>
    <s v="OUTSIDE MBA"/>
    <m/>
    <m/>
    <n v="2024"/>
    <d v="2024-08-09T00:00:00"/>
    <m/>
    <x v="0"/>
    <m/>
    <s v="MRF"/>
    <s v="OPERATIONAL"/>
    <s v="Technical Assistance"/>
  </r>
  <r>
    <x v="5"/>
    <s v="Masinloc"/>
    <s v="Taltal"/>
    <s v="OUTSIDE MBA"/>
    <m/>
    <m/>
    <n v="2024"/>
    <d v="2024-08-09T00:00:00"/>
    <m/>
    <x v="0"/>
    <m/>
    <s v="MRF"/>
    <s v="OPERATIONAL"/>
    <s v="Technical Assistance"/>
  </r>
  <r>
    <x v="5"/>
    <s v="Masinloc"/>
    <s v="Tapuac"/>
    <s v="OUTSIDE MBA"/>
    <m/>
    <m/>
    <n v="2024"/>
    <d v="2024-08-09T00:00:00"/>
    <m/>
    <x v="0"/>
    <m/>
    <s v="MRF"/>
    <s v="NON-OPERATIONAL"/>
    <s v="Technical Assistance"/>
  </r>
  <r>
    <x v="5"/>
    <s v="Olongapo City"/>
    <s v="Asinan"/>
    <s v="OUTSIDE MBA"/>
    <m/>
    <m/>
    <n v="2025"/>
    <d v="2025-09-16T00:00:00"/>
    <s v="R3-2025-031556"/>
    <x v="0"/>
    <m/>
    <s v="MRF"/>
    <s v="OPERATIONAL"/>
    <s v="Technical Assistance"/>
  </r>
  <r>
    <x v="5"/>
    <s v="Olongapo City"/>
    <s v="Banicain"/>
    <s v="OUTSIDE MBA"/>
    <m/>
    <m/>
    <n v="2025"/>
    <d v="2025-09-16T00:00:00"/>
    <s v="R3-2025-031559"/>
    <x v="0"/>
    <m/>
    <s v="MRS"/>
    <s v="OPERATIONAL"/>
    <s v="Technical Assistance"/>
  </r>
  <r>
    <x v="3"/>
    <s v="Tarlac City (Capital)"/>
    <s v="San Jose de Urquico"/>
    <s v="MBA"/>
    <s v="Joshua A. Capones"/>
    <s v="Jan Emerson C. Gonzales"/>
    <m/>
    <m/>
    <m/>
    <x v="0"/>
    <m/>
    <m/>
    <m/>
    <s v="For Monitoring"/>
  </r>
  <r>
    <x v="5"/>
    <s v="Olongapo City"/>
    <s v="East Bajac-bajac"/>
    <s v="OUTSIDE MBA"/>
    <m/>
    <m/>
    <n v="2025"/>
    <d v="2025-09-16T00:00:00"/>
    <s v=" R3-2025-031557"/>
    <x v="0"/>
    <m/>
    <s v="MRS"/>
    <s v="OPERATIONAL"/>
    <s v="Technical Assistance"/>
  </r>
  <r>
    <x v="5"/>
    <s v="Olongapo City"/>
    <s v="East Tapinac"/>
    <s v="OUTSIDE MBA"/>
    <m/>
    <m/>
    <n v="2025"/>
    <d v="2025-09-16T00:00:00"/>
    <s v="R3-2025-031558"/>
    <x v="0"/>
    <m/>
    <s v="MRS"/>
    <s v="OPERATIONAL"/>
    <s v="Technical Assistance"/>
  </r>
  <r>
    <x v="3"/>
    <s v="Tarlac City (Capital)"/>
    <s v="San Luis"/>
    <s v="MBA"/>
    <s v="Joshua A. Capones"/>
    <s v="Jan Emerson C. Gonzales"/>
    <m/>
    <m/>
    <m/>
    <x v="0"/>
    <m/>
    <m/>
    <m/>
    <s v="For Monitoring"/>
  </r>
  <r>
    <x v="3"/>
    <s v="Tarlac City (Capital)"/>
    <s v="San Miguel"/>
    <s v="MBA"/>
    <s v="Joshua A. Capones"/>
    <s v="Jan Emerson C. Gonzales"/>
    <m/>
    <m/>
    <m/>
    <x v="6"/>
    <m/>
    <m/>
    <m/>
    <s v="For Monitoring"/>
  </r>
  <r>
    <x v="3"/>
    <s v="Tarlac City (Capital)"/>
    <s v="San Pablo"/>
    <s v="MBA"/>
    <s v="Joshua A. Capones"/>
    <s v="Jan Emerson C. Gonzales"/>
    <m/>
    <m/>
    <m/>
    <x v="6"/>
    <m/>
    <m/>
    <m/>
    <s v="For Monitoring"/>
  </r>
  <r>
    <x v="3"/>
    <s v="Tarlac City (Capital)"/>
    <s v="San Pascual"/>
    <s v="MBA"/>
    <s v="Joshua A. Capones"/>
    <s v="Jan Emerson C. Gonzales"/>
    <m/>
    <m/>
    <m/>
    <x v="6"/>
    <m/>
    <m/>
    <m/>
    <s v="For Monitoring"/>
  </r>
  <r>
    <x v="5"/>
    <s v="Olongapo City"/>
    <s v="New Ilalim"/>
    <s v="OUTSIDE MBA"/>
    <m/>
    <m/>
    <n v="2025"/>
    <d v="2025-09-16T00:00:00"/>
    <s v="R3-2025-031560"/>
    <x v="0"/>
    <m/>
    <s v="MRS"/>
    <s v="OPERATIONAL"/>
    <s v="Technical Assistance"/>
  </r>
  <r>
    <x v="5"/>
    <s v="Olongapo City"/>
    <s v="New Kababae"/>
    <s v="OUTSIDE MBA"/>
    <m/>
    <m/>
    <n v="2025"/>
    <d v="2025-09-16T00:00:00"/>
    <s v="R3-2025-031561"/>
    <x v="0"/>
    <m/>
    <s v="MRS"/>
    <s v="OPERATIONAL"/>
    <s v="Technical Assistance"/>
  </r>
  <r>
    <x v="5"/>
    <s v="Olongapo City"/>
    <s v="New Kalalake"/>
    <s v="OUTSIDE MBA"/>
    <m/>
    <m/>
    <n v="2025"/>
    <d v="2025-09-16T00:00:00"/>
    <s v="R3-2025-031562"/>
    <x v="0"/>
    <m/>
    <s v="MRS"/>
    <s v="OPERATIONAL"/>
    <s v="Technical Assistance"/>
  </r>
  <r>
    <x v="3"/>
    <s v="Tarlac City (Capital)"/>
    <s v="San Rafael"/>
    <s v="MBA"/>
    <s v="Joshua A. Capones"/>
    <s v="Jan Emerson C. Gonzales"/>
    <m/>
    <m/>
    <m/>
    <x v="6"/>
    <m/>
    <m/>
    <m/>
    <s v="For Monitoring"/>
  </r>
  <r>
    <x v="5"/>
    <s v="Olongapo City"/>
    <s v="Pag-asa"/>
    <s v="OUTSIDE MBA"/>
    <m/>
    <m/>
    <n v="2025"/>
    <d v="2025-09-16T00:00:00"/>
    <s v="R3-2025-031563"/>
    <x v="0"/>
    <m/>
    <s v="MRF"/>
    <s v="OPERATIONAL"/>
    <s v="Technical Assistance"/>
  </r>
  <r>
    <x v="3"/>
    <s v="Tarlac City (Capital)"/>
    <s v="San Vicente"/>
    <s v="MBA"/>
    <s v="Joshua A. Capones"/>
    <s v="Jan Emerson C. Gonzales"/>
    <m/>
    <m/>
    <m/>
    <x v="6"/>
    <m/>
    <m/>
    <m/>
    <s v="For Monitoring"/>
  </r>
  <r>
    <x v="5"/>
    <s v="Olongapo City"/>
    <s v="West Bajac-bajac"/>
    <s v="OUTSIDE MBA"/>
    <m/>
    <m/>
    <n v="2025"/>
    <d v="2025-09-16T00:00:00"/>
    <s v="R3-2025-031564"/>
    <x v="0"/>
    <m/>
    <s v="MRS"/>
    <s v="OPERATIONAL"/>
    <s v="Technical Assistance"/>
  </r>
  <r>
    <x v="5"/>
    <s v="Olongapo City"/>
    <s v="West Tapinac"/>
    <s v="OUTSIDE MBA"/>
    <m/>
    <m/>
    <n v="2025"/>
    <d v="2025-09-16T00:00:00"/>
    <s v="R3-2025-031565"/>
    <x v="0"/>
    <m/>
    <s v="MRS"/>
    <s v="OPERATIONAL"/>
    <s v="Technical Assistance"/>
  </r>
  <r>
    <x v="5"/>
    <s v="Palauig"/>
    <s v="Alwa"/>
    <s v="OUTSIDE MBA"/>
    <m/>
    <m/>
    <n v="2024"/>
    <d v="2024-06-04T00:00:00"/>
    <m/>
    <x v="0"/>
    <m/>
    <s v="MRS"/>
    <s v="NON-OPERATIONAL"/>
    <s v="Technical Assistance"/>
  </r>
  <r>
    <x v="5"/>
    <s v="Palauig"/>
    <s v="Bato"/>
    <s v="OUTSIDE MBA"/>
    <m/>
    <m/>
    <n v="2024"/>
    <d v="2024-06-04T00:00:00"/>
    <m/>
    <x v="0"/>
    <m/>
    <s v="MRS"/>
    <s v="CATER BY LGU"/>
    <s v="Technical Assistance"/>
  </r>
  <r>
    <x v="5"/>
    <s v="Palauig"/>
    <s v="Bulawen"/>
    <s v="OUTSIDE MBA"/>
    <m/>
    <m/>
    <n v="2025"/>
    <d v="2025-01-21T00:00:00"/>
    <s v="R3-2025-002215"/>
    <x v="0"/>
    <m/>
    <s v="MRS"/>
    <s v="CATER BY LGU"/>
    <s v="Technical Assistance"/>
  </r>
  <r>
    <x v="5"/>
    <s v="Palauig"/>
    <s v="Cauyan"/>
    <s v="OUTSIDE MBA"/>
    <m/>
    <m/>
    <n v="2024"/>
    <d v="2024-11-20T00:00:00"/>
    <m/>
    <x v="0"/>
    <m/>
    <s v="MRF"/>
    <s v="OPERATIONAL"/>
    <s v="Technical Assistance"/>
  </r>
  <r>
    <x v="5"/>
    <s v="Palauig"/>
    <s v="East Poblacion"/>
    <s v="OUTSIDE MBA"/>
    <m/>
    <m/>
    <n v="2024"/>
    <d v="2024-09-04T00:00:00"/>
    <m/>
    <x v="0"/>
    <m/>
    <s v="MRS"/>
    <s v="OPERATIONAL"/>
    <s v="Technical Assistance"/>
  </r>
  <r>
    <x v="5"/>
    <s v="Palauig"/>
    <s v="Garreta"/>
    <s v="OUTSIDE MBA"/>
    <m/>
    <m/>
    <n v="2024"/>
    <d v="2024-11-20T00:00:00"/>
    <m/>
    <x v="0"/>
    <m/>
    <s v="MRS"/>
    <s v="CATER BY LGU"/>
    <s v="Technical Assistance"/>
  </r>
  <r>
    <x v="5"/>
    <s v="Palauig"/>
    <s v="Libaba"/>
    <s v="OUTSIDE MBA"/>
    <m/>
    <m/>
    <n v="2024"/>
    <d v="2024-09-04T00:00:00"/>
    <m/>
    <x v="0"/>
    <m/>
    <s v="MRS"/>
    <s v="OPERATIONAL"/>
    <s v="Technical Assistance"/>
  </r>
  <r>
    <x v="5"/>
    <s v="Palauig"/>
    <s v="Liozon"/>
    <s v="OUTSIDE MBA"/>
    <m/>
    <m/>
    <n v="2025"/>
    <d v="2025-02-11T00:00:00"/>
    <s v="R3-2025-005514"/>
    <x v="0"/>
    <m/>
    <s v="MRS"/>
    <s v="OPERATIONAL"/>
    <s v="Technical Assistance"/>
  </r>
  <r>
    <x v="5"/>
    <s v="Palauig"/>
    <s v="Lipay"/>
    <s v="OUTSIDE MBA"/>
    <m/>
    <m/>
    <n v="2025"/>
    <d v="2025-02-11T00:00:00"/>
    <s v="R3-2025-005515"/>
    <x v="0"/>
    <m/>
    <s v="MRS"/>
    <s v="CATER BY LGU"/>
    <s v="Technical Assistance"/>
  </r>
  <r>
    <x v="5"/>
    <s v="Palauig"/>
    <s v="Locloc"/>
    <s v="OUTSIDE MBA"/>
    <m/>
    <m/>
    <n v="2025"/>
    <d v="2025-02-11T00:00:00"/>
    <s v="R3-2025-005516"/>
    <x v="0"/>
    <m/>
    <s v="MRS"/>
    <s v="OPERATIONAL"/>
    <s v="Technical Assistance"/>
  </r>
  <r>
    <x v="5"/>
    <s v="Palauig"/>
    <s v="Macarang"/>
    <s v="OUTSIDE MBA"/>
    <m/>
    <m/>
    <n v="2024"/>
    <d v="2024-06-04T00:00:00"/>
    <m/>
    <x v="0"/>
    <m/>
    <s v="MRS"/>
    <s v="NON-OPERATIONAL"/>
    <s v="Technical Assistance"/>
  </r>
  <r>
    <x v="3"/>
    <s v="Tarlac City (Capital)"/>
    <s v="Santa Cruz"/>
    <s v="MBA"/>
    <s v="Joshua A. Capones"/>
    <s v="Jan Emerson C. Gonzales"/>
    <m/>
    <m/>
    <m/>
    <x v="6"/>
    <m/>
    <m/>
    <m/>
    <s v="For Monitoring"/>
  </r>
  <r>
    <x v="5"/>
    <s v="Palauig"/>
    <s v="Pangolingan"/>
    <s v="OUTSIDE MBA"/>
    <m/>
    <m/>
    <n v="2024"/>
    <d v="2024-09-04T00:00:00"/>
    <m/>
    <x v="0"/>
    <m/>
    <s v="MRS"/>
    <s v="OPERATIONAL"/>
    <s v="Technical Assistance"/>
  </r>
  <r>
    <x v="5"/>
    <s v="Palauig"/>
    <s v="Salaza"/>
    <s v="OUTSIDE MBA"/>
    <m/>
    <m/>
    <n v="2024"/>
    <d v="2024-09-04T00:00:00"/>
    <m/>
    <x v="0"/>
    <m/>
    <s v="MRS"/>
    <s v="OPERATIONAL"/>
    <s v="Technical Assistance"/>
  </r>
  <r>
    <x v="5"/>
    <s v="Palauig"/>
    <s v="San Juan"/>
    <s v="OUTSIDE MBA"/>
    <m/>
    <m/>
    <n v="2024"/>
    <d v="2024-09-04T00:00:00"/>
    <m/>
    <x v="0"/>
    <m/>
    <s v="MRS"/>
    <s v="OPERATIONAL"/>
    <s v="Technical Assistance"/>
  </r>
  <r>
    <x v="5"/>
    <s v="Palauig"/>
    <s v="Santo Niño"/>
    <s v="OUTSIDE MBA"/>
    <m/>
    <m/>
    <n v="2025"/>
    <d v="2025-02-11T00:00:00"/>
    <s v="R3-2025-005517 "/>
    <x v="0"/>
    <m/>
    <s v="MRS"/>
    <s v="CATER BY LGU"/>
    <s v="Technical Assistance"/>
  </r>
  <r>
    <x v="5"/>
    <s v="Palauig"/>
    <s v="Santo Tomas"/>
    <s v="OUTSIDE MBA"/>
    <m/>
    <m/>
    <n v="2024"/>
    <d v="2024-06-04T00:00:00"/>
    <m/>
    <x v="0"/>
    <m/>
    <s v="MRF"/>
    <s v="NON-OPERATIONAL"/>
    <s v="Technical Assistance"/>
  </r>
  <r>
    <x v="5"/>
    <s v="Palauig"/>
    <s v="Tition (San Vicente)"/>
    <s v="OUTSIDE MBA"/>
    <m/>
    <m/>
    <n v="2025"/>
    <d v="2025-03-04T00:00:00"/>
    <s v="R3-2025-007991"/>
    <x v="0"/>
    <m/>
    <s v="MRS"/>
    <s v="NON-OPERATIONAL"/>
    <s v="Technical Assistance"/>
  </r>
  <r>
    <x v="5"/>
    <s v="Palauig"/>
    <s v="West Poblacion"/>
    <s v="OUTSIDE MBA"/>
    <m/>
    <m/>
    <n v="2024"/>
    <d v="2024-11-20T00:00:00"/>
    <m/>
    <x v="0"/>
    <m/>
    <s v="MRS"/>
    <s v="CATER BY LGU"/>
    <s v="Technical Assistance"/>
  </r>
  <r>
    <x v="5"/>
    <s v="San Antonio"/>
    <s v="Angeles"/>
    <s v="OUTSIDE MBA"/>
    <m/>
    <m/>
    <n v="2025"/>
    <d v="2025-07-17T00:00:00"/>
    <s v="R3-2025-024177"/>
    <x v="0"/>
    <m/>
    <s v="MRF"/>
    <s v="OPERATIONAL"/>
    <s v="Technical Assistance"/>
  </r>
  <r>
    <x v="5"/>
    <s v="San Antonio"/>
    <s v="Antipolo (Pob.)"/>
    <s v="OUTSIDE MBA"/>
    <m/>
    <m/>
    <n v="2025"/>
    <d v="2025-07-17T00:00:00"/>
    <s v="R3-2025-024182"/>
    <x v="0"/>
    <m/>
    <s v="MRS"/>
    <s v="OPERATIONAL"/>
    <s v="Technical Assistance"/>
  </r>
  <r>
    <x v="5"/>
    <s v="San Antonio"/>
    <s v="Burgos (Pob.)"/>
    <s v="OUTSIDE MBA"/>
    <m/>
    <m/>
    <n v="2024"/>
    <d v="2024-10-04T00:00:00"/>
    <m/>
    <x v="0"/>
    <m/>
    <s v="MRF"/>
    <s v="OPERATIONAL"/>
    <s v="Technical Assistance"/>
  </r>
  <r>
    <x v="5"/>
    <s v="San Antonio"/>
    <s v="East Dirita"/>
    <s v="OUTSIDE MBA"/>
    <m/>
    <m/>
    <n v="2025"/>
    <d v="2025-07-17T00:00:00"/>
    <s v="R3-2025-024059"/>
    <x v="0"/>
    <m/>
    <s v="MRF"/>
    <s v="OPERATIONAL"/>
    <s v="Technical Assistance"/>
  </r>
  <r>
    <x v="5"/>
    <s v="San Antonio"/>
    <s v="Luna (Pob.)"/>
    <s v="OUTSIDE MBA"/>
    <m/>
    <m/>
    <n v="2025"/>
    <d v="2025-07-17T00:00:00"/>
    <s v="R3-2025-024183"/>
    <x v="0"/>
    <m/>
    <s v="MRF"/>
    <s v="OPERATIONAL"/>
    <s v="Technical Assistance"/>
  </r>
  <r>
    <x v="5"/>
    <s v="San Antonio"/>
    <s v="Pundaquit"/>
    <s v="OUTSIDE MBA"/>
    <m/>
    <m/>
    <n v="2024"/>
    <d v="2024-05-15T00:00:00"/>
    <m/>
    <x v="0"/>
    <m/>
    <s v="MRF"/>
    <s v="OPERATIONAL"/>
    <s v="Technical Assistance"/>
  </r>
  <r>
    <x v="5"/>
    <s v="San Antonio"/>
    <s v="Rizal"/>
    <s v="OUTSIDE MBA"/>
    <m/>
    <m/>
    <n v="2024"/>
    <d v="2024-05-15T00:00:00"/>
    <m/>
    <x v="0"/>
    <m/>
    <s v="MRF"/>
    <s v="OPERATIONAL"/>
    <s v="Technical Assistance"/>
  </r>
  <r>
    <x v="5"/>
    <s v="San Antonio"/>
    <s v="San Esteban"/>
    <s v="OUTSIDE MBA"/>
    <m/>
    <m/>
    <n v="2025"/>
    <d v="2025-07-17T00:00:00"/>
    <s v="R3-2025-024057"/>
    <x v="0"/>
    <m/>
    <s v="MRF"/>
    <s v="OPERATIONAL"/>
    <s v="Technical Assistance"/>
  </r>
  <r>
    <x v="5"/>
    <s v="San Antonio"/>
    <s v="San Gregorio (Pob.)"/>
    <s v="OUTSIDE MBA"/>
    <m/>
    <m/>
    <n v="2025"/>
    <d v="2025-07-17T00:00:00"/>
    <s v="R3-2025-024185"/>
    <x v="0"/>
    <m/>
    <s v="MRS"/>
    <s v="OPERATIONAL"/>
    <s v="Technical Assistance"/>
  </r>
  <r>
    <x v="5"/>
    <s v="San Antonio"/>
    <s v="San Juan (Pob.)"/>
    <s v="OUTSIDE MBA"/>
    <m/>
    <m/>
    <n v="2024"/>
    <d v="2024-11-15T00:00:00"/>
    <m/>
    <x v="0"/>
    <m/>
    <s v="MRF"/>
    <s v="OPERATIONAL"/>
    <s v="Technical Assistance"/>
  </r>
  <r>
    <x v="5"/>
    <s v="San Antonio"/>
    <s v="San Miguel"/>
    <s v="OUTSIDE MBA"/>
    <m/>
    <m/>
    <n v="2024"/>
    <d v="2024-11-06T00:00:00"/>
    <m/>
    <x v="0"/>
    <m/>
    <s v="MRF"/>
    <s v="OPERATIONAL"/>
    <s v="Technical Assistance"/>
  </r>
  <r>
    <x v="5"/>
    <s v="San Antonio"/>
    <s v="San Nicolas (Pob.)"/>
    <s v="OUTSIDE MBA"/>
    <m/>
    <m/>
    <n v="2025"/>
    <d v="2025-07-17T00:00:00"/>
    <s v="R3-2025-024063"/>
    <x v="0"/>
    <m/>
    <s v="MRS"/>
    <s v="OPERATIONAL"/>
    <s v="Technical Assistance"/>
  </r>
  <r>
    <x v="3"/>
    <s v="Tarlac City (Capital)"/>
    <s v="Sapang Maragul"/>
    <s v="MBA"/>
    <s v="Joshua A. Capones"/>
    <s v="Jan Emerson C. Gonzales"/>
    <m/>
    <m/>
    <m/>
    <x v="6"/>
    <m/>
    <m/>
    <m/>
    <s v="For Monitoring"/>
  </r>
  <r>
    <x v="5"/>
    <s v="San Antonio"/>
    <s v="West Dirita"/>
    <s v="OUTSIDE MBA"/>
    <m/>
    <m/>
    <n v="2024"/>
    <d v="2024-10-04T00:00:00"/>
    <m/>
    <x v="0"/>
    <m/>
    <s v="MRF"/>
    <s v="OPERATIONAL"/>
    <s v="Technical Assistance"/>
  </r>
  <r>
    <x v="5"/>
    <s v="San Felipe"/>
    <s v="Amagna (Pob.)"/>
    <s v="OUTSIDE MBA"/>
    <m/>
    <m/>
    <n v="2025"/>
    <d v="2025-10-15T00:00:00"/>
    <s v="R3-2025-035072"/>
    <x v="0"/>
    <m/>
    <s v="MRS"/>
    <s v="OPERATIONAL"/>
    <s v="Technical Assistance"/>
  </r>
  <r>
    <x v="5"/>
    <s v="San Felipe"/>
    <s v="Apostol (Pob.)"/>
    <s v="OUTSIDE MBA"/>
    <m/>
    <m/>
    <n v="2025"/>
    <d v="2025-04-11T00:00:00"/>
    <s v="R3-2025-012822"/>
    <x v="0"/>
    <m/>
    <s v="MRF"/>
    <s v="OPERATIONAL"/>
    <s v="Technical Assistance"/>
  </r>
  <r>
    <x v="5"/>
    <s v="San Felipe"/>
    <s v="Balincaguing"/>
    <s v="OUTSIDE MBA"/>
    <m/>
    <m/>
    <n v="2025"/>
    <d v="2025-11-11T00:00:00"/>
    <s v="R3-2025-037778"/>
    <x v="0"/>
    <m/>
    <s v="MRF"/>
    <s v="OPERATIONAL"/>
    <s v="Technical Assistance"/>
  </r>
  <r>
    <x v="5"/>
    <s v="San Felipe"/>
    <s v="Farañal (Pob.)"/>
    <s v="OUTSIDE MBA"/>
    <m/>
    <m/>
    <n v="2024"/>
    <d v="2024-06-14T00:00:00"/>
    <m/>
    <x v="0"/>
    <m/>
    <s v="MRF"/>
    <s v="OPERATIONAL"/>
    <s v="Technical Assistance"/>
  </r>
  <r>
    <x v="5"/>
    <s v="San Felipe"/>
    <s v="Feria (Pob.)"/>
    <s v="OUTSIDE MBA"/>
    <m/>
    <m/>
    <n v="2025"/>
    <d v="2025-10-15T00:00:00"/>
    <s v="R3-2025-035073"/>
    <x v="0"/>
    <m/>
    <s v="MRS"/>
    <s v="OPERATIONAL"/>
    <s v="Technical Assistance"/>
  </r>
  <r>
    <x v="5"/>
    <s v="San Felipe"/>
    <s v="Maloma"/>
    <s v="OUTSIDE MBA"/>
    <m/>
    <m/>
    <n v="2024"/>
    <d v="2024-06-14T00:00:00"/>
    <m/>
    <x v="0"/>
    <m/>
    <s v="MRF"/>
    <s v="OPERATIONAL"/>
    <s v="Technical Assistance"/>
  </r>
  <r>
    <x v="5"/>
    <s v="San Felipe"/>
    <s v="Manglicmot (Pob.)"/>
    <s v="OUTSIDE MBA"/>
    <m/>
    <m/>
    <n v="2025"/>
    <d v="2025-05-16T00:00:00"/>
    <s v="R3-2025-016727"/>
    <x v="0"/>
    <m/>
    <s v="NO FACILITY"/>
    <s v="CATER BY LGU"/>
    <s v="Technical Assistance"/>
  </r>
  <r>
    <x v="5"/>
    <s v="San Felipe"/>
    <s v="Rosete (Pob.)"/>
    <s v="OUTSIDE MBA"/>
    <m/>
    <m/>
    <n v="2024"/>
    <d v="2024-06-14T00:00:00"/>
    <m/>
    <x v="0"/>
    <m/>
    <s v="MRF"/>
    <s v="CATER BY LGU"/>
    <s v="Technical Assistance"/>
  </r>
  <r>
    <x v="5"/>
    <s v="San Felipe"/>
    <s v="San Rafael"/>
    <s v="OUTSIDE MBA"/>
    <m/>
    <m/>
    <n v="2025"/>
    <d v="2025-05-16T00:00:00"/>
    <s v="R3-2025-016777"/>
    <x v="0"/>
    <m/>
    <s v="MRF"/>
    <s v="OPERATIONAL"/>
    <s v="Technical Assistance"/>
  </r>
  <r>
    <x v="5"/>
    <s v="San Felipe"/>
    <s v="Santo Niño"/>
    <s v="OUTSIDE MBA"/>
    <m/>
    <m/>
    <n v="2025"/>
    <d v="2025-05-16T00:00:00"/>
    <s v="R3-2025-016778"/>
    <x v="0"/>
    <m/>
    <s v="MRS"/>
    <s v="OPERATIONAL"/>
    <s v="Technical Assistance"/>
  </r>
  <r>
    <x v="5"/>
    <s v="San Felipe"/>
    <s v="Sindol"/>
    <s v="OUTSIDE MBA"/>
    <m/>
    <m/>
    <n v="2025"/>
    <d v="2025-10-15T00:00:00"/>
    <s v="R3-2025-035070"/>
    <x v="0"/>
    <m/>
    <s v="MRF"/>
    <s v="OPERATIONAL"/>
    <s v="Technical Assistance"/>
  </r>
  <r>
    <x v="5"/>
    <s v="San Marcelino"/>
    <s v="Aglao"/>
    <s v="OUTSIDE MBA"/>
    <m/>
    <m/>
    <n v="2024"/>
    <d v="2024-06-11T00:00:00"/>
    <m/>
    <x v="0"/>
    <m/>
    <s v="MRF"/>
    <s v="OPERATIONAL"/>
    <s v="Technical Assistance"/>
  </r>
  <r>
    <x v="5"/>
    <s v="San Marcelino"/>
    <s v="Buhawen"/>
    <s v="OUTSIDE MBA"/>
    <m/>
    <m/>
    <n v="2024"/>
    <d v="2024-06-05T00:00:00"/>
    <m/>
    <x v="0"/>
    <m/>
    <s v="MRF"/>
    <s v="OPERATIONAL"/>
    <s v="Technical Assistance"/>
  </r>
  <r>
    <x v="5"/>
    <s v="San Marcelino"/>
    <s v="Burgos (Pob.)"/>
    <s v="OUTSIDE MBA"/>
    <m/>
    <m/>
    <n v="2024"/>
    <d v="2024-10-04T00:00:00"/>
    <m/>
    <x v="0"/>
    <m/>
    <s v="MRF"/>
    <s v="OPERATIONAL"/>
    <s v="Technical Assistance"/>
  </r>
  <r>
    <x v="5"/>
    <s v="San Marcelino"/>
    <s v="Central (Pob.)"/>
    <s v="OUTSIDE MBA"/>
    <m/>
    <m/>
    <n v="2025"/>
    <d v="2025-08-15T00:00:00"/>
    <s v="R3-2025-027935"/>
    <x v="0"/>
    <m/>
    <s v="MRS"/>
    <s v="OPERATIONAL"/>
    <s v="Technical Assistance"/>
  </r>
  <r>
    <x v="5"/>
    <s v="San Marcelino"/>
    <s v="Consuelo Norte"/>
    <s v="OUTSIDE MBA"/>
    <m/>
    <m/>
    <n v="2024"/>
    <d v="2024-10-04T00:00:00"/>
    <m/>
    <x v="0"/>
    <m/>
    <s v="MRF"/>
    <s v="OPERATIONAL"/>
    <s v="Technical Assistance"/>
  </r>
  <r>
    <x v="5"/>
    <s v="San Marcelino"/>
    <s v="Consuelo Sur (Pob.)"/>
    <s v="OUTSIDE MBA"/>
    <m/>
    <m/>
    <n v="2025"/>
    <d v="2025-08-15T00:00:00"/>
    <s v="R3-2025-027908"/>
    <x v="0"/>
    <m/>
    <s v="MRF"/>
    <s v="OPERATIONAL"/>
    <s v="Technical Assistance"/>
  </r>
  <r>
    <x v="5"/>
    <s v="San Marcelino"/>
    <s v="La Paz (Pob.)"/>
    <s v="OUTSIDE MBA"/>
    <m/>
    <m/>
    <n v="2025"/>
    <d v="2025-08-15T00:00:00"/>
    <s v="R3-2025-027937"/>
    <x v="0"/>
    <m/>
    <s v="MRF"/>
    <s v="OPERATIONAL"/>
    <s v="Technical Assistance"/>
  </r>
  <r>
    <x v="5"/>
    <s v="San Marcelino"/>
    <s v="Laoag"/>
    <s v="OUTSIDE MBA"/>
    <m/>
    <m/>
    <n v="2025"/>
    <d v="2025-08-15T00:00:00"/>
    <s v="R3-2025-027939"/>
    <x v="0"/>
    <m/>
    <s v="MRF"/>
    <s v="OPERATIONAL"/>
    <s v="Technical Assistance"/>
  </r>
  <r>
    <x v="5"/>
    <s v="San Marcelino"/>
    <s v="Linasin"/>
    <s v="OUTSIDE MBA"/>
    <m/>
    <m/>
    <n v="2025"/>
    <d v="2025-08-15T00:00:00"/>
    <s v="R3-2025-027941"/>
    <x v="0"/>
    <m/>
    <s v="MRF"/>
    <s v="OPERATIONAL"/>
    <s v="Technical Assistance"/>
  </r>
  <r>
    <x v="5"/>
    <s v="San Marcelino"/>
    <s v="Linusungan"/>
    <s v="OUTSIDE MBA"/>
    <m/>
    <m/>
    <n v="2025"/>
    <d v="2025-08-15T00:00:00"/>
    <s v="R3-2025-027907"/>
    <x v="0"/>
    <m/>
    <s v="MRF"/>
    <s v="OPERATIONAL"/>
    <s v="Technical Assistance"/>
  </r>
  <r>
    <x v="3"/>
    <s v="Tarlac City (Capital)"/>
    <s v="Sapang Tagalog"/>
    <s v="MBA"/>
    <s v="Joshua A. Capones"/>
    <s v="Jan Emerson C. Gonzales"/>
    <m/>
    <m/>
    <m/>
    <x v="6"/>
    <m/>
    <m/>
    <m/>
    <s v="For Monitoring"/>
  </r>
  <r>
    <x v="5"/>
    <s v="San Marcelino"/>
    <s v="Nagbunga"/>
    <s v="OUTSIDE MBA"/>
    <m/>
    <m/>
    <n v="2025"/>
    <d v="2025-06-17T00:00:00"/>
    <s v="R3-2025-020245"/>
    <x v="0"/>
    <m/>
    <s v="MRF"/>
    <s v="OPERATIONAL"/>
    <s v="Technical Assistance"/>
  </r>
  <r>
    <x v="5"/>
    <s v="San Marcelino"/>
    <s v="Rabanes"/>
    <s v="OUTSIDE MBA"/>
    <m/>
    <m/>
    <n v="2025"/>
    <d v="2025-08-15T00:00:00"/>
    <s v="R3-2025-027909"/>
    <x v="0"/>
    <m/>
    <s v="MRF"/>
    <s v="OPERATIONAL"/>
    <s v="Technical Assistance"/>
  </r>
  <r>
    <x v="5"/>
    <s v="San Marcelino"/>
    <s v="Rizal (Pob.)"/>
    <s v="OUTSIDE MBA"/>
    <m/>
    <m/>
    <n v="2025"/>
    <d v="2025-06-17T00:00:00"/>
    <s v="R3-2025-020094"/>
    <x v="0"/>
    <m/>
    <s v="MRF"/>
    <s v="OPERATIONAL"/>
    <s v="Technical Assistance"/>
  </r>
  <r>
    <x v="5"/>
    <s v="San Marcelino"/>
    <s v="San Guillermo (Pob.)"/>
    <s v="OUTSIDE MBA"/>
    <m/>
    <m/>
    <n v="2025"/>
    <d v="2025-06-17T00:00:00"/>
    <s v="R3-2025-020093"/>
    <x v="0"/>
    <m/>
    <s v="MRF"/>
    <s v="NON-OPERATIONAL"/>
    <s v="Technical Assistance"/>
  </r>
  <r>
    <x v="5"/>
    <s v="San Marcelino"/>
    <s v="San Isidro (Pob.)"/>
    <s v="OUTSIDE MBA"/>
    <m/>
    <m/>
    <n v="2024"/>
    <d v="2024-06-13T00:00:00"/>
    <m/>
    <x v="0"/>
    <m/>
    <s v="MRF"/>
    <s v="OPERATIONAL"/>
    <s v="Technical Assistance"/>
  </r>
  <r>
    <x v="5"/>
    <s v="San Marcelino"/>
    <s v="San Rafael"/>
    <s v="OUTSIDE MBA"/>
    <m/>
    <m/>
    <n v="2024"/>
    <d v="2024-06-18T00:00:00"/>
    <m/>
    <x v="0"/>
    <m/>
    <s v="MRF"/>
    <s v="OPERATIONAL"/>
    <s v="Technical Assistance"/>
  </r>
  <r>
    <x v="5"/>
    <s v="San Marcelino"/>
    <s v="Santa Fe"/>
    <s v="OUTSIDE MBA"/>
    <m/>
    <m/>
    <n v="2025"/>
    <d v="2025-08-15T00:00:00"/>
    <s v="R3-2025-027936"/>
    <x v="0"/>
    <m/>
    <s v="MRF"/>
    <s v="OPERATIONAL"/>
    <s v="Technical Assistance"/>
  </r>
  <r>
    <x v="5"/>
    <s v="San Narciso"/>
    <s v="Alusiis"/>
    <s v="OUTSIDE MBA"/>
    <m/>
    <m/>
    <n v="2025"/>
    <d v="2025-02-14T00:00:00"/>
    <s v="R3-2025-005887"/>
    <x v="0"/>
    <m/>
    <s v="MRF"/>
    <s v="OPERATIONAL"/>
    <s v="Technical Assistance"/>
  </r>
  <r>
    <x v="5"/>
    <s v="San Narciso"/>
    <s v="Beddeng"/>
    <s v="OUTSIDE MBA"/>
    <m/>
    <m/>
    <n v="2024"/>
    <d v="2024-08-07T00:00:00"/>
    <m/>
    <x v="0"/>
    <m/>
    <s v="MRF"/>
    <s v="OPERATIONAL"/>
    <s v="Technical Assistance"/>
  </r>
  <r>
    <x v="5"/>
    <s v="San Narciso"/>
    <s v="Candelaria (Pob.)"/>
    <s v="OUTSIDE MBA"/>
    <m/>
    <m/>
    <n v="2025"/>
    <d v="2025-07-10T00:00:00"/>
    <s v="R3-2025-024084"/>
    <x v="0"/>
    <m/>
    <s v="MRF"/>
    <s v="OPERATIONAL"/>
    <s v="Technical Assistance"/>
  </r>
  <r>
    <x v="5"/>
    <s v="San Narciso"/>
    <s v="Dallipawen"/>
    <s v="OUTSIDE MBA"/>
    <m/>
    <m/>
    <n v="2024"/>
    <d v="2024-08-07T00:00:00"/>
    <m/>
    <x v="0"/>
    <m/>
    <s v="MRF"/>
    <s v="OPERATIONAL"/>
    <s v="Technical Assistance"/>
  </r>
  <r>
    <x v="5"/>
    <s v="San Narciso"/>
    <s v="Grullo"/>
    <s v="OUTSIDE MBA"/>
    <m/>
    <m/>
    <n v="2024"/>
    <d v="2024-08-07T00:00:00"/>
    <m/>
    <x v="0"/>
    <m/>
    <s v="MRF"/>
    <s v="OPERATIONAL"/>
    <s v="Technical Assistance"/>
  </r>
  <r>
    <x v="5"/>
    <s v="San Narciso"/>
    <s v="La Paz"/>
    <s v="OUTSIDE MBA"/>
    <m/>
    <m/>
    <n v="2024"/>
    <d v="2024-08-07T00:00:00"/>
    <m/>
    <x v="0"/>
    <m/>
    <s v="MRF"/>
    <s v="OPERATIONAL"/>
    <s v="Technical Assistance"/>
  </r>
  <r>
    <x v="5"/>
    <s v="San Narciso"/>
    <s v="Libertad (Pob.)"/>
    <s v="OUTSIDE MBA"/>
    <m/>
    <m/>
    <n v="2025"/>
    <d v="2025-03-14T00:00:00"/>
    <s v="R3-2025-009178"/>
    <x v="0"/>
    <m/>
    <s v="MRF"/>
    <s v="OPERATIONAL"/>
    <s v="Technical Assistance"/>
  </r>
  <r>
    <x v="5"/>
    <s v="San Narciso"/>
    <s v="Namatacan"/>
    <s v="OUTSIDE MBA"/>
    <m/>
    <m/>
    <n v="2024"/>
    <d v="2024-08-07T00:00:00"/>
    <m/>
    <x v="0"/>
    <m/>
    <s v="MRF"/>
    <s v="OPERATIONAL"/>
    <s v="Technical Assistance"/>
  </r>
  <r>
    <x v="5"/>
    <s v="San Narciso"/>
    <s v="Natividad (Pob.)"/>
    <s v="OUTSIDE MBA"/>
    <m/>
    <m/>
    <n v="2025"/>
    <d v="2025-07-10T00:00:00"/>
    <s v="R3-2025-023909"/>
    <x v="0"/>
    <m/>
    <s v="MRF"/>
    <s v="OPERATIONAL"/>
    <s v="Technical Assistance"/>
  </r>
  <r>
    <x v="5"/>
    <s v="San Narciso"/>
    <s v="Omaya"/>
    <s v="OUTSIDE MBA"/>
    <m/>
    <m/>
    <n v="2024"/>
    <d v="2024-08-07T00:00:00"/>
    <m/>
    <x v="0"/>
    <m/>
    <s v="MRF"/>
    <s v="OPERATIONAL"/>
    <s v="Technical Assistance"/>
  </r>
  <r>
    <x v="5"/>
    <s v="San Narciso"/>
    <s v="Paite"/>
    <s v="OUTSIDE MBA"/>
    <m/>
    <m/>
    <n v="2024"/>
    <d v="2024-08-07T00:00:00"/>
    <m/>
    <x v="0"/>
    <m/>
    <s v="MRF"/>
    <s v="OPERATIONAL"/>
    <s v="Technical Assistance"/>
  </r>
  <r>
    <x v="5"/>
    <s v="San Narciso"/>
    <s v="Patrocinio (Pob.)"/>
    <s v="OUTSIDE MBA"/>
    <m/>
    <m/>
    <n v="2025"/>
    <d v="2025-07-10T00:00:00"/>
    <s v="R3-2025-024406"/>
    <x v="0"/>
    <m/>
    <s v="MRS"/>
    <s v="OPERATIONAL"/>
    <s v="Technical Assistance"/>
  </r>
  <r>
    <x v="5"/>
    <s v="San Narciso"/>
    <s v="San Jose (Pob.)"/>
    <s v="OUTSIDE MBA"/>
    <m/>
    <m/>
    <n v="2025"/>
    <d v="2025-07-10T00:00:00"/>
    <s v="R3-2025-024086"/>
    <x v="0"/>
    <m/>
    <s v="MRF"/>
    <s v="OPERATIONAL"/>
    <s v="Technical Assistance"/>
  </r>
  <r>
    <x v="5"/>
    <s v="San Narciso"/>
    <s v="San Juan (Pob.)"/>
    <s v="OUTSIDE MBA"/>
    <m/>
    <m/>
    <n v="2025"/>
    <d v="2025-07-10T00:00:00"/>
    <s v="R3-2025-024085"/>
    <x v="0"/>
    <m/>
    <s v="MRF"/>
    <s v="OPERATIONAL"/>
    <s v="Technical Assistance"/>
  </r>
  <r>
    <x v="5"/>
    <s v="San Narciso"/>
    <s v="San Pascual (Pob.)"/>
    <s v="OUTSIDE MBA"/>
    <m/>
    <m/>
    <n v="2025"/>
    <d v="2025-03-14T00:00:00"/>
    <s v="R3-2025-009180"/>
    <x v="0"/>
    <m/>
    <s v="MRF"/>
    <s v="OPERATIONAL"/>
    <s v="Technical Assistance"/>
  </r>
  <r>
    <x v="5"/>
    <s v="San Narciso"/>
    <s v="San Rafael (Pob.)"/>
    <s v="OUTSIDE MBA"/>
    <m/>
    <m/>
    <n v="2025"/>
    <d v="2025-07-10T00:00:00"/>
    <s v="R3-2025-023479"/>
    <x v="0"/>
    <m/>
    <s v="MRF"/>
    <s v="OPERATIONAL"/>
    <s v="Technical Assistance"/>
  </r>
  <r>
    <x v="5"/>
    <s v="San Narciso"/>
    <s v="Siminublan"/>
    <s v="OUTSIDE MBA"/>
    <m/>
    <m/>
    <n v="2024"/>
    <d v="2024-08-07T00:00:00"/>
    <m/>
    <x v="0"/>
    <m/>
    <s v="MRF"/>
    <s v="OPERATIONAL"/>
    <s v="Technical Assistance"/>
  </r>
  <r>
    <x v="5"/>
    <s v="City Of Olongapo"/>
    <s v="Santa Rita"/>
    <s v="OUTSIDE MBA"/>
    <s v="Larizze Ann A. Santos"/>
    <s v="Jun D. Guillermo"/>
    <m/>
    <m/>
    <m/>
    <x v="0"/>
    <m/>
    <m/>
    <m/>
    <s v="For Monitoring"/>
  </r>
  <r>
    <x v="5"/>
    <s v="Sta. Cruz"/>
    <s v="Bangcol"/>
    <s v="OUTSIDE MBA"/>
    <m/>
    <m/>
    <n v="2024"/>
    <d v="2024-10-16T00:00:00"/>
    <m/>
    <x v="0"/>
    <m/>
    <s v="MRS"/>
    <s v="OPERATIONAL"/>
    <s v="Technical Assistance"/>
  </r>
  <r>
    <x v="5"/>
    <s v="Sta. Cruz"/>
    <s v="Bayto"/>
    <s v="OUTSIDE MBA"/>
    <m/>
    <m/>
    <n v="2025"/>
    <d v="2025-03-14T00:00:00"/>
    <s v="R3-2025-008891"/>
    <x v="0"/>
    <m/>
    <s v="MRS"/>
    <s v="OPERATIONAL"/>
    <s v="Technical Assistance"/>
  </r>
  <r>
    <x v="5"/>
    <s v="Sta. Cruz"/>
    <s v="Biay"/>
    <s v="OUTSIDE MBA"/>
    <m/>
    <m/>
    <n v="2024"/>
    <d v="2024-05-16T00:00:00"/>
    <m/>
    <x v="0"/>
    <m/>
    <s v="MRS"/>
    <s v="OPERATIONAL"/>
    <s v="Technical Assistance"/>
  </r>
  <r>
    <x v="5"/>
    <s v="Sta. Cruz"/>
    <s v="Bolitoc"/>
    <s v="OUTSIDE MBA"/>
    <m/>
    <m/>
    <n v="2025"/>
    <d v="2025-05-16T00:00:00"/>
    <s v="R3-2025-016930"/>
    <x v="0"/>
    <m/>
    <s v="MRS"/>
    <s v="OPERATIONAL"/>
    <s v="Technical Assistance"/>
  </r>
  <r>
    <x v="5"/>
    <s v="Sta. Cruz"/>
    <s v="Bulawon"/>
    <s v="OUTSIDE MBA"/>
    <m/>
    <m/>
    <n v="2024"/>
    <d v="2024-10-16T00:00:00"/>
    <m/>
    <x v="0"/>
    <m/>
    <s v="MRF"/>
    <s v="OPERATIONAL"/>
    <s v="Technical Assistance"/>
  </r>
  <r>
    <x v="5"/>
    <s v="Sta. Cruz"/>
    <s v="Canaynayan"/>
    <s v="OUTSIDE MBA"/>
    <m/>
    <m/>
    <n v="2025"/>
    <d v="2025-05-16T00:00:00"/>
    <s v="R3-2025-016928"/>
    <x v="0"/>
    <m/>
    <s v="MRS"/>
    <s v="OPERATIONAL"/>
    <s v="Technical Assistance"/>
  </r>
  <r>
    <x v="5"/>
    <s v="Sta. Cruz"/>
    <s v="Gama"/>
    <s v="OUTSIDE MBA"/>
    <m/>
    <m/>
    <n v="2025"/>
    <d v="2025-04-04T00:00:00"/>
    <s v="R3-2025-011560"/>
    <x v="0"/>
    <m/>
    <s v="MRS"/>
    <s v="OPERATIONAL"/>
    <s v="Technical Assistance"/>
  </r>
  <r>
    <x v="5"/>
    <s v="Sta. Cruz"/>
    <s v="Guinabon"/>
    <s v="OUTSIDE MBA"/>
    <m/>
    <m/>
    <n v="2025"/>
    <d v="2025-06-17T00:00:00"/>
    <s v="R3-2025-020100"/>
    <x v="0"/>
    <m/>
    <s v="MRF"/>
    <s v="OPERATIONAL"/>
    <s v="Technical Assistance"/>
  </r>
  <r>
    <x v="5"/>
    <s v="Sta. Cruz"/>
    <s v="Guisguis"/>
    <s v="OUTSIDE MBA"/>
    <m/>
    <m/>
    <n v="2025"/>
    <d v="2025-06-17T00:00:00"/>
    <s v="R3-2025-020099"/>
    <x v="0"/>
    <m/>
    <s v="NO FACILITY"/>
    <s v="CATER BY LGU"/>
    <s v="Technical Assistance"/>
  </r>
  <r>
    <x v="5"/>
    <s v="Sta. Cruz"/>
    <s v="Lipay"/>
    <s v="OUTSIDE MBA"/>
    <m/>
    <m/>
    <n v="2025"/>
    <d v="2025-04-04T00:00:00"/>
    <s v="R3-2025-011639"/>
    <x v="0"/>
    <m/>
    <s v="MRS"/>
    <s v="OPERATIONAL"/>
    <s v="Technical Assistance"/>
  </r>
  <r>
    <x v="5"/>
    <s v="Sta. Cruz"/>
    <s v="Lomboy"/>
    <s v="OUTSIDE MBA"/>
    <m/>
    <m/>
    <n v="2025"/>
    <d v="2025-06-17T00:00:00"/>
    <s v="R3-2025-020098"/>
    <x v="0"/>
    <m/>
    <s v="NO FACILITY"/>
    <s v="CATER BY LGU"/>
    <s v="Technical Assistance"/>
  </r>
  <r>
    <x v="5"/>
    <s v="Sta. Cruz"/>
    <s v="Lucapon North"/>
    <s v="OUTSIDE MBA"/>
    <m/>
    <m/>
    <n v="2024"/>
    <d v="2024-05-16T00:00:00"/>
    <m/>
    <x v="0"/>
    <m/>
    <s v="MRS"/>
    <s v="OPERATIONAL"/>
    <s v="Technical Assistance"/>
  </r>
  <r>
    <x v="5"/>
    <s v="Sta. Cruz"/>
    <s v="Lucapon South"/>
    <s v="OUTSIDE MBA"/>
    <m/>
    <m/>
    <n v="2024"/>
    <d v="2024-05-16T00:00:00"/>
    <m/>
    <x v="0"/>
    <m/>
    <s v="MRS"/>
    <s v="OPERATIONAL"/>
    <s v="Technical Assistance"/>
  </r>
  <r>
    <x v="5"/>
    <s v="Sta. Cruz"/>
    <s v="Malabago"/>
    <s v="OUTSIDE MBA"/>
    <m/>
    <m/>
    <n v="2024"/>
    <d v="2024-10-16T00:00:00"/>
    <m/>
    <x v="0"/>
    <m/>
    <s v="MRS"/>
    <s v="CATER BY LGU"/>
    <s v="Technical Assistance"/>
  </r>
  <r>
    <x v="5"/>
    <s v="Sta. Cruz"/>
    <s v="Naulo"/>
    <s v="OUTSIDE MBA"/>
    <m/>
    <m/>
    <n v="2024"/>
    <d v="2024-05-16T00:00:00"/>
    <m/>
    <x v="0"/>
    <m/>
    <s v="MRS"/>
    <s v="OPERATIONAL"/>
    <s v="Technical Assistance"/>
  </r>
  <r>
    <x v="5"/>
    <s v="Sta. Cruz"/>
    <s v="Pagatpat"/>
    <s v="OUTSIDE MBA"/>
    <m/>
    <m/>
    <n v="2024"/>
    <d v="2024-10-16T00:00:00"/>
    <m/>
    <x v="0"/>
    <m/>
    <s v="MRS"/>
    <s v="CATER BY LGU"/>
    <s v="Technical Assistance"/>
  </r>
  <r>
    <x v="5"/>
    <s v="Sta. Cruz"/>
    <s v="Pamonoran"/>
    <s v="OUTSIDE MBA"/>
    <m/>
    <m/>
    <n v="2025"/>
    <d v="2025-05-16T00:00:00"/>
    <s v="R3-2025-016927_x0009_"/>
    <x v="0"/>
    <m/>
    <s v="MRS"/>
    <s v="OPERATIONAL"/>
    <s v="Technical Assistance"/>
  </r>
  <r>
    <x v="5"/>
    <s v="Sta. Cruz"/>
    <s v="Poblacion North"/>
    <s v="OUTSIDE MBA"/>
    <m/>
    <m/>
    <n v="2024"/>
    <d v="2024-10-16T00:00:00"/>
    <m/>
    <x v="0"/>
    <m/>
    <s v="MRS"/>
    <s v="CATER BY LGU"/>
    <s v="Technical Assistance"/>
  </r>
  <r>
    <x v="5"/>
    <s v="Sta. Cruz"/>
    <s v="Poblacion South"/>
    <s v="OUTSIDE MBA"/>
    <m/>
    <m/>
    <n v="2025"/>
    <d v="2025-04-11T00:00:00"/>
    <s v="R3-2025-012600"/>
    <x v="0"/>
    <m/>
    <s v="NO FACILITY"/>
    <s v="CATER BY LGU"/>
    <s v="Technical Assistance"/>
  </r>
  <r>
    <x v="5"/>
    <s v="Sta. Cruz"/>
    <s v="Sabang"/>
    <s v="OUTSIDE MBA"/>
    <m/>
    <m/>
    <n v="2025"/>
    <d v="2025-05-16T00:00:00"/>
    <s v="R3-2025-016929"/>
    <x v="0"/>
    <m/>
    <s v="MRS"/>
    <s v="OPERATIONAL"/>
    <s v="Technical Assistance"/>
  </r>
  <r>
    <x v="5"/>
    <s v="Sta. Cruz"/>
    <s v="San Fernando"/>
    <s v="OUTSIDE MBA"/>
    <m/>
    <m/>
    <n v="2025"/>
    <d v="2025-06-17T00:00:00"/>
    <s v="R3-2025-020096_x0009_"/>
    <x v="0"/>
    <m/>
    <s v="MRS"/>
    <s v="NON-OPERATIONAL"/>
    <s v="Technical Assistance"/>
  </r>
  <r>
    <x v="5"/>
    <s v="Sta. Cruz"/>
    <s v="Tabalong"/>
    <s v="OUTSIDE MBA"/>
    <m/>
    <m/>
    <n v="2025"/>
    <d v="2025-04-04T00:00:00"/>
    <s v="R3-2025-011571"/>
    <x v="0"/>
    <m/>
    <s v="MRS"/>
    <s v="OPERATIONAL"/>
    <s v="Technical Assistance"/>
  </r>
  <r>
    <x v="5"/>
    <s v="Sta. Cruz"/>
    <s v="Tubotubo North"/>
    <s v="OUTSIDE MBA"/>
    <m/>
    <m/>
    <n v="2025"/>
    <d v="2025-06-17T00:00:00"/>
    <s v="R3-2025-020097"/>
    <x v="0"/>
    <m/>
    <s v="MRS"/>
    <s v="OPERATIONAL"/>
    <s v="Technical Assistance"/>
  </r>
  <r>
    <x v="5"/>
    <s v="Sta. Cruz"/>
    <s v="Tubotubo South"/>
    <s v="OUTSIDE MBA"/>
    <m/>
    <m/>
    <n v="2025"/>
    <d v="2025-11-11T00:00:00"/>
    <s v="R3-2025-037775"/>
    <x v="0"/>
    <m/>
    <s v="MRS"/>
    <s v="NON-OPERATIONAL"/>
    <s v="Technical Assistance"/>
  </r>
  <r>
    <x v="5"/>
    <s v="Subic"/>
    <s v="Aningway Sacatihan"/>
    <s v="OUTSIDE MBA"/>
    <m/>
    <m/>
    <n v="2024"/>
    <d v="2024-09-10T00:00:00"/>
    <m/>
    <x v="0"/>
    <m/>
    <s v="MRF"/>
    <s v="OPERATIONAL"/>
    <s v="Technical Assistance"/>
  </r>
  <r>
    <x v="5"/>
    <s v="Subic"/>
    <s v="Asinan Poblacion"/>
    <s v="OUTSIDE MBA"/>
    <m/>
    <m/>
    <n v="2025"/>
    <d v="2025-10-08T00:00:00"/>
    <s v="R3-2025-034647"/>
    <x v="0"/>
    <m/>
    <s v="MRF"/>
    <s v="NON-OPERATIONAL"/>
    <s v="Technical Assistance"/>
  </r>
  <r>
    <x v="5"/>
    <s v="Subic"/>
    <s v="Asinan Proper"/>
    <s v="OUTSIDE MBA"/>
    <m/>
    <m/>
    <n v="2025"/>
    <d v="2025-10-09T00:00:00"/>
    <s v="R3-2025-034995"/>
    <x v="0"/>
    <m/>
    <s v="MRF"/>
    <s v="OPERATIONAL"/>
    <s v="Technical Assistance"/>
  </r>
  <r>
    <x v="5"/>
    <s v="Subic"/>
    <s v="Baraca-Camachile (Pob.)"/>
    <s v="OUTSIDE MBA"/>
    <m/>
    <m/>
    <n v="2025"/>
    <d v="2025-10-09T00:00:00"/>
    <s v="R3-2025-034998"/>
    <x v="0"/>
    <m/>
    <s v="MRF"/>
    <s v="NON-OPERATIONAL"/>
    <s v="Technical Assistance"/>
  </r>
  <r>
    <x v="5"/>
    <s v="San Marcelino"/>
    <s v="Lucero (Pob.)"/>
    <s v="OUTSIDE MBA"/>
    <s v="Ryan Ace R. Angel"/>
    <s v="Jun D. Guillermo"/>
    <m/>
    <m/>
    <m/>
    <x v="2"/>
    <m/>
    <m/>
    <m/>
    <s v="For Monitoring"/>
  </r>
  <r>
    <x v="5"/>
    <s v="Subic"/>
    <s v="Calapacuan"/>
    <s v="OUTSIDE MBA"/>
    <m/>
    <m/>
    <n v="2025"/>
    <d v="2025-11-04T00:00:00"/>
    <s v="R3-2025-037562"/>
    <x v="0"/>
    <m/>
    <s v="NO FACILITY"/>
    <s v="CATER BY LGU"/>
    <s v="Technical Assistance"/>
  </r>
  <r>
    <x v="5"/>
    <s v="Subic"/>
    <s v="Calapandayan (Pob.)"/>
    <s v="OUTSIDE MBA"/>
    <m/>
    <m/>
    <n v="2025"/>
    <d v="2025-11-04T00:00:00"/>
    <s v="R3-2025-037563"/>
    <x v="0"/>
    <m/>
    <s v="MRS"/>
    <s v="OPERATIONAL"/>
    <s v="Technical Assistance"/>
  </r>
  <r>
    <x v="5"/>
    <s v="Subic"/>
    <s v="Cawag"/>
    <s v="OUTSIDE MBA"/>
    <m/>
    <m/>
    <n v="2025"/>
    <d v="2025-10-09T00:00:00"/>
    <s v="R3-2025-034996"/>
    <x v="0"/>
    <m/>
    <s v="MRF"/>
    <s v="OPERATIONAL"/>
    <s v="Technical Assistance"/>
  </r>
  <r>
    <x v="5"/>
    <s v="Subic"/>
    <s v="Ilwas (Pob.)"/>
    <s v="OUTSIDE MBA"/>
    <m/>
    <m/>
    <n v="2025"/>
    <d v="2025-11-04T00:00:00"/>
    <s v="R3-2025-037564"/>
    <x v="0"/>
    <m/>
    <s v="MRF"/>
    <s v="UNDER CONSTRUCTION"/>
    <s v="Technical Assistance"/>
  </r>
  <r>
    <x v="5"/>
    <s v="Subic"/>
    <s v="Mangan-Vaca"/>
    <s v="OUTSIDE MBA"/>
    <m/>
    <m/>
    <n v="2025"/>
    <d v="2025-10-09T00:00:00"/>
    <s v="R3-2025-034646"/>
    <x v="0"/>
    <m/>
    <s v="NO FACILITY"/>
    <s v="CATER BY LGU"/>
    <s v="Technical Assistance"/>
  </r>
  <r>
    <x v="5"/>
    <s v="Subic"/>
    <s v="Matain"/>
    <s v="OUTSIDE MBA"/>
    <m/>
    <m/>
    <n v="2025"/>
    <d v="2025-11-04T00:00:00"/>
    <s v=" R3-2025-037566"/>
    <x v="0"/>
    <m/>
    <s v="MRF"/>
    <s v="OPERATIONAL"/>
    <s v="Technical Assistance"/>
  </r>
  <r>
    <x v="5"/>
    <s v="Subic"/>
    <s v="Naugsol"/>
    <s v="OUTSIDE MBA"/>
    <m/>
    <m/>
    <n v="2024"/>
    <d v="2024-09-10T00:00:00"/>
    <m/>
    <x v="0"/>
    <m/>
    <s v="MRF"/>
    <s v="OPERATIONAL"/>
    <s v="Technical Assistance"/>
  </r>
  <r>
    <x v="5"/>
    <s v="Subic"/>
    <s v="Pamatawan"/>
    <s v="OUTSIDE MBA"/>
    <m/>
    <m/>
    <n v="2024"/>
    <d v="2024-09-10T00:00:00"/>
    <m/>
    <x v="0"/>
    <m/>
    <s v="MRF"/>
    <s v="OPERATIONAL"/>
    <s v="Technical Assistance"/>
  </r>
  <r>
    <x v="5"/>
    <s v="Subic"/>
    <s v="San Isidro"/>
    <s v="OUTSIDE MBA"/>
    <m/>
    <m/>
    <n v="2024"/>
    <d v="2024-09-10T00:00:00"/>
    <m/>
    <x v="0"/>
    <m/>
    <s v="MRF"/>
    <s v="OPERATIONAL"/>
    <s v="Technical Assistance"/>
  </r>
  <r>
    <x v="5"/>
    <s v="Subic"/>
    <s v="Santo Tomas"/>
    <s v="OUTSIDE MBA"/>
    <m/>
    <m/>
    <n v="2024"/>
    <d v="2024-09-10T00:00:00"/>
    <m/>
    <x v="0"/>
    <m/>
    <s v="MRF"/>
    <s v="OPERATIONAL"/>
    <s v="Technical Assistance"/>
  </r>
  <r>
    <x v="5"/>
    <s v="Subic"/>
    <s v="Wawandue (Pob.)"/>
    <s v="OUTSIDE MBA"/>
    <m/>
    <m/>
    <n v="2025"/>
    <d v="2025-10-09T00:00:00"/>
    <s v="R3-2025-034997"/>
    <x v="0"/>
    <m/>
    <s v="MRF"/>
    <s v="OPERATIONAL"/>
    <s v="Technical Assistan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84855-FCA5-45B7-950C-D3C1883C0903}"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8:C56" firstHeaderRow="1" firstDataRow="2" firstDataCol="1"/>
  <pivotFields count="33">
    <pivotField axis="axisRow"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8">
        <item h="1" x="5"/>
        <item h="1" x="4"/>
        <item x="6"/>
        <item h="1" x="3"/>
        <item h="1" x="2"/>
        <item h="1" x="1"/>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7">
    <i>
      <x v="1"/>
    </i>
    <i>
      <x v="2"/>
    </i>
    <i>
      <x v="3"/>
    </i>
    <i>
      <x v="4"/>
    </i>
    <i>
      <x v="12"/>
    </i>
    <i>
      <x v="13"/>
    </i>
    <i t="grand">
      <x/>
    </i>
  </rowItems>
  <colFields count="1">
    <field x="9"/>
  </colFields>
  <colItems count="2">
    <i>
      <x v="2"/>
    </i>
    <i t="grand">
      <x/>
    </i>
  </colItems>
  <dataFields count="1">
    <dataField name="Funded Equipment" fld="9" subtotal="count" baseField="0" baseItem="0"/>
  </dataFields>
  <formats count="1">
    <format dxfId="22">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CF0467-6C5B-4108-93D6-27E5C57DB486}" name="PivotTable1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3:I152" firstHeaderRow="1" firstDataRow="2" firstDataCol="1"/>
  <pivotFields count="14">
    <pivotField axis="axisRow" compact="0" outline="0" showAll="0">
      <items count="8">
        <item x="0"/>
        <item x="1"/>
        <item x="2"/>
        <item x="6"/>
        <item x="4"/>
        <item x="3"/>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8">
        <item x="1"/>
        <item x="5"/>
        <item x="3"/>
        <item x="2"/>
        <item x="4"/>
        <item x="6"/>
        <item x="0"/>
        <item t="default"/>
      </items>
    </pivotField>
    <pivotField compact="0" outline="0" showAll="0"/>
    <pivotField compact="0" outline="0" showAll="0"/>
    <pivotField compact="0" outline="0" showAll="0"/>
    <pivotField compact="0" outline="0" showAll="0"/>
  </pivotFields>
  <rowFields count="1">
    <field x="0"/>
  </rowFields>
  <rowItems count="8">
    <i>
      <x/>
    </i>
    <i>
      <x v="1"/>
    </i>
    <i>
      <x v="2"/>
    </i>
    <i>
      <x v="3"/>
    </i>
    <i>
      <x v="4"/>
    </i>
    <i>
      <x v="5"/>
    </i>
    <i>
      <x v="6"/>
    </i>
    <i t="grand">
      <x/>
    </i>
  </rowItems>
  <colFields count="1">
    <field x="9"/>
  </colFields>
  <colItems count="8">
    <i>
      <x/>
    </i>
    <i>
      <x v="1"/>
    </i>
    <i>
      <x v="2"/>
    </i>
    <i>
      <x v="3"/>
    </i>
    <i>
      <x v="4"/>
    </i>
    <i>
      <x v="5"/>
    </i>
    <i>
      <x v="6"/>
    </i>
    <i t="grand">
      <x/>
    </i>
  </colItems>
  <dataFields count="1">
    <dataField name="Count of Target Month" fld="9" subtotal="count" baseField="0" baseItem="0"/>
  </dataFields>
  <formats count="12">
    <format dxfId="34">
      <pivotArea outline="0" collapsedLevelsAreSubtotals="1" fieldPosition="0"/>
    </format>
    <format dxfId="33">
      <pivotArea dataOnly="0" labelOnly="1" outline="0" fieldPosition="0">
        <references count="1">
          <reference field="9" count="0"/>
        </references>
      </pivotArea>
    </format>
    <format dxfId="32">
      <pivotArea dataOnly="0" labelOnly="1" outline="0" fieldPosition="0">
        <references count="1">
          <reference field="9" count="0" defaultSubtotal="1"/>
        </references>
      </pivotArea>
    </format>
    <format dxfId="31">
      <pivotArea dataOnly="0" labelOnly="1" grandCol="1" outline="0" fieldPosition="0"/>
    </format>
    <format dxfId="30">
      <pivotArea outline="0" collapsedLevelsAreSubtotals="1" fieldPosition="0"/>
    </format>
    <format dxfId="29">
      <pivotArea dataOnly="0" labelOnly="1" outline="0" fieldPosition="0">
        <references count="1">
          <reference field="9" count="0"/>
        </references>
      </pivotArea>
    </format>
    <format dxfId="28">
      <pivotArea dataOnly="0" labelOnly="1" outline="0" fieldPosition="0">
        <references count="1">
          <reference field="9" count="0" defaultSubtotal="1"/>
        </references>
      </pivotArea>
    </format>
    <format dxfId="27">
      <pivotArea dataOnly="0" labelOnly="1" grandCol="1" outline="0" fieldPosition="0"/>
    </format>
    <format dxfId="26">
      <pivotArea outline="0" fieldPosition="0">
        <references count="1">
          <reference field="0" count="1" selected="0">
            <x v="4"/>
          </reference>
        </references>
      </pivotArea>
    </format>
    <format dxfId="25">
      <pivotArea dataOnly="0" labelOnly="1" outline="0" fieldPosition="0">
        <references count="1">
          <reference field="0" count="1">
            <x v="4"/>
          </reference>
        </references>
      </pivotArea>
    </format>
    <format dxfId="24">
      <pivotArea outline="0" fieldPosition="0">
        <references count="1">
          <reference field="0" count="1" selected="0">
            <x v="5"/>
          </reference>
        </references>
      </pivotArea>
    </format>
    <format dxfId="23">
      <pivotArea dataOnly="0" labelOnly="1" outline="0" fieldPosition="0">
        <references count="1">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F3021A-AA81-4AC2-9D4C-4E6F3A5E0BF2}"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0:H88" firstHeaderRow="1" firstDataRow="2" firstDataCol="1"/>
  <pivotFields count="39">
    <pivotField axis="axisRow" compact="0" outline="0" showAll="0">
      <items count="7">
        <item x="0"/>
        <item x="1"/>
        <item x="2"/>
        <item x="3"/>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7">
        <item x="1"/>
        <item x="0"/>
        <item x="3"/>
        <item x="4"/>
        <item x="5"/>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7">
    <i>
      <x/>
    </i>
    <i>
      <x v="1"/>
    </i>
    <i>
      <x v="2"/>
    </i>
    <i>
      <x v="3"/>
    </i>
    <i>
      <x v="4"/>
    </i>
    <i>
      <x v="5"/>
    </i>
    <i t="grand">
      <x/>
    </i>
  </rowItems>
  <colFields count="1">
    <field x="8"/>
  </colFields>
  <colItems count="7">
    <i>
      <x/>
    </i>
    <i>
      <x v="1"/>
    </i>
    <i>
      <x v="2"/>
    </i>
    <i>
      <x v="3"/>
    </i>
    <i>
      <x v="4"/>
    </i>
    <i>
      <x v="5"/>
    </i>
    <i t="grand">
      <x/>
    </i>
  </colItems>
  <dataFields count="1">
    <dataField name="Transfer Stations" fld="8" subtotal="count" baseField="0" baseItem="0"/>
  </dataFields>
  <formats count="1">
    <format dxfId="35">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392B12-2F1B-4F31-B573-7649D2D93FBC}" name="PivotTable2"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C25" firstHeaderRow="1" firstDataRow="2" firstDataCol="1"/>
  <pivotFields count="43">
    <pivotField axis="axisRow" compact="0" outline="0" showAll="0">
      <items count="9">
        <item x="0"/>
        <item x="1"/>
        <item m="1" x="7"/>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8">
        <item h="1" x="0"/>
        <item h="1" x="5"/>
        <item x="6"/>
        <item h="1" x="1"/>
        <item h="1" x="2"/>
        <item h="1" x="3"/>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7">
    <i>
      <x v="1"/>
    </i>
    <i>
      <x v="3"/>
    </i>
    <i>
      <x v="4"/>
    </i>
    <i>
      <x v="5"/>
    </i>
    <i>
      <x v="6"/>
    </i>
    <i>
      <x v="7"/>
    </i>
    <i t="grand">
      <x/>
    </i>
  </rowItems>
  <colFields count="1">
    <field x="12"/>
  </colFields>
  <colItems count="2">
    <i>
      <x v="2"/>
    </i>
    <i t="grand">
      <x/>
    </i>
  </colItems>
  <dataFields count="1">
    <dataField name="FUNDED MRF" fld="12" subtotal="count" baseField="0" baseItem="0"/>
  </dataFields>
  <formats count="1">
    <format dxfId="36">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784F9B-DA34-4729-BFD5-CC334FD233D3}"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7:C73" firstHeaderRow="1" firstDataRow="2" firstDataCol="1"/>
  <pivotFields count="41">
    <pivotField axis="axisRow" compact="0" outline="0" showAll="0">
      <items count="9">
        <item x="0"/>
        <item x="1"/>
        <item x="2"/>
        <item x="3"/>
        <item x="4"/>
        <item x="5"/>
        <item x="6"/>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8">
        <item h="1" x="0"/>
        <item h="1" x="2"/>
        <item x="6"/>
        <item h="1" x="4"/>
        <item h="1" x="5"/>
        <item h="1" x="3"/>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5">
    <i>
      <x v="2"/>
    </i>
    <i>
      <x v="3"/>
    </i>
    <i>
      <x v="4"/>
    </i>
    <i>
      <x v="5"/>
    </i>
    <i t="grand">
      <x/>
    </i>
  </rowItems>
  <colFields count="1">
    <field x="9"/>
  </colFields>
  <colItems count="2">
    <i>
      <x v="2"/>
    </i>
    <i t="grand">
      <x/>
    </i>
  </colItems>
  <dataFields count="1">
    <dataField name="LGU Intiated MRF" fld="9" subtotal="count" baseField="0" baseItem="0"/>
  </dataFields>
  <formats count="1">
    <format dxfId="37">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B9865C-B6A5-48A2-97B4-CBBE402CE437}" name="PivotTable9"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1:C105" firstHeaderRow="1" firstDataRow="2" firstDataCol="1"/>
  <pivotFields count="35">
    <pivotField axis="axisRow" compact="0"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12">
        <item h="1" x="7"/>
        <item h="1" x="8"/>
        <item h="1" x="5"/>
        <item h="1" x="3"/>
        <item x="9"/>
        <item h="1" x="0"/>
        <item h="1" x="10"/>
        <item h="1" x="1"/>
        <item h="1" x="6"/>
        <item h="1" x="4"/>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3">
    <i>
      <x v="4"/>
    </i>
    <i>
      <x v="6"/>
    </i>
    <i t="grand">
      <x/>
    </i>
  </rowItems>
  <colFields count="1">
    <field x="15"/>
  </colFields>
  <colItems count="2">
    <i>
      <x v="4"/>
    </i>
    <i t="grand">
      <x/>
    </i>
  </colItems>
  <dataFields count="1">
    <dataField name="PDSF" fld="15" subtotal="count" baseField="0" baseItem="0"/>
  </dataFields>
  <formats count="1">
    <format dxfId="38">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0CB16B-DF55-432A-AE24-591327384D48}" name="PivotTable14"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3:F140" firstHeaderRow="1" firstDataRow="2" firstDataCol="1"/>
  <pivotFields count="9">
    <pivotField axis="axisRow" compact="0" outline="0" showAll="0">
      <items count="6">
        <item x="0"/>
        <item x="1"/>
        <item x="4"/>
        <item x="2"/>
        <item x="3"/>
        <item t="default"/>
      </items>
    </pivotField>
    <pivotField compact="0" outline="0" showAll="0"/>
    <pivotField compact="0" outline="0" showAll="0"/>
    <pivotField compact="0" outline="0" showAll="0"/>
    <pivotField axis="axisCol" dataField="1" compact="0" outline="0" showAll="0">
      <items count="5">
        <item x="0"/>
        <item x="1"/>
        <item x="2"/>
        <item x="3"/>
        <item t="default"/>
      </items>
    </pivotField>
    <pivotField compact="0" outline="0" showAll="0"/>
    <pivotField compact="0" outline="0" showAll="0"/>
    <pivotField compact="0" outline="0" showAll="0"/>
    <pivotField compact="0" outline="0" showAll="0"/>
  </pivotFields>
  <rowFields count="1">
    <field x="0"/>
  </rowFields>
  <rowItems count="6">
    <i>
      <x/>
    </i>
    <i>
      <x v="1"/>
    </i>
    <i>
      <x v="2"/>
    </i>
    <i>
      <x v="3"/>
    </i>
    <i>
      <x v="4"/>
    </i>
    <i t="grand">
      <x/>
    </i>
  </rowItems>
  <colFields count="1">
    <field x="4"/>
  </colFields>
  <colItems count="5">
    <i>
      <x/>
    </i>
    <i>
      <x v="1"/>
    </i>
    <i>
      <x v="2"/>
    </i>
    <i>
      <x v="3"/>
    </i>
    <i t="grand">
      <x/>
    </i>
  </colItems>
  <dataFields count="1">
    <dataField name="LGU ASST. TO WASTE DIVERSION" fld="4" subtotal="count" baseField="0" baseItem="0"/>
  </dataFields>
  <formats count="12">
    <format dxfId="50">
      <pivotArea outline="0" collapsedLevelsAreSubtotals="1"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4" type="button" dataOnly="0" labelOnly="1" outline="0" axis="axisCol" fieldPosition="0"/>
    </format>
    <format dxfId="45">
      <pivotArea type="topRight" dataOnly="0" labelOnly="1" outline="0" fieldPosition="0"/>
    </format>
    <format dxfId="44">
      <pivotArea field="0" type="button" dataOnly="0" labelOnly="1" outline="0" axis="axisRow" fieldPosition="0"/>
    </format>
    <format dxfId="43">
      <pivotArea dataOnly="0" labelOnly="1" outline="0" fieldPosition="0">
        <references count="1">
          <reference field="0" count="0"/>
        </references>
      </pivotArea>
    </format>
    <format dxfId="42">
      <pivotArea dataOnly="0" labelOnly="1" grandRow="1" outline="0" fieldPosition="0"/>
    </format>
    <format dxfId="41">
      <pivotArea dataOnly="0" labelOnly="1" outline="0" fieldPosition="0">
        <references count="1">
          <reference field="4" count="0"/>
        </references>
      </pivotArea>
    </format>
    <format dxfId="40">
      <pivotArea dataOnly="0" labelOnly="1" grandCol="1" outline="0" fieldPosition="0"/>
    </format>
    <format dxfId="39">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F7E247-D072-4C86-A455-7CC87F738588}"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1:D45" firstHeaderRow="1" firstDataRow="2" firstDataCol="1"/>
  <pivotFields count="43">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3">
    <i>
      <x/>
    </i>
    <i>
      <x v="1"/>
    </i>
    <i t="grand">
      <x/>
    </i>
  </rowItems>
  <colFields count="1">
    <field x="13"/>
  </colFields>
  <colItems count="3">
    <i>
      <x/>
    </i>
    <i>
      <x v="1"/>
    </i>
    <i t="grand">
      <x/>
    </i>
  </colItems>
  <dataFields count="1">
    <dataField name="Open Dumpsite" fld="13" subtotal="count" baseField="0" baseItem="0"/>
  </dataFields>
  <formats count="1">
    <format dxfId="51">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B1D25C-3885-4E20-B1DB-4A53F4C8E40D}" name="PivotTable3"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C34" firstHeaderRow="1" firstDataRow="2" firstDataCol="1"/>
  <pivotFields count="48">
    <pivotField axis="axisRow"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7">
        <item h="1" x="3"/>
        <item x="2"/>
        <item h="1" x="1"/>
        <item h="1" x="5"/>
        <item h="1" x="0"/>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3">
    <i>
      <x/>
    </i>
    <i>
      <x v="3"/>
    </i>
    <i t="grand">
      <x/>
    </i>
  </rowItems>
  <colFields count="1">
    <field x="17"/>
  </colFields>
  <colItems count="2">
    <i>
      <x v="1"/>
    </i>
    <i t="grand">
      <x/>
    </i>
  </colItems>
  <dataFields count="1">
    <dataField name="Sanitary landfill" fld="17" subtotal="count" baseField="0" baseItem="0"/>
  </dataFields>
  <formats count="1">
    <format dxfId="52">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E15C94-F849-4DCA-BA34-B6BA993C8DE3}" name="PivotTable10"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4:K119" firstHeaderRow="1" firstDataRow="2" firstDataCol="1"/>
  <pivotFields count="33">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axis="axisCol" dataField="1" compact="0" outline="0" showAll="0">
      <items count="20">
        <item m="1" x="10"/>
        <item m="1" x="14"/>
        <item m="1" x="12"/>
        <item m="1" x="15"/>
        <item m="1" x="13"/>
        <item m="1" x="17"/>
        <item m="1" x="16"/>
        <item m="1" x="11"/>
        <item m="1" x="18"/>
        <item m="1" x="9"/>
        <item x="0"/>
        <item x="1"/>
        <item x="2"/>
        <item x="7"/>
        <item x="3"/>
        <item x="8"/>
        <item x="4"/>
        <item x="6"/>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4">
    <i>
      <x/>
    </i>
    <i>
      <x v="1"/>
    </i>
    <i>
      <x v="2"/>
    </i>
    <i t="grand">
      <x/>
    </i>
  </rowItems>
  <colFields count="1">
    <field x="8"/>
  </colFields>
  <colItems count="10">
    <i>
      <x v="10"/>
    </i>
    <i>
      <x v="11"/>
    </i>
    <i>
      <x v="12"/>
    </i>
    <i>
      <x v="13"/>
    </i>
    <i>
      <x v="14"/>
    </i>
    <i>
      <x v="15"/>
    </i>
    <i>
      <x v="16"/>
    </i>
    <i>
      <x v="17"/>
    </i>
    <i>
      <x v="18"/>
    </i>
    <i t="grand">
      <x/>
    </i>
  </colItems>
  <dataFields count="1">
    <dataField name="Trashtrap" fld="8" subtotal="count" baseField="0" baseItem="0"/>
  </dataFields>
  <formats count="1">
    <format dxfId="53">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921EE0-F507-490C-AC62-06FDD4657839}" name="PivotTable1"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2" firstHeaderRow="1" firstDataRow="2" firstDataCol="1"/>
  <pivotFields count="68">
    <pivotField axis="axisRow" compact="0"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8">
        <item h="1" x="4"/>
        <item h="1" x="3"/>
        <item x="1"/>
        <item h="1" x="0"/>
        <item h="1" x="5"/>
        <item h="1" x="6"/>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8">
    <i>
      <x/>
    </i>
    <i>
      <x v="1"/>
    </i>
    <i>
      <x v="2"/>
    </i>
    <i>
      <x v="3"/>
    </i>
    <i>
      <x v="4"/>
    </i>
    <i>
      <x v="5"/>
    </i>
    <i>
      <x v="6"/>
    </i>
    <i t="grand">
      <x/>
    </i>
  </rowItems>
  <colFields count="1">
    <field x="14"/>
  </colFields>
  <colItems count="2">
    <i>
      <x v="2"/>
    </i>
    <i t="grand">
      <x/>
    </i>
  </colItems>
  <dataFields count="1">
    <dataField name="10 Year Plan" fld="14" subtotal="count" baseField="0" baseItem="0"/>
  </dataFields>
  <formats count="1">
    <format dxfId="54">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AD5BB6-CD48-42BB-ADB6-86EB1DA731FB}" name="PivotTable8"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1:H97" firstHeaderRow="1" firstDataRow="2" firstDataCol="1"/>
  <pivotFields count="47">
    <pivotField axis="axisRow"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7">
        <item x="0"/>
        <item x="3"/>
        <item x="4"/>
        <item x="5"/>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5">
    <i>
      <x/>
    </i>
    <i>
      <x v="1"/>
    </i>
    <i>
      <x v="2"/>
    </i>
    <i>
      <x v="3"/>
    </i>
    <i t="grand">
      <x/>
    </i>
  </rowItems>
  <colFields count="1">
    <field x="8"/>
  </colFields>
  <colItems count="7">
    <i>
      <x/>
    </i>
    <i>
      <x v="1"/>
    </i>
    <i>
      <x v="2"/>
    </i>
    <i>
      <x v="3"/>
    </i>
    <i>
      <x v="4"/>
    </i>
    <i>
      <x v="5"/>
    </i>
    <i t="grand">
      <x/>
    </i>
  </colItems>
  <dataFields count="1">
    <dataField name="RCA" fld="8" subtotal="count" baseField="0" baseItem="0"/>
  </dataFields>
  <formats count="1">
    <format dxfId="55">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1300-000000000000}" autoFormatId="16" applyNumberFormats="0" applyBorderFormats="0" applyFontFormats="0" applyPatternFormats="0" applyAlignmentFormats="0" applyWidthHeightFormats="0">
  <queryTableRefresh nextId="9">
    <queryTableFields count="8">
      <queryTableField id="1" name="National_Holidays" tableColumnId="1"/>
      <queryTableField id="2" name="Column2" tableColumnId="2"/>
      <queryTableField id="3" name="Local_Holidays" tableColumnId="3"/>
      <queryTableField id="4" name="Column4" tableColumnId="4"/>
      <queryTableField id="5" name="Column5" tableColumnId="5"/>
      <queryTableField id="6" name="Suspension" tableColumnId="6"/>
      <queryTableField id="7" name="Column7" tableColumnId="7"/>
      <queryTableField id="8" name="Column8"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62B5C2-8134-480F-8216-31047A54A9C8}" name="Holidays_Suspensions" displayName="Holidays_Suspensions" ref="A1:H12" tableType="queryTable" totalsRowShown="0">
  <autoFilter ref="A1:H12" xr:uid="{4662B5C2-8134-480F-8216-31047A54A9C8}"/>
  <tableColumns count="8">
    <tableColumn id="1" xr3:uid="{665C7F47-53BD-4ABF-948D-9B58ECA88396}" uniqueName="1" name="National_Holidays" queryTableFieldId="1" dataDxfId="21"/>
    <tableColumn id="2" xr3:uid="{9E4EE477-3DED-43C4-A0C6-79EB0AB5995F}" uniqueName="2" name="Column2" queryTableFieldId="2" dataDxfId="20"/>
    <tableColumn id="3" xr3:uid="{3CC85642-3F20-4CC3-8593-D4D970E66C45}" uniqueName="3" name="Local_Holidays" queryTableFieldId="3" dataDxfId="19"/>
    <tableColumn id="4" xr3:uid="{EB75B38A-4408-4BE9-85FF-72D9794C2A23}" uniqueName="4" name="Column4" queryTableFieldId="4" dataDxfId="18"/>
    <tableColumn id="5" xr3:uid="{EBCCB7F9-9048-4E09-8B33-6CFD02C88702}" uniqueName="5" name="Column5" queryTableFieldId="5" dataDxfId="17"/>
    <tableColumn id="6" xr3:uid="{09A59625-392A-420E-89D5-B867A89AD102}" uniqueName="6" name="Suspension" queryTableFieldId="6" dataDxfId="16"/>
    <tableColumn id="7" xr3:uid="{503689B9-91D7-44A8-AB77-DF90C6A03771}" uniqueName="7" name="Column7" queryTableFieldId="7" dataDxfId="15"/>
    <tableColumn id="8" xr3:uid="{E6C99BE5-961A-479F-885D-749BF5191BDE}" uniqueName="8" name="Column8" queryTableFieldId="8" dataDxfId="1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5-10-29T03:32:33.72" personId="{0D8033B7-3100-48AD-B3D5-98CDD2CB47F7}" id="{02C65C32-82B4-433D-AEA5-1461F5F894C0}">
    <text>Clustered to South Poblacion</text>
  </threadedComment>
  <threadedComment ref="C42" dT="2025-10-29T03:33:41.26" personId="{0D8033B7-3100-48AD-B3D5-98CDD2CB47F7}" id="{19879D29-9D36-4203-9E62-E03084FB55CC}">
    <text xml:space="preserve">Clustered to Sta Rita
</text>
  </threadedComment>
  <threadedComment ref="B66" dT="2025-11-28T02:21:19.05" personId="{28DF95BF-1E96-4948-BB73-79CD573D7458}" id="{44C08A5F-053E-4BC5-98AD-DC2A4316E70D}">
    <text>Returned Funds</text>
  </threadedComment>
  <threadedComment ref="C112" dT="2025-10-29T03:35:26.66" personId="{0D8033B7-3100-48AD-B3D5-98CDD2CB47F7}" id="{4609EC34-ADDB-4D53-98FE-7D1B2C57ED65}">
    <text>Transferred to Brgy Manglicmot</text>
  </threadedComment>
  <threadedComment ref="B113" dT="2025-11-28T02:21:08.94" personId="{28DF95BF-1E96-4948-BB73-79CD573D7458}" id="{6AB2F66B-4844-4FC5-88CB-477DC57F8BB8}">
    <text>Returned Funds</text>
  </threadedComment>
</ThreadedComment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hyperlink" Target="../../../../../../:w:/g/personal/eswmr3_emb_gov_ph/IQC2wZmNbmAaQLYiw7lc9fm5AR_UaEKllCj6-Vb4kUh389w?e=zQb5xZ" TargetMode="External"/><Relationship Id="rId13" Type="http://schemas.openxmlformats.org/officeDocument/2006/relationships/hyperlink" Target="../../../../../../:w:/g/personal/eswmr3_emb_gov_ph/IQCwaDpqubn3TYH_bx42jlxwAVkivze19aAPwXpraCl-68g?e=uTdsI3" TargetMode="External"/><Relationship Id="rId18" Type="http://schemas.openxmlformats.org/officeDocument/2006/relationships/hyperlink" Target="../../../../../../:w:/g/personal/eswmr3_emb_gov_ph/IQAACyXLumaqTYjQ7zLIUiv6AZWa4r6suKpCoYEUceqSB7U?e=QgYsgA" TargetMode="External"/><Relationship Id="rId3" Type="http://schemas.openxmlformats.org/officeDocument/2006/relationships/hyperlink" Target="../../../../../../:w:/g/personal/eswmr3_emb_gov_ph/IQDdVVBMJoeaS6SuKSU2xPh7Af_OFDLpkLTua37NCNLCOR4?e=EmbUDA" TargetMode="External"/><Relationship Id="rId21" Type="http://schemas.openxmlformats.org/officeDocument/2006/relationships/comments" Target="../comments1.xml"/><Relationship Id="rId7" Type="http://schemas.openxmlformats.org/officeDocument/2006/relationships/hyperlink" Target="../../../../../../:w:/g/personal/eswmr3_emb_gov_ph/IQBIG2IIMgPxTo3UTdguNmkXAY9AMq8I2bvdPXit5HIiqhw?e=ukKJuY" TargetMode="External"/><Relationship Id="rId12" Type="http://schemas.openxmlformats.org/officeDocument/2006/relationships/hyperlink" Target="../../../../../../:w:/g/personal/eswmr3_emb_gov_ph/IQCAVxiIc-99TaOdfKCj2l4zAQKMPl3igA2xNSpjL7qjuWg?e=bJ3gJI" TargetMode="External"/><Relationship Id="rId17" Type="http://schemas.openxmlformats.org/officeDocument/2006/relationships/hyperlink" Target="../../../../../../:w:/g/personal/eswmr3_emb_gov_ph/IQAgMCluM58-SqQi5zpZbqF0AXvustCA0W3GmUhPUmg582k?e=gilkhF" TargetMode="External"/><Relationship Id="rId2" Type="http://schemas.openxmlformats.org/officeDocument/2006/relationships/hyperlink" Target="../../../../../../:w:/g/personal/eswmr3_emb_gov_ph/IQA5WfPi4zdFQrvzvXbj5kDRAVPSzQ2YO7TZTs8ks-501do?e=sPDram" TargetMode="External"/><Relationship Id="rId16" Type="http://schemas.openxmlformats.org/officeDocument/2006/relationships/hyperlink" Target="../../../../../../:w:/g/personal/eswmr3_emb_gov_ph/IQBQM3HpC3GtQLTiWy-TFxP4AZLt3PRtwRxxBpO5-qYEMhk?e=W0qafE" TargetMode="External"/><Relationship Id="rId20" Type="http://schemas.openxmlformats.org/officeDocument/2006/relationships/vmlDrawing" Target="../drawings/vmlDrawing1.vml"/><Relationship Id="rId1" Type="http://schemas.openxmlformats.org/officeDocument/2006/relationships/hyperlink" Target="../../../../../../:w:/g/personal/eswmr3_emb_gov_ph/IQD7bEqKn0GsTI_TzqPuNDVXAc0qXRdO4blA_DzluhQNwt8?e=94dpdL" TargetMode="External"/><Relationship Id="rId6" Type="http://schemas.openxmlformats.org/officeDocument/2006/relationships/hyperlink" Target="../../../../../../:w:/g/personal/eswmr3_emb_gov_ph/IQCq3Z8yK6pDRY7xfHsHb-yrAfdaJkvE8BTLGFYFPAFowPU?e=OG5PVQ" TargetMode="External"/><Relationship Id="rId11" Type="http://schemas.openxmlformats.org/officeDocument/2006/relationships/hyperlink" Target="../../../../../../:w:/g/personal/eswmr3_emb_gov_ph/IQCCMRVJHkFtTpBAW4auNqw0AeoYIbp0vUlDQI8y7u51Nu0?e=hpwmc6" TargetMode="External"/><Relationship Id="rId5" Type="http://schemas.openxmlformats.org/officeDocument/2006/relationships/hyperlink" Target="../../../../../../:w:/g/personal/eswmr3_emb_gov_ph/IQAoXqD_P-YDQoQvY1444AYSAcRHbghpemlxV3Ql5FKXax8?e=jvcigM" TargetMode="External"/><Relationship Id="rId15" Type="http://schemas.openxmlformats.org/officeDocument/2006/relationships/hyperlink" Target="../../../../../../:w:/g/personal/eswmr3_emb_gov_ph/IQB2HswZFbenQJlrQ5OvuLOhAUT0Ob9KeuZppjA1rXhA2X4?e=0xDsQ8" TargetMode="External"/><Relationship Id="rId10" Type="http://schemas.openxmlformats.org/officeDocument/2006/relationships/hyperlink" Target="../../../../../../:w:/g/personal/eswmr3_emb_gov_ph/IQCOPFe6Yq9yQq33emuhsx8bAXsrfWBFLLqp4Xok8WBmUNk?e=SqsoGj" TargetMode="External"/><Relationship Id="rId19" Type="http://schemas.openxmlformats.org/officeDocument/2006/relationships/hyperlink" Target="../../../../../../:w:/g/personal/eswmr3_emb_gov_ph/IQDbaHxfL6VJR4M9sCxscKgRAQPjPXK81XVQK8jD1sItViE?e=DMh4KK" TargetMode="External"/><Relationship Id="rId4" Type="http://schemas.openxmlformats.org/officeDocument/2006/relationships/hyperlink" Target="../../../../../../:w:/g/personal/eswmr3_emb_gov_ph/IQCyadJTiBCdTraSzEK4FCgcAaqdsntGbrIKiw5WLFauhOQ?e=vL0aPp" TargetMode="External"/><Relationship Id="rId9" Type="http://schemas.openxmlformats.org/officeDocument/2006/relationships/hyperlink" Target="../../../../../../:w:/g/personal/eswmr3_emb_gov_ph/IQAHn3vp5f4nQrQ43iUpqvvmAU99LfYW1ONFGthYz21oHfE?e=hWfGHC" TargetMode="External"/><Relationship Id="rId14" Type="http://schemas.openxmlformats.org/officeDocument/2006/relationships/hyperlink" Target="../../../../../../:w:/g/personal/eswmr3_emb_gov_ph/IQDp0hTYADdoS5Hr2gs2pslnATByESpmqmHy-VmQpc7i-Yo?e=oS6hRb"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w:/g/personal/eswmr3_emb_gov_ph/IQBzIGae-ZoiQYo4Ej4CvLR3AcUtEHlvx2TTR0XNmUZkmFQ?e=Cn9XuZ" TargetMode="External"/><Relationship Id="rId13" Type="http://schemas.openxmlformats.org/officeDocument/2006/relationships/hyperlink" Target="../../../../../../:w:/g/personal/eswmr3_emb_gov_ph/IQDmiAEOWoA5TICVNYuIX7oQAYbBk5z0pUOWpiCpZPt1x_s?e=vyM27X" TargetMode="External"/><Relationship Id="rId18" Type="http://schemas.openxmlformats.org/officeDocument/2006/relationships/printerSettings" Target="../printerSettings/printerSettings1.bin"/><Relationship Id="rId3" Type="http://schemas.openxmlformats.org/officeDocument/2006/relationships/hyperlink" Target="../../../../../../:w:/g/personal/eswmr3_emb_gov_ph/IQATxYnWcWFBR6ntBIhwVQvTAevTLLXNlKNRp3BUOPF269A?e=dvco6t" TargetMode="External"/><Relationship Id="rId21" Type="http://schemas.microsoft.com/office/2017/10/relationships/threadedComment" Target="../threadedComments/threadedComment1.xml"/><Relationship Id="rId7" Type="http://schemas.openxmlformats.org/officeDocument/2006/relationships/hyperlink" Target="../../../../../../:w:/g/personal/eswmr3_emb_gov_ph/IQCrq8yD-9zgRYo_CnBgc3JwAXW5C7jjkDK0zNir7n04ypA?e=kdITBn" TargetMode="External"/><Relationship Id="rId12" Type="http://schemas.openxmlformats.org/officeDocument/2006/relationships/hyperlink" Target="../../../../../../:w:/g/personal/eswmr3_emb_gov_ph/IQAaIzPQAdOpSblYMaAIxTrOAViKZlSSh19qi5n3R8g3Fug?e=tNY4Uq" TargetMode="External"/><Relationship Id="rId17" Type="http://schemas.openxmlformats.org/officeDocument/2006/relationships/hyperlink" Target="../../../../../../:w:/g/personal/eswmr3_emb_gov_ph/IQDD4f04XQcgSYOEbGd72zeOATIn86sOI-5cUuHBPRjLg3M?e=9pHWTO" TargetMode="External"/><Relationship Id="rId2" Type="http://schemas.openxmlformats.org/officeDocument/2006/relationships/hyperlink" Target="../../../../../../:w:/g/personal/eswmr3_emb_gov_ph/IQATxYnWcWFBR6ntBIhwVQvTAevTLLXNlKNRp3BUOPF269A?e=dvco6t" TargetMode="External"/><Relationship Id="rId16" Type="http://schemas.openxmlformats.org/officeDocument/2006/relationships/hyperlink" Target="../../../../../../:w:/g/personal/eswmr3_emb_gov_ph/IQADS3wcWNwsTaexAkO_kT3nAf8i2fZB-d2qfLs1PVQY6Zg?e=v3CNgW" TargetMode="External"/><Relationship Id="rId20" Type="http://schemas.openxmlformats.org/officeDocument/2006/relationships/comments" Target="../comments2.xml"/><Relationship Id="rId1" Type="http://schemas.openxmlformats.org/officeDocument/2006/relationships/hyperlink" Target="../../../../../../:w:/g/personal/eswmr3_emb_gov_ph/IQBGHioor-MSSJwMAqN8db4PARdBONPqcCDUZ7rATf_Riuw?e=JRdVwL" TargetMode="External"/><Relationship Id="rId6" Type="http://schemas.openxmlformats.org/officeDocument/2006/relationships/hyperlink" Target="../../../../../../:w:/g/personal/eswmr3_emb_gov_ph/IQAO5Q4md6I7RrvDBL1kMUaOAYUFCDkx0tDP5q5G6shCMu0?e=RlF4ow" TargetMode="External"/><Relationship Id="rId11" Type="http://schemas.openxmlformats.org/officeDocument/2006/relationships/hyperlink" Target="../../../../../../:w:/g/personal/eswmr3_emb_gov_ph/IQDGOIigIqYIRp92spdOFP9fAQu3D_NrZECd7k9M-xVHHqY?e=uMxKyJ" TargetMode="External"/><Relationship Id="rId5" Type="http://schemas.openxmlformats.org/officeDocument/2006/relationships/hyperlink" Target="../../../../../../:w:/g/personal/eswmr3_emb_gov_ph/IQD9oLbo0KlDS5xQ9QDnadDSAa4h3YHxSTDXep5IBPnUY8Q?e=0dgyk0" TargetMode="External"/><Relationship Id="rId15" Type="http://schemas.openxmlformats.org/officeDocument/2006/relationships/hyperlink" Target="../../../../../../:w:/g/personal/eswmr3_emb_gov_ph/IQA3Ea8hTt7yQ4sVG5j-IFbFAUZdJagNWmR5TjPeFVVK2IY?e=4azSz4" TargetMode="External"/><Relationship Id="rId10" Type="http://schemas.openxmlformats.org/officeDocument/2006/relationships/hyperlink" Target="../../../../../../:w:/g/personal/eswmr3_emb_gov_ph/IQBo9Bub6MHTTrA2JRn3gbTqAY8PP-5Wg73gkxe4FU7hh5g?e=s4jZTk" TargetMode="External"/><Relationship Id="rId19" Type="http://schemas.openxmlformats.org/officeDocument/2006/relationships/vmlDrawing" Target="../drawings/vmlDrawing2.vml"/><Relationship Id="rId4" Type="http://schemas.openxmlformats.org/officeDocument/2006/relationships/hyperlink" Target="../../../../../../:w:/g/personal/eswmr3_emb_gov_ph/IQCafMGtJtv8QruYylnMGz3QAfITuShEc0gugkArm5ovznM?e=TH1hLt" TargetMode="External"/><Relationship Id="rId9" Type="http://schemas.openxmlformats.org/officeDocument/2006/relationships/hyperlink" Target="../../../../../../:w:/g/personal/eswmr3_emb_gov_ph/IQCIg2KVghdkTIIYCLM0gFeaAdwWp1-e6e57rggX_kmkDyc?e=E81uzu" TargetMode="External"/><Relationship Id="rId14" Type="http://schemas.openxmlformats.org/officeDocument/2006/relationships/hyperlink" Target="../../../../../../:w:/g/personal/eswmr3_emb_gov_ph/IQAhj2GLY3MwR5Bi51a1WS7DAQtvJwdzYUbKXtQ7BUDbX4Q?e=teUCy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w:/g/personal/eswmr3_emb_gov_ph/IQCO8xzybm5LTbFJHIc2jl6iAdzxS8cYGlCDrf_6mJNc0tw?e=ZAKcy1"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w:/g/personal/eswmr3_emb_gov_ph/IQA1Id1nb0-nRawdkycXaUtzATtLy0GRa4HVTY1WcIrhPro?e=doKOk5" TargetMode="External"/><Relationship Id="rId13" Type="http://schemas.openxmlformats.org/officeDocument/2006/relationships/hyperlink" Target="../../../../../../:w:/g/personal/eswmr3_emb_gov_ph/IQBnr-qhiU2dQrtXKXgC51TkAbR2HYQrXXKR-r6OR1aqUys?e=6K1TIi" TargetMode="External"/><Relationship Id="rId18" Type="http://schemas.openxmlformats.org/officeDocument/2006/relationships/hyperlink" Target="../../../../../../:w:/g/personal/eswmr3_emb_gov_ph/IQDIM6vS7Nf7TZ5LdTPf8np2AXkkdzRAIR17GHNvBeYX1fE?e=oHwTYF" TargetMode="External"/><Relationship Id="rId3" Type="http://schemas.openxmlformats.org/officeDocument/2006/relationships/hyperlink" Target="../../../../../../:w:/g/personal/eswmr3_emb_gov_ph/IQBowGx3oaSATJPlkVFzf5mRAfEujSo0EGoJuhskuYoB-ns?e=74JeRJ" TargetMode="External"/><Relationship Id="rId21" Type="http://schemas.openxmlformats.org/officeDocument/2006/relationships/vmlDrawing" Target="../drawings/vmlDrawing3.vml"/><Relationship Id="rId7" Type="http://schemas.openxmlformats.org/officeDocument/2006/relationships/hyperlink" Target="../../../../../../:w:/g/personal/eswmr3_emb_gov_ph/IQDQsYyYk23LSJCC9_sioTydAXMmIOgBYuCfxmTTUQKZmDA?e=r8jBxv" TargetMode="External"/><Relationship Id="rId12" Type="http://schemas.openxmlformats.org/officeDocument/2006/relationships/hyperlink" Target="../../../../../../:w:/g/personal/eswmr3_emb_gov_ph/IQB64ztTKWyjTbVZ1u92JNGIAQCRzWjfKUcDgF_VnwzJANI?e=tCRiDR" TargetMode="External"/><Relationship Id="rId17" Type="http://schemas.openxmlformats.org/officeDocument/2006/relationships/hyperlink" Target="../../../../../../:w:/g/personal/eswmr3_emb_gov_ph/IQDuEUXAqc7VQ7fUuRPT8zmFARDTkfGl0ssKEDveybk4c1Y?e=vgvdsW" TargetMode="External"/><Relationship Id="rId2" Type="http://schemas.openxmlformats.org/officeDocument/2006/relationships/hyperlink" Target="../../../../../../:w:/g/personal/eswmr3_emb_gov_ph/IQCCZIfblcVtSZCjP5QJCNSEAWtoe9ryDWci9gl_Fz7ACCs?e=YiVjLp" TargetMode="External"/><Relationship Id="rId16" Type="http://schemas.openxmlformats.org/officeDocument/2006/relationships/hyperlink" Target="../../../../../../:w:/g/personal/eswmr3_emb_gov_ph/IQCADtk_CEk7Tb1lYqV3Pm8wAQ5gwlZ-pPR3P2x1fzs0EW4?e=bZQRqh" TargetMode="External"/><Relationship Id="rId20" Type="http://schemas.openxmlformats.org/officeDocument/2006/relationships/hyperlink" Target="../../../../../../:w:/g/personal/eswmr3_emb_gov_ph/IQDBh-bIMmIzTrkBqs16oEu1AQxorYwBJkXbAJmGdE2fhbw?e=IwRUn2" TargetMode="External"/><Relationship Id="rId1" Type="http://schemas.openxmlformats.org/officeDocument/2006/relationships/hyperlink" Target="../../../../../../:w:/g/personal/eswmr3_emb_gov_ph/IQDe8cYyQ-8KTLtGVAqkYDptAbC_96q55_wgYl0vpEZy1Zw?e=fPKihB" TargetMode="External"/><Relationship Id="rId6" Type="http://schemas.openxmlformats.org/officeDocument/2006/relationships/hyperlink" Target="../../../../../../:w:/g/personal/eswmr3_emb_gov_ph/IQBJCCzeuPOpTbhj3iFPIjuQAbStU3ezN83Zgr0YOZlSLSE?e=WKLmme" TargetMode="External"/><Relationship Id="rId11" Type="http://schemas.openxmlformats.org/officeDocument/2006/relationships/hyperlink" Target="../../../../../../:w:/g/personal/eswmr3_emb_gov_ph/IQBx31Q_IljvT4YsvMbhGz_mAbB6u_aBGcqyl__mt0xLs1I?e=bDKAci" TargetMode="External"/><Relationship Id="rId5" Type="http://schemas.openxmlformats.org/officeDocument/2006/relationships/hyperlink" Target="../../../../../../:w:/g/personal/eswmr3_emb_gov_ph/IQBsheCTZ_zKR7HkBc0Pb6LvAS4B1mJ_8HJ0ATzcZYiPKGM?e=JiKrWm" TargetMode="External"/><Relationship Id="rId15" Type="http://schemas.openxmlformats.org/officeDocument/2006/relationships/hyperlink" Target="../../../../../../:w:/g/personal/eswmr3_emb_gov_ph/IQAxnCHmMYrqSL8zcHixwE4LAQZIS6x_BUOM1DY7EZJhjEs?e=oAnIgb" TargetMode="External"/><Relationship Id="rId10" Type="http://schemas.openxmlformats.org/officeDocument/2006/relationships/hyperlink" Target="../../../../../../:w:/g/personal/eswmr3_emb_gov_ph/IQCXRxGQpQU4Sb4Ffew1xqaJAWvUoCMtAfFfe2jLn2HbsgA?e=pbfnQY" TargetMode="External"/><Relationship Id="rId19" Type="http://schemas.openxmlformats.org/officeDocument/2006/relationships/hyperlink" Target="../../../../../../:w:/g/personal/eswmr3_emb_gov_ph/IQCe8M7lV9rrT6pub1ft5GhMAcNMXBAxMC0VTz2AyoS-08w?e=rhA3Qf" TargetMode="External"/><Relationship Id="rId4" Type="http://schemas.openxmlformats.org/officeDocument/2006/relationships/hyperlink" Target="../../../../../../:w:/g/personal/eswmr3_emb_gov_ph/IQBjpv9MtRxuTo58YxE040UDAdX5VUzZmnHSWyrEMjtraoU?e=KNr9na" TargetMode="External"/><Relationship Id="rId9" Type="http://schemas.openxmlformats.org/officeDocument/2006/relationships/hyperlink" Target="../../../../../../:w:/g/personal/eswmr3_emb_gov_ph/IQC3py2t64JuRaOEdC4PxTL6Ab7FC012jkMgbGmtt4unBHc?e=83seoi" TargetMode="External"/><Relationship Id="rId14" Type="http://schemas.openxmlformats.org/officeDocument/2006/relationships/hyperlink" Target="../../../../../../:w:/g/personal/eswmr3_emb_gov_ph/IQCN7PXYX7KdTbPH0CRsDok5ARqX9ScnJWtpiU5gC54S6UQ?e=5T9TeU" TargetMode="External"/><Relationship Id="rId22"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8" Type="http://schemas.openxmlformats.org/officeDocument/2006/relationships/hyperlink" Target="../../../../../../:w:/g/personal/eswmr3_emb_gov_ph/IQAy39OAb2wCS6JBFr5eZmwaAWv4Whxkfl7ITAezwlsyHK8?e=YHirQ5" TargetMode="External"/><Relationship Id="rId13" Type="http://schemas.openxmlformats.org/officeDocument/2006/relationships/hyperlink" Target="../../../../../../:w:/g/personal/eswmr3_emb_gov_ph/IQDy2yDnh69oRanAfbS9MqutAXTuBVwIkvCwJIMfjlrv3d0?e=fYWH7f" TargetMode="External"/><Relationship Id="rId3" Type="http://schemas.openxmlformats.org/officeDocument/2006/relationships/hyperlink" Target="../../../../../../:w:/g/personal/eswmr3_emb_gov_ph/IQALxb1MT9U9S7F08pxweUHOAbWdhDUKw-hMvLjGiTPBfHM?e=EjVDjB" TargetMode="External"/><Relationship Id="rId7" Type="http://schemas.openxmlformats.org/officeDocument/2006/relationships/hyperlink" Target="../../../../../../:w:/g/personal/eswmr3_emb_gov_ph/IQBcL3O2-MQLRKhg8ROxoxKOAaKfxEKZfQBKN6yYLJlCCEg?e=TkC6td" TargetMode="External"/><Relationship Id="rId12" Type="http://schemas.openxmlformats.org/officeDocument/2006/relationships/hyperlink" Target="../../../../../../:w:/g/personal/eswmr3_emb_gov_ph/IQAPGBSHd_sbQpRdj6L1regOAYEpWbOamHPdub4G33KJEXI?e=TT5sa4" TargetMode="External"/><Relationship Id="rId2" Type="http://schemas.openxmlformats.org/officeDocument/2006/relationships/hyperlink" Target="../../../../../../:w:/g/personal/eswmr3_emb_gov_ph/IQBO_L1BDCUhTbVYFyS3gV7EASiRZihT7X7Mdh743C0cpWw?e=ECeiJS" TargetMode="External"/><Relationship Id="rId16" Type="http://schemas.openxmlformats.org/officeDocument/2006/relationships/comments" Target="../comments4.xml"/><Relationship Id="rId1" Type="http://schemas.openxmlformats.org/officeDocument/2006/relationships/hyperlink" Target="../../../../../../:w:/g/personal/eswmr3_emb_gov_ph/IQCCW2h6RQkGTbMDNsB8pFRrASk6ci5dP2NJTfKto8er1ZI?e=vKiyD6" TargetMode="External"/><Relationship Id="rId6" Type="http://schemas.openxmlformats.org/officeDocument/2006/relationships/hyperlink" Target="../../../../../../:w:/g/personal/eswmr3_emb_gov_ph/IQA_xWa8XitmTpCBFoGiVFDIAaCfQaiyLEW5BwKkse21N-o?e=HaXUJy" TargetMode="External"/><Relationship Id="rId11" Type="http://schemas.openxmlformats.org/officeDocument/2006/relationships/hyperlink" Target="../../../../../../:w:/g/personal/eswmr3_emb_gov_ph/IQA_focP4uidTIfaGdsWtTdZAdkrHPkRT2e-tcqthC9tUl4?e=flvx96" TargetMode="External"/><Relationship Id="rId5" Type="http://schemas.openxmlformats.org/officeDocument/2006/relationships/hyperlink" Target="../../../../../../:w:/g/personal/eswmr3_emb_gov_ph/IQAs6BCJdDx9QK2okcp_2r7DASOTrCA5hlpCFls5BVvwJ4k?e=muxASC" TargetMode="External"/><Relationship Id="rId15" Type="http://schemas.openxmlformats.org/officeDocument/2006/relationships/vmlDrawing" Target="../drawings/vmlDrawing4.vml"/><Relationship Id="rId10" Type="http://schemas.openxmlformats.org/officeDocument/2006/relationships/hyperlink" Target="../../../../../../:w:/g/personal/eswmr3_emb_gov_ph/IQAS57pusY7URbNu4fMqPG9YAfWCLwzBbJvU6CghsAREYvg?e=awGSV9" TargetMode="External"/><Relationship Id="rId4" Type="http://schemas.openxmlformats.org/officeDocument/2006/relationships/hyperlink" Target="../../../../../../:w:/g/personal/eswmr3_emb_gov_ph/IQCxzBiUzp9oTb_IexLIIqYEAfbwJcfmKABX2verTxP251U?e=mIIt5F" TargetMode="External"/><Relationship Id="rId9" Type="http://schemas.openxmlformats.org/officeDocument/2006/relationships/hyperlink" Target="../../../../../../:w:/g/personal/eswmr3_emb_gov_ph/IQD1g6BzoTB_SY1n4QjSWSSoAYjBl4tM987CqcKfiruMTwo?e=eOqNU5" TargetMode="External"/><Relationship Id="rId14"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3" Type="http://schemas.openxmlformats.org/officeDocument/2006/relationships/hyperlink" Target="../../../../../../:w:/g/personal/eswmr3_emb_gov_ph/IQBoEIB231QVQKwco0j5OmhhAQsfCuSlvcgTFhF0VvsFsks?e=HFxGMf" TargetMode="External"/><Relationship Id="rId7" Type="http://schemas.openxmlformats.org/officeDocument/2006/relationships/comments" Target="../comments5.xml"/><Relationship Id="rId2" Type="http://schemas.openxmlformats.org/officeDocument/2006/relationships/hyperlink" Target="../../../../../../:w:/g/personal/eswmr3_emb_gov_ph/IQCVShKxfLMlQaowllLwh9gYAdW11SX1c1glSA17gwLx1bA?e=L0aB2v" TargetMode="External"/><Relationship Id="rId1" Type="http://schemas.openxmlformats.org/officeDocument/2006/relationships/hyperlink" Target="../../../../../../:w:/g/personal/eswmr3_emb_gov_ph/IQAqEyUShBC5SZ3B_Xg7kbQ-Aa64MLg3JGGD1mhBcKMGQgk?e=ThaENm" TargetMode="External"/><Relationship Id="rId6" Type="http://schemas.openxmlformats.org/officeDocument/2006/relationships/vmlDrawing" Target="../drawings/vmlDrawing5.vml"/><Relationship Id="rId5" Type="http://schemas.openxmlformats.org/officeDocument/2006/relationships/hyperlink" Target="../../../../../../:w:/g/personal/eswmr3_emb_gov_ph/IQC5g2TkWQ4jS5T-35I9Jfx2AdBrfkkXtYpJNK0sE-liQIs?e=WvhUGQ" TargetMode="External"/><Relationship Id="rId4" Type="http://schemas.openxmlformats.org/officeDocument/2006/relationships/hyperlink" Target="../../../../../../:w:/g/personal/eswmr3_emb_gov_ph/IQB-pXqoHpZTQolCTz8S-QH6AbWYzVIQeXdEH181slmpDJM?e=OhrO9l"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w:/g/personal/eswmr3_emb_gov_ph/IQCvICfLLkb8S6zAJoLFuk1vAUAn6C8aXavful6doKZNptU?e=0yvPgS" TargetMode="Externa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w:/g/personal/eswmr3_emb_gov_ph/IQCw7WpdGHoyQ4wcsb7CYjlZATeUc1T8X--SjG3j1S2xQ-c?e=wStYu5" TargetMode="External"/><Relationship Id="rId1" Type="http://schemas.openxmlformats.org/officeDocument/2006/relationships/hyperlink" Target="../../../../../../:w:/g/personal/eswmr3_emb_gov_ph/IQAuGNi1vEXxSIbkOOAAjT5iAcF8ZjJNEL8pe70MQ0EDaiI?e=yPqwwu" TargetMode="External"/><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hyperlink" Target="../../../../../../:w:/g/personal/eswmr3_emb_gov_ph/IQC1cctMtJZGQp5iTb07I9H8Af_dqUazbUrgBrF00fdA18A?e=pS7jbO" TargetMode="External"/><Relationship Id="rId1" Type="http://schemas.openxmlformats.org/officeDocument/2006/relationships/hyperlink" Target="../../../../../../:w:/g/personal/eswmr3_emb_gov_ph/IQDrFRm0YGPLR4e3WZSMSxNeATkTbUvzNZZN6zlyBourRrQ?e=ck1DQh" TargetMode="External"/><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7A285-3E9E-451A-9709-44396F07AAC3}">
  <sheetPr codeName="Sheet1"/>
  <dimension ref="A1:L26"/>
  <sheetViews>
    <sheetView workbookViewId="0">
      <selection activeCell="E17" sqref="E17"/>
    </sheetView>
  </sheetViews>
  <sheetFormatPr defaultRowHeight="15"/>
  <cols>
    <col min="2" max="2" width="17.28515625" customWidth="1"/>
    <col min="3" max="3" width="22.42578125" bestFit="1" customWidth="1"/>
    <col min="4" max="4" width="11.5703125" bestFit="1" customWidth="1"/>
    <col min="5" max="5" width="10.28515625" customWidth="1"/>
    <col min="6" max="6" width="10.85546875" customWidth="1"/>
    <col min="7" max="7" width="8.28515625" customWidth="1"/>
    <col min="8" max="8" width="7.5703125" customWidth="1"/>
    <col min="9" max="9" width="14.42578125" customWidth="1"/>
    <col min="11" max="11" width="12.140625" customWidth="1"/>
    <col min="12" max="12" width="30.28515625" customWidth="1"/>
  </cols>
  <sheetData>
    <row r="1" spans="1:12">
      <c r="A1" s="27" t="s">
        <v>0</v>
      </c>
      <c r="B1" s="16" t="s">
        <v>1</v>
      </c>
      <c r="C1" s="16" t="s">
        <v>2</v>
      </c>
      <c r="D1" s="28" t="s">
        <v>3</v>
      </c>
      <c r="E1" s="28" t="s">
        <v>4</v>
      </c>
      <c r="F1" s="28" t="s">
        <v>5</v>
      </c>
      <c r="G1" s="28" t="s">
        <v>6</v>
      </c>
      <c r="H1" s="28" t="s">
        <v>7</v>
      </c>
      <c r="I1" s="29" t="s">
        <v>8</v>
      </c>
      <c r="J1" s="29" t="s">
        <v>9</v>
      </c>
      <c r="K1" s="29" t="s">
        <v>10</v>
      </c>
      <c r="L1" s="29" t="s">
        <v>11</v>
      </c>
    </row>
    <row r="2" spans="1:12">
      <c r="A2" s="27">
        <v>1</v>
      </c>
      <c r="B2" s="16" t="s">
        <v>12</v>
      </c>
      <c r="C2" s="16" t="s">
        <v>13</v>
      </c>
      <c r="D2" s="27">
        <v>4</v>
      </c>
      <c r="E2" s="27">
        <v>12</v>
      </c>
      <c r="F2" s="27">
        <v>3</v>
      </c>
      <c r="G2" s="27">
        <v>1</v>
      </c>
      <c r="H2" s="27">
        <v>1</v>
      </c>
      <c r="I2" s="27"/>
      <c r="J2" s="27">
        <v>2</v>
      </c>
      <c r="K2" s="27"/>
      <c r="L2" s="27">
        <v>1</v>
      </c>
    </row>
    <row r="3" spans="1:12">
      <c r="A3" s="27">
        <v>2</v>
      </c>
      <c r="B3" s="16" t="s">
        <v>12</v>
      </c>
      <c r="C3" s="16" t="s">
        <v>14</v>
      </c>
      <c r="D3" s="27">
        <v>2</v>
      </c>
      <c r="E3" s="27">
        <v>4</v>
      </c>
      <c r="F3" s="27">
        <v>2</v>
      </c>
      <c r="G3" s="27"/>
      <c r="H3" s="27">
        <v>2</v>
      </c>
      <c r="I3" s="27"/>
      <c r="J3" s="27"/>
      <c r="K3" s="27"/>
      <c r="L3" s="27">
        <v>1</v>
      </c>
    </row>
    <row r="4" spans="1:12">
      <c r="A4" s="27">
        <v>3</v>
      </c>
      <c r="B4" s="16" t="s">
        <v>12</v>
      </c>
      <c r="C4" s="16" t="s">
        <v>15</v>
      </c>
      <c r="D4" s="27">
        <v>3</v>
      </c>
      <c r="E4" s="27">
        <v>3</v>
      </c>
      <c r="F4" s="27">
        <v>3</v>
      </c>
      <c r="G4" s="27"/>
      <c r="H4" s="27"/>
      <c r="I4" s="27"/>
      <c r="J4" s="27">
        <v>3</v>
      </c>
      <c r="K4" s="27"/>
      <c r="L4" s="27">
        <v>1</v>
      </c>
    </row>
    <row r="5" spans="1:12">
      <c r="A5" s="27">
        <v>4</v>
      </c>
      <c r="B5" s="16" t="s">
        <v>16</v>
      </c>
      <c r="C5" s="16" t="s">
        <v>17</v>
      </c>
      <c r="D5" s="27">
        <v>6</v>
      </c>
      <c r="E5" s="27">
        <v>10</v>
      </c>
      <c r="F5" s="27">
        <v>6</v>
      </c>
      <c r="G5" s="27">
        <v>2</v>
      </c>
      <c r="H5" s="27">
        <v>3</v>
      </c>
      <c r="I5" s="27"/>
      <c r="J5" s="27"/>
      <c r="K5" s="27"/>
      <c r="L5" s="27">
        <v>1</v>
      </c>
    </row>
    <row r="6" spans="1:12">
      <c r="A6" s="27">
        <v>5</v>
      </c>
      <c r="B6" s="16" t="s">
        <v>16</v>
      </c>
      <c r="C6" s="16" t="s">
        <v>18</v>
      </c>
      <c r="D6" s="27">
        <v>4</v>
      </c>
      <c r="E6" s="27">
        <v>4</v>
      </c>
      <c r="F6" s="27">
        <v>4</v>
      </c>
      <c r="G6" s="27">
        <v>3</v>
      </c>
      <c r="H6" s="27"/>
      <c r="I6" s="27"/>
      <c r="J6" s="27"/>
      <c r="K6" s="27"/>
      <c r="L6" s="27">
        <v>1</v>
      </c>
    </row>
    <row r="7" spans="1:12">
      <c r="A7" s="27">
        <v>6</v>
      </c>
      <c r="B7" s="16" t="s">
        <v>16</v>
      </c>
      <c r="C7" s="16" t="s">
        <v>19</v>
      </c>
      <c r="D7" s="27">
        <v>3</v>
      </c>
      <c r="E7" s="27">
        <v>12</v>
      </c>
      <c r="F7" s="27">
        <v>3</v>
      </c>
      <c r="G7" s="27">
        <v>2</v>
      </c>
      <c r="H7" s="27"/>
      <c r="I7" s="27">
        <v>1</v>
      </c>
      <c r="J7" s="27">
        <v>2</v>
      </c>
      <c r="K7" s="27"/>
      <c r="L7" s="27"/>
    </row>
    <row r="8" spans="1:12">
      <c r="A8" s="27">
        <v>7</v>
      </c>
      <c r="B8" s="16" t="s">
        <v>20</v>
      </c>
      <c r="C8" s="16" t="s">
        <v>21</v>
      </c>
      <c r="D8" s="27">
        <v>5</v>
      </c>
      <c r="E8" s="27">
        <v>7</v>
      </c>
      <c r="F8" s="27">
        <v>6</v>
      </c>
      <c r="G8" s="27"/>
      <c r="H8" s="27"/>
      <c r="I8" s="27">
        <v>3</v>
      </c>
      <c r="J8" s="27"/>
      <c r="K8" s="27">
        <v>21</v>
      </c>
      <c r="L8" s="27"/>
    </row>
    <row r="9" spans="1:12">
      <c r="A9" s="27">
        <v>8</v>
      </c>
      <c r="B9" s="16" t="s">
        <v>20</v>
      </c>
      <c r="C9" s="16" t="s">
        <v>22</v>
      </c>
      <c r="D9" s="27">
        <v>5</v>
      </c>
      <c r="E9" s="27">
        <v>5</v>
      </c>
      <c r="F9" s="27">
        <v>5</v>
      </c>
      <c r="G9" s="27">
        <v>2</v>
      </c>
      <c r="H9" s="27"/>
      <c r="I9" s="27">
        <v>2</v>
      </c>
      <c r="J9" s="27"/>
      <c r="K9" s="27">
        <v>8</v>
      </c>
      <c r="L9" s="27"/>
    </row>
    <row r="10" spans="1:12">
      <c r="A10" s="27">
        <v>9</v>
      </c>
      <c r="B10" s="16" t="s">
        <v>20</v>
      </c>
      <c r="C10" s="26" t="s">
        <v>23</v>
      </c>
      <c r="D10" s="27"/>
      <c r="E10" s="27"/>
      <c r="F10" s="27"/>
      <c r="G10" s="27"/>
      <c r="H10" s="27"/>
      <c r="I10" s="27"/>
      <c r="J10" s="27"/>
      <c r="K10" s="27"/>
      <c r="L10" s="27"/>
    </row>
    <row r="11" spans="1:12">
      <c r="A11" s="27">
        <v>10</v>
      </c>
      <c r="B11" s="16" t="s">
        <v>20</v>
      </c>
      <c r="C11" s="16" t="s">
        <v>24</v>
      </c>
      <c r="D11" s="27">
        <v>6</v>
      </c>
      <c r="E11" s="27">
        <v>8</v>
      </c>
      <c r="F11" s="27">
        <v>6</v>
      </c>
      <c r="G11" s="27">
        <v>2</v>
      </c>
      <c r="H11" s="27"/>
      <c r="I11" s="27"/>
      <c r="J11" s="27"/>
      <c r="K11" s="27">
        <v>7</v>
      </c>
      <c r="L11" s="27">
        <v>2</v>
      </c>
    </row>
    <row r="12" spans="1:12">
      <c r="A12" s="27">
        <v>11</v>
      </c>
      <c r="B12" s="16" t="s">
        <v>25</v>
      </c>
      <c r="C12" s="16" t="s">
        <v>26</v>
      </c>
      <c r="D12" s="27">
        <v>6</v>
      </c>
      <c r="E12" s="27">
        <v>6</v>
      </c>
      <c r="F12" s="27">
        <v>7</v>
      </c>
      <c r="G12" s="27">
        <v>4</v>
      </c>
      <c r="H12" s="27"/>
      <c r="I12" s="27">
        <v>6</v>
      </c>
      <c r="J12" s="27"/>
      <c r="K12" s="27"/>
      <c r="L12" s="27">
        <v>2</v>
      </c>
    </row>
    <row r="13" spans="1:12">
      <c r="A13" s="27">
        <v>12</v>
      </c>
      <c r="B13" s="16" t="s">
        <v>25</v>
      </c>
      <c r="C13" s="16" t="s">
        <v>27</v>
      </c>
      <c r="D13" s="27">
        <v>6</v>
      </c>
      <c r="E13" s="27">
        <v>6</v>
      </c>
      <c r="F13" s="27">
        <v>6</v>
      </c>
      <c r="G13" s="27">
        <v>5</v>
      </c>
      <c r="H13" s="27"/>
      <c r="I13" s="27">
        <v>6</v>
      </c>
      <c r="J13" s="27"/>
      <c r="K13" s="27"/>
      <c r="L13" s="27"/>
    </row>
    <row r="14" spans="1:12">
      <c r="A14" s="27">
        <v>13</v>
      </c>
      <c r="B14" s="16" t="s">
        <v>25</v>
      </c>
      <c r="C14" s="16" t="s">
        <v>28</v>
      </c>
      <c r="D14" s="27">
        <v>7</v>
      </c>
      <c r="E14" s="27">
        <v>9</v>
      </c>
      <c r="F14" s="27">
        <v>7</v>
      </c>
      <c r="G14" s="27"/>
      <c r="H14" s="27">
        <v>2</v>
      </c>
      <c r="I14" s="27">
        <v>4</v>
      </c>
      <c r="J14" s="27">
        <v>1</v>
      </c>
      <c r="K14" s="27"/>
      <c r="L14" s="27"/>
    </row>
    <row r="15" spans="1:12">
      <c r="A15" s="27">
        <v>14</v>
      </c>
      <c r="B15" s="16" t="s">
        <v>25</v>
      </c>
      <c r="C15" s="16" t="s">
        <v>29</v>
      </c>
      <c r="D15" s="27">
        <v>7</v>
      </c>
      <c r="E15" s="27">
        <v>10</v>
      </c>
      <c r="F15" s="27">
        <v>8</v>
      </c>
      <c r="G15" s="27">
        <v>1</v>
      </c>
      <c r="H15" s="27">
        <v>1</v>
      </c>
      <c r="I15" s="27">
        <v>3</v>
      </c>
      <c r="J15" s="27">
        <v>3</v>
      </c>
      <c r="K15" s="27"/>
      <c r="L15" s="27">
        <v>1</v>
      </c>
    </row>
    <row r="16" spans="1:12">
      <c r="A16" s="27">
        <v>15</v>
      </c>
      <c r="B16" s="16" t="s">
        <v>25</v>
      </c>
      <c r="C16" s="16" t="s">
        <v>30</v>
      </c>
      <c r="D16" s="27">
        <v>6</v>
      </c>
      <c r="E16" s="27">
        <v>7</v>
      </c>
      <c r="F16" s="27">
        <v>7</v>
      </c>
      <c r="G16" s="27">
        <v>4</v>
      </c>
      <c r="H16" s="27"/>
      <c r="I16" s="27">
        <v>6</v>
      </c>
      <c r="J16" s="27"/>
      <c r="K16" s="27">
        <v>11</v>
      </c>
      <c r="L16" s="27">
        <v>1</v>
      </c>
    </row>
    <row r="17" spans="1:12">
      <c r="A17" s="27">
        <v>16</v>
      </c>
      <c r="B17" s="16" t="s">
        <v>31</v>
      </c>
      <c r="C17" s="16" t="s">
        <v>32</v>
      </c>
      <c r="D17" s="27">
        <v>6</v>
      </c>
      <c r="E17" s="27">
        <v>7</v>
      </c>
      <c r="F17" s="27">
        <v>6</v>
      </c>
      <c r="G17" s="27">
        <v>6</v>
      </c>
      <c r="H17" s="27"/>
      <c r="I17" s="27"/>
      <c r="J17" s="27"/>
      <c r="K17" s="27">
        <v>8</v>
      </c>
      <c r="L17" s="27"/>
    </row>
    <row r="18" spans="1:12">
      <c r="A18" s="27">
        <v>17</v>
      </c>
      <c r="B18" s="16" t="s">
        <v>31</v>
      </c>
      <c r="C18" s="16" t="s">
        <v>33</v>
      </c>
      <c r="D18" s="27">
        <v>5</v>
      </c>
      <c r="E18" s="27">
        <v>6</v>
      </c>
      <c r="F18" s="27">
        <v>5</v>
      </c>
      <c r="G18" s="27"/>
      <c r="H18" s="27">
        <v>3</v>
      </c>
      <c r="I18" s="27">
        <v>2</v>
      </c>
      <c r="J18" s="27"/>
      <c r="K18" s="27">
        <v>31</v>
      </c>
      <c r="L18" s="27">
        <v>4</v>
      </c>
    </row>
    <row r="19" spans="1:12">
      <c r="A19" s="27">
        <v>18</v>
      </c>
      <c r="B19" s="16" t="s">
        <v>31</v>
      </c>
      <c r="C19" s="16" t="s">
        <v>34</v>
      </c>
      <c r="D19" s="27">
        <v>5</v>
      </c>
      <c r="E19" s="27">
        <v>6</v>
      </c>
      <c r="F19" s="27">
        <v>5</v>
      </c>
      <c r="G19" s="27">
        <v>4</v>
      </c>
      <c r="H19" s="27"/>
      <c r="I19" s="27">
        <v>2</v>
      </c>
      <c r="J19" s="27"/>
      <c r="K19" s="27">
        <v>14</v>
      </c>
      <c r="L19" s="27"/>
    </row>
    <row r="20" spans="1:12">
      <c r="A20" s="27">
        <v>19</v>
      </c>
      <c r="B20" s="16" t="s">
        <v>31</v>
      </c>
      <c r="C20" s="16" t="s">
        <v>35</v>
      </c>
      <c r="D20" s="27">
        <v>5</v>
      </c>
      <c r="E20" s="27">
        <v>4</v>
      </c>
      <c r="F20" s="27">
        <v>5</v>
      </c>
      <c r="G20" s="27">
        <v>2</v>
      </c>
      <c r="H20" s="27"/>
      <c r="I20" s="27">
        <v>2</v>
      </c>
      <c r="J20" s="27"/>
      <c r="K20" s="27">
        <v>13</v>
      </c>
      <c r="L20" s="27"/>
    </row>
    <row r="21" spans="1:12">
      <c r="A21" s="27">
        <v>20</v>
      </c>
      <c r="B21" s="16" t="s">
        <v>36</v>
      </c>
      <c r="C21" s="16" t="s">
        <v>37</v>
      </c>
      <c r="D21" s="27">
        <v>7</v>
      </c>
      <c r="E21" s="27">
        <v>6</v>
      </c>
      <c r="F21" s="27">
        <v>6</v>
      </c>
      <c r="G21" s="27">
        <v>1</v>
      </c>
      <c r="H21" s="27"/>
      <c r="I21" s="27">
        <v>1</v>
      </c>
      <c r="J21" s="27"/>
      <c r="K21" s="27"/>
      <c r="L21" s="27">
        <v>2</v>
      </c>
    </row>
    <row r="22" spans="1:12">
      <c r="A22" s="27">
        <v>21</v>
      </c>
      <c r="B22" s="16" t="s">
        <v>36</v>
      </c>
      <c r="C22" s="16" t="s">
        <v>38</v>
      </c>
      <c r="D22" s="27">
        <v>6</v>
      </c>
      <c r="E22" s="27">
        <v>5</v>
      </c>
      <c r="F22" s="27">
        <v>6</v>
      </c>
      <c r="G22" s="27">
        <v>1</v>
      </c>
      <c r="H22" s="27"/>
      <c r="I22" s="27"/>
      <c r="J22" s="27"/>
      <c r="K22" s="27"/>
      <c r="L22" s="27"/>
    </row>
    <row r="23" spans="1:12">
      <c r="A23" s="27">
        <v>22</v>
      </c>
      <c r="B23" s="16" t="s">
        <v>36</v>
      </c>
      <c r="C23" s="16" t="s">
        <v>39</v>
      </c>
      <c r="D23" s="27">
        <v>6</v>
      </c>
      <c r="E23" s="27">
        <v>7</v>
      </c>
      <c r="F23" s="27">
        <v>7</v>
      </c>
      <c r="G23" s="27"/>
      <c r="H23" s="27">
        <v>1</v>
      </c>
      <c r="I23" s="27"/>
      <c r="J23" s="27"/>
      <c r="K23" s="27"/>
      <c r="L23" s="27"/>
    </row>
    <row r="24" spans="1:12">
      <c r="A24" s="27">
        <v>23</v>
      </c>
      <c r="B24" s="16" t="s">
        <v>40</v>
      </c>
      <c r="C24" s="16" t="s">
        <v>41</v>
      </c>
      <c r="D24" s="27">
        <v>5</v>
      </c>
      <c r="E24" s="27">
        <v>5</v>
      </c>
      <c r="F24" s="27">
        <v>5</v>
      </c>
      <c r="G24" s="27">
        <v>2</v>
      </c>
      <c r="H24" s="27">
        <v>1</v>
      </c>
      <c r="I24" s="27">
        <v>2</v>
      </c>
      <c r="J24" s="27">
        <v>2</v>
      </c>
      <c r="K24" s="27"/>
      <c r="L24" s="27">
        <v>2</v>
      </c>
    </row>
    <row r="25" spans="1:12">
      <c r="A25" s="27">
        <v>24</v>
      </c>
      <c r="B25" s="16" t="s">
        <v>40</v>
      </c>
      <c r="C25" s="26" t="s">
        <v>23</v>
      </c>
      <c r="D25" s="27"/>
      <c r="E25" s="27"/>
      <c r="F25" s="27"/>
      <c r="G25" s="27"/>
      <c r="H25" s="27"/>
      <c r="I25" s="27"/>
      <c r="J25" s="27"/>
      <c r="K25" s="27"/>
      <c r="L25" s="27"/>
    </row>
    <row r="26" spans="1:12">
      <c r="A26" s="27">
        <v>25</v>
      </c>
      <c r="B26" s="16" t="s">
        <v>40</v>
      </c>
      <c r="C26" s="16" t="s">
        <v>42</v>
      </c>
      <c r="D26" s="27">
        <v>3</v>
      </c>
      <c r="E26" s="27">
        <v>12</v>
      </c>
      <c r="F26" s="27">
        <v>3</v>
      </c>
      <c r="G26" s="27">
        <v>1</v>
      </c>
      <c r="H26" s="27">
        <v>2</v>
      </c>
      <c r="I26" s="27"/>
      <c r="J26" s="27"/>
      <c r="K26" s="27"/>
      <c r="L26"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21DED-B80F-41AD-AD02-8992E39E4384}">
  <sheetPr codeName="Sheet14"/>
  <dimension ref="A3:W152"/>
  <sheetViews>
    <sheetView workbookViewId="0">
      <selection activeCell="Q162" sqref="Q162"/>
    </sheetView>
  </sheetViews>
  <sheetFormatPr defaultRowHeight="15"/>
  <cols>
    <col min="1" max="1" width="12" customWidth="1"/>
    <col min="2" max="2" width="16.42578125" bestFit="1" customWidth="1"/>
    <col min="3" max="3" width="6.7109375" bestFit="1" customWidth="1"/>
    <col min="4" max="4" width="8.5703125" bestFit="1" customWidth="1"/>
    <col min="5" max="5" width="7" bestFit="1" customWidth="1"/>
    <col min="6" max="6" width="6.85546875" customWidth="1"/>
    <col min="7" max="7" width="6.140625" customWidth="1"/>
    <col min="8" max="8" width="9" customWidth="1"/>
    <col min="9" max="9" width="12.5703125" bestFit="1" customWidth="1"/>
    <col min="10" max="10" width="11.140625" customWidth="1"/>
    <col min="11" max="11" width="11.7109375" bestFit="1" customWidth="1"/>
    <col min="12" max="12" width="12.140625" bestFit="1" customWidth="1"/>
    <col min="13" max="13" width="8.5703125" bestFit="1" customWidth="1"/>
    <col min="14" max="14" width="14" bestFit="1" customWidth="1"/>
    <col min="15" max="15" width="11.7109375" bestFit="1" customWidth="1"/>
    <col min="16" max="16" width="8.7109375" bestFit="1" customWidth="1"/>
    <col min="17" max="17" width="14" bestFit="1" customWidth="1"/>
    <col min="18" max="18" width="11.85546875" bestFit="1" customWidth="1"/>
    <col min="19" max="19" width="9.28515625" bestFit="1" customWidth="1"/>
    <col min="20" max="20" width="14" bestFit="1" customWidth="1"/>
    <col min="21" max="21" width="12.42578125" bestFit="1" customWidth="1"/>
    <col min="22" max="23" width="11.7109375" bestFit="1" customWidth="1"/>
  </cols>
  <sheetData>
    <row r="3" spans="1:3">
      <c r="A3" s="12" t="s">
        <v>3</v>
      </c>
      <c r="B3" s="375" t="s">
        <v>43</v>
      </c>
    </row>
    <row r="4" spans="1:3">
      <c r="A4" s="375" t="s">
        <v>44</v>
      </c>
      <c r="B4" t="s">
        <v>45</v>
      </c>
      <c r="C4" t="s">
        <v>46</v>
      </c>
    </row>
    <row r="5" spans="1:3">
      <c r="A5" t="s">
        <v>47</v>
      </c>
      <c r="B5">
        <v>1</v>
      </c>
      <c r="C5">
        <v>1</v>
      </c>
    </row>
    <row r="6" spans="1:3">
      <c r="A6" t="s">
        <v>48</v>
      </c>
      <c r="B6">
        <v>1</v>
      </c>
      <c r="C6">
        <v>1</v>
      </c>
    </row>
    <row r="7" spans="1:3">
      <c r="A7" t="s">
        <v>49</v>
      </c>
      <c r="B7">
        <v>2</v>
      </c>
      <c r="C7">
        <v>2</v>
      </c>
    </row>
    <row r="8" spans="1:3">
      <c r="A8" t="s">
        <v>50</v>
      </c>
      <c r="B8">
        <v>3</v>
      </c>
      <c r="C8">
        <v>3</v>
      </c>
    </row>
    <row r="9" spans="1:3">
      <c r="A9" t="s">
        <v>51</v>
      </c>
      <c r="B9">
        <v>3</v>
      </c>
      <c r="C9">
        <v>3</v>
      </c>
    </row>
    <row r="10" spans="1:3">
      <c r="A10" t="s">
        <v>52</v>
      </c>
      <c r="B10">
        <v>2</v>
      </c>
      <c r="C10">
        <v>2</v>
      </c>
    </row>
    <row r="11" spans="1:3">
      <c r="A11" t="s">
        <v>53</v>
      </c>
      <c r="B11">
        <v>1</v>
      </c>
      <c r="C11">
        <v>1</v>
      </c>
    </row>
    <row r="12" spans="1:3">
      <c r="A12" t="s">
        <v>46</v>
      </c>
      <c r="B12">
        <v>13</v>
      </c>
      <c r="C12">
        <v>13</v>
      </c>
    </row>
    <row r="17" spans="1:3">
      <c r="A17" s="12" t="s">
        <v>54</v>
      </c>
      <c r="B17" s="375" t="s">
        <v>43</v>
      </c>
    </row>
    <row r="18" spans="1:3">
      <c r="A18" s="375" t="s">
        <v>44</v>
      </c>
      <c r="B18" t="s">
        <v>45</v>
      </c>
      <c r="C18" t="s">
        <v>46</v>
      </c>
    </row>
    <row r="19" spans="1:3">
      <c r="A19" t="s">
        <v>48</v>
      </c>
      <c r="B19">
        <v>2</v>
      </c>
      <c r="C19">
        <v>2</v>
      </c>
    </row>
    <row r="20" spans="1:3">
      <c r="A20" t="s">
        <v>49</v>
      </c>
      <c r="B20">
        <v>3</v>
      </c>
      <c r="C20">
        <v>3</v>
      </c>
    </row>
    <row r="21" spans="1:3">
      <c r="A21" t="s">
        <v>50</v>
      </c>
      <c r="B21">
        <v>3</v>
      </c>
      <c r="C21">
        <v>3</v>
      </c>
    </row>
    <row r="22" spans="1:3">
      <c r="A22" t="s">
        <v>51</v>
      </c>
      <c r="B22">
        <v>1</v>
      </c>
      <c r="C22">
        <v>1</v>
      </c>
    </row>
    <row r="23" spans="1:3">
      <c r="A23" t="s">
        <v>52</v>
      </c>
      <c r="B23">
        <v>1</v>
      </c>
      <c r="C23">
        <v>1</v>
      </c>
    </row>
    <row r="24" spans="1:3">
      <c r="A24" t="s">
        <v>53</v>
      </c>
      <c r="B24">
        <v>1</v>
      </c>
      <c r="C24">
        <v>1</v>
      </c>
    </row>
    <row r="25" spans="1:3">
      <c r="A25" t="s">
        <v>46</v>
      </c>
      <c r="B25">
        <v>11</v>
      </c>
      <c r="C25">
        <v>11</v>
      </c>
    </row>
    <row r="30" spans="1:3">
      <c r="A30" s="12" t="s">
        <v>55</v>
      </c>
      <c r="B30" s="375" t="s">
        <v>43</v>
      </c>
    </row>
    <row r="31" spans="1:3">
      <c r="A31" s="375" t="s">
        <v>44</v>
      </c>
      <c r="B31" t="s">
        <v>45</v>
      </c>
      <c r="C31" t="s">
        <v>46</v>
      </c>
    </row>
    <row r="32" spans="1:3">
      <c r="A32" t="s">
        <v>47</v>
      </c>
      <c r="B32">
        <v>1</v>
      </c>
      <c r="C32">
        <v>1</v>
      </c>
    </row>
    <row r="33" spans="1:4">
      <c r="A33" t="s">
        <v>51</v>
      </c>
      <c r="B33">
        <v>1</v>
      </c>
      <c r="C33">
        <v>1</v>
      </c>
    </row>
    <row r="34" spans="1:4">
      <c r="A34" t="s">
        <v>46</v>
      </c>
      <c r="B34">
        <v>2</v>
      </c>
      <c r="C34">
        <v>2</v>
      </c>
    </row>
    <row r="41" spans="1:4">
      <c r="A41" s="12" t="s">
        <v>56</v>
      </c>
      <c r="B41" s="375" t="s">
        <v>43</v>
      </c>
    </row>
    <row r="42" spans="1:4">
      <c r="A42" s="375" t="s">
        <v>44</v>
      </c>
      <c r="B42" t="s">
        <v>57</v>
      </c>
      <c r="C42" t="s">
        <v>58</v>
      </c>
      <c r="D42" t="s">
        <v>46</v>
      </c>
    </row>
    <row r="43" spans="1:4">
      <c r="A43" t="s">
        <v>49</v>
      </c>
      <c r="B43">
        <v>1</v>
      </c>
      <c r="D43">
        <v>1</v>
      </c>
    </row>
    <row r="44" spans="1:4">
      <c r="A44" t="s">
        <v>53</v>
      </c>
    </row>
    <row r="45" spans="1:4">
      <c r="A45" t="s">
        <v>46</v>
      </c>
      <c r="B45">
        <v>1</v>
      </c>
      <c r="D45">
        <v>1</v>
      </c>
    </row>
    <row r="48" spans="1:4">
      <c r="A48" s="12" t="s">
        <v>59</v>
      </c>
      <c r="B48" s="375" t="s">
        <v>43</v>
      </c>
    </row>
    <row r="49" spans="1:3">
      <c r="A49" s="375" t="s">
        <v>44</v>
      </c>
      <c r="B49" t="s">
        <v>45</v>
      </c>
      <c r="C49" t="s">
        <v>46</v>
      </c>
    </row>
    <row r="50" spans="1:3">
      <c r="A50" t="s">
        <v>48</v>
      </c>
      <c r="B50">
        <v>2</v>
      </c>
      <c r="C50">
        <v>2</v>
      </c>
    </row>
    <row r="51" spans="1:3">
      <c r="A51" t="s">
        <v>49</v>
      </c>
      <c r="B51">
        <v>3</v>
      </c>
      <c r="C51">
        <v>3</v>
      </c>
    </row>
    <row r="52" spans="1:3">
      <c r="A52" t="s">
        <v>50</v>
      </c>
      <c r="B52">
        <v>4</v>
      </c>
      <c r="C52">
        <v>4</v>
      </c>
    </row>
    <row r="53" spans="1:3">
      <c r="A53" t="s">
        <v>51</v>
      </c>
      <c r="B53">
        <v>2</v>
      </c>
      <c r="C53">
        <v>2</v>
      </c>
    </row>
    <row r="54" spans="1:3">
      <c r="A54" t="s">
        <v>52</v>
      </c>
      <c r="B54">
        <v>2</v>
      </c>
      <c r="C54">
        <v>2</v>
      </c>
    </row>
    <row r="55" spans="1:3">
      <c r="A55" t="s">
        <v>53</v>
      </c>
      <c r="B55">
        <v>1</v>
      </c>
      <c r="C55">
        <v>1</v>
      </c>
    </row>
    <row r="56" spans="1:3">
      <c r="A56" t="s">
        <v>46</v>
      </c>
      <c r="B56">
        <v>14</v>
      </c>
      <c r="C56">
        <v>14</v>
      </c>
    </row>
    <row r="67" spans="1:3">
      <c r="A67" s="12" t="s">
        <v>60</v>
      </c>
      <c r="B67" s="375" t="s">
        <v>43</v>
      </c>
    </row>
    <row r="68" spans="1:3">
      <c r="A68" s="375" t="s">
        <v>44</v>
      </c>
      <c r="B68" t="s">
        <v>45</v>
      </c>
      <c r="C68" t="s">
        <v>46</v>
      </c>
    </row>
    <row r="69" spans="1:3">
      <c r="A69" t="s">
        <v>49</v>
      </c>
      <c r="B69">
        <v>1</v>
      </c>
      <c r="C69">
        <v>1</v>
      </c>
    </row>
    <row r="70" spans="1:3">
      <c r="A70" t="s">
        <v>50</v>
      </c>
      <c r="B70">
        <v>3</v>
      </c>
      <c r="C70">
        <v>3</v>
      </c>
    </row>
    <row r="71" spans="1:3">
      <c r="A71" t="s">
        <v>51</v>
      </c>
      <c r="B71">
        <v>1</v>
      </c>
      <c r="C71">
        <v>1</v>
      </c>
    </row>
    <row r="72" spans="1:3">
      <c r="A72" t="s">
        <v>52</v>
      </c>
      <c r="B72">
        <v>2</v>
      </c>
      <c r="C72">
        <v>2</v>
      </c>
    </row>
    <row r="73" spans="1:3">
      <c r="A73" t="s">
        <v>46</v>
      </c>
      <c r="B73">
        <v>7</v>
      </c>
      <c r="C73">
        <v>7</v>
      </c>
    </row>
    <row r="80" spans="1:3">
      <c r="A80" s="12" t="s">
        <v>61</v>
      </c>
      <c r="B80" s="375" t="s">
        <v>43</v>
      </c>
    </row>
    <row r="81" spans="1:8">
      <c r="A81" s="375" t="s">
        <v>44</v>
      </c>
      <c r="B81" t="s">
        <v>62</v>
      </c>
      <c r="C81" t="s">
        <v>45</v>
      </c>
      <c r="D81" t="s">
        <v>57</v>
      </c>
      <c r="E81" t="s">
        <v>63</v>
      </c>
      <c r="F81" t="s">
        <v>64</v>
      </c>
      <c r="G81" t="s">
        <v>58</v>
      </c>
      <c r="H81" t="s">
        <v>46</v>
      </c>
    </row>
    <row r="82" spans="1:8">
      <c r="A82" t="s">
        <v>48</v>
      </c>
      <c r="C82">
        <v>1</v>
      </c>
      <c r="H82">
        <v>1</v>
      </c>
    </row>
    <row r="83" spans="1:8">
      <c r="A83" t="s">
        <v>49</v>
      </c>
      <c r="B83">
        <v>1</v>
      </c>
      <c r="H83">
        <v>1</v>
      </c>
    </row>
    <row r="84" spans="1:8">
      <c r="A84" t="s">
        <v>65</v>
      </c>
      <c r="B84">
        <v>1</v>
      </c>
      <c r="D84">
        <v>1</v>
      </c>
      <c r="E84">
        <v>1</v>
      </c>
      <c r="H84">
        <v>3</v>
      </c>
    </row>
    <row r="85" spans="1:8">
      <c r="A85" t="s">
        <v>51</v>
      </c>
      <c r="D85">
        <v>1</v>
      </c>
      <c r="F85">
        <v>1</v>
      </c>
      <c r="H85">
        <v>2</v>
      </c>
    </row>
    <row r="86" spans="1:8">
      <c r="A86" t="s">
        <v>52</v>
      </c>
    </row>
    <row r="87" spans="1:8">
      <c r="A87" t="s">
        <v>53</v>
      </c>
      <c r="D87">
        <v>1</v>
      </c>
      <c r="E87">
        <v>1</v>
      </c>
      <c r="H87">
        <v>2</v>
      </c>
    </row>
    <row r="88" spans="1:8">
      <c r="A88" t="s">
        <v>46</v>
      </c>
      <c r="B88">
        <v>2</v>
      </c>
      <c r="C88">
        <v>1</v>
      </c>
      <c r="D88">
        <v>3</v>
      </c>
      <c r="E88">
        <v>2</v>
      </c>
      <c r="F88">
        <v>1</v>
      </c>
      <c r="H88">
        <v>9</v>
      </c>
    </row>
    <row r="91" spans="1:8">
      <c r="A91" s="12" t="s">
        <v>9</v>
      </c>
      <c r="B91" s="375" t="s">
        <v>43</v>
      </c>
    </row>
    <row r="92" spans="1:8">
      <c r="A92" s="375" t="s">
        <v>44</v>
      </c>
      <c r="B92" t="s">
        <v>62</v>
      </c>
      <c r="C92" t="s">
        <v>45</v>
      </c>
      <c r="D92" t="s">
        <v>57</v>
      </c>
      <c r="E92" t="s">
        <v>63</v>
      </c>
      <c r="F92" t="s">
        <v>64</v>
      </c>
      <c r="G92" t="s">
        <v>58</v>
      </c>
      <c r="H92" t="s">
        <v>46</v>
      </c>
    </row>
    <row r="93" spans="1:8">
      <c r="A93" t="s">
        <v>47</v>
      </c>
      <c r="B93">
        <v>1</v>
      </c>
      <c r="F93">
        <v>1</v>
      </c>
      <c r="H93">
        <v>2</v>
      </c>
    </row>
    <row r="94" spans="1:8">
      <c r="A94" t="s">
        <v>48</v>
      </c>
      <c r="C94">
        <v>1</v>
      </c>
      <c r="H94">
        <v>1</v>
      </c>
    </row>
    <row r="95" spans="1:8">
      <c r="A95" t="s">
        <v>65</v>
      </c>
      <c r="D95">
        <v>1</v>
      </c>
      <c r="H95">
        <v>1</v>
      </c>
    </row>
    <row r="96" spans="1:8">
      <c r="A96" t="s">
        <v>53</v>
      </c>
      <c r="E96">
        <v>1</v>
      </c>
      <c r="H96">
        <v>1</v>
      </c>
    </row>
    <row r="97" spans="1:8">
      <c r="A97" t="s">
        <v>46</v>
      </c>
      <c r="B97">
        <v>1</v>
      </c>
      <c r="C97">
        <v>1</v>
      </c>
      <c r="D97">
        <v>1</v>
      </c>
      <c r="E97">
        <v>1</v>
      </c>
      <c r="F97">
        <v>1</v>
      </c>
      <c r="H97">
        <v>5</v>
      </c>
    </row>
    <row r="101" spans="1:8">
      <c r="A101" s="12" t="s">
        <v>66</v>
      </c>
      <c r="B101" s="375" t="s">
        <v>67</v>
      </c>
    </row>
    <row r="102" spans="1:8">
      <c r="A102" s="375" t="s">
        <v>44</v>
      </c>
      <c r="B102" t="s">
        <v>45</v>
      </c>
      <c r="C102" t="s">
        <v>46</v>
      </c>
    </row>
    <row r="103" spans="1:8">
      <c r="A103" t="s">
        <v>51</v>
      </c>
      <c r="B103">
        <v>1</v>
      </c>
      <c r="C103">
        <v>1</v>
      </c>
    </row>
    <row r="104" spans="1:8">
      <c r="A104" t="s">
        <v>53</v>
      </c>
      <c r="B104">
        <v>1</v>
      </c>
      <c r="C104">
        <v>1</v>
      </c>
    </row>
    <row r="105" spans="1:8">
      <c r="A105" t="s">
        <v>46</v>
      </c>
      <c r="B105">
        <v>2</v>
      </c>
      <c r="C105">
        <v>2</v>
      </c>
    </row>
    <row r="114" spans="1:14">
      <c r="A114" s="12" t="s">
        <v>68</v>
      </c>
      <c r="B114" s="375" t="s">
        <v>67</v>
      </c>
    </row>
    <row r="115" spans="1:14">
      <c r="A115" s="375" t="s">
        <v>44</v>
      </c>
      <c r="B115" t="s">
        <v>62</v>
      </c>
      <c r="C115" t="s">
        <v>63</v>
      </c>
      <c r="D115" t="s">
        <v>45</v>
      </c>
      <c r="E115" t="s">
        <v>57</v>
      </c>
      <c r="F115" t="s">
        <v>64</v>
      </c>
      <c r="G115" t="s">
        <v>69</v>
      </c>
      <c r="H115" t="s">
        <v>70</v>
      </c>
      <c r="I115" t="s">
        <v>71</v>
      </c>
      <c r="J115" t="s">
        <v>72</v>
      </c>
      <c r="K115" t="s">
        <v>46</v>
      </c>
    </row>
    <row r="116" spans="1:14">
      <c r="A116" t="s">
        <v>49</v>
      </c>
      <c r="B116">
        <v>9</v>
      </c>
      <c r="C116">
        <v>7</v>
      </c>
      <c r="D116">
        <v>6</v>
      </c>
      <c r="E116">
        <v>8</v>
      </c>
      <c r="F116">
        <v>7</v>
      </c>
      <c r="G116">
        <v>8</v>
      </c>
      <c r="H116">
        <v>8</v>
      </c>
      <c r="I116">
        <v>5</v>
      </c>
      <c r="J116">
        <v>8</v>
      </c>
      <c r="K116">
        <v>66</v>
      </c>
    </row>
    <row r="117" spans="1:14">
      <c r="A117" t="s">
        <v>65</v>
      </c>
      <c r="C117">
        <v>3</v>
      </c>
      <c r="D117">
        <v>2</v>
      </c>
      <c r="H117">
        <v>4</v>
      </c>
      <c r="J117">
        <v>2</v>
      </c>
      <c r="K117">
        <v>11</v>
      </c>
    </row>
    <row r="118" spans="1:14">
      <c r="A118" t="s">
        <v>51</v>
      </c>
      <c r="B118">
        <v>6</v>
      </c>
      <c r="C118">
        <v>7</v>
      </c>
      <c r="D118">
        <v>9</v>
      </c>
      <c r="E118">
        <v>7</v>
      </c>
      <c r="F118">
        <v>8</v>
      </c>
      <c r="G118">
        <v>7</v>
      </c>
      <c r="H118">
        <v>5</v>
      </c>
      <c r="I118">
        <v>10</v>
      </c>
      <c r="J118">
        <v>7</v>
      </c>
      <c r="K118">
        <v>66</v>
      </c>
    </row>
    <row r="119" spans="1:14">
      <c r="A119" t="s">
        <v>46</v>
      </c>
      <c r="B119">
        <v>15</v>
      </c>
      <c r="C119">
        <v>17</v>
      </c>
      <c r="D119">
        <v>17</v>
      </c>
      <c r="E119">
        <v>15</v>
      </c>
      <c r="F119">
        <v>15</v>
      </c>
      <c r="G119">
        <v>15</v>
      </c>
      <c r="H119">
        <v>17</v>
      </c>
      <c r="I119">
        <v>15</v>
      </c>
      <c r="J119">
        <v>17</v>
      </c>
      <c r="K119">
        <v>143</v>
      </c>
    </row>
    <row r="121" spans="1:14">
      <c r="A121" s="580" t="s">
        <v>73</v>
      </c>
    </row>
    <row r="122" spans="1:14">
      <c r="A122" s="341"/>
      <c r="B122" s="341" t="s">
        <v>74</v>
      </c>
      <c r="C122" s="341" t="s">
        <v>75</v>
      </c>
      <c r="D122" s="341" t="s">
        <v>76</v>
      </c>
      <c r="E122" s="341" t="s">
        <v>77</v>
      </c>
      <c r="F122" s="341" t="s">
        <v>78</v>
      </c>
      <c r="G122" s="341" t="s">
        <v>79</v>
      </c>
      <c r="H122" s="341" t="s">
        <v>80</v>
      </c>
      <c r="I122" s="341" t="s">
        <v>81</v>
      </c>
      <c r="J122" s="341" t="s">
        <v>82</v>
      </c>
      <c r="K122" s="341" t="s">
        <v>83</v>
      </c>
      <c r="L122" s="341" t="s">
        <v>84</v>
      </c>
      <c r="M122" s="341" t="s">
        <v>85</v>
      </c>
      <c r="N122" s="341" t="s">
        <v>86</v>
      </c>
    </row>
    <row r="123" spans="1:14">
      <c r="A123" s="570" t="s">
        <v>87</v>
      </c>
      <c r="B123" s="570">
        <v>31</v>
      </c>
      <c r="C123" s="570">
        <v>140</v>
      </c>
      <c r="D123" s="570">
        <v>140</v>
      </c>
      <c r="E123" s="570">
        <v>124</v>
      </c>
      <c r="F123" s="570">
        <v>124</v>
      </c>
      <c r="G123" s="570">
        <v>127</v>
      </c>
      <c r="H123" s="570">
        <v>103</v>
      </c>
      <c r="I123" s="570">
        <v>103</v>
      </c>
      <c r="J123" s="570">
        <v>106</v>
      </c>
      <c r="K123" s="570">
        <v>125</v>
      </c>
      <c r="L123" s="570">
        <v>66</v>
      </c>
      <c r="M123" s="570"/>
      <c r="N123" s="570">
        <f>SUM(B123:L123)</f>
        <v>1189</v>
      </c>
    </row>
    <row r="124" spans="1:14">
      <c r="A124" s="398" t="s">
        <v>88</v>
      </c>
      <c r="B124" s="398">
        <v>30</v>
      </c>
      <c r="C124" s="398">
        <v>115</v>
      </c>
      <c r="D124" s="398">
        <v>120</v>
      </c>
      <c r="E124" s="398">
        <v>115</v>
      </c>
      <c r="F124" s="398">
        <v>120</v>
      </c>
      <c r="G124" s="398">
        <v>110</v>
      </c>
      <c r="H124" s="571">
        <v>90</v>
      </c>
      <c r="I124" s="571">
        <v>90</v>
      </c>
      <c r="J124" s="571">
        <v>90</v>
      </c>
      <c r="K124" s="571">
        <v>90</v>
      </c>
      <c r="L124" s="571">
        <v>32</v>
      </c>
      <c r="M124" s="572"/>
      <c r="N124" s="572">
        <f>SUM(B124:L124)</f>
        <v>1002</v>
      </c>
    </row>
    <row r="125" spans="1:14">
      <c r="A125" s="399" t="s">
        <v>89</v>
      </c>
      <c r="B125" s="399">
        <f t="shared" ref="B125:M125" si="0">B123-B124</f>
        <v>1</v>
      </c>
      <c r="C125" s="399">
        <f t="shared" si="0"/>
        <v>25</v>
      </c>
      <c r="D125" s="399">
        <f t="shared" si="0"/>
        <v>20</v>
      </c>
      <c r="E125" s="399">
        <f t="shared" si="0"/>
        <v>9</v>
      </c>
      <c r="F125" s="399">
        <f t="shared" si="0"/>
        <v>4</v>
      </c>
      <c r="G125" s="399">
        <f t="shared" si="0"/>
        <v>17</v>
      </c>
      <c r="H125" s="571">
        <f t="shared" si="0"/>
        <v>13</v>
      </c>
      <c r="I125" s="571">
        <f t="shared" si="0"/>
        <v>13</v>
      </c>
      <c r="J125" s="571">
        <f t="shared" si="0"/>
        <v>16</v>
      </c>
      <c r="K125" s="571">
        <f t="shared" si="0"/>
        <v>35</v>
      </c>
      <c r="L125" s="571">
        <f t="shared" si="0"/>
        <v>34</v>
      </c>
      <c r="M125" s="573">
        <f t="shared" si="0"/>
        <v>0</v>
      </c>
      <c r="N125" s="573">
        <f t="shared" ref="N125:N130" si="1">SUM(B125:M125)</f>
        <v>187</v>
      </c>
    </row>
    <row r="126" spans="1:14">
      <c r="A126" s="341" t="s">
        <v>49</v>
      </c>
      <c r="B126" s="341">
        <v>6</v>
      </c>
      <c r="C126" s="341">
        <v>28</v>
      </c>
      <c r="D126" s="341">
        <v>28</v>
      </c>
      <c r="E126" s="341">
        <v>25</v>
      </c>
      <c r="F126" s="341">
        <v>25</v>
      </c>
      <c r="G126" s="341">
        <v>25</v>
      </c>
      <c r="H126" s="341">
        <v>21</v>
      </c>
      <c r="I126" s="341">
        <v>21</v>
      </c>
      <c r="J126" s="341">
        <v>21</v>
      </c>
      <c r="K126" s="341">
        <v>25</v>
      </c>
      <c r="L126" s="341">
        <v>13</v>
      </c>
      <c r="M126" s="341">
        <v>0</v>
      </c>
      <c r="N126" s="341">
        <f t="shared" si="1"/>
        <v>238</v>
      </c>
    </row>
    <row r="127" spans="1:14">
      <c r="A127" s="341" t="s">
        <v>50</v>
      </c>
      <c r="B127" s="341">
        <v>12</v>
      </c>
      <c r="C127" s="341">
        <v>55</v>
      </c>
      <c r="D127" s="341">
        <v>55</v>
      </c>
      <c r="E127" s="341">
        <v>48</v>
      </c>
      <c r="F127" s="341">
        <v>49</v>
      </c>
      <c r="G127" s="341">
        <v>49</v>
      </c>
      <c r="H127" s="341">
        <v>40</v>
      </c>
      <c r="I127" s="341">
        <v>40</v>
      </c>
      <c r="J127" s="341">
        <v>42</v>
      </c>
      <c r="K127" s="341">
        <v>49</v>
      </c>
      <c r="L127" s="341">
        <v>26</v>
      </c>
      <c r="M127" s="341">
        <v>0</v>
      </c>
      <c r="N127" s="341">
        <f t="shared" si="1"/>
        <v>465</v>
      </c>
    </row>
    <row r="128" spans="1:14">
      <c r="A128" s="341" t="s">
        <v>51</v>
      </c>
      <c r="B128" s="341">
        <v>7</v>
      </c>
      <c r="C128" s="341">
        <v>33</v>
      </c>
      <c r="D128" s="341">
        <v>33</v>
      </c>
      <c r="E128" s="341">
        <v>29</v>
      </c>
      <c r="F128" s="341">
        <v>29</v>
      </c>
      <c r="G128" s="341">
        <v>30</v>
      </c>
      <c r="H128" s="341">
        <v>24</v>
      </c>
      <c r="I128" s="341">
        <v>24</v>
      </c>
      <c r="J128" s="341">
        <v>25</v>
      </c>
      <c r="K128" s="341">
        <v>29</v>
      </c>
      <c r="L128" s="341">
        <v>15</v>
      </c>
      <c r="M128" s="341">
        <v>0</v>
      </c>
      <c r="N128" s="341">
        <f t="shared" si="1"/>
        <v>278</v>
      </c>
    </row>
    <row r="129" spans="1:14">
      <c r="A129" s="341" t="s">
        <v>52</v>
      </c>
      <c r="B129" s="341">
        <v>5</v>
      </c>
      <c r="C129" s="341">
        <v>23</v>
      </c>
      <c r="D129" s="341">
        <v>23</v>
      </c>
      <c r="E129" s="341">
        <v>20</v>
      </c>
      <c r="F129" s="341">
        <v>20</v>
      </c>
      <c r="G129" s="341">
        <v>21</v>
      </c>
      <c r="H129" s="341">
        <v>17</v>
      </c>
      <c r="I129" s="341">
        <v>17</v>
      </c>
      <c r="J129" s="341">
        <v>17</v>
      </c>
      <c r="K129" s="341">
        <v>21</v>
      </c>
      <c r="L129" s="341">
        <v>11</v>
      </c>
      <c r="M129" s="341">
        <v>0</v>
      </c>
      <c r="N129" s="341">
        <f t="shared" si="1"/>
        <v>195</v>
      </c>
    </row>
    <row r="130" spans="1:14">
      <c r="A130" s="341" t="s">
        <v>53</v>
      </c>
      <c r="B130" s="341">
        <v>1</v>
      </c>
      <c r="C130" s="341">
        <v>1</v>
      </c>
      <c r="D130" s="341">
        <v>1</v>
      </c>
      <c r="E130" s="341">
        <v>2</v>
      </c>
      <c r="F130" s="341">
        <v>1</v>
      </c>
      <c r="G130" s="341">
        <v>2</v>
      </c>
      <c r="H130" s="341">
        <v>1</v>
      </c>
      <c r="I130" s="341">
        <v>1</v>
      </c>
      <c r="J130" s="341">
        <v>1</v>
      </c>
      <c r="K130" s="341">
        <v>1</v>
      </c>
      <c r="L130" s="341">
        <v>1</v>
      </c>
      <c r="M130" s="341">
        <v>0</v>
      </c>
      <c r="N130" s="341">
        <f t="shared" si="1"/>
        <v>13</v>
      </c>
    </row>
    <row r="131" spans="1:14">
      <c r="A131" s="341"/>
      <c r="B131" s="341">
        <v>31</v>
      </c>
      <c r="C131" s="341">
        <v>140</v>
      </c>
      <c r="D131" s="341">
        <v>140</v>
      </c>
      <c r="E131" s="341">
        <v>124</v>
      </c>
      <c r="F131" s="341">
        <v>124</v>
      </c>
      <c r="G131" s="341">
        <v>127</v>
      </c>
      <c r="H131" s="341">
        <v>103</v>
      </c>
      <c r="I131" s="341">
        <v>103</v>
      </c>
      <c r="J131" s="341">
        <v>106</v>
      </c>
      <c r="K131" s="341">
        <v>125</v>
      </c>
      <c r="L131" s="341">
        <v>66</v>
      </c>
      <c r="M131" s="341">
        <v>0</v>
      </c>
      <c r="N131" s="341">
        <f>SUM(N126:N130)</f>
        <v>1189</v>
      </c>
    </row>
    <row r="133" spans="1:14">
      <c r="A133" s="404" t="s">
        <v>90</v>
      </c>
      <c r="B133" s="401" t="s">
        <v>91</v>
      </c>
      <c r="C133" s="1"/>
      <c r="D133" s="1"/>
      <c r="E133" s="1"/>
      <c r="F133" s="1"/>
    </row>
    <row r="134" spans="1:14">
      <c r="A134" s="401" t="s">
        <v>1</v>
      </c>
      <c r="B134" s="1" t="s">
        <v>92</v>
      </c>
      <c r="C134" s="1" t="s">
        <v>72</v>
      </c>
      <c r="D134" s="1" t="s">
        <v>57</v>
      </c>
      <c r="E134" s="1" t="s">
        <v>69</v>
      </c>
      <c r="F134" s="1" t="s">
        <v>46</v>
      </c>
    </row>
    <row r="135" spans="1:14">
      <c r="A135" s="1" t="s">
        <v>12</v>
      </c>
      <c r="B135" s="403">
        <v>2</v>
      </c>
      <c r="C135" s="403">
        <v>2</v>
      </c>
      <c r="D135" s="403">
        <v>1</v>
      </c>
      <c r="E135" s="403"/>
      <c r="F135" s="403">
        <v>5</v>
      </c>
    </row>
    <row r="136" spans="1:14">
      <c r="A136" s="1" t="s">
        <v>16</v>
      </c>
      <c r="B136" s="403">
        <v>1</v>
      </c>
      <c r="C136" s="403"/>
      <c r="D136" s="403">
        <v>1</v>
      </c>
      <c r="E136" s="403">
        <v>1</v>
      </c>
      <c r="F136" s="403">
        <v>3</v>
      </c>
    </row>
    <row r="137" spans="1:14">
      <c r="A137" s="1" t="s">
        <v>25</v>
      </c>
      <c r="B137" s="403"/>
      <c r="C137" s="403">
        <v>1</v>
      </c>
      <c r="D137" s="403">
        <v>1</v>
      </c>
      <c r="E137" s="403">
        <v>1</v>
      </c>
      <c r="F137" s="403">
        <v>3</v>
      </c>
    </row>
    <row r="138" spans="1:14">
      <c r="A138" s="1" t="s">
        <v>36</v>
      </c>
      <c r="B138" s="403">
        <v>1</v>
      </c>
      <c r="C138" s="403">
        <v>1</v>
      </c>
      <c r="D138" s="403">
        <v>1</v>
      </c>
      <c r="E138" s="403">
        <v>2</v>
      </c>
      <c r="F138" s="403">
        <v>5</v>
      </c>
    </row>
    <row r="139" spans="1:14">
      <c r="A139" s="1" t="s">
        <v>40</v>
      </c>
      <c r="B139" s="403">
        <v>1</v>
      </c>
      <c r="C139" s="403">
        <v>1</v>
      </c>
      <c r="D139" s="403">
        <v>1</v>
      </c>
      <c r="E139" s="403">
        <v>1</v>
      </c>
      <c r="F139" s="403">
        <v>4</v>
      </c>
    </row>
    <row r="140" spans="1:14">
      <c r="A140" s="1" t="s">
        <v>46</v>
      </c>
      <c r="B140" s="403">
        <v>5</v>
      </c>
      <c r="C140" s="403">
        <v>5</v>
      </c>
      <c r="D140" s="403">
        <v>5</v>
      </c>
      <c r="E140" s="403">
        <v>5</v>
      </c>
      <c r="F140" s="403">
        <v>20</v>
      </c>
    </row>
    <row r="143" spans="1:14">
      <c r="A143" s="375" t="s">
        <v>93</v>
      </c>
      <c r="B143" s="375" t="s">
        <v>43</v>
      </c>
    </row>
    <row r="144" spans="1:14">
      <c r="A144" s="375" t="s">
        <v>44</v>
      </c>
      <c r="B144" s="403" t="s">
        <v>92</v>
      </c>
      <c r="C144" s="403" t="s">
        <v>62</v>
      </c>
      <c r="D144" s="403" t="s">
        <v>45</v>
      </c>
      <c r="E144" s="403" t="s">
        <v>57</v>
      </c>
      <c r="F144" s="403" t="s">
        <v>63</v>
      </c>
      <c r="G144" s="403" t="s">
        <v>64</v>
      </c>
      <c r="H144" s="403" t="s">
        <v>58</v>
      </c>
      <c r="I144" s="403" t="s">
        <v>46</v>
      </c>
    </row>
    <row r="145" spans="1:23">
      <c r="A145" t="s">
        <v>47</v>
      </c>
      <c r="B145" s="403"/>
      <c r="C145" s="403"/>
      <c r="D145" s="403"/>
      <c r="E145" s="403"/>
      <c r="F145" s="403"/>
      <c r="G145" s="403"/>
      <c r="H145" s="403"/>
      <c r="I145" s="403"/>
    </row>
    <row r="146" spans="1:23">
      <c r="A146" t="s">
        <v>48</v>
      </c>
      <c r="B146" s="403"/>
      <c r="C146" s="403"/>
      <c r="D146" s="403"/>
      <c r="E146" s="403"/>
      <c r="F146" s="403"/>
      <c r="G146" s="403"/>
      <c r="H146" s="403"/>
      <c r="I146" s="403"/>
    </row>
    <row r="147" spans="1:23">
      <c r="A147" t="s">
        <v>49</v>
      </c>
      <c r="B147" s="403">
        <v>6</v>
      </c>
      <c r="C147" s="403">
        <v>28</v>
      </c>
      <c r="D147" s="403">
        <v>28</v>
      </c>
      <c r="E147" s="403">
        <v>25</v>
      </c>
      <c r="F147" s="403">
        <v>25</v>
      </c>
      <c r="G147" s="403">
        <v>25</v>
      </c>
      <c r="H147" s="403"/>
      <c r="I147" s="403">
        <v>137</v>
      </c>
    </row>
    <row r="148" spans="1:23">
      <c r="A148" t="s">
        <v>65</v>
      </c>
      <c r="B148" s="403">
        <v>12</v>
      </c>
      <c r="C148" s="403">
        <v>55</v>
      </c>
      <c r="D148" s="403">
        <v>55</v>
      </c>
      <c r="E148" s="403">
        <v>48</v>
      </c>
      <c r="F148" s="403">
        <v>49</v>
      </c>
      <c r="G148" s="403">
        <v>49</v>
      </c>
      <c r="H148" s="403"/>
      <c r="I148" s="403">
        <v>268</v>
      </c>
    </row>
    <row r="149" spans="1:23">
      <c r="A149" s="405" t="s">
        <v>51</v>
      </c>
      <c r="B149" s="413">
        <v>7</v>
      </c>
      <c r="C149" s="413">
        <v>33</v>
      </c>
      <c r="D149" s="413">
        <v>33</v>
      </c>
      <c r="E149" s="413">
        <v>29</v>
      </c>
      <c r="F149" s="413">
        <v>29</v>
      </c>
      <c r="G149" s="413">
        <v>30</v>
      </c>
      <c r="H149" s="413"/>
      <c r="I149" s="413">
        <v>161</v>
      </c>
    </row>
    <row r="150" spans="1:23" s="405" customFormat="1">
      <c r="A150" s="12" t="s">
        <v>52</v>
      </c>
      <c r="B150" s="414">
        <v>5</v>
      </c>
      <c r="C150" s="414">
        <v>23</v>
      </c>
      <c r="D150" s="414">
        <v>23</v>
      </c>
      <c r="E150" s="414">
        <v>20</v>
      </c>
      <c r="F150" s="414">
        <v>20</v>
      </c>
      <c r="G150" s="414">
        <v>21</v>
      </c>
      <c r="H150" s="414"/>
      <c r="I150" s="414">
        <v>112</v>
      </c>
      <c r="J150"/>
      <c r="K150"/>
      <c r="L150"/>
      <c r="M150"/>
      <c r="N150"/>
      <c r="O150"/>
      <c r="P150"/>
      <c r="Q150"/>
      <c r="R150"/>
      <c r="S150"/>
      <c r="T150"/>
      <c r="U150"/>
      <c r="V150"/>
      <c r="W150"/>
    </row>
    <row r="151" spans="1:23" s="12" customFormat="1">
      <c r="A151" t="s">
        <v>53</v>
      </c>
      <c r="B151" s="403">
        <v>1</v>
      </c>
      <c r="C151" s="403">
        <v>1</v>
      </c>
      <c r="D151" s="403">
        <v>1</v>
      </c>
      <c r="E151" s="403">
        <v>2</v>
      </c>
      <c r="F151" s="403">
        <v>1</v>
      </c>
      <c r="G151" s="403">
        <v>2</v>
      </c>
      <c r="H151" s="403"/>
      <c r="I151" s="403">
        <v>8</v>
      </c>
      <c r="J151"/>
      <c r="K151"/>
      <c r="L151"/>
      <c r="M151"/>
      <c r="N151"/>
      <c r="O151"/>
      <c r="P151"/>
      <c r="Q151"/>
      <c r="R151"/>
      <c r="S151"/>
      <c r="T151"/>
      <c r="U151"/>
      <c r="V151"/>
      <c r="W151"/>
    </row>
    <row r="152" spans="1:23">
      <c r="A152" t="s">
        <v>46</v>
      </c>
      <c r="B152" s="403">
        <v>31</v>
      </c>
      <c r="C152" s="403">
        <v>140</v>
      </c>
      <c r="D152" s="403">
        <v>140</v>
      </c>
      <c r="E152" s="403">
        <v>124</v>
      </c>
      <c r="F152" s="403">
        <v>124</v>
      </c>
      <c r="G152" s="403">
        <v>127</v>
      </c>
      <c r="H152" s="403"/>
      <c r="I152" s="403">
        <v>686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F16E-C2B5-45CB-BE7A-34C3DD4270D9}">
  <sheetPr codeName="Sheet2"/>
  <dimension ref="A1:AE36"/>
  <sheetViews>
    <sheetView workbookViewId="0">
      <selection activeCell="E17" sqref="E17"/>
    </sheetView>
  </sheetViews>
  <sheetFormatPr defaultRowHeight="15"/>
  <cols>
    <col min="1" max="1" width="26.42578125" customWidth="1"/>
    <col min="2" max="2" width="27.85546875" customWidth="1"/>
    <col min="3" max="3" width="34.7109375" customWidth="1"/>
    <col min="4" max="4" width="27.85546875" customWidth="1"/>
    <col min="5" max="5" width="29.140625" customWidth="1"/>
    <col min="8" max="8" width="22.42578125" bestFit="1" customWidth="1"/>
    <col min="11" max="11" width="23.28515625" bestFit="1" customWidth="1"/>
    <col min="13" max="13" width="28.42578125" customWidth="1"/>
    <col min="14" max="14" width="18.7109375" customWidth="1"/>
    <col min="17" max="17" width="23.85546875" customWidth="1"/>
    <col min="20" max="20" width="26.28515625" customWidth="1"/>
    <col min="23" max="23" width="30" bestFit="1" customWidth="1"/>
    <col min="24" max="24" width="14.140625" customWidth="1"/>
    <col min="30" max="30" width="30" bestFit="1" customWidth="1"/>
  </cols>
  <sheetData>
    <row r="1" spans="1:31">
      <c r="A1" t="s">
        <v>94</v>
      </c>
      <c r="C1" s="13" t="s">
        <v>7</v>
      </c>
      <c r="H1" s="12" t="s">
        <v>4</v>
      </c>
      <c r="K1" s="12" t="s">
        <v>95</v>
      </c>
      <c r="M1" s="680" t="s">
        <v>6</v>
      </c>
      <c r="N1" s="680"/>
      <c r="Q1" s="12" t="s">
        <v>96</v>
      </c>
      <c r="T1" s="12" t="s">
        <v>97</v>
      </c>
      <c r="W1" s="680" t="s">
        <v>98</v>
      </c>
      <c r="X1" s="680"/>
      <c r="Y1" s="680"/>
      <c r="Z1" s="680"/>
      <c r="AD1" s="680" t="s">
        <v>9</v>
      </c>
      <c r="AE1" s="680"/>
    </row>
    <row r="2" spans="1:31">
      <c r="A2" t="s">
        <v>99</v>
      </c>
      <c r="B2" t="s">
        <v>100</v>
      </c>
      <c r="H2" t="s">
        <v>101</v>
      </c>
      <c r="K2" t="s">
        <v>101</v>
      </c>
      <c r="M2" t="s">
        <v>102</v>
      </c>
      <c r="N2" t="s">
        <v>103</v>
      </c>
      <c r="Q2" t="s">
        <v>101</v>
      </c>
      <c r="T2" t="s">
        <v>101</v>
      </c>
      <c r="W2" t="s">
        <v>101</v>
      </c>
      <c r="X2" t="s">
        <v>104</v>
      </c>
      <c r="Y2" t="s">
        <v>105</v>
      </c>
      <c r="AD2" t="s">
        <v>101</v>
      </c>
      <c r="AE2" t="s">
        <v>104</v>
      </c>
    </row>
    <row r="3" spans="1:31">
      <c r="A3" t="s">
        <v>106</v>
      </c>
      <c r="B3" t="s">
        <v>107</v>
      </c>
      <c r="H3" t="s">
        <v>108</v>
      </c>
      <c r="K3" t="s">
        <v>108</v>
      </c>
      <c r="M3" t="s">
        <v>109</v>
      </c>
      <c r="N3" t="s">
        <v>110</v>
      </c>
      <c r="Q3" t="s">
        <v>108</v>
      </c>
      <c r="T3" t="s">
        <v>108</v>
      </c>
      <c r="W3" t="s">
        <v>108</v>
      </c>
      <c r="X3" t="s">
        <v>111</v>
      </c>
      <c r="Y3" t="s">
        <v>112</v>
      </c>
      <c r="AD3" t="s">
        <v>108</v>
      </c>
      <c r="AE3" t="s">
        <v>111</v>
      </c>
    </row>
    <row r="4" spans="1:31">
      <c r="H4" t="s">
        <v>113</v>
      </c>
      <c r="K4" t="s">
        <v>114</v>
      </c>
      <c r="M4" t="s">
        <v>115</v>
      </c>
      <c r="Q4" t="s">
        <v>114</v>
      </c>
      <c r="W4" t="s">
        <v>113</v>
      </c>
      <c r="AD4" t="s">
        <v>113</v>
      </c>
    </row>
    <row r="5" spans="1:31">
      <c r="B5" t="s">
        <v>100</v>
      </c>
      <c r="H5" t="s">
        <v>116</v>
      </c>
      <c r="K5" t="s">
        <v>117</v>
      </c>
      <c r="M5" t="s">
        <v>116</v>
      </c>
      <c r="Q5" t="s">
        <v>118</v>
      </c>
      <c r="W5" t="s">
        <v>116</v>
      </c>
      <c r="AD5" t="s">
        <v>116</v>
      </c>
    </row>
    <row r="6" spans="1:31">
      <c r="B6" t="s">
        <v>107</v>
      </c>
    </row>
    <row r="7" spans="1:31">
      <c r="A7" t="s">
        <v>119</v>
      </c>
      <c r="B7" t="s">
        <v>120</v>
      </c>
    </row>
    <row r="8" spans="1:31">
      <c r="A8" t="s">
        <v>121</v>
      </c>
    </row>
    <row r="9" spans="1:31">
      <c r="A9" t="s">
        <v>122</v>
      </c>
    </row>
    <row r="10" spans="1:31">
      <c r="A10" t="s">
        <v>123</v>
      </c>
      <c r="AA10" s="1"/>
      <c r="AB10" s="1"/>
      <c r="AC10" s="1"/>
    </row>
    <row r="11" spans="1:31">
      <c r="AA11" s="1"/>
      <c r="AB11" s="1"/>
      <c r="AC11" s="1"/>
    </row>
    <row r="12" spans="1:31">
      <c r="AA12" s="1"/>
      <c r="AB12" s="1"/>
      <c r="AC12" s="1"/>
    </row>
    <row r="13" spans="1:31">
      <c r="A13" t="s">
        <v>92</v>
      </c>
      <c r="C13" s="12" t="s">
        <v>124</v>
      </c>
      <c r="D13" s="12" t="s">
        <v>125</v>
      </c>
      <c r="E13" s="12" t="s">
        <v>126</v>
      </c>
    </row>
    <row r="14" spans="1:31">
      <c r="A14" t="s">
        <v>62</v>
      </c>
      <c r="C14" t="s">
        <v>15</v>
      </c>
      <c r="D14" t="s">
        <v>127</v>
      </c>
      <c r="E14" t="s">
        <v>128</v>
      </c>
    </row>
    <row r="15" spans="1:31">
      <c r="A15" t="s">
        <v>45</v>
      </c>
      <c r="C15" t="s">
        <v>13</v>
      </c>
      <c r="E15" t="s">
        <v>129</v>
      </c>
    </row>
    <row r="16" spans="1:31">
      <c r="A16" t="s">
        <v>57</v>
      </c>
      <c r="C16" t="s">
        <v>14</v>
      </c>
      <c r="E16" t="s">
        <v>130</v>
      </c>
    </row>
    <row r="17" spans="1:5">
      <c r="A17" t="s">
        <v>63</v>
      </c>
      <c r="C17" t="s">
        <v>19</v>
      </c>
      <c r="E17" t="s">
        <v>131</v>
      </c>
    </row>
    <row r="18" spans="1:5">
      <c r="A18" t="s">
        <v>64</v>
      </c>
      <c r="C18" t="s">
        <v>132</v>
      </c>
      <c r="E18" t="s">
        <v>133</v>
      </c>
    </row>
    <row r="19" spans="1:5">
      <c r="A19" t="s">
        <v>69</v>
      </c>
      <c r="C19" t="s">
        <v>17</v>
      </c>
      <c r="E19" t="s">
        <v>28</v>
      </c>
    </row>
    <row r="20" spans="1:5">
      <c r="A20" t="s">
        <v>70</v>
      </c>
      <c r="C20" t="s">
        <v>134</v>
      </c>
    </row>
    <row r="21" spans="1:5">
      <c r="A21" t="s">
        <v>71</v>
      </c>
      <c r="C21" t="s">
        <v>135</v>
      </c>
    </row>
    <row r="22" spans="1:5">
      <c r="A22" t="s">
        <v>72</v>
      </c>
      <c r="C22" t="s">
        <v>136</v>
      </c>
    </row>
    <row r="23" spans="1:5">
      <c r="A23" t="s">
        <v>137</v>
      </c>
      <c r="C23" t="s">
        <v>138</v>
      </c>
    </row>
    <row r="24" spans="1:5">
      <c r="A24" t="s">
        <v>139</v>
      </c>
      <c r="C24" t="s">
        <v>30</v>
      </c>
    </row>
    <row r="25" spans="1:5">
      <c r="C25" t="s">
        <v>140</v>
      </c>
    </row>
    <row r="26" spans="1:5">
      <c r="C26" t="s">
        <v>141</v>
      </c>
    </row>
    <row r="27" spans="1:5">
      <c r="C27" t="s">
        <v>26</v>
      </c>
    </row>
    <row r="28" spans="1:5">
      <c r="C28" t="s">
        <v>33</v>
      </c>
    </row>
    <row r="29" spans="1:5">
      <c r="C29" t="s">
        <v>142</v>
      </c>
    </row>
    <row r="30" spans="1:5">
      <c r="C30" t="s">
        <v>32</v>
      </c>
    </row>
    <row r="31" spans="1:5">
      <c r="C31" t="s">
        <v>37</v>
      </c>
    </row>
    <row r="32" spans="1:5">
      <c r="C32" t="s">
        <v>143</v>
      </c>
    </row>
    <row r="33" spans="3:3">
      <c r="C33" t="s">
        <v>38</v>
      </c>
    </row>
    <row r="34" spans="3:3">
      <c r="C34" t="s">
        <v>144</v>
      </c>
    </row>
    <row r="35" spans="3:3">
      <c r="C35" t="s">
        <v>42</v>
      </c>
    </row>
    <row r="36" spans="3:3">
      <c r="C36" t="s">
        <v>145</v>
      </c>
    </row>
  </sheetData>
  <mergeCells count="3">
    <mergeCell ref="M1:N1"/>
    <mergeCell ref="W1:Z1"/>
    <mergeCell ref="AD1:A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711A7-5B16-44AF-9754-6161982A47EF}">
  <sheetPr codeName="Sheet12">
    <tabColor rgb="FF92D050"/>
  </sheetPr>
  <dimension ref="A1:B16"/>
  <sheetViews>
    <sheetView zoomScale="145" zoomScaleNormal="145" workbookViewId="0">
      <selection activeCell="B22" sqref="B22"/>
    </sheetView>
  </sheetViews>
  <sheetFormatPr defaultRowHeight="15"/>
  <cols>
    <col min="1" max="1" width="35.85546875" customWidth="1"/>
    <col min="2" max="2" width="140.5703125" bestFit="1" customWidth="1"/>
  </cols>
  <sheetData>
    <row r="1" spans="1:2">
      <c r="A1" t="s">
        <v>146</v>
      </c>
      <c r="B1" t="s">
        <v>147</v>
      </c>
    </row>
    <row r="2" spans="1:2">
      <c r="B2" t="s">
        <v>148</v>
      </c>
    </row>
    <row r="5" spans="1:2">
      <c r="A5" t="s">
        <v>149</v>
      </c>
      <c r="B5" t="s">
        <v>150</v>
      </c>
    </row>
    <row r="6" spans="1:2">
      <c r="B6" t="s">
        <v>151</v>
      </c>
    </row>
    <row r="8" spans="1:2">
      <c r="A8" t="s">
        <v>7</v>
      </c>
      <c r="B8" t="s">
        <v>152</v>
      </c>
    </row>
    <row r="10" spans="1:2">
      <c r="A10" t="s">
        <v>153</v>
      </c>
      <c r="B10" t="s">
        <v>154</v>
      </c>
    </row>
    <row r="11" spans="1:2">
      <c r="B11" t="s">
        <v>155</v>
      </c>
    </row>
    <row r="14" spans="1:2">
      <c r="A14" t="s">
        <v>8</v>
      </c>
      <c r="B14" t="s">
        <v>156</v>
      </c>
    </row>
    <row r="16" spans="1:2">
      <c r="A16" t="s">
        <v>9</v>
      </c>
      <c r="B16" t="s">
        <v>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4299-87D7-4CB5-8DA5-F608F9E97611}">
  <sheetPr codeName="Sheet3">
    <tabColor rgb="FF92D050"/>
  </sheetPr>
  <dimension ref="A1:BD127"/>
  <sheetViews>
    <sheetView zoomScaleNormal="100" workbookViewId="0">
      <pane xSplit="2" ySplit="1" topLeftCell="O2" activePane="bottomRight" state="frozen"/>
      <selection pane="topRight"/>
      <selection pane="bottomLeft"/>
      <selection pane="bottomRight" activeCell="R8" sqref="R8"/>
    </sheetView>
  </sheetViews>
  <sheetFormatPr defaultColWidth="12.5703125" defaultRowHeight="15" customHeight="1"/>
  <cols>
    <col min="1" max="1" width="19.140625" style="41" customWidth="1"/>
    <col min="2" max="2" width="27.5703125" style="43" customWidth="1"/>
    <col min="3" max="3" width="33.42578125" style="43" customWidth="1"/>
    <col min="4" max="4" width="27.5703125" style="41" hidden="1" customWidth="1"/>
    <col min="5" max="5" width="19" style="41" customWidth="1"/>
    <col min="6" max="7" width="15" style="41" customWidth="1"/>
    <col min="8" max="8" width="25.42578125" style="41" customWidth="1"/>
    <col min="9" max="9" width="22.5703125" style="41" customWidth="1"/>
    <col min="10" max="10" width="42.28515625" style="43" bestFit="1" customWidth="1"/>
    <col min="11" max="11" width="20.5703125" style="41" customWidth="1"/>
    <col min="12" max="12" width="12.42578125" style="41" customWidth="1"/>
    <col min="13" max="14" width="14.5703125" style="41" customWidth="1"/>
    <col min="15" max="16" width="27" style="41" customWidth="1"/>
    <col min="17" max="18" width="31.42578125" style="41" customWidth="1"/>
    <col min="19" max="19" width="21.5703125" style="41" bestFit="1" customWidth="1"/>
    <col min="20" max="20" width="18.7109375" style="41" customWidth="1"/>
    <col min="21" max="21" width="17.42578125" style="41" customWidth="1"/>
    <col min="22" max="22" width="18.42578125" style="41" customWidth="1"/>
    <col min="23" max="23" width="21.28515625" style="41" customWidth="1"/>
    <col min="24" max="24" width="18.85546875" style="41" customWidth="1"/>
    <col min="25" max="25" width="15.28515625" style="41" bestFit="1" customWidth="1"/>
    <col min="26" max="26" width="18.28515625" style="41" customWidth="1"/>
    <col min="27" max="27" width="19" style="41" customWidth="1"/>
    <col min="28" max="28" width="18.42578125" style="41" customWidth="1"/>
    <col min="29" max="29" width="21.42578125" style="43" customWidth="1"/>
    <col min="30" max="32" width="21.5703125" style="41" customWidth="1"/>
    <col min="33" max="33" width="41.85546875" style="43" customWidth="1"/>
    <col min="34" max="34" width="27.28515625" style="41" customWidth="1"/>
    <col min="35" max="38" width="11.28515625" style="41" customWidth="1"/>
    <col min="39" max="39" width="13.42578125" style="41" customWidth="1"/>
    <col min="40" max="40" width="12.42578125" style="41" customWidth="1"/>
    <col min="41" max="41" width="25.7109375" style="41" customWidth="1"/>
    <col min="42" max="42" width="36.28515625" style="41" bestFit="1" customWidth="1"/>
    <col min="43" max="43" width="12.5703125" style="41" customWidth="1"/>
    <col min="44" max="44" width="16.28515625" style="33" bestFit="1" customWidth="1"/>
    <col min="45" max="46" width="12.5703125" style="33" customWidth="1"/>
    <col min="47" max="47" width="14.7109375" style="33" customWidth="1"/>
    <col min="48" max="54" width="12.5703125" style="33" customWidth="1"/>
    <col min="55" max="55" width="13.7109375" style="5" customWidth="1"/>
    <col min="56" max="56" width="131.28515625" style="5" bestFit="1" customWidth="1"/>
    <col min="57" max="57" width="12.5703125" style="33" bestFit="1" customWidth="1"/>
    <col min="58" max="16384" width="12.5703125" style="33"/>
  </cols>
  <sheetData>
    <row r="1" spans="1:56" s="34" customFormat="1" ht="85.5">
      <c r="A1" s="465" t="s">
        <v>44</v>
      </c>
      <c r="B1" s="465" t="s">
        <v>158</v>
      </c>
      <c r="C1" s="465" t="s">
        <v>159</v>
      </c>
      <c r="D1" s="465" t="s">
        <v>160</v>
      </c>
      <c r="E1" s="465" t="s">
        <v>161</v>
      </c>
      <c r="F1" s="465" t="s">
        <v>162</v>
      </c>
      <c r="G1" s="465" t="s">
        <v>163</v>
      </c>
      <c r="H1" s="465" t="s">
        <v>164</v>
      </c>
      <c r="I1" s="465" t="s">
        <v>165</v>
      </c>
      <c r="J1" s="465" t="s">
        <v>166</v>
      </c>
      <c r="K1" s="465" t="s">
        <v>167</v>
      </c>
      <c r="L1" s="465" t="s">
        <v>168</v>
      </c>
      <c r="M1" s="465" t="s">
        <v>169</v>
      </c>
      <c r="N1" s="465" t="s">
        <v>170</v>
      </c>
      <c r="O1" s="466" t="s">
        <v>171</v>
      </c>
      <c r="P1" s="466" t="s">
        <v>172</v>
      </c>
      <c r="Q1" s="466" t="s">
        <v>173</v>
      </c>
      <c r="R1" s="466" t="s">
        <v>43</v>
      </c>
      <c r="S1" s="466" t="s">
        <v>174</v>
      </c>
      <c r="T1" s="466" t="s">
        <v>175</v>
      </c>
      <c r="U1" s="466" t="s">
        <v>176</v>
      </c>
      <c r="V1" s="466" t="s">
        <v>177</v>
      </c>
      <c r="W1" s="466" t="s">
        <v>178</v>
      </c>
      <c r="X1" s="466" t="s">
        <v>179</v>
      </c>
      <c r="Y1" s="466" t="s">
        <v>180</v>
      </c>
      <c r="Z1" s="466" t="s">
        <v>181</v>
      </c>
      <c r="AA1" s="466" t="s">
        <v>182</v>
      </c>
      <c r="AB1" s="466" t="s">
        <v>183</v>
      </c>
      <c r="AC1" s="466" t="s">
        <v>184</v>
      </c>
      <c r="AD1" s="465" t="s">
        <v>185</v>
      </c>
      <c r="AE1" s="465" t="s">
        <v>186</v>
      </c>
      <c r="AF1" s="465" t="s">
        <v>187</v>
      </c>
      <c r="AG1" s="465" t="s">
        <v>188</v>
      </c>
      <c r="AH1" s="467" t="s">
        <v>189</v>
      </c>
      <c r="AI1" s="467" t="s">
        <v>190</v>
      </c>
      <c r="AJ1" s="467" t="s">
        <v>191</v>
      </c>
      <c r="AK1" s="467" t="s">
        <v>192</v>
      </c>
      <c r="AL1" s="467" t="s">
        <v>193</v>
      </c>
      <c r="AM1" s="467" t="s">
        <v>194</v>
      </c>
      <c r="AN1" s="467" t="s">
        <v>195</v>
      </c>
      <c r="AO1" s="467" t="s">
        <v>196</v>
      </c>
      <c r="AP1" s="467" t="s">
        <v>197</v>
      </c>
      <c r="AQ1" s="467" t="s">
        <v>198</v>
      </c>
      <c r="AR1" s="468" t="s">
        <v>199</v>
      </c>
      <c r="AS1" s="469" t="s">
        <v>200</v>
      </c>
      <c r="AT1" s="468" t="s">
        <v>201</v>
      </c>
      <c r="AU1" s="469" t="s">
        <v>202</v>
      </c>
      <c r="AV1" s="468" t="s">
        <v>203</v>
      </c>
      <c r="AW1" s="469" t="s">
        <v>204</v>
      </c>
      <c r="AX1" s="468" t="s">
        <v>205</v>
      </c>
      <c r="AY1" s="469" t="s">
        <v>206</v>
      </c>
      <c r="AZ1" s="468" t="s">
        <v>207</v>
      </c>
      <c r="BA1" s="469" t="s">
        <v>208</v>
      </c>
      <c r="BB1" s="564" t="s">
        <v>209</v>
      </c>
      <c r="BC1" s="559" t="s">
        <v>210</v>
      </c>
      <c r="BD1" s="560" t="s">
        <v>211</v>
      </c>
    </row>
    <row r="2" spans="1:56" ht="30">
      <c r="A2" s="470" t="s">
        <v>48</v>
      </c>
      <c r="B2" s="471" t="s">
        <v>212</v>
      </c>
      <c r="C2" s="471" t="str">
        <f t="shared" ref="C2:C33" si="0">CONCATENATE(A2,","," ",B2)</f>
        <v>Bataan, Dinalupihan</v>
      </c>
      <c r="D2" s="470" t="s">
        <v>88</v>
      </c>
      <c r="E2" s="470" t="s">
        <v>213</v>
      </c>
      <c r="F2" s="472">
        <v>14.866933</v>
      </c>
      <c r="G2" s="472">
        <v>120.46110299999999</v>
      </c>
      <c r="H2" s="473" t="str">
        <f t="shared" ref="H2:H33" si="1">CONCATENATE(F2,",",G2)</f>
        <v>14.866933,120.461103</v>
      </c>
      <c r="I2" s="473" t="s">
        <v>99</v>
      </c>
      <c r="J2" s="473" t="s">
        <v>214</v>
      </c>
      <c r="K2" s="472" t="s">
        <v>215</v>
      </c>
      <c r="L2" s="472">
        <v>2025</v>
      </c>
      <c r="M2" s="472">
        <v>2034</v>
      </c>
      <c r="N2" s="49" t="s">
        <v>216</v>
      </c>
      <c r="O2" s="472" t="s">
        <v>217</v>
      </c>
      <c r="P2" s="472"/>
      <c r="Q2" s="475" t="s">
        <v>129</v>
      </c>
      <c r="R2" s="545" t="s">
        <v>92</v>
      </c>
      <c r="S2" s="472" t="s">
        <v>218</v>
      </c>
      <c r="T2" s="337">
        <v>46034</v>
      </c>
      <c r="U2" s="337">
        <v>46034</v>
      </c>
      <c r="V2" s="337"/>
      <c r="W2" s="337">
        <v>46035</v>
      </c>
      <c r="X2" s="337">
        <v>46039</v>
      </c>
      <c r="Y2" s="476">
        <f>IFERROR(
    IF(
        OR(ISBLANK(T2), ISBLANK(U2)),
        "",
        MAX(
            1,
            IF(
                NETWORKDAYS(T2, U2, Holiday_Dates) &lt;= 0,
                1,
                NETWORKDAYS(T2, U2, Holiday_Dates) - IF(T2 = U2, 0, 1)
            )
        )
    ),
    ""
)</f>
        <v>1</v>
      </c>
      <c r="Z2" s="476" t="str">
        <f>IF(
    OR(ISBLANK(U2), ISBLANK(V2)),
    "",
    MAX(
        1,
        IF(
            NETWORKDAYS(U2, V2, Holiday_Dates) &lt;= 0,
            1,
            NETWORKDAYS(U2, V2, Holiday_Dates) - IF(U2 = V2, 0, 1)
        )
    )
)</f>
        <v/>
      </c>
      <c r="AA2" s="476">
        <f>IFERROR(
    IF(
        OR(ISBLANK(W2), AND(ISBLANK(U2), ISBLANK(V2))),
        "",
        MAX(
            1,
            IF(
                NETWORKDAYS(IF(NOT(ISBLANK(V2)), V2, U2), W2, Holiday_Dates) &lt;= 0,
                1,
                NETWORKDAYS(IF(NOT(ISBLANK(V2)), V2, U2), W2, Holiday_Dates)
                - IF(IF(NOT(ISBLANK(V2)), V2, U2) = W2, 0, 1)
            )
        )
    ),
    ""
)</f>
        <v>1</v>
      </c>
      <c r="AB2" s="476">
        <f>IFERROR(
    IF(
        OR(ISBLANK(W2), ISBLANK(X2)),
        "",
        MAX(
            1,
            IF(
                NETWORKDAYS(W2, X2, Holiday_Dates) &lt;= 0,
                1,
                NETWORKDAYS(W2, X2, Holiday_Dates) - IF(W2 = X2, 0, 1)
            )
        )
    ),
    ""
)</f>
        <v>3</v>
      </c>
      <c r="AC2" s="339" t="s">
        <v>219</v>
      </c>
      <c r="AD2" s="49">
        <v>0.66800000000000004</v>
      </c>
      <c r="AE2" s="336">
        <v>82453.240000000005</v>
      </c>
      <c r="AF2" s="477">
        <v>93.32</v>
      </c>
      <c r="AG2" s="339" t="s">
        <v>220</v>
      </c>
      <c r="AH2" s="478" t="s">
        <v>221</v>
      </c>
      <c r="AI2" s="479" t="s">
        <v>100</v>
      </c>
      <c r="AJ2" s="479" t="s">
        <v>100</v>
      </c>
      <c r="AK2" s="479" t="s">
        <v>100</v>
      </c>
      <c r="AL2" s="479" t="s">
        <v>100</v>
      </c>
      <c r="AM2" s="479"/>
      <c r="AN2" s="479" t="s">
        <v>100</v>
      </c>
      <c r="AO2" s="480"/>
      <c r="AP2" s="472"/>
      <c r="AQ2" s="49"/>
      <c r="AR2" s="336">
        <v>45374.02</v>
      </c>
      <c r="AS2" s="485">
        <v>0.55030000000000001</v>
      </c>
      <c r="AT2" s="336">
        <v>29402.83</v>
      </c>
      <c r="AU2" s="485">
        <v>0.35659999999999997</v>
      </c>
      <c r="AV2" s="336">
        <v>2168.52</v>
      </c>
      <c r="AW2" s="485">
        <v>2.63E-2</v>
      </c>
      <c r="AX2" s="336">
        <v>3042.52</v>
      </c>
      <c r="AY2" s="485">
        <v>3.6900000000000002E-2</v>
      </c>
      <c r="AZ2" s="336">
        <v>2465.35</v>
      </c>
      <c r="BA2" s="485">
        <v>2.9899999999999999E-2</v>
      </c>
      <c r="BB2" s="565">
        <f t="shared" ref="BB2:BB22" si="2">SUM(AS2,AU2,AW2)</f>
        <v>0.93320000000000003</v>
      </c>
      <c r="BC2" s="561">
        <f t="shared" ref="BC2:BC33" si="3">SUM(AS2,AU2,AW2)</f>
        <v>0.93320000000000003</v>
      </c>
      <c r="BD2" s="562" t="s">
        <v>222</v>
      </c>
    </row>
    <row r="3" spans="1:56" ht="30">
      <c r="A3" s="470" t="s">
        <v>49</v>
      </c>
      <c r="B3" s="471" t="s">
        <v>223</v>
      </c>
      <c r="C3" s="471" t="str">
        <f t="shared" si="0"/>
        <v>Bulacan, Marilao</v>
      </c>
      <c r="D3" s="470" t="s">
        <v>88</v>
      </c>
      <c r="E3" s="470" t="s">
        <v>224</v>
      </c>
      <c r="F3" s="473">
        <v>14.774122</v>
      </c>
      <c r="G3" s="473">
        <v>120.959182</v>
      </c>
      <c r="H3" s="473" t="str">
        <f t="shared" si="1"/>
        <v>14.774122,120.959182</v>
      </c>
      <c r="I3" s="473" t="s">
        <v>99</v>
      </c>
      <c r="J3" s="473" t="s">
        <v>225</v>
      </c>
      <c r="K3" s="473" t="s">
        <v>226</v>
      </c>
      <c r="L3" s="473">
        <v>2020</v>
      </c>
      <c r="M3" s="473">
        <v>2029</v>
      </c>
      <c r="N3" s="473" t="s">
        <v>170</v>
      </c>
      <c r="O3" s="473" t="s">
        <v>227</v>
      </c>
      <c r="P3" s="473"/>
      <c r="Q3" s="475" t="s">
        <v>128</v>
      </c>
      <c r="R3" s="546" t="s">
        <v>92</v>
      </c>
      <c r="S3" s="472" t="s">
        <v>228</v>
      </c>
      <c r="T3" s="480">
        <v>46043</v>
      </c>
      <c r="U3" s="480">
        <v>46043</v>
      </c>
      <c r="V3" s="480"/>
      <c r="W3" s="480">
        <v>46043</v>
      </c>
      <c r="X3" s="337">
        <v>46044</v>
      </c>
      <c r="Y3" s="340">
        <f>IFERROR(
    IF(
        OR(ISBLANK(T3), ISBLANK(U3)),
        "",
        MAX(
            1,
            IF(
                NETWORKDAYS(T3, U3, Holiday_Dates) &lt;= 0,
                1,
                NETWORKDAYS(T3, U3, Holiday_Dates) - IF(T3 = U3, 0, 1)
            )
        )
    ),
    ""
)</f>
        <v>1</v>
      </c>
      <c r="Z3" s="340" t="str">
        <f>IF(
    OR(ISBLANK(U3), ISBLANK(V3)),
    "",
    MAX(
        1,
        IF(
            NETWORKDAYS(U3, V3, Holiday_Dates) &lt;= 0,
            1,
            NETWORKDAYS(U3, V3, Holiday_Dates) - IF(U3 = V3, 0, 1)
        )
    )
)</f>
        <v/>
      </c>
      <c r="AA3" s="340">
        <f>IFERROR(
    IF(
        OR(ISBLANK(W3), AND(ISBLANK(U3), ISBLANK(V3))),
        "",
        MAX(
            1,
            IF(
                NETWORKDAYS(IF(NOT(ISBLANK(V3)), V3, U3), W3, Holiday_Dates) &lt;= 0,
                1,
                NETWORKDAYS(IF(NOT(ISBLANK(V3)), V3, U3), W3, Holiday_Dates)
                - IF(IF(NOT(ISBLANK(V3)), V3, U3) = W3, 0, 1)
            )
        )
    ),
    ""
)</f>
        <v>1</v>
      </c>
      <c r="AB3" s="340">
        <f>IFERROR(
    IF(
        OR(ISBLANK(W3), ISBLANK(X3)),
        "",
        MAX(
            1,
            IF(
                NETWORKDAYS(W3, X3, Holiday_Dates) &lt;= 0,
                1,
                NETWORKDAYS(W3, X3, Holiday_Dates) - IF(W3 = X3, 0, 1)
            )
        )
    ),
    ""
)</f>
        <v>1</v>
      </c>
      <c r="AC3" s="339" t="s">
        <v>219</v>
      </c>
      <c r="AD3" s="538">
        <v>0.35570000000000002</v>
      </c>
      <c r="AE3" s="539">
        <v>91843.79</v>
      </c>
      <c r="AF3" s="477">
        <v>77.44</v>
      </c>
      <c r="AG3" s="339" t="s">
        <v>229</v>
      </c>
      <c r="AH3" s="339" t="s">
        <v>221</v>
      </c>
      <c r="AI3" s="479" t="s">
        <v>100</v>
      </c>
      <c r="AJ3" s="479" t="s">
        <v>100</v>
      </c>
      <c r="AK3" s="479" t="s">
        <v>100</v>
      </c>
      <c r="AL3" s="479" t="s">
        <v>100</v>
      </c>
      <c r="AM3" s="479"/>
      <c r="AN3" s="479" t="s">
        <v>100</v>
      </c>
      <c r="AO3" s="480"/>
      <c r="AP3" s="473"/>
      <c r="AQ3" s="49"/>
      <c r="AR3" s="336">
        <v>15882.5</v>
      </c>
      <c r="AS3" s="485">
        <v>0.58250000000000002</v>
      </c>
      <c r="AT3" s="336">
        <v>5232.3599999999997</v>
      </c>
      <c r="AU3" s="485">
        <v>0.19189999999999999</v>
      </c>
      <c r="AV3" s="336">
        <v>0</v>
      </c>
      <c r="AW3" s="336">
        <v>0</v>
      </c>
      <c r="AX3" s="336">
        <v>2320.8200000000002</v>
      </c>
      <c r="AY3" s="485">
        <v>0.1031</v>
      </c>
      <c r="AZ3" s="49">
        <v>410.73</v>
      </c>
      <c r="BA3" s="485">
        <v>1.03E-2</v>
      </c>
      <c r="BB3" s="565">
        <f t="shared" si="2"/>
        <v>0.77439999999999998</v>
      </c>
      <c r="BC3" s="561">
        <f t="shared" si="3"/>
        <v>0.77439999999999998</v>
      </c>
      <c r="BD3" s="562" t="s">
        <v>230</v>
      </c>
    </row>
    <row r="4" spans="1:56" ht="30">
      <c r="A4" s="470" t="s">
        <v>50</v>
      </c>
      <c r="B4" s="471" t="s">
        <v>231</v>
      </c>
      <c r="C4" s="471" t="str">
        <f t="shared" si="0"/>
        <v>Nueva Ecija, City Of Cabanatuan</v>
      </c>
      <c r="D4" s="470" t="s">
        <v>88</v>
      </c>
      <c r="E4" s="470" t="s">
        <v>213</v>
      </c>
      <c r="F4" s="473">
        <v>15.470777999999999</v>
      </c>
      <c r="G4" s="473">
        <v>120.952099</v>
      </c>
      <c r="H4" s="473" t="str">
        <f t="shared" si="1"/>
        <v>15.470778,120.952099</v>
      </c>
      <c r="I4" s="473" t="s">
        <v>99</v>
      </c>
      <c r="J4" s="473" t="s">
        <v>232</v>
      </c>
      <c r="K4" s="473" t="s">
        <v>233</v>
      </c>
      <c r="L4" s="473">
        <v>2022</v>
      </c>
      <c r="M4" s="473">
        <v>2029</v>
      </c>
      <c r="N4" s="473"/>
      <c r="O4" s="472" t="s">
        <v>141</v>
      </c>
      <c r="P4" s="472"/>
      <c r="Q4" s="475" t="s">
        <v>130</v>
      </c>
      <c r="R4" s="545" t="s">
        <v>92</v>
      </c>
      <c r="S4" s="472" t="s">
        <v>234</v>
      </c>
      <c r="T4" s="480">
        <v>46037</v>
      </c>
      <c r="U4" s="480">
        <v>46044</v>
      </c>
      <c r="V4" s="480"/>
      <c r="W4" s="480">
        <v>46044</v>
      </c>
      <c r="X4" s="337">
        <v>46045</v>
      </c>
      <c r="Y4" s="340">
        <f>IFERROR(
    IF(
        OR(ISBLANK(T4), ISBLANK(U4)),
        "",
        MAX(
            1,
            IF(
                NETWORKDAYS(T4, U4, Holiday_Dates) &lt;= 0,
                1,
                NETWORKDAYS(T4, U4, Holiday_Dates) - IF(T4 = U4, 0, 1)
            )
        )
    ),
    ""
)</f>
        <v>5</v>
      </c>
      <c r="Z4" s="340" t="str">
        <f>IF(
    OR(ISBLANK(U4), ISBLANK(V4)),
    "",
    MAX(
        1,
        IF(
            NETWORKDAYS(U4, V4, Holiday_Dates) &lt;= 0,
            1,
            NETWORKDAYS(U4, V4, Holiday_Dates) - IF(U4 = V4, 0, 1)
        )
    )
)</f>
        <v/>
      </c>
      <c r="AA4" s="340">
        <f>IFERROR(
    IF(
        OR(ISBLANK(W4), AND(ISBLANK(U4), ISBLANK(V4))),
        "",
        MAX(
            1,
            IF(
                NETWORKDAYS(IF(NOT(ISBLANK(V4)), V4, U4), W4, Holiday_Dates) &lt;= 0,
                1,
                NETWORKDAYS(IF(NOT(ISBLANK(V4)), V4, U4), W4, Holiday_Dates)
                - IF(IF(NOT(ISBLANK(V4)), V4, U4) = W4, 0, 1)
            )
        )
    ),
    ""
)</f>
        <v>1</v>
      </c>
      <c r="AB4" s="340">
        <f>IFERROR(
    IF(
        OR(ISBLANK(W4), ISBLANK(X4)),
        "",
        MAX(
            1,
            IF(
                NETWORKDAYS(W4, X4, Holiday_Dates) &lt;= 0,
                1,
                NETWORKDAYS(W4, X4, Holiday_Dates) - IF(W4 = X4, 0, 1)
            )
        )
    ),
    ""
)</f>
        <v>1</v>
      </c>
      <c r="AC4" s="339" t="s">
        <v>219</v>
      </c>
      <c r="AD4" s="49">
        <v>0.36299999999999999</v>
      </c>
      <c r="AE4" s="336">
        <v>136116.65</v>
      </c>
      <c r="AF4" s="49">
        <v>77.37</v>
      </c>
      <c r="AG4" s="339" t="s">
        <v>235</v>
      </c>
      <c r="AH4" s="339" t="s">
        <v>221</v>
      </c>
      <c r="AI4" s="339" t="s">
        <v>100</v>
      </c>
      <c r="AJ4" s="339" t="s">
        <v>100</v>
      </c>
      <c r="AK4" s="339" t="s">
        <v>100</v>
      </c>
      <c r="AL4" s="339" t="s">
        <v>100</v>
      </c>
      <c r="AM4" s="339" t="s">
        <v>100</v>
      </c>
      <c r="AN4" s="339" t="s">
        <v>100</v>
      </c>
      <c r="AO4" s="480"/>
      <c r="AP4" s="473"/>
      <c r="AQ4" s="49"/>
      <c r="AR4" s="336">
        <v>70901.2</v>
      </c>
      <c r="AS4" s="485">
        <v>0.53120000000000001</v>
      </c>
      <c r="AT4" s="336">
        <v>30538.77</v>
      </c>
      <c r="AU4" s="485">
        <v>0.24249999999999999</v>
      </c>
      <c r="AV4" s="336">
        <v>0</v>
      </c>
      <c r="AW4" s="336">
        <v>0</v>
      </c>
      <c r="AX4" s="336">
        <v>31688.62</v>
      </c>
      <c r="AY4" s="485">
        <v>0.22370000000000001</v>
      </c>
      <c r="AZ4" s="336">
        <v>345.05</v>
      </c>
      <c r="BA4" s="485">
        <v>2.5999999999999999E-3</v>
      </c>
      <c r="BB4" s="565">
        <f t="shared" si="2"/>
        <v>0.77370000000000005</v>
      </c>
      <c r="BC4" s="561">
        <f t="shared" si="3"/>
        <v>0.77370000000000005</v>
      </c>
      <c r="BD4" s="562" t="s">
        <v>236</v>
      </c>
    </row>
    <row r="5" spans="1:56" ht="30">
      <c r="A5" s="470" t="s">
        <v>51</v>
      </c>
      <c r="B5" s="471" t="s">
        <v>237</v>
      </c>
      <c r="C5" s="471" t="str">
        <f t="shared" si="0"/>
        <v>Pampanga, City Of San Fernando</v>
      </c>
      <c r="D5" s="470" t="s">
        <v>88</v>
      </c>
      <c r="E5" s="470" t="s">
        <v>213</v>
      </c>
      <c r="F5" s="49">
        <v>15.027900000000001</v>
      </c>
      <c r="G5" s="49">
        <v>120.69370000000001</v>
      </c>
      <c r="H5" s="473" t="str">
        <f t="shared" si="1"/>
        <v>15.0279,120.6937</v>
      </c>
      <c r="I5" s="473" t="s">
        <v>99</v>
      </c>
      <c r="J5" s="473" t="s">
        <v>238</v>
      </c>
      <c r="K5" s="49" t="s">
        <v>215</v>
      </c>
      <c r="L5" s="49">
        <v>2025</v>
      </c>
      <c r="M5" s="49">
        <v>2034</v>
      </c>
      <c r="N5" s="49"/>
      <c r="O5" s="49" t="s">
        <v>33</v>
      </c>
      <c r="P5" s="49"/>
      <c r="Q5" s="483" t="s">
        <v>239</v>
      </c>
      <c r="R5" s="547" t="s">
        <v>92</v>
      </c>
      <c r="S5" s="472" t="s">
        <v>240</v>
      </c>
      <c r="T5" s="337">
        <v>46035</v>
      </c>
      <c r="U5" s="337">
        <v>46038</v>
      </c>
      <c r="V5" s="337"/>
      <c r="W5" s="337">
        <v>46043</v>
      </c>
      <c r="X5" s="337">
        <v>46043</v>
      </c>
      <c r="Y5" s="476">
        <f>IFERROR(
    IF(
        OR(ISBLANK(T5), ISBLANK(U5)),
        "",
        MAX(
            1,
            IF(
                NETWORKDAYS(T5, U5, Holiday_Dates) &lt;= 0,
                1,
                NETWORKDAYS(T5, U5, Holiday_Dates) - IF(T5 = U5, 0, 1)
            )
        )
    ),
    ""
)</f>
        <v>3</v>
      </c>
      <c r="Z5" s="476" t="str">
        <f>IF(
    OR(ISBLANK(U5), ISBLANK(V5)),
    "",
    MAX(
        1,
        IF(
            NETWORKDAYS(U5, V5, Holiday_Dates) &lt;= 0,
            1,
            NETWORKDAYS(U5, V5, Holiday_Dates) - IF(U5 = V5, 0, 1)
        )
    )
)</f>
        <v/>
      </c>
      <c r="AA5" s="476">
        <f>IFERROR(
    IF(
        OR(ISBLANK(W5), AND(ISBLANK(U5), ISBLANK(V5))),
        "",
        MAX(
            1,
            IF(
                NETWORKDAYS(IF(NOT(ISBLANK(V5)), V5, U5), W5, Holiday_Dates) &lt;= 0,
                1,
                NETWORKDAYS(IF(NOT(ISBLANK(V5)), V5, U5), W5, Holiday_Dates)
                - IF(IF(NOT(ISBLANK(V5)), V5, U5) = W5, 0, 1)
            )
        )
    ),
    ""
)</f>
        <v>3</v>
      </c>
      <c r="AB5" s="476">
        <f>IFERROR(
    IF(
        OR(ISBLANK(W5), ISBLANK(X5)),
        "",
        MAX(
            1,
            IF(
                NETWORKDAYS(W5, X5, Holiday_Dates) &lt;= 0,
                1,
                NETWORKDAYS(W5, X5, Holiday_Dates) - IF(W5 = X5, 0, 1)
            )
        )
    ),
    ""
)</f>
        <v>1</v>
      </c>
      <c r="AC5" s="339" t="s">
        <v>219</v>
      </c>
      <c r="AD5" s="49">
        <v>0.63700000000000001</v>
      </c>
      <c r="AE5" s="336">
        <v>255469.93</v>
      </c>
      <c r="AF5" s="477">
        <v>62.27</v>
      </c>
      <c r="AG5" s="339" t="s">
        <v>229</v>
      </c>
      <c r="AH5" s="478" t="s">
        <v>221</v>
      </c>
      <c r="AI5" s="479" t="s">
        <v>100</v>
      </c>
      <c r="AJ5" s="479" t="s">
        <v>100</v>
      </c>
      <c r="AK5" s="479" t="s">
        <v>100</v>
      </c>
      <c r="AL5" s="479" t="s">
        <v>100</v>
      </c>
      <c r="AM5" s="479" t="s">
        <v>100</v>
      </c>
      <c r="AN5" s="479" t="s">
        <v>100</v>
      </c>
      <c r="AO5" s="337"/>
      <c r="AP5" s="49"/>
      <c r="AQ5" s="49"/>
      <c r="AR5" s="336">
        <v>76338.592999999993</v>
      </c>
      <c r="AS5" s="485">
        <v>0.29881999999999997</v>
      </c>
      <c r="AT5" s="336">
        <v>82735.887000000002</v>
      </c>
      <c r="AU5" s="485">
        <v>0.32385999999999998</v>
      </c>
      <c r="AV5" s="336">
        <v>0</v>
      </c>
      <c r="AW5" s="336">
        <v>0</v>
      </c>
      <c r="AX5" s="336">
        <v>85518.274000000005</v>
      </c>
      <c r="AY5" s="485">
        <v>0.33474999999999999</v>
      </c>
      <c r="AZ5" s="336">
        <v>10877.175999999999</v>
      </c>
      <c r="BA5" s="485">
        <v>4.258E-2</v>
      </c>
      <c r="BB5" s="565">
        <f t="shared" si="2"/>
        <v>0.6226799999999999</v>
      </c>
      <c r="BC5" s="561">
        <f t="shared" si="3"/>
        <v>0.6226799999999999</v>
      </c>
      <c r="BD5" s="562" t="s">
        <v>241</v>
      </c>
    </row>
    <row r="6" spans="1:56" ht="30">
      <c r="A6" s="470" t="s">
        <v>53</v>
      </c>
      <c r="B6" s="471" t="s">
        <v>242</v>
      </c>
      <c r="C6" s="471" t="str">
        <f t="shared" si="0"/>
        <v>Zambales, City Of Olongapo</v>
      </c>
      <c r="D6" s="470" t="s">
        <v>89</v>
      </c>
      <c r="E6" s="470" t="s">
        <v>243</v>
      </c>
      <c r="F6" s="49">
        <v>14.842411</v>
      </c>
      <c r="G6" s="49">
        <v>120.28764700000001</v>
      </c>
      <c r="H6" s="473" t="str">
        <f t="shared" si="1"/>
        <v>14.842411,120.287647</v>
      </c>
      <c r="I6" s="473" t="s">
        <v>99</v>
      </c>
      <c r="J6" s="339" t="s">
        <v>244</v>
      </c>
      <c r="K6" s="49" t="s">
        <v>245</v>
      </c>
      <c r="L6" s="49">
        <v>2023</v>
      </c>
      <c r="M6" s="49">
        <v>2032</v>
      </c>
      <c r="N6" s="49"/>
      <c r="O6" s="49" t="s">
        <v>246</v>
      </c>
      <c r="P6" s="49"/>
      <c r="Q6" s="475" t="s">
        <v>133</v>
      </c>
      <c r="R6" s="546" t="s">
        <v>92</v>
      </c>
      <c r="S6" s="472" t="s">
        <v>247</v>
      </c>
      <c r="T6" s="337">
        <v>46037</v>
      </c>
      <c r="U6" s="337">
        <v>46040</v>
      </c>
      <c r="V6" s="337"/>
      <c r="W6" s="337">
        <v>46040</v>
      </c>
      <c r="X6" s="337">
        <v>46041</v>
      </c>
      <c r="Y6" s="340">
        <f>IFERROR(
    IF(
        OR(ISBLANK(T6), ISBLANK(U6)),
        "",
        MAX(
            1,
            IF(
                NETWORKDAYS(T6, U6, Holiday_Dates) &lt;= 0,
                1,
                NETWORKDAYS(T6, U6, Holiday_Dates) - IF(T6 = U6, 0, 1)
            )
        )
    ),
    ""
)</f>
        <v>1</v>
      </c>
      <c r="Z6" s="340" t="str">
        <f>IF(
    OR(ISBLANK(U6), ISBLANK(V6)),
    "",
    MAX(
        1,
        IF(
            NETWORKDAYS(U6, V6, Holiday_Dates) &lt;= 0,
            1,
            NETWORKDAYS(U6, V6, Holiday_Dates) - IF(U6 = V6, 0, 1)
        )
    )
)</f>
        <v/>
      </c>
      <c r="AA6" s="340">
        <f>IFERROR(
    IF(
        OR(ISBLANK(W6), AND(ISBLANK(U6), ISBLANK(V6))),
        "",
        MAX(
            1,
            IF(
                NETWORKDAYS(IF(NOT(ISBLANK(V6)), V6, U6), W6, Holiday_Dates) &lt;= 0,
                1,
                NETWORKDAYS(IF(NOT(ISBLANK(V6)), V6, U6), W6, Holiday_Dates)
                - IF(IF(NOT(ISBLANK(V6)), V6, U6) = W6, 0, 1)
            )
        )
    ),
    ""
)</f>
        <v>1</v>
      </c>
      <c r="AB6" s="340">
        <f>IFERROR(
    IF(
        OR(ISBLANK(W6), ISBLANK(X6)),
        "",
        MAX(
            1,
            IF(
                NETWORKDAYS(W6, X6, Holiday_Dates) &lt;= 0,
                1,
                NETWORKDAYS(W6, X6, Holiday_Dates) - IF(W6 = X6, 0, 1)
            )
        )
    ),
    ""
)</f>
        <v>1</v>
      </c>
      <c r="AC6" s="339" t="s">
        <v>219</v>
      </c>
      <c r="AD6" s="49">
        <v>0.89300000000000002</v>
      </c>
      <c r="AE6" s="336">
        <v>236558.38</v>
      </c>
      <c r="AF6" s="477">
        <v>76.84</v>
      </c>
      <c r="AG6" s="486" t="s">
        <v>248</v>
      </c>
      <c r="AH6" s="339" t="s">
        <v>221</v>
      </c>
      <c r="AI6" s="479" t="s">
        <v>100</v>
      </c>
      <c r="AJ6" s="479" t="s">
        <v>100</v>
      </c>
      <c r="AK6" s="479" t="s">
        <v>100</v>
      </c>
      <c r="AL6" s="479" t="s">
        <v>100</v>
      </c>
      <c r="AM6" s="49"/>
      <c r="AN6" s="479" t="s">
        <v>100</v>
      </c>
      <c r="AO6" s="337"/>
      <c r="AP6" s="49"/>
      <c r="AQ6" s="49"/>
      <c r="AR6" s="336">
        <v>96468.51</v>
      </c>
      <c r="AS6" s="485">
        <v>0.4078</v>
      </c>
      <c r="AT6" s="336">
        <v>73711.59</v>
      </c>
      <c r="AU6" s="485">
        <v>0.31159999999999999</v>
      </c>
      <c r="AV6" s="336">
        <v>11591.36</v>
      </c>
      <c r="AW6" s="485">
        <v>4.9000000000000002E-2</v>
      </c>
      <c r="AX6" s="336">
        <v>47311.68</v>
      </c>
      <c r="AY6" s="485">
        <v>0.2</v>
      </c>
      <c r="AZ6" s="336">
        <v>7475.24</v>
      </c>
      <c r="BA6" s="485">
        <v>3.1600000000000003E-2</v>
      </c>
      <c r="BB6" s="565">
        <f t="shared" si="2"/>
        <v>0.76840000000000008</v>
      </c>
      <c r="BC6" s="561">
        <f t="shared" si="3"/>
        <v>0.76840000000000008</v>
      </c>
      <c r="BD6" s="562" t="s">
        <v>249</v>
      </c>
    </row>
    <row r="7" spans="1:56" ht="30">
      <c r="A7" s="470" t="s">
        <v>52</v>
      </c>
      <c r="B7" s="471" t="s">
        <v>250</v>
      </c>
      <c r="C7" s="471" t="str">
        <f t="shared" si="0"/>
        <v>Tarlac, Concepcion</v>
      </c>
      <c r="D7" s="470" t="s">
        <v>88</v>
      </c>
      <c r="E7" s="472" t="s">
        <v>213</v>
      </c>
      <c r="F7" s="49">
        <v>15.323352</v>
      </c>
      <c r="G7" s="49">
        <v>120.655511</v>
      </c>
      <c r="H7" s="473" t="str">
        <f t="shared" si="1"/>
        <v>15.323352,120.655511</v>
      </c>
      <c r="I7" s="473" t="s">
        <v>99</v>
      </c>
      <c r="J7" s="473" t="s">
        <v>251</v>
      </c>
      <c r="K7" s="49" t="s">
        <v>252</v>
      </c>
      <c r="L7" s="49">
        <v>2020</v>
      </c>
      <c r="M7" s="49">
        <v>2027</v>
      </c>
      <c r="N7" s="49"/>
      <c r="O7" s="49" t="s">
        <v>39</v>
      </c>
      <c r="P7" s="49"/>
      <c r="Q7" s="475" t="s">
        <v>28</v>
      </c>
      <c r="R7" s="546" t="s">
        <v>92</v>
      </c>
      <c r="S7" s="472" t="s">
        <v>253</v>
      </c>
      <c r="T7" s="337">
        <v>46037</v>
      </c>
      <c r="U7" s="337">
        <v>46038</v>
      </c>
      <c r="V7" s="337"/>
      <c r="W7" s="337">
        <v>46042</v>
      </c>
      <c r="X7" s="337">
        <v>46042</v>
      </c>
      <c r="Y7" s="476">
        <f>IFERROR(
    IF(
        OR(ISBLANK(T7), ISBLANK(U7)),
        "",
        MAX(
            1,
            IF(
                NETWORKDAYS(T7, U7, Holiday_Dates) &lt;= 0,
                1,
                NETWORKDAYS(T7, U7, Holiday_Dates) - IF(T7 = U7, 0, 1)
            )
        )
    ),
    ""
)</f>
        <v>1</v>
      </c>
      <c r="Z7" s="476" t="str">
        <f>IF(
    OR(ISBLANK(U7), ISBLANK(V7)),
    "",
    MAX(
        1,
        IF(
            NETWORKDAYS(U7, V7, Holiday_Dates) &lt;= 0,
            1,
            NETWORKDAYS(U7, V7, Holiday_Dates) - IF(U7 = V7, 0, 1)
        )
    )
)</f>
        <v/>
      </c>
      <c r="AA7" s="476">
        <f>IFERROR(
    IF(
        OR(ISBLANK(W7), AND(ISBLANK(U7), ISBLANK(V7))),
        "",
        MAX(
            1,
            IF(
                NETWORKDAYS(IF(NOT(ISBLANK(V7)), V7, U7), W7, Holiday_Dates) &lt;= 0,
                1,
                NETWORKDAYS(IF(NOT(ISBLANK(V7)), V7, U7), W7, Holiday_Dates)
                - IF(IF(NOT(ISBLANK(V7)), V7, U7) = W7, 0, 1)
            )
        )
    ),
    ""
)</f>
        <v>2</v>
      </c>
      <c r="AB7" s="476">
        <f>IFERROR(
    IF(
        OR(ISBLANK(W7), ISBLANK(X7)),
        "",
        MAX(
            1,
            IF(
                NETWORKDAYS(W7, X7, Holiday_Dates) &lt;= 0,
                1,
                NETWORKDAYS(W7, X7, Holiday_Dates) - IF(W7 = X7, 0, 1)
            )
        )
    ),
    ""
)</f>
        <v>1</v>
      </c>
      <c r="AC7" s="339" t="s">
        <v>219</v>
      </c>
      <c r="AD7" s="49">
        <v>0.55000000000000004</v>
      </c>
      <c r="AE7" s="336" t="s">
        <v>254</v>
      </c>
      <c r="AF7" s="477">
        <v>85.54</v>
      </c>
      <c r="AG7" s="339" t="s">
        <v>255</v>
      </c>
      <c r="AH7" s="478" t="s">
        <v>221</v>
      </c>
      <c r="AI7" s="49" t="s">
        <v>100</v>
      </c>
      <c r="AJ7" s="49" t="s">
        <v>100</v>
      </c>
      <c r="AK7" s="49" t="s">
        <v>100</v>
      </c>
      <c r="AL7" s="49" t="s">
        <v>100</v>
      </c>
      <c r="AM7" s="49"/>
      <c r="AN7" s="49" t="s">
        <v>100</v>
      </c>
      <c r="AO7" s="337"/>
      <c r="AP7" s="49"/>
      <c r="AQ7" s="49"/>
      <c r="AR7" s="336" t="s">
        <v>256</v>
      </c>
      <c r="AS7" s="485">
        <v>0.64229999999999998</v>
      </c>
      <c r="AT7" s="336">
        <v>18820.189999999999</v>
      </c>
      <c r="AU7" s="485">
        <v>0.21310000000000001</v>
      </c>
      <c r="AV7" s="336">
        <v>0</v>
      </c>
      <c r="AW7" s="336">
        <v>0</v>
      </c>
      <c r="AX7" s="336">
        <v>12726.37</v>
      </c>
      <c r="AY7" s="485">
        <v>0.14410000000000001</v>
      </c>
      <c r="AZ7" s="49">
        <v>44.16</v>
      </c>
      <c r="BA7" s="485">
        <v>0.05</v>
      </c>
      <c r="BB7" s="565">
        <f t="shared" si="2"/>
        <v>0.85539999999999994</v>
      </c>
      <c r="BC7" s="561">
        <f t="shared" si="3"/>
        <v>0.85539999999999994</v>
      </c>
      <c r="BD7" s="562" t="s">
        <v>257</v>
      </c>
    </row>
    <row r="8" spans="1:56" ht="30">
      <c r="A8" s="470" t="s">
        <v>47</v>
      </c>
      <c r="B8" s="471" t="s">
        <v>258</v>
      </c>
      <c r="C8" s="471" t="str">
        <f t="shared" si="0"/>
        <v>Aurora, Maria Aurora</v>
      </c>
      <c r="D8" s="470" t="s">
        <v>89</v>
      </c>
      <c r="E8" s="470" t="s">
        <v>259</v>
      </c>
      <c r="F8" s="472">
        <v>15.798717</v>
      </c>
      <c r="G8" s="472">
        <v>121.47355</v>
      </c>
      <c r="H8" s="473" t="str">
        <f t="shared" si="1"/>
        <v>15.798717,121.47355</v>
      </c>
      <c r="I8" s="473" t="s">
        <v>99</v>
      </c>
      <c r="J8" s="473" t="s">
        <v>260</v>
      </c>
      <c r="K8" s="472" t="s">
        <v>261</v>
      </c>
      <c r="L8" s="472">
        <v>2015</v>
      </c>
      <c r="M8" s="472">
        <v>2024</v>
      </c>
      <c r="N8" s="49" t="s">
        <v>216</v>
      </c>
      <c r="O8" s="472" t="s">
        <v>14</v>
      </c>
      <c r="P8" s="472"/>
      <c r="Q8" s="475" t="s">
        <v>128</v>
      </c>
      <c r="R8" s="472" t="s">
        <v>62</v>
      </c>
      <c r="S8" s="472" t="s">
        <v>262</v>
      </c>
      <c r="T8" s="337">
        <v>46056</v>
      </c>
      <c r="U8" s="337">
        <v>46062</v>
      </c>
      <c r="V8" s="337">
        <v>46069</v>
      </c>
      <c r="W8" s="337">
        <v>46069</v>
      </c>
      <c r="X8" s="337">
        <v>46069</v>
      </c>
      <c r="Y8" s="476">
        <f>IFERROR(
    IF(
        OR(ISBLANK(T8), ISBLANK(U8)),
        "",
        MAX(
            1,
            IF(
                NETWORKDAYS(T8, U8, Holiday_Dates) &lt;= 0,
                1,
                NETWORKDAYS(T8, U8, Holiday_Dates) - IF(T8 = U8, 0, 1)
            )
        )
    ),
    ""
)</f>
        <v>4</v>
      </c>
      <c r="Z8" s="476">
        <f>IF(
    OR(ISBLANK(U8), ISBLANK(V8)),
    "",
    MAX(
        1,
        IF(
            NETWORKDAYS(U8, V8, Holiday_Dates) &lt;= 0,
            1,
            NETWORKDAYS(U8, V8, Holiday_Dates) - IF(U8 = V8, 0, 1)
        )
    )
)</f>
        <v>5</v>
      </c>
      <c r="AA8" s="476">
        <f>IFERROR(
    IF(
        OR(ISBLANK(W8), AND(ISBLANK(U8), ISBLANK(V8))),
        "",
        MAX(
            1,
            IF(
                NETWORKDAYS(IF(NOT(ISBLANK(V8)), V8, U8), W8, Holiday_Dates) &lt;= 0,
                1,
                NETWORKDAYS(IF(NOT(ISBLANK(V8)), V8, U8), W8, Holiday_Dates)
                - IF(IF(NOT(ISBLANK(V8)), V8, U8) = W8, 0, 1)
            )
        )
    ),
    ""
)</f>
        <v>1</v>
      </c>
      <c r="AB8" s="476">
        <f>IFERROR(
    IF(
        OR(ISBLANK(W8), ISBLANK(X8)),
        "",
        MAX(
            1,
            IF(
                NETWORKDAYS(W8, X8, Holiday_Dates) &lt;= 0,
                1,
                NETWORKDAYS(W8, X8, Holiday_Dates) - IF(W8 = X8, 0, 1)
            )
        )
    ),
    ""
)</f>
        <v>1</v>
      </c>
      <c r="AC8" s="339" t="s">
        <v>219</v>
      </c>
      <c r="AD8" s="49">
        <v>0.24</v>
      </c>
      <c r="AE8" s="336">
        <v>1846.31</v>
      </c>
      <c r="AF8" s="49">
        <v>8.02</v>
      </c>
      <c r="AG8" s="339" t="s">
        <v>263</v>
      </c>
      <c r="AH8" s="478" t="s">
        <v>221</v>
      </c>
      <c r="AI8" s="479" t="s">
        <v>100</v>
      </c>
      <c r="AJ8" s="479" t="s">
        <v>100</v>
      </c>
      <c r="AK8" s="479" t="s">
        <v>100</v>
      </c>
      <c r="AL8" s="479" t="s">
        <v>100</v>
      </c>
      <c r="AM8" s="479"/>
      <c r="AN8" s="479" t="s">
        <v>100</v>
      </c>
      <c r="AO8" s="487"/>
      <c r="AP8" s="473"/>
      <c r="AQ8" s="339"/>
      <c r="AR8" s="336">
        <v>95.66</v>
      </c>
      <c r="AS8" s="485">
        <v>5.1799999999999999E-2</v>
      </c>
      <c r="AT8" s="336">
        <v>39.14</v>
      </c>
      <c r="AU8" s="485">
        <v>2.1100000000000001E-2</v>
      </c>
      <c r="AV8" s="336">
        <v>13.58</v>
      </c>
      <c r="AW8" s="485">
        <v>7.3000000000000001E-3</v>
      </c>
      <c r="AX8" s="336">
        <v>1697.93</v>
      </c>
      <c r="AY8" s="485">
        <v>0.91959999999999997</v>
      </c>
      <c r="AZ8" s="336">
        <v>0</v>
      </c>
      <c r="BA8" s="485">
        <v>0</v>
      </c>
      <c r="BB8" s="565">
        <f t="shared" si="2"/>
        <v>8.0199999999999994E-2</v>
      </c>
      <c r="BC8" s="561">
        <f t="shared" si="3"/>
        <v>8.0199999999999994E-2</v>
      </c>
      <c r="BD8" s="624" t="s">
        <v>264</v>
      </c>
    </row>
    <row r="9" spans="1:56" ht="30">
      <c r="A9" s="470" t="s">
        <v>48</v>
      </c>
      <c r="B9" s="471" t="s">
        <v>265</v>
      </c>
      <c r="C9" s="471" t="str">
        <f t="shared" si="0"/>
        <v>Bataan, Bagac</v>
      </c>
      <c r="D9" s="470" t="s">
        <v>88</v>
      </c>
      <c r="E9" s="470" t="s">
        <v>213</v>
      </c>
      <c r="F9" s="472">
        <v>14.607148</v>
      </c>
      <c r="G9" s="472">
        <v>120.40199699999999</v>
      </c>
      <c r="H9" s="473" t="str">
        <f t="shared" si="1"/>
        <v>14.607148,120.401997</v>
      </c>
      <c r="I9" s="473" t="s">
        <v>99</v>
      </c>
      <c r="J9" s="473" t="s">
        <v>266</v>
      </c>
      <c r="K9" s="472" t="s">
        <v>261</v>
      </c>
      <c r="L9" s="472">
        <v>2017</v>
      </c>
      <c r="M9" s="472">
        <v>2024</v>
      </c>
      <c r="N9" s="49" t="s">
        <v>170</v>
      </c>
      <c r="O9" s="472" t="s">
        <v>19</v>
      </c>
      <c r="P9" s="472"/>
      <c r="Q9" s="475" t="s">
        <v>129</v>
      </c>
      <c r="R9" s="472" t="s">
        <v>62</v>
      </c>
      <c r="S9" s="49" t="s">
        <v>267</v>
      </c>
      <c r="T9" s="337">
        <v>46062</v>
      </c>
      <c r="U9" s="337">
        <v>46063</v>
      </c>
      <c r="V9" s="337"/>
      <c r="W9" s="337">
        <v>46064</v>
      </c>
      <c r="X9" s="337">
        <v>46064</v>
      </c>
      <c r="Y9" s="476">
        <f>IFERROR(
    IF(
        OR(ISBLANK(T9), ISBLANK(U9)),
        "",
        MAX(
            1,
            IF(
                NETWORKDAYS(T9, U9, Holiday_Dates) &lt;= 0,
                1,
                NETWORKDAYS(T9, U9, Holiday_Dates) - IF(T9 = U9, 0, 1)
            )
        )
    ),
    ""
)</f>
        <v>1</v>
      </c>
      <c r="Z9" s="476" t="str">
        <f>IF(
    OR(ISBLANK(U9), ISBLANK(V9)),
    "",
    MAX(
        1,
        IF(
            NETWORKDAYS(U9, V9, Holiday_Dates) &lt;= 0,
            1,
            NETWORKDAYS(U9, V9, Holiday_Dates) - IF(U9 = V9, 0, 1)
        )
    )
)</f>
        <v/>
      </c>
      <c r="AA9" s="476">
        <f>IFERROR(
    IF(
        OR(ISBLANK(W9), AND(ISBLANK(U9), ISBLANK(V9))),
        "",
        MAX(
            1,
            IF(
                NETWORKDAYS(IF(NOT(ISBLANK(V9)), V9, U9), W9, Holiday_Dates) &lt;= 0,
                1,
                NETWORKDAYS(IF(NOT(ISBLANK(V9)), V9, U9), W9, Holiday_Dates)
                - IF(IF(NOT(ISBLANK(V9)), V9, U9) = W9, 0, 1)
            )
        )
    ),
    ""
)</f>
        <v>1</v>
      </c>
      <c r="AB9" s="476">
        <f>IFERROR(
    IF(
        OR(ISBLANK(W9), ISBLANK(X9)),
        "",
        MAX(
            1,
            IF(
                NETWORKDAYS(W9, X9, Holiday_Dates) &lt;= 0,
                1,
                NETWORKDAYS(W9, X9, Holiday_Dates) - IF(W9 = X9, 0, 1)
            )
        )
    ),
    ""
)</f>
        <v>1</v>
      </c>
      <c r="AC9" s="339" t="s">
        <v>219</v>
      </c>
      <c r="AD9" s="49">
        <v>0.40400000000000003</v>
      </c>
      <c r="AE9" s="336">
        <v>11865.24</v>
      </c>
      <c r="AF9" s="477">
        <v>91.16</v>
      </c>
      <c r="AG9" s="339" t="s">
        <v>268</v>
      </c>
      <c r="AH9" s="478" t="s">
        <v>221</v>
      </c>
      <c r="AI9" s="49" t="s">
        <v>100</v>
      </c>
      <c r="AJ9" s="49" t="s">
        <v>100</v>
      </c>
      <c r="AK9" s="49" t="s">
        <v>100</v>
      </c>
      <c r="AL9" s="49" t="s">
        <v>100</v>
      </c>
      <c r="AM9" s="49" t="s">
        <v>100</v>
      </c>
      <c r="AN9" s="49" t="s">
        <v>100</v>
      </c>
      <c r="AO9" s="480"/>
      <c r="AP9" s="473"/>
      <c r="AQ9" s="49"/>
      <c r="AR9" s="336">
        <v>6555.54</v>
      </c>
      <c r="AS9" s="485">
        <v>0.55249999999999999</v>
      </c>
      <c r="AT9" s="336">
        <v>3141.92</v>
      </c>
      <c r="AU9" s="485">
        <v>0.26479999999999998</v>
      </c>
      <c r="AV9" s="336">
        <v>1118.8900000000001</v>
      </c>
      <c r="AW9" s="485">
        <v>9.4299999999999995E-2</v>
      </c>
      <c r="AX9" s="336">
        <v>1035.8399999999999</v>
      </c>
      <c r="AY9" s="485">
        <v>8.7300000000000003E-2</v>
      </c>
      <c r="AZ9" s="336">
        <v>13.05</v>
      </c>
      <c r="BA9" s="485">
        <v>1.1000000000000001E-3</v>
      </c>
      <c r="BB9" s="565">
        <f t="shared" si="2"/>
        <v>0.91159999999999997</v>
      </c>
      <c r="BC9" s="561">
        <f t="shared" si="3"/>
        <v>0.91159999999999997</v>
      </c>
      <c r="BD9" s="624" t="s">
        <v>269</v>
      </c>
    </row>
    <row r="10" spans="1:56" ht="30">
      <c r="A10" s="470" t="s">
        <v>48</v>
      </c>
      <c r="B10" s="471" t="s">
        <v>270</v>
      </c>
      <c r="C10" s="471" t="str">
        <f t="shared" si="0"/>
        <v>Bataan, City Of Balanga</v>
      </c>
      <c r="D10" s="470" t="s">
        <v>88</v>
      </c>
      <c r="E10" s="470" t="s">
        <v>271</v>
      </c>
      <c r="F10" s="472">
        <v>14.679914</v>
      </c>
      <c r="G10" s="472">
        <v>120.54069800000001</v>
      </c>
      <c r="H10" s="473" t="str">
        <f t="shared" si="1"/>
        <v>14.679914,120.540698</v>
      </c>
      <c r="I10" s="473" t="s">
        <v>99</v>
      </c>
      <c r="J10" s="473" t="s">
        <v>272</v>
      </c>
      <c r="K10" s="472" t="s">
        <v>215</v>
      </c>
      <c r="L10" s="472">
        <v>2025</v>
      </c>
      <c r="M10" s="472">
        <v>2034</v>
      </c>
      <c r="N10" s="49" t="s">
        <v>170</v>
      </c>
      <c r="O10" s="472" t="s">
        <v>273</v>
      </c>
      <c r="P10" s="472"/>
      <c r="Q10" s="475" t="s">
        <v>129</v>
      </c>
      <c r="R10" s="472" t="s">
        <v>62</v>
      </c>
      <c r="S10" s="472" t="s">
        <v>274</v>
      </c>
      <c r="T10" s="337">
        <v>46051</v>
      </c>
      <c r="U10" s="337">
        <v>46052</v>
      </c>
      <c r="V10" s="337"/>
      <c r="W10" s="337">
        <v>46053</v>
      </c>
      <c r="X10" s="337">
        <v>46055</v>
      </c>
      <c r="Y10" s="476">
        <f>IFERROR(
    IF(
        OR(ISBLANK(T10), ISBLANK(U10)),
        "",
        MAX(
            1,
            IF(
                NETWORKDAYS(T10, U10, Holiday_Dates) &lt;= 0,
                1,
                NETWORKDAYS(T10, U10, Holiday_Dates) - IF(T10 = U10, 0, 1)
            )
        )
    ),
    ""
)</f>
        <v>1</v>
      </c>
      <c r="Z10" s="476" t="str">
        <f>IF(
    OR(ISBLANK(U10), ISBLANK(V10)),
    "",
    MAX(
        1,
        IF(
            NETWORKDAYS(U10, V10, Holiday_Dates) &lt;= 0,
            1,
            NETWORKDAYS(U10, V10, Holiday_Dates) - IF(U10 = V10, 0, 1)
        )
    )
)</f>
        <v/>
      </c>
      <c r="AA10" s="476">
        <f>IFERROR(
    IF(
        OR(ISBLANK(W10), AND(ISBLANK(U10), ISBLANK(V10))),
        "",
        MAX(
            1,
            IF(
                NETWORKDAYS(IF(NOT(ISBLANK(V10)), V10, U10), W10, Holiday_Dates) &lt;= 0,
                1,
                NETWORKDAYS(IF(NOT(ISBLANK(V10)), V10, U10), W10, Holiday_Dates)
                - IF(IF(NOT(ISBLANK(V10)), V10, U10) = W10, 0, 1)
            )
        )
    ),
    ""
)</f>
        <v>1</v>
      </c>
      <c r="AB10" s="476">
        <f>IFERROR(
    IF(
        OR(ISBLANK(W10), ISBLANK(X10)),
        "",
        MAX(
            1,
            IF(
                NETWORKDAYS(W10, X10, Holiday_Dates) &lt;= 0,
                1,
                NETWORKDAYS(W10, X10, Holiday_Dates) - IF(W10 = X10, 0, 1)
            )
        )
    ),
    ""
)</f>
        <v>1</v>
      </c>
      <c r="AC10" s="339" t="s">
        <v>219</v>
      </c>
      <c r="AD10" s="49">
        <v>0.48499999999999999</v>
      </c>
      <c r="AE10" s="336">
        <v>50572.4</v>
      </c>
      <c r="AF10" s="49">
        <v>80.88</v>
      </c>
      <c r="AG10" s="339" t="s">
        <v>275</v>
      </c>
      <c r="AH10" s="478" t="s">
        <v>221</v>
      </c>
      <c r="AI10" s="49" t="s">
        <v>100</v>
      </c>
      <c r="AJ10" s="49" t="s">
        <v>100</v>
      </c>
      <c r="AK10" s="49" t="s">
        <v>100</v>
      </c>
      <c r="AL10" s="49" t="s">
        <v>100</v>
      </c>
      <c r="AM10" s="49"/>
      <c r="AN10" s="49" t="s">
        <v>100</v>
      </c>
      <c r="AO10" s="49"/>
      <c r="AP10" s="473"/>
      <c r="AQ10" s="49"/>
      <c r="AR10" s="336">
        <v>19505.77</v>
      </c>
      <c r="AS10" s="485">
        <v>0.38569999999999999</v>
      </c>
      <c r="AT10" s="336">
        <v>9118.2000000000007</v>
      </c>
      <c r="AU10" s="485">
        <v>0.18029999999999999</v>
      </c>
      <c r="AV10" s="336">
        <v>12279.67</v>
      </c>
      <c r="AW10" s="485">
        <v>0.24279999999999999</v>
      </c>
      <c r="AX10" s="336">
        <v>9117.51</v>
      </c>
      <c r="AY10" s="485">
        <v>0.18029999999999999</v>
      </c>
      <c r="AZ10" s="336">
        <v>551.25</v>
      </c>
      <c r="BA10" s="485">
        <v>1.09E-2</v>
      </c>
      <c r="BB10" s="565">
        <f t="shared" si="2"/>
        <v>0.80879999999999996</v>
      </c>
      <c r="BC10" s="561">
        <f t="shared" si="3"/>
        <v>0.80879999999999996</v>
      </c>
      <c r="BD10" s="624" t="s">
        <v>276</v>
      </c>
    </row>
    <row r="11" spans="1:56">
      <c r="A11" s="470" t="s">
        <v>49</v>
      </c>
      <c r="B11" s="471" t="s">
        <v>277</v>
      </c>
      <c r="C11" s="471" t="str">
        <f t="shared" si="0"/>
        <v>Bulacan, City Of Meycauayan</v>
      </c>
      <c r="D11" s="470" t="s">
        <v>88</v>
      </c>
      <c r="E11" s="470" t="s">
        <v>224</v>
      </c>
      <c r="F11" s="473">
        <v>14.774921000000001</v>
      </c>
      <c r="G11" s="473">
        <v>120.99868499999999</v>
      </c>
      <c r="H11" s="473" t="str">
        <f t="shared" si="1"/>
        <v>14.774921,120.998685</v>
      </c>
      <c r="I11" s="473" t="s">
        <v>99</v>
      </c>
      <c r="J11" s="473" t="s">
        <v>278</v>
      </c>
      <c r="K11" s="473" t="s">
        <v>279</v>
      </c>
      <c r="L11" s="473">
        <v>2019</v>
      </c>
      <c r="M11" s="473">
        <v>2028</v>
      </c>
      <c r="N11" s="473" t="s">
        <v>170</v>
      </c>
      <c r="O11" s="473" t="s">
        <v>227</v>
      </c>
      <c r="P11" s="473"/>
      <c r="Q11" s="475" t="s">
        <v>128</v>
      </c>
      <c r="R11" s="472" t="s">
        <v>62</v>
      </c>
      <c r="S11" s="339" t="s">
        <v>280</v>
      </c>
      <c r="T11" s="480">
        <v>46069</v>
      </c>
      <c r="U11" s="480">
        <v>46070</v>
      </c>
      <c r="V11" s="480"/>
      <c r="W11" s="480">
        <v>46071</v>
      </c>
      <c r="X11" s="337">
        <v>46071</v>
      </c>
      <c r="Y11" s="476">
        <f>IFERROR(
    IF(
        OR(ISBLANK(T11), ISBLANK(U11)),
        "",
        MAX(
            1,
            IF(
                NETWORKDAYS(T11, U11, Holiday_Dates) &lt;= 0,
                1,
                NETWORKDAYS(T11, U11, Holiday_Dates) - IF(T11 = U11, 0, 1)
            )
        )
    ),
    ""
)</f>
        <v>1</v>
      </c>
      <c r="Z11" s="476" t="str">
        <f>IF(
    OR(ISBLANK(U11), ISBLANK(V11)),
    "",
    MAX(
        1,
        IF(
            NETWORKDAYS(U11, V11, Holiday_Dates) &lt;= 0,
            1,
            NETWORKDAYS(U11, V11, Holiday_Dates) - IF(U11 = V11, 0, 1)
        )
    )
)</f>
        <v/>
      </c>
      <c r="AA11" s="476">
        <f>IFERROR(
    IF(
        OR(ISBLANK(W11), AND(ISBLANK(U11), ISBLANK(V11))),
        "",
        MAX(
            1,
            IF(
                NETWORKDAYS(IF(NOT(ISBLANK(V11)), V11, U11), W11, Holiday_Dates) &lt;= 0,
                1,
                NETWORKDAYS(IF(NOT(ISBLANK(V11)), V11, U11), W11, Holiday_Dates)
                - IF(IF(NOT(ISBLANK(V11)), V11, U11) = W11, 0, 1)
            )
        )
    ),
    ""
)</f>
        <v>1</v>
      </c>
      <c r="AB11" s="476">
        <f>IFERROR(
    IF(
        OR(ISBLANK(W11), ISBLANK(X11)),
        "",
        MAX(
            1,
            IF(
                NETWORKDAYS(W11, X11, Holiday_Dates) &lt;= 0,
                1,
                NETWORKDAYS(W11, X11, Holiday_Dates) - IF(W11 = X11, 0, 1)
            )
        )
    ),
    ""
)</f>
        <v>1</v>
      </c>
      <c r="AC11" s="339" t="s">
        <v>281</v>
      </c>
      <c r="AD11" s="49">
        <v>0.255</v>
      </c>
      <c r="AE11" s="336">
        <v>34696.32</v>
      </c>
      <c r="AF11" s="49">
        <v>60.86</v>
      </c>
      <c r="AG11" s="339" t="s">
        <v>282</v>
      </c>
      <c r="AH11" s="478" t="s">
        <v>221</v>
      </c>
      <c r="AI11" s="339" t="s">
        <v>100</v>
      </c>
      <c r="AJ11" s="339" t="s">
        <v>100</v>
      </c>
      <c r="AK11" s="339" t="s">
        <v>100</v>
      </c>
      <c r="AL11" s="339" t="s">
        <v>100</v>
      </c>
      <c r="AM11" s="339" t="s">
        <v>107</v>
      </c>
      <c r="AN11" s="339" t="s">
        <v>100</v>
      </c>
      <c r="AO11" s="480"/>
      <c r="AP11" s="473"/>
      <c r="AQ11" s="49"/>
      <c r="AR11" s="336">
        <v>15882.5</v>
      </c>
      <c r="AS11" s="485">
        <v>0.58250000000000002</v>
      </c>
      <c r="AT11" s="336">
        <v>5232.3599999999997</v>
      </c>
      <c r="AU11" s="485">
        <v>0.19189999999999999</v>
      </c>
      <c r="AV11" s="336">
        <v>0</v>
      </c>
      <c r="AW11" s="485">
        <v>0</v>
      </c>
      <c r="AX11" s="336">
        <v>2320.8200000000002</v>
      </c>
      <c r="AY11" s="485">
        <v>0.1031</v>
      </c>
      <c r="AZ11" s="336">
        <v>410.73</v>
      </c>
      <c r="BA11" s="485">
        <v>1.03E-2</v>
      </c>
      <c r="BB11" s="565">
        <f t="shared" si="2"/>
        <v>0.77439999999999998</v>
      </c>
      <c r="BC11" s="561">
        <f t="shared" si="3"/>
        <v>0.77439999999999998</v>
      </c>
      <c r="BD11" s="624" t="s">
        <v>283</v>
      </c>
    </row>
    <row r="12" spans="1:56" ht="30">
      <c r="A12" s="470" t="s">
        <v>49</v>
      </c>
      <c r="B12" s="471" t="s">
        <v>284</v>
      </c>
      <c r="C12" s="471" t="str">
        <f t="shared" si="0"/>
        <v>Bulacan, Plaridel</v>
      </c>
      <c r="D12" s="470" t="s">
        <v>88</v>
      </c>
      <c r="E12" s="473" t="s">
        <v>271</v>
      </c>
      <c r="F12" s="473">
        <v>14.88680651</v>
      </c>
      <c r="G12" s="473">
        <v>120.8598685</v>
      </c>
      <c r="H12" s="473" t="str">
        <f t="shared" si="1"/>
        <v>14.88680651,120.8598685</v>
      </c>
      <c r="I12" s="473" t="s">
        <v>99</v>
      </c>
      <c r="J12" s="473" t="s">
        <v>285</v>
      </c>
      <c r="K12" s="473" t="s">
        <v>215</v>
      </c>
      <c r="L12" s="473">
        <v>2025</v>
      </c>
      <c r="M12" s="473">
        <v>2034</v>
      </c>
      <c r="N12" s="473"/>
      <c r="O12" s="473" t="s">
        <v>135</v>
      </c>
      <c r="P12" s="475"/>
      <c r="Q12" s="472" t="s">
        <v>128</v>
      </c>
      <c r="R12" s="339" t="s">
        <v>62</v>
      </c>
      <c r="S12" s="480" t="s">
        <v>286</v>
      </c>
      <c r="T12" s="480">
        <v>46057</v>
      </c>
      <c r="U12" s="480">
        <v>46058</v>
      </c>
      <c r="V12" s="480"/>
      <c r="W12" s="337">
        <v>46067</v>
      </c>
      <c r="X12" s="337">
        <v>46069</v>
      </c>
      <c r="Y12" s="476">
        <f>IFERROR(
    IF(
        OR(ISBLANK(T12), ISBLANK(U12)),
        "",
        MAX(
            1,
            IF(
                NETWORKDAYS(T12, U12, Holiday_Dates) &lt;= 0,
                1,
                NETWORKDAYS(T12, U12, Holiday_Dates) - IF(T12 = U12, 0, 1)
            )
        )
    ),
    ""
)</f>
        <v>1</v>
      </c>
      <c r="Z12" s="476" t="str">
        <f>IF(
    OR(ISBLANK(U12), ISBLANK(V12)),
    "",
    MAX(
        1,
        IF(
            NETWORKDAYS(U12, V12, Holiday_Dates) &lt;= 0,
            1,
            NETWORKDAYS(U12, V12, Holiday_Dates) - IF(U12 = V12, 0, 1)
        )
    )
)</f>
        <v/>
      </c>
      <c r="AA12" s="476">
        <f>IFERROR(
    IF(
        OR(ISBLANK(W12), AND(ISBLANK(U12), ISBLANK(V12))),
        "",
        MAX(
            1,
            IF(
                NETWORKDAYS(IF(NOT(ISBLANK(V12)), V12, U12), W12, Holiday_Dates) &lt;= 0,
                1,
                NETWORKDAYS(IF(NOT(ISBLANK(V12)), V12, U12), W12, Holiday_Dates)
                - IF(IF(NOT(ISBLANK(V12)), V12, U12) = W12, 0, 1)
            )
        )
    ),
    ""
)</f>
        <v>6</v>
      </c>
      <c r="AB12" s="476">
        <f>IFERROR(
    IF(
        OR(ISBLANK(W12), ISBLANK(X12)),
        "",
        MAX(
            1,
            IF(
                NETWORKDAYS(W12, X12, Holiday_Dates) &lt;= 0,
                1,
                NETWORKDAYS(W12, X12, Holiday_Dates) - IF(W12 = X12, 0, 1)
            )
        )
    ),
    ""
)</f>
        <v>1</v>
      </c>
      <c r="AC12" s="339" t="s">
        <v>219</v>
      </c>
      <c r="AD12" s="336">
        <v>0.32900000000000001</v>
      </c>
      <c r="AE12" s="49">
        <v>39066.71</v>
      </c>
      <c r="AF12" s="339">
        <v>78.02</v>
      </c>
      <c r="AG12" s="339" t="s">
        <v>287</v>
      </c>
      <c r="AH12" s="478" t="s">
        <v>221</v>
      </c>
      <c r="AI12" s="339" t="s">
        <v>100</v>
      </c>
      <c r="AJ12" s="339" t="s">
        <v>100</v>
      </c>
      <c r="AK12" s="339" t="s">
        <v>100</v>
      </c>
      <c r="AL12" s="339" t="s">
        <v>100</v>
      </c>
      <c r="AM12" s="339"/>
      <c r="AN12" s="339" t="s">
        <v>100</v>
      </c>
      <c r="AO12" s="473"/>
      <c r="AP12" s="49"/>
      <c r="AQ12" s="336"/>
      <c r="AR12" s="336">
        <v>21694.27</v>
      </c>
      <c r="AS12" s="485">
        <v>0.55530000000000002</v>
      </c>
      <c r="AT12" s="336">
        <v>8832.99</v>
      </c>
      <c r="AU12" s="485">
        <v>0.2261</v>
      </c>
      <c r="AV12" s="336">
        <v>0</v>
      </c>
      <c r="AW12" s="485">
        <v>0</v>
      </c>
      <c r="AX12" s="336">
        <v>7846.2</v>
      </c>
      <c r="AY12" s="485">
        <v>0.20080000000000001</v>
      </c>
      <c r="AZ12" s="336">
        <v>693.27</v>
      </c>
      <c r="BA12" s="485">
        <v>1.77E-2</v>
      </c>
      <c r="BB12" s="565">
        <f t="shared" si="2"/>
        <v>0.78139999999999998</v>
      </c>
      <c r="BC12" s="561">
        <f t="shared" si="3"/>
        <v>0.78139999999999998</v>
      </c>
      <c r="BD12" s="624" t="s">
        <v>288</v>
      </c>
    </row>
    <row r="13" spans="1:56" ht="30">
      <c r="A13" s="470" t="s">
        <v>50</v>
      </c>
      <c r="B13" s="471" t="s">
        <v>289</v>
      </c>
      <c r="C13" s="471" t="str">
        <f t="shared" si="0"/>
        <v>Nueva Ecija, Gen. Natividad</v>
      </c>
      <c r="D13" s="470" t="s">
        <v>88</v>
      </c>
      <c r="E13" s="470" t="s">
        <v>213</v>
      </c>
      <c r="F13" s="473">
        <v>15.602760999999999</v>
      </c>
      <c r="G13" s="473">
        <v>121.04995099999999</v>
      </c>
      <c r="H13" s="473" t="str">
        <f t="shared" si="1"/>
        <v>15.602761,121.049951</v>
      </c>
      <c r="I13" s="473" t="s">
        <v>99</v>
      </c>
      <c r="J13" s="473" t="s">
        <v>290</v>
      </c>
      <c r="K13" s="473" t="s">
        <v>291</v>
      </c>
      <c r="L13" s="473">
        <v>2018</v>
      </c>
      <c r="M13" s="473">
        <v>2027</v>
      </c>
      <c r="N13" s="473"/>
      <c r="O13" s="473" t="s">
        <v>26</v>
      </c>
      <c r="P13" s="473"/>
      <c r="Q13" s="475" t="s">
        <v>130</v>
      </c>
      <c r="R13" s="473" t="s">
        <v>62</v>
      </c>
      <c r="S13" s="339" t="s">
        <v>292</v>
      </c>
      <c r="T13" s="480">
        <v>46069</v>
      </c>
      <c r="U13" s="480">
        <v>46071</v>
      </c>
      <c r="V13" s="480"/>
      <c r="W13" s="480">
        <v>46071</v>
      </c>
      <c r="X13" s="480">
        <v>46071</v>
      </c>
      <c r="Y13" s="476">
        <f>IFERROR(
    IF(
        OR(ISBLANK(T13), ISBLANK(U13)),
        "",
        MAX(
            1,
            IF(
                NETWORKDAYS(T13, U13, Holiday_Dates) &lt;= 0,
                1,
                NETWORKDAYS(T13, U13, Holiday_Dates) - IF(T13 = U13, 0, 1)
            )
        )
    ),
    ""
)</f>
        <v>2</v>
      </c>
      <c r="Z13" s="476" t="str">
        <f>IF(
    OR(ISBLANK(U13), ISBLANK(V13)),
    "",
    MAX(
        1,
        IF(
            NETWORKDAYS(U13, V13, Holiday_Dates) &lt;= 0,
            1,
            NETWORKDAYS(U13, V13, Holiday_Dates) - IF(U13 = V13, 0, 1)
        )
    )
)</f>
        <v/>
      </c>
      <c r="AA13" s="476">
        <f>IFERROR(
    IF(
        OR(ISBLANK(W13), AND(ISBLANK(U13), ISBLANK(V13))),
        "",
        MAX(
            1,
            IF(
                NETWORKDAYS(IF(NOT(ISBLANK(V13)), V13, U13), W13, Holiday_Dates) &lt;= 0,
                1,
                NETWORKDAYS(IF(NOT(ISBLANK(V13)), V13, U13), W13, Holiday_Dates)
                - IF(IF(NOT(ISBLANK(V13)), V13, U13) = W13, 0, 1)
            )
        )
    ),
    ""
)</f>
        <v>1</v>
      </c>
      <c r="AB13" s="476">
        <f>IFERROR(
    IF(
        OR(ISBLANK(W13), ISBLANK(X13)),
        "",
        MAX(
            1,
            IF(
                NETWORKDAYS(W13, X13, Holiday_Dates) &lt;= 0,
                1,
                NETWORKDAYS(W13, X13, Holiday_Dates) - IF(W13 = X13, 0, 1)
            )
        )
    ),
    ""
)</f>
        <v>1</v>
      </c>
      <c r="AC13" s="339" t="s">
        <v>219</v>
      </c>
      <c r="AD13" s="49">
        <v>0.25</v>
      </c>
      <c r="AE13" s="336">
        <v>10690</v>
      </c>
      <c r="AF13" s="49">
        <v>91.25</v>
      </c>
      <c r="AG13" s="339" t="s">
        <v>293</v>
      </c>
      <c r="AH13" s="478" t="s">
        <v>221</v>
      </c>
      <c r="AI13" s="339" t="s">
        <v>100</v>
      </c>
      <c r="AJ13" s="339" t="s">
        <v>100</v>
      </c>
      <c r="AK13" s="339" t="s">
        <v>100</v>
      </c>
      <c r="AL13" s="339" t="s">
        <v>100</v>
      </c>
      <c r="AM13" s="339"/>
      <c r="AN13" s="339" t="s">
        <v>100</v>
      </c>
      <c r="AO13" s="480"/>
      <c r="AP13" s="473"/>
      <c r="AQ13" s="49"/>
      <c r="AR13" s="336">
        <v>6812.11</v>
      </c>
      <c r="AS13" s="485">
        <v>0.60950000000000004</v>
      </c>
      <c r="AT13" s="336">
        <v>3386.05</v>
      </c>
      <c r="AU13" s="485">
        <v>0.30299999999999999</v>
      </c>
      <c r="AV13" s="336">
        <v>0</v>
      </c>
      <c r="AW13" s="485">
        <v>0</v>
      </c>
      <c r="AX13" s="336">
        <v>527.12</v>
      </c>
      <c r="AY13" s="485">
        <v>4.7199999999999999E-2</v>
      </c>
      <c r="AZ13" s="336">
        <v>450.85</v>
      </c>
      <c r="BA13" s="485">
        <v>4.0300000000000002E-2</v>
      </c>
      <c r="BB13" s="565">
        <f t="shared" si="2"/>
        <v>0.91250000000000009</v>
      </c>
      <c r="BC13" s="561">
        <f t="shared" si="3"/>
        <v>0.91250000000000009</v>
      </c>
      <c r="BD13" s="624" t="s">
        <v>294</v>
      </c>
    </row>
    <row r="14" spans="1:56" ht="30">
      <c r="A14" s="470" t="s">
        <v>50</v>
      </c>
      <c r="B14" s="471" t="s">
        <v>295</v>
      </c>
      <c r="C14" s="471" t="str">
        <f t="shared" si="0"/>
        <v>Nueva Ecija, Lupao</v>
      </c>
      <c r="D14" s="470" t="s">
        <v>88</v>
      </c>
      <c r="E14" s="470" t="s">
        <v>271</v>
      </c>
      <c r="F14" s="49">
        <v>15.877262</v>
      </c>
      <c r="G14" s="49">
        <v>120.898901</v>
      </c>
      <c r="H14" s="473" t="str">
        <f t="shared" si="1"/>
        <v>15.877262,120.898901</v>
      </c>
      <c r="I14" s="473" t="s">
        <v>99</v>
      </c>
      <c r="J14" s="473" t="s">
        <v>296</v>
      </c>
      <c r="K14" s="49" t="s">
        <v>297</v>
      </c>
      <c r="L14" s="49">
        <v>2018</v>
      </c>
      <c r="M14" s="49">
        <v>2026</v>
      </c>
      <c r="N14" s="49"/>
      <c r="O14" s="472" t="s">
        <v>29</v>
      </c>
      <c r="P14" s="472"/>
      <c r="Q14" s="475" t="s">
        <v>130</v>
      </c>
      <c r="R14" s="473" t="s">
        <v>62</v>
      </c>
      <c r="S14" s="49" t="s">
        <v>298</v>
      </c>
      <c r="T14" s="337">
        <v>46071</v>
      </c>
      <c r="U14" s="337">
        <v>46071</v>
      </c>
      <c r="V14" s="337"/>
      <c r="W14" s="337">
        <v>46072</v>
      </c>
      <c r="X14" s="337">
        <v>46072</v>
      </c>
      <c r="Y14" s="476">
        <f>IFERROR(
    IF(
        OR(ISBLANK(T14), ISBLANK(U14)),
        "",
        MAX(
            1,
            IF(
                NETWORKDAYS(T14, U14, Holiday_Dates) &lt;= 0,
                1,
                NETWORKDAYS(T14, U14, Holiday_Dates) - IF(T14 = U14, 0, 1)
            )
        )
    ),
    ""
)</f>
        <v>1</v>
      </c>
      <c r="Z14" s="476" t="str">
        <f>IF(
    OR(ISBLANK(U14), ISBLANK(V14)),
    "",
    MAX(
        1,
        IF(
            NETWORKDAYS(U14, V14, Holiday_Dates) &lt;= 0,
            1,
            NETWORKDAYS(U14, V14, Holiday_Dates) - IF(U14 = V14, 0, 1)
        )
    )
)</f>
        <v/>
      </c>
      <c r="AA14" s="476">
        <f>IFERROR(
    IF(
        OR(ISBLANK(W14), AND(ISBLANK(U14), ISBLANK(V14))),
        "",
        MAX(
            1,
            IF(
                NETWORKDAYS(IF(NOT(ISBLANK(V14)), V14, U14), W14, Holiday_Dates) &lt;= 0,
                1,
                NETWORKDAYS(IF(NOT(ISBLANK(V14)), V14, U14), W14, Holiday_Dates)
                - IF(IF(NOT(ISBLANK(V14)), V14, U14) = W14, 0, 1)
            )
        )
    ),
    ""
)</f>
        <v>1</v>
      </c>
      <c r="AB14" s="476">
        <f>IFERROR(
    IF(
        OR(ISBLANK(W14), ISBLANK(X14)),
        "",
        MAX(
            1,
            IF(
                NETWORKDAYS(W14, X14, Holiday_Dates) &lt;= 0,
                1,
                NETWORKDAYS(W14, X14, Holiday_Dates) - IF(W14 = X14, 0, 1)
            )
        )
    ),
    ""
)</f>
        <v>1</v>
      </c>
      <c r="AC14" s="339" t="s">
        <v>219</v>
      </c>
      <c r="AD14" s="49">
        <v>0.60499999999999998</v>
      </c>
      <c r="AE14" s="336">
        <v>28913.11</v>
      </c>
      <c r="AF14" s="49">
        <v>85.52</v>
      </c>
      <c r="AG14" s="339" t="s">
        <v>299</v>
      </c>
      <c r="AH14" s="478" t="s">
        <v>221</v>
      </c>
      <c r="AI14" s="49" t="s">
        <v>100</v>
      </c>
      <c r="AJ14" s="49" t="s">
        <v>100</v>
      </c>
      <c r="AK14" s="49" t="s">
        <v>100</v>
      </c>
      <c r="AL14" s="49" t="s">
        <v>100</v>
      </c>
      <c r="AM14" s="49" t="s">
        <v>100</v>
      </c>
      <c r="AN14" s="49" t="s">
        <v>100</v>
      </c>
      <c r="AO14" s="337"/>
      <c r="AP14" s="49"/>
      <c r="AQ14" s="49"/>
      <c r="AR14" s="336">
        <v>17920.349999999999</v>
      </c>
      <c r="AS14" s="485">
        <v>0.61980000000000002</v>
      </c>
      <c r="AT14" s="336">
        <v>5195.6899999999996</v>
      </c>
      <c r="AU14" s="485">
        <v>0.1797</v>
      </c>
      <c r="AV14" s="336">
        <v>1610.46</v>
      </c>
      <c r="AW14" s="485">
        <v>5.57E-2</v>
      </c>
      <c r="AX14" s="336">
        <v>3619.92</v>
      </c>
      <c r="AY14" s="485">
        <v>0.12520000000000001</v>
      </c>
      <c r="AZ14" s="336">
        <v>556.70000000000005</v>
      </c>
      <c r="BA14" s="485">
        <v>1.9599999999999999E-2</v>
      </c>
      <c r="BB14" s="565">
        <f t="shared" si="2"/>
        <v>0.85519999999999996</v>
      </c>
      <c r="BC14" s="561">
        <f t="shared" si="3"/>
        <v>0.85519999999999996</v>
      </c>
      <c r="BD14" s="624" t="s">
        <v>300</v>
      </c>
    </row>
    <row r="15" spans="1:56" ht="30">
      <c r="A15" s="470" t="s">
        <v>50</v>
      </c>
      <c r="B15" s="471" t="s">
        <v>301</v>
      </c>
      <c r="C15" s="471" t="str">
        <f t="shared" si="0"/>
        <v>Nueva Ecija, San Antonio_N</v>
      </c>
      <c r="D15" s="470" t="s">
        <v>88</v>
      </c>
      <c r="E15" s="470" t="s">
        <v>224</v>
      </c>
      <c r="F15" s="49">
        <v>15.306808999999999</v>
      </c>
      <c r="G15" s="49">
        <v>120.856712</v>
      </c>
      <c r="H15" s="473" t="str">
        <f t="shared" si="1"/>
        <v>15.306809,120.856712</v>
      </c>
      <c r="I15" s="473" t="s">
        <v>99</v>
      </c>
      <c r="J15" s="473" t="s">
        <v>302</v>
      </c>
      <c r="K15" s="49" t="s">
        <v>233</v>
      </c>
      <c r="L15" s="49">
        <v>2021</v>
      </c>
      <c r="M15" s="49">
        <v>2029</v>
      </c>
      <c r="N15" s="49"/>
      <c r="O15" s="49" t="s">
        <v>30</v>
      </c>
      <c r="P15" s="49"/>
      <c r="Q15" s="475" t="s">
        <v>130</v>
      </c>
      <c r="R15" s="473" t="s">
        <v>62</v>
      </c>
      <c r="S15" s="49" t="s">
        <v>303</v>
      </c>
      <c r="T15" s="337">
        <v>46065</v>
      </c>
      <c r="U15" s="337">
        <v>46066</v>
      </c>
      <c r="V15" s="337"/>
      <c r="W15" s="337">
        <v>46071</v>
      </c>
      <c r="X15" s="337">
        <v>46071</v>
      </c>
      <c r="Y15" s="476">
        <f>IFERROR(
    IF(
        OR(ISBLANK(T15), ISBLANK(U15)),
        "",
        MAX(
            1,
            IF(
                NETWORKDAYS(T15, U15, Holiday_Dates) &lt;= 0,
                1,
                NETWORKDAYS(T15, U15, Holiday_Dates) - IF(T15 = U15, 0, 1)
            )
        )
    ),
    ""
)</f>
        <v>1</v>
      </c>
      <c r="Z15" s="476" t="str">
        <f>IF(
    OR(ISBLANK(U15), ISBLANK(V15)),
    "",
    MAX(
        1,
        IF(
            NETWORKDAYS(U15, V15, Holiday_Dates) &lt;= 0,
            1,
            NETWORKDAYS(U15, V15, Holiday_Dates) - IF(U15 = V15, 0, 1)
        )
    )
)</f>
        <v/>
      </c>
      <c r="AA15" s="476">
        <f>IFERROR(
    IF(
        OR(ISBLANK(W15), AND(ISBLANK(U15), ISBLANK(V15))),
        "",
        MAX(
            1,
            IF(
                NETWORKDAYS(IF(NOT(ISBLANK(V15)), V15, U15), W15, Holiday_Dates) &lt;= 0,
                1,
                NETWORKDAYS(IF(NOT(ISBLANK(V15)), V15, U15), W15, Holiday_Dates)
                - IF(IF(NOT(ISBLANK(V15)), V15, U15) = W15, 0, 1)
            )
        )
    ),
    ""
)</f>
        <v>3</v>
      </c>
      <c r="AB15" s="476">
        <f>IFERROR(
    IF(
        OR(ISBLANK(W15), ISBLANK(X15)),
        "",
        MAX(
            1,
            IF(
                NETWORKDAYS(W15, X15, Holiday_Dates) &lt;= 0,
                1,
                NETWORKDAYS(W15, X15, Holiday_Dates) - IF(W15 = X15, 0, 1)
            )
        )
    ),
    ""
)</f>
        <v>1</v>
      </c>
      <c r="AC15" s="339" t="s">
        <v>219</v>
      </c>
      <c r="AD15" s="49">
        <v>0.629</v>
      </c>
      <c r="AE15" s="336">
        <v>54017.279999999999</v>
      </c>
      <c r="AF15" s="49">
        <v>84.18</v>
      </c>
      <c r="AG15" s="339" t="s">
        <v>304</v>
      </c>
      <c r="AH15" s="478" t="s">
        <v>221</v>
      </c>
      <c r="AI15" s="49" t="s">
        <v>100</v>
      </c>
      <c r="AJ15" s="49" t="s">
        <v>100</v>
      </c>
      <c r="AK15" s="49" t="s">
        <v>100</v>
      </c>
      <c r="AL15" s="49" t="s">
        <v>100</v>
      </c>
      <c r="AM15" s="49"/>
      <c r="AN15" s="49" t="s">
        <v>100</v>
      </c>
      <c r="AO15" s="337"/>
      <c r="AP15" s="49"/>
      <c r="AQ15" s="49"/>
      <c r="AR15" s="336">
        <v>30562.98</v>
      </c>
      <c r="AS15" s="485">
        <v>0.56579999999999997</v>
      </c>
      <c r="AT15" s="336">
        <v>12180.9</v>
      </c>
      <c r="AU15" s="485">
        <v>0.22550000000000001</v>
      </c>
      <c r="AV15" s="336">
        <v>2727.87</v>
      </c>
      <c r="AW15" s="485">
        <v>5.0500000000000003E-2</v>
      </c>
      <c r="AX15" s="336">
        <v>8415.89</v>
      </c>
      <c r="AY15" s="485">
        <v>0.15579999999999999</v>
      </c>
      <c r="AZ15" s="336">
        <v>129.63999999999999</v>
      </c>
      <c r="BA15" s="485">
        <v>0.24</v>
      </c>
      <c r="BB15" s="565">
        <f t="shared" si="2"/>
        <v>0.84179999999999999</v>
      </c>
      <c r="BC15" s="561">
        <f t="shared" si="3"/>
        <v>0.84179999999999999</v>
      </c>
      <c r="BD15" s="624" t="s">
        <v>305</v>
      </c>
    </row>
    <row r="16" spans="1:56" ht="30">
      <c r="A16" s="470" t="s">
        <v>51</v>
      </c>
      <c r="B16" s="471" t="s">
        <v>306</v>
      </c>
      <c r="C16" s="471" t="str">
        <f t="shared" si="0"/>
        <v>Pampanga, City Of Angeles</v>
      </c>
      <c r="D16" s="470" t="s">
        <v>88</v>
      </c>
      <c r="E16" s="49" t="s">
        <v>243</v>
      </c>
      <c r="F16" s="49">
        <v>15.1653</v>
      </c>
      <c r="G16" s="49">
        <v>120.6084</v>
      </c>
      <c r="H16" s="473" t="str">
        <f t="shared" si="1"/>
        <v>15.1653,120.6084</v>
      </c>
      <c r="I16" s="473" t="s">
        <v>99</v>
      </c>
      <c r="J16" s="473" t="s">
        <v>307</v>
      </c>
      <c r="K16" s="49" t="s">
        <v>261</v>
      </c>
      <c r="L16" s="49">
        <v>2015</v>
      </c>
      <c r="M16" s="49">
        <v>2024</v>
      </c>
      <c r="N16" s="49" t="s">
        <v>170</v>
      </c>
      <c r="O16" s="49" t="s">
        <v>33</v>
      </c>
      <c r="P16" s="49"/>
      <c r="Q16" s="483" t="s">
        <v>239</v>
      </c>
      <c r="R16" s="473" t="s">
        <v>62</v>
      </c>
      <c r="S16" s="49" t="s">
        <v>308</v>
      </c>
      <c r="T16" s="337">
        <v>46069</v>
      </c>
      <c r="U16" s="337">
        <v>46071</v>
      </c>
      <c r="V16" s="337"/>
      <c r="W16" s="337">
        <v>46071</v>
      </c>
      <c r="X16" s="337">
        <v>46071</v>
      </c>
      <c r="Y16" s="476">
        <f>IFERROR(
    IF(
        OR(ISBLANK(T16), ISBLANK(U16)),
        "",
        MAX(
            1,
            IF(
                NETWORKDAYS(T16, U16, Holiday_Dates) &lt;= 0,
                1,
                NETWORKDAYS(T16, U16, Holiday_Dates) - IF(T16 = U16, 0, 1)
            )
        )
    ),
    ""
)</f>
        <v>2</v>
      </c>
      <c r="Z16" s="476" t="str">
        <f>IF(
    OR(ISBLANK(U16), ISBLANK(V16)),
    "",
    MAX(
        1,
        IF(
            NETWORKDAYS(U16, V16, Holiday_Dates) &lt;= 0,
            1,
            NETWORKDAYS(U16, V16, Holiday_Dates) - IF(U16 = V16, 0, 1)
        )
    )
)</f>
        <v/>
      </c>
      <c r="AA16" s="476">
        <f>IFERROR(
    IF(
        OR(ISBLANK(W16), AND(ISBLANK(U16), ISBLANK(V16))),
        "",
        MAX(
            1,
            IF(
                NETWORKDAYS(IF(NOT(ISBLANK(V16)), V16, U16), W16, Holiday_Dates) &lt;= 0,
                1,
                NETWORKDAYS(IF(NOT(ISBLANK(V16)), V16, U16), W16, Holiday_Dates)
                - IF(IF(NOT(ISBLANK(V16)), V16, U16) = W16, 0, 1)
            )
        )
    ),
    ""
)</f>
        <v>1</v>
      </c>
      <c r="AB16" s="476">
        <f>IFERROR(
    IF(
        OR(ISBLANK(W16), ISBLANK(X16)),
        "",
        MAX(
            1,
            IF(
                NETWORKDAYS(W16, X16, Holiday_Dates) &lt;= 0,
                1,
                NETWORKDAYS(W16, X16, Holiday_Dates) - IF(W16 = X16, 0, 1)
            )
        )
    ),
    ""
)</f>
        <v>1</v>
      </c>
      <c r="AC16" s="339" t="s">
        <v>219</v>
      </c>
      <c r="AD16" s="49">
        <v>0.31</v>
      </c>
      <c r="AE16" s="336">
        <v>456827.24</v>
      </c>
      <c r="AF16" s="49">
        <v>62.01</v>
      </c>
      <c r="AG16" s="339" t="s">
        <v>309</v>
      </c>
      <c r="AH16" s="478" t="s">
        <v>310</v>
      </c>
      <c r="AI16" s="49" t="s">
        <v>100</v>
      </c>
      <c r="AJ16" s="49" t="s">
        <v>100</v>
      </c>
      <c r="AK16" s="49" t="s">
        <v>100</v>
      </c>
      <c r="AL16" s="49"/>
      <c r="AM16" s="49" t="s">
        <v>100</v>
      </c>
      <c r="AN16" s="49" t="s">
        <v>100</v>
      </c>
      <c r="AO16" s="337"/>
      <c r="AP16" s="49"/>
      <c r="AQ16" s="49"/>
      <c r="AR16" s="336">
        <v>154629.9</v>
      </c>
      <c r="AS16" s="485">
        <v>0.33850000000000002</v>
      </c>
      <c r="AT16" s="336">
        <v>128659.89</v>
      </c>
      <c r="AU16" s="485">
        <v>0.28160000000000002</v>
      </c>
      <c r="AV16" s="336">
        <v>0</v>
      </c>
      <c r="AW16" s="485">
        <v>0</v>
      </c>
      <c r="AX16" s="336">
        <v>167568.18</v>
      </c>
      <c r="AY16" s="485">
        <v>0.36680000000000001</v>
      </c>
      <c r="AZ16" s="336">
        <v>5969.29</v>
      </c>
      <c r="BA16" s="485">
        <v>1.3100000000000001E-2</v>
      </c>
      <c r="BB16" s="565">
        <f t="shared" si="2"/>
        <v>0.6201000000000001</v>
      </c>
      <c r="BC16" s="561">
        <f t="shared" si="3"/>
        <v>0.6201000000000001</v>
      </c>
      <c r="BD16" s="624" t="s">
        <v>311</v>
      </c>
    </row>
    <row r="17" spans="1:56" ht="30">
      <c r="A17" s="470" t="s">
        <v>51</v>
      </c>
      <c r="B17" s="471" t="s">
        <v>312</v>
      </c>
      <c r="C17" s="471" t="str">
        <f t="shared" si="0"/>
        <v>Pampanga, Masantol</v>
      </c>
      <c r="D17" s="470" t="s">
        <v>88</v>
      </c>
      <c r="E17" s="472" t="s">
        <v>224</v>
      </c>
      <c r="F17" s="49">
        <v>14.8925</v>
      </c>
      <c r="G17" s="49">
        <v>120.70529999999999</v>
      </c>
      <c r="H17" s="473" t="str">
        <f t="shared" si="1"/>
        <v>14.8925,120.7053</v>
      </c>
      <c r="I17" s="473" t="s">
        <v>99</v>
      </c>
      <c r="J17" s="473" t="s">
        <v>313</v>
      </c>
      <c r="K17" s="49" t="s">
        <v>314</v>
      </c>
      <c r="L17" s="49">
        <v>2019</v>
      </c>
      <c r="M17" s="49">
        <v>2024</v>
      </c>
      <c r="N17" s="49" t="s">
        <v>170</v>
      </c>
      <c r="O17" s="49" t="s">
        <v>34</v>
      </c>
      <c r="P17" s="49"/>
      <c r="Q17" s="483" t="s">
        <v>239</v>
      </c>
      <c r="R17" s="473" t="s">
        <v>62</v>
      </c>
      <c r="S17" s="49" t="s">
        <v>315</v>
      </c>
      <c r="T17" s="337">
        <v>46069</v>
      </c>
      <c r="U17" s="337">
        <v>46069</v>
      </c>
      <c r="V17" s="337"/>
      <c r="W17" s="337">
        <v>46071</v>
      </c>
      <c r="X17" s="337">
        <v>46071</v>
      </c>
      <c r="Y17" s="476">
        <f>IFERROR(
    IF(
        OR(ISBLANK(T17), ISBLANK(U17)),
        "",
        MAX(
            1,
            IF(
                NETWORKDAYS(T17, U17, Holiday_Dates) &lt;= 0,
                1,
                NETWORKDAYS(T17, U17, Holiday_Dates) - IF(T17 = U17, 0, 1)
            )
        )
    ),
    ""
)</f>
        <v>1</v>
      </c>
      <c r="Z17" s="476" t="str">
        <f>IF(
    OR(ISBLANK(U17), ISBLANK(V17)),
    "",
    MAX(
        1,
        IF(
            NETWORKDAYS(U17, V17, Holiday_Dates) &lt;= 0,
            1,
            NETWORKDAYS(U17, V17, Holiday_Dates) - IF(U17 = V17, 0, 1)
        )
    )
)</f>
        <v/>
      </c>
      <c r="AA17" s="476">
        <f>IFERROR(
    IF(
        OR(ISBLANK(W17), AND(ISBLANK(U17), ISBLANK(V17))),
        "",
        MAX(
            1,
            IF(
                NETWORKDAYS(IF(NOT(ISBLANK(V17)), V17, U17), W17, Holiday_Dates) &lt;= 0,
                1,
                NETWORKDAYS(IF(NOT(ISBLANK(V17)), V17, U17), W17, Holiday_Dates)
                - IF(IF(NOT(ISBLANK(V17)), V17, U17) = W17, 0, 1)
            )
        )
    ),
    ""
)</f>
        <v>2</v>
      </c>
      <c r="AB17" s="476">
        <f>IFERROR(
    IF(
        OR(ISBLANK(W17), ISBLANK(X17)),
        "",
        MAX(
            1,
            IF(
                NETWORKDAYS(W17, X17, Holiday_Dates) &lt;= 0,
                1,
                NETWORKDAYS(W17, X17, Holiday_Dates) - IF(W17 = X17, 0, 1)
            )
        )
    ),
    ""
)</f>
        <v>1</v>
      </c>
      <c r="AC17" s="339" t="s">
        <v>219</v>
      </c>
      <c r="AD17" s="49">
        <v>0.52400000000000002</v>
      </c>
      <c r="AE17" s="336">
        <v>32231.17</v>
      </c>
      <c r="AF17" s="49">
        <v>69.05</v>
      </c>
      <c r="AG17" s="339" t="s">
        <v>316</v>
      </c>
      <c r="AH17" s="478" t="s">
        <v>310</v>
      </c>
      <c r="AI17" s="49" t="s">
        <v>107</v>
      </c>
      <c r="AJ17" s="49" t="s">
        <v>107</v>
      </c>
      <c r="AK17" s="49" t="s">
        <v>107</v>
      </c>
      <c r="AL17" s="49" t="s">
        <v>100</v>
      </c>
      <c r="AM17" s="49" t="s">
        <v>100</v>
      </c>
      <c r="AN17" s="49" t="s">
        <v>100</v>
      </c>
      <c r="AO17" s="337"/>
      <c r="AP17" s="49"/>
      <c r="AQ17" s="49"/>
      <c r="AR17" s="336">
        <v>11163.39</v>
      </c>
      <c r="AS17" s="485">
        <v>0.34639999999999999</v>
      </c>
      <c r="AT17" s="336">
        <v>11090.75</v>
      </c>
      <c r="AU17" s="485">
        <v>0.34410000000000002</v>
      </c>
      <c r="AV17" s="336">
        <v>0</v>
      </c>
      <c r="AW17" s="485">
        <v>0</v>
      </c>
      <c r="AX17" s="336">
        <v>9200.44</v>
      </c>
      <c r="AY17" s="485">
        <v>0.28539999999999999</v>
      </c>
      <c r="AZ17" s="336">
        <v>776.59</v>
      </c>
      <c r="BA17" s="485">
        <v>2.41E-2</v>
      </c>
      <c r="BB17" s="565">
        <f t="shared" si="2"/>
        <v>0.6905</v>
      </c>
      <c r="BC17" s="561">
        <f t="shared" si="3"/>
        <v>0.6905</v>
      </c>
      <c r="BD17" s="624" t="s">
        <v>317</v>
      </c>
    </row>
    <row r="18" spans="1:56" ht="30">
      <c r="A18" s="470" t="s">
        <v>52</v>
      </c>
      <c r="B18" s="471" t="s">
        <v>318</v>
      </c>
      <c r="C18" s="471" t="str">
        <f t="shared" si="0"/>
        <v>Tarlac, La Paz</v>
      </c>
      <c r="D18" s="470" t="s">
        <v>88</v>
      </c>
      <c r="E18" s="472" t="s">
        <v>213</v>
      </c>
      <c r="F18" s="49">
        <v>15.44117</v>
      </c>
      <c r="G18" s="49">
        <v>120.729534</v>
      </c>
      <c r="H18" s="473" t="str">
        <f t="shared" si="1"/>
        <v>15.44117,120.729534</v>
      </c>
      <c r="I18" s="473" t="s">
        <v>99</v>
      </c>
      <c r="J18" s="473" t="s">
        <v>319</v>
      </c>
      <c r="K18" s="49" t="s">
        <v>320</v>
      </c>
      <c r="L18" s="49">
        <v>2015</v>
      </c>
      <c r="M18" s="49">
        <v>2023</v>
      </c>
      <c r="N18" s="49" t="s">
        <v>170</v>
      </c>
      <c r="O18" s="49" t="s">
        <v>39</v>
      </c>
      <c r="P18" s="49"/>
      <c r="Q18" s="475" t="s">
        <v>28</v>
      </c>
      <c r="R18" s="472" t="s">
        <v>62</v>
      </c>
      <c r="S18" s="49" t="s">
        <v>321</v>
      </c>
      <c r="T18" s="337">
        <v>46056</v>
      </c>
      <c r="U18" s="337">
        <v>46069</v>
      </c>
      <c r="V18" s="337"/>
      <c r="W18" s="337">
        <v>46071</v>
      </c>
      <c r="X18" s="337">
        <v>46071</v>
      </c>
      <c r="Y18" s="476">
        <f>IFERROR(
    IF(
        OR(ISBLANK(T18), ISBLANK(U18)),
        "",
        MAX(
            1,
            IF(
                NETWORKDAYS(T18, U18, Holiday_Dates) &lt;= 0,
                1,
                NETWORKDAYS(T18, U18, Holiday_Dates) - IF(T18 = U18, 0, 1)
            )
        )
    ),
    ""
)</f>
        <v>9</v>
      </c>
      <c r="Z18" s="476" t="str">
        <f>IF(
    OR(ISBLANK(U18), ISBLANK(V18)),
    "",
    MAX(
        1,
        IF(
            NETWORKDAYS(U18, V18, Holiday_Dates) &lt;= 0,
            1,
            NETWORKDAYS(U18, V18, Holiday_Dates) - IF(U18 = V18, 0, 1)
        )
    )
)</f>
        <v/>
      </c>
      <c r="AA18" s="476">
        <f>IFERROR(
    IF(
        OR(ISBLANK(W18), AND(ISBLANK(U18), ISBLANK(V18))),
        "",
        MAX(
            1,
            IF(
                NETWORKDAYS(IF(NOT(ISBLANK(V18)), V18, U18), W18, Holiday_Dates) &lt;= 0,
                1,
                NETWORKDAYS(IF(NOT(ISBLANK(V18)), V18, U18), W18, Holiday_Dates)
                - IF(IF(NOT(ISBLANK(V18)), V18, U18) = W18, 0, 1)
            )
        )
    ),
    ""
)</f>
        <v>2</v>
      </c>
      <c r="AB18" s="476">
        <f>IFERROR(
    IF(
        OR(ISBLANK(W18), ISBLANK(X18)),
        "",
        MAX(
            1,
            IF(
                NETWORKDAYS(W18, X18, Holiday_Dates) &lt;= 0,
                1,
                NETWORKDAYS(W18, X18, Holiday_Dates) - IF(W18 = X18, 0, 1)
            )
        )
    ),
    ""
)</f>
        <v>1</v>
      </c>
      <c r="AC18" s="339" t="s">
        <v>219</v>
      </c>
      <c r="AD18" s="49">
        <v>0.33</v>
      </c>
      <c r="AE18" s="336">
        <v>25689.84</v>
      </c>
      <c r="AF18" s="49">
        <v>92</v>
      </c>
      <c r="AG18" s="339" t="s">
        <v>322</v>
      </c>
      <c r="AH18" s="478" t="s">
        <v>221</v>
      </c>
      <c r="AI18" s="49" t="s">
        <v>100</v>
      </c>
      <c r="AJ18" s="49" t="s">
        <v>100</v>
      </c>
      <c r="AK18" s="49" t="s">
        <v>100</v>
      </c>
      <c r="AL18" s="49" t="s">
        <v>100</v>
      </c>
      <c r="AM18" s="49" t="s">
        <v>100</v>
      </c>
      <c r="AN18" s="49" t="s">
        <v>100</v>
      </c>
      <c r="AO18" s="337"/>
      <c r="AP18" s="49"/>
      <c r="AQ18" s="49"/>
      <c r="AR18" s="336">
        <v>16376.51</v>
      </c>
      <c r="AS18" s="485">
        <v>0.63749999999999996</v>
      </c>
      <c r="AT18" s="336">
        <v>2761.53</v>
      </c>
      <c r="AU18" s="485">
        <v>0.1075</v>
      </c>
      <c r="AV18" s="336">
        <v>0</v>
      </c>
      <c r="AW18" s="485">
        <v>0</v>
      </c>
      <c r="AX18" s="336">
        <v>6260.98</v>
      </c>
      <c r="AY18" s="485">
        <v>0.2437</v>
      </c>
      <c r="AZ18" s="336">
        <v>290.82</v>
      </c>
      <c r="BA18" s="485">
        <v>1.1299999999999999E-2</v>
      </c>
      <c r="BB18" s="565">
        <f t="shared" si="2"/>
        <v>0.745</v>
      </c>
      <c r="BC18" s="561">
        <f t="shared" si="3"/>
        <v>0.745</v>
      </c>
      <c r="BD18" s="624" t="s">
        <v>323</v>
      </c>
    </row>
    <row r="19" spans="1:56" ht="30">
      <c r="A19" s="470" t="s">
        <v>52</v>
      </c>
      <c r="B19" s="471" t="s">
        <v>324</v>
      </c>
      <c r="C19" s="471" t="str">
        <f t="shared" si="0"/>
        <v>Tarlac, Moncada</v>
      </c>
      <c r="D19" s="470" t="s">
        <v>89</v>
      </c>
      <c r="E19" s="472" t="s">
        <v>243</v>
      </c>
      <c r="F19" s="49">
        <v>15.733044599999999</v>
      </c>
      <c r="G19" s="49">
        <v>120.57270250000001</v>
      </c>
      <c r="H19" s="473" t="str">
        <f t="shared" si="1"/>
        <v>15.7330446,120.5727025</v>
      </c>
      <c r="I19" s="473" t="s">
        <v>99</v>
      </c>
      <c r="J19" s="613" t="s">
        <v>325</v>
      </c>
      <c r="K19" s="49" t="s">
        <v>326</v>
      </c>
      <c r="L19" s="49">
        <v>2025</v>
      </c>
      <c r="M19" s="49">
        <v>2034</v>
      </c>
      <c r="N19" s="49" t="s">
        <v>216</v>
      </c>
      <c r="O19" s="49" t="s">
        <v>37</v>
      </c>
      <c r="P19" s="49"/>
      <c r="Q19" s="475" t="s">
        <v>28</v>
      </c>
      <c r="R19" s="49" t="s">
        <v>62</v>
      </c>
      <c r="S19" s="472" t="s">
        <v>327</v>
      </c>
      <c r="T19" s="337">
        <v>46057</v>
      </c>
      <c r="U19" s="337">
        <v>46059</v>
      </c>
      <c r="V19" s="337"/>
      <c r="W19" s="337">
        <v>46069</v>
      </c>
      <c r="X19" s="337">
        <v>46069</v>
      </c>
      <c r="Y19" s="476">
        <f>IFERROR(
    IF(
        OR(ISBLANK(T19), ISBLANK(U19)),
        "",
        MAX(
            1,
            IF(
                NETWORKDAYS(T19, U19, Holiday_Dates) &lt;= 0,
                1,
                NETWORKDAYS(T19, U19, Holiday_Dates) - IF(T19 = U19, 0, 1)
            )
        )
    ),
    ""
)</f>
        <v>2</v>
      </c>
      <c r="Z19" s="476" t="str">
        <f>IF(
    OR(ISBLANK(U19), ISBLANK(V19)),
    "",
    MAX(
        1,
        IF(
            NETWORKDAYS(U19, V19, Holiday_Dates) &lt;= 0,
            1,
            NETWORKDAYS(U19, V19, Holiday_Dates) - IF(U19 = V19, 0, 1)
        )
    )
)</f>
        <v/>
      </c>
      <c r="AA19" s="476">
        <f>IFERROR(
    IF(
        OR(ISBLANK(W19), AND(ISBLANK(U19), ISBLANK(V19))),
        "",
        MAX(
            1,
            IF(
                NETWORKDAYS(IF(NOT(ISBLANK(V19)), V19, U19), W19, Holiday_Dates) &lt;= 0,
                1,
                NETWORKDAYS(IF(NOT(ISBLANK(V19)), V19, U19), W19, Holiday_Dates)
                - IF(IF(NOT(ISBLANK(V19)), V19, U19) = W19, 0, 1)
            )
        )
    ),
    ""
)</f>
        <v>6</v>
      </c>
      <c r="AB19" s="476">
        <f>IFERROR(
    IF(
        OR(ISBLANK(W19), ISBLANK(X19)),
        "",
        MAX(
            1,
            IF(
                NETWORKDAYS(W19, X19, Holiday_Dates) &lt;= 0,
                1,
                NETWORKDAYS(W19, X19, Holiday_Dates) - IF(W19 = X19, 0, 1)
            )
        )
    ),
    ""
)</f>
        <v>1</v>
      </c>
      <c r="AC19" s="339" t="s">
        <v>219</v>
      </c>
      <c r="AD19" s="49">
        <v>0.72</v>
      </c>
      <c r="AE19" s="336">
        <v>50250.96</v>
      </c>
      <c r="AF19" s="49">
        <v>74.5</v>
      </c>
      <c r="AG19" s="339" t="s">
        <v>322</v>
      </c>
      <c r="AH19" s="478" t="s">
        <v>221</v>
      </c>
      <c r="AI19" s="49" t="s">
        <v>100</v>
      </c>
      <c r="AJ19" s="49" t="s">
        <v>100</v>
      </c>
      <c r="AK19" s="49" t="s">
        <v>100</v>
      </c>
      <c r="AL19" s="49" t="s">
        <v>100</v>
      </c>
      <c r="AM19" s="49"/>
      <c r="AN19" s="49" t="s">
        <v>100</v>
      </c>
      <c r="AO19" s="337"/>
      <c r="AP19" s="49"/>
      <c r="AQ19" s="49"/>
      <c r="AR19" s="336">
        <v>23808.9</v>
      </c>
      <c r="AS19" s="485">
        <v>0.4738</v>
      </c>
      <c r="AT19" s="336">
        <v>13025.25</v>
      </c>
      <c r="AU19" s="485">
        <v>0.25919999999999999</v>
      </c>
      <c r="AV19" s="336">
        <v>351.76</v>
      </c>
      <c r="AW19" s="485">
        <v>7.0000000000000001E-3</v>
      </c>
      <c r="AX19" s="336">
        <v>6260.98</v>
      </c>
      <c r="AY19" s="485">
        <v>0.2437</v>
      </c>
      <c r="AZ19" s="336">
        <v>462.31</v>
      </c>
      <c r="BA19" s="485">
        <v>2.8799999999999999E-2</v>
      </c>
      <c r="BB19" s="565">
        <f t="shared" si="2"/>
        <v>0.74</v>
      </c>
      <c r="BC19" s="561">
        <f t="shared" si="3"/>
        <v>0.74</v>
      </c>
      <c r="BD19" s="624" t="s">
        <v>328</v>
      </c>
    </row>
    <row r="20" spans="1:56" ht="30">
      <c r="A20" s="470" t="s">
        <v>53</v>
      </c>
      <c r="B20" s="471" t="s">
        <v>329</v>
      </c>
      <c r="C20" s="471" t="str">
        <f t="shared" si="0"/>
        <v>Zambales, Botolan</v>
      </c>
      <c r="D20" s="470" t="s">
        <v>89</v>
      </c>
      <c r="E20" s="470" t="s">
        <v>271</v>
      </c>
      <c r="F20" s="49">
        <v>15.288611</v>
      </c>
      <c r="G20" s="49">
        <v>120.02333299999999</v>
      </c>
      <c r="H20" s="473" t="str">
        <f t="shared" si="1"/>
        <v>15.288611,120.023333</v>
      </c>
      <c r="I20" s="473" t="s">
        <v>99</v>
      </c>
      <c r="J20" s="339" t="s">
        <v>330</v>
      </c>
      <c r="K20" s="49" t="s">
        <v>226</v>
      </c>
      <c r="L20" s="49">
        <v>2020</v>
      </c>
      <c r="M20" s="49">
        <v>2029</v>
      </c>
      <c r="N20" s="49"/>
      <c r="O20" s="49" t="s">
        <v>41</v>
      </c>
      <c r="P20" s="49"/>
      <c r="Q20" s="475" t="s">
        <v>133</v>
      </c>
      <c r="R20" s="49" t="s">
        <v>62</v>
      </c>
      <c r="S20" s="49" t="s">
        <v>331</v>
      </c>
      <c r="T20" s="480">
        <v>46069</v>
      </c>
      <c r="U20" s="480">
        <v>46071</v>
      </c>
      <c r="V20" s="480"/>
      <c r="W20" s="480">
        <v>46071</v>
      </c>
      <c r="X20" s="480">
        <v>46071</v>
      </c>
      <c r="Y20" s="476">
        <f>IFERROR(
    IF(
        OR(ISBLANK(T20), ISBLANK(U20)),
        "",
        MAX(
            1,
            IF(
                NETWORKDAYS(T20, U20, Holiday_Dates) &lt;= 0,
                1,
                NETWORKDAYS(T20, U20, Holiday_Dates) - IF(T20 = U20, 0, 1)
            )
        )
    ),
    ""
)</f>
        <v>2</v>
      </c>
      <c r="Z20" s="476" t="str">
        <f>IF(
    OR(ISBLANK(U20), ISBLANK(V20)),
    "",
    MAX(
        1,
        IF(
            NETWORKDAYS(U20, V20, Holiday_Dates) &lt;= 0,
            1,
            NETWORKDAYS(U20, V20, Holiday_Dates) - IF(U20 = V20, 0, 1)
        )
    )
)</f>
        <v/>
      </c>
      <c r="AA20" s="476">
        <f>IFERROR(
    IF(
        OR(ISBLANK(W20), AND(ISBLANK(U20), ISBLANK(V20))),
        "",
        MAX(
            1,
            IF(
                NETWORKDAYS(IF(NOT(ISBLANK(V20)), V20, U20), W20, Holiday_Dates) &lt;= 0,
                1,
                NETWORKDAYS(IF(NOT(ISBLANK(V20)), V20, U20), W20, Holiday_Dates)
                - IF(IF(NOT(ISBLANK(V20)), V20, U20) = W20, 0, 1)
            )
        )
    ),
    ""
)</f>
        <v>1</v>
      </c>
      <c r="AB20" s="476">
        <f>IFERROR(
    IF(
        OR(ISBLANK(W20), ISBLANK(X20)),
        "",
        MAX(
            1,
            IF(
                NETWORKDAYS(W20, X20, Holiday_Dates) &lt;= 0,
                1,
                NETWORKDAYS(W20, X20, Holiday_Dates) - IF(W20 = X20, 0, 1)
            )
        )
    ),
    ""
)</f>
        <v>1</v>
      </c>
      <c r="AC20" s="339" t="s">
        <v>219</v>
      </c>
      <c r="AD20" s="49">
        <v>0.499</v>
      </c>
      <c r="AE20" s="336">
        <v>36921.51</v>
      </c>
      <c r="AF20" s="49">
        <v>0.68</v>
      </c>
      <c r="AG20" s="339" t="s">
        <v>332</v>
      </c>
      <c r="AH20" s="478" t="s">
        <v>221</v>
      </c>
      <c r="AI20" s="49" t="s">
        <v>100</v>
      </c>
      <c r="AJ20" s="49" t="s">
        <v>100</v>
      </c>
      <c r="AK20" s="49" t="s">
        <v>100</v>
      </c>
      <c r="AL20" s="49" t="s">
        <v>100</v>
      </c>
      <c r="AM20" s="49" t="s">
        <v>100</v>
      </c>
      <c r="AN20" s="49" t="s">
        <v>100</v>
      </c>
      <c r="AO20" s="337"/>
      <c r="AP20" s="49"/>
      <c r="AQ20" s="49"/>
      <c r="AR20" s="336">
        <v>22614.77</v>
      </c>
      <c r="AS20" s="485">
        <v>0.61250000000000004</v>
      </c>
      <c r="AT20" s="336">
        <v>2491.86</v>
      </c>
      <c r="AU20" s="485">
        <v>6.7500000000000004E-2</v>
      </c>
      <c r="AV20" s="336"/>
      <c r="AW20" s="485"/>
      <c r="AX20" s="336">
        <v>10974.55</v>
      </c>
      <c r="AY20" s="485">
        <v>0.29720000000000002</v>
      </c>
      <c r="AZ20" s="336">
        <v>840.33</v>
      </c>
      <c r="BA20" s="485">
        <v>2.2800000000000001E-2</v>
      </c>
      <c r="BB20" s="565">
        <f t="shared" si="2"/>
        <v>0.68</v>
      </c>
      <c r="BC20" s="561">
        <f t="shared" si="3"/>
        <v>0.68</v>
      </c>
      <c r="BD20" s="624" t="s">
        <v>333</v>
      </c>
    </row>
    <row r="21" spans="1:56" ht="15.75">
      <c r="A21" s="470" t="s">
        <v>47</v>
      </c>
      <c r="B21" s="471" t="s">
        <v>334</v>
      </c>
      <c r="C21" s="471" t="str">
        <f t="shared" si="0"/>
        <v>Aurora, Casiguran</v>
      </c>
      <c r="D21" s="470" t="s">
        <v>89</v>
      </c>
      <c r="E21" s="470" t="s">
        <v>259</v>
      </c>
      <c r="F21" s="473">
        <v>16.277169000000001</v>
      </c>
      <c r="G21" s="473">
        <v>122.12313899999999</v>
      </c>
      <c r="H21" s="473" t="str">
        <f t="shared" si="1"/>
        <v>16.277169,122.123139</v>
      </c>
      <c r="I21" s="473" t="s">
        <v>99</v>
      </c>
      <c r="J21" s="473">
        <v>1289</v>
      </c>
      <c r="K21" s="473" t="s">
        <v>291</v>
      </c>
      <c r="L21" s="492">
        <v>2019</v>
      </c>
      <c r="M21" s="473">
        <v>2027</v>
      </c>
      <c r="N21" s="473"/>
      <c r="O21" s="473" t="s">
        <v>335</v>
      </c>
      <c r="P21" s="473"/>
      <c r="Q21" s="475" t="s">
        <v>128</v>
      </c>
      <c r="R21" s="474" t="s">
        <v>45</v>
      </c>
      <c r="S21" s="339"/>
      <c r="T21" s="480"/>
      <c r="U21" s="480"/>
      <c r="V21" s="480"/>
      <c r="W21" s="480"/>
      <c r="X21" s="337"/>
      <c r="Y21" s="476" t="str">
        <f>IFERROR(
    IF(
        OR(ISBLANK(T21), ISBLANK(U21)),
        "",
        MAX(
            1,
            IF(
                NETWORKDAYS(T21, U21, Holiday_Dates) &lt;= 0,
                1,
                NETWORKDAYS(T21, U21, Holiday_Dates) - IF(T21 = U21, 0, 1)
            )
        )
    ),
    ""
)</f>
        <v/>
      </c>
      <c r="Z21" s="476" t="str">
        <f>IF(
    OR(ISBLANK(U21), ISBLANK(V21)),
    "",
    MAX(
        1,
        IF(
            NETWORKDAYS(U21, V21, Holiday_Dates) &lt;= 0,
            1,
            NETWORKDAYS(U21, V21, Holiday_Dates) - IF(U21 = V21, 0, 1)
        )
    )
)</f>
        <v/>
      </c>
      <c r="AA21" s="476" t="str">
        <f>IFERROR(
    IF(
        OR(ISBLANK(W21), AND(ISBLANK(U21), ISBLANK(V21))),
        "",
        MAX(
            1,
            IF(
                NETWORKDAYS(IF(NOT(ISBLANK(V21)), V21, U21), W21, Holiday_Dates) &lt;= 0,
                1,
                NETWORKDAYS(IF(NOT(ISBLANK(V21)), V21, U21), W21, Holiday_Dates)
                - IF(IF(NOT(ISBLANK(V21)), V21, U21) = W21, 0, 1)
            )
        )
    ),
    ""
)</f>
        <v/>
      </c>
      <c r="AB21" s="476" t="str">
        <f>IFERROR(
    IF(
        OR(ISBLANK(W21), ISBLANK(X21)),
        "",
        MAX(
            1,
            IF(
                NETWORKDAYS(W21, X21, Holiday_Dates) &lt;= 0,
                1,
                NETWORKDAYS(W21, X21, Holiday_Dates) - IF(W21 = X21, 0, 1)
            )
        )
    ),
    ""
)</f>
        <v/>
      </c>
      <c r="AC21" s="339"/>
      <c r="AD21" s="49"/>
      <c r="AE21" s="336"/>
      <c r="AF21" s="485"/>
      <c r="AG21" s="339"/>
      <c r="AH21" s="478"/>
      <c r="AI21" s="339"/>
      <c r="AJ21" s="339"/>
      <c r="AK21" s="339"/>
      <c r="AL21" s="339"/>
      <c r="AM21" s="339"/>
      <c r="AN21" s="339"/>
      <c r="AO21" s="480"/>
      <c r="AP21" s="473"/>
      <c r="AQ21" s="473"/>
      <c r="AR21" s="488"/>
      <c r="AS21" s="489"/>
      <c r="AT21" s="488"/>
      <c r="AU21" s="489"/>
      <c r="AV21" s="488"/>
      <c r="AW21" s="489"/>
      <c r="AX21" s="489"/>
      <c r="AY21" s="489"/>
      <c r="AZ21" s="489"/>
      <c r="BA21" s="489"/>
      <c r="BB21" s="565">
        <f t="shared" si="2"/>
        <v>0</v>
      </c>
      <c r="BC21" s="563">
        <f t="shared" si="3"/>
        <v>0</v>
      </c>
    </row>
    <row r="22" spans="1:56" ht="30">
      <c r="A22" s="470" t="s">
        <v>48</v>
      </c>
      <c r="B22" s="471" t="s">
        <v>336</v>
      </c>
      <c r="C22" s="471" t="str">
        <f t="shared" si="0"/>
        <v>Bataan, Mariveles</v>
      </c>
      <c r="D22" s="470" t="s">
        <v>88</v>
      </c>
      <c r="E22" s="470" t="s">
        <v>213</v>
      </c>
      <c r="F22" s="473">
        <v>14.435803999999999</v>
      </c>
      <c r="G22" s="473">
        <v>120.49021399999999</v>
      </c>
      <c r="H22" s="473" t="str">
        <f t="shared" si="1"/>
        <v>14.435804,120.490214</v>
      </c>
      <c r="I22" s="473" t="s">
        <v>99</v>
      </c>
      <c r="J22" s="473" t="s">
        <v>337</v>
      </c>
      <c r="K22" s="473" t="s">
        <v>338</v>
      </c>
      <c r="L22" s="473">
        <v>2016</v>
      </c>
      <c r="M22" s="473">
        <v>2025</v>
      </c>
      <c r="N22" s="49" t="s">
        <v>170</v>
      </c>
      <c r="O22" s="472" t="s">
        <v>19</v>
      </c>
      <c r="P22" s="472"/>
      <c r="Q22" s="475" t="s">
        <v>129</v>
      </c>
      <c r="R22" s="474" t="s">
        <v>45</v>
      </c>
      <c r="S22" s="339" t="s">
        <v>339</v>
      </c>
      <c r="T22" s="480">
        <v>46077</v>
      </c>
      <c r="U22" s="480">
        <v>46078</v>
      </c>
      <c r="V22" s="480"/>
      <c r="W22" s="480">
        <v>46078</v>
      </c>
      <c r="X22" s="337">
        <v>46079</v>
      </c>
      <c r="Y22" s="476">
        <f>IFERROR(
    IF(
        OR(ISBLANK(T22), ISBLANK(U22)),
        "",
        MAX(
            1,
            IF(
                NETWORKDAYS(T22, U22, Holiday_Dates) &lt;= 0,
                1,
                NETWORKDAYS(T22, U22, Holiday_Dates) - IF(T22 = U22, 0, 1)
            )
        )
    ),
    ""
)</f>
        <v>1</v>
      </c>
      <c r="Z22" s="476" t="str">
        <f>IF(
    OR(ISBLANK(U22), ISBLANK(V22)),
    "",
    MAX(
        1,
        IF(
            NETWORKDAYS(U22, V22, Holiday_Dates) &lt;= 0,
            1,
            NETWORKDAYS(U22, V22, Holiday_Dates) - IF(U22 = V22, 0, 1)
        )
    )
)</f>
        <v/>
      </c>
      <c r="AA22" s="476">
        <f>IFERROR(
    IF(
        OR(ISBLANK(W22), AND(ISBLANK(U22), ISBLANK(V22))),
        "",
        MAX(
            1,
            IF(
                NETWORKDAYS(IF(NOT(ISBLANK(V22)), V22, U22), W22, Holiday_Dates) &lt;= 0,
                1,
                NETWORKDAYS(IF(NOT(ISBLANK(V22)), V22, U22), W22, Holiday_Dates)
                - IF(IF(NOT(ISBLANK(V22)), V22, U22) = W22, 0, 1)
            )
        )
    ),
    ""
)</f>
        <v>1</v>
      </c>
      <c r="AB22" s="476">
        <f>IFERROR(
    IF(
        OR(ISBLANK(W22), ISBLANK(X22)),
        "",
        MAX(
            1,
            IF(
                NETWORKDAYS(W22, X22, Holiday_Dates) &lt;= 0,
                1,
                NETWORKDAYS(W22, X22, Holiday_Dates) - IF(W22 = X22, 0, 1)
            )
        )
    ),
    ""
)</f>
        <v>1</v>
      </c>
      <c r="AC22" s="339" t="s">
        <v>219</v>
      </c>
      <c r="AD22" s="49">
        <v>0.20100000000000001</v>
      </c>
      <c r="AE22" s="336">
        <v>31392.2</v>
      </c>
      <c r="AF22" s="485">
        <v>0.91469999999999996</v>
      </c>
      <c r="AG22" s="339" t="s">
        <v>220</v>
      </c>
      <c r="AH22" s="478" t="s">
        <v>221</v>
      </c>
      <c r="AI22" s="339" t="s">
        <v>100</v>
      </c>
      <c r="AJ22" s="339" t="s">
        <v>100</v>
      </c>
      <c r="AK22" s="339" t="s">
        <v>100</v>
      </c>
      <c r="AL22" s="339" t="s">
        <v>100</v>
      </c>
      <c r="AM22" s="339" t="s">
        <v>100</v>
      </c>
      <c r="AN22" s="339" t="s">
        <v>100</v>
      </c>
      <c r="AO22" s="480"/>
      <c r="AP22" s="473"/>
      <c r="AQ22" s="49"/>
      <c r="AR22" s="336">
        <v>6765.02</v>
      </c>
      <c r="AS22" s="485">
        <v>0.2155</v>
      </c>
      <c r="AT22" s="336">
        <v>4715.1099999999997</v>
      </c>
      <c r="AU22" s="485">
        <v>0.1502</v>
      </c>
      <c r="AV22" s="336">
        <v>17234.32</v>
      </c>
      <c r="AW22" s="485">
        <v>0.54090000000000005</v>
      </c>
      <c r="AX22" s="336">
        <v>1563.33</v>
      </c>
      <c r="AY22" s="485">
        <v>4.9799999999999997E-2</v>
      </c>
      <c r="AZ22" s="336">
        <v>1114.42</v>
      </c>
      <c r="BA22" s="485">
        <v>3.5499999999999997E-2</v>
      </c>
      <c r="BB22" s="565">
        <f t="shared" si="2"/>
        <v>0.90660000000000007</v>
      </c>
      <c r="BC22" s="561">
        <f t="shared" si="3"/>
        <v>0.90660000000000007</v>
      </c>
    </row>
    <row r="23" spans="1:56" ht="15.75">
      <c r="A23" s="470" t="s">
        <v>49</v>
      </c>
      <c r="B23" s="471" t="s">
        <v>340</v>
      </c>
      <c r="C23" s="471" t="str">
        <f t="shared" si="0"/>
        <v>Bulacan, City Of San Jose Del Monte</v>
      </c>
      <c r="D23" s="470" t="s">
        <v>88</v>
      </c>
      <c r="E23" s="470" t="s">
        <v>259</v>
      </c>
      <c r="F23" s="473">
        <v>14.810226999999999</v>
      </c>
      <c r="G23" s="473">
        <v>121.047703</v>
      </c>
      <c r="H23" s="473" t="str">
        <f t="shared" si="1"/>
        <v>14.810227,121.047703</v>
      </c>
      <c r="I23" s="473" t="s">
        <v>99</v>
      </c>
      <c r="J23" s="473" t="s">
        <v>341</v>
      </c>
      <c r="K23" s="473" t="s">
        <v>261</v>
      </c>
      <c r="L23" s="473">
        <v>2015</v>
      </c>
      <c r="M23" s="473">
        <v>2024</v>
      </c>
      <c r="N23" s="49" t="s">
        <v>170</v>
      </c>
      <c r="O23" s="473" t="s">
        <v>227</v>
      </c>
      <c r="P23" s="473"/>
      <c r="Q23" s="475" t="s">
        <v>128</v>
      </c>
      <c r="R23" s="474" t="s">
        <v>45</v>
      </c>
      <c r="S23" s="472"/>
      <c r="T23" s="480"/>
      <c r="U23" s="480"/>
      <c r="V23" s="480"/>
      <c r="W23" s="480"/>
      <c r="X23" s="337"/>
      <c r="Y23" s="476" t="str">
        <f>IFERROR(
    IF(
        OR(ISBLANK(T23), ISBLANK(U23)),
        "",
        MAX(
            1,
            IF(
                NETWORKDAYS(T23, U23, Holiday_Dates) &lt;= 0,
                1,
                NETWORKDAYS(T23, U23, Holiday_Dates) - IF(T23 = U23, 0, 1)
            )
        )
    ),
    ""
)</f>
        <v/>
      </c>
      <c r="Z23" s="476" t="str">
        <f>IF(
    OR(ISBLANK(U23), ISBLANK(V23)),
    "",
    MAX(
        1,
        IF(
            NETWORKDAYS(U23, V23, Holiday_Dates) &lt;= 0,
            1,
            NETWORKDAYS(U23, V23, Holiday_Dates) - IF(U23 = V23, 0, 1)
        )
    )
)</f>
        <v/>
      </c>
      <c r="AA23" s="476" t="str">
        <f>IFERROR(
    IF(
        OR(ISBLANK(W23), AND(ISBLANK(U23), ISBLANK(V23))),
        "",
        MAX(
            1,
            IF(
                NETWORKDAYS(IF(NOT(ISBLANK(V23)), V23, U23), W23, Holiday_Dates) &lt;= 0,
                1,
                NETWORKDAYS(IF(NOT(ISBLANK(V23)), V23, U23), W23, Holiday_Dates)
                - IF(IF(NOT(ISBLANK(V23)), V23, U23) = W23, 0, 1)
            )
        )
    ),
    ""
)</f>
        <v/>
      </c>
      <c r="AB23" s="476" t="str">
        <f>IFERROR(
    IF(
        OR(ISBLANK(W23), ISBLANK(X23)),
        "",
        MAX(
            1,
            IF(
                NETWORKDAYS(W23, X23, Holiday_Dates) &lt;= 0,
                1,
                NETWORKDAYS(W23, X23, Holiday_Dates) - IF(W23 = X23, 0, 1)
            )
        )
    ),
    ""
)</f>
        <v/>
      </c>
      <c r="AC23" s="339"/>
      <c r="AD23" s="49"/>
      <c r="AE23" s="336"/>
      <c r="AF23" s="49"/>
      <c r="AG23" s="493"/>
      <c r="AH23" s="478"/>
      <c r="AI23" s="49"/>
      <c r="AJ23" s="49"/>
      <c r="AK23" s="49"/>
      <c r="AL23" s="49"/>
      <c r="AM23" s="49"/>
      <c r="AN23" s="49"/>
      <c r="AO23" s="480"/>
      <c r="AP23" s="473"/>
      <c r="AQ23" s="49"/>
      <c r="AR23" s="488"/>
      <c r="AS23" s="489"/>
      <c r="AT23" s="488"/>
      <c r="AU23" s="489"/>
      <c r="AV23" s="488"/>
      <c r="AW23" s="489"/>
      <c r="AX23" s="488"/>
      <c r="AY23" s="489"/>
      <c r="AZ23" s="488"/>
      <c r="BA23" s="489"/>
      <c r="BB23" s="566">
        <f t="shared" ref="BB23:BB54" si="4">SUM(AR23,AT23,AV23)</f>
        <v>0</v>
      </c>
      <c r="BC23" s="563">
        <f t="shared" si="3"/>
        <v>0</v>
      </c>
    </row>
    <row r="24" spans="1:56">
      <c r="A24" s="470" t="s">
        <v>49</v>
      </c>
      <c r="B24" s="471" t="s">
        <v>342</v>
      </c>
      <c r="C24" s="471" t="str">
        <f t="shared" si="0"/>
        <v>Bulacan, Hagonoy</v>
      </c>
      <c r="D24" s="470" t="s">
        <v>88</v>
      </c>
      <c r="E24" s="470" t="s">
        <v>243</v>
      </c>
      <c r="F24" s="472">
        <v>14.836099000000001</v>
      </c>
      <c r="G24" s="472">
        <v>120.734098</v>
      </c>
      <c r="H24" s="473" t="str">
        <f t="shared" si="1"/>
        <v>14.836099,120.734098</v>
      </c>
      <c r="I24" s="473" t="s">
        <v>99</v>
      </c>
      <c r="J24" s="473" t="s">
        <v>343</v>
      </c>
      <c r="K24" s="472" t="s">
        <v>338</v>
      </c>
      <c r="L24" s="472">
        <v>2018</v>
      </c>
      <c r="M24" s="472">
        <v>2025</v>
      </c>
      <c r="N24" s="49" t="s">
        <v>170</v>
      </c>
      <c r="O24" s="472" t="s">
        <v>344</v>
      </c>
      <c r="P24" s="472"/>
      <c r="Q24" s="475" t="s">
        <v>128</v>
      </c>
      <c r="R24" s="481" t="s">
        <v>45</v>
      </c>
      <c r="S24" s="472"/>
      <c r="T24" s="337"/>
      <c r="U24" s="337"/>
      <c r="V24" s="337"/>
      <c r="W24" s="337"/>
      <c r="X24" s="337"/>
      <c r="Y24" s="476" t="str">
        <f>IFERROR(
    IF(
        OR(ISBLANK(T24), ISBLANK(U24)),
        "",
        MAX(
            1,
            IF(
                NETWORKDAYS(T24, U24, Holiday_Dates) &lt;= 0,
                1,
                NETWORKDAYS(T24, U24, Holiday_Dates) - IF(T24 = U24, 0, 1)
            )
        )
    ),
    ""
)</f>
        <v/>
      </c>
      <c r="Z24" s="476" t="str">
        <f>IF(
    OR(ISBLANK(U24), ISBLANK(V24)),
    "",
    MAX(
        1,
        IF(
            NETWORKDAYS(U24, V24, Holiday_Dates) &lt;= 0,
            1,
            NETWORKDAYS(U24, V24, Holiday_Dates) - IF(U24 = V24, 0, 1)
        )
    )
)</f>
        <v/>
      </c>
      <c r="AA24" s="476" t="str">
        <f>IFERROR(
    IF(
        OR(ISBLANK(W24), AND(ISBLANK(U24), ISBLANK(V24))),
        "",
        MAX(
            1,
            IF(
                NETWORKDAYS(IF(NOT(ISBLANK(V24)), V24, U24), W24, Holiday_Dates) &lt;= 0,
                1,
                NETWORKDAYS(IF(NOT(ISBLANK(V24)), V24, U24), W24, Holiday_Dates)
                - IF(IF(NOT(ISBLANK(V24)), V24, U24) = W24, 0, 1)
            )
        )
    ),
    ""
)</f>
        <v/>
      </c>
      <c r="AB24" s="476" t="str">
        <f>IFERROR(
    IF(
        OR(ISBLANK(W24), ISBLANK(X24)),
        "",
        MAX(
            1,
            IF(
                NETWORKDAYS(W24, X24, Holiday_Dates) &lt;= 0,
                1,
                NETWORKDAYS(W24, X24, Holiday_Dates) - IF(W24 = X24, 0, 1)
            )
        )
    ),
    ""
)</f>
        <v/>
      </c>
      <c r="AC24" s="339"/>
      <c r="AD24" s="49"/>
      <c r="AE24" s="494"/>
      <c r="AF24" s="49"/>
      <c r="AG24" s="339"/>
      <c r="AH24" s="478"/>
      <c r="AI24" s="339"/>
      <c r="AJ24" s="339"/>
      <c r="AK24" s="339"/>
      <c r="AL24" s="339"/>
      <c r="AM24" s="339"/>
      <c r="AN24" s="339"/>
      <c r="AO24" s="487"/>
      <c r="AP24" s="473"/>
      <c r="AQ24" s="49"/>
      <c r="AR24" s="488"/>
      <c r="AS24" s="489"/>
      <c r="AT24" s="488"/>
      <c r="AU24" s="489"/>
      <c r="AV24" s="488"/>
      <c r="AW24" s="489"/>
      <c r="AX24" s="488"/>
      <c r="AY24" s="489"/>
      <c r="AZ24" s="489"/>
      <c r="BA24" s="489"/>
      <c r="BB24" s="566">
        <f t="shared" si="4"/>
        <v>0</v>
      </c>
      <c r="BC24" s="563">
        <f t="shared" si="3"/>
        <v>0</v>
      </c>
    </row>
    <row r="25" spans="1:56">
      <c r="A25" s="470" t="s">
        <v>50</v>
      </c>
      <c r="B25" s="471" t="s">
        <v>345</v>
      </c>
      <c r="C25" s="471" t="str">
        <f t="shared" si="0"/>
        <v>Nueva Ecija, Jaen</v>
      </c>
      <c r="D25" s="470" t="s">
        <v>88</v>
      </c>
      <c r="E25" s="470" t="s">
        <v>224</v>
      </c>
      <c r="F25" s="473">
        <v>15.337630000000001</v>
      </c>
      <c r="G25" s="473">
        <v>120.905423</v>
      </c>
      <c r="H25" s="473" t="str">
        <f t="shared" si="1"/>
        <v>15.33763,120.905423</v>
      </c>
      <c r="I25" s="473" t="s">
        <v>99</v>
      </c>
      <c r="J25" s="473" t="s">
        <v>346</v>
      </c>
      <c r="K25" s="473" t="s">
        <v>338</v>
      </c>
      <c r="L25" s="473">
        <v>2016</v>
      </c>
      <c r="M25" s="473">
        <v>2025</v>
      </c>
      <c r="N25" s="49" t="s">
        <v>170</v>
      </c>
      <c r="O25" s="473" t="s">
        <v>30</v>
      </c>
      <c r="P25" s="473"/>
      <c r="Q25" s="475" t="s">
        <v>130</v>
      </c>
      <c r="R25" s="481" t="s">
        <v>45</v>
      </c>
      <c r="S25" s="473"/>
      <c r="T25" s="480"/>
      <c r="U25" s="480"/>
      <c r="V25" s="480"/>
      <c r="W25" s="487"/>
      <c r="X25" s="480"/>
      <c r="Y25" s="476" t="str">
        <f>IFERROR(
    IF(
        OR(ISBLANK(T25), ISBLANK(U25)),
        "",
        MAX(
            1,
            IF(
                NETWORKDAYS(T25, U25, Holiday_Dates) &lt;= 0,
                1,
                NETWORKDAYS(T25, U25, Holiday_Dates) - IF(T25 = U25, 0, 1)
            )
        )
    ),
    ""
)</f>
        <v/>
      </c>
      <c r="Z25" s="476" t="str">
        <f>IF(
    OR(ISBLANK(U25), ISBLANK(V25)),
    "",
    MAX(
        1,
        IF(
            NETWORKDAYS(U25, V25, Holiday_Dates) &lt;= 0,
            1,
            NETWORKDAYS(U25, V25, Holiday_Dates) - IF(U25 = V25, 0, 1)
        )
    )
)</f>
        <v/>
      </c>
      <c r="AA25" s="476" t="str">
        <f>IFERROR(
    IF(
        OR(ISBLANK(W25), AND(ISBLANK(U25), ISBLANK(V25))),
        "",
        MAX(
            1,
            IF(
                NETWORKDAYS(IF(NOT(ISBLANK(V25)), V25, U25), W25, Holiday_Dates) &lt;= 0,
                1,
                NETWORKDAYS(IF(NOT(ISBLANK(V25)), V25, U25), W25, Holiday_Dates)
                - IF(IF(NOT(ISBLANK(V25)), V25, U25) = W25, 0, 1)
            )
        )
    ),
    ""
)</f>
        <v/>
      </c>
      <c r="AB25" s="476" t="str">
        <f>IFERROR(
    IF(
        OR(ISBLANK(W25), ISBLANK(X25)),
        "",
        MAX(
            1,
            IF(
                NETWORKDAYS(W25, X25, Holiday_Dates) &lt;= 0,
                1,
                NETWORKDAYS(W25, X25, Holiday_Dates) - IF(W25 = X25, 0, 1)
            )
        )
    ),
    ""
)</f>
        <v/>
      </c>
      <c r="AC25" s="339"/>
      <c r="AD25" s="49"/>
      <c r="AE25" s="472"/>
      <c r="AF25" s="49"/>
      <c r="AG25" s="339"/>
      <c r="AH25" s="478"/>
      <c r="AI25" s="49"/>
      <c r="AJ25" s="49"/>
      <c r="AK25" s="49"/>
      <c r="AL25" s="49"/>
      <c r="AM25" s="339"/>
      <c r="AN25" s="339"/>
      <c r="AO25" s="480"/>
      <c r="AP25" s="473"/>
      <c r="AQ25" s="49"/>
      <c r="AR25" s="488"/>
      <c r="AS25" s="489"/>
      <c r="AT25" s="488"/>
      <c r="AU25" s="489"/>
      <c r="AV25" s="488"/>
      <c r="AW25" s="489"/>
      <c r="AX25" s="488"/>
      <c r="AY25" s="489"/>
      <c r="AZ25" s="489"/>
      <c r="BA25" s="489"/>
      <c r="BB25" s="566">
        <f t="shared" si="4"/>
        <v>0</v>
      </c>
      <c r="BC25" s="563">
        <f t="shared" si="3"/>
        <v>0</v>
      </c>
    </row>
    <row r="26" spans="1:56">
      <c r="A26" s="470" t="s">
        <v>50</v>
      </c>
      <c r="B26" s="471" t="s">
        <v>347</v>
      </c>
      <c r="C26" s="471" t="str">
        <f t="shared" si="0"/>
        <v>Nueva Ecija, Laur</v>
      </c>
      <c r="D26" s="470" t="s">
        <v>88</v>
      </c>
      <c r="E26" s="470" t="s">
        <v>213</v>
      </c>
      <c r="F26" s="472">
        <v>15.571914</v>
      </c>
      <c r="G26" s="472">
        <v>121.16845600000001</v>
      </c>
      <c r="H26" s="473" t="str">
        <f t="shared" si="1"/>
        <v>15.571914,121.168456</v>
      </c>
      <c r="I26" s="473" t="s">
        <v>99</v>
      </c>
      <c r="J26" s="473">
        <v>195</v>
      </c>
      <c r="K26" s="472" t="s">
        <v>338</v>
      </c>
      <c r="L26" s="472">
        <v>2015</v>
      </c>
      <c r="M26" s="472">
        <v>2025</v>
      </c>
      <c r="N26" s="49" t="s">
        <v>170</v>
      </c>
      <c r="O26" s="472" t="s">
        <v>141</v>
      </c>
      <c r="P26" s="472"/>
      <c r="Q26" s="475" t="s">
        <v>130</v>
      </c>
      <c r="R26" s="474" t="s">
        <v>45</v>
      </c>
      <c r="S26" s="49"/>
      <c r="T26" s="487"/>
      <c r="U26" s="487"/>
      <c r="V26" s="487"/>
      <c r="W26" s="487"/>
      <c r="X26" s="487"/>
      <c r="Y26" s="476" t="str">
        <f>IFERROR(
    IF(
        OR(ISBLANK(T26), ISBLANK(U26)),
        "",
        MAX(
            1,
            IF(
                NETWORKDAYS(T26, U26, Holiday_Dates) &lt;= 0,
                1,
                NETWORKDAYS(T26, U26, Holiday_Dates) - IF(T26 = U26, 0, 1)
            )
        )
    ),
    ""
)</f>
        <v/>
      </c>
      <c r="Z26" s="476" t="str">
        <f>IF(
    OR(ISBLANK(U26), ISBLANK(V26)),
    "",
    MAX(
        1,
        IF(
            NETWORKDAYS(U26, V26, Holiday_Dates) &lt;= 0,
            1,
            NETWORKDAYS(U26, V26, Holiday_Dates) - IF(U26 = V26, 0, 1)
        )
    )
)</f>
        <v/>
      </c>
      <c r="AA26" s="476" t="str">
        <f>IFERROR(
    IF(
        OR(ISBLANK(W26), AND(ISBLANK(U26), ISBLANK(V26))),
        "",
        MAX(
            1,
            IF(
                NETWORKDAYS(IF(NOT(ISBLANK(V26)), V26, U26), W26, Holiday_Dates) &lt;= 0,
                1,
                NETWORKDAYS(IF(NOT(ISBLANK(V26)), V26, U26), W26, Holiday_Dates)
                - IF(IF(NOT(ISBLANK(V26)), V26, U26) = W26, 0, 1)
            )
        )
    ),
    ""
)</f>
        <v/>
      </c>
      <c r="AB26" s="476" t="str">
        <f>IFERROR(
    IF(
        OR(ISBLANK(W26), ISBLANK(X26)),
        "",
        MAX(
            1,
            IF(
                NETWORKDAYS(W26, X26, Holiday_Dates) &lt;= 0,
                1,
                NETWORKDAYS(W26, X26, Holiday_Dates) - IF(W26 = X26, 0, 1)
            )
        )
    ),
    ""
)</f>
        <v/>
      </c>
      <c r="AC26" s="339"/>
      <c r="AD26" s="49"/>
      <c r="AE26" s="49"/>
      <c r="AF26" s="49"/>
      <c r="AG26" s="339"/>
      <c r="AH26" s="478"/>
      <c r="AI26" s="339"/>
      <c r="AJ26" s="339"/>
      <c r="AK26" s="339"/>
      <c r="AL26" s="339"/>
      <c r="AM26" s="339"/>
      <c r="AN26" s="339"/>
      <c r="AO26" s="487"/>
      <c r="AP26" s="473"/>
      <c r="AQ26" s="49"/>
      <c r="AR26" s="488"/>
      <c r="AS26" s="489"/>
      <c r="AT26" s="488"/>
      <c r="AU26" s="489"/>
      <c r="AV26" s="489"/>
      <c r="AW26" s="489"/>
      <c r="AX26" s="488"/>
      <c r="AY26" s="489"/>
      <c r="AZ26" s="489"/>
      <c r="BA26" s="489"/>
      <c r="BB26" s="566">
        <f t="shared" si="4"/>
        <v>0</v>
      </c>
      <c r="BC26" s="563">
        <f t="shared" si="3"/>
        <v>0</v>
      </c>
    </row>
    <row r="27" spans="1:56">
      <c r="A27" s="470" t="s">
        <v>50</v>
      </c>
      <c r="B27" s="471" t="s">
        <v>348</v>
      </c>
      <c r="C27" s="471" t="str">
        <f t="shared" si="0"/>
        <v>Nueva Ecija, Peñaranda</v>
      </c>
      <c r="D27" s="470" t="s">
        <v>88</v>
      </c>
      <c r="E27" s="470" t="s">
        <v>224</v>
      </c>
      <c r="F27" s="49">
        <v>15.365180000000001</v>
      </c>
      <c r="G27" s="49">
        <v>121.014179</v>
      </c>
      <c r="H27" s="473" t="str">
        <f t="shared" si="1"/>
        <v>15.36518,121.014179</v>
      </c>
      <c r="I27" s="473" t="s">
        <v>99</v>
      </c>
      <c r="J27" s="473" t="s">
        <v>349</v>
      </c>
      <c r="K27" s="49" t="s">
        <v>291</v>
      </c>
      <c r="L27" s="49">
        <v>2019</v>
      </c>
      <c r="M27" s="49">
        <v>2027</v>
      </c>
      <c r="N27" s="49"/>
      <c r="O27" s="49" t="s">
        <v>30</v>
      </c>
      <c r="P27" s="49"/>
      <c r="Q27" s="475" t="s">
        <v>130</v>
      </c>
      <c r="R27" s="474" t="s">
        <v>45</v>
      </c>
      <c r="S27" s="472" t="s">
        <v>350</v>
      </c>
      <c r="T27" s="337"/>
      <c r="U27" s="337"/>
      <c r="V27" s="337"/>
      <c r="W27" s="337"/>
      <c r="X27" s="337"/>
      <c r="Y27" s="476" t="str">
        <f>IFERROR(
    IF(
        OR(ISBLANK(T27), ISBLANK(U27)),
        "",
        MAX(
            1,
            IF(
                NETWORKDAYS(T27, U27, Holiday_Dates) &lt;= 0,
                1,
                NETWORKDAYS(T27, U27, Holiday_Dates) - IF(T27 = U27, 0, 1)
            )
        )
    ),
    ""
)</f>
        <v/>
      </c>
      <c r="Z27" s="476" t="str">
        <f>IF(
    OR(ISBLANK(U27), ISBLANK(V27)),
    "",
    MAX(
        1,
        IF(
            NETWORKDAYS(U27, V27, Holiday_Dates) &lt;= 0,
            1,
            NETWORKDAYS(U27, V27, Holiday_Dates) - IF(U27 = V27, 0, 1)
        )
    )
)</f>
        <v/>
      </c>
      <c r="AA27" s="476" t="str">
        <f>IFERROR(
    IF(
        OR(ISBLANK(W27), AND(ISBLANK(U27), ISBLANK(V27))),
        "",
        MAX(
            1,
            IF(
                NETWORKDAYS(IF(NOT(ISBLANK(V27)), V27, U27), W27, Holiday_Dates) &lt;= 0,
                1,
                NETWORKDAYS(IF(NOT(ISBLANK(V27)), V27, U27), W27, Holiday_Dates)
                - IF(IF(NOT(ISBLANK(V27)), V27, U27) = W27, 0, 1)
            )
        )
    ),
    ""
)</f>
        <v/>
      </c>
      <c r="AB27" s="476" t="str">
        <f>IFERROR(
    IF(
        OR(ISBLANK(W27), ISBLANK(X27)),
        "",
        MAX(
            1,
            IF(
                NETWORKDAYS(W27, X27, Holiday_Dates) &lt;= 0,
                1,
                NETWORKDAYS(W27, X27, Holiday_Dates) - IF(W27 = X27, 0, 1)
            )
        )
    ),
    ""
)</f>
        <v/>
      </c>
      <c r="AC27" s="339"/>
      <c r="AD27" s="49"/>
      <c r="AE27" s="336"/>
      <c r="AF27" s="491"/>
      <c r="AG27" s="339"/>
      <c r="AH27" s="478"/>
      <c r="AI27" s="49"/>
      <c r="AJ27" s="49"/>
      <c r="AK27" s="49"/>
      <c r="AL27" s="49"/>
      <c r="AM27" s="49"/>
      <c r="AN27" s="49"/>
      <c r="AO27" s="337"/>
      <c r="AP27" s="49"/>
      <c r="AQ27" s="49"/>
      <c r="AR27" s="488"/>
      <c r="AS27" s="489"/>
      <c r="AT27" s="488"/>
      <c r="AU27" s="489"/>
      <c r="AV27" s="488"/>
      <c r="AW27" s="489"/>
      <c r="AX27" s="488"/>
      <c r="AY27" s="489"/>
      <c r="AZ27" s="489"/>
      <c r="BA27" s="489"/>
      <c r="BB27" s="566">
        <f t="shared" si="4"/>
        <v>0</v>
      </c>
      <c r="BC27" s="563">
        <f t="shared" si="3"/>
        <v>0</v>
      </c>
    </row>
    <row r="28" spans="1:56">
      <c r="A28" s="470" t="s">
        <v>51</v>
      </c>
      <c r="B28" s="471" t="s">
        <v>351</v>
      </c>
      <c r="C28" s="471" t="str">
        <f t="shared" si="0"/>
        <v>Pampanga, Apalit</v>
      </c>
      <c r="D28" s="470" t="s">
        <v>88</v>
      </c>
      <c r="E28" s="470" t="s">
        <v>224</v>
      </c>
      <c r="F28" s="49">
        <v>14.9536</v>
      </c>
      <c r="G28" s="49">
        <v>120.7685</v>
      </c>
      <c r="H28" s="473" t="str">
        <f t="shared" si="1"/>
        <v>14.9536,120.7685</v>
      </c>
      <c r="I28" s="473" t="s">
        <v>99</v>
      </c>
      <c r="J28" s="473">
        <v>1241</v>
      </c>
      <c r="K28" s="49" t="s">
        <v>291</v>
      </c>
      <c r="L28" s="49">
        <v>2019</v>
      </c>
      <c r="M28" s="49">
        <v>2027</v>
      </c>
      <c r="N28" s="49"/>
      <c r="O28" s="49" t="s">
        <v>34</v>
      </c>
      <c r="P28" s="49"/>
      <c r="Q28" s="483" t="s">
        <v>239</v>
      </c>
      <c r="R28" s="474" t="s">
        <v>45</v>
      </c>
      <c r="S28" s="49"/>
      <c r="T28" s="337"/>
      <c r="U28" s="337"/>
      <c r="V28" s="337"/>
      <c r="W28" s="337"/>
      <c r="X28" s="337"/>
      <c r="Y28" s="476" t="str">
        <f>IFERROR(
    IF(
        OR(ISBLANK(T28), ISBLANK(U28)),
        "",
        MAX(
            1,
            IF(
                NETWORKDAYS(T28, U28, Holiday_Dates) &lt;= 0,
                1,
                NETWORKDAYS(T28, U28, Holiday_Dates) - IF(T28 = U28, 0, 1)
            )
        )
    ),
    ""
)</f>
        <v/>
      </c>
      <c r="Z28" s="476" t="str">
        <f>IF(
    OR(ISBLANK(U28), ISBLANK(V28)),
    "",
    MAX(
        1,
        IF(
            NETWORKDAYS(U28, V28, Holiday_Dates) &lt;= 0,
            1,
            NETWORKDAYS(U28, V28, Holiday_Dates) - IF(U28 = V28, 0, 1)
        )
    )
)</f>
        <v/>
      </c>
      <c r="AA28" s="476" t="str">
        <f>IFERROR(
    IF(
        OR(ISBLANK(W28), AND(ISBLANK(U28), ISBLANK(V28))),
        "",
        MAX(
            1,
            IF(
                NETWORKDAYS(IF(NOT(ISBLANK(V28)), V28, U28), W28, Holiday_Dates) &lt;= 0,
                1,
                NETWORKDAYS(IF(NOT(ISBLANK(V28)), V28, U28), W28, Holiday_Dates)
                - IF(IF(NOT(ISBLANK(V28)), V28, U28) = W28, 0, 1)
            )
        )
    ),
    ""
)</f>
        <v/>
      </c>
      <c r="AB28" s="476" t="str">
        <f>IFERROR(
    IF(
        OR(ISBLANK(W28), ISBLANK(X28)),
        "",
        MAX(
            1,
            IF(
                NETWORKDAYS(W28, X28, Holiday_Dates) &lt;= 0,
                1,
                NETWORKDAYS(W28, X28, Holiday_Dates) - IF(W28 = X28, 0, 1)
            )
        )
    ),
    ""
)</f>
        <v/>
      </c>
      <c r="AC28" s="339"/>
      <c r="AD28" s="49"/>
      <c r="AE28" s="49"/>
      <c r="AF28" s="49"/>
      <c r="AG28" s="339"/>
      <c r="AH28" s="478"/>
      <c r="AI28" s="49"/>
      <c r="AJ28" s="49"/>
      <c r="AK28" s="49"/>
      <c r="AL28" s="49"/>
      <c r="AM28" s="49"/>
      <c r="AN28" s="49"/>
      <c r="AO28" s="337"/>
      <c r="AP28" s="49"/>
      <c r="AQ28" s="49"/>
      <c r="AR28" s="488"/>
      <c r="AS28" s="489"/>
      <c r="AT28" s="488"/>
      <c r="AU28" s="489"/>
      <c r="AV28" s="488"/>
      <c r="AW28" s="489"/>
      <c r="AX28" s="488"/>
      <c r="AY28" s="489"/>
      <c r="AZ28" s="489"/>
      <c r="BA28" s="489"/>
      <c r="BB28" s="566">
        <f t="shared" si="4"/>
        <v>0</v>
      </c>
      <c r="BC28" s="563">
        <f t="shared" si="3"/>
        <v>0</v>
      </c>
    </row>
    <row r="29" spans="1:56">
      <c r="A29" s="470" t="s">
        <v>51</v>
      </c>
      <c r="B29" s="471" t="s">
        <v>352</v>
      </c>
      <c r="C29" s="471" t="str">
        <f t="shared" si="0"/>
        <v>Pampanga, Candaba</v>
      </c>
      <c r="D29" s="470" t="s">
        <v>88</v>
      </c>
      <c r="E29" s="470" t="s">
        <v>224</v>
      </c>
      <c r="F29" s="49">
        <v>15.092935000000001</v>
      </c>
      <c r="G29" s="49">
        <v>120.828063</v>
      </c>
      <c r="H29" s="473" t="str">
        <f t="shared" si="1"/>
        <v>15.092935,120.828063</v>
      </c>
      <c r="I29" s="473" t="s">
        <v>99</v>
      </c>
      <c r="J29" s="473" t="s">
        <v>353</v>
      </c>
      <c r="K29" s="49" t="s">
        <v>261</v>
      </c>
      <c r="L29" s="49">
        <v>2015</v>
      </c>
      <c r="M29" s="49">
        <v>2024</v>
      </c>
      <c r="N29" s="49" t="s">
        <v>170</v>
      </c>
      <c r="O29" s="49" t="s">
        <v>32</v>
      </c>
      <c r="P29" s="49"/>
      <c r="Q29" s="483" t="s">
        <v>133</v>
      </c>
      <c r="R29" s="474" t="s">
        <v>45</v>
      </c>
      <c r="S29" s="49"/>
      <c r="T29" s="337"/>
      <c r="U29" s="337"/>
      <c r="V29" s="337"/>
      <c r="W29" s="337"/>
      <c r="X29" s="484"/>
      <c r="Y29" s="476" t="str">
        <f>IFERROR(
    IF(
        OR(ISBLANK(T29), ISBLANK(U29)),
        "",
        MAX(
            1,
            IF(
                NETWORKDAYS(T29, U29, Holiday_Dates) &lt;= 0,
                1,
                NETWORKDAYS(T29, U29, Holiday_Dates) - IF(T29 = U29, 0, 1)
            )
        )
    ),
    ""
)</f>
        <v/>
      </c>
      <c r="Z29" s="476" t="str">
        <f>IF(
    OR(ISBLANK(U29), ISBLANK(V29)),
    "",
    MAX(
        1,
        IF(
            NETWORKDAYS(U29, V29, Holiday_Dates) &lt;= 0,
            1,
            NETWORKDAYS(U29, V29, Holiday_Dates) - IF(U29 = V29, 0, 1)
        )
    )
)</f>
        <v/>
      </c>
      <c r="AA29" s="476" t="str">
        <f>IFERROR(
    IF(
        OR(ISBLANK(W29), AND(ISBLANK(U29), ISBLANK(V29))),
        "",
        MAX(
            1,
            IF(
                NETWORKDAYS(IF(NOT(ISBLANK(V29)), V29, U29), W29, Holiday_Dates) &lt;= 0,
                1,
                NETWORKDAYS(IF(NOT(ISBLANK(V29)), V29, U29), W29, Holiday_Dates)
                - IF(IF(NOT(ISBLANK(V29)), V29, U29) = W29, 0, 1)
            )
        )
    ),
    ""
)</f>
        <v/>
      </c>
      <c r="AB29" s="476" t="str">
        <f>IFERROR(
    IF(
        OR(ISBLANK(W29), ISBLANK(X29)),
        "",
        MAX(
            1,
            IF(
                NETWORKDAYS(W29, X29, Holiday_Dates) &lt;= 0,
                1,
                NETWORKDAYS(W29, X29, Holiday_Dates) - IF(W29 = X29, 0, 1)
            )
        )
    ),
    ""
)</f>
        <v/>
      </c>
      <c r="AC29" s="339"/>
      <c r="AD29" s="495"/>
      <c r="AE29" s="496"/>
      <c r="AF29" s="49"/>
      <c r="AG29" s="495"/>
      <c r="AH29" s="478"/>
      <c r="AI29" s="49"/>
      <c r="AJ29" s="49"/>
      <c r="AK29" s="49"/>
      <c r="AL29" s="49"/>
      <c r="AM29" s="49"/>
      <c r="AN29" s="49"/>
      <c r="AO29" s="337"/>
      <c r="AP29" s="49"/>
      <c r="AQ29" s="49"/>
      <c r="AR29" s="488"/>
      <c r="AS29" s="489"/>
      <c r="AT29" s="488"/>
      <c r="AU29" s="489"/>
      <c r="AV29" s="488"/>
      <c r="AW29" s="489"/>
      <c r="AX29" s="488"/>
      <c r="AY29" s="489"/>
      <c r="AZ29" s="489"/>
      <c r="BA29" s="489"/>
      <c r="BB29" s="566">
        <f t="shared" si="4"/>
        <v>0</v>
      </c>
      <c r="BC29" s="563">
        <f t="shared" si="3"/>
        <v>0</v>
      </c>
    </row>
    <row r="30" spans="1:56" ht="15" customHeight="1">
      <c r="A30" s="470" t="s">
        <v>51</v>
      </c>
      <c r="B30" s="471" t="s">
        <v>354</v>
      </c>
      <c r="C30" s="471" t="str">
        <f t="shared" si="0"/>
        <v>Pampanga, Guagua</v>
      </c>
      <c r="D30" s="470" t="s">
        <v>88</v>
      </c>
      <c r="E30" s="470" t="s">
        <v>271</v>
      </c>
      <c r="F30" s="49">
        <v>14.965206999999999</v>
      </c>
      <c r="G30" s="49">
        <v>120.63333799999999</v>
      </c>
      <c r="H30" s="473" t="str">
        <f t="shared" si="1"/>
        <v>14.965207,120.633338</v>
      </c>
      <c r="I30" s="473" t="s">
        <v>99</v>
      </c>
      <c r="J30" s="473">
        <v>158</v>
      </c>
      <c r="K30" s="49" t="s">
        <v>261</v>
      </c>
      <c r="L30" s="49">
        <v>2015</v>
      </c>
      <c r="M30" s="49">
        <v>2024</v>
      </c>
      <c r="N30" s="49" t="s">
        <v>170</v>
      </c>
      <c r="O30" s="49" t="s">
        <v>145</v>
      </c>
      <c r="P30" s="49"/>
      <c r="Q30" s="483" t="s">
        <v>133</v>
      </c>
      <c r="R30" s="474" t="s">
        <v>45</v>
      </c>
      <c r="S30" s="472"/>
      <c r="T30" s="337"/>
      <c r="U30" s="337"/>
      <c r="V30" s="337"/>
      <c r="W30" s="337"/>
      <c r="X30" s="337"/>
      <c r="Y30" s="476" t="str">
        <f>IFERROR(
    IF(
        OR(ISBLANK(T30), ISBLANK(U30)),
        "",
        MAX(
            1,
            IF(
                NETWORKDAYS(T30, U30, Holiday_Dates) &lt;= 0,
                1,
                NETWORKDAYS(T30, U30, Holiday_Dates) - IF(T30 = U30, 0, 1)
            )
        )
    ),
    ""
)</f>
        <v/>
      </c>
      <c r="Z30" s="476" t="str">
        <f>IF(
    OR(ISBLANK(U30), ISBLANK(V30)),
    "",
    MAX(
        1,
        IF(
            NETWORKDAYS(U30, V30, Holiday_Dates) &lt;= 0,
            1,
            NETWORKDAYS(U30, V30, Holiday_Dates) - IF(U30 = V30, 0, 1)
        )
    )
)</f>
        <v/>
      </c>
      <c r="AA30" s="476" t="str">
        <f>IFERROR(
    IF(
        OR(ISBLANK(W30), AND(ISBLANK(U30), ISBLANK(V30))),
        "",
        MAX(
            1,
            IF(
                NETWORKDAYS(IF(NOT(ISBLANK(V30)), V30, U30), W30, Holiday_Dates) &lt;= 0,
                1,
                NETWORKDAYS(IF(NOT(ISBLANK(V30)), V30, U30), W30, Holiday_Dates)
                - IF(IF(NOT(ISBLANK(V30)), V30, U30) = W30, 0, 1)
            )
        )
    ),
    ""
)</f>
        <v/>
      </c>
      <c r="AB30" s="476" t="str">
        <f>IFERROR(
    IF(
        OR(ISBLANK(W30), ISBLANK(X30)),
        "",
        MAX(
            1,
            IF(
                NETWORKDAYS(W30, X30, Holiday_Dates) &lt;= 0,
                1,
                NETWORKDAYS(W30, X30, Holiday_Dates) - IF(W30 = X30, 0, 1)
            )
        )
    ),
    ""
)</f>
        <v/>
      </c>
      <c r="AC30" s="339"/>
      <c r="AD30" s="49"/>
      <c r="AE30" s="336"/>
      <c r="AF30" s="49"/>
      <c r="AG30" s="339"/>
      <c r="AH30" s="478"/>
      <c r="AI30" s="344"/>
      <c r="AJ30" s="344"/>
      <c r="AK30" s="344"/>
      <c r="AL30" s="344"/>
      <c r="AM30" s="344"/>
      <c r="AN30" s="344"/>
      <c r="AO30" s="337"/>
      <c r="AP30" s="49"/>
      <c r="AQ30" s="49"/>
      <c r="AR30" s="488"/>
      <c r="AS30" s="489"/>
      <c r="AT30" s="488"/>
      <c r="AU30" s="489"/>
      <c r="AV30" s="488"/>
      <c r="AW30" s="489"/>
      <c r="AX30" s="488"/>
      <c r="AY30" s="489"/>
      <c r="AZ30" s="489"/>
      <c r="BA30" s="489"/>
      <c r="BB30" s="566">
        <f t="shared" si="4"/>
        <v>0</v>
      </c>
      <c r="BC30" s="563">
        <f t="shared" si="3"/>
        <v>0</v>
      </c>
    </row>
    <row r="31" spans="1:56" ht="15" customHeight="1">
      <c r="A31" s="470" t="s">
        <v>53</v>
      </c>
      <c r="B31" s="471" t="s">
        <v>355</v>
      </c>
      <c r="C31" s="471" t="str">
        <f t="shared" si="0"/>
        <v>Zambales, San Marcelino</v>
      </c>
      <c r="D31" s="470" t="s">
        <v>89</v>
      </c>
      <c r="E31" s="470" t="s">
        <v>243</v>
      </c>
      <c r="F31" s="49">
        <v>14.974092000000001</v>
      </c>
      <c r="G31" s="49">
        <v>120.155547</v>
      </c>
      <c r="H31" s="473" t="str">
        <f t="shared" si="1"/>
        <v>14.974092,120.155547</v>
      </c>
      <c r="I31" s="473" t="s">
        <v>99</v>
      </c>
      <c r="J31" s="339">
        <v>1253</v>
      </c>
      <c r="K31" s="49" t="s">
        <v>291</v>
      </c>
      <c r="L31" s="49">
        <v>2019</v>
      </c>
      <c r="M31" s="49">
        <v>2027</v>
      </c>
      <c r="N31" s="49"/>
      <c r="O31" s="49" t="s">
        <v>42</v>
      </c>
      <c r="P31" s="49"/>
      <c r="Q31" s="475" t="s">
        <v>133</v>
      </c>
      <c r="R31" s="481" t="s">
        <v>45</v>
      </c>
      <c r="S31" s="472" t="s">
        <v>356</v>
      </c>
      <c r="T31" s="337">
        <v>46085</v>
      </c>
      <c r="U31" s="337">
        <v>46094</v>
      </c>
      <c r="V31" s="337"/>
      <c r="W31" s="337">
        <v>46097</v>
      </c>
      <c r="X31" s="337"/>
      <c r="Y31" s="476">
        <f>IFERROR(
    IF(
        OR(ISBLANK(T31), ISBLANK(U31)),
        "",
        MAX(
            1,
            IF(
                NETWORKDAYS(T31, U31, Holiday_Dates) &lt;= 0,
                1,
                NETWORKDAYS(T31, U31, Holiday_Dates) - IF(T31 = U31, 0, 1)
            )
        )
    ),
    ""
)</f>
        <v>7</v>
      </c>
      <c r="Z31" s="476" t="str">
        <f>IF(
    OR(ISBLANK(U31), ISBLANK(V31)),
    "",
    MAX(
        1,
        IF(
            NETWORKDAYS(U31, V31, Holiday_Dates) &lt;= 0,
            1,
            NETWORKDAYS(U31, V31, Holiday_Dates) - IF(U31 = V31, 0, 1)
        )
    )
)</f>
        <v/>
      </c>
      <c r="AA31" s="476">
        <f>IFERROR(
    IF(
        OR(ISBLANK(W31), AND(ISBLANK(U31), ISBLANK(V31))),
        "",
        MAX(
            1,
            IF(
                NETWORKDAYS(IF(NOT(ISBLANK(V31)), V31, U31), W31, Holiday_Dates) &lt;= 0,
                1,
                NETWORKDAYS(IF(NOT(ISBLANK(V31)), V31, U31), W31, Holiday_Dates)
                - IF(IF(NOT(ISBLANK(V31)), V31, U31) = W31, 0, 1)
            )
        )
    ),
    ""
)</f>
        <v>1</v>
      </c>
      <c r="AB31" s="476" t="str">
        <f>IFERROR(
    IF(
        OR(ISBLANK(W31), ISBLANK(X31)),
        "",
        MAX(
            1,
            IF(
                NETWORKDAYS(W31, X31, Holiday_Dates) &lt;= 0,
                1,
                NETWORKDAYS(W31, X31, Holiday_Dates) - IF(W31 = X31, 0, 1)
            )
        )
    ),
    ""
)</f>
        <v/>
      </c>
      <c r="AC31" s="339"/>
      <c r="AD31" s="49"/>
      <c r="AE31" s="49"/>
      <c r="AF31" s="49"/>
      <c r="AG31" s="339"/>
      <c r="AH31" s="478"/>
      <c r="AI31" s="49"/>
      <c r="AJ31" s="49"/>
      <c r="AK31" s="49"/>
      <c r="AL31" s="49"/>
      <c r="AM31" s="49"/>
      <c r="AN31" s="49"/>
      <c r="AO31" s="337"/>
      <c r="AP31" s="49"/>
      <c r="AQ31" s="49"/>
      <c r="AR31" s="488"/>
      <c r="AS31" s="489"/>
      <c r="AT31" s="488"/>
      <c r="AU31" s="489"/>
      <c r="AV31" s="488"/>
      <c r="AW31" s="489"/>
      <c r="AX31" s="488"/>
      <c r="AY31" s="489"/>
      <c r="AZ31" s="489"/>
      <c r="BA31" s="489"/>
      <c r="BB31" s="566">
        <f t="shared" si="4"/>
        <v>0</v>
      </c>
      <c r="BC31" s="563">
        <f t="shared" si="3"/>
        <v>0</v>
      </c>
    </row>
    <row r="32" spans="1:56">
      <c r="A32" s="470" t="s">
        <v>52</v>
      </c>
      <c r="B32" s="471" t="s">
        <v>357</v>
      </c>
      <c r="C32" s="471" t="str">
        <f t="shared" si="0"/>
        <v>Tarlac, San Manuel</v>
      </c>
      <c r="D32" s="470" t="s">
        <v>89</v>
      </c>
      <c r="E32" s="472" t="s">
        <v>243</v>
      </c>
      <c r="F32" s="49">
        <v>15.7993705</v>
      </c>
      <c r="G32" s="49">
        <v>120.60731869999999</v>
      </c>
      <c r="H32" s="473" t="str">
        <f t="shared" si="1"/>
        <v>15.7993705,120.6073187</v>
      </c>
      <c r="I32" s="473" t="s">
        <v>99</v>
      </c>
      <c r="J32" s="339" t="s">
        <v>358</v>
      </c>
      <c r="K32" s="49" t="s">
        <v>359</v>
      </c>
      <c r="L32" s="49">
        <v>2023</v>
      </c>
      <c r="M32" s="49">
        <v>2031</v>
      </c>
      <c r="N32" s="49"/>
      <c r="O32" s="49" t="s">
        <v>38</v>
      </c>
      <c r="P32" s="49"/>
      <c r="Q32" s="475" t="s">
        <v>28</v>
      </c>
      <c r="R32" s="344" t="s">
        <v>45</v>
      </c>
      <c r="S32" s="472"/>
      <c r="T32" s="337"/>
      <c r="U32" s="337"/>
      <c r="V32" s="337"/>
      <c r="W32" s="337"/>
      <c r="X32" s="337"/>
      <c r="Y32" s="476" t="str">
        <f>IFERROR(
    IF(
        OR(ISBLANK(T32), ISBLANK(U32)),
        "",
        MAX(
            1,
            IF(
                NETWORKDAYS(T32, U32, Holiday_Dates) &lt;= 0,
                1,
                NETWORKDAYS(T32, U32, Holiday_Dates) - IF(T32 = U32, 0, 1)
            )
        )
    ),
    ""
)</f>
        <v/>
      </c>
      <c r="Z32" s="476" t="str">
        <f>IF(
    OR(ISBLANK(U32), ISBLANK(V32)),
    "",
    MAX(
        1,
        IF(
            NETWORKDAYS(U32, V32, Holiday_Dates) &lt;= 0,
            1,
            NETWORKDAYS(U32, V32, Holiday_Dates) - IF(U32 = V32, 0, 1)
        )
    )
)</f>
        <v/>
      </c>
      <c r="AA32" s="476" t="str">
        <f>IFERROR(
    IF(
        OR(ISBLANK(W32), AND(ISBLANK(U32), ISBLANK(V32))),
        "",
        MAX(
            1,
            IF(
                NETWORKDAYS(IF(NOT(ISBLANK(V32)), V32, U32), W32, Holiday_Dates) &lt;= 0,
                1,
                NETWORKDAYS(IF(NOT(ISBLANK(V32)), V32, U32), W32, Holiday_Dates)
                - IF(IF(NOT(ISBLANK(V32)), V32, U32) = W32, 0, 1)
            )
        )
    ),
    ""
)</f>
        <v/>
      </c>
      <c r="AB32" s="476" t="str">
        <f>IFERROR(
    IF(
        OR(ISBLANK(W32), ISBLANK(X32)),
        "",
        MAX(
            1,
            IF(
                NETWORKDAYS(W32, X32, Holiday_Dates) &lt;= 0,
                1,
                NETWORKDAYS(W32, X32, Holiday_Dates) - IF(W32 = X32, 0, 1)
            )
        )
    ),
    ""
)</f>
        <v/>
      </c>
      <c r="AC32" s="473"/>
      <c r="AD32" s="49"/>
      <c r="AE32" s="49"/>
      <c r="AF32" s="49"/>
      <c r="AG32" s="339"/>
      <c r="AH32" s="478"/>
      <c r="AI32" s="344"/>
      <c r="AJ32" s="344"/>
      <c r="AK32" s="344"/>
      <c r="AL32" s="344"/>
      <c r="AM32" s="344"/>
      <c r="AN32" s="344"/>
      <c r="AO32" s="337"/>
      <c r="AP32" s="49"/>
      <c r="AQ32" s="49"/>
      <c r="AR32" s="488"/>
      <c r="AS32" s="489"/>
      <c r="AT32" s="488"/>
      <c r="AU32" s="489"/>
      <c r="AV32" s="489"/>
      <c r="AW32" s="489"/>
      <c r="AX32" s="489"/>
      <c r="AY32" s="489"/>
      <c r="AZ32" s="489"/>
      <c r="BA32" s="489"/>
      <c r="BB32" s="566">
        <f t="shared" si="4"/>
        <v>0</v>
      </c>
      <c r="BC32" s="563">
        <f t="shared" si="3"/>
        <v>0</v>
      </c>
    </row>
    <row r="33" spans="1:55">
      <c r="A33" s="470" t="s">
        <v>52</v>
      </c>
      <c r="B33" s="471" t="s">
        <v>360</v>
      </c>
      <c r="C33" s="471" t="str">
        <f t="shared" si="0"/>
        <v>Tarlac, Victoria</v>
      </c>
      <c r="D33" s="470" t="s">
        <v>88</v>
      </c>
      <c r="E33" s="472" t="s">
        <v>271</v>
      </c>
      <c r="F33" s="49">
        <v>15.575934</v>
      </c>
      <c r="G33" s="49">
        <v>120.681484</v>
      </c>
      <c r="H33" s="473" t="str">
        <f t="shared" si="1"/>
        <v>15.575934,120.681484</v>
      </c>
      <c r="I33" s="473" t="s">
        <v>99</v>
      </c>
      <c r="J33" s="339" t="s">
        <v>361</v>
      </c>
      <c r="K33" s="49" t="s">
        <v>362</v>
      </c>
      <c r="L33" s="49">
        <v>2015</v>
      </c>
      <c r="M33" s="49">
        <v>2025</v>
      </c>
      <c r="N33" s="49" t="s">
        <v>170</v>
      </c>
      <c r="O33" s="49" t="s">
        <v>39</v>
      </c>
      <c r="P33" s="49"/>
      <c r="Q33" s="475" t="s">
        <v>28</v>
      </c>
      <c r="R33" s="474" t="s">
        <v>45</v>
      </c>
      <c r="S33" s="49" t="s">
        <v>363</v>
      </c>
      <c r="T33" s="337">
        <v>46084</v>
      </c>
      <c r="U33" s="337">
        <v>46089</v>
      </c>
      <c r="V33" s="337"/>
      <c r="W33" s="337">
        <v>46090</v>
      </c>
      <c r="X33" s="337">
        <v>46090</v>
      </c>
      <c r="Y33" s="476">
        <f>IFERROR(
    IF(
        OR(ISBLANK(T33), ISBLANK(U33)),
        "",
        MAX(
            1,
            IF(
                NETWORKDAYS(T33, U33, Holiday_Dates) &lt;= 0,
                1,
                NETWORKDAYS(T33, U33, Holiday_Dates) - IF(T33 = U33, 0, 1)
            )
        )
    ),
    ""
)</f>
        <v>3</v>
      </c>
      <c r="Z33" s="476" t="str">
        <f>IF(
    OR(ISBLANK(U33), ISBLANK(V33)),
    "",
    MAX(
        1,
        IF(
            NETWORKDAYS(U33, V33, Holiday_Dates) &lt;= 0,
            1,
            NETWORKDAYS(U33, V33, Holiday_Dates) - IF(U33 = V33, 0, 1)
        )
    )
)</f>
        <v/>
      </c>
      <c r="AA33" s="476">
        <f>IFERROR(
    IF(
        OR(ISBLANK(W33), AND(ISBLANK(U33), ISBLANK(V33))),
        "",
        MAX(
            1,
            IF(
                NETWORKDAYS(IF(NOT(ISBLANK(V33)), V33, U33), W33, Holiday_Dates) &lt;= 0,
                1,
                NETWORKDAYS(IF(NOT(ISBLANK(V33)), V33, U33), W33, Holiday_Dates)
                - IF(IF(NOT(ISBLANK(V33)), V33, U33) = W33, 0, 1)
            )
        )
    ),
    ""
)</f>
        <v>1</v>
      </c>
      <c r="AB33" s="476">
        <f>IFERROR(
    IF(
        OR(ISBLANK(W33), ISBLANK(X33)),
        "",
        MAX(
            1,
            IF(
                NETWORKDAYS(W33, X33, Holiday_Dates) &lt;= 0,
                1,
                NETWORKDAYS(W33, X33, Holiday_Dates) - IF(W33 = X33, 0, 1)
            )
        )
    ),
    ""
)</f>
        <v>1</v>
      </c>
      <c r="AC33" s="339"/>
      <c r="AD33" s="49">
        <v>0.36</v>
      </c>
      <c r="AE33" s="336">
        <v>25159.26</v>
      </c>
      <c r="AF33" s="485">
        <v>0.6704</v>
      </c>
      <c r="AG33" s="339" t="s">
        <v>364</v>
      </c>
      <c r="AH33" s="478" t="s">
        <v>221</v>
      </c>
      <c r="AI33" s="49" t="s">
        <v>100</v>
      </c>
      <c r="AJ33" s="49" t="s">
        <v>100</v>
      </c>
      <c r="AK33" s="49" t="s">
        <v>100</v>
      </c>
      <c r="AL33" s="49" t="s">
        <v>100</v>
      </c>
      <c r="AM33" s="49" t="s">
        <v>100</v>
      </c>
      <c r="AN33" s="49" t="s">
        <v>100</v>
      </c>
      <c r="AO33" s="337"/>
      <c r="AP33" s="49"/>
      <c r="AQ33" s="49"/>
      <c r="AR33" s="488">
        <v>11310.48</v>
      </c>
      <c r="AS33" s="616">
        <v>0.4496</v>
      </c>
      <c r="AT33" s="488">
        <v>5556.83</v>
      </c>
      <c r="AU33" s="616">
        <v>0.22090000000000001</v>
      </c>
      <c r="AV33" s="488"/>
      <c r="AW33" s="489"/>
      <c r="AX33" s="488">
        <v>5440.38</v>
      </c>
      <c r="AY33" s="489" t="s">
        <v>365</v>
      </c>
      <c r="AZ33" s="488">
        <v>2852.05</v>
      </c>
      <c r="BA33" s="489"/>
      <c r="BB33" s="566">
        <f t="shared" si="4"/>
        <v>16867.309999999998</v>
      </c>
      <c r="BC33" s="563">
        <f t="shared" si="3"/>
        <v>0.67049999999999998</v>
      </c>
    </row>
    <row r="34" spans="1:55">
      <c r="A34" s="470" t="s">
        <v>52</v>
      </c>
      <c r="B34" s="471" t="s">
        <v>366</v>
      </c>
      <c r="C34" s="471" t="str">
        <f t="shared" ref="C34:C65" si="5">CONCATENATE(A34,","," ",B34)</f>
        <v>Tarlac, Bamban</v>
      </c>
      <c r="D34" s="470" t="s">
        <v>88</v>
      </c>
      <c r="E34" s="472" t="s">
        <v>213</v>
      </c>
      <c r="F34" s="49">
        <v>15.289574</v>
      </c>
      <c r="G34" s="49">
        <v>120.570662</v>
      </c>
      <c r="H34" s="473" t="str">
        <f t="shared" ref="H34:H65" si="6">CONCATENATE(F34,",",G34)</f>
        <v>15.289574,120.570662</v>
      </c>
      <c r="I34" s="473" t="s">
        <v>99</v>
      </c>
      <c r="J34" s="473">
        <v>1248</v>
      </c>
      <c r="K34" s="49" t="s">
        <v>367</v>
      </c>
      <c r="L34" s="49">
        <v>2019</v>
      </c>
      <c r="M34" s="49">
        <v>2027</v>
      </c>
      <c r="N34" s="49"/>
      <c r="O34" s="49" t="s">
        <v>39</v>
      </c>
      <c r="P34" s="49"/>
      <c r="Q34" s="475" t="s">
        <v>28</v>
      </c>
      <c r="R34" s="473" t="s">
        <v>57</v>
      </c>
      <c r="S34" s="49"/>
      <c r="T34" s="337"/>
      <c r="U34" s="337"/>
      <c r="V34" s="337"/>
      <c r="W34" s="337"/>
      <c r="X34" s="49"/>
      <c r="Y34" s="476" t="str">
        <f>IFERROR(
    IF(
        OR(ISBLANK(T34), ISBLANK(U34)),
        "",
        MAX(
            1,
            IF(
                NETWORKDAYS(T34, U34, Holiday_Dates) &lt;= 0,
                1,
                NETWORKDAYS(T34, U34, Holiday_Dates) - IF(T34 = U34, 0, 1)
            )
        )
    ),
    ""
)</f>
        <v/>
      </c>
      <c r="Z34" s="476" t="str">
        <f>IF(
    OR(ISBLANK(U34), ISBLANK(V34)),
    "",
    MAX(
        1,
        IF(
            NETWORKDAYS(U34, V34, Holiday_Dates) &lt;= 0,
            1,
            NETWORKDAYS(U34, V34, Holiday_Dates) - IF(U34 = V34, 0, 1)
        )
    )
)</f>
        <v/>
      </c>
      <c r="AA34" s="476" t="str">
        <f>IFERROR(
    IF(
        OR(ISBLANK(W34), AND(ISBLANK(U34), ISBLANK(V34))),
        "",
        MAX(
            1,
            IF(
                NETWORKDAYS(IF(NOT(ISBLANK(V34)), V34, U34), W34, Holiday_Dates) &lt;= 0,
                1,
                NETWORKDAYS(IF(NOT(ISBLANK(V34)), V34, U34), W34, Holiday_Dates)
                - IF(IF(NOT(ISBLANK(V34)), V34, U34) = W34, 0, 1)
            )
        )
    ),
    ""
)</f>
        <v/>
      </c>
      <c r="AB34" s="476" t="str">
        <f>IFERROR(
    IF(
        OR(ISBLANK(W34), ISBLANK(X34)),
        "",
        MAX(
            1,
            IF(
                NETWORKDAYS(W34, X34, Holiday_Dates) &lt;= 0,
                1,
                NETWORKDAYS(W34, X34, Holiday_Dates) - IF(W34 = X34, 0, 1)
            )
        )
    ),
    ""
)</f>
        <v/>
      </c>
      <c r="AC34" s="339"/>
      <c r="AD34" s="49"/>
      <c r="AE34" s="49"/>
      <c r="AF34" s="49"/>
      <c r="AG34" s="339"/>
      <c r="AH34" s="478"/>
      <c r="AI34" s="49"/>
      <c r="AJ34" s="49"/>
      <c r="AK34" s="49"/>
      <c r="AL34" s="49"/>
      <c r="AM34" s="49"/>
      <c r="AN34" s="49"/>
      <c r="AO34" s="337"/>
      <c r="AP34" s="49"/>
      <c r="AQ34" s="49"/>
      <c r="AR34" s="488"/>
      <c r="AS34" s="489"/>
      <c r="AT34" s="488"/>
      <c r="AU34" s="489"/>
      <c r="AV34" s="488"/>
      <c r="AW34" s="489"/>
      <c r="AX34" s="488"/>
      <c r="AY34" s="489"/>
      <c r="AZ34" s="489"/>
      <c r="BA34" s="489"/>
      <c r="BB34" s="566">
        <f t="shared" si="4"/>
        <v>0</v>
      </c>
      <c r="BC34" s="563">
        <f t="shared" ref="BC34:BC65" si="7">SUM(AS34,AU34,AW34)</f>
        <v>0</v>
      </c>
    </row>
    <row r="35" spans="1:55">
      <c r="A35" s="470" t="s">
        <v>52</v>
      </c>
      <c r="B35" s="471" t="s">
        <v>368</v>
      </c>
      <c r="C35" s="471" t="str">
        <f t="shared" si="5"/>
        <v>Tarlac, Camiling</v>
      </c>
      <c r="D35" s="470" t="s">
        <v>89</v>
      </c>
      <c r="E35" s="472" t="s">
        <v>243</v>
      </c>
      <c r="F35" s="49">
        <v>15.6863285</v>
      </c>
      <c r="G35" s="49">
        <v>120.4146513</v>
      </c>
      <c r="H35" s="473" t="str">
        <f t="shared" si="6"/>
        <v>15.6863285,120.4146513</v>
      </c>
      <c r="I35" s="473" t="s">
        <v>99</v>
      </c>
      <c r="J35" s="473" t="s">
        <v>369</v>
      </c>
      <c r="K35" s="49" t="s">
        <v>252</v>
      </c>
      <c r="L35" s="49">
        <v>2018</v>
      </c>
      <c r="M35" s="49">
        <v>2027</v>
      </c>
      <c r="N35" s="49"/>
      <c r="O35" s="49" t="s">
        <v>38</v>
      </c>
      <c r="P35" s="49"/>
      <c r="Q35" s="475" t="s">
        <v>28</v>
      </c>
      <c r="R35" s="472" t="s">
        <v>57</v>
      </c>
      <c r="S35" s="472"/>
      <c r="T35" s="337"/>
      <c r="U35" s="337"/>
      <c r="V35" s="337"/>
      <c r="W35" s="337"/>
      <c r="X35" s="484"/>
      <c r="Y35" s="476" t="str">
        <f>IFERROR(
    IF(
        OR(ISBLANK(T35), ISBLANK(U35)),
        "",
        MAX(
            1,
            IF(
                NETWORKDAYS(T35, U35, Holiday_Dates) &lt;= 0,
                1,
                NETWORKDAYS(T35, U35, Holiday_Dates) - IF(T35 = U35, 0, 1)
            )
        )
    ),
    ""
)</f>
        <v/>
      </c>
      <c r="Z35" s="476" t="str">
        <f>IF(
    OR(ISBLANK(U35), ISBLANK(V35)),
    "",
    MAX(
        1,
        IF(
            NETWORKDAYS(U35, V35, Holiday_Dates) &lt;= 0,
            1,
            NETWORKDAYS(U35, V35, Holiday_Dates) - IF(U35 = V35, 0, 1)
        )
    )
)</f>
        <v/>
      </c>
      <c r="AA35" s="476" t="str">
        <f>IFERROR(
    IF(
        OR(ISBLANK(W35), AND(ISBLANK(U35), ISBLANK(V35))),
        "",
        MAX(
            1,
            IF(
                NETWORKDAYS(IF(NOT(ISBLANK(V35)), V35, U35), W35, Holiday_Dates) &lt;= 0,
                1,
                NETWORKDAYS(IF(NOT(ISBLANK(V35)), V35, U35), W35, Holiday_Dates)
                - IF(IF(NOT(ISBLANK(V35)), V35, U35) = W35, 0, 1)
            )
        )
    ),
    ""
)</f>
        <v/>
      </c>
      <c r="AB35" s="476" t="str">
        <f>IFERROR(
    IF(
        OR(ISBLANK(W35), ISBLANK(X35)),
        "",
        MAX(
            1,
            IF(
                NETWORKDAYS(W35, X35, Holiday_Dates) &lt;= 0,
                1,
                NETWORKDAYS(W35, X35, Holiday_Dates) - IF(W35 = X35, 0, 1)
            )
        )
    ),
    ""
)</f>
        <v/>
      </c>
      <c r="AC35" s="339"/>
      <c r="AD35" s="49"/>
      <c r="AE35" s="336"/>
      <c r="AF35" s="49"/>
      <c r="AG35" s="339"/>
      <c r="AH35" s="478"/>
      <c r="AI35" s="339"/>
      <c r="AJ35" s="339"/>
      <c r="AK35" s="339"/>
      <c r="AL35" s="339"/>
      <c r="AM35" s="49"/>
      <c r="AN35" s="339"/>
      <c r="AO35" s="337"/>
      <c r="AP35" s="49"/>
      <c r="AQ35" s="49"/>
      <c r="AR35" s="488"/>
      <c r="AS35" s="489"/>
      <c r="AT35" s="488"/>
      <c r="AU35" s="489"/>
      <c r="AV35" s="488"/>
      <c r="AW35" s="489"/>
      <c r="AX35" s="488"/>
      <c r="AY35" s="489"/>
      <c r="AZ35" s="488"/>
      <c r="BA35" s="489"/>
      <c r="BB35" s="566">
        <f t="shared" si="4"/>
        <v>0</v>
      </c>
      <c r="BC35" s="563">
        <f t="shared" si="7"/>
        <v>0</v>
      </c>
    </row>
    <row r="36" spans="1:55">
      <c r="A36" s="470" t="s">
        <v>47</v>
      </c>
      <c r="B36" s="471" t="s">
        <v>370</v>
      </c>
      <c r="C36" s="471" t="str">
        <f t="shared" si="5"/>
        <v>Aurora, Baler</v>
      </c>
      <c r="D36" s="470" t="s">
        <v>89</v>
      </c>
      <c r="E36" s="470" t="s">
        <v>259</v>
      </c>
      <c r="F36" s="473">
        <v>15.759064</v>
      </c>
      <c r="G36" s="473">
        <v>121.563075</v>
      </c>
      <c r="H36" s="473" t="str">
        <f t="shared" si="6"/>
        <v>15.759064,121.563075</v>
      </c>
      <c r="I36" s="473" t="s">
        <v>99</v>
      </c>
      <c r="J36" s="473" t="s">
        <v>371</v>
      </c>
      <c r="K36" s="473" t="s">
        <v>291</v>
      </c>
      <c r="L36" s="473">
        <v>2018</v>
      </c>
      <c r="M36" s="473">
        <v>2027</v>
      </c>
      <c r="N36" s="473"/>
      <c r="O36" s="473" t="s">
        <v>372</v>
      </c>
      <c r="P36" s="473"/>
      <c r="Q36" s="475" t="s">
        <v>128</v>
      </c>
      <c r="R36" s="473" t="s">
        <v>57</v>
      </c>
      <c r="S36" s="473"/>
      <c r="T36" s="480"/>
      <c r="U36" s="480"/>
      <c r="V36" s="480"/>
      <c r="W36" s="480"/>
      <c r="X36" s="337"/>
      <c r="Y36" s="476" t="str">
        <f>IFERROR(
    IF(
        OR(ISBLANK(T36), ISBLANK(U36)),
        "",
        MAX(
            1,
            IF(
                NETWORKDAYS(T36, U36, Holiday_Dates) &lt;= 0,
                1,
                NETWORKDAYS(T36, U36, Holiday_Dates) - IF(T36 = U36, 0, 1)
            )
        )
    ),
    ""
)</f>
        <v/>
      </c>
      <c r="Z36" s="476" t="str">
        <f>IF(
    OR(ISBLANK(U36), ISBLANK(V36)),
    "",
    MAX(
        1,
        IF(
            NETWORKDAYS(U36, V36, Holiday_Dates) &lt;= 0,
            1,
            NETWORKDAYS(U36, V36, Holiday_Dates) - IF(U36 = V36, 0, 1)
        )
    )
)</f>
        <v/>
      </c>
      <c r="AA36" s="476" t="str">
        <f>IFERROR(
    IF(
        OR(ISBLANK(W36), AND(ISBLANK(U36), ISBLANK(V36))),
        "",
        MAX(
            1,
            IF(
                NETWORKDAYS(IF(NOT(ISBLANK(V36)), V36, U36), W36, Holiday_Dates) &lt;= 0,
                1,
                NETWORKDAYS(IF(NOT(ISBLANK(V36)), V36, U36), W36, Holiday_Dates)
                - IF(IF(NOT(ISBLANK(V36)), V36, U36) = W36, 0, 1)
            )
        )
    ),
    ""
)</f>
        <v/>
      </c>
      <c r="AB36" s="476" t="str">
        <f>IFERROR(
    IF(
        OR(ISBLANK(W36), ISBLANK(X36)),
        "",
        MAX(
            1,
            IF(
                NETWORKDAYS(W36, X36, Holiday_Dates) &lt;= 0,
                1,
                NETWORKDAYS(W36, X36, Holiday_Dates) - IF(W36 = X36, 0, 1)
            )
        )
    ),
    ""
)</f>
        <v/>
      </c>
      <c r="AC36" s="339"/>
      <c r="AD36" s="49"/>
      <c r="AE36" s="336"/>
      <c r="AF36" s="485"/>
      <c r="AG36" s="339"/>
      <c r="AH36" s="478"/>
      <c r="AI36" s="339"/>
      <c r="AJ36" s="339"/>
      <c r="AK36" s="339"/>
      <c r="AL36" s="339"/>
      <c r="AM36" s="339"/>
      <c r="AN36" s="339"/>
      <c r="AO36" s="480"/>
      <c r="AP36" s="473"/>
      <c r="AQ36" s="473"/>
      <c r="AR36" s="488"/>
      <c r="AS36" s="489"/>
      <c r="AT36" s="488"/>
      <c r="AU36" s="489"/>
      <c r="AV36" s="488"/>
      <c r="AW36" s="489"/>
      <c r="AX36" s="488"/>
      <c r="AY36" s="489"/>
      <c r="AZ36" s="489"/>
      <c r="BA36" s="489"/>
      <c r="BB36" s="566">
        <f t="shared" si="4"/>
        <v>0</v>
      </c>
      <c r="BC36" s="563">
        <f t="shared" si="7"/>
        <v>0</v>
      </c>
    </row>
    <row r="37" spans="1:55">
      <c r="A37" s="470" t="s">
        <v>48</v>
      </c>
      <c r="B37" s="471" t="s">
        <v>373</v>
      </c>
      <c r="C37" s="471" t="str">
        <f t="shared" si="5"/>
        <v>Bataan, Orion</v>
      </c>
      <c r="D37" s="470" t="s">
        <v>88</v>
      </c>
      <c r="E37" s="470" t="s">
        <v>271</v>
      </c>
      <c r="F37" s="472">
        <v>14.621155</v>
      </c>
      <c r="G37" s="472">
        <v>120.576472</v>
      </c>
      <c r="H37" s="473" t="str">
        <f t="shared" si="6"/>
        <v>14.621155,120.576472</v>
      </c>
      <c r="I37" s="473" t="s">
        <v>99</v>
      </c>
      <c r="J37" s="473" t="s">
        <v>374</v>
      </c>
      <c r="K37" s="472" t="s">
        <v>362</v>
      </c>
      <c r="L37" s="472">
        <v>2017</v>
      </c>
      <c r="M37" s="472">
        <v>2025</v>
      </c>
      <c r="N37" s="49" t="s">
        <v>170</v>
      </c>
      <c r="O37" s="472" t="s">
        <v>273</v>
      </c>
      <c r="P37" s="472"/>
      <c r="Q37" s="475" t="s">
        <v>129</v>
      </c>
      <c r="R37" s="473" t="s">
        <v>57</v>
      </c>
      <c r="S37" s="49"/>
      <c r="T37" s="337"/>
      <c r="U37" s="337"/>
      <c r="V37" s="487"/>
      <c r="W37" s="337"/>
      <c r="X37" s="337"/>
      <c r="Y37" s="476" t="str">
        <f>IFERROR(
    IF(
        OR(ISBLANK(T37), ISBLANK(U37)),
        "",
        MAX(
            1,
            IF(
                NETWORKDAYS(T37, U37, Holiday_Dates) &lt;= 0,
                1,
                NETWORKDAYS(T37, U37, Holiday_Dates) - IF(T37 = U37, 0, 1)
            )
        )
    ),
    ""
)</f>
        <v/>
      </c>
      <c r="Z37" s="476" t="str">
        <f>IF(
    OR(ISBLANK(U37), ISBLANK(V37)),
    "",
    MAX(
        1,
        IF(
            NETWORKDAYS(U37, V37, Holiday_Dates) &lt;= 0,
            1,
            NETWORKDAYS(U37, V37, Holiday_Dates) - IF(U37 = V37, 0, 1)
        )
    )
)</f>
        <v/>
      </c>
      <c r="AA37" s="476" t="str">
        <f>IFERROR(
    IF(
        OR(ISBLANK(W37), AND(ISBLANK(U37), ISBLANK(V37))),
        "",
        MAX(
            1,
            IF(
                NETWORKDAYS(IF(NOT(ISBLANK(V37)), V37, U37), W37, Holiday_Dates) &lt;= 0,
                1,
                NETWORKDAYS(IF(NOT(ISBLANK(V37)), V37, U37), W37, Holiday_Dates)
                - IF(IF(NOT(ISBLANK(V37)), V37, U37) = W37, 0, 1)
            )
        )
    ),
    ""
)</f>
        <v/>
      </c>
      <c r="AB37" s="476" t="str">
        <f>IFERROR(
    IF(
        OR(ISBLANK(W37), ISBLANK(X37)),
        "",
        MAX(
            1,
            IF(
                NETWORKDAYS(W37, X37, Holiday_Dates) &lt;= 0,
                1,
                NETWORKDAYS(W37, X37, Holiday_Dates) - IF(W37 = X37, 0, 1)
            )
        )
    ),
    ""
)</f>
        <v/>
      </c>
      <c r="AC37" s="339"/>
      <c r="AD37" s="49"/>
      <c r="AE37" s="336"/>
      <c r="AF37" s="49"/>
      <c r="AG37" s="339"/>
      <c r="AH37" s="478"/>
      <c r="AI37" s="339"/>
      <c r="AJ37" s="339"/>
      <c r="AK37" s="339"/>
      <c r="AL37" s="339"/>
      <c r="AM37" s="339"/>
      <c r="AN37" s="339"/>
      <c r="AO37" s="487"/>
      <c r="AP37" s="473"/>
      <c r="AQ37" s="49"/>
      <c r="AR37" s="488"/>
      <c r="AS37" s="489"/>
      <c r="AT37" s="488"/>
      <c r="AU37" s="489"/>
      <c r="AV37" s="488"/>
      <c r="AW37" s="489"/>
      <c r="AX37" s="488"/>
      <c r="AY37" s="489"/>
      <c r="AZ37" s="488"/>
      <c r="BA37" s="489"/>
      <c r="BB37" s="566">
        <f t="shared" si="4"/>
        <v>0</v>
      </c>
      <c r="BC37" s="563">
        <f t="shared" si="7"/>
        <v>0</v>
      </c>
    </row>
    <row r="38" spans="1:55" ht="15.75">
      <c r="A38" s="470" t="s">
        <v>49</v>
      </c>
      <c r="B38" s="471" t="s">
        <v>375</v>
      </c>
      <c r="C38" s="471" t="str">
        <f t="shared" si="5"/>
        <v>Bulacan, Doña Remedios Trinidad</v>
      </c>
      <c r="D38" s="470" t="s">
        <v>88</v>
      </c>
      <c r="E38" s="470" t="s">
        <v>213</v>
      </c>
      <c r="F38" s="473">
        <v>14.970660000000001</v>
      </c>
      <c r="G38" s="473">
        <v>121.064527</v>
      </c>
      <c r="H38" s="473" t="str">
        <f t="shared" si="6"/>
        <v>14.97066,121.064527</v>
      </c>
      <c r="I38" s="473" t="s">
        <v>99</v>
      </c>
      <c r="J38" s="473" t="s">
        <v>376</v>
      </c>
      <c r="K38" s="473" t="s">
        <v>338</v>
      </c>
      <c r="L38" s="473">
        <v>2017</v>
      </c>
      <c r="M38" s="473">
        <v>2025</v>
      </c>
      <c r="N38" s="49" t="s">
        <v>170</v>
      </c>
      <c r="O38" s="472" t="s">
        <v>377</v>
      </c>
      <c r="P38" s="472"/>
      <c r="Q38" s="475" t="s">
        <v>128</v>
      </c>
      <c r="R38" s="473" t="s">
        <v>57</v>
      </c>
      <c r="S38" s="472"/>
      <c r="T38" s="480"/>
      <c r="U38" s="480"/>
      <c r="V38" s="480"/>
      <c r="W38" s="480"/>
      <c r="X38" s="337"/>
      <c r="Y38" s="476" t="str">
        <f>IFERROR(
    IF(
        OR(ISBLANK(T38), ISBLANK(U38)),
        "",
        MAX(
            1,
            IF(
                NETWORKDAYS(T38, U38, Holiday_Dates) &lt;= 0,
                1,
                NETWORKDAYS(T38, U38, Holiday_Dates) - IF(T38 = U38, 0, 1)
            )
        )
    ),
    ""
)</f>
        <v/>
      </c>
      <c r="Z38" s="476" t="str">
        <f>IF(
    OR(ISBLANK(U38), ISBLANK(V38)),
    "",
    MAX(
        1,
        IF(
            NETWORKDAYS(U38, V38, Holiday_Dates) &lt;= 0,
            1,
            NETWORKDAYS(U38, V38, Holiday_Dates) - IF(U38 = V38, 0, 1)
        )
    )
)</f>
        <v/>
      </c>
      <c r="AA38" s="476" t="str">
        <f>IFERROR(
    IF(
        OR(ISBLANK(W38), AND(ISBLANK(U38), ISBLANK(V38))),
        "",
        MAX(
            1,
            IF(
                NETWORKDAYS(IF(NOT(ISBLANK(V38)), V38, U38), W38, Holiday_Dates) &lt;= 0,
                1,
                NETWORKDAYS(IF(NOT(ISBLANK(V38)), V38, U38), W38, Holiday_Dates)
                - IF(IF(NOT(ISBLANK(V38)), V38, U38) = W38, 0, 1)
            )
        )
    ),
    ""
)</f>
        <v/>
      </c>
      <c r="AB38" s="476" t="str">
        <f>IFERROR(
    IF(
        OR(ISBLANK(W38), ISBLANK(X38)),
        "",
        MAX(
            1,
            IF(
                NETWORKDAYS(W38, X38, Holiday_Dates) &lt;= 0,
                1,
                NETWORKDAYS(W38, X38, Holiday_Dates) - IF(W38 = X38, 0, 1)
            )
        )
    ),
    ""
)</f>
        <v/>
      </c>
      <c r="AC38" s="339"/>
      <c r="AD38" s="49"/>
      <c r="AE38" s="497"/>
      <c r="AF38" s="49"/>
      <c r="AG38" s="339"/>
      <c r="AH38" s="478"/>
      <c r="AI38" s="49"/>
      <c r="AJ38" s="49"/>
      <c r="AK38" s="49"/>
      <c r="AL38" s="49"/>
      <c r="AM38" s="339"/>
      <c r="AN38" s="49"/>
      <c r="AO38" s="480"/>
      <c r="AP38" s="473"/>
      <c r="AQ38" s="49"/>
      <c r="AR38" s="488"/>
      <c r="AS38" s="489"/>
      <c r="AT38" s="489"/>
      <c r="AU38" s="489"/>
      <c r="AV38" s="489"/>
      <c r="AW38" s="489"/>
      <c r="AX38" s="489"/>
      <c r="AY38" s="489"/>
      <c r="AZ38" s="489"/>
      <c r="BA38" s="489"/>
      <c r="BB38" s="566">
        <f t="shared" si="4"/>
        <v>0</v>
      </c>
      <c r="BC38" s="563">
        <f t="shared" si="7"/>
        <v>0</v>
      </c>
    </row>
    <row r="39" spans="1:55">
      <c r="A39" s="470" t="s">
        <v>49</v>
      </c>
      <c r="B39" s="471" t="s">
        <v>378</v>
      </c>
      <c r="C39" s="471" t="str">
        <f t="shared" si="5"/>
        <v>Bulacan, San Rafael</v>
      </c>
      <c r="D39" s="470" t="s">
        <v>88</v>
      </c>
      <c r="E39" s="470" t="s">
        <v>213</v>
      </c>
      <c r="F39" s="472">
        <v>14.982975</v>
      </c>
      <c r="G39" s="472">
        <v>120.927646</v>
      </c>
      <c r="H39" s="473" t="str">
        <f t="shared" si="6"/>
        <v>14.982975,120.927646</v>
      </c>
      <c r="I39" s="473" t="s">
        <v>99</v>
      </c>
      <c r="J39" s="473" t="s">
        <v>379</v>
      </c>
      <c r="K39" s="472" t="s">
        <v>261</v>
      </c>
      <c r="L39" s="472">
        <v>2015</v>
      </c>
      <c r="M39" s="472">
        <v>2024</v>
      </c>
      <c r="N39" s="49" t="s">
        <v>170</v>
      </c>
      <c r="O39" s="472" t="s">
        <v>377</v>
      </c>
      <c r="P39" s="472"/>
      <c r="Q39" s="475" t="s">
        <v>128</v>
      </c>
      <c r="R39" s="473" t="s">
        <v>57</v>
      </c>
      <c r="S39" s="49"/>
      <c r="T39" s="337"/>
      <c r="U39" s="337"/>
      <c r="V39" s="337"/>
      <c r="W39" s="337"/>
      <c r="X39" s="337"/>
      <c r="Y39" s="476" t="str">
        <f>IFERROR(
    IF(
        OR(ISBLANK(T39), ISBLANK(U39)),
        "",
        MAX(
            1,
            IF(
                NETWORKDAYS(T39, U39, Holiday_Dates) &lt;= 0,
                1,
                NETWORKDAYS(T39, U39, Holiday_Dates) - IF(T39 = U39, 0, 1)
            )
        )
    ),
    ""
)</f>
        <v/>
      </c>
      <c r="Z39" s="476" t="str">
        <f>IF(
    OR(ISBLANK(U39), ISBLANK(V39)),
    "",
    MAX(
        1,
        IF(
            NETWORKDAYS(U39, V39, Holiday_Dates) &lt;= 0,
            1,
            NETWORKDAYS(U39, V39, Holiday_Dates) - IF(U39 = V39, 0, 1)
        )
    )
)</f>
        <v/>
      </c>
      <c r="AA39" s="476" t="str">
        <f>IFERROR(
    IF(
        OR(ISBLANK(W39), AND(ISBLANK(U39), ISBLANK(V39))),
        "",
        MAX(
            1,
            IF(
                NETWORKDAYS(IF(NOT(ISBLANK(V39)), V39, U39), W39, Holiday_Dates) &lt;= 0,
                1,
                NETWORKDAYS(IF(NOT(ISBLANK(V39)), V39, U39), W39, Holiday_Dates)
                - IF(IF(NOT(ISBLANK(V39)), V39, U39) = W39, 0, 1)
            )
        )
    ),
    ""
)</f>
        <v/>
      </c>
      <c r="AB39" s="476" t="str">
        <f>IFERROR(
    IF(
        OR(ISBLANK(W39), ISBLANK(X39)),
        "",
        MAX(
            1,
            IF(
                NETWORKDAYS(W39, X39, Holiday_Dates) &lt;= 0,
                1,
                NETWORKDAYS(W39, X39, Holiday_Dates) - IF(W39 = X39, 0, 1)
            )
        )
    ),
    ""
)</f>
        <v/>
      </c>
      <c r="AC39" s="339"/>
      <c r="AD39" s="49"/>
      <c r="AE39" s="49"/>
      <c r="AF39" s="49"/>
      <c r="AG39" s="339"/>
      <c r="AH39" s="478"/>
      <c r="AI39" s="339"/>
      <c r="AJ39" s="339"/>
      <c r="AK39" s="339"/>
      <c r="AL39" s="339"/>
      <c r="AM39" s="339"/>
      <c r="AN39" s="339"/>
      <c r="AO39" s="337"/>
      <c r="AP39" s="473"/>
      <c r="AQ39" s="49"/>
      <c r="AR39" s="488"/>
      <c r="AS39" s="489"/>
      <c r="AT39" s="488"/>
      <c r="AU39" s="489"/>
      <c r="AV39" s="488"/>
      <c r="AW39" s="489"/>
      <c r="AX39" s="488"/>
      <c r="AY39" s="489"/>
      <c r="AZ39" s="489"/>
      <c r="BA39" s="489"/>
      <c r="BB39" s="566">
        <f t="shared" si="4"/>
        <v>0</v>
      </c>
      <c r="BC39" s="563">
        <f t="shared" si="7"/>
        <v>0</v>
      </c>
    </row>
    <row r="40" spans="1:55">
      <c r="A40" s="470" t="s">
        <v>49</v>
      </c>
      <c r="B40" s="471" t="s">
        <v>380</v>
      </c>
      <c r="C40" s="471" t="str">
        <f t="shared" si="5"/>
        <v>Bulacan, Santa Maria</v>
      </c>
      <c r="D40" s="470" t="s">
        <v>88</v>
      </c>
      <c r="E40" s="470" t="s">
        <v>381</v>
      </c>
      <c r="F40" s="472">
        <v>14.81955522</v>
      </c>
      <c r="G40" s="472">
        <v>120.9601016</v>
      </c>
      <c r="H40" s="473" t="str">
        <f t="shared" si="6"/>
        <v>14.81955522,120.9601016</v>
      </c>
      <c r="I40" s="473" t="s">
        <v>99</v>
      </c>
      <c r="J40" s="473" t="s">
        <v>382</v>
      </c>
      <c r="K40" s="472" t="s">
        <v>261</v>
      </c>
      <c r="L40" s="472">
        <v>2015</v>
      </c>
      <c r="M40" s="472">
        <v>2024</v>
      </c>
      <c r="N40" s="49" t="s">
        <v>170</v>
      </c>
      <c r="O40" s="473" t="s">
        <v>227</v>
      </c>
      <c r="P40" s="473"/>
      <c r="Q40" s="475" t="s">
        <v>128</v>
      </c>
      <c r="R40" s="473" t="s">
        <v>57</v>
      </c>
      <c r="S40" s="479"/>
      <c r="T40" s="487"/>
      <c r="U40" s="487"/>
      <c r="V40" s="487"/>
      <c r="W40" s="487"/>
      <c r="X40" s="337"/>
      <c r="Y40" s="476" t="str">
        <f>IFERROR(
    IF(
        OR(ISBLANK(T40), ISBLANK(U40)),
        "",
        MAX(
            1,
            IF(
                NETWORKDAYS(T40, U40, Holiday_Dates) &lt;= 0,
                1,
                NETWORKDAYS(T40, U40, Holiday_Dates) - IF(T40 = U40, 0, 1)
            )
        )
    ),
    ""
)</f>
        <v/>
      </c>
      <c r="Z40" s="476" t="str">
        <f>IF(
    OR(ISBLANK(U40), ISBLANK(V40)),
    "",
    MAX(
        1,
        IF(
            NETWORKDAYS(U40, V40, Holiday_Dates) &lt;= 0,
            1,
            NETWORKDAYS(U40, V40, Holiday_Dates) - IF(U40 = V40, 0, 1)
        )
    )
)</f>
        <v/>
      </c>
      <c r="AA40" s="476" t="str">
        <f>IFERROR(
    IF(
        OR(ISBLANK(W40), AND(ISBLANK(U40), ISBLANK(V40))),
        "",
        MAX(
            1,
            IF(
                NETWORKDAYS(IF(NOT(ISBLANK(V40)), V40, U40), W40, Holiday_Dates) &lt;= 0,
                1,
                NETWORKDAYS(IF(NOT(ISBLANK(V40)), V40, U40), W40, Holiday_Dates)
                - IF(IF(NOT(ISBLANK(V40)), V40, U40) = W40, 0, 1)
            )
        )
    ),
    ""
)</f>
        <v/>
      </c>
      <c r="AB40" s="476" t="str">
        <f>IFERROR(
    IF(
        OR(ISBLANK(W40), ISBLANK(X40)),
        "",
        MAX(
            1,
            IF(
                NETWORKDAYS(W40, X40, Holiday_Dates) &lt;= 0,
                1,
                NETWORKDAYS(W40, X40, Holiday_Dates) - IF(W40 = X40, 0, 1)
            )
        )
    ),
    ""
)</f>
        <v/>
      </c>
      <c r="AC40" s="339"/>
      <c r="AD40" s="49"/>
      <c r="AE40" s="498"/>
      <c r="AF40" s="49"/>
      <c r="AG40" s="339"/>
      <c r="AH40" s="478"/>
      <c r="AI40" s="339"/>
      <c r="AJ40" s="339"/>
      <c r="AK40" s="339"/>
      <c r="AL40" s="339"/>
      <c r="AM40" s="339"/>
      <c r="AN40" s="339"/>
      <c r="AO40" s="487"/>
      <c r="AP40" s="473"/>
      <c r="AQ40" s="49"/>
      <c r="AR40" s="488"/>
      <c r="AS40" s="489"/>
      <c r="AT40" s="488"/>
      <c r="AU40" s="489"/>
      <c r="AV40" s="488"/>
      <c r="AW40" s="489"/>
      <c r="AX40" s="488"/>
      <c r="AY40" s="489"/>
      <c r="AZ40" s="488"/>
      <c r="BA40" s="489"/>
      <c r="BB40" s="566">
        <f t="shared" si="4"/>
        <v>0</v>
      </c>
      <c r="BC40" s="563">
        <f t="shared" si="7"/>
        <v>0</v>
      </c>
    </row>
    <row r="41" spans="1:55">
      <c r="A41" s="470" t="s">
        <v>50</v>
      </c>
      <c r="B41" s="471" t="s">
        <v>383</v>
      </c>
      <c r="C41" s="471" t="str">
        <f t="shared" si="5"/>
        <v>Nueva Ecija, Aliaga</v>
      </c>
      <c r="D41" s="470" t="s">
        <v>88</v>
      </c>
      <c r="E41" s="470" t="s">
        <v>243</v>
      </c>
      <c r="F41" s="472">
        <v>15.449173999999999</v>
      </c>
      <c r="G41" s="472">
        <v>120.793468</v>
      </c>
      <c r="H41" s="473" t="str">
        <f t="shared" si="6"/>
        <v>15.449174,120.793468</v>
      </c>
      <c r="I41" s="473" t="s">
        <v>99</v>
      </c>
      <c r="J41" s="473">
        <v>199</v>
      </c>
      <c r="K41" s="472" t="s">
        <v>338</v>
      </c>
      <c r="L41" s="472">
        <v>2015</v>
      </c>
      <c r="M41" s="472">
        <v>2025</v>
      </c>
      <c r="N41" s="49" t="s">
        <v>170</v>
      </c>
      <c r="O41" s="472" t="s">
        <v>140</v>
      </c>
      <c r="P41" s="472"/>
      <c r="Q41" s="475" t="s">
        <v>130</v>
      </c>
      <c r="R41" s="472" t="s">
        <v>57</v>
      </c>
      <c r="S41" s="472"/>
      <c r="T41" s="487"/>
      <c r="U41" s="487"/>
      <c r="V41" s="487"/>
      <c r="W41" s="487"/>
      <c r="X41" s="487"/>
      <c r="Y41" s="476" t="str">
        <f>IFERROR(
    IF(
        OR(ISBLANK(T41), ISBLANK(U41)),
        "",
        MAX(
            1,
            IF(
                NETWORKDAYS(T41, U41, Holiday_Dates) &lt;= 0,
                1,
                NETWORKDAYS(T41, U41, Holiday_Dates) - IF(T41 = U41, 0, 1)
            )
        )
    ),
    ""
)</f>
        <v/>
      </c>
      <c r="Z41" s="476" t="str">
        <f>IF(
    OR(ISBLANK(U41), ISBLANK(V41)),
    "",
    MAX(
        1,
        IF(
            NETWORKDAYS(U41, V41, Holiday_Dates) &lt;= 0,
            1,
            NETWORKDAYS(U41, V41, Holiday_Dates) - IF(U41 = V41, 0, 1)
        )
    )
)</f>
        <v/>
      </c>
      <c r="AA41" s="476" t="str">
        <f>IFERROR(
    IF(
        OR(ISBLANK(W41), AND(ISBLANK(U41), ISBLANK(V41))),
        "",
        MAX(
            1,
            IF(
                NETWORKDAYS(IF(NOT(ISBLANK(V41)), V41, U41), W41, Holiday_Dates) &lt;= 0,
                1,
                NETWORKDAYS(IF(NOT(ISBLANK(V41)), V41, U41), W41, Holiday_Dates)
                - IF(IF(NOT(ISBLANK(V41)), V41, U41) = W41, 0, 1)
            )
        )
    ),
    ""
)</f>
        <v/>
      </c>
      <c r="AB41" s="476" t="str">
        <f>IFERROR(
    IF(
        OR(ISBLANK(W41), ISBLANK(X41)),
        "",
        MAX(
            1,
            IF(
                NETWORKDAYS(W41, X41, Holiday_Dates) &lt;= 0,
                1,
                NETWORKDAYS(W41, X41, Holiday_Dates) - IF(W41 = X41, 0, 1)
            )
        )
    ),
    ""
)</f>
        <v/>
      </c>
      <c r="AC41" s="339"/>
      <c r="AD41" s="49"/>
      <c r="AE41" s="499"/>
      <c r="AF41" s="485"/>
      <c r="AG41" s="339"/>
      <c r="AH41" s="478"/>
      <c r="AI41" s="339"/>
      <c r="AJ41" s="339"/>
      <c r="AK41" s="339"/>
      <c r="AL41" s="339"/>
      <c r="AM41" s="339"/>
      <c r="AN41" s="339"/>
      <c r="AO41" s="487"/>
      <c r="AP41" s="473"/>
      <c r="AQ41" s="49"/>
      <c r="AR41" s="488"/>
      <c r="AS41" s="489"/>
      <c r="AT41" s="488"/>
      <c r="AU41" s="489"/>
      <c r="AV41" s="488"/>
      <c r="AW41" s="489"/>
      <c r="AX41" s="488"/>
      <c r="AY41" s="489"/>
      <c r="AZ41" s="488"/>
      <c r="BA41" s="489"/>
      <c r="BB41" s="566">
        <f t="shared" si="4"/>
        <v>0</v>
      </c>
      <c r="BC41" s="563">
        <f t="shared" si="7"/>
        <v>0</v>
      </c>
    </row>
    <row r="42" spans="1:55">
      <c r="A42" s="470" t="s">
        <v>50</v>
      </c>
      <c r="B42" s="471" t="s">
        <v>384</v>
      </c>
      <c r="C42" s="471" t="str">
        <f t="shared" si="5"/>
        <v>Nueva Ecija, Bongabon</v>
      </c>
      <c r="D42" s="470" t="s">
        <v>88</v>
      </c>
      <c r="E42" s="470" t="s">
        <v>213</v>
      </c>
      <c r="F42" s="472">
        <v>15.627503000000001</v>
      </c>
      <c r="G42" s="472">
        <v>121.145207</v>
      </c>
      <c r="H42" s="473" t="str">
        <f t="shared" si="6"/>
        <v>15.627503,121.145207</v>
      </c>
      <c r="I42" s="473" t="s">
        <v>99</v>
      </c>
      <c r="J42" s="473" t="s">
        <v>385</v>
      </c>
      <c r="K42" s="472" t="s">
        <v>297</v>
      </c>
      <c r="L42" s="472">
        <v>2018</v>
      </c>
      <c r="M42" s="472">
        <v>2026</v>
      </c>
      <c r="N42" s="472"/>
      <c r="O42" s="472" t="s">
        <v>141</v>
      </c>
      <c r="P42" s="472"/>
      <c r="Q42" s="475" t="s">
        <v>130</v>
      </c>
      <c r="R42" s="472" t="s">
        <v>57</v>
      </c>
      <c r="S42" s="472"/>
      <c r="T42" s="337"/>
      <c r="U42" s="337"/>
      <c r="V42" s="337"/>
      <c r="W42" s="337"/>
      <c r="X42" s="337"/>
      <c r="Y42" s="476" t="str">
        <f>IFERROR(
    IF(
        OR(ISBLANK(T42), ISBLANK(U42)),
        "",
        MAX(
            1,
            IF(
                NETWORKDAYS(T42, U42, Holiday_Dates) &lt;= 0,
                1,
                NETWORKDAYS(T42, U42, Holiday_Dates) - IF(T42 = U42, 0, 1)
            )
        )
    ),
    ""
)</f>
        <v/>
      </c>
      <c r="Z42" s="476" t="str">
        <f>IF(
    OR(ISBLANK(U42), ISBLANK(V42)),
    "",
    MAX(
        1,
        IF(
            NETWORKDAYS(U42, V42, Holiday_Dates) &lt;= 0,
            1,
            NETWORKDAYS(U42, V42, Holiday_Dates) - IF(U42 = V42, 0, 1)
        )
    )
)</f>
        <v/>
      </c>
      <c r="AA42" s="476" t="str">
        <f>IFERROR(
    IF(
        OR(ISBLANK(W42), AND(ISBLANK(U42), ISBLANK(V42))),
        "",
        MAX(
            1,
            IF(
                NETWORKDAYS(IF(NOT(ISBLANK(V42)), V42, U42), W42, Holiday_Dates) &lt;= 0,
                1,
                NETWORKDAYS(IF(NOT(ISBLANK(V42)), V42, U42), W42, Holiday_Dates)
                - IF(IF(NOT(ISBLANK(V42)), V42, U42) = W42, 0, 1)
            )
        )
    ),
    ""
)</f>
        <v/>
      </c>
      <c r="AB42" s="476" t="str">
        <f>IFERROR(
    IF(
        OR(ISBLANK(W42), ISBLANK(X42)),
        "",
        MAX(
            1,
            IF(
                NETWORKDAYS(W42, X42, Holiday_Dates) &lt;= 0,
                1,
                NETWORKDAYS(W42, X42, Holiday_Dates) - IF(W42 = X42, 0, 1)
            )
        )
    ),
    ""
)</f>
        <v/>
      </c>
      <c r="AC42" s="339"/>
      <c r="AD42" s="49"/>
      <c r="AE42" s="500"/>
      <c r="AF42" s="49"/>
      <c r="AG42" s="339"/>
      <c r="AH42" s="478"/>
      <c r="AI42" s="49"/>
      <c r="AJ42" s="49"/>
      <c r="AK42" s="49"/>
      <c r="AL42" s="49"/>
      <c r="AM42" s="49"/>
      <c r="AN42" s="49"/>
      <c r="AO42" s="337"/>
      <c r="AP42" s="473"/>
      <c r="AQ42" s="49"/>
      <c r="AR42" s="488"/>
      <c r="AS42" s="489"/>
      <c r="AT42" s="488"/>
      <c r="AU42" s="489"/>
      <c r="AV42" s="488"/>
      <c r="AW42" s="489"/>
      <c r="AX42" s="488"/>
      <c r="AY42" s="489"/>
      <c r="AZ42" s="488"/>
      <c r="BA42" s="489"/>
      <c r="BB42" s="566">
        <f t="shared" si="4"/>
        <v>0</v>
      </c>
      <c r="BC42" s="563">
        <f t="shared" si="7"/>
        <v>0</v>
      </c>
    </row>
    <row r="43" spans="1:55">
      <c r="A43" s="470" t="s">
        <v>50</v>
      </c>
      <c r="B43" s="471" t="s">
        <v>386</v>
      </c>
      <c r="C43" s="471" t="str">
        <f t="shared" si="5"/>
        <v>Nueva Ecija, Gabaldon</v>
      </c>
      <c r="D43" s="470" t="s">
        <v>88</v>
      </c>
      <c r="E43" s="470" t="s">
        <v>213</v>
      </c>
      <c r="F43" s="473">
        <v>15.455567</v>
      </c>
      <c r="G43" s="473">
        <v>121.33825</v>
      </c>
      <c r="H43" s="473" t="str">
        <f t="shared" si="6"/>
        <v>15.455567,121.33825</v>
      </c>
      <c r="I43" s="473" t="s">
        <v>99</v>
      </c>
      <c r="J43" s="473" t="s">
        <v>387</v>
      </c>
      <c r="K43" s="473" t="s">
        <v>367</v>
      </c>
      <c r="L43" s="473">
        <v>2019</v>
      </c>
      <c r="M43" s="473">
        <v>2027</v>
      </c>
      <c r="N43" s="473"/>
      <c r="O43" s="472" t="s">
        <v>141</v>
      </c>
      <c r="P43" s="472"/>
      <c r="Q43" s="475" t="s">
        <v>130</v>
      </c>
      <c r="R43" s="473" t="s">
        <v>57</v>
      </c>
      <c r="S43" s="473"/>
      <c r="T43" s="480"/>
      <c r="U43" s="480"/>
      <c r="V43" s="480"/>
      <c r="W43" s="480"/>
      <c r="X43" s="480"/>
      <c r="Y43" s="476" t="str">
        <f>IFERROR(
    IF(
        OR(ISBLANK(T43), ISBLANK(U43)),
        "",
        MAX(
            1,
            IF(
                NETWORKDAYS(T43, U43, Holiday_Dates) &lt;= 0,
                1,
                NETWORKDAYS(T43, U43, Holiday_Dates) - IF(T43 = U43, 0, 1)
            )
        )
    ),
    ""
)</f>
        <v/>
      </c>
      <c r="Z43" s="476" t="str">
        <f>IF(
    OR(ISBLANK(U43), ISBLANK(V43)),
    "",
    MAX(
        1,
        IF(
            NETWORKDAYS(U43, V43, Holiday_Dates) &lt;= 0,
            1,
            NETWORKDAYS(U43, V43, Holiday_Dates) - IF(U43 = V43, 0, 1)
        )
    )
)</f>
        <v/>
      </c>
      <c r="AA43" s="476" t="str">
        <f>IFERROR(
    IF(
        OR(ISBLANK(W43), AND(ISBLANK(U43), ISBLANK(V43))),
        "",
        MAX(
            1,
            IF(
                NETWORKDAYS(IF(NOT(ISBLANK(V43)), V43, U43), W43, Holiday_Dates) &lt;= 0,
                1,
                NETWORKDAYS(IF(NOT(ISBLANK(V43)), V43, U43), W43, Holiday_Dates)
                - IF(IF(NOT(ISBLANK(V43)), V43, U43) = W43, 0, 1)
            )
        )
    ),
    ""
)</f>
        <v/>
      </c>
      <c r="AB43" s="476" t="str">
        <f>IFERROR(
    IF(
        OR(ISBLANK(W43), ISBLANK(X43)),
        "",
        MAX(
            1,
            IF(
                NETWORKDAYS(W43, X43, Holiday_Dates) &lt;= 0,
                1,
                NETWORKDAYS(W43, X43, Holiday_Dates) - IF(W43 = X43, 0, 1)
            )
        )
    ),
    ""
)</f>
        <v/>
      </c>
      <c r="AC43" s="339"/>
      <c r="AD43" s="501"/>
      <c r="AE43" s="336"/>
      <c r="AF43" s="49"/>
      <c r="AG43" s="339"/>
      <c r="AH43" s="478"/>
      <c r="AI43" s="339"/>
      <c r="AJ43" s="339"/>
      <c r="AK43" s="339"/>
      <c r="AL43" s="339"/>
      <c r="AM43" s="339"/>
      <c r="AN43" s="339"/>
      <c r="AO43" s="480"/>
      <c r="AP43" s="473"/>
      <c r="AQ43" s="49"/>
      <c r="AR43" s="488"/>
      <c r="AS43" s="489"/>
      <c r="AT43" s="488"/>
      <c r="AU43" s="489"/>
      <c r="AV43" s="488"/>
      <c r="AW43" s="489"/>
      <c r="AX43" s="488"/>
      <c r="AY43" s="489"/>
      <c r="AZ43" s="489"/>
      <c r="BA43" s="489"/>
      <c r="BB43" s="566">
        <f t="shared" si="4"/>
        <v>0</v>
      </c>
      <c r="BC43" s="563">
        <f t="shared" si="7"/>
        <v>0</v>
      </c>
    </row>
    <row r="44" spans="1:55">
      <c r="A44" s="470" t="s">
        <v>50</v>
      </c>
      <c r="B44" s="471" t="s">
        <v>388</v>
      </c>
      <c r="C44" s="471" t="str">
        <f t="shared" si="5"/>
        <v>Nueva Ecija, San Jose City</v>
      </c>
      <c r="D44" s="470" t="s">
        <v>88</v>
      </c>
      <c r="E44" s="470" t="s">
        <v>271</v>
      </c>
      <c r="F44" s="49">
        <v>15.792271</v>
      </c>
      <c r="G44" s="49">
        <v>120.98885900000001</v>
      </c>
      <c r="H44" s="473" t="str">
        <f t="shared" si="6"/>
        <v>15.792271,120.988859</v>
      </c>
      <c r="I44" s="473" t="s">
        <v>99</v>
      </c>
      <c r="J44" s="473">
        <v>129</v>
      </c>
      <c r="K44" s="49" t="s">
        <v>320</v>
      </c>
      <c r="L44" s="49">
        <v>2015</v>
      </c>
      <c r="M44" s="49">
        <v>2023</v>
      </c>
      <c r="N44" s="49" t="s">
        <v>170</v>
      </c>
      <c r="O44" s="49" t="s">
        <v>26</v>
      </c>
      <c r="P44" s="49"/>
      <c r="Q44" s="475" t="s">
        <v>130</v>
      </c>
      <c r="R44" s="473" t="s">
        <v>57</v>
      </c>
      <c r="S44" s="49"/>
      <c r="T44" s="337"/>
      <c r="U44" s="337"/>
      <c r="V44" s="337"/>
      <c r="W44" s="337"/>
      <c r="X44" s="337"/>
      <c r="Y44" s="476" t="str">
        <f>IFERROR(
    IF(
        OR(ISBLANK(T44), ISBLANK(U44)),
        "",
        MAX(
            1,
            IF(
                NETWORKDAYS(T44, U44, Holiday_Dates) &lt;= 0,
                1,
                NETWORKDAYS(T44, U44, Holiday_Dates) - IF(T44 = U44, 0, 1)
            )
        )
    ),
    ""
)</f>
        <v/>
      </c>
      <c r="Z44" s="476" t="str">
        <f>IF(
    OR(ISBLANK(U44), ISBLANK(V44)),
    "",
    MAX(
        1,
        IF(
            NETWORKDAYS(U44, V44, Holiday_Dates) &lt;= 0,
            1,
            NETWORKDAYS(U44, V44, Holiday_Dates) - IF(U44 = V44, 0, 1)
        )
    )
)</f>
        <v/>
      </c>
      <c r="AA44" s="476" t="str">
        <f>IFERROR(
    IF(
        OR(ISBLANK(W44), AND(ISBLANK(U44), ISBLANK(V44))),
        "",
        MAX(
            1,
            IF(
                NETWORKDAYS(IF(NOT(ISBLANK(V44)), V44, U44), W44, Holiday_Dates) &lt;= 0,
                1,
                NETWORKDAYS(IF(NOT(ISBLANK(V44)), V44, U44), W44, Holiday_Dates)
                - IF(IF(NOT(ISBLANK(V44)), V44, U44) = W44, 0, 1)
            )
        )
    ),
    ""
)</f>
        <v/>
      </c>
      <c r="AB44" s="476" t="str">
        <f>IFERROR(
    IF(
        OR(ISBLANK(W44), ISBLANK(X44)),
        "",
        MAX(
            1,
            IF(
                NETWORKDAYS(W44, X44, Holiday_Dates) &lt;= 0,
                1,
                NETWORKDAYS(W44, X44, Holiday_Dates) - IF(W44 = X44, 0, 1)
            )
        )
    ),
    ""
)</f>
        <v/>
      </c>
      <c r="AC44" s="339"/>
      <c r="AD44" s="49"/>
      <c r="AE44" s="49"/>
      <c r="AF44" s="49"/>
      <c r="AG44" s="339"/>
      <c r="AH44" s="478"/>
      <c r="AI44" s="49"/>
      <c r="AJ44" s="49"/>
      <c r="AK44" s="49"/>
      <c r="AL44" s="49"/>
      <c r="AM44" s="49"/>
      <c r="AN44" s="49"/>
      <c r="AO44" s="337"/>
      <c r="AP44" s="49"/>
      <c r="AQ44" s="49"/>
      <c r="AR44" s="488"/>
      <c r="AS44" s="489"/>
      <c r="AT44" s="488"/>
      <c r="AU44" s="489"/>
      <c r="AV44" s="488"/>
      <c r="AW44" s="489"/>
      <c r="AX44" s="488"/>
      <c r="AY44" s="489"/>
      <c r="AZ44" s="489"/>
      <c r="BA44" s="489"/>
      <c r="BB44" s="566">
        <f t="shared" si="4"/>
        <v>0</v>
      </c>
      <c r="BC44" s="563">
        <f t="shared" si="7"/>
        <v>0</v>
      </c>
    </row>
    <row r="45" spans="1:55">
      <c r="A45" s="470" t="s">
        <v>51</v>
      </c>
      <c r="B45" s="471" t="s">
        <v>389</v>
      </c>
      <c r="C45" s="471" t="str">
        <f t="shared" si="5"/>
        <v>Pampanga, Arayat</v>
      </c>
      <c r="D45" s="470" t="s">
        <v>88</v>
      </c>
      <c r="E45" s="470" t="s">
        <v>213</v>
      </c>
      <c r="F45" s="49">
        <v>15.154166999999999</v>
      </c>
      <c r="G45" s="49">
        <v>120.771598</v>
      </c>
      <c r="H45" s="473" t="str">
        <f t="shared" si="6"/>
        <v>15.154167,120.771598</v>
      </c>
      <c r="I45" s="473" t="s">
        <v>99</v>
      </c>
      <c r="J45" s="473" t="s">
        <v>390</v>
      </c>
      <c r="K45" s="49" t="s">
        <v>391</v>
      </c>
      <c r="L45" s="49">
        <v>2019</v>
      </c>
      <c r="M45" s="49">
        <v>2028</v>
      </c>
      <c r="N45" s="49"/>
      <c r="O45" s="49" t="s">
        <v>32</v>
      </c>
      <c r="P45" s="49"/>
      <c r="Q45" s="483" t="s">
        <v>133</v>
      </c>
      <c r="R45" s="473" t="s">
        <v>57</v>
      </c>
      <c r="S45" s="49"/>
      <c r="T45" s="337"/>
      <c r="U45" s="337"/>
      <c r="V45" s="337"/>
      <c r="W45" s="337"/>
      <c r="X45" s="49"/>
      <c r="Y45" s="476" t="str">
        <f>IFERROR(
    IF(
        OR(ISBLANK(T45), ISBLANK(U45)),
        "",
        MAX(
            1,
            IF(
                NETWORKDAYS(T45, U45, Holiday_Dates) &lt;= 0,
                1,
                NETWORKDAYS(T45, U45, Holiday_Dates) - IF(T45 = U45, 0, 1)
            )
        )
    ),
    ""
)</f>
        <v/>
      </c>
      <c r="Z45" s="476" t="str">
        <f>IF(
    OR(ISBLANK(U45), ISBLANK(V45)),
    "",
    MAX(
        1,
        IF(
            NETWORKDAYS(U45, V45, Holiday_Dates) &lt;= 0,
            1,
            NETWORKDAYS(U45, V45, Holiday_Dates) - IF(U45 = V45, 0, 1)
        )
    )
)</f>
        <v/>
      </c>
      <c r="AA45" s="476" t="str">
        <f>IFERROR(
    IF(
        OR(ISBLANK(W45), AND(ISBLANK(U45), ISBLANK(V45))),
        "",
        MAX(
            1,
            IF(
                NETWORKDAYS(IF(NOT(ISBLANK(V45)), V45, U45), W45, Holiday_Dates) &lt;= 0,
                1,
                NETWORKDAYS(IF(NOT(ISBLANK(V45)), V45, U45), W45, Holiday_Dates)
                - IF(IF(NOT(ISBLANK(V45)), V45, U45) = W45, 0, 1)
            )
        )
    ),
    ""
)</f>
        <v/>
      </c>
      <c r="AB45" s="476" t="str">
        <f>IFERROR(
    IF(
        OR(ISBLANK(W45), ISBLANK(X45)),
        "",
        MAX(
            1,
            IF(
                NETWORKDAYS(W45, X45, Holiday_Dates) &lt;= 0,
                1,
                NETWORKDAYS(W45, X45, Holiday_Dates) - IF(W45 = X45, 0, 1)
            )
        )
    ),
    ""
)</f>
        <v/>
      </c>
      <c r="AC45" s="339"/>
      <c r="AD45" s="49"/>
      <c r="AE45" s="49"/>
      <c r="AF45" s="49"/>
      <c r="AG45" s="339"/>
      <c r="AH45" s="478"/>
      <c r="AI45" s="49"/>
      <c r="AJ45" s="49"/>
      <c r="AK45" s="49"/>
      <c r="AL45" s="49"/>
      <c r="AM45" s="49"/>
      <c r="AN45" s="49"/>
      <c r="AO45" s="337"/>
      <c r="AP45" s="49"/>
      <c r="AQ45" s="49"/>
      <c r="AR45" s="488"/>
      <c r="AS45" s="489"/>
      <c r="AT45" s="488"/>
      <c r="AU45" s="489"/>
      <c r="AV45" s="489"/>
      <c r="AW45" s="489"/>
      <c r="AX45" s="488"/>
      <c r="AY45" s="489"/>
      <c r="AZ45" s="489"/>
      <c r="BA45" s="489"/>
      <c r="BB45" s="566">
        <f t="shared" si="4"/>
        <v>0</v>
      </c>
      <c r="BC45" s="563">
        <f t="shared" si="7"/>
        <v>0</v>
      </c>
    </row>
    <row r="46" spans="1:55">
      <c r="A46" s="470" t="s">
        <v>51</v>
      </c>
      <c r="B46" s="471" t="s">
        <v>392</v>
      </c>
      <c r="C46" s="471" t="str">
        <f t="shared" si="5"/>
        <v>Pampanga, Minalin</v>
      </c>
      <c r="D46" s="470" t="s">
        <v>88</v>
      </c>
      <c r="E46" s="472" t="s">
        <v>224</v>
      </c>
      <c r="F46" s="49">
        <v>14.9704</v>
      </c>
      <c r="G46" s="49">
        <v>120.6861</v>
      </c>
      <c r="H46" s="473" t="str">
        <f t="shared" si="6"/>
        <v>14.9704,120.6861</v>
      </c>
      <c r="I46" s="473" t="s">
        <v>99</v>
      </c>
      <c r="J46" s="473" t="s">
        <v>393</v>
      </c>
      <c r="K46" s="49" t="s">
        <v>261</v>
      </c>
      <c r="L46" s="49">
        <v>2016</v>
      </c>
      <c r="M46" s="49">
        <v>2024</v>
      </c>
      <c r="N46" s="49" t="s">
        <v>170</v>
      </c>
      <c r="O46" s="49" t="s">
        <v>34</v>
      </c>
      <c r="P46" s="49"/>
      <c r="Q46" s="483" t="s">
        <v>239</v>
      </c>
      <c r="R46" s="473" t="s">
        <v>57</v>
      </c>
      <c r="S46" s="472"/>
      <c r="T46" s="337"/>
      <c r="U46" s="337"/>
      <c r="V46" s="337"/>
      <c r="W46" s="337"/>
      <c r="X46" s="337"/>
      <c r="Y46" s="476" t="str">
        <f>IFERROR(
    IF(
        OR(ISBLANK(T46), ISBLANK(U46)),
        "",
        MAX(
            1,
            IF(
                NETWORKDAYS(T46, U46, Holiday_Dates) &lt;= 0,
                1,
                NETWORKDAYS(T46, U46, Holiday_Dates) - IF(T46 = U46, 0, 1)
            )
        )
    ),
    ""
)</f>
        <v/>
      </c>
      <c r="Z46" s="476" t="str">
        <f>IF(
    OR(ISBLANK(U46), ISBLANK(V46)),
    "",
    MAX(
        1,
        IF(
            NETWORKDAYS(U46, V46, Holiday_Dates) &lt;= 0,
            1,
            NETWORKDAYS(U46, V46, Holiday_Dates) - IF(U46 = V46, 0, 1)
        )
    )
)</f>
        <v/>
      </c>
      <c r="AA46" s="476" t="str">
        <f>IFERROR(
    IF(
        OR(ISBLANK(W46), AND(ISBLANK(U46), ISBLANK(V46))),
        "",
        MAX(
            1,
            IF(
                NETWORKDAYS(IF(NOT(ISBLANK(V46)), V46, U46), W46, Holiday_Dates) &lt;= 0,
                1,
                NETWORKDAYS(IF(NOT(ISBLANK(V46)), V46, U46), W46, Holiday_Dates)
                - IF(IF(NOT(ISBLANK(V46)), V46, U46) = W46, 0, 1)
            )
        )
    ),
    ""
)</f>
        <v/>
      </c>
      <c r="AB46" s="476" t="str">
        <f>IFERROR(
    IF(
        OR(ISBLANK(W46), ISBLANK(X46)),
        "",
        MAX(
            1,
            IF(
                NETWORKDAYS(W46, X46, Holiday_Dates) &lt;= 0,
                1,
                NETWORKDAYS(W46, X46, Holiday_Dates) - IF(W46 = X46, 0, 1)
            )
        )
    ),
    ""
)</f>
        <v/>
      </c>
      <c r="AC46" s="339"/>
      <c r="AD46" s="49"/>
      <c r="AE46" s="498"/>
      <c r="AF46" s="49"/>
      <c r="AG46" s="339"/>
      <c r="AH46" s="478"/>
      <c r="AI46" s="49"/>
      <c r="AJ46" s="49"/>
      <c r="AK46" s="49"/>
      <c r="AL46" s="49"/>
      <c r="AM46" s="49"/>
      <c r="AN46" s="49"/>
      <c r="AO46" s="337"/>
      <c r="AP46" s="49"/>
      <c r="AQ46" s="49"/>
      <c r="AR46" s="488"/>
      <c r="AS46" s="489"/>
      <c r="AT46" s="488"/>
      <c r="AU46" s="489"/>
      <c r="AV46" s="488"/>
      <c r="AW46" s="489"/>
      <c r="AX46" s="488"/>
      <c r="AY46" s="489"/>
      <c r="AZ46" s="489"/>
      <c r="BA46" s="489"/>
      <c r="BB46" s="566">
        <f t="shared" si="4"/>
        <v>0</v>
      </c>
      <c r="BC46" s="563">
        <f t="shared" si="7"/>
        <v>0</v>
      </c>
    </row>
    <row r="47" spans="1:55">
      <c r="A47" s="470" t="s">
        <v>51</v>
      </c>
      <c r="B47" s="471" t="s">
        <v>394</v>
      </c>
      <c r="C47" s="471" t="str">
        <f t="shared" si="5"/>
        <v>Pampanga, Sasmuan</v>
      </c>
      <c r="D47" s="470" t="s">
        <v>88</v>
      </c>
      <c r="E47" s="472" t="s">
        <v>271</v>
      </c>
      <c r="F47" s="49">
        <v>14.936299999999999</v>
      </c>
      <c r="G47" s="49">
        <v>120.6223</v>
      </c>
      <c r="H47" s="473" t="str">
        <f t="shared" si="6"/>
        <v>14.9363,120.6223</v>
      </c>
      <c r="I47" s="473" t="s">
        <v>99</v>
      </c>
      <c r="J47" s="473" t="s">
        <v>395</v>
      </c>
      <c r="K47" s="49" t="s">
        <v>396</v>
      </c>
      <c r="L47" s="49">
        <v>2019</v>
      </c>
      <c r="M47" s="49">
        <v>2028</v>
      </c>
      <c r="N47" s="49"/>
      <c r="O47" s="49" t="s">
        <v>145</v>
      </c>
      <c r="P47" s="49"/>
      <c r="Q47" s="483" t="s">
        <v>133</v>
      </c>
      <c r="R47" s="473" t="s">
        <v>57</v>
      </c>
      <c r="S47" s="472"/>
      <c r="T47" s="337"/>
      <c r="U47" s="337"/>
      <c r="V47" s="337"/>
      <c r="W47" s="337"/>
      <c r="X47" s="337"/>
      <c r="Y47" s="476" t="str">
        <f>IFERROR(
    IF(
        OR(ISBLANK(T47), ISBLANK(U47)),
        "",
        MAX(
            1,
            IF(
                NETWORKDAYS(T47, U47, Holiday_Dates) &lt;= 0,
                1,
                NETWORKDAYS(T47, U47, Holiday_Dates) - IF(T47 = U47, 0, 1)
            )
        )
    ),
    ""
)</f>
        <v/>
      </c>
      <c r="Z47" s="476" t="str">
        <f>IF(
    OR(ISBLANK(U47), ISBLANK(V47)),
    "",
    MAX(
        1,
        IF(
            NETWORKDAYS(U47, V47, Holiday_Dates) &lt;= 0,
            1,
            NETWORKDAYS(U47, V47, Holiday_Dates) - IF(U47 = V47, 0, 1)
        )
    )
)</f>
        <v/>
      </c>
      <c r="AA47" s="476" t="str">
        <f>IFERROR(
    IF(
        OR(ISBLANK(W47), AND(ISBLANK(U47), ISBLANK(V47))),
        "",
        MAX(
            1,
            IF(
                NETWORKDAYS(IF(NOT(ISBLANK(V47)), V47, U47), W47, Holiday_Dates) &lt;= 0,
                1,
                NETWORKDAYS(IF(NOT(ISBLANK(V47)), V47, U47), W47, Holiday_Dates)
                - IF(IF(NOT(ISBLANK(V47)), V47, U47) = W47, 0, 1)
            )
        )
    ),
    ""
)</f>
        <v/>
      </c>
      <c r="AB47" s="476" t="str">
        <f>IFERROR(
    IF(
        OR(ISBLANK(W47), ISBLANK(X47)),
        "",
        MAX(
            1,
            IF(
                NETWORKDAYS(W47, X47, Holiday_Dates) &lt;= 0,
                1,
                NETWORKDAYS(W47, X47, Holiday_Dates) - IF(W47 = X47, 0, 1)
            )
        )
    ),
    ""
)</f>
        <v/>
      </c>
      <c r="AC47" s="339"/>
      <c r="AD47" s="49"/>
      <c r="AE47" s="49"/>
      <c r="AF47" s="49"/>
      <c r="AG47" s="339"/>
      <c r="AH47" s="478"/>
      <c r="AI47" s="344"/>
      <c r="AJ47" s="344"/>
      <c r="AK47" s="344"/>
      <c r="AL47" s="344"/>
      <c r="AM47" s="344"/>
      <c r="AN47" s="344"/>
      <c r="AO47" s="337"/>
      <c r="AP47" s="49"/>
      <c r="AQ47" s="49"/>
      <c r="AR47" s="488"/>
      <c r="AS47" s="489"/>
      <c r="AT47" s="488"/>
      <c r="AU47" s="489"/>
      <c r="AV47" s="488"/>
      <c r="AW47" s="489"/>
      <c r="AX47" s="488"/>
      <c r="AY47" s="489"/>
      <c r="AZ47" s="489"/>
      <c r="BA47" s="489"/>
      <c r="BB47" s="566">
        <f t="shared" si="4"/>
        <v>0</v>
      </c>
      <c r="BC47" s="563">
        <f t="shared" si="7"/>
        <v>0</v>
      </c>
    </row>
    <row r="48" spans="1:55">
      <c r="A48" s="470" t="s">
        <v>53</v>
      </c>
      <c r="B48" s="471" t="s">
        <v>397</v>
      </c>
      <c r="C48" s="471" t="str">
        <f t="shared" si="5"/>
        <v>Zambales, Castillejos</v>
      </c>
      <c r="D48" s="470" t="s">
        <v>89</v>
      </c>
      <c r="E48" s="470" t="s">
        <v>243</v>
      </c>
      <c r="F48" s="49">
        <v>14.93211</v>
      </c>
      <c r="G48" s="49">
        <v>120.19997600000001</v>
      </c>
      <c r="H48" s="473" t="str">
        <f t="shared" si="6"/>
        <v>14.93211,120.199976</v>
      </c>
      <c r="I48" s="473" t="s">
        <v>99</v>
      </c>
      <c r="J48" s="339" t="s">
        <v>398</v>
      </c>
      <c r="K48" s="49" t="s">
        <v>291</v>
      </c>
      <c r="L48" s="49">
        <v>2020</v>
      </c>
      <c r="M48" s="49">
        <v>2027</v>
      </c>
      <c r="N48" s="49"/>
      <c r="O48" s="49" t="s">
        <v>42</v>
      </c>
      <c r="P48" s="49"/>
      <c r="Q48" s="475" t="s">
        <v>133</v>
      </c>
      <c r="R48" s="473" t="s">
        <v>57</v>
      </c>
      <c r="S48" s="49"/>
      <c r="T48" s="484"/>
      <c r="U48" s="484"/>
      <c r="V48" s="484"/>
      <c r="W48" s="484"/>
      <c r="X48" s="484"/>
      <c r="Y48" s="476" t="str">
        <f>IFERROR(
    IF(
        OR(ISBLANK(T48), ISBLANK(U48)),
        "",
        MAX(
            1,
            IF(
                NETWORKDAYS(T48, U48, Holiday_Dates) &lt;= 0,
                1,
                NETWORKDAYS(T48, U48, Holiday_Dates) - IF(T48 = U48, 0, 1)
            )
        )
    ),
    ""
)</f>
        <v/>
      </c>
      <c r="Z48" s="476" t="str">
        <f>IF(
    OR(ISBLANK(U48), ISBLANK(V48)),
    "",
    MAX(
        1,
        IF(
            NETWORKDAYS(U48, V48, Holiday_Dates) &lt;= 0,
            1,
            NETWORKDAYS(U48, V48, Holiday_Dates) - IF(U48 = V48, 0, 1)
        )
    )
)</f>
        <v/>
      </c>
      <c r="AA48" s="476" t="str">
        <f>IFERROR(
    IF(
        OR(ISBLANK(W48), AND(ISBLANK(U48), ISBLANK(V48))),
        "",
        MAX(
            1,
            IF(
                NETWORKDAYS(IF(NOT(ISBLANK(V48)), V48, U48), W48, Holiday_Dates) &lt;= 0,
                1,
                NETWORKDAYS(IF(NOT(ISBLANK(V48)), V48, U48), W48, Holiday_Dates)
                - IF(IF(NOT(ISBLANK(V48)), V48, U48) = W48, 0, 1)
            )
        )
    ),
    ""
)</f>
        <v/>
      </c>
      <c r="AB48" s="476" t="str">
        <f>IFERROR(
    IF(
        OR(ISBLANK(W48), ISBLANK(X48)),
        "",
        MAX(
            1,
            IF(
                NETWORKDAYS(W48, X48, Holiday_Dates) &lt;= 0,
                1,
                NETWORKDAYS(W48, X48, Holiday_Dates) - IF(W48 = X48, 0, 1)
            )
        )
    ),
    ""
)</f>
        <v/>
      </c>
      <c r="AC48" s="339"/>
      <c r="AD48" s="49"/>
      <c r="AE48" s="336"/>
      <c r="AF48" s="485"/>
      <c r="AG48" s="339"/>
      <c r="AH48" s="478"/>
      <c r="AI48" s="49"/>
      <c r="AJ48" s="49"/>
      <c r="AK48" s="49"/>
      <c r="AL48" s="49"/>
      <c r="AM48" s="49"/>
      <c r="AN48" s="49"/>
      <c r="AO48" s="337"/>
      <c r="AP48" s="49"/>
      <c r="AQ48" s="49"/>
      <c r="AR48" s="488"/>
      <c r="AS48" s="489"/>
      <c r="AT48" s="488"/>
      <c r="AU48" s="489"/>
      <c r="AV48" s="488"/>
      <c r="AW48" s="489"/>
      <c r="AX48" s="488"/>
      <c r="AY48" s="489"/>
      <c r="AZ48" s="489"/>
      <c r="BA48" s="489"/>
      <c r="BB48" s="566">
        <f t="shared" si="4"/>
        <v>0</v>
      </c>
      <c r="BC48" s="563">
        <f t="shared" si="7"/>
        <v>0</v>
      </c>
    </row>
    <row r="49" spans="1:55" ht="15" customHeight="1">
      <c r="A49" s="470" t="s">
        <v>48</v>
      </c>
      <c r="B49" s="471" t="s">
        <v>399</v>
      </c>
      <c r="C49" s="471" t="str">
        <f t="shared" si="5"/>
        <v>Bataan, Pilar</v>
      </c>
      <c r="D49" s="470" t="s">
        <v>88</v>
      </c>
      <c r="E49" s="470" t="s">
        <v>271</v>
      </c>
      <c r="F49" s="472">
        <v>14.668509999999999</v>
      </c>
      <c r="G49" s="472">
        <v>120.552837</v>
      </c>
      <c r="H49" s="473" t="str">
        <f t="shared" si="6"/>
        <v>14.66851,120.552837</v>
      </c>
      <c r="I49" s="473" t="s">
        <v>99</v>
      </c>
      <c r="J49" s="473" t="s">
        <v>400</v>
      </c>
      <c r="K49" s="472" t="s">
        <v>261</v>
      </c>
      <c r="L49" s="472">
        <v>2015</v>
      </c>
      <c r="M49" s="472">
        <v>2024</v>
      </c>
      <c r="N49" s="49" t="s">
        <v>170</v>
      </c>
      <c r="O49" s="472" t="s">
        <v>273</v>
      </c>
      <c r="P49" s="472"/>
      <c r="Q49" s="475" t="s">
        <v>129</v>
      </c>
      <c r="R49" s="472" t="s">
        <v>63</v>
      </c>
      <c r="S49" s="472"/>
      <c r="T49" s="337"/>
      <c r="U49" s="337"/>
      <c r="V49" s="337"/>
      <c r="W49" s="337"/>
      <c r="X49" s="337"/>
      <c r="Y49" s="476" t="str">
        <f>IFERROR(
    IF(
        OR(ISBLANK(T49), ISBLANK(U49)),
        "",
        MAX(
            1,
            IF(
                NETWORKDAYS(T49, U49, Holiday_Dates) &lt;= 0,
                1,
                NETWORKDAYS(T49, U49, Holiday_Dates) - IF(T49 = U49, 0, 1)
            )
        )
    ),
    ""
)</f>
        <v/>
      </c>
      <c r="Z49" s="476" t="str">
        <f>IF(
    OR(ISBLANK(U49), ISBLANK(V49)),
    "",
    MAX(
        1,
        IF(
            NETWORKDAYS(U49, V49, Holiday_Dates) &lt;= 0,
            1,
            NETWORKDAYS(U49, V49, Holiday_Dates) - IF(U49 = V49, 0, 1)
        )
    )
)</f>
        <v/>
      </c>
      <c r="AA49" s="476" t="str">
        <f>IFERROR(
    IF(
        OR(ISBLANK(W49), AND(ISBLANK(U49), ISBLANK(V49))),
        "",
        MAX(
            1,
            IF(
                NETWORKDAYS(IF(NOT(ISBLANK(V49)), V49, U49), W49, Holiday_Dates) &lt;= 0,
                1,
                NETWORKDAYS(IF(NOT(ISBLANK(V49)), V49, U49), W49, Holiday_Dates)
                - IF(IF(NOT(ISBLANK(V49)), V49, U49) = W49, 0, 1)
            )
        )
    ),
    ""
)</f>
        <v/>
      </c>
      <c r="AB49" s="476" t="str">
        <f>IFERROR(
    IF(
        OR(ISBLANK(W49), ISBLANK(X49)),
        "",
        MAX(
            1,
            IF(
                NETWORKDAYS(W49, X49, Holiday_Dates) &lt;= 0,
                1,
                NETWORKDAYS(W49, X49, Holiday_Dates) - IF(W49 = X49, 0, 1)
            )
        )
    ),
    ""
)</f>
        <v/>
      </c>
      <c r="AC49" s="339"/>
      <c r="AD49" s="49"/>
      <c r="AE49" s="336"/>
      <c r="AF49" s="485"/>
      <c r="AG49" s="339"/>
      <c r="AH49" s="478"/>
      <c r="AI49" s="49"/>
      <c r="AJ49" s="49"/>
      <c r="AK49" s="49"/>
      <c r="AL49" s="49"/>
      <c r="AM49" s="479"/>
      <c r="AN49" s="49"/>
      <c r="AO49" s="487"/>
      <c r="AP49" s="473"/>
      <c r="AQ49" s="49"/>
      <c r="AR49" s="488"/>
      <c r="AS49" s="489"/>
      <c r="AT49" s="488"/>
      <c r="AU49" s="489"/>
      <c r="AV49" s="488"/>
      <c r="AW49" s="489"/>
      <c r="AX49" s="488"/>
      <c r="AY49" s="489"/>
      <c r="AZ49" s="489"/>
      <c r="BA49" s="489"/>
      <c r="BB49" s="566">
        <f t="shared" si="4"/>
        <v>0</v>
      </c>
      <c r="BC49" s="563">
        <f t="shared" si="7"/>
        <v>0</v>
      </c>
    </row>
    <row r="50" spans="1:55" ht="15.75">
      <c r="A50" s="470" t="s">
        <v>49</v>
      </c>
      <c r="B50" s="471" t="s">
        <v>401</v>
      </c>
      <c r="C50" s="471" t="str">
        <f t="shared" si="5"/>
        <v>Bulacan, Balagtas</v>
      </c>
      <c r="D50" s="470" t="s">
        <v>88</v>
      </c>
      <c r="E50" s="470" t="s">
        <v>402</v>
      </c>
      <c r="F50" s="472">
        <v>14.817360000000001</v>
      </c>
      <c r="G50" s="472">
        <v>120.90809299999999</v>
      </c>
      <c r="H50" s="473" t="str">
        <f t="shared" si="6"/>
        <v>14.81736,120.908093</v>
      </c>
      <c r="I50" s="473" t="s">
        <v>99</v>
      </c>
      <c r="J50" s="473" t="s">
        <v>403</v>
      </c>
      <c r="K50" s="472" t="s">
        <v>291</v>
      </c>
      <c r="L50" s="472">
        <v>2018</v>
      </c>
      <c r="M50" s="472">
        <v>2027</v>
      </c>
      <c r="N50" s="472"/>
      <c r="O50" s="472" t="s">
        <v>135</v>
      </c>
      <c r="P50" s="472"/>
      <c r="Q50" s="475" t="s">
        <v>128</v>
      </c>
      <c r="R50" s="472" t="s">
        <v>63</v>
      </c>
      <c r="S50" s="479"/>
      <c r="T50" s="487"/>
      <c r="U50" s="487"/>
      <c r="V50" s="487"/>
      <c r="W50" s="480"/>
      <c r="X50" s="337"/>
      <c r="Y50" s="476" t="str">
        <f>IFERROR(
    IF(
        OR(ISBLANK(T50), ISBLANK(U50)),
        "",
        MAX(
            1,
            IF(
                NETWORKDAYS(T50, U50, Holiday_Dates) &lt;= 0,
                1,
                NETWORKDAYS(T50, U50, Holiday_Dates) - IF(T50 = U50, 0, 1)
            )
        )
    ),
    ""
)</f>
        <v/>
      </c>
      <c r="Z50" s="476" t="str">
        <f>IF(
    OR(ISBLANK(U50), ISBLANK(V50)),
    "",
    MAX(
        1,
        IF(
            NETWORKDAYS(U50, V50, Holiday_Dates) &lt;= 0,
            1,
            NETWORKDAYS(U50, V50, Holiday_Dates) - IF(U50 = V50, 0, 1)
        )
    )
)</f>
        <v/>
      </c>
      <c r="AA50" s="476" t="str">
        <f>IFERROR(
    IF(
        OR(ISBLANK(W50), AND(ISBLANK(U50), ISBLANK(V50))),
        "",
        MAX(
            1,
            IF(
                NETWORKDAYS(IF(NOT(ISBLANK(V50)), V50, U50), W50, Holiday_Dates) &lt;= 0,
                1,
                NETWORKDAYS(IF(NOT(ISBLANK(V50)), V50, U50), W50, Holiday_Dates)
                - IF(IF(NOT(ISBLANK(V50)), V50, U50) = W50, 0, 1)
            )
        )
    ),
    ""
)</f>
        <v/>
      </c>
      <c r="AB50" s="476" t="str">
        <f>IFERROR(
    IF(
        OR(ISBLANK(W50), ISBLANK(X50)),
        "",
        MAX(
            1,
            IF(
                NETWORKDAYS(W50, X50, Holiday_Dates) &lt;= 0,
                1,
                NETWORKDAYS(W50, X50, Holiday_Dates) - IF(W50 = X50, 0, 1)
            )
        )
    ),
    ""
)</f>
        <v/>
      </c>
      <c r="AC50" s="339"/>
      <c r="AD50" s="502"/>
      <c r="AE50" s="503"/>
      <c r="AF50" s="49"/>
      <c r="AG50" s="504"/>
      <c r="AH50" s="478"/>
      <c r="AI50" s="479"/>
      <c r="AJ50" s="479"/>
      <c r="AK50" s="479"/>
      <c r="AL50" s="479"/>
      <c r="AM50" s="479"/>
      <c r="AN50" s="479"/>
      <c r="AO50" s="487"/>
      <c r="AP50" s="473"/>
      <c r="AQ50" s="49"/>
      <c r="AR50" s="505"/>
      <c r="AS50" s="489"/>
      <c r="AT50" s="505"/>
      <c r="AU50" s="489"/>
      <c r="AV50" s="488"/>
      <c r="AW50" s="489"/>
      <c r="AX50" s="488"/>
      <c r="AY50" s="489"/>
      <c r="AZ50" s="506"/>
      <c r="BA50" s="489"/>
      <c r="BB50" s="566">
        <f t="shared" si="4"/>
        <v>0</v>
      </c>
      <c r="BC50" s="563">
        <f t="shared" si="7"/>
        <v>0</v>
      </c>
    </row>
    <row r="51" spans="1:55">
      <c r="A51" s="470" t="s">
        <v>49</v>
      </c>
      <c r="B51" s="471" t="s">
        <v>404</v>
      </c>
      <c r="C51" s="471" t="str">
        <f t="shared" si="5"/>
        <v>Bulacan, Bulakan</v>
      </c>
      <c r="D51" s="470" t="s">
        <v>88</v>
      </c>
      <c r="E51" s="470" t="s">
        <v>243</v>
      </c>
      <c r="F51" s="472">
        <v>14.794464120000001</v>
      </c>
      <c r="G51" s="472">
        <v>120.8789154</v>
      </c>
      <c r="H51" s="473" t="str">
        <f t="shared" si="6"/>
        <v>14.79446412,120.8789154</v>
      </c>
      <c r="I51" s="473" t="s">
        <v>99</v>
      </c>
      <c r="J51" s="473">
        <v>1180</v>
      </c>
      <c r="K51" s="472" t="s">
        <v>291</v>
      </c>
      <c r="L51" s="472">
        <v>2018</v>
      </c>
      <c r="M51" s="472">
        <v>2027</v>
      </c>
      <c r="N51" s="472"/>
      <c r="O51" s="472" t="s">
        <v>135</v>
      </c>
      <c r="P51" s="472"/>
      <c r="Q51" s="475" t="s">
        <v>128</v>
      </c>
      <c r="R51" s="472" t="s">
        <v>63</v>
      </c>
      <c r="S51" s="472"/>
      <c r="T51" s="337"/>
      <c r="U51" s="337"/>
      <c r="V51" s="337"/>
      <c r="W51" s="337"/>
      <c r="X51" s="337"/>
      <c r="Y51" s="476" t="str">
        <f>IFERROR(
    IF(
        OR(ISBLANK(T51), ISBLANK(U51)),
        "",
        MAX(
            1,
            IF(
                NETWORKDAYS(T51, U51, Holiday_Dates) &lt;= 0,
                1,
                NETWORKDAYS(T51, U51, Holiday_Dates) - IF(T51 = U51, 0, 1)
            )
        )
    ),
    ""
)</f>
        <v/>
      </c>
      <c r="Z51" s="476" t="str">
        <f>IF(
    OR(ISBLANK(U51), ISBLANK(V51)),
    "",
    MAX(
        1,
        IF(
            NETWORKDAYS(U51, V51, Holiday_Dates) &lt;= 0,
            1,
            NETWORKDAYS(U51, V51, Holiday_Dates) - IF(U51 = V51, 0, 1)
        )
    )
)</f>
        <v/>
      </c>
      <c r="AA51" s="476" t="str">
        <f>IFERROR(
    IF(
        OR(ISBLANK(W51), AND(ISBLANK(U51), ISBLANK(V51))),
        "",
        MAX(
            1,
            IF(
                NETWORKDAYS(IF(NOT(ISBLANK(V51)), V51, U51), W51, Holiday_Dates) &lt;= 0,
                1,
                NETWORKDAYS(IF(NOT(ISBLANK(V51)), V51, U51), W51, Holiday_Dates)
                - IF(IF(NOT(ISBLANK(V51)), V51, U51) = W51, 0, 1)
            )
        )
    ),
    ""
)</f>
        <v/>
      </c>
      <c r="AB51" s="476" t="str">
        <f>IFERROR(
    IF(
        OR(ISBLANK(W51), ISBLANK(X51)),
        "",
        MAX(
            1,
            IF(
                NETWORKDAYS(W51, X51, Holiday_Dates) &lt;= 0,
                1,
                NETWORKDAYS(W51, X51, Holiday_Dates) - IF(W51 = X51, 0, 1)
            )
        )
    ),
    ""
)</f>
        <v/>
      </c>
      <c r="AC51" s="473"/>
      <c r="AD51" s="49"/>
      <c r="AE51" s="49"/>
      <c r="AF51" s="49"/>
      <c r="AG51" s="339"/>
      <c r="AH51" s="478"/>
      <c r="AI51" s="49"/>
      <c r="AJ51" s="49"/>
      <c r="AK51" s="49"/>
      <c r="AL51" s="49"/>
      <c r="AM51" s="49"/>
      <c r="AN51" s="49"/>
      <c r="AO51" s="337"/>
      <c r="AP51" s="473"/>
      <c r="AQ51" s="49"/>
      <c r="AR51" s="488"/>
      <c r="AS51" s="489"/>
      <c r="AT51" s="488"/>
      <c r="AU51" s="489"/>
      <c r="AV51" s="488"/>
      <c r="AW51" s="489"/>
      <c r="AX51" s="488"/>
      <c r="AY51" s="489"/>
      <c r="AZ51" s="489"/>
      <c r="BA51" s="489"/>
      <c r="BB51" s="566">
        <f t="shared" si="4"/>
        <v>0</v>
      </c>
      <c r="BC51" s="563">
        <f t="shared" si="7"/>
        <v>0</v>
      </c>
    </row>
    <row r="52" spans="1:55">
      <c r="A52" s="470" t="s">
        <v>49</v>
      </c>
      <c r="B52" s="471" t="s">
        <v>405</v>
      </c>
      <c r="C52" s="471" t="str">
        <f t="shared" si="5"/>
        <v>Bulacan, City Of Baliwag</v>
      </c>
      <c r="D52" s="470" t="s">
        <v>88</v>
      </c>
      <c r="E52" s="470" t="s">
        <v>271</v>
      </c>
      <c r="F52" s="472">
        <v>14.959281000000001</v>
      </c>
      <c r="G52" s="472">
        <v>120.899518</v>
      </c>
      <c r="H52" s="473" t="str">
        <f t="shared" si="6"/>
        <v>14.959281,120.899518</v>
      </c>
      <c r="I52" s="473" t="s">
        <v>99</v>
      </c>
      <c r="J52" s="473" t="s">
        <v>406</v>
      </c>
      <c r="K52" s="472" t="s">
        <v>291</v>
      </c>
      <c r="L52" s="472">
        <v>2018</v>
      </c>
      <c r="M52" s="472">
        <v>2027</v>
      </c>
      <c r="N52" s="472"/>
      <c r="O52" s="472" t="s">
        <v>377</v>
      </c>
      <c r="P52" s="472"/>
      <c r="Q52" s="475" t="s">
        <v>128</v>
      </c>
      <c r="R52" s="473" t="s">
        <v>63</v>
      </c>
      <c r="S52" s="501"/>
      <c r="T52" s="487"/>
      <c r="U52" s="487"/>
      <c r="V52" s="487"/>
      <c r="W52" s="487"/>
      <c r="X52" s="337"/>
      <c r="Y52" s="476" t="str">
        <f>IFERROR(
    IF(
        OR(ISBLANK(T52), ISBLANK(U52)),
        "",
        MAX(
            1,
            IF(
                NETWORKDAYS(T52, U52, Holiday_Dates) &lt;= 0,
                1,
                NETWORKDAYS(T52, U52, Holiday_Dates) - IF(T52 = U52, 0, 1)
            )
        )
    ),
    ""
)</f>
        <v/>
      </c>
      <c r="Z52" s="476" t="str">
        <f>IF(
    OR(ISBLANK(U52), ISBLANK(V52)),
    "",
    MAX(
        1,
        IF(
            NETWORKDAYS(U52, V52, Holiday_Dates) &lt;= 0,
            1,
            NETWORKDAYS(U52, V52, Holiday_Dates) - IF(U52 = V52, 0, 1)
        )
    )
)</f>
        <v/>
      </c>
      <c r="AA52" s="476" t="str">
        <f>IFERROR(
    IF(
        OR(ISBLANK(W52), AND(ISBLANK(U52), ISBLANK(V52))),
        "",
        MAX(
            1,
            IF(
                NETWORKDAYS(IF(NOT(ISBLANK(V52)), V52, U52), W52, Holiday_Dates) &lt;= 0,
                1,
                NETWORKDAYS(IF(NOT(ISBLANK(V52)), V52, U52), W52, Holiday_Dates)
                - IF(IF(NOT(ISBLANK(V52)), V52, U52) = W52, 0, 1)
            )
        )
    ),
    ""
)</f>
        <v/>
      </c>
      <c r="AB52" s="476" t="str">
        <f>IFERROR(
    IF(
        OR(ISBLANK(W52), ISBLANK(X52)),
        "",
        MAX(
            1,
            IF(
                NETWORKDAYS(W52, X52, Holiday_Dates) &lt;= 0,
                1,
                NETWORKDAYS(W52, X52, Holiday_Dates) - IF(W52 = X52, 0, 1)
            )
        )
    ),
    ""
)</f>
        <v/>
      </c>
      <c r="AC52" s="339"/>
      <c r="AD52" s="49"/>
      <c r="AE52" s="336"/>
      <c r="AF52" s="49"/>
      <c r="AG52" s="339"/>
      <c r="AH52" s="478"/>
      <c r="AI52" s="339"/>
      <c r="AJ52" s="339"/>
      <c r="AK52" s="339"/>
      <c r="AL52" s="339"/>
      <c r="AM52" s="339"/>
      <c r="AN52" s="339"/>
      <c r="AO52" s="487"/>
      <c r="AP52" s="473"/>
      <c r="AQ52" s="339"/>
      <c r="AR52" s="488"/>
      <c r="AS52" s="489"/>
      <c r="AT52" s="488"/>
      <c r="AU52" s="489"/>
      <c r="AV52" s="488"/>
      <c r="AW52" s="489"/>
      <c r="AX52" s="488"/>
      <c r="AY52" s="489"/>
      <c r="AZ52" s="489"/>
      <c r="BA52" s="489"/>
      <c r="BB52" s="566">
        <f t="shared" si="4"/>
        <v>0</v>
      </c>
      <c r="BC52" s="563">
        <f t="shared" si="7"/>
        <v>0</v>
      </c>
    </row>
    <row r="53" spans="1:55">
      <c r="A53" s="470" t="s">
        <v>50</v>
      </c>
      <c r="B53" s="471" t="s">
        <v>407</v>
      </c>
      <c r="C53" s="471" t="str">
        <f t="shared" si="5"/>
        <v>Nueva Ecija, Cabiao</v>
      </c>
      <c r="D53" s="470" t="s">
        <v>88</v>
      </c>
      <c r="E53" s="470" t="s">
        <v>224</v>
      </c>
      <c r="F53" s="472">
        <v>15.252382000000001</v>
      </c>
      <c r="G53" s="472">
        <v>120.860145</v>
      </c>
      <c r="H53" s="473" t="str">
        <f t="shared" si="6"/>
        <v>15.252382,120.860145</v>
      </c>
      <c r="I53" s="473" t="s">
        <v>99</v>
      </c>
      <c r="J53" s="473" t="s">
        <v>408</v>
      </c>
      <c r="K53" s="472" t="s">
        <v>291</v>
      </c>
      <c r="L53" s="472">
        <v>2019</v>
      </c>
      <c r="M53" s="472">
        <v>2027</v>
      </c>
      <c r="N53" s="472"/>
      <c r="O53" s="472" t="s">
        <v>30</v>
      </c>
      <c r="P53" s="472"/>
      <c r="Q53" s="475" t="s">
        <v>130</v>
      </c>
      <c r="R53" s="473" t="s">
        <v>63</v>
      </c>
      <c r="S53" s="372"/>
      <c r="T53" s="337"/>
      <c r="U53" s="337"/>
      <c r="V53" s="337"/>
      <c r="W53" s="337"/>
      <c r="X53" s="482"/>
      <c r="Y53" s="476" t="str">
        <f>IFERROR(
    IF(
        OR(ISBLANK(T53), ISBLANK(U53)),
        "",
        MAX(
            1,
            IF(
                NETWORKDAYS(T53, U53, Holiday_Dates) &lt;= 0,
                1,
                NETWORKDAYS(T53, U53, Holiday_Dates) - IF(T53 = U53, 0, 1)
            )
        )
    ),
    ""
)</f>
        <v/>
      </c>
      <c r="Z53" s="476" t="str">
        <f>IF(
    OR(ISBLANK(U53), ISBLANK(V53)),
    "",
    MAX(
        1,
        IF(
            NETWORKDAYS(U53, V53, Holiday_Dates) &lt;= 0,
            1,
            NETWORKDAYS(U53, V53, Holiday_Dates) - IF(U53 = V53, 0, 1)
        )
    )
)</f>
        <v/>
      </c>
      <c r="AA53" s="476" t="str">
        <f>IFERROR(
    IF(
        OR(ISBLANK(W53), AND(ISBLANK(U53), ISBLANK(V53))),
        "",
        MAX(
            1,
            IF(
                NETWORKDAYS(IF(NOT(ISBLANK(V53)), V53, U53), W53, Holiday_Dates) &lt;= 0,
                1,
                NETWORKDAYS(IF(NOT(ISBLANK(V53)), V53, U53), W53, Holiday_Dates)
                - IF(IF(NOT(ISBLANK(V53)), V53, U53) = W53, 0, 1)
            )
        )
    ),
    ""
)</f>
        <v/>
      </c>
      <c r="AB53" s="476" t="str">
        <f>IFERROR(
    IF(
        OR(ISBLANK(W53), ISBLANK(X53)),
        "",
        MAX(
            1,
            IF(
                NETWORKDAYS(W53, X53, Holiday_Dates) &lt;= 0,
                1,
                NETWORKDAYS(W53, X53, Holiday_Dates) - IF(W53 = X53, 0, 1)
            )
        )
    ),
    ""
)</f>
        <v/>
      </c>
      <c r="AC53" s="339"/>
      <c r="AD53" s="49"/>
      <c r="AE53" s="507"/>
      <c r="AF53" s="49"/>
      <c r="AG53" s="343"/>
      <c r="AH53" s="478"/>
      <c r="AI53" s="339"/>
      <c r="AJ53" s="339"/>
      <c r="AK53" s="339"/>
      <c r="AL53" s="339"/>
      <c r="AM53" s="339"/>
      <c r="AN53" s="339"/>
      <c r="AO53" s="337"/>
      <c r="AP53" s="473"/>
      <c r="AQ53" s="49"/>
      <c r="AR53" s="488"/>
      <c r="AS53" s="489"/>
      <c r="AT53" s="488"/>
      <c r="AU53" s="489"/>
      <c r="AV53" s="488"/>
      <c r="AW53" s="489"/>
      <c r="AX53" s="488"/>
      <c r="AY53" s="489"/>
      <c r="AZ53" s="489"/>
      <c r="BA53" s="489"/>
      <c r="BB53" s="566">
        <f t="shared" si="4"/>
        <v>0</v>
      </c>
      <c r="BC53" s="563">
        <f t="shared" si="7"/>
        <v>0</v>
      </c>
    </row>
    <row r="54" spans="1:55">
      <c r="A54" s="470" t="s">
        <v>50</v>
      </c>
      <c r="B54" s="471" t="s">
        <v>409</v>
      </c>
      <c r="C54" s="471" t="str">
        <f t="shared" si="5"/>
        <v>Nueva Ecija, Carranglan</v>
      </c>
      <c r="D54" s="470" t="s">
        <v>88</v>
      </c>
      <c r="E54" s="470" t="s">
        <v>271</v>
      </c>
      <c r="F54" s="472">
        <v>15.960407999999999</v>
      </c>
      <c r="G54" s="472">
        <v>121.06311700000001</v>
      </c>
      <c r="H54" s="473" t="str">
        <f t="shared" si="6"/>
        <v>15.960408,121.063117</v>
      </c>
      <c r="I54" s="473" t="s">
        <v>99</v>
      </c>
      <c r="J54" s="473">
        <v>1329</v>
      </c>
      <c r="K54" s="472" t="s">
        <v>291</v>
      </c>
      <c r="L54" s="472">
        <v>2019</v>
      </c>
      <c r="M54" s="472">
        <v>2027</v>
      </c>
      <c r="N54" s="472"/>
      <c r="O54" s="472" t="s">
        <v>29</v>
      </c>
      <c r="P54" s="472"/>
      <c r="Q54" s="475" t="s">
        <v>130</v>
      </c>
      <c r="R54" s="473" t="s">
        <v>63</v>
      </c>
      <c r="S54" s="479"/>
      <c r="T54" s="487"/>
      <c r="U54" s="487"/>
      <c r="V54" s="487"/>
      <c r="W54" s="487"/>
      <c r="X54" s="337"/>
      <c r="Y54" s="476" t="str">
        <f>IFERROR(
    IF(
        OR(ISBLANK(T54), ISBLANK(U54)),
        "",
        MAX(
            1,
            IF(
                NETWORKDAYS(T54, U54, Holiday_Dates) &lt;= 0,
                1,
                NETWORKDAYS(T54, U54, Holiday_Dates) - IF(T54 = U54, 0, 1)
            )
        )
    ),
    ""
)</f>
        <v/>
      </c>
      <c r="Z54" s="476" t="str">
        <f>IF(
    OR(ISBLANK(U54), ISBLANK(V54)),
    "",
    MAX(
        1,
        IF(
            NETWORKDAYS(U54, V54, Holiday_Dates) &lt;= 0,
            1,
            NETWORKDAYS(U54, V54, Holiday_Dates) - IF(U54 = V54, 0, 1)
        )
    )
)</f>
        <v/>
      </c>
      <c r="AA54" s="476" t="str">
        <f>IFERROR(
    IF(
        OR(ISBLANK(W54), AND(ISBLANK(U54), ISBLANK(V54))),
        "",
        MAX(
            1,
            IF(
                NETWORKDAYS(IF(NOT(ISBLANK(V54)), V54, U54), W54, Holiday_Dates) &lt;= 0,
                1,
                NETWORKDAYS(IF(NOT(ISBLANK(V54)), V54, U54), W54, Holiday_Dates)
                - IF(IF(NOT(ISBLANK(V54)), V54, U54) = W54, 0, 1)
            )
        )
    ),
    ""
)</f>
        <v/>
      </c>
      <c r="AB54" s="476" t="str">
        <f>IFERROR(
    IF(
        OR(ISBLANK(W54), ISBLANK(X54)),
        "",
        MAX(
            1,
            IF(
                NETWORKDAYS(W54, X54, Holiday_Dates) &lt;= 0,
                1,
                NETWORKDAYS(W54, X54, Holiday_Dates) - IF(W54 = X54, 0, 1)
            )
        )
    ),
    ""
)</f>
        <v/>
      </c>
      <c r="AC54" s="339"/>
      <c r="AD54" s="49"/>
      <c r="AE54" s="336"/>
      <c r="AF54" s="49"/>
      <c r="AG54" s="339"/>
      <c r="AH54" s="478"/>
      <c r="AI54" s="339"/>
      <c r="AJ54" s="339"/>
      <c r="AK54" s="339"/>
      <c r="AL54" s="339"/>
      <c r="AM54" s="339"/>
      <c r="AN54" s="339"/>
      <c r="AO54" s="487"/>
      <c r="AP54" s="473"/>
      <c r="AQ54" s="49"/>
      <c r="AR54" s="488"/>
      <c r="AS54" s="489"/>
      <c r="AT54" s="488"/>
      <c r="AU54" s="489"/>
      <c r="AV54" s="489"/>
      <c r="AW54" s="489"/>
      <c r="AX54" s="488"/>
      <c r="AY54" s="489"/>
      <c r="AZ54" s="489"/>
      <c r="BA54" s="489"/>
      <c r="BB54" s="566">
        <f t="shared" si="4"/>
        <v>0</v>
      </c>
      <c r="BC54" s="563">
        <f t="shared" si="7"/>
        <v>0</v>
      </c>
    </row>
    <row r="55" spans="1:55">
      <c r="A55" s="470" t="s">
        <v>50</v>
      </c>
      <c r="B55" s="471" t="s">
        <v>410</v>
      </c>
      <c r="C55" s="471" t="str">
        <f t="shared" si="5"/>
        <v>Nueva Ecija, Quezon</v>
      </c>
      <c r="D55" s="470" t="s">
        <v>88</v>
      </c>
      <c r="E55" s="470" t="s">
        <v>243</v>
      </c>
      <c r="F55" s="49">
        <v>15.551572999999999</v>
      </c>
      <c r="G55" s="49">
        <v>120.814763</v>
      </c>
      <c r="H55" s="473" t="str">
        <f t="shared" si="6"/>
        <v>15.551573,120.814763</v>
      </c>
      <c r="I55" s="473" t="s">
        <v>99</v>
      </c>
      <c r="J55" s="473" t="s">
        <v>411</v>
      </c>
      <c r="K55" s="49" t="s">
        <v>297</v>
      </c>
      <c r="L55" s="49">
        <v>2018</v>
      </c>
      <c r="M55" s="49">
        <v>2026</v>
      </c>
      <c r="N55" s="49"/>
      <c r="O55" s="49" t="s">
        <v>140</v>
      </c>
      <c r="P55" s="49"/>
      <c r="Q55" s="475" t="s">
        <v>130</v>
      </c>
      <c r="R55" s="473" t="s">
        <v>63</v>
      </c>
      <c r="S55" s="49"/>
      <c r="T55" s="337"/>
      <c r="U55" s="337"/>
      <c r="V55" s="337"/>
      <c r="W55" s="337"/>
      <c r="X55" s="337"/>
      <c r="Y55" s="476" t="str">
        <f>IFERROR(
    IF(
        OR(ISBLANK(T55), ISBLANK(U55)),
        "",
        MAX(
            1,
            IF(
                NETWORKDAYS(T55, U55, Holiday_Dates) &lt;= 0,
                1,
                NETWORKDAYS(T55, U55, Holiday_Dates) - IF(T55 = U55, 0, 1)
            )
        )
    ),
    ""
)</f>
        <v/>
      </c>
      <c r="Z55" s="476" t="str">
        <f>IF(
    OR(ISBLANK(U55), ISBLANK(V55)),
    "",
    MAX(
        1,
        IF(
            NETWORKDAYS(U55, V55, Holiday_Dates) &lt;= 0,
            1,
            NETWORKDAYS(U55, V55, Holiday_Dates) - IF(U55 = V55, 0, 1)
        )
    )
)</f>
        <v/>
      </c>
      <c r="AA55" s="476" t="str">
        <f>IFERROR(
    IF(
        OR(ISBLANK(W55), AND(ISBLANK(U55), ISBLANK(V55))),
        "",
        MAX(
            1,
            IF(
                NETWORKDAYS(IF(NOT(ISBLANK(V55)), V55, U55), W55, Holiday_Dates) &lt;= 0,
                1,
                NETWORKDAYS(IF(NOT(ISBLANK(V55)), V55, U55), W55, Holiday_Dates)
                - IF(IF(NOT(ISBLANK(V55)), V55, U55) = W55, 0, 1)
            )
        )
    ),
    ""
)</f>
        <v/>
      </c>
      <c r="AB55" s="476" t="str">
        <f>IFERROR(
    IF(
        OR(ISBLANK(W55), ISBLANK(X55)),
        "",
        MAX(
            1,
            IF(
                NETWORKDAYS(W55, X55, Holiday_Dates) &lt;= 0,
                1,
                NETWORKDAYS(W55, X55, Holiday_Dates) - IF(W55 = X55, 0, 1)
            )
        )
    ),
    ""
)</f>
        <v/>
      </c>
      <c r="AC55" s="339"/>
      <c r="AD55" s="49"/>
      <c r="AE55" s="499"/>
      <c r="AF55" s="49"/>
      <c r="AG55" s="339"/>
      <c r="AH55" s="478"/>
      <c r="AI55" s="49"/>
      <c r="AJ55" s="49"/>
      <c r="AK55" s="49"/>
      <c r="AL55" s="49"/>
      <c r="AM55" s="49"/>
      <c r="AN55" s="49"/>
      <c r="AO55" s="337"/>
      <c r="AP55" s="49"/>
      <c r="AQ55" s="49"/>
      <c r="AR55" s="488"/>
      <c r="AS55" s="489"/>
      <c r="AT55" s="488"/>
      <c r="AU55" s="489"/>
      <c r="AV55" s="488"/>
      <c r="AW55" s="489"/>
      <c r="AX55" s="488"/>
      <c r="AY55" s="489"/>
      <c r="AZ55" s="489"/>
      <c r="BA55" s="489"/>
      <c r="BB55" s="566">
        <f t="shared" ref="BB55:BB86" si="8">SUM(AR55,AT55,AV55)</f>
        <v>0</v>
      </c>
      <c r="BC55" s="563">
        <f t="shared" si="7"/>
        <v>0</v>
      </c>
    </row>
    <row r="56" spans="1:55">
      <c r="A56" s="470" t="s">
        <v>50</v>
      </c>
      <c r="B56" s="471" t="s">
        <v>412</v>
      </c>
      <c r="C56" s="471" t="str">
        <f t="shared" si="5"/>
        <v>Nueva Ecija, Science City Of Muñoz</v>
      </c>
      <c r="D56" s="470" t="s">
        <v>88</v>
      </c>
      <c r="E56" s="470" t="s">
        <v>271</v>
      </c>
      <c r="F56" s="49">
        <v>15.713327</v>
      </c>
      <c r="G56" s="49">
        <v>120.90396800000001</v>
      </c>
      <c r="H56" s="473" t="str">
        <f t="shared" si="6"/>
        <v>15.713327,120.903968</v>
      </c>
      <c r="I56" s="473" t="s">
        <v>99</v>
      </c>
      <c r="J56" s="473" t="s">
        <v>413</v>
      </c>
      <c r="K56" s="49" t="s">
        <v>252</v>
      </c>
      <c r="L56" s="49">
        <v>2018</v>
      </c>
      <c r="M56" s="49">
        <v>2027</v>
      </c>
      <c r="N56" s="49"/>
      <c r="O56" s="472" t="s">
        <v>29</v>
      </c>
      <c r="P56" s="472"/>
      <c r="Q56" s="475" t="s">
        <v>130</v>
      </c>
      <c r="R56" s="473" t="s">
        <v>63</v>
      </c>
      <c r="S56" s="49"/>
      <c r="T56" s="337"/>
      <c r="U56" s="337"/>
      <c r="V56" s="337"/>
      <c r="W56" s="337"/>
      <c r="X56" s="337"/>
      <c r="Y56" s="476" t="str">
        <f>IFERROR(
    IF(
        OR(ISBLANK(T56), ISBLANK(U56)),
        "",
        MAX(
            1,
            IF(
                NETWORKDAYS(T56, U56, Holiday_Dates) &lt;= 0,
                1,
                NETWORKDAYS(T56, U56, Holiday_Dates) - IF(T56 = U56, 0, 1)
            )
        )
    ),
    ""
)</f>
        <v/>
      </c>
      <c r="Z56" s="476" t="str">
        <f>IF(
    OR(ISBLANK(U56), ISBLANK(V56)),
    "",
    MAX(
        1,
        IF(
            NETWORKDAYS(U56, V56, Holiday_Dates) &lt;= 0,
            1,
            NETWORKDAYS(U56, V56, Holiday_Dates) - IF(U56 = V56, 0, 1)
        )
    )
)</f>
        <v/>
      </c>
      <c r="AA56" s="476" t="str">
        <f>IFERROR(
    IF(
        OR(ISBLANK(W56), AND(ISBLANK(U56), ISBLANK(V56))),
        "",
        MAX(
            1,
            IF(
                NETWORKDAYS(IF(NOT(ISBLANK(V56)), V56, U56), W56, Holiday_Dates) &lt;= 0,
                1,
                NETWORKDAYS(IF(NOT(ISBLANK(V56)), V56, U56), W56, Holiday_Dates)
                - IF(IF(NOT(ISBLANK(V56)), V56, U56) = W56, 0, 1)
            )
        )
    ),
    ""
)</f>
        <v/>
      </c>
      <c r="AB56" s="476" t="str">
        <f>IFERROR(
    IF(
        OR(ISBLANK(W56), ISBLANK(X56)),
        "",
        MAX(
            1,
            IF(
                NETWORKDAYS(W56, X56, Holiday_Dates) &lt;= 0,
                1,
                NETWORKDAYS(W56, X56, Holiday_Dates) - IF(W56 = X56, 0, 1)
            )
        )
    ),
    ""
)</f>
        <v/>
      </c>
      <c r="AC56" s="339"/>
      <c r="AD56" s="49"/>
      <c r="AE56" s="336"/>
      <c r="AF56" s="49"/>
      <c r="AG56" s="339"/>
      <c r="AH56" s="478"/>
      <c r="AI56" s="49"/>
      <c r="AJ56" s="49"/>
      <c r="AK56" s="49"/>
      <c r="AL56" s="49"/>
      <c r="AM56" s="49"/>
      <c r="AN56" s="49"/>
      <c r="AO56" s="337"/>
      <c r="AP56" s="49"/>
      <c r="AQ56" s="49"/>
      <c r="AR56" s="488"/>
      <c r="AS56" s="489"/>
      <c r="AT56" s="488"/>
      <c r="AU56" s="489"/>
      <c r="AV56" s="488"/>
      <c r="AW56" s="489"/>
      <c r="AX56" s="488"/>
      <c r="AY56" s="489"/>
      <c r="AZ56" s="489"/>
      <c r="BA56" s="489"/>
      <c r="BB56" s="566">
        <f t="shared" si="8"/>
        <v>0</v>
      </c>
      <c r="BC56" s="563">
        <f t="shared" si="7"/>
        <v>0</v>
      </c>
    </row>
    <row r="57" spans="1:55">
      <c r="A57" s="470" t="s">
        <v>51</v>
      </c>
      <c r="B57" s="471" t="s">
        <v>414</v>
      </c>
      <c r="C57" s="471" t="str">
        <f t="shared" si="5"/>
        <v>Pampanga, Bacolor</v>
      </c>
      <c r="D57" s="470" t="s">
        <v>88</v>
      </c>
      <c r="E57" s="470" t="s">
        <v>213</v>
      </c>
      <c r="F57" s="49">
        <v>14.996600000000001</v>
      </c>
      <c r="G57" s="49">
        <v>120.65170000000001</v>
      </c>
      <c r="H57" s="473" t="str">
        <f t="shared" si="6"/>
        <v>14.9966,120.6517</v>
      </c>
      <c r="I57" s="473" t="s">
        <v>99</v>
      </c>
      <c r="J57" s="473" t="s">
        <v>415</v>
      </c>
      <c r="K57" s="49" t="s">
        <v>359</v>
      </c>
      <c r="L57" s="49">
        <v>2022</v>
      </c>
      <c r="M57" s="49">
        <v>2031</v>
      </c>
      <c r="N57" s="49"/>
      <c r="O57" s="49" t="s">
        <v>145</v>
      </c>
      <c r="P57" s="49"/>
      <c r="Q57" s="483" t="s">
        <v>133</v>
      </c>
      <c r="R57" s="49" t="s">
        <v>63</v>
      </c>
      <c r="S57" s="472"/>
      <c r="T57" s="337"/>
      <c r="U57" s="337"/>
      <c r="V57" s="337"/>
      <c r="W57" s="484"/>
      <c r="X57" s="484"/>
      <c r="Y57" s="476" t="str">
        <f>IFERROR(
    IF(
        OR(ISBLANK(T57), ISBLANK(U57)),
        "",
        MAX(
            1,
            IF(
                NETWORKDAYS(T57, U57, Holiday_Dates) &lt;= 0,
                1,
                NETWORKDAYS(T57, U57, Holiday_Dates) - IF(T57 = U57, 0, 1)
            )
        )
    ),
    ""
)</f>
        <v/>
      </c>
      <c r="Z57" s="476" t="str">
        <f>IF(
    OR(ISBLANK(U57), ISBLANK(V57)),
    "",
    MAX(
        1,
        IF(
            NETWORKDAYS(U57, V57, Holiday_Dates) &lt;= 0,
            1,
            NETWORKDAYS(U57, V57, Holiday_Dates) - IF(U57 = V57, 0, 1)
        )
    )
)</f>
        <v/>
      </c>
      <c r="AA57" s="476" t="str">
        <f>IFERROR(
    IF(
        OR(ISBLANK(W57), AND(ISBLANK(U57), ISBLANK(V57))),
        "",
        MAX(
            1,
            IF(
                NETWORKDAYS(IF(NOT(ISBLANK(V57)), V57, U57), W57, Holiday_Dates) &lt;= 0,
                1,
                NETWORKDAYS(IF(NOT(ISBLANK(V57)), V57, U57), W57, Holiday_Dates)
                - IF(IF(NOT(ISBLANK(V57)), V57, U57) = W57, 0, 1)
            )
        )
    ),
    ""
)</f>
        <v/>
      </c>
      <c r="AB57" s="476" t="str">
        <f>IFERROR(
    IF(
        OR(ISBLANK(W57), ISBLANK(X57)),
        "",
        MAX(
            1,
            IF(
                NETWORKDAYS(W57, X57, Holiday_Dates) &lt;= 0,
                1,
                NETWORKDAYS(W57, X57, Holiday_Dates) - IF(W57 = X57, 0, 1)
            )
        )
    ),
    ""
)</f>
        <v/>
      </c>
      <c r="AC57" s="339"/>
      <c r="AD57" s="49"/>
      <c r="AE57" s="336"/>
      <c r="AF57" s="49"/>
      <c r="AG57" s="339"/>
      <c r="AH57" s="478"/>
      <c r="AI57" s="49"/>
      <c r="AJ57" s="49"/>
      <c r="AK57" s="49"/>
      <c r="AL57" s="49"/>
      <c r="AM57" s="49"/>
      <c r="AN57" s="49"/>
      <c r="AO57" s="337"/>
      <c r="AP57" s="49"/>
      <c r="AQ57" s="49"/>
      <c r="AR57" s="488"/>
      <c r="AS57" s="489"/>
      <c r="AT57" s="488"/>
      <c r="AU57" s="489"/>
      <c r="AV57" s="488"/>
      <c r="AW57" s="489"/>
      <c r="AX57" s="488"/>
      <c r="AY57" s="489"/>
      <c r="AZ57" s="488"/>
      <c r="BA57" s="489"/>
      <c r="BB57" s="566">
        <f t="shared" si="8"/>
        <v>0</v>
      </c>
      <c r="BC57" s="563">
        <f t="shared" si="7"/>
        <v>0</v>
      </c>
    </row>
    <row r="58" spans="1:55">
      <c r="A58" s="470" t="s">
        <v>51</v>
      </c>
      <c r="B58" s="471" t="s">
        <v>416</v>
      </c>
      <c r="C58" s="471" t="str">
        <f t="shared" si="5"/>
        <v>Pampanga, Porac</v>
      </c>
      <c r="D58" s="470" t="s">
        <v>88</v>
      </c>
      <c r="E58" s="472" t="s">
        <v>271</v>
      </c>
      <c r="F58" s="49">
        <v>15.0732</v>
      </c>
      <c r="G58" s="49">
        <v>120.5406</v>
      </c>
      <c r="H58" s="473" t="str">
        <f t="shared" si="6"/>
        <v>15.0732,120.5406</v>
      </c>
      <c r="I58" s="473" t="s">
        <v>99</v>
      </c>
      <c r="J58" s="473" t="s">
        <v>417</v>
      </c>
      <c r="K58" s="49" t="s">
        <v>252</v>
      </c>
      <c r="L58" s="49">
        <v>2018</v>
      </c>
      <c r="M58" s="49">
        <v>2027</v>
      </c>
      <c r="N58" s="49"/>
      <c r="O58" s="49" t="s">
        <v>33</v>
      </c>
      <c r="P58" s="49"/>
      <c r="Q58" s="483" t="s">
        <v>239</v>
      </c>
      <c r="R58" s="473" t="s">
        <v>63</v>
      </c>
      <c r="S58" s="472"/>
      <c r="T58" s="337"/>
      <c r="U58" s="337"/>
      <c r="V58" s="337"/>
      <c r="W58" s="337"/>
      <c r="X58" s="337"/>
      <c r="Y58" s="476" t="str">
        <f>IFERROR(
    IF(
        OR(ISBLANK(T58), ISBLANK(U58)),
        "",
        MAX(
            1,
            IF(
                NETWORKDAYS(T58, U58, Holiday_Dates) &lt;= 0,
                1,
                NETWORKDAYS(T58, U58, Holiday_Dates) - IF(T58 = U58, 0, 1)
            )
        )
    ),
    ""
)</f>
        <v/>
      </c>
      <c r="Z58" s="476" t="str">
        <f>IF(
    OR(ISBLANK(U58), ISBLANK(V58)),
    "",
    MAX(
        1,
        IF(
            NETWORKDAYS(U58, V58, Holiday_Dates) &lt;= 0,
            1,
            NETWORKDAYS(U58, V58, Holiday_Dates) - IF(U58 = V58, 0, 1)
        )
    )
)</f>
        <v/>
      </c>
      <c r="AA58" s="476" t="str">
        <f>IFERROR(
    IF(
        OR(ISBLANK(W58), AND(ISBLANK(U58), ISBLANK(V58))),
        "",
        MAX(
            1,
            IF(
                NETWORKDAYS(IF(NOT(ISBLANK(V58)), V58, U58), W58, Holiday_Dates) &lt;= 0,
                1,
                NETWORKDAYS(IF(NOT(ISBLANK(V58)), V58, U58), W58, Holiday_Dates)
                - IF(IF(NOT(ISBLANK(V58)), V58, U58) = W58, 0, 1)
            )
        )
    ),
    ""
)</f>
        <v/>
      </c>
      <c r="AB58" s="476" t="str">
        <f>IFERROR(
    IF(
        OR(ISBLANK(W58), ISBLANK(X58)),
        "",
        MAX(
            1,
            IF(
                NETWORKDAYS(W58, X58, Holiday_Dates) &lt;= 0,
                1,
                NETWORKDAYS(W58, X58, Holiday_Dates) - IF(W58 = X58, 0, 1)
            )
        )
    ),
    ""
)</f>
        <v/>
      </c>
      <c r="AC58" s="339"/>
      <c r="AD58" s="49"/>
      <c r="AE58" s="49"/>
      <c r="AF58" s="49"/>
      <c r="AG58" s="339"/>
      <c r="AH58" s="478"/>
      <c r="AI58" s="49"/>
      <c r="AJ58" s="49"/>
      <c r="AK58" s="49"/>
      <c r="AL58" s="49"/>
      <c r="AM58" s="49"/>
      <c r="AN58" s="49"/>
      <c r="AO58" s="337"/>
      <c r="AP58" s="49"/>
      <c r="AQ58" s="49"/>
      <c r="AR58" s="488"/>
      <c r="AS58" s="489"/>
      <c r="AT58" s="488"/>
      <c r="AU58" s="489"/>
      <c r="AV58" s="488"/>
      <c r="AW58" s="489"/>
      <c r="AX58" s="488"/>
      <c r="AY58" s="489"/>
      <c r="AZ58" s="489"/>
      <c r="BA58" s="489"/>
      <c r="BB58" s="566">
        <f t="shared" si="8"/>
        <v>0</v>
      </c>
      <c r="BC58" s="563">
        <f t="shared" si="7"/>
        <v>0</v>
      </c>
    </row>
    <row r="59" spans="1:55">
      <c r="A59" s="470" t="s">
        <v>51</v>
      </c>
      <c r="B59" s="471" t="s">
        <v>418</v>
      </c>
      <c r="C59" s="471" t="str">
        <f t="shared" si="5"/>
        <v>Pampanga, San Luis</v>
      </c>
      <c r="D59" s="470" t="s">
        <v>88</v>
      </c>
      <c r="E59" s="472" t="s">
        <v>224</v>
      </c>
      <c r="F59" s="49">
        <v>15.038968000000001</v>
      </c>
      <c r="G59" s="49">
        <v>120.78927899999999</v>
      </c>
      <c r="H59" s="473" t="str">
        <f t="shared" si="6"/>
        <v>15.038968,120.789279</v>
      </c>
      <c r="I59" s="473" t="s">
        <v>99</v>
      </c>
      <c r="J59" s="473" t="s">
        <v>419</v>
      </c>
      <c r="K59" s="49" t="s">
        <v>252</v>
      </c>
      <c r="L59" s="49">
        <v>2018</v>
      </c>
      <c r="M59" s="49">
        <v>2027</v>
      </c>
      <c r="N59" s="49"/>
      <c r="O59" s="49" t="s">
        <v>34</v>
      </c>
      <c r="P59" s="49"/>
      <c r="Q59" s="483" t="s">
        <v>239</v>
      </c>
      <c r="R59" s="473" t="s">
        <v>63</v>
      </c>
      <c r="S59" s="49"/>
      <c r="T59" s="337"/>
      <c r="U59" s="337"/>
      <c r="V59" s="337"/>
      <c r="W59" s="337"/>
      <c r="X59" s="337"/>
      <c r="Y59" s="476" t="str">
        <f>IFERROR(
    IF(
        OR(ISBLANK(T59), ISBLANK(U59)),
        "",
        MAX(
            1,
            IF(
                NETWORKDAYS(T59, U59, Holiday_Dates) &lt;= 0,
                1,
                NETWORKDAYS(T59, U59, Holiday_Dates) - IF(T59 = U59, 0, 1)
            )
        )
    ),
    ""
)</f>
        <v/>
      </c>
      <c r="Z59" s="476" t="str">
        <f>IF(
    OR(ISBLANK(U59), ISBLANK(V59)),
    "",
    MAX(
        1,
        IF(
            NETWORKDAYS(U59, V59, Holiday_Dates) &lt;= 0,
            1,
            NETWORKDAYS(U59, V59, Holiday_Dates) - IF(U59 = V59, 0, 1)
        )
    )
)</f>
        <v/>
      </c>
      <c r="AA59" s="476" t="str">
        <f>IFERROR(
    IF(
        OR(ISBLANK(W59), AND(ISBLANK(U59), ISBLANK(V59))),
        "",
        MAX(
            1,
            IF(
                NETWORKDAYS(IF(NOT(ISBLANK(V59)), V59, U59), W59, Holiday_Dates) &lt;= 0,
                1,
                NETWORKDAYS(IF(NOT(ISBLANK(V59)), V59, U59), W59, Holiday_Dates)
                - IF(IF(NOT(ISBLANK(V59)), V59, U59) = W59, 0, 1)
            )
        )
    ),
    ""
)</f>
        <v/>
      </c>
      <c r="AB59" s="476" t="str">
        <f>IFERROR(
    IF(
        OR(ISBLANK(W59), ISBLANK(X59)),
        "",
        MAX(
            1,
            IF(
                NETWORKDAYS(W59, X59, Holiday_Dates) &lt;= 0,
                1,
                NETWORKDAYS(W59, X59, Holiday_Dates) - IF(W59 = X59, 0, 1)
            )
        )
    ),
    ""
)</f>
        <v/>
      </c>
      <c r="AC59" s="339"/>
      <c r="AD59" s="49"/>
      <c r="AE59" s="49"/>
      <c r="AF59" s="49"/>
      <c r="AG59" s="339"/>
      <c r="AH59" s="478"/>
      <c r="AI59" s="49"/>
      <c r="AJ59" s="49"/>
      <c r="AK59" s="49"/>
      <c r="AL59" s="49"/>
      <c r="AM59" s="49"/>
      <c r="AN59" s="49"/>
      <c r="AO59" s="337"/>
      <c r="AP59" s="49"/>
      <c r="AQ59" s="49"/>
      <c r="AR59" s="488"/>
      <c r="AS59" s="489"/>
      <c r="AT59" s="488"/>
      <c r="AU59" s="489"/>
      <c r="AV59" s="489"/>
      <c r="AW59" s="489"/>
      <c r="AX59" s="488"/>
      <c r="AY59" s="489"/>
      <c r="AZ59" s="489"/>
      <c r="BA59" s="489"/>
      <c r="BB59" s="566">
        <f t="shared" si="8"/>
        <v>0</v>
      </c>
      <c r="BC59" s="563">
        <f t="shared" si="7"/>
        <v>0</v>
      </c>
    </row>
    <row r="60" spans="1:55">
      <c r="A60" s="470" t="s">
        <v>52</v>
      </c>
      <c r="B60" s="471" t="s">
        <v>420</v>
      </c>
      <c r="C60" s="471" t="str">
        <f t="shared" si="5"/>
        <v>Tarlac, Mayantoc</v>
      </c>
      <c r="D60" s="470" t="s">
        <v>89</v>
      </c>
      <c r="E60" s="472" t="s">
        <v>243</v>
      </c>
      <c r="F60" s="49">
        <v>15.6188757</v>
      </c>
      <c r="G60" s="49">
        <v>120.3781159</v>
      </c>
      <c r="H60" s="473" t="str">
        <f t="shared" si="6"/>
        <v>15.6188757,120.3781159</v>
      </c>
      <c r="I60" s="473" t="s">
        <v>99</v>
      </c>
      <c r="J60" s="473" t="s">
        <v>421</v>
      </c>
      <c r="K60" s="49" t="s">
        <v>291</v>
      </c>
      <c r="L60" s="49">
        <v>2019</v>
      </c>
      <c r="M60" s="49">
        <v>2027</v>
      </c>
      <c r="N60" s="49"/>
      <c r="O60" s="49" t="s">
        <v>38</v>
      </c>
      <c r="P60" s="49"/>
      <c r="Q60" s="475" t="s">
        <v>28</v>
      </c>
      <c r="R60" s="473" t="s">
        <v>63</v>
      </c>
      <c r="S60" s="49"/>
      <c r="T60" s="337"/>
      <c r="U60" s="337"/>
      <c r="V60" s="337"/>
      <c r="W60" s="337"/>
      <c r="X60" s="49"/>
      <c r="Y60" s="476" t="str">
        <f>IFERROR(
    IF(
        OR(ISBLANK(T60), ISBLANK(U60)),
        "",
        MAX(
            1,
            IF(
                NETWORKDAYS(T60, U60, Holiday_Dates) &lt;= 0,
                1,
                NETWORKDAYS(T60, U60, Holiday_Dates) - IF(T60 = U60, 0, 1)
            )
        )
    ),
    ""
)</f>
        <v/>
      </c>
      <c r="Z60" s="476" t="str">
        <f>IF(
    OR(ISBLANK(U60), ISBLANK(V60)),
    "",
    MAX(
        1,
        IF(
            NETWORKDAYS(U60, V60, Holiday_Dates) &lt;= 0,
            1,
            NETWORKDAYS(U60, V60, Holiday_Dates) - IF(U60 = V60, 0, 1)
        )
    )
)</f>
        <v/>
      </c>
      <c r="AA60" s="476" t="str">
        <f>IFERROR(
    IF(
        OR(ISBLANK(W60), AND(ISBLANK(U60), ISBLANK(V60))),
        "",
        MAX(
            1,
            IF(
                NETWORKDAYS(IF(NOT(ISBLANK(V60)), V60, U60), W60, Holiday_Dates) &lt;= 0,
                1,
                NETWORKDAYS(IF(NOT(ISBLANK(V60)), V60, U60), W60, Holiday_Dates)
                - IF(IF(NOT(ISBLANK(V60)), V60, U60) = W60, 0, 1)
            )
        )
    ),
    ""
)</f>
        <v/>
      </c>
      <c r="AB60" s="476" t="str">
        <f>IFERROR(
    IF(
        OR(ISBLANK(W60), ISBLANK(X60)),
        "",
        MAX(
            1,
            IF(
                NETWORKDAYS(W60, X60, Holiday_Dates) &lt;= 0,
                1,
                NETWORKDAYS(W60, X60, Holiday_Dates) - IF(W60 = X60, 0, 1)
            )
        )
    ),
    ""
)</f>
        <v/>
      </c>
      <c r="AC60" s="339"/>
      <c r="AD60" s="49"/>
      <c r="AE60" s="508"/>
      <c r="AF60" s="49"/>
      <c r="AG60" s="339"/>
      <c r="AH60" s="478"/>
      <c r="AI60" s="49"/>
      <c r="AJ60" s="49"/>
      <c r="AK60" s="49"/>
      <c r="AL60" s="49"/>
      <c r="AM60" s="49"/>
      <c r="AN60" s="49"/>
      <c r="AO60" s="337"/>
      <c r="AP60" s="49"/>
      <c r="AQ60" s="49"/>
      <c r="AR60" s="488"/>
      <c r="AS60" s="489"/>
      <c r="AT60" s="488"/>
      <c r="AU60" s="489"/>
      <c r="AV60" s="489"/>
      <c r="AW60" s="489"/>
      <c r="AX60" s="489"/>
      <c r="AY60" s="489"/>
      <c r="AZ60" s="489"/>
      <c r="BA60" s="489"/>
      <c r="BB60" s="566">
        <f t="shared" si="8"/>
        <v>0</v>
      </c>
      <c r="BC60" s="563">
        <f t="shared" si="7"/>
        <v>0</v>
      </c>
    </row>
    <row r="61" spans="1:55">
      <c r="A61" s="470" t="s">
        <v>53</v>
      </c>
      <c r="B61" s="471" t="s">
        <v>422</v>
      </c>
      <c r="C61" s="471" t="str">
        <f t="shared" si="5"/>
        <v>Zambales, Iba</v>
      </c>
      <c r="D61" s="470" t="s">
        <v>89</v>
      </c>
      <c r="E61" s="470" t="s">
        <v>271</v>
      </c>
      <c r="F61" s="49">
        <v>15.327714</v>
      </c>
      <c r="G61" s="49">
        <v>119.976389</v>
      </c>
      <c r="H61" s="473" t="str">
        <f t="shared" si="6"/>
        <v>15.327714,119.976389</v>
      </c>
      <c r="I61" s="473" t="s">
        <v>99</v>
      </c>
      <c r="J61" s="339" t="s">
        <v>423</v>
      </c>
      <c r="K61" s="49" t="s">
        <v>233</v>
      </c>
      <c r="L61" s="49">
        <v>2021</v>
      </c>
      <c r="M61" s="49">
        <v>2029</v>
      </c>
      <c r="N61" s="49"/>
      <c r="O61" s="49" t="s">
        <v>41</v>
      </c>
      <c r="P61" s="49"/>
      <c r="Q61" s="475" t="s">
        <v>133</v>
      </c>
      <c r="R61" s="473" t="s">
        <v>63</v>
      </c>
      <c r="S61" s="472"/>
      <c r="T61" s="337"/>
      <c r="U61" s="337"/>
      <c r="V61" s="337"/>
      <c r="W61" s="337"/>
      <c r="X61" s="337"/>
      <c r="Y61" s="476" t="str">
        <f>IFERROR(
    IF(
        OR(ISBLANK(T61), ISBLANK(U61)),
        "",
        MAX(
            1,
            IF(
                NETWORKDAYS(T61, U61, Holiday_Dates) &lt;= 0,
                1,
                NETWORKDAYS(T61, U61, Holiday_Dates) - IF(T61 = U61, 0, 1)
            )
        )
    ),
    ""
)</f>
        <v/>
      </c>
      <c r="Z61" s="476" t="str">
        <f>IF(
    OR(ISBLANK(U61), ISBLANK(V61)),
    "",
    MAX(
        1,
        IF(
            NETWORKDAYS(U61, V61, Holiday_Dates) &lt;= 0,
            1,
            NETWORKDAYS(U61, V61, Holiday_Dates) - IF(U61 = V61, 0, 1)
        )
    )
)</f>
        <v/>
      </c>
      <c r="AA61" s="476" t="str">
        <f>IFERROR(
    IF(
        OR(ISBLANK(W61), AND(ISBLANK(U61), ISBLANK(V61))),
        "",
        MAX(
            1,
            IF(
                NETWORKDAYS(IF(NOT(ISBLANK(V61)), V61, U61), W61, Holiday_Dates) &lt;= 0,
                1,
                NETWORKDAYS(IF(NOT(ISBLANK(V61)), V61, U61), W61, Holiday_Dates)
                - IF(IF(NOT(ISBLANK(V61)), V61, U61) = W61, 0, 1)
            )
        )
    ),
    ""
)</f>
        <v/>
      </c>
      <c r="AB61" s="476" t="str">
        <f>IFERROR(
    IF(
        OR(ISBLANK(W61), ISBLANK(X61)),
        "",
        MAX(
            1,
            IF(
                NETWORKDAYS(W61, X61, Holiday_Dates) &lt;= 0,
                1,
                NETWORKDAYS(W61, X61, Holiday_Dates) - IF(W61 = X61, 0, 1)
            )
        )
    ),
    ""
)</f>
        <v/>
      </c>
      <c r="AC61" s="339"/>
      <c r="AD61" s="49"/>
      <c r="AE61" s="336"/>
      <c r="AF61" s="485"/>
      <c r="AG61" s="486"/>
      <c r="AH61" s="478"/>
      <c r="AI61" s="49"/>
      <c r="AJ61" s="49"/>
      <c r="AK61" s="49"/>
      <c r="AL61" s="49"/>
      <c r="AM61" s="49"/>
      <c r="AN61" s="49"/>
      <c r="AO61" s="337"/>
      <c r="AP61" s="49"/>
      <c r="AQ61" s="49"/>
      <c r="AR61" s="488"/>
      <c r="AS61" s="489"/>
      <c r="AT61" s="488"/>
      <c r="AU61" s="489"/>
      <c r="AV61" s="488"/>
      <c r="AW61" s="489"/>
      <c r="AX61" s="488"/>
      <c r="AY61" s="489"/>
      <c r="AZ61" s="489"/>
      <c r="BA61" s="489"/>
      <c r="BB61" s="566">
        <f t="shared" si="8"/>
        <v>0</v>
      </c>
      <c r="BC61" s="563">
        <f t="shared" si="7"/>
        <v>0</v>
      </c>
    </row>
    <row r="62" spans="1:55">
      <c r="A62" s="470" t="s">
        <v>52</v>
      </c>
      <c r="B62" s="471" t="s">
        <v>424</v>
      </c>
      <c r="C62" s="471" t="str">
        <f t="shared" si="5"/>
        <v>Tarlac, Paniqui</v>
      </c>
      <c r="D62" s="470" t="s">
        <v>89</v>
      </c>
      <c r="E62" s="472" t="s">
        <v>243</v>
      </c>
      <c r="F62" s="49">
        <v>15.667913799999999</v>
      </c>
      <c r="G62" s="49">
        <v>120.5777846</v>
      </c>
      <c r="H62" s="473" t="str">
        <f t="shared" si="6"/>
        <v>15.6679138,120.5777846</v>
      </c>
      <c r="I62" s="473" t="s">
        <v>99</v>
      </c>
      <c r="J62" s="339" t="s">
        <v>425</v>
      </c>
      <c r="K62" s="49" t="s">
        <v>426</v>
      </c>
      <c r="L62" s="49">
        <v>2019</v>
      </c>
      <c r="M62" s="49">
        <v>2028</v>
      </c>
      <c r="N62" s="49"/>
      <c r="O62" s="49" t="s">
        <v>37</v>
      </c>
      <c r="P62" s="49"/>
      <c r="Q62" s="475" t="s">
        <v>28</v>
      </c>
      <c r="R62" s="49" t="s">
        <v>63</v>
      </c>
      <c r="S62" s="49"/>
      <c r="T62" s="337"/>
      <c r="U62" s="337"/>
      <c r="V62" s="337"/>
      <c r="W62" s="337"/>
      <c r="X62" s="337"/>
      <c r="Y62" s="476" t="str">
        <f>IFERROR(
    IF(
        OR(ISBLANK(T62), ISBLANK(U62)),
        "",
        MAX(
            1,
            IF(
                NETWORKDAYS(T62, U62, Holiday_Dates) &lt;= 0,
                1,
                NETWORKDAYS(T62, U62, Holiday_Dates) - IF(T62 = U62, 0, 1)
            )
        )
    ),
    ""
)</f>
        <v/>
      </c>
      <c r="Z62" s="476" t="str">
        <f>IF(
    OR(ISBLANK(U62), ISBLANK(V62)),
    "",
    MAX(
        1,
        IF(
            NETWORKDAYS(U62, V62, Holiday_Dates) &lt;= 0,
            1,
            NETWORKDAYS(U62, V62, Holiday_Dates) - IF(U62 = V62, 0, 1)
        )
    )
)</f>
        <v/>
      </c>
      <c r="AA62" s="476" t="str">
        <f>IFERROR(
    IF(
        OR(ISBLANK(W62), AND(ISBLANK(U62), ISBLANK(V62))),
        "",
        MAX(
            1,
            IF(
                NETWORKDAYS(IF(NOT(ISBLANK(V62)), V62, U62), W62, Holiday_Dates) &lt;= 0,
                1,
                NETWORKDAYS(IF(NOT(ISBLANK(V62)), V62, U62), W62, Holiday_Dates)
                - IF(IF(NOT(ISBLANK(V62)), V62, U62) = W62, 0, 1)
            )
        )
    ),
    ""
)</f>
        <v/>
      </c>
      <c r="AB62" s="476" t="str">
        <f>IFERROR(
    IF(
        OR(ISBLANK(W62), ISBLANK(X62)),
        "",
        MAX(
            1,
            IF(
                NETWORKDAYS(W62, X62, Holiday_Dates) &lt;= 0,
                1,
                NETWORKDAYS(W62, X62, Holiday_Dates) - IF(W62 = X62, 0, 1)
            )
        )
    ),
    ""
)</f>
        <v/>
      </c>
      <c r="AC62" s="339"/>
      <c r="AD62" s="49"/>
      <c r="AE62" s="336"/>
      <c r="AF62" s="49"/>
      <c r="AG62" s="339"/>
      <c r="AH62" s="478"/>
      <c r="AI62" s="49"/>
      <c r="AJ62" s="49"/>
      <c r="AK62" s="49"/>
      <c r="AL62" s="49"/>
      <c r="AM62" s="49"/>
      <c r="AN62" s="49"/>
      <c r="AO62" s="337"/>
      <c r="AP62" s="49"/>
      <c r="AQ62" s="49"/>
      <c r="AR62" s="488"/>
      <c r="AS62" s="489"/>
      <c r="AT62" s="488"/>
      <c r="AU62" s="489"/>
      <c r="AV62" s="488"/>
      <c r="AW62" s="489"/>
      <c r="AX62" s="488"/>
      <c r="AY62" s="489"/>
      <c r="AZ62" s="488"/>
      <c r="BA62" s="489"/>
      <c r="BB62" s="566">
        <f t="shared" si="8"/>
        <v>0</v>
      </c>
      <c r="BC62" s="563">
        <f t="shared" si="7"/>
        <v>0</v>
      </c>
    </row>
    <row r="63" spans="1:55">
      <c r="A63" s="470" t="s">
        <v>52</v>
      </c>
      <c r="B63" s="471" t="s">
        <v>427</v>
      </c>
      <c r="C63" s="471" t="str">
        <f t="shared" si="5"/>
        <v>Tarlac, San Jose</v>
      </c>
      <c r="D63" s="470" t="s">
        <v>89</v>
      </c>
      <c r="E63" s="472" t="s">
        <v>271</v>
      </c>
      <c r="F63" s="49">
        <v>15.477382</v>
      </c>
      <c r="G63" s="49">
        <v>120.463888</v>
      </c>
      <c r="H63" s="473" t="str">
        <f t="shared" si="6"/>
        <v>15.477382,120.463888</v>
      </c>
      <c r="I63" s="473" t="s">
        <v>99</v>
      </c>
      <c r="J63" s="339" t="s">
        <v>428</v>
      </c>
      <c r="K63" s="49" t="s">
        <v>429</v>
      </c>
      <c r="L63" s="49">
        <v>2019</v>
      </c>
      <c r="M63" s="49">
        <v>2027</v>
      </c>
      <c r="N63" s="49"/>
      <c r="O63" s="49" t="s">
        <v>39</v>
      </c>
      <c r="P63" s="49"/>
      <c r="Q63" s="475" t="s">
        <v>28</v>
      </c>
      <c r="R63" s="49" t="s">
        <v>63</v>
      </c>
      <c r="S63" s="49"/>
      <c r="T63" s="337"/>
      <c r="U63" s="337"/>
      <c r="V63" s="337"/>
      <c r="W63" s="337"/>
      <c r="X63" s="337"/>
      <c r="Y63" s="476" t="str">
        <f>IFERROR(
    IF(
        OR(ISBLANK(T63), ISBLANK(U63)),
        "",
        MAX(
            1,
            IF(
                NETWORKDAYS(T63, U63, Holiday_Dates) &lt;= 0,
                1,
                NETWORKDAYS(T63, U63, Holiday_Dates) - IF(T63 = U63, 0, 1)
            )
        )
    ),
    ""
)</f>
        <v/>
      </c>
      <c r="Z63" s="476" t="str">
        <f>IF(
    OR(ISBLANK(U63), ISBLANK(V63)),
    "",
    MAX(
        1,
        IF(
            NETWORKDAYS(U63, V63, Holiday_Dates) &lt;= 0,
            1,
            NETWORKDAYS(U63, V63, Holiday_Dates) - IF(U63 = V63, 0, 1)
        )
    )
)</f>
        <v/>
      </c>
      <c r="AA63" s="476" t="str">
        <f>IFERROR(
    IF(
        OR(ISBLANK(W63), AND(ISBLANK(U63), ISBLANK(V63))),
        "",
        MAX(
            1,
            IF(
                NETWORKDAYS(IF(NOT(ISBLANK(V63)), V63, U63), W63, Holiday_Dates) &lt;= 0,
                1,
                NETWORKDAYS(IF(NOT(ISBLANK(V63)), V63, U63), W63, Holiday_Dates)
                - IF(IF(NOT(ISBLANK(V63)), V63, U63) = W63, 0, 1)
            )
        )
    ),
    ""
)</f>
        <v/>
      </c>
      <c r="AB63" s="476" t="str">
        <f>IFERROR(
    IF(
        OR(ISBLANK(W63), ISBLANK(X63)),
        "",
        MAX(
            1,
            IF(
                NETWORKDAYS(W63, X63, Holiday_Dates) &lt;= 0,
                1,
                NETWORKDAYS(W63, X63, Holiday_Dates) - IF(W63 = X63, 0, 1)
            )
        )
    ),
    ""
)</f>
        <v/>
      </c>
      <c r="AC63" s="339"/>
      <c r="AD63" s="49"/>
      <c r="AE63" s="336"/>
      <c r="AF63" s="477"/>
      <c r="AG63" s="472"/>
      <c r="AH63" s="478"/>
      <c r="AI63" s="49"/>
      <c r="AJ63" s="49"/>
      <c r="AK63" s="49"/>
      <c r="AL63" s="49"/>
      <c r="AM63" s="49"/>
      <c r="AN63" s="49"/>
      <c r="AO63" s="337"/>
      <c r="AP63" s="49"/>
      <c r="AQ63" s="49"/>
      <c r="AR63" s="488"/>
      <c r="AS63" s="489"/>
      <c r="AT63" s="488"/>
      <c r="AU63" s="489"/>
      <c r="AV63" s="489"/>
      <c r="AW63" s="489"/>
      <c r="AX63" s="489"/>
      <c r="AY63" s="489"/>
      <c r="AZ63" s="489"/>
      <c r="BA63" s="489"/>
      <c r="BB63" s="566">
        <f t="shared" si="8"/>
        <v>0</v>
      </c>
      <c r="BC63" s="563">
        <f t="shared" si="7"/>
        <v>0</v>
      </c>
    </row>
    <row r="64" spans="1:55">
      <c r="A64" s="470" t="s">
        <v>52</v>
      </c>
      <c r="B64" s="471" t="s">
        <v>430</v>
      </c>
      <c r="C64" s="471" t="str">
        <f t="shared" si="5"/>
        <v>Tarlac, Anao</v>
      </c>
      <c r="D64" s="470" t="s">
        <v>89</v>
      </c>
      <c r="E64" s="472" t="s">
        <v>243</v>
      </c>
      <c r="F64" s="49">
        <v>15.730195999999999</v>
      </c>
      <c r="G64" s="49">
        <v>120.6265988</v>
      </c>
      <c r="H64" s="473" t="str">
        <f t="shared" si="6"/>
        <v>15.730196,120.6265988</v>
      </c>
      <c r="I64" s="473" t="s">
        <v>99</v>
      </c>
      <c r="J64" s="473" t="s">
        <v>431</v>
      </c>
      <c r="K64" s="49" t="s">
        <v>252</v>
      </c>
      <c r="L64" s="49">
        <v>2018</v>
      </c>
      <c r="M64" s="49">
        <v>2027</v>
      </c>
      <c r="N64" s="49"/>
      <c r="O64" s="49" t="s">
        <v>38</v>
      </c>
      <c r="P64" s="49"/>
      <c r="Q64" s="475" t="s">
        <v>28</v>
      </c>
      <c r="R64" s="49" t="s">
        <v>64</v>
      </c>
      <c r="S64" s="49"/>
      <c r="T64" s="337"/>
      <c r="U64" s="337"/>
      <c r="V64" s="337"/>
      <c r="W64" s="337"/>
      <c r="X64" s="337"/>
      <c r="Y64" s="476" t="str">
        <f>IFERROR(
    IF(
        OR(ISBLANK(T64), ISBLANK(U64)),
        "",
        MAX(
            1,
            IF(
                NETWORKDAYS(T64, U64, Holiday_Dates) &lt;= 0,
                1,
                NETWORKDAYS(T64, U64, Holiday_Dates) - IF(T64 = U64, 0, 1)
            )
        )
    ),
    ""
)</f>
        <v/>
      </c>
      <c r="Z64" s="476" t="str">
        <f>IF(
    OR(ISBLANK(U64), ISBLANK(V64)),
    "",
    MAX(
        1,
        IF(
            NETWORKDAYS(U64, V64, Holiday_Dates) &lt;= 0,
            1,
            NETWORKDAYS(U64, V64, Holiday_Dates) - IF(U64 = V64, 0, 1)
        )
    )
)</f>
        <v/>
      </c>
      <c r="AA64" s="476" t="str">
        <f>IFERROR(
    IF(
        OR(ISBLANK(W64), AND(ISBLANK(U64), ISBLANK(V64))),
        "",
        MAX(
            1,
            IF(
                NETWORKDAYS(IF(NOT(ISBLANK(V64)), V64, U64), W64, Holiday_Dates) &lt;= 0,
                1,
                NETWORKDAYS(IF(NOT(ISBLANK(V64)), V64, U64), W64, Holiday_Dates)
                - IF(IF(NOT(ISBLANK(V64)), V64, U64) = W64, 0, 1)
            )
        )
    ),
    ""
)</f>
        <v/>
      </c>
      <c r="AB64" s="476" t="str">
        <f>IFERROR(
    IF(
        OR(ISBLANK(W64), ISBLANK(X64)),
        "",
        MAX(
            1,
            IF(
                NETWORKDAYS(W64, X64, Holiday_Dates) &lt;= 0,
                1,
                NETWORKDAYS(W64, X64, Holiday_Dates) - IF(W64 = X64, 0, 1)
            )
        )
    ),
    ""
)</f>
        <v/>
      </c>
      <c r="AC64" s="339"/>
      <c r="AD64" s="49"/>
      <c r="AE64" s="336"/>
      <c r="AF64" s="49"/>
      <c r="AG64" s="339"/>
      <c r="AH64" s="478"/>
      <c r="AI64" s="49"/>
      <c r="AJ64" s="49"/>
      <c r="AK64" s="49"/>
      <c r="AL64" s="49"/>
      <c r="AM64" s="49"/>
      <c r="AN64" s="49"/>
      <c r="AO64" s="337"/>
      <c r="AP64" s="49"/>
      <c r="AQ64" s="49"/>
      <c r="AR64" s="488"/>
      <c r="AS64" s="489"/>
      <c r="AT64" s="489"/>
      <c r="AU64" s="489"/>
      <c r="AV64" s="489"/>
      <c r="AW64" s="489"/>
      <c r="AX64" s="489"/>
      <c r="AY64" s="489"/>
      <c r="AZ64" s="489"/>
      <c r="BA64" s="489"/>
      <c r="BB64" s="566">
        <f t="shared" si="8"/>
        <v>0</v>
      </c>
      <c r="BC64" s="563">
        <f t="shared" si="7"/>
        <v>0</v>
      </c>
    </row>
    <row r="65" spans="1:55">
      <c r="A65" s="470" t="s">
        <v>48</v>
      </c>
      <c r="B65" s="471" t="s">
        <v>432</v>
      </c>
      <c r="C65" s="471" t="str">
        <f t="shared" si="5"/>
        <v>Bataan, Samal</v>
      </c>
      <c r="D65" s="470" t="s">
        <v>88</v>
      </c>
      <c r="E65" s="472" t="s">
        <v>243</v>
      </c>
      <c r="F65" s="472">
        <v>14.768971000000001</v>
      </c>
      <c r="G65" s="472">
        <v>120.542407</v>
      </c>
      <c r="H65" s="473" t="str">
        <f t="shared" si="6"/>
        <v>14.768971,120.542407</v>
      </c>
      <c r="I65" s="473" t="s">
        <v>99</v>
      </c>
      <c r="J65" s="473" t="s">
        <v>433</v>
      </c>
      <c r="K65" s="472" t="s">
        <v>261</v>
      </c>
      <c r="L65" s="472">
        <v>2017</v>
      </c>
      <c r="M65" s="472">
        <v>2024</v>
      </c>
      <c r="N65" s="49" t="s">
        <v>170</v>
      </c>
      <c r="O65" s="472" t="s">
        <v>217</v>
      </c>
      <c r="P65" s="472"/>
      <c r="Q65" s="475" t="s">
        <v>129</v>
      </c>
      <c r="R65" s="473" t="s">
        <v>64</v>
      </c>
      <c r="S65" s="472"/>
      <c r="T65" s="337"/>
      <c r="U65" s="337"/>
      <c r="V65" s="337"/>
      <c r="W65" s="337"/>
      <c r="X65" s="337"/>
      <c r="Y65" s="476" t="str">
        <f>IFERROR(
    IF(
        OR(ISBLANK(T65), ISBLANK(U65)),
        "",
        MAX(
            1,
            IF(
                NETWORKDAYS(T65, U65, Holiday_Dates) &lt;= 0,
                1,
                NETWORKDAYS(T65, U65, Holiday_Dates) - IF(T65 = U65, 0, 1)
            )
        )
    ),
    ""
)</f>
        <v/>
      </c>
      <c r="Z65" s="476" t="str">
        <f>IF(
    OR(ISBLANK(U65), ISBLANK(V65)),
    "",
    MAX(
        1,
        IF(
            NETWORKDAYS(U65, V65, Holiday_Dates) &lt;= 0,
            1,
            NETWORKDAYS(U65, V65, Holiday_Dates) - IF(U65 = V65, 0, 1)
        )
    )
)</f>
        <v/>
      </c>
      <c r="AA65" s="476" t="str">
        <f>IFERROR(
    IF(
        OR(ISBLANK(W65), AND(ISBLANK(U65), ISBLANK(V65))),
        "",
        MAX(
            1,
            IF(
                NETWORKDAYS(IF(NOT(ISBLANK(V65)), V65, U65), W65, Holiday_Dates) &lt;= 0,
                1,
                NETWORKDAYS(IF(NOT(ISBLANK(V65)), V65, U65), W65, Holiday_Dates)
                - IF(IF(NOT(ISBLANK(V65)), V65, U65) = W65, 0, 1)
            )
        )
    ),
    ""
)</f>
        <v/>
      </c>
      <c r="AB65" s="476" t="str">
        <f>IFERROR(
    IF(
        OR(ISBLANK(W65), ISBLANK(X65)),
        "",
        MAX(
            1,
            IF(
                NETWORKDAYS(W65, X65, Holiday_Dates) &lt;= 0,
                1,
                NETWORKDAYS(W65, X65, Holiday_Dates) - IF(W65 = X65, 0, 1)
            )
        )
    ),
    ""
)</f>
        <v/>
      </c>
      <c r="AC65" s="339"/>
      <c r="AD65" s="49"/>
      <c r="AE65" s="49"/>
      <c r="AF65" s="49"/>
      <c r="AG65" s="343"/>
      <c r="AH65" s="478"/>
      <c r="AI65" s="339"/>
      <c r="AJ65" s="339"/>
      <c r="AK65" s="339"/>
      <c r="AL65" s="339"/>
      <c r="AM65" s="339"/>
      <c r="AN65" s="339"/>
      <c r="AO65" s="337"/>
      <c r="AP65" s="473"/>
      <c r="AQ65" s="49"/>
      <c r="AR65" s="488"/>
      <c r="AS65" s="489"/>
      <c r="AT65" s="488"/>
      <c r="AU65" s="489"/>
      <c r="AV65" s="488"/>
      <c r="AW65" s="489"/>
      <c r="AX65" s="496"/>
      <c r="AY65" s="489"/>
      <c r="AZ65" s="495"/>
      <c r="BA65" s="489"/>
      <c r="BB65" s="566">
        <f t="shared" si="8"/>
        <v>0</v>
      </c>
      <c r="BC65" s="563">
        <f t="shared" si="7"/>
        <v>0</v>
      </c>
    </row>
    <row r="66" spans="1:55" ht="15.75">
      <c r="A66" s="470" t="s">
        <v>49</v>
      </c>
      <c r="B66" s="471" t="s">
        <v>434</v>
      </c>
      <c r="C66" s="471" t="str">
        <f t="shared" ref="C66:C97" si="9">CONCATENATE(A66,","," ",B66)</f>
        <v>Bulacan, Norzagaray</v>
      </c>
      <c r="D66" s="470" t="s">
        <v>88</v>
      </c>
      <c r="E66" s="470" t="s">
        <v>381</v>
      </c>
      <c r="F66" s="473">
        <v>14.905204080000001</v>
      </c>
      <c r="G66" s="473">
        <v>121.04231679999999</v>
      </c>
      <c r="H66" s="473" t="str">
        <f t="shared" ref="H66:H97" si="10">CONCATENATE(F66,",",G66)</f>
        <v>14.90520408,121.0423168</v>
      </c>
      <c r="I66" s="473" t="s">
        <v>99</v>
      </c>
      <c r="J66" s="473" t="s">
        <v>435</v>
      </c>
      <c r="K66" s="473" t="s">
        <v>436</v>
      </c>
      <c r="L66" s="473">
        <v>2019</v>
      </c>
      <c r="M66" s="473">
        <v>2028</v>
      </c>
      <c r="N66" s="473"/>
      <c r="O66" s="473" t="s">
        <v>227</v>
      </c>
      <c r="P66" s="473"/>
      <c r="Q66" s="475" t="s">
        <v>128</v>
      </c>
      <c r="R66" s="473" t="s">
        <v>64</v>
      </c>
      <c r="S66" s="472"/>
      <c r="T66" s="480"/>
      <c r="U66" s="480"/>
      <c r="V66" s="480"/>
      <c r="W66" s="480"/>
      <c r="X66" s="337"/>
      <c r="Y66" s="476" t="str">
        <f>IFERROR(
    IF(
        OR(ISBLANK(T66), ISBLANK(U66)),
        "",
        MAX(
            1,
            IF(
                NETWORKDAYS(T66, U66, Holiday_Dates) &lt;= 0,
                1,
                NETWORKDAYS(T66, U66, Holiday_Dates) - IF(T66 = U66, 0, 1)
            )
        )
    ),
    ""
)</f>
        <v/>
      </c>
      <c r="Z66" s="476" t="str">
        <f>IF(
    OR(ISBLANK(U66), ISBLANK(V66)),
    "",
    MAX(
        1,
        IF(
            NETWORKDAYS(U66, V66, Holiday_Dates) &lt;= 0,
            1,
            NETWORKDAYS(U66, V66, Holiday_Dates) - IF(U66 = V66, 0, 1)
        )
    )
)</f>
        <v/>
      </c>
      <c r="AA66" s="476" t="str">
        <f>IFERROR(
    IF(
        OR(ISBLANK(W66), AND(ISBLANK(U66), ISBLANK(V66))),
        "",
        MAX(
            1,
            IF(
                NETWORKDAYS(IF(NOT(ISBLANK(V66)), V66, U66), W66, Holiday_Dates) &lt;= 0,
                1,
                NETWORKDAYS(IF(NOT(ISBLANK(V66)), V66, U66), W66, Holiday_Dates)
                - IF(IF(NOT(ISBLANK(V66)), V66, U66) = W66, 0, 1)
            )
        )
    ),
    ""
)</f>
        <v/>
      </c>
      <c r="AB66" s="476" t="str">
        <f>IFERROR(
    IF(
        OR(ISBLANK(W66), ISBLANK(X66)),
        "",
        MAX(
            1,
            IF(
                NETWORKDAYS(W66, X66, Holiday_Dates) &lt;= 0,
                1,
                NETWORKDAYS(W66, X66, Holiday_Dates) - IF(W66 = X66, 0, 1)
            )
        )
    ),
    ""
)</f>
        <v/>
      </c>
      <c r="AC66" s="339"/>
      <c r="AD66" s="493"/>
      <c r="AE66" s="497"/>
      <c r="AF66" s="49"/>
      <c r="AG66" s="493"/>
      <c r="AH66" s="478"/>
      <c r="AI66" s="49"/>
      <c r="AJ66" s="49"/>
      <c r="AK66" s="49"/>
      <c r="AL66" s="49"/>
      <c r="AM66" s="339"/>
      <c r="AN66" s="49"/>
      <c r="AO66" s="480"/>
      <c r="AP66" s="473"/>
      <c r="AQ66" s="49"/>
      <c r="AR66" s="488"/>
      <c r="AS66" s="489"/>
      <c r="AT66" s="488"/>
      <c r="AU66" s="489"/>
      <c r="AV66" s="488"/>
      <c r="AW66" s="489"/>
      <c r="AX66" s="488"/>
      <c r="AY66" s="489"/>
      <c r="AZ66" s="489"/>
      <c r="BA66" s="489"/>
      <c r="BB66" s="566">
        <f t="shared" si="8"/>
        <v>0</v>
      </c>
      <c r="BC66" s="563">
        <f t="shared" ref="BC66:BC97" si="11">SUM(AS66,AU66,AW66)</f>
        <v>0</v>
      </c>
    </row>
    <row r="67" spans="1:55" ht="15.75">
      <c r="A67" s="470" t="s">
        <v>49</v>
      </c>
      <c r="B67" s="471" t="s">
        <v>437</v>
      </c>
      <c r="C67" s="471" t="str">
        <f t="shared" si="9"/>
        <v>Bulacan, Obando</v>
      </c>
      <c r="D67" s="470" t="s">
        <v>88</v>
      </c>
      <c r="E67" s="470" t="s">
        <v>224</v>
      </c>
      <c r="F67" s="473">
        <v>14.709363</v>
      </c>
      <c r="G67" s="473">
        <v>120.9374</v>
      </c>
      <c r="H67" s="473" t="str">
        <f t="shared" si="10"/>
        <v>14.709363,120.9374</v>
      </c>
      <c r="I67" s="473" t="s">
        <v>99</v>
      </c>
      <c r="J67" s="473" t="s">
        <v>438</v>
      </c>
      <c r="K67" s="473" t="s">
        <v>291</v>
      </c>
      <c r="L67" s="473">
        <v>2019</v>
      </c>
      <c r="M67" s="473">
        <v>2027</v>
      </c>
      <c r="N67" s="473"/>
      <c r="O67" s="473" t="s">
        <v>227</v>
      </c>
      <c r="P67" s="473"/>
      <c r="Q67" s="475" t="s">
        <v>128</v>
      </c>
      <c r="R67" s="472" t="s">
        <v>64</v>
      </c>
      <c r="S67" s="339"/>
      <c r="T67" s="480"/>
      <c r="U67" s="480"/>
      <c r="V67" s="480"/>
      <c r="W67" s="480"/>
      <c r="X67" s="337"/>
      <c r="Y67" s="476" t="str">
        <f>IFERROR(
    IF(
        OR(ISBLANK(T67), ISBLANK(U67)),
        "",
        MAX(
            1,
            IF(
                NETWORKDAYS(T67, U67, Holiday_Dates) &lt;= 0,
                1,
                NETWORKDAYS(T67, U67, Holiday_Dates) - IF(T67 = U67, 0, 1)
            )
        )
    ),
    ""
)</f>
        <v/>
      </c>
      <c r="Z67" s="476" t="str">
        <f>IF(
    OR(ISBLANK(U67), ISBLANK(V67)),
    "",
    MAX(
        1,
        IF(
            NETWORKDAYS(U67, V67, Holiday_Dates) &lt;= 0,
            1,
            NETWORKDAYS(U67, V67, Holiday_Dates) - IF(U67 = V67, 0, 1)
        )
    )
)</f>
        <v/>
      </c>
      <c r="AA67" s="476" t="str">
        <f>IFERROR(
    IF(
        OR(ISBLANK(W67), AND(ISBLANK(U67), ISBLANK(V67))),
        "",
        MAX(
            1,
            IF(
                NETWORKDAYS(IF(NOT(ISBLANK(V67)), V67, U67), W67, Holiday_Dates) &lt;= 0,
                1,
                NETWORKDAYS(IF(NOT(ISBLANK(V67)), V67, U67), W67, Holiday_Dates)
                - IF(IF(NOT(ISBLANK(V67)), V67, U67) = W67, 0, 1)
            )
        )
    ),
    ""
)</f>
        <v/>
      </c>
      <c r="AB67" s="476" t="str">
        <f>IFERROR(
    IF(
        OR(ISBLANK(W67), ISBLANK(X67)),
        "",
        MAX(
            1,
            IF(
                NETWORKDAYS(W67, X67, Holiday_Dates) &lt;= 0,
                1,
                NETWORKDAYS(W67, X67, Holiday_Dates) - IF(W67 = X67, 0, 1)
            )
        )
    ),
    ""
)</f>
        <v/>
      </c>
      <c r="AC67" s="339"/>
      <c r="AD67" s="49"/>
      <c r="AE67" s="497"/>
      <c r="AF67" s="49"/>
      <c r="AG67" s="339"/>
      <c r="AH67" s="478"/>
      <c r="AI67" s="339"/>
      <c r="AJ67" s="339"/>
      <c r="AK67" s="339"/>
      <c r="AL67" s="339"/>
      <c r="AM67" s="339"/>
      <c r="AN67" s="339"/>
      <c r="AO67" s="480"/>
      <c r="AP67" s="473"/>
      <c r="AQ67" s="49"/>
      <c r="AR67" s="488"/>
      <c r="AS67" s="489"/>
      <c r="AT67" s="488"/>
      <c r="AU67" s="489"/>
      <c r="AV67" s="488"/>
      <c r="AW67" s="489"/>
      <c r="AX67" s="488"/>
      <c r="AY67" s="489"/>
      <c r="AZ67" s="489"/>
      <c r="BA67" s="489"/>
      <c r="BB67" s="566">
        <f t="shared" si="8"/>
        <v>0</v>
      </c>
      <c r="BC67" s="563">
        <f t="shared" si="11"/>
        <v>0</v>
      </c>
    </row>
    <row r="68" spans="1:55">
      <c r="A68" s="470" t="s">
        <v>49</v>
      </c>
      <c r="B68" s="471" t="s">
        <v>439</v>
      </c>
      <c r="C68" s="471" t="str">
        <f t="shared" si="9"/>
        <v>Bulacan, San Ildefonso</v>
      </c>
      <c r="D68" s="470" t="s">
        <v>88</v>
      </c>
      <c r="E68" s="470" t="s">
        <v>213</v>
      </c>
      <c r="F68" s="473">
        <v>15.077943729999999</v>
      </c>
      <c r="G68" s="473">
        <v>120.9428805</v>
      </c>
      <c r="H68" s="473" t="str">
        <f t="shared" si="10"/>
        <v>15.07794373,120.9428805</v>
      </c>
      <c r="I68" s="473" t="s">
        <v>99</v>
      </c>
      <c r="J68" s="473">
        <v>1245</v>
      </c>
      <c r="K68" s="473" t="s">
        <v>291</v>
      </c>
      <c r="L68" s="473">
        <v>2019</v>
      </c>
      <c r="M68" s="473">
        <v>2027</v>
      </c>
      <c r="N68" s="473"/>
      <c r="O68" s="472" t="s">
        <v>377</v>
      </c>
      <c r="P68" s="472"/>
      <c r="Q68" s="475" t="s">
        <v>128</v>
      </c>
      <c r="R68" s="473" t="s">
        <v>64</v>
      </c>
      <c r="S68" s="473"/>
      <c r="T68" s="480"/>
      <c r="U68" s="480"/>
      <c r="V68" s="480"/>
      <c r="W68" s="480"/>
      <c r="X68" s="337"/>
      <c r="Y68" s="476" t="str">
        <f>IFERROR(
    IF(
        OR(ISBLANK(T68), ISBLANK(U68)),
        "",
        MAX(
            1,
            IF(
                NETWORKDAYS(T68, U68, Holiday_Dates) &lt;= 0,
                1,
                NETWORKDAYS(T68, U68, Holiday_Dates) - IF(T68 = U68, 0, 1)
            )
        )
    ),
    ""
)</f>
        <v/>
      </c>
      <c r="Z68" s="476" t="str">
        <f>IF(
    OR(ISBLANK(U68), ISBLANK(V68)),
    "",
    MAX(
        1,
        IF(
            NETWORKDAYS(U68, V68, Holiday_Dates) &lt;= 0,
            1,
            NETWORKDAYS(U68, V68, Holiday_Dates) - IF(U68 = V68, 0, 1)
        )
    )
)</f>
        <v/>
      </c>
      <c r="AA68" s="476" t="str">
        <f>IFERROR(
    IF(
        OR(ISBLANK(W68), AND(ISBLANK(U68), ISBLANK(V68))),
        "",
        MAX(
            1,
            IF(
                NETWORKDAYS(IF(NOT(ISBLANK(V68)), V68, U68), W68, Holiday_Dates) &lt;= 0,
                1,
                NETWORKDAYS(IF(NOT(ISBLANK(V68)), V68, U68), W68, Holiday_Dates)
                - IF(IF(NOT(ISBLANK(V68)), V68, U68) = W68, 0, 1)
            )
        )
    ),
    ""
)</f>
        <v/>
      </c>
      <c r="AB68" s="476" t="str">
        <f>IFERROR(
    IF(
        OR(ISBLANK(W68), ISBLANK(X68)),
        "",
        MAX(
            1,
            IF(
                NETWORKDAYS(W68, X68, Holiday_Dates) &lt;= 0,
                1,
                NETWORKDAYS(W68, X68, Holiday_Dates) - IF(W68 = X68, 0, 1)
            )
        )
    ),
    ""
)</f>
        <v/>
      </c>
      <c r="AC68" s="339"/>
      <c r="AD68" s="49"/>
      <c r="AE68" s="49"/>
      <c r="AF68" s="49"/>
      <c r="AG68" s="339"/>
      <c r="AH68" s="478"/>
      <c r="AI68" s="339"/>
      <c r="AJ68" s="339"/>
      <c r="AK68" s="339"/>
      <c r="AL68" s="339"/>
      <c r="AM68" s="339"/>
      <c r="AN68" s="339"/>
      <c r="AO68" s="480"/>
      <c r="AP68" s="473"/>
      <c r="AQ68" s="49"/>
      <c r="AR68" s="488"/>
      <c r="AS68" s="489"/>
      <c r="AT68" s="488"/>
      <c r="AU68" s="489"/>
      <c r="AV68" s="488"/>
      <c r="AW68" s="489"/>
      <c r="AX68" s="488"/>
      <c r="AY68" s="489"/>
      <c r="AZ68" s="488"/>
      <c r="BA68" s="489"/>
      <c r="BB68" s="566">
        <f t="shared" si="8"/>
        <v>0</v>
      </c>
      <c r="BC68" s="563">
        <f t="shared" si="11"/>
        <v>0</v>
      </c>
    </row>
    <row r="69" spans="1:55">
      <c r="A69" s="470" t="s">
        <v>49</v>
      </c>
      <c r="B69" s="471" t="s">
        <v>440</v>
      </c>
      <c r="C69" s="471" t="str">
        <f t="shared" si="9"/>
        <v>Bulacan, San Miguel</v>
      </c>
      <c r="D69" s="470" t="s">
        <v>88</v>
      </c>
      <c r="E69" s="470" t="s">
        <v>213</v>
      </c>
      <c r="F69" s="472">
        <v>15.140473999999999</v>
      </c>
      <c r="G69" s="472">
        <v>120.977422</v>
      </c>
      <c r="H69" s="473" t="str">
        <f t="shared" si="10"/>
        <v>15.140474,120.977422</v>
      </c>
      <c r="I69" s="473" t="s">
        <v>99</v>
      </c>
      <c r="J69" s="473" t="s">
        <v>441</v>
      </c>
      <c r="K69" s="472" t="s">
        <v>362</v>
      </c>
      <c r="L69" s="472">
        <v>2015</v>
      </c>
      <c r="M69" s="472">
        <v>2025</v>
      </c>
      <c r="N69" s="49" t="s">
        <v>170</v>
      </c>
      <c r="O69" s="472" t="s">
        <v>377</v>
      </c>
      <c r="P69" s="472"/>
      <c r="Q69" s="475" t="s">
        <v>128</v>
      </c>
      <c r="R69" s="473" t="s">
        <v>64</v>
      </c>
      <c r="S69" s="479"/>
      <c r="T69" s="487"/>
      <c r="U69" s="487"/>
      <c r="V69" s="487"/>
      <c r="W69" s="487"/>
      <c r="X69" s="337"/>
      <c r="Y69" s="476" t="str">
        <f>IFERROR(
    IF(
        OR(ISBLANK(T69), ISBLANK(U69)),
        "",
        MAX(
            1,
            IF(
                NETWORKDAYS(T69, U69, Holiday_Dates) &lt;= 0,
                1,
                NETWORKDAYS(T69, U69, Holiday_Dates) - IF(T69 = U69, 0, 1)
            )
        )
    ),
    ""
)</f>
        <v/>
      </c>
      <c r="Z69" s="476" t="str">
        <f>IF(
    OR(ISBLANK(U69), ISBLANK(V69)),
    "",
    MAX(
        1,
        IF(
            NETWORKDAYS(U69, V69, Holiday_Dates) &lt;= 0,
            1,
            NETWORKDAYS(U69, V69, Holiday_Dates) - IF(U69 = V69, 0, 1)
        )
    )
)</f>
        <v/>
      </c>
      <c r="AA69" s="476" t="str">
        <f>IFERROR(
    IF(
        OR(ISBLANK(W69), AND(ISBLANK(U69), ISBLANK(V69))),
        "",
        MAX(
            1,
            IF(
                NETWORKDAYS(IF(NOT(ISBLANK(V69)), V69, U69), W69, Holiday_Dates) &lt;= 0,
                1,
                NETWORKDAYS(IF(NOT(ISBLANK(V69)), V69, U69), W69, Holiday_Dates)
                - IF(IF(NOT(ISBLANK(V69)), V69, U69) = W69, 0, 1)
            )
        )
    ),
    ""
)</f>
        <v/>
      </c>
      <c r="AB69" s="476" t="str">
        <f>IFERROR(
    IF(
        OR(ISBLANK(W69), ISBLANK(X69)),
        "",
        MAX(
            1,
            IF(
                NETWORKDAYS(W69, X69, Holiday_Dates) &lt;= 0,
                1,
                NETWORKDAYS(W69, X69, Holiday_Dates) - IF(W69 = X69, 0, 1)
            )
        )
    ),
    ""
)</f>
        <v/>
      </c>
      <c r="AC69" s="339"/>
      <c r="AD69" s="49"/>
      <c r="AE69" s="49"/>
      <c r="AF69" s="49"/>
      <c r="AG69" s="339"/>
      <c r="AH69" s="478"/>
      <c r="AI69" s="339"/>
      <c r="AJ69" s="339"/>
      <c r="AK69" s="339"/>
      <c r="AL69" s="339"/>
      <c r="AM69" s="339"/>
      <c r="AN69" s="339"/>
      <c r="AO69" s="487"/>
      <c r="AP69" s="473"/>
      <c r="AQ69" s="49"/>
      <c r="AR69" s="488"/>
      <c r="AS69" s="489"/>
      <c r="AT69" s="488"/>
      <c r="AU69" s="489"/>
      <c r="AV69" s="488"/>
      <c r="AW69" s="489"/>
      <c r="AX69" s="488"/>
      <c r="AY69" s="489"/>
      <c r="AZ69" s="489"/>
      <c r="BA69" s="489"/>
      <c r="BB69" s="566">
        <f t="shared" si="8"/>
        <v>0</v>
      </c>
      <c r="BC69" s="563">
        <f t="shared" si="11"/>
        <v>0</v>
      </c>
    </row>
    <row r="70" spans="1:55">
      <c r="A70" s="470" t="s">
        <v>50</v>
      </c>
      <c r="B70" s="471" t="s">
        <v>442</v>
      </c>
      <c r="C70" s="471" t="str">
        <f t="shared" si="9"/>
        <v>Nueva Ecija, City Of Gapan</v>
      </c>
      <c r="D70" s="470" t="s">
        <v>88</v>
      </c>
      <c r="E70" s="470" t="s">
        <v>224</v>
      </c>
      <c r="F70" s="473">
        <v>15.293716</v>
      </c>
      <c r="G70" s="473">
        <v>120.948601</v>
      </c>
      <c r="H70" s="473" t="str">
        <f t="shared" si="10"/>
        <v>15.293716,120.948601</v>
      </c>
      <c r="I70" s="473" t="s">
        <v>99</v>
      </c>
      <c r="J70" s="473" t="s">
        <v>443</v>
      </c>
      <c r="K70" s="473" t="s">
        <v>297</v>
      </c>
      <c r="L70" s="473">
        <v>2018</v>
      </c>
      <c r="M70" s="473">
        <v>2026</v>
      </c>
      <c r="N70" s="473"/>
      <c r="O70" s="473" t="s">
        <v>30</v>
      </c>
      <c r="P70" s="473"/>
      <c r="Q70" s="475" t="s">
        <v>130</v>
      </c>
      <c r="R70" s="473" t="s">
        <v>64</v>
      </c>
      <c r="S70" s="473"/>
      <c r="T70" s="480"/>
      <c r="U70" s="480"/>
      <c r="V70" s="480"/>
      <c r="W70" s="480"/>
      <c r="X70" s="482"/>
      <c r="Y70" s="476" t="str">
        <f>IFERROR(
    IF(
        OR(ISBLANK(T70), ISBLANK(U70)),
        "",
        MAX(
            1,
            IF(
                NETWORKDAYS(T70, U70, Holiday_Dates) &lt;= 0,
                1,
                NETWORKDAYS(T70, U70, Holiday_Dates) - IF(T70 = U70, 0, 1)
            )
        )
    ),
    ""
)</f>
        <v/>
      </c>
      <c r="Z70" s="476" t="str">
        <f>IF(
    OR(ISBLANK(U70), ISBLANK(V70)),
    "",
    MAX(
        1,
        IF(
            NETWORKDAYS(U70, V70, Holiday_Dates) &lt;= 0,
            1,
            NETWORKDAYS(U70, V70, Holiday_Dates) - IF(U70 = V70, 0, 1)
        )
    )
)</f>
        <v/>
      </c>
      <c r="AA70" s="476" t="str">
        <f>IFERROR(
    IF(
        OR(ISBLANK(W70), AND(ISBLANK(U70), ISBLANK(V70))),
        "",
        MAX(
            1,
            IF(
                NETWORKDAYS(IF(NOT(ISBLANK(V70)), V70, U70), W70, Holiday_Dates) &lt;= 0,
                1,
                NETWORKDAYS(IF(NOT(ISBLANK(V70)), V70, U70), W70, Holiday_Dates)
                - IF(IF(NOT(ISBLANK(V70)), V70, U70) = W70, 0, 1)
            )
        )
    ),
    ""
)</f>
        <v/>
      </c>
      <c r="AB70" s="476" t="str">
        <f>IFERROR(
    IF(
        OR(ISBLANK(W70), ISBLANK(X70)),
        "",
        MAX(
            1,
            IF(
                NETWORKDAYS(W70, X70, Holiday_Dates) &lt;= 0,
                1,
                NETWORKDAYS(W70, X70, Holiday_Dates) - IF(W70 = X70, 0, 1)
            )
        )
    ),
    ""
)</f>
        <v/>
      </c>
      <c r="AC70" s="339"/>
      <c r="AD70" s="49"/>
      <c r="AE70" s="336"/>
      <c r="AF70" s="49"/>
      <c r="AG70" s="339"/>
      <c r="AH70" s="478"/>
      <c r="AI70" s="339"/>
      <c r="AJ70" s="339"/>
      <c r="AK70" s="339"/>
      <c r="AL70" s="339"/>
      <c r="AM70" s="339"/>
      <c r="AN70" s="339"/>
      <c r="AO70" s="337"/>
      <c r="AP70" s="473"/>
      <c r="AQ70" s="49"/>
      <c r="AR70" s="488"/>
      <c r="AS70" s="489"/>
      <c r="AT70" s="488"/>
      <c r="AU70" s="489"/>
      <c r="AV70" s="488"/>
      <c r="AW70" s="489"/>
      <c r="AX70" s="488"/>
      <c r="AY70" s="489"/>
      <c r="AZ70" s="489"/>
      <c r="BA70" s="489"/>
      <c r="BB70" s="566">
        <f t="shared" si="8"/>
        <v>0</v>
      </c>
      <c r="BC70" s="563">
        <f t="shared" si="11"/>
        <v>0</v>
      </c>
    </row>
    <row r="71" spans="1:55">
      <c r="A71" s="470" t="s">
        <v>50</v>
      </c>
      <c r="B71" s="471" t="s">
        <v>444</v>
      </c>
      <c r="C71" s="471" t="str">
        <f t="shared" si="9"/>
        <v>Nueva Ecija, Rizal</v>
      </c>
      <c r="D71" s="470" t="s">
        <v>88</v>
      </c>
      <c r="E71" s="470" t="s">
        <v>271</v>
      </c>
      <c r="F71" s="49">
        <v>15.707877</v>
      </c>
      <c r="G71" s="49">
        <v>121.101882</v>
      </c>
      <c r="H71" s="473" t="str">
        <f t="shared" si="10"/>
        <v>15.707877,121.101882</v>
      </c>
      <c r="I71" s="473" t="s">
        <v>99</v>
      </c>
      <c r="J71" s="473" t="s">
        <v>445</v>
      </c>
      <c r="K71" s="49" t="s">
        <v>291</v>
      </c>
      <c r="L71" s="49">
        <v>2019</v>
      </c>
      <c r="M71" s="49">
        <v>2027</v>
      </c>
      <c r="N71" s="49"/>
      <c r="O71" s="49" t="s">
        <v>26</v>
      </c>
      <c r="P71" s="49"/>
      <c r="Q71" s="475" t="s">
        <v>130</v>
      </c>
      <c r="R71" s="473" t="s">
        <v>64</v>
      </c>
      <c r="S71" s="49"/>
      <c r="T71" s="337"/>
      <c r="U71" s="337"/>
      <c r="V71" s="337"/>
      <c r="W71" s="337"/>
      <c r="X71" s="49"/>
      <c r="Y71" s="476" t="str">
        <f>IFERROR(
    IF(
        OR(ISBLANK(T71), ISBLANK(U71)),
        "",
        MAX(
            1,
            IF(
                NETWORKDAYS(T71, U71, Holiday_Dates) &lt;= 0,
                1,
                NETWORKDAYS(T71, U71, Holiday_Dates) - IF(T71 = U71, 0, 1)
            )
        )
    ),
    ""
)</f>
        <v/>
      </c>
      <c r="Z71" s="476" t="str">
        <f>IF(
    OR(ISBLANK(U71), ISBLANK(V71)),
    "",
    MAX(
        1,
        IF(
            NETWORKDAYS(U71, V71, Holiday_Dates) &lt;= 0,
            1,
            NETWORKDAYS(U71, V71, Holiday_Dates) - IF(U71 = V71, 0, 1)
        )
    )
)</f>
        <v/>
      </c>
      <c r="AA71" s="476" t="str">
        <f>IFERROR(
    IF(
        OR(ISBLANK(W71), AND(ISBLANK(U71), ISBLANK(V71))),
        "",
        MAX(
            1,
            IF(
                NETWORKDAYS(IF(NOT(ISBLANK(V71)), V71, U71), W71, Holiday_Dates) &lt;= 0,
                1,
                NETWORKDAYS(IF(NOT(ISBLANK(V71)), V71, U71), W71, Holiday_Dates)
                - IF(IF(NOT(ISBLANK(V71)), V71, U71) = W71, 0, 1)
            )
        )
    ),
    ""
)</f>
        <v/>
      </c>
      <c r="AB71" s="476" t="str">
        <f>IFERROR(
    IF(
        OR(ISBLANK(W71), ISBLANK(X71)),
        "",
        MAX(
            1,
            IF(
                NETWORKDAYS(W71, X71, Holiday_Dates) &lt;= 0,
                1,
                NETWORKDAYS(W71, X71, Holiday_Dates) - IF(W71 = X71, 0, 1)
            )
        )
    ),
    ""
)</f>
        <v/>
      </c>
      <c r="AC71" s="339"/>
      <c r="AD71" s="49"/>
      <c r="AE71" s="49"/>
      <c r="AF71" s="49"/>
      <c r="AG71" s="339"/>
      <c r="AH71" s="478"/>
      <c r="AI71" s="49"/>
      <c r="AJ71" s="49"/>
      <c r="AK71" s="49"/>
      <c r="AL71" s="49"/>
      <c r="AM71" s="49"/>
      <c r="AN71" s="49"/>
      <c r="AO71" s="337"/>
      <c r="AP71" s="49"/>
      <c r="AQ71" s="49"/>
      <c r="AR71" s="488"/>
      <c r="AS71" s="489"/>
      <c r="AT71" s="488"/>
      <c r="AU71" s="489"/>
      <c r="AV71" s="488"/>
      <c r="AW71" s="489"/>
      <c r="AX71" s="488"/>
      <c r="AY71" s="489"/>
      <c r="AZ71" s="489"/>
      <c r="BA71" s="489"/>
      <c r="BB71" s="566">
        <f t="shared" si="8"/>
        <v>0</v>
      </c>
      <c r="BC71" s="563">
        <f t="shared" si="11"/>
        <v>0</v>
      </c>
    </row>
    <row r="72" spans="1:55">
      <c r="A72" s="470" t="s">
        <v>50</v>
      </c>
      <c r="B72" s="471" t="s">
        <v>446</v>
      </c>
      <c r="C72" s="471" t="str">
        <f t="shared" si="9"/>
        <v>Nueva Ecija, Talavera</v>
      </c>
      <c r="D72" s="470" t="s">
        <v>88</v>
      </c>
      <c r="E72" s="470" t="s">
        <v>243</v>
      </c>
      <c r="F72" s="49">
        <v>15.584241</v>
      </c>
      <c r="G72" s="49">
        <v>120.918404</v>
      </c>
      <c r="H72" s="473" t="str">
        <f t="shared" si="10"/>
        <v>15.584241,120.918404</v>
      </c>
      <c r="I72" s="473" t="s">
        <v>99</v>
      </c>
      <c r="J72" s="473" t="s">
        <v>447</v>
      </c>
      <c r="K72" s="49" t="s">
        <v>297</v>
      </c>
      <c r="L72" s="49">
        <v>2018</v>
      </c>
      <c r="M72" s="49">
        <v>2026</v>
      </c>
      <c r="N72" s="49"/>
      <c r="O72" s="49" t="s">
        <v>140</v>
      </c>
      <c r="P72" s="49"/>
      <c r="Q72" s="475" t="s">
        <v>130</v>
      </c>
      <c r="R72" s="473" t="s">
        <v>64</v>
      </c>
      <c r="S72" s="49"/>
      <c r="T72" s="337"/>
      <c r="U72" s="337"/>
      <c r="V72" s="337"/>
      <c r="W72" s="337"/>
      <c r="X72" s="337"/>
      <c r="Y72" s="476" t="str">
        <f>IFERROR(
    IF(
        OR(ISBLANK(T72), ISBLANK(U72)),
        "",
        MAX(
            1,
            IF(
                NETWORKDAYS(T72, U72, Holiday_Dates) &lt;= 0,
                1,
                NETWORKDAYS(T72, U72, Holiday_Dates) - IF(T72 = U72, 0, 1)
            )
        )
    ),
    ""
)</f>
        <v/>
      </c>
      <c r="Z72" s="476" t="str">
        <f>IF(
    OR(ISBLANK(U72), ISBLANK(V72)),
    "",
    MAX(
        1,
        IF(
            NETWORKDAYS(U72, V72, Holiday_Dates) &lt;= 0,
            1,
            NETWORKDAYS(U72, V72, Holiday_Dates) - IF(U72 = V72, 0, 1)
        )
    )
)</f>
        <v/>
      </c>
      <c r="AA72" s="476" t="str">
        <f>IFERROR(
    IF(
        OR(ISBLANK(W72), AND(ISBLANK(U72), ISBLANK(V72))),
        "",
        MAX(
            1,
            IF(
                NETWORKDAYS(IF(NOT(ISBLANK(V72)), V72, U72), W72, Holiday_Dates) &lt;= 0,
                1,
                NETWORKDAYS(IF(NOT(ISBLANK(V72)), V72, U72), W72, Holiday_Dates)
                - IF(IF(NOT(ISBLANK(V72)), V72, U72) = W72, 0, 1)
            )
        )
    ),
    ""
)</f>
        <v/>
      </c>
      <c r="AB72" s="476" t="str">
        <f>IFERROR(
    IF(
        OR(ISBLANK(W72), ISBLANK(X72)),
        "",
        MAX(
            1,
            IF(
                NETWORKDAYS(W72, X72, Holiday_Dates) &lt;= 0,
                1,
                NETWORKDAYS(W72, X72, Holiday_Dates) - IF(W72 = X72, 0, 1)
            )
        )
    ),
    ""
)</f>
        <v/>
      </c>
      <c r="AC72" s="339"/>
      <c r="AD72" s="49"/>
      <c r="AE72" s="336"/>
      <c r="AF72" s="49"/>
      <c r="AG72" s="339"/>
      <c r="AH72" s="478"/>
      <c r="AI72" s="49"/>
      <c r="AJ72" s="49"/>
      <c r="AK72" s="49"/>
      <c r="AL72" s="49"/>
      <c r="AM72" s="49"/>
      <c r="AN72" s="49"/>
      <c r="AO72" s="337"/>
      <c r="AP72" s="49"/>
      <c r="AQ72" s="49"/>
      <c r="AR72" s="488"/>
      <c r="AS72" s="489"/>
      <c r="AT72" s="488"/>
      <c r="AU72" s="489"/>
      <c r="AV72" s="488"/>
      <c r="AW72" s="489"/>
      <c r="AX72" s="488"/>
      <c r="AY72" s="489"/>
      <c r="AZ72" s="489"/>
      <c r="BA72" s="489"/>
      <c r="BB72" s="566">
        <f t="shared" si="8"/>
        <v>0</v>
      </c>
      <c r="BC72" s="563">
        <f t="shared" si="11"/>
        <v>0</v>
      </c>
    </row>
    <row r="73" spans="1:55">
      <c r="A73" s="470" t="s">
        <v>51</v>
      </c>
      <c r="B73" s="471" t="s">
        <v>448</v>
      </c>
      <c r="C73" s="471" t="str">
        <f t="shared" si="9"/>
        <v>Pampanga, Floridablanca</v>
      </c>
      <c r="D73" s="470" t="s">
        <v>88</v>
      </c>
      <c r="E73" s="470" t="s">
        <v>271</v>
      </c>
      <c r="F73" s="49">
        <v>14.974500000000001</v>
      </c>
      <c r="G73" s="49">
        <v>120.52809999999999</v>
      </c>
      <c r="H73" s="473" t="str">
        <f t="shared" si="10"/>
        <v>14.9745,120.5281</v>
      </c>
      <c r="I73" s="473" t="s">
        <v>99</v>
      </c>
      <c r="J73" s="473" t="s">
        <v>449</v>
      </c>
      <c r="K73" s="49" t="s">
        <v>252</v>
      </c>
      <c r="L73" s="49">
        <v>2018</v>
      </c>
      <c r="M73" s="49">
        <v>2027</v>
      </c>
      <c r="N73" s="49"/>
      <c r="O73" s="49" t="s">
        <v>33</v>
      </c>
      <c r="P73" s="49"/>
      <c r="Q73" s="483" t="s">
        <v>239</v>
      </c>
      <c r="R73" s="473" t="s">
        <v>64</v>
      </c>
      <c r="S73" s="472"/>
      <c r="T73" s="337"/>
      <c r="U73" s="337"/>
      <c r="V73" s="337"/>
      <c r="W73" s="337"/>
      <c r="X73" s="337"/>
      <c r="Y73" s="476" t="str">
        <f>IFERROR(
    IF(
        OR(ISBLANK(T73), ISBLANK(U73)),
        "",
        MAX(
            1,
            IF(
                NETWORKDAYS(T73, U73, Holiday_Dates) &lt;= 0,
                1,
                NETWORKDAYS(T73, U73, Holiday_Dates) - IF(T73 = U73, 0, 1)
            )
        )
    ),
    ""
)</f>
        <v/>
      </c>
      <c r="Z73" s="476" t="str">
        <f>IF(
    OR(ISBLANK(U73), ISBLANK(V73)),
    "",
    MAX(
        1,
        IF(
            NETWORKDAYS(U73, V73, Holiday_Dates) &lt;= 0,
            1,
            NETWORKDAYS(U73, V73, Holiday_Dates) - IF(U73 = V73, 0, 1)
        )
    )
)</f>
        <v/>
      </c>
      <c r="AA73" s="476" t="str">
        <f>IFERROR(
    IF(
        OR(ISBLANK(W73), AND(ISBLANK(U73), ISBLANK(V73))),
        "",
        MAX(
            1,
            IF(
                NETWORKDAYS(IF(NOT(ISBLANK(V73)), V73, U73), W73, Holiday_Dates) &lt;= 0,
                1,
                NETWORKDAYS(IF(NOT(ISBLANK(V73)), V73, U73), W73, Holiday_Dates)
                - IF(IF(NOT(ISBLANK(V73)), V73, U73) = W73, 0, 1)
            )
        )
    ),
    ""
)</f>
        <v/>
      </c>
      <c r="AB73" s="476" t="str">
        <f>IFERROR(
    IF(
        OR(ISBLANK(W73), ISBLANK(X73)),
        "",
        MAX(
            1,
            IF(
                NETWORKDAYS(W73, X73, Holiday_Dates) &lt;= 0,
                1,
                NETWORKDAYS(W73, X73, Holiday_Dates) - IF(W73 = X73, 0, 1)
            )
        )
    ),
    ""
)</f>
        <v/>
      </c>
      <c r="AC73" s="339"/>
      <c r="AD73" s="49"/>
      <c r="AE73" s="49"/>
      <c r="AF73" s="491"/>
      <c r="AG73" s="339"/>
      <c r="AH73" s="478"/>
      <c r="AI73" s="49"/>
      <c r="AJ73" s="49"/>
      <c r="AK73" s="49"/>
      <c r="AL73" s="49"/>
      <c r="AM73" s="49"/>
      <c r="AN73" s="49"/>
      <c r="AO73" s="337"/>
      <c r="AP73" s="49"/>
      <c r="AQ73" s="49"/>
      <c r="AR73" s="488"/>
      <c r="AS73" s="489"/>
      <c r="AT73" s="488"/>
      <c r="AU73" s="489"/>
      <c r="AV73" s="488"/>
      <c r="AW73" s="489"/>
      <c r="AX73" s="488"/>
      <c r="AY73" s="489"/>
      <c r="AZ73" s="488"/>
      <c r="BA73" s="489"/>
      <c r="BB73" s="566">
        <f t="shared" si="8"/>
        <v>0</v>
      </c>
      <c r="BC73" s="563">
        <f t="shared" si="11"/>
        <v>0</v>
      </c>
    </row>
    <row r="74" spans="1:55">
      <c r="A74" s="470" t="s">
        <v>51</v>
      </c>
      <c r="B74" s="471" t="s">
        <v>450</v>
      </c>
      <c r="C74" s="471" t="str">
        <f t="shared" si="9"/>
        <v>Pampanga, San Simon</v>
      </c>
      <c r="D74" s="470" t="s">
        <v>88</v>
      </c>
      <c r="E74" s="472" t="s">
        <v>224</v>
      </c>
      <c r="F74" s="49">
        <v>14.9848</v>
      </c>
      <c r="G74" s="49">
        <v>120.7514</v>
      </c>
      <c r="H74" s="473" t="str">
        <f t="shared" si="10"/>
        <v>14.9848,120.7514</v>
      </c>
      <c r="I74" s="473" t="s">
        <v>99</v>
      </c>
      <c r="J74" s="473" t="s">
        <v>451</v>
      </c>
      <c r="K74" s="49" t="s">
        <v>396</v>
      </c>
      <c r="L74" s="49">
        <v>2019</v>
      </c>
      <c r="M74" s="49">
        <v>2028</v>
      </c>
      <c r="N74" s="49"/>
      <c r="O74" s="49" t="s">
        <v>34</v>
      </c>
      <c r="P74" s="49"/>
      <c r="Q74" s="483" t="s">
        <v>239</v>
      </c>
      <c r="R74" s="473" t="s">
        <v>64</v>
      </c>
      <c r="S74" s="49"/>
      <c r="T74" s="337"/>
      <c r="U74" s="337"/>
      <c r="V74" s="337"/>
      <c r="W74" s="337"/>
      <c r="X74" s="484"/>
      <c r="Y74" s="476" t="str">
        <f>IFERROR(
    IF(
        OR(ISBLANK(T74), ISBLANK(U74)),
        "",
        MAX(
            1,
            IF(
                NETWORKDAYS(T74, U74, Holiday_Dates) &lt;= 0,
                1,
                NETWORKDAYS(T74, U74, Holiday_Dates) - IF(T74 = U74, 0, 1)
            )
        )
    ),
    ""
)</f>
        <v/>
      </c>
      <c r="Z74" s="476" t="str">
        <f>IF(
    OR(ISBLANK(U74), ISBLANK(V74)),
    "",
    MAX(
        1,
        IF(
            NETWORKDAYS(U74, V74, Holiday_Dates) &lt;= 0,
            1,
            NETWORKDAYS(U74, V74, Holiday_Dates) - IF(U74 = V74, 0, 1)
        )
    )
)</f>
        <v/>
      </c>
      <c r="AA74" s="476" t="str">
        <f>IFERROR(
    IF(
        OR(ISBLANK(W74), AND(ISBLANK(U74), ISBLANK(V74))),
        "",
        MAX(
            1,
            IF(
                NETWORKDAYS(IF(NOT(ISBLANK(V74)), V74, U74), W74, Holiday_Dates) &lt;= 0,
                1,
                NETWORKDAYS(IF(NOT(ISBLANK(V74)), V74, U74), W74, Holiday_Dates)
                - IF(IF(NOT(ISBLANK(V74)), V74, U74) = W74, 0, 1)
            )
        )
    ),
    ""
)</f>
        <v/>
      </c>
      <c r="AB74" s="476" t="str">
        <f>IFERROR(
    IF(
        OR(ISBLANK(W74), ISBLANK(X74)),
        "",
        MAX(
            1,
            IF(
                NETWORKDAYS(W74, X74, Holiday_Dates) &lt;= 0,
                1,
                NETWORKDAYS(W74, X74, Holiday_Dates) - IF(W74 = X74, 0, 1)
            )
        )
    ),
    ""
)</f>
        <v/>
      </c>
      <c r="AC74" s="339"/>
      <c r="AD74" s="49"/>
      <c r="AE74" s="49"/>
      <c r="AF74" s="49"/>
      <c r="AG74" s="339"/>
      <c r="AH74" s="478"/>
      <c r="AI74" s="49"/>
      <c r="AJ74" s="49"/>
      <c r="AK74" s="49"/>
      <c r="AL74" s="49"/>
      <c r="AM74" s="49"/>
      <c r="AN74" s="49"/>
      <c r="AO74" s="337"/>
      <c r="AP74" s="49"/>
      <c r="AQ74" s="49"/>
      <c r="AR74" s="488"/>
      <c r="AS74" s="489"/>
      <c r="AT74" s="488"/>
      <c r="AU74" s="489"/>
      <c r="AV74" s="488"/>
      <c r="AW74" s="489"/>
      <c r="AX74" s="488"/>
      <c r="AY74" s="489"/>
      <c r="AZ74" s="488"/>
      <c r="BA74" s="489"/>
      <c r="BB74" s="566">
        <f t="shared" si="8"/>
        <v>0</v>
      </c>
      <c r="BC74" s="563">
        <f t="shared" si="11"/>
        <v>0</v>
      </c>
    </row>
    <row r="75" spans="1:55">
      <c r="A75" s="470" t="s">
        <v>51</v>
      </c>
      <c r="B75" s="471" t="s">
        <v>452</v>
      </c>
      <c r="C75" s="471" t="str">
        <f t="shared" si="9"/>
        <v>Pampanga, Santa Ana</v>
      </c>
      <c r="D75" s="470" t="s">
        <v>88</v>
      </c>
      <c r="E75" s="472" t="s">
        <v>213</v>
      </c>
      <c r="F75" s="49">
        <v>15.0839</v>
      </c>
      <c r="G75" s="49">
        <v>120.76309999999999</v>
      </c>
      <c r="H75" s="473" t="str">
        <f t="shared" si="10"/>
        <v>15.0839,120.7631</v>
      </c>
      <c r="I75" s="473" t="s">
        <v>99</v>
      </c>
      <c r="J75" s="473" t="s">
        <v>453</v>
      </c>
      <c r="K75" s="49" t="s">
        <v>367</v>
      </c>
      <c r="L75" s="49">
        <v>2019</v>
      </c>
      <c r="M75" s="49">
        <v>2027</v>
      </c>
      <c r="N75" s="49"/>
      <c r="O75" s="49" t="s">
        <v>32</v>
      </c>
      <c r="P75" s="49"/>
      <c r="Q75" s="483" t="s">
        <v>133</v>
      </c>
      <c r="R75" s="473" t="s">
        <v>64</v>
      </c>
      <c r="S75" s="49"/>
      <c r="T75" s="337"/>
      <c r="U75" s="337"/>
      <c r="V75" s="337"/>
      <c r="W75" s="337"/>
      <c r="X75" s="337"/>
      <c r="Y75" s="476" t="str">
        <f>IFERROR(
    IF(
        OR(ISBLANK(T75), ISBLANK(U75)),
        "",
        MAX(
            1,
            IF(
                NETWORKDAYS(T75, U75, Holiday_Dates) &lt;= 0,
                1,
                NETWORKDAYS(T75, U75, Holiday_Dates) - IF(T75 = U75, 0, 1)
            )
        )
    ),
    ""
)</f>
        <v/>
      </c>
      <c r="Z75" s="476" t="str">
        <f>IF(
    OR(ISBLANK(U75), ISBLANK(V75)),
    "",
    MAX(
        1,
        IF(
            NETWORKDAYS(U75, V75, Holiday_Dates) &lt;= 0,
            1,
            NETWORKDAYS(U75, V75, Holiday_Dates) - IF(U75 = V75, 0, 1)
        )
    )
)</f>
        <v/>
      </c>
      <c r="AA75" s="476" t="str">
        <f>IFERROR(
    IF(
        OR(ISBLANK(W75), AND(ISBLANK(U75), ISBLANK(V75))),
        "",
        MAX(
            1,
            IF(
                NETWORKDAYS(IF(NOT(ISBLANK(V75)), V75, U75), W75, Holiday_Dates) &lt;= 0,
                1,
                NETWORKDAYS(IF(NOT(ISBLANK(V75)), V75, U75), W75, Holiday_Dates)
                - IF(IF(NOT(ISBLANK(V75)), V75, U75) = W75, 0, 1)
            )
        )
    ),
    ""
)</f>
        <v/>
      </c>
      <c r="AB75" s="476" t="str">
        <f>IFERROR(
    IF(
        OR(ISBLANK(W75), ISBLANK(X75)),
        "",
        MAX(
            1,
            IF(
                NETWORKDAYS(W75, X75, Holiday_Dates) &lt;= 0,
                1,
                NETWORKDAYS(W75, X75, Holiday_Dates) - IF(W75 = X75, 0, 1)
            )
        )
    ),
    ""
)</f>
        <v/>
      </c>
      <c r="AC75" s="339"/>
      <c r="AD75" s="49"/>
      <c r="AE75" s="495"/>
      <c r="AF75" s="49"/>
      <c r="AG75" s="339"/>
      <c r="AH75" s="478"/>
      <c r="AI75" s="49"/>
      <c r="AJ75" s="49"/>
      <c r="AK75" s="49"/>
      <c r="AL75" s="49"/>
      <c r="AM75" s="49"/>
      <c r="AN75" s="49"/>
      <c r="AO75" s="337"/>
      <c r="AP75" s="49"/>
      <c r="AQ75" s="49"/>
      <c r="AR75" s="488"/>
      <c r="AS75" s="489"/>
      <c r="AT75" s="488"/>
      <c r="AU75" s="489"/>
      <c r="AV75" s="488"/>
      <c r="AW75" s="489"/>
      <c r="AX75" s="488"/>
      <c r="AY75" s="489"/>
      <c r="AZ75" s="489"/>
      <c r="BA75" s="489"/>
      <c r="BB75" s="566">
        <f t="shared" si="8"/>
        <v>0</v>
      </c>
      <c r="BC75" s="563">
        <f t="shared" si="11"/>
        <v>0</v>
      </c>
    </row>
    <row r="76" spans="1:55">
      <c r="A76" s="470" t="s">
        <v>52</v>
      </c>
      <c r="B76" s="471" t="s">
        <v>454</v>
      </c>
      <c r="C76" s="471" t="str">
        <f t="shared" si="9"/>
        <v>Tarlac, Pura</v>
      </c>
      <c r="D76" s="470" t="s">
        <v>89</v>
      </c>
      <c r="E76" s="472" t="s">
        <v>243</v>
      </c>
      <c r="F76" s="49">
        <v>15.623962000000001</v>
      </c>
      <c r="G76" s="49">
        <v>120.647586</v>
      </c>
      <c r="H76" s="473" t="str">
        <f t="shared" si="10"/>
        <v>15.623962,120.647586</v>
      </c>
      <c r="I76" s="473" t="s">
        <v>99</v>
      </c>
      <c r="J76" s="339" t="s">
        <v>455</v>
      </c>
      <c r="K76" s="49" t="s">
        <v>252</v>
      </c>
      <c r="L76" s="49">
        <v>2019</v>
      </c>
      <c r="M76" s="49">
        <v>2027</v>
      </c>
      <c r="N76" s="49"/>
      <c r="O76" s="49" t="s">
        <v>37</v>
      </c>
      <c r="P76" s="49"/>
      <c r="Q76" s="475" t="s">
        <v>28</v>
      </c>
      <c r="R76" s="49" t="s">
        <v>64</v>
      </c>
      <c r="S76" s="49"/>
      <c r="T76" s="337"/>
      <c r="U76" s="337"/>
      <c r="V76" s="337"/>
      <c r="W76" s="337"/>
      <c r="X76" s="337"/>
      <c r="Y76" s="476" t="str">
        <f>IFERROR(
    IF(
        OR(ISBLANK(T76), ISBLANK(U76)),
        "",
        MAX(
            1,
            IF(
                NETWORKDAYS(T76, U76, Holiday_Dates) &lt;= 0,
                1,
                NETWORKDAYS(T76, U76, Holiday_Dates) - IF(T76 = U76, 0, 1)
            )
        )
    ),
    ""
)</f>
        <v/>
      </c>
      <c r="Z76" s="476" t="str">
        <f>IF(
    OR(ISBLANK(U76), ISBLANK(V76)),
    "",
    MAX(
        1,
        IF(
            NETWORKDAYS(U76, V76, Holiday_Dates) &lt;= 0,
            1,
            NETWORKDAYS(U76, V76, Holiday_Dates) - IF(U76 = V76, 0, 1)
        )
    )
)</f>
        <v/>
      </c>
      <c r="AA76" s="476" t="str">
        <f>IFERROR(
    IF(
        OR(ISBLANK(W76), AND(ISBLANK(U76), ISBLANK(V76))),
        "",
        MAX(
            1,
            IF(
                NETWORKDAYS(IF(NOT(ISBLANK(V76)), V76, U76), W76, Holiday_Dates) &lt;= 0,
                1,
                NETWORKDAYS(IF(NOT(ISBLANK(V76)), V76, U76), W76, Holiday_Dates)
                - IF(IF(NOT(ISBLANK(V76)), V76, U76) = W76, 0, 1)
            )
        )
    ),
    ""
)</f>
        <v/>
      </c>
      <c r="AB76" s="476" t="str">
        <f>IFERROR(
    IF(
        OR(ISBLANK(W76), ISBLANK(X76)),
        "",
        MAX(
            1,
            IF(
                NETWORKDAYS(W76, X76, Holiday_Dates) &lt;= 0,
                1,
                NETWORKDAYS(W76, X76, Holiday_Dates) - IF(W76 = X76, 0, 1)
            )
        )
    ),
    ""
)</f>
        <v/>
      </c>
      <c r="AC76" s="339"/>
      <c r="AD76" s="49"/>
      <c r="AE76" s="49"/>
      <c r="AF76" s="49"/>
      <c r="AG76" s="339"/>
      <c r="AH76" s="478"/>
      <c r="AI76" s="49"/>
      <c r="AJ76" s="49"/>
      <c r="AK76" s="49"/>
      <c r="AL76" s="49"/>
      <c r="AM76" s="49"/>
      <c r="AN76" s="49"/>
      <c r="AO76" s="337"/>
      <c r="AP76" s="49"/>
      <c r="AQ76" s="49"/>
      <c r="AR76" s="488"/>
      <c r="AS76" s="489"/>
      <c r="AT76" s="489"/>
      <c r="AU76" s="489"/>
      <c r="AV76" s="489"/>
      <c r="AW76" s="489"/>
      <c r="AX76" s="489"/>
      <c r="AY76" s="489"/>
      <c r="AZ76" s="489"/>
      <c r="BA76" s="489"/>
      <c r="BB76" s="566">
        <f t="shared" si="8"/>
        <v>0</v>
      </c>
      <c r="BC76" s="563">
        <f t="shared" si="11"/>
        <v>0</v>
      </c>
    </row>
    <row r="77" spans="1:55">
      <c r="A77" s="470" t="s">
        <v>53</v>
      </c>
      <c r="B77" s="471" t="s">
        <v>456</v>
      </c>
      <c r="C77" s="471" t="str">
        <f t="shared" si="9"/>
        <v>Zambales, Masinloc</v>
      </c>
      <c r="D77" s="470" t="s">
        <v>89</v>
      </c>
      <c r="E77" s="470" t="s">
        <v>271</v>
      </c>
      <c r="F77" s="49">
        <v>15.532743999999999</v>
      </c>
      <c r="G77" s="49">
        <v>119.957914</v>
      </c>
      <c r="H77" s="473" t="str">
        <f t="shared" si="10"/>
        <v>15.532744,119.957914</v>
      </c>
      <c r="I77" s="473" t="s">
        <v>99</v>
      </c>
      <c r="J77" s="339" t="s">
        <v>457</v>
      </c>
      <c r="K77" s="49" t="s">
        <v>426</v>
      </c>
      <c r="L77" s="49">
        <v>2019</v>
      </c>
      <c r="M77" s="49">
        <v>2028</v>
      </c>
      <c r="N77" s="49"/>
      <c r="O77" s="49" t="s">
        <v>42</v>
      </c>
      <c r="P77" s="49"/>
      <c r="Q77" s="475" t="s">
        <v>133</v>
      </c>
      <c r="R77" s="473" t="s">
        <v>64</v>
      </c>
      <c r="S77" s="49"/>
      <c r="T77" s="337"/>
      <c r="U77" s="337"/>
      <c r="V77" s="337"/>
      <c r="W77" s="337"/>
      <c r="X77" s="337"/>
      <c r="Y77" s="476" t="str">
        <f>IFERROR(
    IF(
        OR(ISBLANK(T77), ISBLANK(U77)),
        "",
        MAX(
            1,
            IF(
                NETWORKDAYS(T77, U77, Holiday_Dates) &lt;= 0,
                1,
                NETWORKDAYS(T77, U77, Holiday_Dates) - IF(T77 = U77, 0, 1)
            )
        )
    ),
    ""
)</f>
        <v/>
      </c>
      <c r="Z77" s="476" t="str">
        <f>IF(
    OR(ISBLANK(U77), ISBLANK(V77)),
    "",
    MAX(
        1,
        IF(
            NETWORKDAYS(U77, V77, Holiday_Dates) &lt;= 0,
            1,
            NETWORKDAYS(U77, V77, Holiday_Dates) - IF(U77 = V77, 0, 1)
        )
    )
)</f>
        <v/>
      </c>
      <c r="AA77" s="476" t="str">
        <f>IFERROR(
    IF(
        OR(ISBLANK(W77), AND(ISBLANK(U77), ISBLANK(V77))),
        "",
        MAX(
            1,
            IF(
                NETWORKDAYS(IF(NOT(ISBLANK(V77)), V77, U77), W77, Holiday_Dates) &lt;= 0,
                1,
                NETWORKDAYS(IF(NOT(ISBLANK(V77)), V77, U77), W77, Holiday_Dates)
                - IF(IF(NOT(ISBLANK(V77)), V77, U77) = W77, 0, 1)
            )
        )
    ),
    ""
)</f>
        <v/>
      </c>
      <c r="AB77" s="476" t="str">
        <f>IFERROR(
    IF(
        OR(ISBLANK(W77), ISBLANK(X77)),
        "",
        MAX(
            1,
            IF(
                NETWORKDAYS(W77, X77, Holiday_Dates) &lt;= 0,
                1,
                NETWORKDAYS(W77, X77, Holiday_Dates) - IF(W77 = X77, 0, 1)
            )
        )
    ),
    ""
)</f>
        <v/>
      </c>
      <c r="AC77" s="339"/>
      <c r="AD77" s="49"/>
      <c r="AE77" s="336"/>
      <c r="AF77" s="485"/>
      <c r="AG77" s="339"/>
      <c r="AH77" s="478"/>
      <c r="AI77" s="49"/>
      <c r="AJ77" s="49"/>
      <c r="AK77" s="49"/>
      <c r="AL77" s="49"/>
      <c r="AM77" s="49"/>
      <c r="AN77" s="49"/>
      <c r="AO77" s="337"/>
      <c r="AP77" s="49"/>
      <c r="AQ77" s="49"/>
      <c r="AR77" s="488"/>
      <c r="AS77" s="489"/>
      <c r="AT77" s="488"/>
      <c r="AU77" s="489"/>
      <c r="AV77" s="488"/>
      <c r="AW77" s="489"/>
      <c r="AX77" s="488"/>
      <c r="AY77" s="489"/>
      <c r="AZ77" s="489"/>
      <c r="BA77" s="489"/>
      <c r="BB77" s="566">
        <f t="shared" si="8"/>
        <v>0</v>
      </c>
      <c r="BC77" s="563">
        <f t="shared" si="11"/>
        <v>0</v>
      </c>
    </row>
    <row r="78" spans="1:55">
      <c r="A78" s="470" t="s">
        <v>52</v>
      </c>
      <c r="B78" s="471" t="s">
        <v>458</v>
      </c>
      <c r="C78" s="471" t="str">
        <f t="shared" si="9"/>
        <v>Tarlac, Santa Ignacia</v>
      </c>
      <c r="D78" s="470" t="s">
        <v>89</v>
      </c>
      <c r="E78" s="472" t="s">
        <v>243</v>
      </c>
      <c r="F78" s="49">
        <v>15.616387</v>
      </c>
      <c r="G78" s="49">
        <v>120.434693</v>
      </c>
      <c r="H78" s="473" t="str">
        <f t="shared" si="10"/>
        <v>15.616387,120.434693</v>
      </c>
      <c r="I78" s="473" t="s">
        <v>99</v>
      </c>
      <c r="J78" s="339" t="s">
        <v>459</v>
      </c>
      <c r="K78" s="49" t="s">
        <v>252</v>
      </c>
      <c r="L78" s="49">
        <v>2019</v>
      </c>
      <c r="M78" s="49">
        <v>2027</v>
      </c>
      <c r="N78" s="49"/>
      <c r="O78" s="49" t="s">
        <v>37</v>
      </c>
      <c r="P78" s="49"/>
      <c r="Q78" s="475" t="s">
        <v>28</v>
      </c>
      <c r="R78" s="49" t="s">
        <v>64</v>
      </c>
      <c r="S78" s="49"/>
      <c r="T78" s="337"/>
      <c r="U78" s="337"/>
      <c r="V78" s="337"/>
      <c r="W78" s="337"/>
      <c r="X78" s="49"/>
      <c r="Y78" s="476" t="str">
        <f>IFERROR(
    IF(
        OR(ISBLANK(T78), ISBLANK(U78)),
        "",
        MAX(
            1,
            IF(
                NETWORKDAYS(T78, U78, Holiday_Dates) &lt;= 0,
                1,
                NETWORKDAYS(T78, U78, Holiday_Dates) - IF(T78 = U78, 0, 1)
            )
        )
    ),
    ""
)</f>
        <v/>
      </c>
      <c r="Z78" s="476" t="str">
        <f>IF(
    OR(ISBLANK(U78), ISBLANK(V78)),
    "",
    MAX(
        1,
        IF(
            NETWORKDAYS(U78, V78, Holiday_Dates) &lt;= 0,
            1,
            NETWORKDAYS(U78, V78, Holiday_Dates) - IF(U78 = V78, 0, 1)
        )
    )
)</f>
        <v/>
      </c>
      <c r="AA78" s="476" t="str">
        <f>IFERROR(
    IF(
        OR(ISBLANK(W78), AND(ISBLANK(U78), ISBLANK(V78))),
        "",
        MAX(
            1,
            IF(
                NETWORKDAYS(IF(NOT(ISBLANK(V78)), V78, U78), W78, Holiday_Dates) &lt;= 0,
                1,
                NETWORKDAYS(IF(NOT(ISBLANK(V78)), V78, U78), W78, Holiday_Dates)
                - IF(IF(NOT(ISBLANK(V78)), V78, U78) = W78, 0, 1)
            )
        )
    ),
    ""
)</f>
        <v/>
      </c>
      <c r="AB78" s="476" t="str">
        <f>IFERROR(
    IF(
        OR(ISBLANK(W78), ISBLANK(X78)),
        "",
        MAX(
            1,
            IF(
                NETWORKDAYS(W78, X78, Holiday_Dates) &lt;= 0,
                1,
                NETWORKDAYS(W78, X78, Holiday_Dates) - IF(W78 = X78, 0, 1)
            )
        )
    ),
    ""
)</f>
        <v/>
      </c>
      <c r="AC78" s="339"/>
      <c r="AD78" s="49"/>
      <c r="AE78" s="49"/>
      <c r="AF78" s="49"/>
      <c r="AG78" s="339"/>
      <c r="AH78" s="478"/>
      <c r="AI78" s="49"/>
      <c r="AJ78" s="49"/>
      <c r="AK78" s="49"/>
      <c r="AL78" s="49"/>
      <c r="AM78" s="49"/>
      <c r="AN78" s="49"/>
      <c r="AO78" s="337"/>
      <c r="AP78" s="49"/>
      <c r="AQ78" s="49"/>
      <c r="AR78" s="488"/>
      <c r="AS78" s="489"/>
      <c r="AT78" s="488"/>
      <c r="AU78" s="489"/>
      <c r="AV78" s="488"/>
      <c r="AW78" s="489"/>
      <c r="AX78" s="488"/>
      <c r="AY78" s="489"/>
      <c r="AZ78" s="489"/>
      <c r="BA78" s="489"/>
      <c r="BB78" s="566">
        <f t="shared" si="8"/>
        <v>0</v>
      </c>
      <c r="BC78" s="563">
        <f t="shared" si="11"/>
        <v>0</v>
      </c>
    </row>
    <row r="79" spans="1:55">
      <c r="A79" s="470" t="s">
        <v>52</v>
      </c>
      <c r="B79" s="471" t="s">
        <v>460</v>
      </c>
      <c r="C79" s="471" t="str">
        <f t="shared" si="9"/>
        <v>Tarlac, Capas</v>
      </c>
      <c r="D79" s="470" t="s">
        <v>88</v>
      </c>
      <c r="E79" s="472" t="s">
        <v>213</v>
      </c>
      <c r="F79" s="49">
        <v>15.346304999999999</v>
      </c>
      <c r="G79" s="49">
        <v>120.59293700000001</v>
      </c>
      <c r="H79" s="473" t="str">
        <f t="shared" si="10"/>
        <v>15.346305,120.592937</v>
      </c>
      <c r="I79" s="473" t="s">
        <v>99</v>
      </c>
      <c r="J79" s="473" t="s">
        <v>461</v>
      </c>
      <c r="K79" s="49" t="s">
        <v>252</v>
      </c>
      <c r="L79" s="49">
        <v>2019</v>
      </c>
      <c r="M79" s="49">
        <v>2027</v>
      </c>
      <c r="N79" s="49"/>
      <c r="O79" s="49" t="s">
        <v>39</v>
      </c>
      <c r="P79" s="49"/>
      <c r="Q79" s="475" t="s">
        <v>28</v>
      </c>
      <c r="R79" s="473"/>
      <c r="S79" s="472"/>
      <c r="T79" s="337"/>
      <c r="U79" s="337"/>
      <c r="V79" s="337"/>
      <c r="W79" s="337"/>
      <c r="X79" s="484"/>
      <c r="Y79" s="476" t="str">
        <f>IFERROR(
    IF(
        OR(ISBLANK(T79), ISBLANK(U79)),
        "",
        MAX(
            1,
            IF(
                NETWORKDAYS(T79, U79, Holiday_Dates) &lt;= 0,
                1,
                NETWORKDAYS(T79, U79, Holiday_Dates) - IF(T79 = U79, 0, 1)
            )
        )
    ),
    ""
)</f>
        <v/>
      </c>
      <c r="Z79" s="476" t="str">
        <f>IF(
    OR(ISBLANK(U79), ISBLANK(V79)),
    "",
    MAX(
        1,
        IF(
            NETWORKDAYS(U79, V79, Holiday_Dates) &lt;= 0,
            1,
            NETWORKDAYS(U79, V79, Holiday_Dates) - IF(U79 = V79, 0, 1)
        )
    )
)</f>
        <v/>
      </c>
      <c r="AA79" s="476" t="str">
        <f>IFERROR(
    IF(
        OR(ISBLANK(W79), AND(ISBLANK(U79), ISBLANK(V79))),
        "",
        MAX(
            1,
            IF(
                NETWORKDAYS(IF(NOT(ISBLANK(V79)), V79, U79), W79, Holiday_Dates) &lt;= 0,
                1,
                NETWORKDAYS(IF(NOT(ISBLANK(V79)), V79, U79), W79, Holiday_Dates)
                - IF(IF(NOT(ISBLANK(V79)), V79, U79) = W79, 0, 1)
            )
        )
    ),
    ""
)</f>
        <v/>
      </c>
      <c r="AB79" s="476" t="str">
        <f>IFERROR(
    IF(
        OR(ISBLANK(W79), ISBLANK(X79)),
        "",
        MAX(
            1,
            IF(
                NETWORKDAYS(W79, X79, Holiday_Dates) &lt;= 0,
                1,
                NETWORKDAYS(W79, X79, Holiday_Dates) - IF(W79 = X79, 0, 1)
            )
        )
    ),
    ""
)</f>
        <v/>
      </c>
      <c r="AC79" s="339"/>
      <c r="AD79" s="49"/>
      <c r="AE79" s="336"/>
      <c r="AF79" s="49"/>
      <c r="AG79" s="339"/>
      <c r="AH79" s="478"/>
      <c r="AI79" s="339"/>
      <c r="AJ79" s="339"/>
      <c r="AK79" s="339"/>
      <c r="AL79" s="339"/>
      <c r="AM79" s="49"/>
      <c r="AN79" s="339"/>
      <c r="AO79" s="337"/>
      <c r="AP79" s="49"/>
      <c r="AQ79" s="49"/>
      <c r="AR79" s="488"/>
      <c r="AS79" s="489"/>
      <c r="AT79" s="488"/>
      <c r="AU79" s="489"/>
      <c r="AV79" s="488"/>
      <c r="AW79" s="489"/>
      <c r="AX79" s="488"/>
      <c r="AY79" s="489"/>
      <c r="AZ79" s="489"/>
      <c r="BA79" s="489"/>
      <c r="BB79" s="566">
        <f t="shared" si="8"/>
        <v>0</v>
      </c>
      <c r="BC79" s="563">
        <f t="shared" si="11"/>
        <v>0</v>
      </c>
    </row>
    <row r="80" spans="1:55">
      <c r="A80" s="470" t="s">
        <v>52</v>
      </c>
      <c r="B80" s="471" t="s">
        <v>462</v>
      </c>
      <c r="C80" s="471" t="str">
        <f t="shared" si="9"/>
        <v>Tarlac, City Of Tarlac</v>
      </c>
      <c r="D80" s="470" t="s">
        <v>88</v>
      </c>
      <c r="E80" s="472" t="s">
        <v>271</v>
      </c>
      <c r="F80" s="49">
        <v>15.486853</v>
      </c>
      <c r="G80" s="49">
        <v>120.589888</v>
      </c>
      <c r="H80" s="473" t="str">
        <f t="shared" si="10"/>
        <v>15.486853,120.589888</v>
      </c>
      <c r="I80" s="473" t="s">
        <v>99</v>
      </c>
      <c r="J80" s="339">
        <v>1251</v>
      </c>
      <c r="K80" s="49" t="s">
        <v>291</v>
      </c>
      <c r="L80" s="49">
        <v>2019</v>
      </c>
      <c r="M80" s="49">
        <v>2027</v>
      </c>
      <c r="N80" s="49"/>
      <c r="O80" s="49" t="s">
        <v>37</v>
      </c>
      <c r="P80" s="49"/>
      <c r="Q80" s="475" t="s">
        <v>28</v>
      </c>
      <c r="R80" s="49"/>
      <c r="S80" s="49"/>
      <c r="T80" s="337"/>
      <c r="U80" s="337"/>
      <c r="V80" s="337"/>
      <c r="W80" s="337"/>
      <c r="X80" s="337"/>
      <c r="Y80" s="476" t="str">
        <f>IFERROR(
    IF(
        OR(ISBLANK(T80), ISBLANK(U80)),
        "",
        MAX(
            1,
            IF(
                NETWORKDAYS(T80, U80, Holiday_Dates) &lt;= 0,
                1,
                NETWORKDAYS(T80, U80, Holiday_Dates) - IF(T80 = U80, 0, 1)
            )
        )
    ),
    ""
)</f>
        <v/>
      </c>
      <c r="Z80" s="476" t="str">
        <f>IF(
    OR(ISBLANK(U80), ISBLANK(V80)),
    "",
    MAX(
        1,
        IF(
            NETWORKDAYS(U80, V80, Holiday_Dates) &lt;= 0,
            1,
            NETWORKDAYS(U80, V80, Holiday_Dates) - IF(U80 = V80, 0, 1)
        )
    )
)</f>
        <v/>
      </c>
      <c r="AA80" s="476" t="str">
        <f>IFERROR(
    IF(
        OR(ISBLANK(W80), AND(ISBLANK(U80), ISBLANK(V80))),
        "",
        MAX(
            1,
            IF(
                NETWORKDAYS(IF(NOT(ISBLANK(V80)), V80, U80), W80, Holiday_Dates) &lt;= 0,
                1,
                NETWORKDAYS(IF(NOT(ISBLANK(V80)), V80, U80), W80, Holiday_Dates)
                - IF(IF(NOT(ISBLANK(V80)), V80, U80) = W80, 0, 1)
            )
        )
    ),
    ""
)</f>
        <v/>
      </c>
      <c r="AB80" s="476" t="str">
        <f>IFERROR(
    IF(
        OR(ISBLANK(W80), ISBLANK(X80)),
        "",
        MAX(
            1,
            IF(
                NETWORKDAYS(W80, X80, Holiday_Dates) &lt;= 0,
                1,
                NETWORKDAYS(W80, X80, Holiday_Dates) - IF(W80 = X80, 0, 1)
            )
        )
    ),
    ""
)</f>
        <v/>
      </c>
      <c r="AC80" s="339"/>
      <c r="AD80" s="49"/>
      <c r="AE80" s="336"/>
      <c r="AF80" s="49"/>
      <c r="AG80" s="339"/>
      <c r="AH80" s="478"/>
      <c r="AI80" s="49"/>
      <c r="AJ80" s="49"/>
      <c r="AK80" s="49"/>
      <c r="AL80" s="49"/>
      <c r="AM80" s="49"/>
      <c r="AN80" s="49"/>
      <c r="AO80" s="337"/>
      <c r="AP80" s="49"/>
      <c r="AQ80" s="49"/>
      <c r="AR80" s="488"/>
      <c r="AS80" s="489"/>
      <c r="AT80" s="488"/>
      <c r="AU80" s="489"/>
      <c r="AV80" s="488"/>
      <c r="AW80" s="489"/>
      <c r="AX80" s="488"/>
      <c r="AY80" s="489"/>
      <c r="AZ80" s="488"/>
      <c r="BA80" s="489"/>
      <c r="BB80" s="566">
        <f t="shared" si="8"/>
        <v>0</v>
      </c>
      <c r="BC80" s="563">
        <f t="shared" si="11"/>
        <v>0</v>
      </c>
    </row>
    <row r="81" spans="1:55">
      <c r="A81" s="470" t="s">
        <v>52</v>
      </c>
      <c r="B81" s="471" t="s">
        <v>463</v>
      </c>
      <c r="C81" s="471" t="str">
        <f t="shared" si="9"/>
        <v>Tarlac, Gerona</v>
      </c>
      <c r="D81" s="470" t="s">
        <v>89</v>
      </c>
      <c r="E81" s="472" t="s">
        <v>271</v>
      </c>
      <c r="F81" s="49">
        <v>15.606548</v>
      </c>
      <c r="G81" s="49">
        <v>120.599554</v>
      </c>
      <c r="H81" s="473" t="str">
        <f t="shared" si="10"/>
        <v>15.606548,120.599554</v>
      </c>
      <c r="I81" s="473" t="s">
        <v>99</v>
      </c>
      <c r="J81" s="473" t="s">
        <v>464</v>
      </c>
      <c r="K81" s="49" t="s">
        <v>465</v>
      </c>
      <c r="L81" s="49">
        <v>2019</v>
      </c>
      <c r="M81" s="49">
        <v>2026</v>
      </c>
      <c r="N81" s="49"/>
      <c r="O81" s="49" t="s">
        <v>37</v>
      </c>
      <c r="P81" s="49"/>
      <c r="Q81" s="475" t="s">
        <v>28</v>
      </c>
      <c r="R81" s="472"/>
      <c r="S81" s="49"/>
      <c r="T81" s="337"/>
      <c r="U81" s="337"/>
      <c r="V81" s="337"/>
      <c r="W81" s="337"/>
      <c r="X81" s="337"/>
      <c r="Y81" s="476" t="str">
        <f>IFERROR(
    IF(
        OR(ISBLANK(T81), ISBLANK(U81)),
        "",
        MAX(
            1,
            IF(
                NETWORKDAYS(T81, U81, Holiday_Dates) &lt;= 0,
                1,
                NETWORKDAYS(T81, U81, Holiday_Dates) - IF(T81 = U81, 0, 1)
            )
        )
    ),
    ""
)</f>
        <v/>
      </c>
      <c r="Z81" s="476" t="str">
        <f>IF(
    OR(ISBLANK(U81), ISBLANK(V81)),
    "",
    MAX(
        1,
        IF(
            NETWORKDAYS(U81, V81, Holiday_Dates) &lt;= 0,
            1,
            NETWORKDAYS(U81, V81, Holiday_Dates) - IF(U81 = V81, 0, 1)
        )
    )
)</f>
        <v/>
      </c>
      <c r="AA81" s="476" t="str">
        <f>IFERROR(
    IF(
        OR(ISBLANK(W81), AND(ISBLANK(U81), ISBLANK(V81))),
        "",
        MAX(
            1,
            IF(
                NETWORKDAYS(IF(NOT(ISBLANK(V81)), V81, U81), W81, Holiday_Dates) &lt;= 0,
                1,
                NETWORKDAYS(IF(NOT(ISBLANK(V81)), V81, U81), W81, Holiday_Dates)
                - IF(IF(NOT(ISBLANK(V81)), V81, U81) = W81, 0, 1)
            )
        )
    ),
    ""
)</f>
        <v/>
      </c>
      <c r="AB81" s="476" t="str">
        <f>IFERROR(
    IF(
        OR(ISBLANK(W81), ISBLANK(X81)),
        "",
        MAX(
            1,
            IF(
                NETWORKDAYS(W81, X81, Holiday_Dates) &lt;= 0,
                1,
                NETWORKDAYS(W81, X81, Holiday_Dates) - IF(W81 = X81, 0, 1)
            )
        )
    ),
    ""
)</f>
        <v/>
      </c>
      <c r="AC81" s="339"/>
      <c r="AD81" s="49"/>
      <c r="AE81" s="336"/>
      <c r="AF81" s="49"/>
      <c r="AG81" s="339"/>
      <c r="AH81" s="478"/>
      <c r="AI81" s="49"/>
      <c r="AJ81" s="49"/>
      <c r="AK81" s="49"/>
      <c r="AL81" s="49"/>
      <c r="AM81" s="49"/>
      <c r="AN81" s="49"/>
      <c r="AO81" s="337"/>
      <c r="AP81" s="49"/>
      <c r="AQ81" s="49"/>
      <c r="AR81" s="488"/>
      <c r="AS81" s="489"/>
      <c r="AT81" s="488"/>
      <c r="AU81" s="489"/>
      <c r="AV81" s="488"/>
      <c r="AW81" s="489"/>
      <c r="AX81" s="488"/>
      <c r="AY81" s="489"/>
      <c r="AZ81" s="488"/>
      <c r="BA81" s="489"/>
      <c r="BB81" s="566">
        <f t="shared" si="8"/>
        <v>0</v>
      </c>
      <c r="BC81" s="563">
        <f t="shared" si="11"/>
        <v>0</v>
      </c>
    </row>
    <row r="82" spans="1:55">
      <c r="A82" s="470" t="s">
        <v>52</v>
      </c>
      <c r="B82" s="471" t="s">
        <v>466</v>
      </c>
      <c r="C82" s="471" t="str">
        <f t="shared" si="9"/>
        <v>Tarlac, Ramos</v>
      </c>
      <c r="D82" s="470" t="s">
        <v>89</v>
      </c>
      <c r="E82" s="472" t="s">
        <v>243</v>
      </c>
      <c r="F82" s="49">
        <v>15.665793000000001</v>
      </c>
      <c r="G82" s="49">
        <v>120.6392786</v>
      </c>
      <c r="H82" s="473" t="str">
        <f t="shared" si="10"/>
        <v>15.665793,120.6392786</v>
      </c>
      <c r="I82" s="473" t="s">
        <v>99</v>
      </c>
      <c r="J82" s="339" t="s">
        <v>467</v>
      </c>
      <c r="K82" s="49" t="s">
        <v>233</v>
      </c>
      <c r="L82" s="49">
        <v>2021</v>
      </c>
      <c r="M82" s="49">
        <v>2029</v>
      </c>
      <c r="N82" s="49"/>
      <c r="O82" s="49" t="s">
        <v>38</v>
      </c>
      <c r="P82" s="49"/>
      <c r="Q82" s="475" t="s">
        <v>28</v>
      </c>
      <c r="R82" s="473"/>
      <c r="S82" s="472"/>
      <c r="T82" s="337"/>
      <c r="U82" s="337"/>
      <c r="V82" s="337"/>
      <c r="W82" s="337"/>
      <c r="X82" s="484"/>
      <c r="Y82" s="476" t="str">
        <f>IFERROR(
    IF(
        OR(ISBLANK(T82), ISBLANK(U82)),
        "",
        MAX(
            1,
            IF(
                NETWORKDAYS(T82, U82, Holiday_Dates) &lt;= 0,
                1,
                NETWORKDAYS(T82, U82, Holiday_Dates) - IF(T82 = U82, 0, 1)
            )
        )
    ),
    ""
)</f>
        <v/>
      </c>
      <c r="Z82" s="476" t="str">
        <f>IF(
    OR(ISBLANK(U82), ISBLANK(V82)),
    "",
    MAX(
        1,
        IF(
            NETWORKDAYS(U82, V82, Holiday_Dates) &lt;= 0,
            1,
            NETWORKDAYS(U82, V82, Holiday_Dates) - IF(U82 = V82, 0, 1)
        )
    )
)</f>
        <v/>
      </c>
      <c r="AA82" s="476" t="str">
        <f>IFERROR(
    IF(
        OR(ISBLANK(W82), AND(ISBLANK(U82), ISBLANK(V82))),
        "",
        MAX(
            1,
            IF(
                NETWORKDAYS(IF(NOT(ISBLANK(V82)), V82, U82), W82, Holiday_Dates) &lt;= 0,
                1,
                NETWORKDAYS(IF(NOT(ISBLANK(V82)), V82, U82), W82, Holiday_Dates)
                - IF(IF(NOT(ISBLANK(V82)), V82, U82) = W82, 0, 1)
            )
        )
    ),
    ""
)</f>
        <v/>
      </c>
      <c r="AB82" s="476" t="str">
        <f>IFERROR(
    IF(
        OR(ISBLANK(W82), ISBLANK(X82)),
        "",
        MAX(
            1,
            IF(
                NETWORKDAYS(W82, X82, Holiday_Dates) &lt;= 0,
                1,
                NETWORKDAYS(W82, X82, Holiday_Dates) - IF(W82 = X82, 0, 1)
            )
        )
    ),
    ""
)</f>
        <v/>
      </c>
      <c r="AC82" s="473"/>
      <c r="AD82" s="49"/>
      <c r="AE82" s="336"/>
      <c r="AF82" s="491"/>
      <c r="AG82" s="339"/>
      <c r="AH82" s="478"/>
      <c r="AI82" s="49"/>
      <c r="AJ82" s="49"/>
      <c r="AK82" s="49"/>
      <c r="AL82" s="49"/>
      <c r="AM82" s="49"/>
      <c r="AN82" s="49"/>
      <c r="AO82" s="337"/>
      <c r="AP82" s="49"/>
      <c r="AQ82" s="49"/>
      <c r="AR82" s="488"/>
      <c r="AS82" s="489"/>
      <c r="AT82" s="488"/>
      <c r="AU82" s="489"/>
      <c r="AV82" s="488"/>
      <c r="AW82" s="489"/>
      <c r="AX82" s="489"/>
      <c r="AY82" s="489"/>
      <c r="AZ82" s="489"/>
      <c r="BA82" s="489"/>
      <c r="BB82" s="566">
        <f t="shared" si="8"/>
        <v>0</v>
      </c>
      <c r="BC82" s="563">
        <f t="shared" si="11"/>
        <v>0</v>
      </c>
    </row>
    <row r="83" spans="1:55">
      <c r="A83" s="470" t="s">
        <v>47</v>
      </c>
      <c r="B83" s="471" t="s">
        <v>468</v>
      </c>
      <c r="C83" s="471" t="str">
        <f t="shared" si="9"/>
        <v>Aurora, Dilasag</v>
      </c>
      <c r="D83" s="470" t="s">
        <v>89</v>
      </c>
      <c r="E83" s="470" t="s">
        <v>259</v>
      </c>
      <c r="F83" s="473">
        <v>16.392731000000001</v>
      </c>
      <c r="G83" s="473">
        <v>122.211731</v>
      </c>
      <c r="H83" s="473" t="str">
        <f t="shared" si="10"/>
        <v>16.392731,122.211731</v>
      </c>
      <c r="I83" s="473" t="s">
        <v>99</v>
      </c>
      <c r="J83" s="473" t="s">
        <v>469</v>
      </c>
      <c r="K83" s="473" t="s">
        <v>291</v>
      </c>
      <c r="L83" s="473">
        <v>2018</v>
      </c>
      <c r="M83" s="473">
        <v>2027</v>
      </c>
      <c r="N83" s="473"/>
      <c r="O83" s="473" t="s">
        <v>335</v>
      </c>
      <c r="P83" s="473"/>
      <c r="Q83" s="475" t="s">
        <v>128</v>
      </c>
      <c r="R83" s="473"/>
      <c r="S83" s="339"/>
      <c r="T83" s="480"/>
      <c r="U83" s="480"/>
      <c r="V83" s="480"/>
      <c r="W83" s="480"/>
      <c r="X83" s="337"/>
      <c r="Y83" s="476" t="str">
        <f>IFERROR(
    IF(
        OR(ISBLANK(T83), ISBLANK(U83)),
        "",
        MAX(
            1,
            IF(
                NETWORKDAYS(T83, U83, Holiday_Dates) &lt;= 0,
                1,
                NETWORKDAYS(T83, U83, Holiday_Dates) - IF(T83 = U83, 0, 1)
            )
        )
    ),
    ""
)</f>
        <v/>
      </c>
      <c r="Z83" s="476" t="str">
        <f>IF(
    OR(ISBLANK(U83), ISBLANK(V83)),
    "",
    MAX(
        1,
        IF(
            NETWORKDAYS(U83, V83, Holiday_Dates) &lt;= 0,
            1,
            NETWORKDAYS(U83, V83, Holiday_Dates) - IF(U83 = V83, 0, 1)
        )
    )
)</f>
        <v/>
      </c>
      <c r="AA83" s="476" t="str">
        <f>IFERROR(
    IF(
        OR(ISBLANK(W83), AND(ISBLANK(U83), ISBLANK(V83))),
        "",
        MAX(
            1,
            IF(
                NETWORKDAYS(IF(NOT(ISBLANK(V83)), V83, U83), W83, Holiday_Dates) &lt;= 0,
                1,
                NETWORKDAYS(IF(NOT(ISBLANK(V83)), V83, U83), W83, Holiday_Dates)
                - IF(IF(NOT(ISBLANK(V83)), V83, U83) = W83, 0, 1)
            )
        )
    ),
    ""
)</f>
        <v/>
      </c>
      <c r="AB83" s="476" t="str">
        <f>IFERROR(
    IF(
        OR(ISBLANK(W83), ISBLANK(X83)),
        "",
        MAX(
            1,
            IF(
                NETWORKDAYS(W83, X83, Holiday_Dates) &lt;= 0,
                1,
                NETWORKDAYS(W83, X83, Holiday_Dates) - IF(W83 = X83, 0, 1)
            )
        )
    ),
    ""
)</f>
        <v/>
      </c>
      <c r="AC83" s="339"/>
      <c r="AD83" s="49"/>
      <c r="AE83" s="49"/>
      <c r="AF83" s="49"/>
      <c r="AG83" s="339"/>
      <c r="AH83" s="478"/>
      <c r="AI83" s="339"/>
      <c r="AJ83" s="339"/>
      <c r="AK83" s="339"/>
      <c r="AL83" s="339"/>
      <c r="AM83" s="339"/>
      <c r="AN83" s="339"/>
      <c r="AO83" s="480"/>
      <c r="AP83" s="473"/>
      <c r="AQ83" s="473"/>
      <c r="AR83" s="488"/>
      <c r="AS83" s="489"/>
      <c r="AT83" s="488"/>
      <c r="AU83" s="489"/>
      <c r="AV83" s="489"/>
      <c r="AW83" s="489"/>
      <c r="AX83" s="489"/>
      <c r="AY83" s="489"/>
      <c r="AZ83" s="489"/>
      <c r="BA83" s="489"/>
      <c r="BB83" s="566">
        <f t="shared" si="8"/>
        <v>0</v>
      </c>
      <c r="BC83" s="563">
        <f t="shared" si="11"/>
        <v>0</v>
      </c>
    </row>
    <row r="84" spans="1:55">
      <c r="A84" s="470" t="s">
        <v>47</v>
      </c>
      <c r="B84" s="471" t="s">
        <v>470</v>
      </c>
      <c r="C84" s="471" t="str">
        <f t="shared" si="9"/>
        <v>Aurora, Dinalungan</v>
      </c>
      <c r="D84" s="470" t="s">
        <v>89</v>
      </c>
      <c r="E84" s="470" t="s">
        <v>259</v>
      </c>
      <c r="F84" s="473">
        <v>16.140246999999999</v>
      </c>
      <c r="G84" s="473">
        <v>121.957053</v>
      </c>
      <c r="H84" s="473" t="str">
        <f t="shared" si="10"/>
        <v>16.140247,121.957053</v>
      </c>
      <c r="I84" s="473" t="s">
        <v>99</v>
      </c>
      <c r="J84" s="473" t="s">
        <v>471</v>
      </c>
      <c r="K84" s="473" t="s">
        <v>291</v>
      </c>
      <c r="L84" s="473">
        <v>2020</v>
      </c>
      <c r="M84" s="473">
        <v>2027</v>
      </c>
      <c r="N84" s="473"/>
      <c r="O84" s="473" t="s">
        <v>335</v>
      </c>
      <c r="P84" s="473"/>
      <c r="Q84" s="475" t="s">
        <v>128</v>
      </c>
      <c r="R84" s="473"/>
      <c r="S84" s="339"/>
      <c r="T84" s="480"/>
      <c r="U84" s="337"/>
      <c r="V84" s="337"/>
      <c r="W84" s="337"/>
      <c r="X84" s="337"/>
      <c r="Y84" s="476" t="str">
        <f>IFERROR(
    IF(
        OR(ISBLANK(T84), ISBLANK(U84)),
        "",
        MAX(
            1,
            IF(
                NETWORKDAYS(T84, U84, Holiday_Dates) &lt;= 0,
                1,
                NETWORKDAYS(T84, U84, Holiday_Dates) - IF(T84 = U84, 0, 1)
            )
        )
    ),
    ""
)</f>
        <v/>
      </c>
      <c r="Z84" s="476" t="str">
        <f>IF(
    OR(ISBLANK(U84), ISBLANK(V84)),
    "",
    MAX(
        1,
        IF(
            NETWORKDAYS(U84, V84, Holiday_Dates) &lt;= 0,
            1,
            NETWORKDAYS(U84, V84, Holiday_Dates) - IF(U84 = V84, 0, 1)
        )
    )
)</f>
        <v/>
      </c>
      <c r="AA84" s="476" t="str">
        <f>IFERROR(
    IF(
        OR(ISBLANK(W84), AND(ISBLANK(U84), ISBLANK(V84))),
        "",
        MAX(
            1,
            IF(
                NETWORKDAYS(IF(NOT(ISBLANK(V84)), V84, U84), W84, Holiday_Dates) &lt;= 0,
                1,
                NETWORKDAYS(IF(NOT(ISBLANK(V84)), V84, U84), W84, Holiday_Dates)
                - IF(IF(NOT(ISBLANK(V84)), V84, U84) = W84, 0, 1)
            )
        )
    ),
    ""
)</f>
        <v/>
      </c>
      <c r="AB84" s="476" t="str">
        <f>IFERROR(
    IF(
        OR(ISBLANK(W84), ISBLANK(X84)),
        "",
        MAX(
            1,
            IF(
                NETWORKDAYS(W84, X84, Holiday_Dates) &lt;= 0,
                1,
                NETWORKDAYS(W84, X84, Holiday_Dates) - IF(W84 = X84, 0, 1)
            )
        )
    ),
    ""
)</f>
        <v/>
      </c>
      <c r="AC84" s="339"/>
      <c r="AD84" s="49"/>
      <c r="AE84" s="336"/>
      <c r="AF84" s="49"/>
      <c r="AG84" s="339"/>
      <c r="AH84" s="478"/>
      <c r="AI84" s="479"/>
      <c r="AJ84" s="479"/>
      <c r="AK84" s="479"/>
      <c r="AL84" s="479"/>
      <c r="AM84" s="339"/>
      <c r="AN84" s="479"/>
      <c r="AO84" s="480"/>
      <c r="AP84" s="473"/>
      <c r="AQ84" s="473"/>
      <c r="AR84" s="488"/>
      <c r="AS84" s="489"/>
      <c r="AT84" s="488"/>
      <c r="AU84" s="489"/>
      <c r="AV84" s="489"/>
      <c r="AW84" s="489"/>
      <c r="AX84" s="489"/>
      <c r="AY84" s="489"/>
      <c r="AZ84" s="489"/>
      <c r="BA84" s="489"/>
      <c r="BB84" s="566">
        <f t="shared" si="8"/>
        <v>0</v>
      </c>
      <c r="BC84" s="563">
        <f t="shared" si="11"/>
        <v>0</v>
      </c>
    </row>
    <row r="85" spans="1:55">
      <c r="A85" s="470" t="s">
        <v>47</v>
      </c>
      <c r="B85" s="471" t="s">
        <v>472</v>
      </c>
      <c r="C85" s="471" t="str">
        <f t="shared" si="9"/>
        <v>Aurora, Dingalan</v>
      </c>
      <c r="D85" s="470" t="s">
        <v>89</v>
      </c>
      <c r="E85" s="470" t="s">
        <v>259</v>
      </c>
      <c r="F85" s="472">
        <v>15.388964</v>
      </c>
      <c r="G85" s="472">
        <v>121.39117</v>
      </c>
      <c r="H85" s="473" t="str">
        <f t="shared" si="10"/>
        <v>15.388964,121.39117</v>
      </c>
      <c r="I85" s="473" t="s">
        <v>99</v>
      </c>
      <c r="J85" s="473" t="s">
        <v>473</v>
      </c>
      <c r="K85" s="472" t="s">
        <v>291</v>
      </c>
      <c r="L85" s="472">
        <v>2019</v>
      </c>
      <c r="M85" s="472">
        <v>2027</v>
      </c>
      <c r="N85" s="472"/>
      <c r="O85" s="472" t="s">
        <v>14</v>
      </c>
      <c r="P85" s="472"/>
      <c r="Q85" s="475" t="s">
        <v>128</v>
      </c>
      <c r="R85" s="473"/>
      <c r="S85" s="49"/>
      <c r="T85" s="337"/>
      <c r="U85" s="480"/>
      <c r="V85" s="480"/>
      <c r="W85" s="480"/>
      <c r="X85" s="337"/>
      <c r="Y85" s="476" t="str">
        <f>IFERROR(
    IF(
        OR(ISBLANK(T85), ISBLANK(U85)),
        "",
        MAX(
            1,
            IF(
                NETWORKDAYS(T85, U85, Holiday_Dates) &lt;= 0,
                1,
                NETWORKDAYS(T85, U85, Holiday_Dates) - IF(T85 = U85, 0, 1)
            )
        )
    ),
    ""
)</f>
        <v/>
      </c>
      <c r="Z85" s="476" t="str">
        <f>IF(
    OR(ISBLANK(U85), ISBLANK(V85)),
    "",
    MAX(
        1,
        IF(
            NETWORKDAYS(U85, V85, Holiday_Dates) &lt;= 0,
            1,
            NETWORKDAYS(U85, V85, Holiday_Dates) - IF(U85 = V85, 0, 1)
        )
    )
)</f>
        <v/>
      </c>
      <c r="AA85" s="476" t="str">
        <f>IFERROR(
    IF(
        OR(ISBLANK(W85), AND(ISBLANK(U85), ISBLANK(V85))),
        "",
        MAX(
            1,
            IF(
                NETWORKDAYS(IF(NOT(ISBLANK(V85)), V85, U85), W85, Holiday_Dates) &lt;= 0,
                1,
                NETWORKDAYS(IF(NOT(ISBLANK(V85)), V85, U85), W85, Holiday_Dates)
                - IF(IF(NOT(ISBLANK(V85)), V85, U85) = W85, 0, 1)
            )
        )
    ),
    ""
)</f>
        <v/>
      </c>
      <c r="AB85" s="476" t="str">
        <f>IFERROR(
    IF(
        OR(ISBLANK(W85), ISBLANK(X85)),
        "",
        MAX(
            1,
            IF(
                NETWORKDAYS(W85, X85, Holiday_Dates) &lt;= 0,
                1,
                NETWORKDAYS(W85, X85, Holiday_Dates) - IF(W85 = X85, 0, 1)
            )
        )
    ),
    ""
)</f>
        <v/>
      </c>
      <c r="AC85" s="339"/>
      <c r="AD85" s="49"/>
      <c r="AE85" s="49"/>
      <c r="AF85" s="49"/>
      <c r="AG85" s="339"/>
      <c r="AH85" s="478"/>
      <c r="AI85" s="49"/>
      <c r="AJ85" s="49"/>
      <c r="AK85" s="49"/>
      <c r="AL85" s="49"/>
      <c r="AM85" s="49"/>
      <c r="AN85" s="49"/>
      <c r="AO85" s="337"/>
      <c r="AP85" s="473"/>
      <c r="AQ85" s="473"/>
      <c r="AR85" s="626"/>
      <c r="AT85" s="626"/>
      <c r="AV85" s="626"/>
      <c r="AX85" s="626"/>
      <c r="BA85" s="489"/>
      <c r="BB85" s="566">
        <f t="shared" si="8"/>
        <v>0</v>
      </c>
      <c r="BC85" s="563">
        <f t="shared" si="11"/>
        <v>0</v>
      </c>
    </row>
    <row r="86" spans="1:55">
      <c r="A86" s="470" t="s">
        <v>47</v>
      </c>
      <c r="B86" s="471" t="s">
        <v>474</v>
      </c>
      <c r="C86" s="471" t="str">
        <f t="shared" si="9"/>
        <v>Aurora, Dipaculao</v>
      </c>
      <c r="D86" s="470" t="s">
        <v>89</v>
      </c>
      <c r="E86" s="470" t="s">
        <v>259</v>
      </c>
      <c r="F86" s="472">
        <v>15.848967</v>
      </c>
      <c r="G86" s="472">
        <v>121.537459</v>
      </c>
      <c r="H86" s="473" t="str">
        <f t="shared" si="10"/>
        <v>15.848967,121.537459</v>
      </c>
      <c r="I86" s="473" t="s">
        <v>99</v>
      </c>
      <c r="J86" s="473" t="s">
        <v>475</v>
      </c>
      <c r="K86" s="472" t="s">
        <v>291</v>
      </c>
      <c r="L86" s="472">
        <v>2018</v>
      </c>
      <c r="M86" s="472">
        <v>2027</v>
      </c>
      <c r="N86" s="472"/>
      <c r="O86" s="473" t="s">
        <v>372</v>
      </c>
      <c r="P86" s="473"/>
      <c r="Q86" s="475" t="s">
        <v>128</v>
      </c>
      <c r="R86" s="473"/>
      <c r="S86" s="473"/>
      <c r="T86" s="480"/>
      <c r="U86" s="480"/>
      <c r="V86" s="480"/>
      <c r="W86" s="480"/>
      <c r="X86" s="337"/>
      <c r="Y86" s="476" t="str">
        <f>IFERROR(
    IF(
        OR(ISBLANK(T86), ISBLANK(U86)),
        "",
        MAX(
            1,
            IF(
                NETWORKDAYS(T86, U86, Holiday_Dates) &lt;= 0,
                1,
                NETWORKDAYS(T86, U86, Holiday_Dates) - IF(T86 = U86, 0, 1)
            )
        )
    ),
    ""
)</f>
        <v/>
      </c>
      <c r="Z86" s="476" t="str">
        <f>IF(
    OR(ISBLANK(U86), ISBLANK(V86)),
    "",
    MAX(
        1,
        IF(
            NETWORKDAYS(U86, V86, Holiday_Dates) &lt;= 0,
            1,
            NETWORKDAYS(U86, V86, Holiday_Dates) - IF(U86 = V86, 0, 1)
        )
    )
)</f>
        <v/>
      </c>
      <c r="AA86" s="476" t="str">
        <f>IFERROR(
    IF(
        OR(ISBLANK(W86), AND(ISBLANK(U86), ISBLANK(V86))),
        "",
        MAX(
            1,
            IF(
                NETWORKDAYS(IF(NOT(ISBLANK(V86)), V86, U86), W86, Holiday_Dates) &lt;= 0,
                1,
                NETWORKDAYS(IF(NOT(ISBLANK(V86)), V86, U86), W86, Holiday_Dates)
                - IF(IF(NOT(ISBLANK(V86)), V86, U86) = W86, 0, 1)
            )
        )
    ),
    ""
)</f>
        <v/>
      </c>
      <c r="AB86" s="476" t="str">
        <f>IFERROR(
    IF(
        OR(ISBLANK(W86), ISBLANK(X86)),
        "",
        MAX(
            1,
            IF(
                NETWORKDAYS(W86, X86, Holiday_Dates) &lt;= 0,
                1,
                NETWORKDAYS(W86, X86, Holiday_Dates) - IF(W86 = X86, 0, 1)
            )
        )
    ),
    ""
)</f>
        <v/>
      </c>
      <c r="AC86" s="339"/>
      <c r="AD86" s="49"/>
      <c r="AE86" s="336"/>
      <c r="AF86" s="49"/>
      <c r="AG86" s="339"/>
      <c r="AH86" s="478"/>
      <c r="AI86" s="479"/>
      <c r="AJ86" s="479"/>
      <c r="AK86" s="479"/>
      <c r="AL86" s="479"/>
      <c r="AM86" s="479"/>
      <c r="AN86" s="479"/>
      <c r="AO86" s="487"/>
      <c r="AP86" s="473"/>
      <c r="AQ86" s="49"/>
      <c r="AR86" s="488"/>
      <c r="AS86" s="489"/>
      <c r="AT86" s="488"/>
      <c r="AU86" s="489"/>
      <c r="AV86" s="488"/>
      <c r="AW86" s="489"/>
      <c r="AX86" s="488"/>
      <c r="AY86" s="489"/>
      <c r="AZ86" s="489"/>
      <c r="BA86" s="489"/>
      <c r="BB86" s="566">
        <f t="shared" si="8"/>
        <v>0</v>
      </c>
      <c r="BC86" s="563">
        <f t="shared" si="11"/>
        <v>0</v>
      </c>
    </row>
    <row r="87" spans="1:55">
      <c r="A87" s="470" t="s">
        <v>47</v>
      </c>
      <c r="B87" s="471" t="s">
        <v>476</v>
      </c>
      <c r="C87" s="471" t="str">
        <f t="shared" si="9"/>
        <v>Aurora, San Luis_A</v>
      </c>
      <c r="D87" s="470" t="s">
        <v>89</v>
      </c>
      <c r="E87" s="470" t="s">
        <v>259</v>
      </c>
      <c r="F87" s="472">
        <v>15.720408000000001</v>
      </c>
      <c r="G87" s="472">
        <v>121.520939</v>
      </c>
      <c r="H87" s="473" t="str">
        <f t="shared" si="10"/>
        <v>15.720408,121.520939</v>
      </c>
      <c r="I87" s="473" t="s">
        <v>99</v>
      </c>
      <c r="J87" s="473">
        <v>857</v>
      </c>
      <c r="K87" s="472" t="s">
        <v>252</v>
      </c>
      <c r="L87" s="472">
        <v>2018</v>
      </c>
      <c r="M87" s="472">
        <v>2027</v>
      </c>
      <c r="N87" s="472"/>
      <c r="O87" s="473" t="s">
        <v>372</v>
      </c>
      <c r="P87" s="473"/>
      <c r="Q87" s="475" t="s">
        <v>128</v>
      </c>
      <c r="R87" s="472"/>
      <c r="S87" s="49"/>
      <c r="T87" s="487"/>
      <c r="U87" s="487"/>
      <c r="V87" s="487"/>
      <c r="W87" s="487"/>
      <c r="X87" s="337"/>
      <c r="Y87" s="476" t="str">
        <f>IFERROR(
    IF(
        OR(ISBLANK(T87), ISBLANK(U87)),
        "",
        MAX(
            1,
            IF(
                NETWORKDAYS(T87, U87, Holiday_Dates) &lt;= 0,
                1,
                NETWORKDAYS(T87, U87, Holiday_Dates) - IF(T87 = U87, 0, 1)
            )
        )
    ),
    ""
)</f>
        <v/>
      </c>
      <c r="Z87" s="476" t="str">
        <f>IF(
    OR(ISBLANK(U87), ISBLANK(V87)),
    "",
    MAX(
        1,
        IF(
            NETWORKDAYS(U87, V87, Holiday_Dates) &lt;= 0,
            1,
            NETWORKDAYS(U87, V87, Holiday_Dates) - IF(U87 = V87, 0, 1)
        )
    )
)</f>
        <v/>
      </c>
      <c r="AA87" s="476" t="str">
        <f>IFERROR(
    IF(
        OR(ISBLANK(W87), AND(ISBLANK(U87), ISBLANK(V87))),
        "",
        MAX(
            1,
            IF(
                NETWORKDAYS(IF(NOT(ISBLANK(V87)), V87, U87), W87, Holiday_Dates) &lt;= 0,
                1,
                NETWORKDAYS(IF(NOT(ISBLANK(V87)), V87, U87), W87, Holiday_Dates)
                - IF(IF(NOT(ISBLANK(V87)), V87, U87) = W87, 0, 1)
            )
        )
    ),
    ""
)</f>
        <v/>
      </c>
      <c r="AB87" s="476" t="str">
        <f>IFERROR(
    IF(
        OR(ISBLANK(W87), ISBLANK(X87)),
        "",
        MAX(
            1,
            IF(
                NETWORKDAYS(W87, X87, Holiday_Dates) &lt;= 0,
                1,
                NETWORKDAYS(W87, X87, Holiday_Dates) - IF(W87 = X87, 0, 1)
            )
        )
    ),
    ""
)</f>
        <v/>
      </c>
      <c r="AC87" s="339"/>
      <c r="AD87" s="49"/>
      <c r="AE87" s="336"/>
      <c r="AF87" s="49"/>
      <c r="AG87" s="339"/>
      <c r="AH87" s="478"/>
      <c r="AI87" s="49"/>
      <c r="AJ87" s="49"/>
      <c r="AK87" s="49"/>
      <c r="AL87" s="49"/>
      <c r="AM87" s="49"/>
      <c r="AN87" s="49"/>
      <c r="AO87" s="337"/>
      <c r="AP87" s="473"/>
      <c r="AQ87" s="49"/>
      <c r="AR87" s="488"/>
      <c r="AS87" s="489"/>
      <c r="AT87" s="488"/>
      <c r="AU87" s="489"/>
      <c r="AV87" s="495"/>
      <c r="AW87" s="489"/>
      <c r="AX87" s="488"/>
      <c r="AY87" s="489"/>
      <c r="AZ87" s="489"/>
      <c r="BA87" s="489"/>
      <c r="BB87" s="566">
        <f t="shared" ref="BB87:BB118" si="12">SUM(AR87,AT87,AV87)</f>
        <v>0</v>
      </c>
      <c r="BC87" s="563">
        <f t="shared" si="11"/>
        <v>0</v>
      </c>
    </row>
    <row r="88" spans="1:55">
      <c r="A88" s="470" t="s">
        <v>48</v>
      </c>
      <c r="B88" s="471" t="s">
        <v>477</v>
      </c>
      <c r="C88" s="471" t="str">
        <f t="shared" si="9"/>
        <v>Bataan, Abucay</v>
      </c>
      <c r="D88" s="470" t="s">
        <v>88</v>
      </c>
      <c r="E88" s="470" t="s">
        <v>243</v>
      </c>
      <c r="F88" s="473">
        <v>14.722282999999999</v>
      </c>
      <c r="G88" s="473">
        <v>120.535442</v>
      </c>
      <c r="H88" s="473" t="str">
        <f t="shared" si="10"/>
        <v>14.722283,120.535442</v>
      </c>
      <c r="I88" s="473" t="s">
        <v>99</v>
      </c>
      <c r="J88" s="473" t="s">
        <v>478</v>
      </c>
      <c r="K88" s="473" t="s">
        <v>479</v>
      </c>
      <c r="L88" s="473">
        <v>2019</v>
      </c>
      <c r="M88" s="473">
        <v>2027</v>
      </c>
      <c r="N88" s="473"/>
      <c r="O88" s="473" t="s">
        <v>273</v>
      </c>
      <c r="P88" s="473"/>
      <c r="Q88" s="475" t="s">
        <v>129</v>
      </c>
      <c r="R88" s="473"/>
      <c r="S88" s="473"/>
      <c r="T88" s="480"/>
      <c r="U88" s="480"/>
      <c r="V88" s="480"/>
      <c r="W88" s="480"/>
      <c r="X88" s="337"/>
      <c r="Y88" s="476" t="str">
        <f>IFERROR(
    IF(
        OR(ISBLANK(T88), ISBLANK(U88)),
        "",
        MAX(
            1,
            IF(
                NETWORKDAYS(T88, U88, Holiday_Dates) &lt;= 0,
                1,
                NETWORKDAYS(T88, U88, Holiday_Dates) - IF(T88 = U88, 0, 1)
            )
        )
    ),
    ""
)</f>
        <v/>
      </c>
      <c r="Z88" s="476" t="str">
        <f>IF(
    OR(ISBLANK(U88), ISBLANK(V88)),
    "",
    MAX(
        1,
        IF(
            NETWORKDAYS(U88, V88, Holiday_Dates) &lt;= 0,
            1,
            NETWORKDAYS(U88, V88, Holiday_Dates) - IF(U88 = V88, 0, 1)
        )
    )
)</f>
        <v/>
      </c>
      <c r="AA88" s="476" t="str">
        <f>IFERROR(
    IF(
        OR(ISBLANK(W88), AND(ISBLANK(U88), ISBLANK(V88))),
        "",
        MAX(
            1,
            IF(
                NETWORKDAYS(IF(NOT(ISBLANK(V88)), V88, U88), W88, Holiday_Dates) &lt;= 0,
                1,
                NETWORKDAYS(IF(NOT(ISBLANK(V88)), V88, U88), W88, Holiday_Dates)
                - IF(IF(NOT(ISBLANK(V88)), V88, U88) = W88, 0, 1)
            )
        )
    ),
    ""
)</f>
        <v/>
      </c>
      <c r="AB88" s="476" t="str">
        <f>IFERROR(
    IF(
        OR(ISBLANK(W88), ISBLANK(X88)),
        "",
        MAX(
            1,
            IF(
                NETWORKDAYS(W88, X88, Holiday_Dates) &lt;= 0,
                1,
                NETWORKDAYS(W88, X88, Holiday_Dates) - IF(W88 = X88, 0, 1)
            )
        )
    ),
    ""
)</f>
        <v/>
      </c>
      <c r="AC88" s="339"/>
      <c r="AD88" s="49"/>
      <c r="AE88" s="336"/>
      <c r="AF88" s="49"/>
      <c r="AG88" s="339"/>
      <c r="AH88" s="478"/>
      <c r="AI88" s="339"/>
      <c r="AJ88" s="339"/>
      <c r="AK88" s="339"/>
      <c r="AL88" s="339"/>
      <c r="AM88" s="339"/>
      <c r="AN88" s="339"/>
      <c r="AO88" s="480"/>
      <c r="AP88" s="473"/>
      <c r="AQ88" s="49"/>
      <c r="AR88" s="488"/>
      <c r="AS88" s="489"/>
      <c r="AT88" s="488"/>
      <c r="AU88" s="489"/>
      <c r="AV88" s="488"/>
      <c r="AW88" s="489"/>
      <c r="AX88" s="489"/>
      <c r="AY88" s="489"/>
      <c r="AZ88" s="489"/>
      <c r="BA88" s="489"/>
      <c r="BB88" s="566">
        <f t="shared" si="12"/>
        <v>0</v>
      </c>
      <c r="BC88" s="563">
        <f t="shared" si="11"/>
        <v>0</v>
      </c>
    </row>
    <row r="89" spans="1:55">
      <c r="A89" s="470" t="s">
        <v>48</v>
      </c>
      <c r="B89" s="471" t="s">
        <v>480</v>
      </c>
      <c r="C89" s="471" t="str">
        <f t="shared" si="9"/>
        <v>Bataan, Hermosa</v>
      </c>
      <c r="D89" s="470" t="s">
        <v>88</v>
      </c>
      <c r="E89" s="470" t="s">
        <v>243</v>
      </c>
      <c r="F89" s="473">
        <v>14.830648999999999</v>
      </c>
      <c r="G89" s="473">
        <v>120.50856899999999</v>
      </c>
      <c r="H89" s="473" t="str">
        <f t="shared" si="10"/>
        <v>14.830649,120.508569</v>
      </c>
      <c r="I89" s="473" t="s">
        <v>99</v>
      </c>
      <c r="J89" s="473" t="s">
        <v>481</v>
      </c>
      <c r="K89" s="473" t="s">
        <v>291</v>
      </c>
      <c r="L89" s="473">
        <v>2018</v>
      </c>
      <c r="M89" s="473">
        <v>2027</v>
      </c>
      <c r="N89" s="473"/>
      <c r="O89" s="472" t="s">
        <v>217</v>
      </c>
      <c r="P89" s="472"/>
      <c r="Q89" s="475" t="s">
        <v>129</v>
      </c>
      <c r="R89" s="473"/>
      <c r="S89" s="473"/>
      <c r="T89" s="480"/>
      <c r="U89" s="480"/>
      <c r="V89" s="480"/>
      <c r="W89" s="480"/>
      <c r="X89" s="337"/>
      <c r="Y89" s="476" t="str">
        <f>IFERROR(
    IF(
        OR(ISBLANK(T89), ISBLANK(U89)),
        "",
        MAX(
            1,
            IF(
                NETWORKDAYS(T89, U89, Holiday_Dates) &lt;= 0,
                1,
                NETWORKDAYS(T89, U89, Holiday_Dates) - IF(T89 = U89, 0, 1)
            )
        )
    ),
    ""
)</f>
        <v/>
      </c>
      <c r="Z89" s="476" t="str">
        <f>IF(
    OR(ISBLANK(U89), ISBLANK(V89)),
    "",
    MAX(
        1,
        IF(
            NETWORKDAYS(U89, V89, Holiday_Dates) &lt;= 0,
            1,
            NETWORKDAYS(U89, V89, Holiday_Dates) - IF(U89 = V89, 0, 1)
        )
    )
)</f>
        <v/>
      </c>
      <c r="AA89" s="476" t="str">
        <f>IFERROR(
    IF(
        OR(ISBLANK(W89), AND(ISBLANK(U89), ISBLANK(V89))),
        "",
        MAX(
            1,
            IF(
                NETWORKDAYS(IF(NOT(ISBLANK(V89)), V89, U89), W89, Holiday_Dates) &lt;= 0,
                1,
                NETWORKDAYS(IF(NOT(ISBLANK(V89)), V89, U89), W89, Holiday_Dates)
                - IF(IF(NOT(ISBLANK(V89)), V89, U89) = W89, 0, 1)
            )
        )
    ),
    ""
)</f>
        <v/>
      </c>
      <c r="AB89" s="476" t="str">
        <f>IFERROR(
    IF(
        OR(ISBLANK(W89), ISBLANK(X89)),
        "",
        MAX(
            1,
            IF(
                NETWORKDAYS(W89, X89, Holiday_Dates) &lt;= 0,
                1,
                NETWORKDAYS(W89, X89, Holiday_Dates) - IF(W89 = X89, 0, 1)
            )
        )
    ),
    ""
)</f>
        <v/>
      </c>
      <c r="AC89" s="339"/>
      <c r="AD89" s="509"/>
      <c r="AE89" s="336"/>
      <c r="AF89" s="49"/>
      <c r="AG89" s="339"/>
      <c r="AH89" s="478"/>
      <c r="AI89" s="339"/>
      <c r="AJ89" s="339"/>
      <c r="AK89" s="339"/>
      <c r="AL89" s="339"/>
      <c r="AM89" s="339"/>
      <c r="AN89" s="339"/>
      <c r="AO89" s="480"/>
      <c r="AP89" s="473"/>
      <c r="AQ89" s="49"/>
      <c r="AR89" s="488"/>
      <c r="AS89" s="489"/>
      <c r="AT89" s="488"/>
      <c r="AU89" s="489"/>
      <c r="AV89" s="488"/>
      <c r="AW89" s="489"/>
      <c r="AX89" s="488"/>
      <c r="AY89" s="489"/>
      <c r="AZ89" s="489"/>
      <c r="BA89" s="489"/>
      <c r="BB89" s="566">
        <f t="shared" si="12"/>
        <v>0</v>
      </c>
      <c r="BC89" s="563">
        <f t="shared" si="11"/>
        <v>0</v>
      </c>
    </row>
    <row r="90" spans="1:55">
      <c r="A90" s="470" t="s">
        <v>48</v>
      </c>
      <c r="B90" s="471" t="s">
        <v>482</v>
      </c>
      <c r="C90" s="471" t="str">
        <f t="shared" si="9"/>
        <v>Bataan, Limay</v>
      </c>
      <c r="D90" s="470" t="s">
        <v>88</v>
      </c>
      <c r="E90" s="470" t="s">
        <v>271</v>
      </c>
      <c r="F90" s="472">
        <v>14.561871</v>
      </c>
      <c r="G90" s="472">
        <v>120.594915</v>
      </c>
      <c r="H90" s="473" t="str">
        <f t="shared" si="10"/>
        <v>14.561871,120.594915</v>
      </c>
      <c r="I90" s="473" t="s">
        <v>99</v>
      </c>
      <c r="J90" s="473" t="s">
        <v>483</v>
      </c>
      <c r="K90" s="472" t="s">
        <v>226</v>
      </c>
      <c r="L90" s="472">
        <v>2020</v>
      </c>
      <c r="M90" s="472">
        <v>2029</v>
      </c>
      <c r="N90" s="472"/>
      <c r="O90" s="472" t="s">
        <v>273</v>
      </c>
      <c r="P90" s="472"/>
      <c r="Q90" s="475" t="s">
        <v>129</v>
      </c>
      <c r="R90" s="472"/>
      <c r="S90" s="49"/>
      <c r="T90" s="490"/>
      <c r="U90" s="490"/>
      <c r="V90" s="490"/>
      <c r="W90" s="490"/>
      <c r="X90" s="337"/>
      <c r="Y90" s="476" t="str">
        <f>IFERROR(
    IF(
        OR(ISBLANK(T90), ISBLANK(U90)),
        "",
        MAX(
            1,
            IF(
                NETWORKDAYS(T90, U90, Holiday_Dates) &lt;= 0,
                1,
                NETWORKDAYS(T90, U90, Holiday_Dates) - IF(T90 = U90, 0, 1)
            )
        )
    ),
    ""
)</f>
        <v/>
      </c>
      <c r="Z90" s="476" t="str">
        <f>IF(
    OR(ISBLANK(U90), ISBLANK(V90)),
    "",
    MAX(
        1,
        IF(
            NETWORKDAYS(U90, V90, Holiday_Dates) &lt;= 0,
            1,
            NETWORKDAYS(U90, V90, Holiday_Dates) - IF(U90 = V90, 0, 1)
        )
    )
)</f>
        <v/>
      </c>
      <c r="AA90" s="476" t="str">
        <f>IFERROR(
    IF(
        OR(ISBLANK(W90), AND(ISBLANK(U90), ISBLANK(V90))),
        "",
        MAX(
            1,
            IF(
                NETWORKDAYS(IF(NOT(ISBLANK(V90)), V90, U90), W90, Holiday_Dates) &lt;= 0,
                1,
                NETWORKDAYS(IF(NOT(ISBLANK(V90)), V90, U90), W90, Holiday_Dates)
                - IF(IF(NOT(ISBLANK(V90)), V90, U90) = W90, 0, 1)
            )
        )
    ),
    ""
)</f>
        <v/>
      </c>
      <c r="AB90" s="476" t="str">
        <f>IFERROR(
    IF(
        OR(ISBLANK(W90), ISBLANK(X90)),
        "",
        MAX(
            1,
            IF(
                NETWORKDAYS(W90, X90, Holiday_Dates) &lt;= 0,
                1,
                NETWORKDAYS(W90, X90, Holiday_Dates) - IF(W90 = X90, 0, 1)
            )
        )
    ),
    ""
)</f>
        <v/>
      </c>
      <c r="AC90" s="339"/>
      <c r="AD90" s="49"/>
      <c r="AE90" s="336"/>
      <c r="AF90" s="49"/>
      <c r="AG90" s="339"/>
      <c r="AH90" s="478"/>
      <c r="AI90" s="479"/>
      <c r="AJ90" s="479"/>
      <c r="AK90" s="479"/>
      <c r="AL90" s="479"/>
      <c r="AM90" s="479"/>
      <c r="AN90" s="479"/>
      <c r="AO90" s="487"/>
      <c r="AP90" s="473"/>
      <c r="AQ90" s="49"/>
      <c r="AR90" s="488"/>
      <c r="AS90" s="489"/>
      <c r="AT90" s="488"/>
      <c r="AU90" s="489"/>
      <c r="AV90" s="488"/>
      <c r="AW90" s="489"/>
      <c r="AX90" s="488"/>
      <c r="AY90" s="489"/>
      <c r="AZ90" s="489"/>
      <c r="BA90" s="489"/>
      <c r="BB90" s="566">
        <f t="shared" si="12"/>
        <v>0</v>
      </c>
      <c r="BC90" s="563">
        <f t="shared" si="11"/>
        <v>0</v>
      </c>
    </row>
    <row r="91" spans="1:55">
      <c r="A91" s="470" t="s">
        <v>48</v>
      </c>
      <c r="B91" s="471" t="s">
        <v>484</v>
      </c>
      <c r="C91" s="471" t="str">
        <f t="shared" si="9"/>
        <v>Bataan, Morong</v>
      </c>
      <c r="D91" s="470" t="s">
        <v>88</v>
      </c>
      <c r="E91" s="470" t="s">
        <v>213</v>
      </c>
      <c r="F91" s="472">
        <v>14.678464</v>
      </c>
      <c r="G91" s="472">
        <v>120.265204</v>
      </c>
      <c r="H91" s="473" t="str">
        <f t="shared" si="10"/>
        <v>14.678464,120.265204</v>
      </c>
      <c r="I91" s="473" t="s">
        <v>99</v>
      </c>
      <c r="J91" s="473" t="s">
        <v>485</v>
      </c>
      <c r="K91" s="472" t="s">
        <v>291</v>
      </c>
      <c r="L91" s="472">
        <v>2018</v>
      </c>
      <c r="M91" s="472">
        <v>2027</v>
      </c>
      <c r="N91" s="472"/>
      <c r="O91" s="472" t="s">
        <v>19</v>
      </c>
      <c r="P91" s="472"/>
      <c r="Q91" s="475" t="s">
        <v>129</v>
      </c>
      <c r="R91" s="472"/>
      <c r="S91" s="49"/>
      <c r="T91" s="337"/>
      <c r="U91" s="490"/>
      <c r="V91" s="337"/>
      <c r="W91" s="490"/>
      <c r="X91" s="337"/>
      <c r="Y91" s="476" t="str">
        <f>IFERROR(
    IF(
        OR(ISBLANK(T91), ISBLANK(U91)),
        "",
        MAX(
            1,
            IF(
                NETWORKDAYS(T91, U91, Holiday_Dates) &lt;= 0,
                1,
                NETWORKDAYS(T91, U91, Holiday_Dates) - IF(T91 = U91, 0, 1)
            )
        )
    ),
    ""
)</f>
        <v/>
      </c>
      <c r="Z91" s="476" t="str">
        <f>IF(
    OR(ISBLANK(U91), ISBLANK(V91)),
    "",
    MAX(
        1,
        IF(
            NETWORKDAYS(U91, V91, Holiday_Dates) &lt;= 0,
            1,
            NETWORKDAYS(U91, V91, Holiday_Dates) - IF(U91 = V91, 0, 1)
        )
    )
)</f>
        <v/>
      </c>
      <c r="AA91" s="476" t="str">
        <f>IFERROR(
    IF(
        OR(ISBLANK(W91), AND(ISBLANK(U91), ISBLANK(V91))),
        "",
        MAX(
            1,
            IF(
                NETWORKDAYS(IF(NOT(ISBLANK(V91)), V91, U91), W91, Holiday_Dates) &lt;= 0,
                1,
                NETWORKDAYS(IF(NOT(ISBLANK(V91)), V91, U91), W91, Holiday_Dates)
                - IF(IF(NOT(ISBLANK(V91)), V91, U91) = W91, 0, 1)
            )
        )
    ),
    ""
)</f>
        <v/>
      </c>
      <c r="AB91" s="476" t="str">
        <f>IFERROR(
    IF(
        OR(ISBLANK(W91), ISBLANK(X91)),
        "",
        MAX(
            1,
            IF(
                NETWORKDAYS(W91, X91, Holiday_Dates) &lt;= 0,
                1,
                NETWORKDAYS(W91, X91, Holiday_Dates) - IF(W91 = X91, 0, 1)
            )
        )
    ),
    ""
)</f>
        <v/>
      </c>
      <c r="AC91" s="339"/>
      <c r="AD91" s="49"/>
      <c r="AE91" s="336"/>
      <c r="AF91" s="477"/>
      <c r="AG91" s="339"/>
      <c r="AH91" s="478"/>
      <c r="AI91" s="49"/>
      <c r="AJ91" s="49"/>
      <c r="AK91" s="49"/>
      <c r="AL91" s="339"/>
      <c r="AM91" s="49"/>
      <c r="AN91" s="49"/>
      <c r="AO91" s="337"/>
      <c r="AP91" s="473"/>
      <c r="AQ91" s="49"/>
      <c r="AR91" s="488"/>
      <c r="AS91" s="489"/>
      <c r="AT91" s="488"/>
      <c r="AU91" s="489"/>
      <c r="AV91" s="488"/>
      <c r="AW91" s="489"/>
      <c r="AX91" s="488"/>
      <c r="AY91" s="489"/>
      <c r="AZ91" s="489"/>
      <c r="BA91" s="489"/>
      <c r="BB91" s="566">
        <f t="shared" si="12"/>
        <v>0</v>
      </c>
      <c r="BC91" s="563">
        <f t="shared" si="11"/>
        <v>0</v>
      </c>
    </row>
    <row r="92" spans="1:55">
      <c r="A92" s="470" t="s">
        <v>48</v>
      </c>
      <c r="B92" s="471" t="s">
        <v>486</v>
      </c>
      <c r="C92" s="471" t="str">
        <f t="shared" si="9"/>
        <v>Bataan, Orani</v>
      </c>
      <c r="D92" s="470" t="s">
        <v>88</v>
      </c>
      <c r="E92" s="470" t="s">
        <v>243</v>
      </c>
      <c r="F92" s="473">
        <v>14.802092999999999</v>
      </c>
      <c r="G92" s="473">
        <v>120.536636</v>
      </c>
      <c r="H92" s="473" t="str">
        <f t="shared" si="10"/>
        <v>14.802093,120.536636</v>
      </c>
      <c r="I92" s="473" t="s">
        <v>99</v>
      </c>
      <c r="J92" s="473" t="s">
        <v>487</v>
      </c>
      <c r="K92" s="473" t="s">
        <v>396</v>
      </c>
      <c r="L92" s="473">
        <v>2018</v>
      </c>
      <c r="M92" s="473">
        <v>2028</v>
      </c>
      <c r="N92" s="473"/>
      <c r="O92" s="472" t="s">
        <v>217</v>
      </c>
      <c r="P92" s="472"/>
      <c r="Q92" s="475" t="s">
        <v>129</v>
      </c>
      <c r="R92" s="473"/>
      <c r="S92" s="473"/>
      <c r="T92" s="480"/>
      <c r="U92" s="480"/>
      <c r="V92" s="480"/>
      <c r="W92" s="480"/>
      <c r="X92" s="337"/>
      <c r="Y92" s="476" t="str">
        <f>IFERROR(
    IF(
        OR(ISBLANK(T92), ISBLANK(U92)),
        "",
        MAX(
            1,
            IF(
                NETWORKDAYS(T92, U92, Holiday_Dates) &lt;= 0,
                1,
                NETWORKDAYS(T92, U92, Holiday_Dates) - IF(T92 = U92, 0, 1)
            )
        )
    ),
    ""
)</f>
        <v/>
      </c>
      <c r="Z92" s="476" t="str">
        <f>IF(
    OR(ISBLANK(U92), ISBLANK(V92)),
    "",
    MAX(
        1,
        IF(
            NETWORKDAYS(U92, V92, Holiday_Dates) &lt;= 0,
            1,
            NETWORKDAYS(U92, V92, Holiday_Dates) - IF(U92 = V92, 0, 1)
        )
    )
)</f>
        <v/>
      </c>
      <c r="AA92" s="476" t="str">
        <f>IFERROR(
    IF(
        OR(ISBLANK(W92), AND(ISBLANK(U92), ISBLANK(V92))),
        "",
        MAX(
            1,
            IF(
                NETWORKDAYS(IF(NOT(ISBLANK(V92)), V92, U92), W92, Holiday_Dates) &lt;= 0,
                1,
                NETWORKDAYS(IF(NOT(ISBLANK(V92)), V92, U92), W92, Holiday_Dates)
                - IF(IF(NOT(ISBLANK(V92)), V92, U92) = W92, 0, 1)
            )
        )
    ),
    ""
)</f>
        <v/>
      </c>
      <c r="AB92" s="476" t="str">
        <f>IFERROR(
    IF(
        OR(ISBLANK(W92), ISBLANK(X92)),
        "",
        MAX(
            1,
            IF(
                NETWORKDAYS(W92, X92, Holiday_Dates) &lt;= 0,
                1,
                NETWORKDAYS(W92, X92, Holiday_Dates) - IF(W92 = X92, 0, 1)
            )
        )
    ),
    ""
)</f>
        <v/>
      </c>
      <c r="AC92" s="339"/>
      <c r="AD92" s="49"/>
      <c r="AE92" s="336"/>
      <c r="AF92" s="485"/>
      <c r="AG92" s="339"/>
      <c r="AH92" s="478"/>
      <c r="AI92" s="49"/>
      <c r="AJ92" s="49"/>
      <c r="AK92" s="49"/>
      <c r="AL92" s="49"/>
      <c r="AM92" s="49"/>
      <c r="AN92" s="49"/>
      <c r="AO92" s="480"/>
      <c r="AP92" s="473"/>
      <c r="AQ92" s="49"/>
      <c r="AR92" s="488"/>
      <c r="AS92" s="489"/>
      <c r="AT92" s="488"/>
      <c r="AU92" s="489"/>
      <c r="AV92" s="488"/>
      <c r="AW92" s="489"/>
      <c r="AX92" s="488"/>
      <c r="AY92" s="489"/>
      <c r="AZ92" s="488"/>
      <c r="BA92" s="489"/>
      <c r="BB92" s="566">
        <f t="shared" si="12"/>
        <v>0</v>
      </c>
      <c r="BC92" s="563">
        <f t="shared" si="11"/>
        <v>0</v>
      </c>
    </row>
    <row r="93" spans="1:55">
      <c r="A93" s="470" t="s">
        <v>49</v>
      </c>
      <c r="B93" s="471" t="s">
        <v>488</v>
      </c>
      <c r="C93" s="471" t="str">
        <f t="shared" si="9"/>
        <v>Bulacan, Angat</v>
      </c>
      <c r="D93" s="470" t="s">
        <v>88</v>
      </c>
      <c r="E93" s="470" t="s">
        <v>381</v>
      </c>
      <c r="F93" s="473">
        <v>14.928065309999999</v>
      </c>
      <c r="G93" s="473">
        <v>121.02828409999999</v>
      </c>
      <c r="H93" s="473" t="str">
        <f t="shared" si="10"/>
        <v>14.92806531,121.0282841</v>
      </c>
      <c r="I93" s="473" t="s">
        <v>99</v>
      </c>
      <c r="J93" s="473" t="s">
        <v>489</v>
      </c>
      <c r="K93" s="473" t="s">
        <v>291</v>
      </c>
      <c r="L93" s="473">
        <v>2018</v>
      </c>
      <c r="M93" s="473">
        <v>2027</v>
      </c>
      <c r="N93" s="473"/>
      <c r="O93" s="472" t="s">
        <v>344</v>
      </c>
      <c r="P93" s="472"/>
      <c r="Q93" s="475" t="s">
        <v>128</v>
      </c>
      <c r="R93" s="473"/>
      <c r="S93" s="495"/>
      <c r="T93" s="480"/>
      <c r="U93" s="480"/>
      <c r="V93" s="480"/>
      <c r="W93" s="480"/>
      <c r="X93" s="337"/>
      <c r="Y93" s="476" t="str">
        <f>IFERROR(
    IF(
        OR(ISBLANK(T93), ISBLANK(U93)),
        "",
        MAX(
            1,
            IF(
                NETWORKDAYS(T93, U93, Holiday_Dates) &lt;= 0,
                1,
                NETWORKDAYS(T93, U93, Holiday_Dates) - IF(T93 = U93, 0, 1)
            )
        )
    ),
    ""
)</f>
        <v/>
      </c>
      <c r="Z93" s="476" t="str">
        <f>IF(
    OR(ISBLANK(U93), ISBLANK(V93)),
    "",
    MAX(
        1,
        IF(
            NETWORKDAYS(U93, V93, Holiday_Dates) &lt;= 0,
            1,
            NETWORKDAYS(U93, V93, Holiday_Dates) - IF(U93 = V93, 0, 1)
        )
    )
)</f>
        <v/>
      </c>
      <c r="AA93" s="476" t="str">
        <f>IFERROR(
    IF(
        OR(ISBLANK(W93), AND(ISBLANK(U93), ISBLANK(V93))),
        "",
        MAX(
            1,
            IF(
                NETWORKDAYS(IF(NOT(ISBLANK(V93)), V93, U93), W93, Holiday_Dates) &lt;= 0,
                1,
                NETWORKDAYS(IF(NOT(ISBLANK(V93)), V93, U93), W93, Holiday_Dates)
                - IF(IF(NOT(ISBLANK(V93)), V93, U93) = W93, 0, 1)
            )
        )
    ),
    ""
)</f>
        <v/>
      </c>
      <c r="AB93" s="476" t="str">
        <f>IFERROR(
    IF(
        OR(ISBLANK(W93), ISBLANK(X93)),
        "",
        MAX(
            1,
            IF(
                NETWORKDAYS(W93, X93, Holiday_Dates) &lt;= 0,
                1,
                NETWORKDAYS(W93, X93, Holiday_Dates) - IF(W93 = X93, 0, 1)
            )
        )
    ),
    ""
)</f>
        <v/>
      </c>
      <c r="AC93" s="339"/>
      <c r="AD93" s="49"/>
      <c r="AE93" s="336"/>
      <c r="AF93" s="49"/>
      <c r="AG93" s="339"/>
      <c r="AH93" s="478"/>
      <c r="AI93" s="339"/>
      <c r="AJ93" s="339"/>
      <c r="AK93" s="339"/>
      <c r="AL93" s="339"/>
      <c r="AM93" s="339"/>
      <c r="AN93" s="339"/>
      <c r="AO93" s="480"/>
      <c r="AP93" s="473"/>
      <c r="AQ93" s="49"/>
      <c r="AR93" s="488"/>
      <c r="AS93" s="489"/>
      <c r="AT93" s="488"/>
      <c r="AU93" s="489"/>
      <c r="AV93" s="488"/>
      <c r="AW93" s="489"/>
      <c r="AX93" s="488"/>
      <c r="AY93" s="489"/>
      <c r="AZ93" s="489"/>
      <c r="BA93" s="489"/>
      <c r="BB93" s="566">
        <f t="shared" si="12"/>
        <v>0</v>
      </c>
      <c r="BC93" s="563">
        <f t="shared" si="11"/>
        <v>0</v>
      </c>
    </row>
    <row r="94" spans="1:55" ht="15.75">
      <c r="A94" s="470" t="s">
        <v>49</v>
      </c>
      <c r="B94" s="471" t="s">
        <v>490</v>
      </c>
      <c r="C94" s="471" t="str">
        <f t="shared" si="9"/>
        <v>Bulacan, Bustos</v>
      </c>
      <c r="D94" s="470" t="s">
        <v>88</v>
      </c>
      <c r="E94" s="470" t="s">
        <v>271</v>
      </c>
      <c r="F94" s="472">
        <v>14.95378487</v>
      </c>
      <c r="G94" s="472">
        <v>120.9188855</v>
      </c>
      <c r="H94" s="473" t="str">
        <f t="shared" si="10"/>
        <v>14.95378487,120.9188855</v>
      </c>
      <c r="I94" s="473" t="s">
        <v>99</v>
      </c>
      <c r="J94" s="473" t="s">
        <v>491</v>
      </c>
      <c r="K94" s="472" t="s">
        <v>291</v>
      </c>
      <c r="L94" s="472">
        <v>2019</v>
      </c>
      <c r="M94" s="472">
        <v>2027</v>
      </c>
      <c r="N94" s="472"/>
      <c r="O94" s="472" t="s">
        <v>344</v>
      </c>
      <c r="P94" s="472"/>
      <c r="Q94" s="475" t="s">
        <v>128</v>
      </c>
      <c r="R94" s="473"/>
      <c r="S94" s="472"/>
      <c r="T94" s="487"/>
      <c r="U94" s="487"/>
      <c r="V94" s="487"/>
      <c r="W94" s="487"/>
      <c r="X94" s="337"/>
      <c r="Y94" s="476" t="str">
        <f>IFERROR(
    IF(
        OR(ISBLANK(T94), ISBLANK(U94)),
        "",
        MAX(
            1,
            IF(
                NETWORKDAYS(T94, U94, Holiday_Dates) &lt;= 0,
                1,
                NETWORKDAYS(T94, U94, Holiday_Dates) - IF(T94 = U94, 0, 1)
            )
        )
    ),
    ""
)</f>
        <v/>
      </c>
      <c r="Z94" s="476" t="str">
        <f>IF(
    OR(ISBLANK(U94), ISBLANK(V94)),
    "",
    MAX(
        1,
        IF(
            NETWORKDAYS(U94, V94, Holiday_Dates) &lt;= 0,
            1,
            NETWORKDAYS(U94, V94, Holiday_Dates) - IF(U94 = V94, 0, 1)
        )
    )
)</f>
        <v/>
      </c>
      <c r="AA94" s="476" t="str">
        <f>IFERROR(
    IF(
        OR(ISBLANK(W94), AND(ISBLANK(U94), ISBLANK(V94))),
        "",
        MAX(
            1,
            IF(
                NETWORKDAYS(IF(NOT(ISBLANK(V94)), V94, U94), W94, Holiday_Dates) &lt;= 0,
                1,
                NETWORKDAYS(IF(NOT(ISBLANK(V94)), V94, U94), W94, Holiday_Dates)
                - IF(IF(NOT(ISBLANK(V94)), V94, U94) = W94, 0, 1)
            )
        )
    ),
    ""
)</f>
        <v/>
      </c>
      <c r="AB94" s="476" t="str">
        <f>IFERROR(
    IF(
        OR(ISBLANK(W94), ISBLANK(X94)),
        "",
        MAX(
            1,
            IF(
                NETWORKDAYS(W94, X94, Holiday_Dates) &lt;= 0,
                1,
                NETWORKDAYS(W94, X94, Holiday_Dates) - IF(W94 = X94, 0, 1)
            )
        )
    ),
    ""
)</f>
        <v/>
      </c>
      <c r="AC94" s="339"/>
      <c r="AD94" s="495"/>
      <c r="AE94" s="488"/>
      <c r="AF94" s="49"/>
      <c r="AG94" s="510"/>
      <c r="AH94" s="478"/>
      <c r="AI94" s="339"/>
      <c r="AJ94" s="339"/>
      <c r="AK94" s="339"/>
      <c r="AL94" s="339"/>
      <c r="AM94" s="339"/>
      <c r="AN94" s="339"/>
      <c r="AO94" s="487"/>
      <c r="AP94" s="473"/>
      <c r="AQ94" s="49"/>
      <c r="AR94" s="488"/>
      <c r="AS94" s="489"/>
      <c r="AT94" s="489"/>
      <c r="AU94" s="489"/>
      <c r="AV94" s="488"/>
      <c r="AW94" s="489"/>
      <c r="AX94" s="489"/>
      <c r="AY94" s="489"/>
      <c r="AZ94" s="489"/>
      <c r="BA94" s="489"/>
      <c r="BB94" s="566">
        <f t="shared" si="12"/>
        <v>0</v>
      </c>
      <c r="BC94" s="563">
        <f t="shared" si="11"/>
        <v>0</v>
      </c>
    </row>
    <row r="95" spans="1:55">
      <c r="A95" s="470" t="s">
        <v>49</v>
      </c>
      <c r="B95" s="471" t="s">
        <v>492</v>
      </c>
      <c r="C95" s="471" t="str">
        <f t="shared" si="9"/>
        <v>Bulacan, Calumpit</v>
      </c>
      <c r="D95" s="470" t="s">
        <v>88</v>
      </c>
      <c r="E95" s="470" t="s">
        <v>243</v>
      </c>
      <c r="F95" s="472">
        <v>14.913959999999999</v>
      </c>
      <c r="G95" s="472">
        <v>120.764777</v>
      </c>
      <c r="H95" s="473" t="str">
        <f t="shared" si="10"/>
        <v>14.91396,120.764777</v>
      </c>
      <c r="I95" s="473" t="s">
        <v>99</v>
      </c>
      <c r="J95" s="473" t="s">
        <v>493</v>
      </c>
      <c r="K95" s="472" t="s">
        <v>396</v>
      </c>
      <c r="L95" s="472">
        <v>2018</v>
      </c>
      <c r="M95" s="472">
        <v>2028</v>
      </c>
      <c r="N95" s="472"/>
      <c r="O95" s="472" t="s">
        <v>377</v>
      </c>
      <c r="P95" s="472"/>
      <c r="Q95" s="475" t="s">
        <v>128</v>
      </c>
      <c r="R95" s="473"/>
      <c r="S95" s="472"/>
      <c r="T95" s="487"/>
      <c r="U95" s="487"/>
      <c r="V95" s="487"/>
      <c r="W95" s="487"/>
      <c r="X95" s="337"/>
      <c r="Y95" s="476" t="str">
        <f>IFERROR(
    IF(
        OR(ISBLANK(T95), ISBLANK(U95)),
        "",
        MAX(
            1,
            IF(
                NETWORKDAYS(T95, U95, Holiday_Dates) &lt;= 0,
                1,
                NETWORKDAYS(T95, U95, Holiday_Dates) - IF(T95 = U95, 0, 1)
            )
        )
    ),
    ""
)</f>
        <v/>
      </c>
      <c r="Z95" s="476" t="str">
        <f>IF(
    OR(ISBLANK(U95), ISBLANK(V95)),
    "",
    MAX(
        1,
        IF(
            NETWORKDAYS(U95, V95, Holiday_Dates) &lt;= 0,
            1,
            NETWORKDAYS(U95, V95, Holiday_Dates) - IF(U95 = V95, 0, 1)
        )
    )
)</f>
        <v/>
      </c>
      <c r="AA95" s="476" t="str">
        <f>IFERROR(
    IF(
        OR(ISBLANK(W95), AND(ISBLANK(U95), ISBLANK(V95))),
        "",
        MAX(
            1,
            IF(
                NETWORKDAYS(IF(NOT(ISBLANK(V95)), V95, U95), W95, Holiday_Dates) &lt;= 0,
                1,
                NETWORKDAYS(IF(NOT(ISBLANK(V95)), V95, U95), W95, Holiday_Dates)
                - IF(IF(NOT(ISBLANK(V95)), V95, U95) = W95, 0, 1)
            )
        )
    ),
    ""
)</f>
        <v/>
      </c>
      <c r="AB95" s="476" t="str">
        <f>IFERROR(
    IF(
        OR(ISBLANK(W95), ISBLANK(X95)),
        "",
        MAX(
            1,
            IF(
                NETWORKDAYS(W95, X95, Holiday_Dates) &lt;= 0,
                1,
                NETWORKDAYS(W95, X95, Holiday_Dates) - IF(W95 = X95, 0, 1)
            )
        )
    ),
    ""
)</f>
        <v/>
      </c>
      <c r="AC95" s="339"/>
      <c r="AD95" s="49"/>
      <c r="AE95" s="336"/>
      <c r="AF95" s="49"/>
      <c r="AG95" s="339"/>
      <c r="AH95" s="478"/>
      <c r="AI95" s="339"/>
      <c r="AJ95" s="339"/>
      <c r="AK95" s="339"/>
      <c r="AL95" s="339"/>
      <c r="AM95" s="339"/>
      <c r="AN95" s="339"/>
      <c r="AO95" s="487"/>
      <c r="AP95" s="473"/>
      <c r="AQ95" s="49"/>
      <c r="AR95" s="488"/>
      <c r="AS95" s="489"/>
      <c r="AT95" s="488"/>
      <c r="AU95" s="489"/>
      <c r="AV95" s="488"/>
      <c r="AW95" s="489"/>
      <c r="AX95" s="488"/>
      <c r="AY95" s="489"/>
      <c r="AZ95" s="488"/>
      <c r="BA95" s="489"/>
      <c r="BB95" s="566">
        <f t="shared" si="12"/>
        <v>0</v>
      </c>
      <c r="BC95" s="563">
        <f t="shared" si="11"/>
        <v>0</v>
      </c>
    </row>
    <row r="96" spans="1:55">
      <c r="A96" s="470" t="s">
        <v>49</v>
      </c>
      <c r="B96" s="471" t="s">
        <v>494</v>
      </c>
      <c r="C96" s="471" t="str">
        <f t="shared" si="9"/>
        <v>Bulacan, City Of Malolos</v>
      </c>
      <c r="D96" s="470" t="s">
        <v>88</v>
      </c>
      <c r="E96" s="470" t="s">
        <v>243</v>
      </c>
      <c r="F96" s="472">
        <v>14.843702</v>
      </c>
      <c r="G96" s="472">
        <v>120.811145</v>
      </c>
      <c r="H96" s="473" t="str">
        <f t="shared" si="10"/>
        <v>14.843702,120.811145</v>
      </c>
      <c r="I96" s="473" t="s">
        <v>99</v>
      </c>
      <c r="J96" s="473" t="s">
        <v>495</v>
      </c>
      <c r="K96" s="472" t="s">
        <v>496</v>
      </c>
      <c r="L96" s="472">
        <v>2019</v>
      </c>
      <c r="M96" s="472">
        <v>2028</v>
      </c>
      <c r="N96" s="472"/>
      <c r="O96" s="472" t="s">
        <v>344</v>
      </c>
      <c r="P96" s="472"/>
      <c r="Q96" s="475" t="s">
        <v>128</v>
      </c>
      <c r="R96" s="473"/>
      <c r="S96" s="472"/>
      <c r="T96" s="337"/>
      <c r="U96" s="337"/>
      <c r="V96" s="337"/>
      <c r="W96" s="337"/>
      <c r="X96" s="337"/>
      <c r="Y96" s="476" t="str">
        <f>IFERROR(
    IF(
        OR(ISBLANK(T96), ISBLANK(U96)),
        "",
        MAX(
            1,
            IF(
                NETWORKDAYS(T96, U96, Holiday_Dates) &lt;= 0,
                1,
                NETWORKDAYS(T96, U96, Holiday_Dates) - IF(T96 = U96, 0, 1)
            )
        )
    ),
    ""
)</f>
        <v/>
      </c>
      <c r="Z96" s="476" t="str">
        <f>IF(
    OR(ISBLANK(U96), ISBLANK(V96)),
    "",
    MAX(
        1,
        IF(
            NETWORKDAYS(U96, V96, Holiday_Dates) &lt;= 0,
            1,
            NETWORKDAYS(U96, V96, Holiday_Dates) - IF(U96 = V96, 0, 1)
        )
    )
)</f>
        <v/>
      </c>
      <c r="AA96" s="476" t="str">
        <f>IFERROR(
    IF(
        OR(ISBLANK(W96), AND(ISBLANK(U96), ISBLANK(V96))),
        "",
        MAX(
            1,
            IF(
                NETWORKDAYS(IF(NOT(ISBLANK(V96)), V96, U96), W96, Holiday_Dates) &lt;= 0,
                1,
                NETWORKDAYS(IF(NOT(ISBLANK(V96)), V96, U96), W96, Holiday_Dates)
                - IF(IF(NOT(ISBLANK(V96)), V96, U96) = W96, 0, 1)
            )
        )
    ),
    ""
)</f>
        <v/>
      </c>
      <c r="AB96" s="476" t="str">
        <f>IFERROR(
    IF(
        OR(ISBLANK(W96), ISBLANK(X96)),
        "",
        MAX(
            1,
            IF(
                NETWORKDAYS(W96, X96, Holiday_Dates) &lt;= 0,
                1,
                NETWORKDAYS(W96, X96, Holiday_Dates) - IF(W96 = X96, 0, 1)
            )
        )
    ),
    ""
)</f>
        <v/>
      </c>
      <c r="AC96" s="339"/>
      <c r="AD96" s="49"/>
      <c r="AE96" s="49"/>
      <c r="AF96" s="49"/>
      <c r="AG96" s="339"/>
      <c r="AH96" s="478"/>
      <c r="AI96" s="339"/>
      <c r="AJ96" s="339"/>
      <c r="AK96" s="339"/>
      <c r="AL96" s="339"/>
      <c r="AM96" s="339"/>
      <c r="AN96" s="339"/>
      <c r="AO96" s="337"/>
      <c r="AP96" s="473"/>
      <c r="AQ96" s="49"/>
      <c r="AR96" s="488"/>
      <c r="AS96" s="489"/>
      <c r="AT96" s="488"/>
      <c r="AU96" s="489"/>
      <c r="AV96" s="488"/>
      <c r="AW96" s="489"/>
      <c r="AX96" s="488"/>
      <c r="AY96" s="489"/>
      <c r="AZ96" s="488"/>
      <c r="BA96" s="489"/>
      <c r="BB96" s="566">
        <f t="shared" si="12"/>
        <v>0</v>
      </c>
      <c r="BC96" s="563">
        <f t="shared" si="11"/>
        <v>0</v>
      </c>
    </row>
    <row r="97" spans="1:55">
      <c r="A97" s="470" t="s">
        <v>49</v>
      </c>
      <c r="B97" s="471" t="s">
        <v>497</v>
      </c>
      <c r="C97" s="471" t="str">
        <f t="shared" si="9"/>
        <v>Bulacan, Guiguinto</v>
      </c>
      <c r="D97" s="470" t="s">
        <v>88</v>
      </c>
      <c r="E97" s="470" t="s">
        <v>402</v>
      </c>
      <c r="F97" s="472">
        <v>14.8274194</v>
      </c>
      <c r="G97" s="472">
        <v>120.87897</v>
      </c>
      <c r="H97" s="473" t="str">
        <f t="shared" si="10"/>
        <v>14.8274194,120.87897</v>
      </c>
      <c r="I97" s="473" t="s">
        <v>99</v>
      </c>
      <c r="J97" s="473" t="s">
        <v>498</v>
      </c>
      <c r="K97" s="472" t="s">
        <v>291</v>
      </c>
      <c r="L97" s="472">
        <v>2018</v>
      </c>
      <c r="M97" s="472">
        <v>2027</v>
      </c>
      <c r="N97" s="472"/>
      <c r="O97" s="472" t="s">
        <v>135</v>
      </c>
      <c r="P97" s="472"/>
      <c r="Q97" s="475" t="s">
        <v>128</v>
      </c>
      <c r="R97" s="473"/>
      <c r="S97" s="339"/>
      <c r="T97" s="487"/>
      <c r="U97" s="487"/>
      <c r="V97" s="487"/>
      <c r="W97" s="487"/>
      <c r="X97" s="337"/>
      <c r="Y97" s="476" t="str">
        <f>IFERROR(
    IF(
        OR(ISBLANK(T97), ISBLANK(U97)),
        "",
        MAX(
            1,
            IF(
                NETWORKDAYS(T97, U97, Holiday_Dates) &lt;= 0,
                1,
                NETWORKDAYS(T97, U97, Holiday_Dates) - IF(T97 = U97, 0, 1)
            )
        )
    ),
    ""
)</f>
        <v/>
      </c>
      <c r="Z97" s="476" t="str">
        <f>IF(
    OR(ISBLANK(U97), ISBLANK(V97)),
    "",
    MAX(
        1,
        IF(
            NETWORKDAYS(U97, V97, Holiday_Dates) &lt;= 0,
            1,
            NETWORKDAYS(U97, V97, Holiday_Dates) - IF(U97 = V97, 0, 1)
        )
    )
)</f>
        <v/>
      </c>
      <c r="AA97" s="476" t="str">
        <f>IFERROR(
    IF(
        OR(ISBLANK(W97), AND(ISBLANK(U97), ISBLANK(V97))),
        "",
        MAX(
            1,
            IF(
                NETWORKDAYS(IF(NOT(ISBLANK(V97)), V97, U97), W97, Holiday_Dates) &lt;= 0,
                1,
                NETWORKDAYS(IF(NOT(ISBLANK(V97)), V97, U97), W97, Holiday_Dates)
                - IF(IF(NOT(ISBLANK(V97)), V97, U97) = W97, 0, 1)
            )
        )
    ),
    ""
)</f>
        <v/>
      </c>
      <c r="AB97" s="476" t="str">
        <f>IFERROR(
    IF(
        OR(ISBLANK(W97), ISBLANK(X97)),
        "",
        MAX(
            1,
            IF(
                NETWORKDAYS(W97, X97, Holiday_Dates) &lt;= 0,
                1,
                NETWORKDAYS(W97, X97, Holiday_Dates) - IF(W97 = X97, 0, 1)
            )
        )
    ),
    ""
)</f>
        <v/>
      </c>
      <c r="AC97" s="339"/>
      <c r="AD97" s="49"/>
      <c r="AE97" s="336"/>
      <c r="AF97" s="49"/>
      <c r="AG97" s="339"/>
      <c r="AH97" s="478"/>
      <c r="AI97" s="339"/>
      <c r="AJ97" s="339"/>
      <c r="AK97" s="339"/>
      <c r="AL97" s="339"/>
      <c r="AM97" s="339"/>
      <c r="AN97" s="339"/>
      <c r="AO97" s="487"/>
      <c r="AP97" s="473"/>
      <c r="AQ97" s="49"/>
      <c r="AR97" s="488"/>
      <c r="AS97" s="489"/>
      <c r="AT97" s="488"/>
      <c r="AU97" s="489"/>
      <c r="AV97" s="488"/>
      <c r="AW97" s="489"/>
      <c r="AX97" s="488"/>
      <c r="AY97" s="489"/>
      <c r="AZ97" s="488"/>
      <c r="BA97" s="489"/>
      <c r="BB97" s="566">
        <f t="shared" si="12"/>
        <v>0</v>
      </c>
      <c r="BC97" s="563">
        <f t="shared" si="11"/>
        <v>0</v>
      </c>
    </row>
    <row r="98" spans="1:55">
      <c r="A98" s="470" t="s">
        <v>49</v>
      </c>
      <c r="B98" s="471" t="s">
        <v>499</v>
      </c>
      <c r="C98" s="471" t="str">
        <f t="shared" ref="C98:C127" si="13">CONCATENATE(A98,","," ",B98)</f>
        <v>Bulacan, Pandi</v>
      </c>
      <c r="D98" s="470" t="s">
        <v>88</v>
      </c>
      <c r="E98" s="470" t="s">
        <v>402</v>
      </c>
      <c r="F98" s="472">
        <v>14.86572366</v>
      </c>
      <c r="G98" s="472">
        <v>120.9581422</v>
      </c>
      <c r="H98" s="473" t="str">
        <f t="shared" ref="H98:H127" si="14">CONCATENATE(F98,",",G98)</f>
        <v>14.86572366,120.9581422</v>
      </c>
      <c r="I98" s="473" t="s">
        <v>99</v>
      </c>
      <c r="J98" s="473" t="s">
        <v>500</v>
      </c>
      <c r="K98" s="472" t="s">
        <v>426</v>
      </c>
      <c r="L98" s="472">
        <v>2020</v>
      </c>
      <c r="M98" s="472">
        <v>2028</v>
      </c>
      <c r="N98" s="472"/>
      <c r="O98" s="472" t="s">
        <v>344</v>
      </c>
      <c r="P98" s="472"/>
      <c r="Q98" s="475" t="s">
        <v>128</v>
      </c>
      <c r="R98" s="472"/>
      <c r="S98" s="49"/>
      <c r="T98" s="487"/>
      <c r="U98" s="487"/>
      <c r="V98" s="487"/>
      <c r="W98" s="487"/>
      <c r="X98" s="337"/>
      <c r="Y98" s="476" t="str">
        <f>IFERROR(
    IF(
        OR(ISBLANK(T98), ISBLANK(U98)),
        "",
        MAX(
            1,
            IF(
                NETWORKDAYS(T98, U98, Holiday_Dates) &lt;= 0,
                1,
                NETWORKDAYS(T98, U98, Holiday_Dates) - IF(T98 = U98, 0, 1)
            )
        )
    ),
    ""
)</f>
        <v/>
      </c>
      <c r="Z98" s="476" t="str">
        <f>IF(
    OR(ISBLANK(U98), ISBLANK(V98)),
    "",
    MAX(
        1,
        IF(
            NETWORKDAYS(U98, V98, Holiday_Dates) &lt;= 0,
            1,
            NETWORKDAYS(U98, V98, Holiday_Dates) - IF(U98 = V98, 0, 1)
        )
    )
)</f>
        <v/>
      </c>
      <c r="AA98" s="476" t="str">
        <f>IFERROR(
    IF(
        OR(ISBLANK(W98), AND(ISBLANK(U98), ISBLANK(V98))),
        "",
        MAX(
            1,
            IF(
                NETWORKDAYS(IF(NOT(ISBLANK(V98)), V98, U98), W98, Holiday_Dates) &lt;= 0,
                1,
                NETWORKDAYS(IF(NOT(ISBLANK(V98)), V98, U98), W98, Holiday_Dates)
                - IF(IF(NOT(ISBLANK(V98)), V98, U98) = W98, 0, 1)
            )
        )
    ),
    ""
)</f>
        <v/>
      </c>
      <c r="AB98" s="476" t="str">
        <f>IFERROR(
    IF(
        OR(ISBLANK(W98), ISBLANK(X98)),
        "",
        MAX(
            1,
            IF(
                NETWORKDAYS(W98, X98, Holiday_Dates) &lt;= 0,
                1,
                NETWORKDAYS(W98, X98, Holiday_Dates) - IF(W98 = X98, 0, 1)
            )
        )
    ),
    ""
)</f>
        <v/>
      </c>
      <c r="AC98" s="339"/>
      <c r="AD98" s="49"/>
      <c r="AE98" s="49"/>
      <c r="AF98" s="49"/>
      <c r="AG98" s="339"/>
      <c r="AH98" s="478"/>
      <c r="AI98" s="339"/>
      <c r="AJ98" s="339"/>
      <c r="AK98" s="339"/>
      <c r="AL98" s="339"/>
      <c r="AM98" s="339"/>
      <c r="AN98" s="339"/>
      <c r="AO98" s="487"/>
      <c r="AP98" s="473"/>
      <c r="AQ98" s="49"/>
      <c r="AR98" s="488"/>
      <c r="AS98" s="489"/>
      <c r="AT98" s="488"/>
      <c r="AU98" s="489"/>
      <c r="AV98" s="488"/>
      <c r="AW98" s="489"/>
      <c r="AX98" s="488"/>
      <c r="AY98" s="489"/>
      <c r="AZ98" s="488"/>
      <c r="BA98" s="489"/>
      <c r="BB98" s="566">
        <f t="shared" si="12"/>
        <v>0</v>
      </c>
      <c r="BC98" s="563">
        <f t="shared" ref="BC98:BC127" si="15">SUM(AS98,AU98,AW98)</f>
        <v>0</v>
      </c>
    </row>
    <row r="99" spans="1:55">
      <c r="A99" s="470" t="s">
        <v>49</v>
      </c>
      <c r="B99" s="471" t="s">
        <v>501</v>
      </c>
      <c r="C99" s="471" t="str">
        <f t="shared" si="13"/>
        <v>Bulacan, Paombong</v>
      </c>
      <c r="D99" s="470" t="s">
        <v>88</v>
      </c>
      <c r="E99" s="470" t="s">
        <v>243</v>
      </c>
      <c r="F99" s="472">
        <v>14.83651081</v>
      </c>
      <c r="G99" s="472">
        <v>120.7877692</v>
      </c>
      <c r="H99" s="473" t="str">
        <f t="shared" si="14"/>
        <v>14.83651081,120.7877692</v>
      </c>
      <c r="I99" s="473" t="s">
        <v>99</v>
      </c>
      <c r="J99" s="473" t="s">
        <v>502</v>
      </c>
      <c r="K99" s="472" t="s">
        <v>297</v>
      </c>
      <c r="L99" s="472">
        <v>2019</v>
      </c>
      <c r="M99" s="472">
        <v>2026</v>
      </c>
      <c r="N99" s="472"/>
      <c r="O99" s="472" t="s">
        <v>377</v>
      </c>
      <c r="P99" s="472"/>
      <c r="Q99" s="475" t="s">
        <v>128</v>
      </c>
      <c r="R99" s="472"/>
      <c r="S99" s="472"/>
      <c r="T99" s="337"/>
      <c r="U99" s="337"/>
      <c r="V99" s="337"/>
      <c r="W99" s="337"/>
      <c r="X99" s="337"/>
      <c r="Y99" s="476" t="str">
        <f>IFERROR(
    IF(
        OR(ISBLANK(T99), ISBLANK(U99)),
        "",
        MAX(
            1,
            IF(
                NETWORKDAYS(T99, U99, Holiday_Dates) &lt;= 0,
                1,
                NETWORKDAYS(T99, U99, Holiday_Dates) - IF(T99 = U99, 0, 1)
            )
        )
    ),
    ""
)</f>
        <v/>
      </c>
      <c r="Z99" s="476" t="str">
        <f>IF(
    OR(ISBLANK(U99), ISBLANK(V99)),
    "",
    MAX(
        1,
        IF(
            NETWORKDAYS(U99, V99, Holiday_Dates) &lt;= 0,
            1,
            NETWORKDAYS(U99, V99, Holiday_Dates) - IF(U99 = V99, 0, 1)
        )
    )
)</f>
        <v/>
      </c>
      <c r="AA99" s="476" t="str">
        <f>IFERROR(
    IF(
        OR(ISBLANK(W99), AND(ISBLANK(U99), ISBLANK(V99))),
        "",
        MAX(
            1,
            IF(
                NETWORKDAYS(IF(NOT(ISBLANK(V99)), V99, U99), W99, Holiday_Dates) &lt;= 0,
                1,
                NETWORKDAYS(IF(NOT(ISBLANK(V99)), V99, U99), W99, Holiday_Dates)
                - IF(IF(NOT(ISBLANK(V99)), V99, U99) = W99, 0, 1)
            )
        )
    ),
    ""
)</f>
        <v/>
      </c>
      <c r="AB99" s="476" t="str">
        <f>IFERROR(
    IF(
        OR(ISBLANK(W99), ISBLANK(X99)),
        "",
        MAX(
            1,
            IF(
                NETWORKDAYS(W99, X99, Holiday_Dates) &lt;= 0,
                1,
                NETWORKDAYS(W99, X99, Holiday_Dates) - IF(W99 = X99, 0, 1)
            )
        )
    ),
    ""
)</f>
        <v/>
      </c>
      <c r="AC99" s="339"/>
      <c r="AD99" s="49"/>
      <c r="AE99" s="336"/>
      <c r="AF99" s="49"/>
      <c r="AG99" s="339"/>
      <c r="AH99" s="478"/>
      <c r="AI99" s="339"/>
      <c r="AJ99" s="339"/>
      <c r="AK99" s="339"/>
      <c r="AL99" s="339"/>
      <c r="AM99" s="339"/>
      <c r="AN99" s="339"/>
      <c r="AO99" s="487"/>
      <c r="AP99" s="473"/>
      <c r="AQ99" s="49"/>
      <c r="AR99" s="488"/>
      <c r="AS99" s="489"/>
      <c r="AT99" s="488"/>
      <c r="AU99" s="489"/>
      <c r="AV99" s="488"/>
      <c r="AW99" s="489"/>
      <c r="AX99" s="488"/>
      <c r="AY99" s="489"/>
      <c r="AZ99" s="489"/>
      <c r="BA99" s="489"/>
      <c r="BB99" s="566">
        <f t="shared" si="12"/>
        <v>0</v>
      </c>
      <c r="BC99" s="563">
        <f t="shared" si="15"/>
        <v>0</v>
      </c>
    </row>
    <row r="100" spans="1:55">
      <c r="A100" s="470" t="s">
        <v>49</v>
      </c>
      <c r="B100" s="471" t="s">
        <v>503</v>
      </c>
      <c r="C100" s="471" t="str">
        <f t="shared" si="13"/>
        <v>Bulacan, Pulilan</v>
      </c>
      <c r="D100" s="470" t="s">
        <v>88</v>
      </c>
      <c r="E100" s="470" t="s">
        <v>243</v>
      </c>
      <c r="F100" s="472">
        <v>14.90110634</v>
      </c>
      <c r="G100" s="472">
        <v>120.84865379999999</v>
      </c>
      <c r="H100" s="473" t="str">
        <f t="shared" si="14"/>
        <v>14.90110634,120.8486538</v>
      </c>
      <c r="I100" s="473" t="s">
        <v>99</v>
      </c>
      <c r="J100" s="473" t="s">
        <v>504</v>
      </c>
      <c r="K100" s="472" t="s">
        <v>291</v>
      </c>
      <c r="L100" s="472">
        <v>2018</v>
      </c>
      <c r="M100" s="472">
        <v>2027</v>
      </c>
      <c r="N100" s="472"/>
      <c r="O100" s="472" t="s">
        <v>135</v>
      </c>
      <c r="P100" s="472"/>
      <c r="Q100" s="475" t="s">
        <v>128</v>
      </c>
      <c r="R100" s="473"/>
      <c r="S100" s="479"/>
      <c r="T100" s="487"/>
      <c r="U100" s="487"/>
      <c r="V100" s="487"/>
      <c r="W100" s="487"/>
      <c r="X100" s="337"/>
      <c r="Y100" s="476" t="str">
        <f>IFERROR(
    IF(
        OR(ISBLANK(T100), ISBLANK(U100)),
        "",
        MAX(
            1,
            IF(
                NETWORKDAYS(T100, U100, Holiday_Dates) &lt;= 0,
                1,
                NETWORKDAYS(T100, U100, Holiday_Dates) - IF(T100 = U100, 0, 1)
            )
        )
    ),
    ""
)</f>
        <v/>
      </c>
      <c r="Z100" s="476" t="str">
        <f>IF(
    OR(ISBLANK(U100), ISBLANK(V100)),
    "",
    MAX(
        1,
        IF(
            NETWORKDAYS(U100, V100, Holiday_Dates) &lt;= 0,
            1,
            NETWORKDAYS(U100, V100, Holiday_Dates) - IF(U100 = V100, 0, 1)
        )
    )
)</f>
        <v/>
      </c>
      <c r="AA100" s="476" t="str">
        <f>IFERROR(
    IF(
        OR(ISBLANK(W100), AND(ISBLANK(U100), ISBLANK(V100))),
        "",
        MAX(
            1,
            IF(
                NETWORKDAYS(IF(NOT(ISBLANK(V100)), V100, U100), W100, Holiday_Dates) &lt;= 0,
                1,
                NETWORKDAYS(IF(NOT(ISBLANK(V100)), V100, U100), W100, Holiday_Dates)
                - IF(IF(NOT(ISBLANK(V100)), V100, U100) = W100, 0, 1)
            )
        )
    ),
    ""
)</f>
        <v/>
      </c>
      <c r="AB100" s="476" t="str">
        <f>IFERROR(
    IF(
        OR(ISBLANK(W100), ISBLANK(X100)),
        "",
        MAX(
            1,
            IF(
                NETWORKDAYS(W100, X100, Holiday_Dates) &lt;= 0,
                1,
                NETWORKDAYS(W100, X100, Holiday_Dates) - IF(W100 = X100, 0, 1)
            )
        )
    ),
    ""
)</f>
        <v/>
      </c>
      <c r="AC100" s="339"/>
      <c r="AD100" s="49"/>
      <c r="AE100" s="336"/>
      <c r="AF100" s="49"/>
      <c r="AG100" s="339"/>
      <c r="AH100" s="478"/>
      <c r="AI100" s="339"/>
      <c r="AJ100" s="339"/>
      <c r="AK100" s="339"/>
      <c r="AL100" s="339"/>
      <c r="AM100" s="339"/>
      <c r="AN100" s="339"/>
      <c r="AO100" s="487"/>
      <c r="AP100" s="473"/>
      <c r="AQ100" s="49"/>
      <c r="AR100" s="488"/>
      <c r="AS100" s="489"/>
      <c r="AT100" s="488"/>
      <c r="AU100" s="489"/>
      <c r="AV100" s="488"/>
      <c r="AW100" s="489"/>
      <c r="AX100" s="488"/>
      <c r="AY100" s="489"/>
      <c r="AZ100" s="489"/>
      <c r="BA100" s="489"/>
      <c r="BB100" s="566">
        <f t="shared" si="12"/>
        <v>0</v>
      </c>
      <c r="BC100" s="563">
        <f t="shared" si="15"/>
        <v>0</v>
      </c>
    </row>
    <row r="101" spans="1:55">
      <c r="A101" s="470" t="s">
        <v>50</v>
      </c>
      <c r="B101" s="471" t="s">
        <v>505</v>
      </c>
      <c r="C101" s="471" t="str">
        <f t="shared" si="13"/>
        <v>Nueva Ecija, City Of Palayan</v>
      </c>
      <c r="D101" s="470" t="s">
        <v>88</v>
      </c>
      <c r="E101" s="470" t="s">
        <v>213</v>
      </c>
      <c r="F101" s="49">
        <v>15.563497</v>
      </c>
      <c r="G101" s="49">
        <v>121.10041</v>
      </c>
      <c r="H101" s="473" t="str">
        <f t="shared" si="14"/>
        <v>15.563497,121.10041</v>
      </c>
      <c r="I101" s="473" t="s">
        <v>99</v>
      </c>
      <c r="J101" s="473" t="s">
        <v>506</v>
      </c>
      <c r="K101" s="49" t="s">
        <v>291</v>
      </c>
      <c r="L101" s="49">
        <v>2019</v>
      </c>
      <c r="M101" s="49">
        <v>2027</v>
      </c>
      <c r="N101" s="49"/>
      <c r="O101" s="49" t="s">
        <v>26</v>
      </c>
      <c r="P101" s="49"/>
      <c r="Q101" s="475" t="s">
        <v>130</v>
      </c>
      <c r="R101" s="472"/>
      <c r="S101" s="49"/>
      <c r="T101" s="337"/>
      <c r="U101" s="337"/>
      <c r="V101" s="337"/>
      <c r="W101" s="337"/>
      <c r="X101" s="337"/>
      <c r="Y101" s="476" t="str">
        <f>IFERROR(
    IF(
        OR(ISBLANK(T101), ISBLANK(U101)),
        "",
        MAX(
            1,
            IF(
                NETWORKDAYS(T101, U101, Holiday_Dates) &lt;= 0,
                1,
                NETWORKDAYS(T101, U101, Holiday_Dates) - IF(T101 = U101, 0, 1)
            )
        )
    ),
    ""
)</f>
        <v/>
      </c>
      <c r="Z101" s="476" t="str">
        <f>IF(
    OR(ISBLANK(U101), ISBLANK(V101)),
    "",
    MAX(
        1,
        IF(
            NETWORKDAYS(U101, V101, Holiday_Dates) &lt;= 0,
            1,
            NETWORKDAYS(U101, V101, Holiday_Dates) - IF(U101 = V101, 0, 1)
        )
    )
)</f>
        <v/>
      </c>
      <c r="AA101" s="476" t="str">
        <f>IFERROR(
    IF(
        OR(ISBLANK(W101), AND(ISBLANK(U101), ISBLANK(V101))),
        "",
        MAX(
            1,
            IF(
                NETWORKDAYS(IF(NOT(ISBLANK(V101)), V101, U101), W101, Holiday_Dates) &lt;= 0,
                1,
                NETWORKDAYS(IF(NOT(ISBLANK(V101)), V101, U101), W101, Holiday_Dates)
                - IF(IF(NOT(ISBLANK(V101)), V101, U101) = W101, 0, 1)
            )
        )
    ),
    ""
)</f>
        <v/>
      </c>
      <c r="AB101" s="476" t="str">
        <f>IFERROR(
    IF(
        OR(ISBLANK(W101), ISBLANK(X101)),
        "",
        MAX(
            1,
            IF(
                NETWORKDAYS(W101, X101, Holiday_Dates) &lt;= 0,
                1,
                NETWORKDAYS(W101, X101, Holiday_Dates) - IF(W101 = X101, 0, 1)
            )
        )
    ),
    ""
)</f>
        <v/>
      </c>
      <c r="AC101" s="339"/>
      <c r="AD101" s="49"/>
      <c r="AE101" s="336"/>
      <c r="AF101" s="477"/>
      <c r="AG101" s="339"/>
      <c r="AH101" s="478"/>
      <c r="AI101" s="49"/>
      <c r="AJ101" s="49"/>
      <c r="AK101" s="49"/>
      <c r="AL101" s="49"/>
      <c r="AM101" s="49"/>
      <c r="AN101" s="49"/>
      <c r="AO101" s="337"/>
      <c r="AP101" s="49"/>
      <c r="AQ101" s="49"/>
      <c r="AR101" s="488"/>
      <c r="AS101" s="489"/>
      <c r="AT101" s="488"/>
      <c r="AU101" s="489"/>
      <c r="AV101" s="488"/>
      <c r="AW101" s="489"/>
      <c r="AX101" s="488"/>
      <c r="AY101" s="489"/>
      <c r="AZ101" s="489"/>
      <c r="BA101" s="489"/>
      <c r="BB101" s="566">
        <f t="shared" si="12"/>
        <v>0</v>
      </c>
      <c r="BC101" s="563">
        <f t="shared" si="15"/>
        <v>0</v>
      </c>
    </row>
    <row r="102" spans="1:55">
      <c r="A102" s="470" t="s">
        <v>50</v>
      </c>
      <c r="B102" s="471" t="s">
        <v>507</v>
      </c>
      <c r="C102" s="471" t="str">
        <f t="shared" si="13"/>
        <v>Nueva Ecija, Cuyapo</v>
      </c>
      <c r="D102" s="470" t="s">
        <v>89</v>
      </c>
      <c r="E102" s="470" t="s">
        <v>243</v>
      </c>
      <c r="F102" s="473">
        <v>15.778767999999999</v>
      </c>
      <c r="G102" s="473">
        <v>120.66394699999999</v>
      </c>
      <c r="H102" s="473" t="str">
        <f t="shared" si="14"/>
        <v>15.778768,120.663947</v>
      </c>
      <c r="I102" s="473" t="s">
        <v>99</v>
      </c>
      <c r="J102" s="473" t="s">
        <v>508</v>
      </c>
      <c r="K102" s="473" t="s">
        <v>291</v>
      </c>
      <c r="L102" s="473">
        <v>2019</v>
      </c>
      <c r="M102" s="473">
        <v>2027</v>
      </c>
      <c r="N102" s="473"/>
      <c r="O102" s="472" t="s">
        <v>29</v>
      </c>
      <c r="P102" s="472"/>
      <c r="Q102" s="475" t="s">
        <v>130</v>
      </c>
      <c r="R102" s="49"/>
      <c r="S102" s="339"/>
      <c r="T102" s="480"/>
      <c r="U102" s="480"/>
      <c r="V102" s="480"/>
      <c r="W102" s="480"/>
      <c r="X102" s="480"/>
      <c r="Y102" s="476" t="str">
        <f>IFERROR(
    IF(
        OR(ISBLANK(T102), ISBLANK(U102)),
        "",
        MAX(
            1,
            IF(
                NETWORKDAYS(T102, U102, Holiday_Dates) &lt;= 0,
                1,
                NETWORKDAYS(T102, U102, Holiday_Dates) - IF(T102 = U102, 0, 1)
            )
        )
    ),
    ""
)</f>
        <v/>
      </c>
      <c r="Z102" s="476" t="str">
        <f>IF(
    OR(ISBLANK(U102), ISBLANK(V102)),
    "",
    MAX(
        1,
        IF(
            NETWORKDAYS(U102, V102, Holiday_Dates) &lt;= 0,
            1,
            NETWORKDAYS(U102, V102, Holiday_Dates) - IF(U102 = V102, 0, 1)
        )
    )
)</f>
        <v/>
      </c>
      <c r="AA102" s="476" t="str">
        <f>IFERROR(
    IF(
        OR(ISBLANK(W102), AND(ISBLANK(U102), ISBLANK(V102))),
        "",
        MAX(
            1,
            IF(
                NETWORKDAYS(IF(NOT(ISBLANK(V102)), V102, U102), W102, Holiday_Dates) &lt;= 0,
                1,
                NETWORKDAYS(IF(NOT(ISBLANK(V102)), V102, U102), W102, Holiday_Dates)
                - IF(IF(NOT(ISBLANK(V102)), V102, U102) = W102, 0, 1)
            )
        )
    ),
    ""
)</f>
        <v/>
      </c>
      <c r="AB102" s="476" t="str">
        <f>IFERROR(
    IF(
        OR(ISBLANK(W102), ISBLANK(X102)),
        "",
        MAX(
            1,
            IF(
                NETWORKDAYS(W102, X102, Holiday_Dates) &lt;= 0,
                1,
                NETWORKDAYS(W102, X102, Holiday_Dates) - IF(W102 = X102, 0, 1)
            )
        )
    ),
    ""
)</f>
        <v/>
      </c>
      <c r="AC102" s="339"/>
      <c r="AD102" s="49"/>
      <c r="AE102" s="336"/>
      <c r="AF102" s="477"/>
      <c r="AG102" s="339"/>
      <c r="AH102" s="478"/>
      <c r="AI102" s="339"/>
      <c r="AJ102" s="339"/>
      <c r="AK102" s="339"/>
      <c r="AL102" s="339"/>
      <c r="AM102" s="339"/>
      <c r="AN102" s="339"/>
      <c r="AO102" s="480"/>
      <c r="AP102" s="473"/>
      <c r="AQ102" s="49"/>
      <c r="AR102" s="488"/>
      <c r="AS102" s="489"/>
      <c r="AT102" s="488"/>
      <c r="AU102" s="489"/>
      <c r="AV102" s="488"/>
      <c r="AW102" s="489"/>
      <c r="AX102" s="488"/>
      <c r="AY102" s="489"/>
      <c r="AZ102" s="489"/>
      <c r="BA102" s="489"/>
      <c r="BB102" s="566">
        <f t="shared" si="12"/>
        <v>0</v>
      </c>
      <c r="BC102" s="563">
        <f t="shared" si="15"/>
        <v>0</v>
      </c>
    </row>
    <row r="103" spans="1:55">
      <c r="A103" s="470" t="s">
        <v>50</v>
      </c>
      <c r="B103" s="471" t="s">
        <v>509</v>
      </c>
      <c r="C103" s="471" t="str">
        <f t="shared" si="13"/>
        <v>Nueva Ecija, Gen. Tinio</v>
      </c>
      <c r="D103" s="470" t="s">
        <v>88</v>
      </c>
      <c r="E103" s="470" t="s">
        <v>224</v>
      </c>
      <c r="F103" s="472">
        <v>15.3499</v>
      </c>
      <c r="G103" s="472">
        <v>121.045834</v>
      </c>
      <c r="H103" s="473" t="str">
        <f t="shared" si="14"/>
        <v>15.3499,121.045834</v>
      </c>
      <c r="I103" s="473" t="s">
        <v>99</v>
      </c>
      <c r="J103" s="473" t="s">
        <v>510</v>
      </c>
      <c r="K103" s="472" t="s">
        <v>367</v>
      </c>
      <c r="L103" s="472">
        <v>2019</v>
      </c>
      <c r="M103" s="472">
        <v>2027</v>
      </c>
      <c r="N103" s="472"/>
      <c r="O103" s="472" t="s">
        <v>141</v>
      </c>
      <c r="P103" s="472"/>
      <c r="Q103" s="475" t="s">
        <v>130</v>
      </c>
      <c r="R103" s="473"/>
      <c r="S103" s="472"/>
      <c r="T103" s="487"/>
      <c r="U103" s="487"/>
      <c r="V103" s="487"/>
      <c r="W103" s="487"/>
      <c r="X103" s="487"/>
      <c r="Y103" s="476" t="str">
        <f>IFERROR(
    IF(
        OR(ISBLANK(T103), ISBLANK(U103)),
        "",
        MAX(
            1,
            IF(
                NETWORKDAYS(T103, U103, Holiday_Dates) &lt;= 0,
                1,
                NETWORKDAYS(T103, U103, Holiday_Dates) - IF(T103 = U103, 0, 1)
            )
        )
    ),
    ""
)</f>
        <v/>
      </c>
      <c r="Z103" s="476" t="str">
        <f>IF(
    OR(ISBLANK(U103), ISBLANK(V103)),
    "",
    MAX(
        1,
        IF(
            NETWORKDAYS(U103, V103, Holiday_Dates) &lt;= 0,
            1,
            NETWORKDAYS(U103, V103, Holiday_Dates) - IF(U103 = V103, 0, 1)
        )
    )
)</f>
        <v/>
      </c>
      <c r="AA103" s="476" t="str">
        <f>IFERROR(
    IF(
        OR(ISBLANK(W103), AND(ISBLANK(U103), ISBLANK(V103))),
        "",
        MAX(
            1,
            IF(
                NETWORKDAYS(IF(NOT(ISBLANK(V103)), V103, U103), W103, Holiday_Dates) &lt;= 0,
                1,
                NETWORKDAYS(IF(NOT(ISBLANK(V103)), V103, U103), W103, Holiday_Dates)
                - IF(IF(NOT(ISBLANK(V103)), V103, U103) = W103, 0, 1)
            )
        )
    ),
    ""
)</f>
        <v/>
      </c>
      <c r="AB103" s="476" t="str">
        <f>IFERROR(
    IF(
        OR(ISBLANK(W103), ISBLANK(X103)),
        "",
        MAX(
            1,
            IF(
                NETWORKDAYS(W103, X103, Holiday_Dates) &lt;= 0,
                1,
                NETWORKDAYS(W103, X103, Holiday_Dates) - IF(W103 = X103, 0, 1)
            )
        )
    ),
    ""
)</f>
        <v/>
      </c>
      <c r="AC103" s="339"/>
      <c r="AD103" s="49"/>
      <c r="AE103" s="49"/>
      <c r="AF103" s="49"/>
      <c r="AG103" s="339"/>
      <c r="AH103" s="478"/>
      <c r="AI103" s="339"/>
      <c r="AJ103" s="339"/>
      <c r="AK103" s="339"/>
      <c r="AL103" s="339"/>
      <c r="AM103" s="339"/>
      <c r="AN103" s="339"/>
      <c r="AO103" s="487"/>
      <c r="AP103" s="473"/>
      <c r="AQ103" s="49"/>
      <c r="AR103" s="488"/>
      <c r="AS103" s="489"/>
      <c r="AT103" s="488"/>
      <c r="AU103" s="489"/>
      <c r="AV103" s="488"/>
      <c r="AW103" s="489"/>
      <c r="AX103" s="488"/>
      <c r="AY103" s="489"/>
      <c r="AZ103" s="488"/>
      <c r="BA103" s="489"/>
      <c r="BB103" s="566">
        <f t="shared" si="12"/>
        <v>0</v>
      </c>
      <c r="BC103" s="563">
        <f t="shared" si="15"/>
        <v>0</v>
      </c>
    </row>
    <row r="104" spans="1:55">
      <c r="A104" s="470" t="s">
        <v>50</v>
      </c>
      <c r="B104" s="471" t="s">
        <v>511</v>
      </c>
      <c r="C104" s="471" t="str">
        <f t="shared" si="13"/>
        <v>Nueva Ecija, Guimba</v>
      </c>
      <c r="D104" s="470" t="s">
        <v>88</v>
      </c>
      <c r="E104" s="470" t="s">
        <v>243</v>
      </c>
      <c r="F104" s="473">
        <v>15.660724</v>
      </c>
      <c r="G104" s="473">
        <v>120.76695599999999</v>
      </c>
      <c r="H104" s="473" t="str">
        <f t="shared" si="14"/>
        <v>15.660724,120.766956</v>
      </c>
      <c r="I104" s="473" t="s">
        <v>99</v>
      </c>
      <c r="J104" s="473">
        <v>1077</v>
      </c>
      <c r="K104" s="473" t="s">
        <v>297</v>
      </c>
      <c r="L104" s="473">
        <v>2018</v>
      </c>
      <c r="M104" s="473">
        <v>2026</v>
      </c>
      <c r="N104" s="473"/>
      <c r="O104" s="472" t="s">
        <v>29</v>
      </c>
      <c r="P104" s="472"/>
      <c r="Q104" s="475" t="s">
        <v>130</v>
      </c>
      <c r="R104" s="473"/>
      <c r="S104" s="511"/>
      <c r="T104" s="480"/>
      <c r="U104" s="480"/>
      <c r="V104" s="480"/>
      <c r="W104" s="480"/>
      <c r="X104" s="480"/>
      <c r="Y104" s="476" t="str">
        <f>IFERROR(
    IF(
        OR(ISBLANK(T104), ISBLANK(U104)),
        "",
        MAX(
            1,
            IF(
                NETWORKDAYS(T104, U104, Holiday_Dates) &lt;= 0,
                1,
                NETWORKDAYS(T104, U104, Holiday_Dates) - IF(T104 = U104, 0, 1)
            )
        )
    ),
    ""
)</f>
        <v/>
      </c>
      <c r="Z104" s="476" t="str">
        <f>IF(
    OR(ISBLANK(U104), ISBLANK(V104)),
    "",
    MAX(
        1,
        IF(
            NETWORKDAYS(U104, V104, Holiday_Dates) &lt;= 0,
            1,
            NETWORKDAYS(U104, V104, Holiday_Dates) - IF(U104 = V104, 0, 1)
        )
    )
)</f>
        <v/>
      </c>
      <c r="AA104" s="476" t="str">
        <f>IFERROR(
    IF(
        OR(ISBLANK(W104), AND(ISBLANK(U104), ISBLANK(V104))),
        "",
        MAX(
            1,
            IF(
                NETWORKDAYS(IF(NOT(ISBLANK(V104)), V104, U104), W104, Holiday_Dates) &lt;= 0,
                1,
                NETWORKDAYS(IF(NOT(ISBLANK(V104)), V104, U104), W104, Holiday_Dates)
                - IF(IF(NOT(ISBLANK(V104)), V104, U104) = W104, 0, 1)
            )
        )
    ),
    ""
)</f>
        <v/>
      </c>
      <c r="AB104" s="476" t="str">
        <f>IFERROR(
    IF(
        OR(ISBLANK(W104), ISBLANK(X104)),
        "",
        MAX(
            1,
            IF(
                NETWORKDAYS(W104, X104, Holiday_Dates) &lt;= 0,
                1,
                NETWORKDAYS(W104, X104, Holiday_Dates) - IF(W104 = X104, 0, 1)
            )
        )
    ),
    ""
)</f>
        <v/>
      </c>
      <c r="AC104" s="339"/>
      <c r="AD104" s="49"/>
      <c r="AE104" s="49"/>
      <c r="AF104" s="49"/>
      <c r="AG104" s="339"/>
      <c r="AH104" s="478"/>
      <c r="AI104" s="339"/>
      <c r="AJ104" s="339"/>
      <c r="AK104" s="339"/>
      <c r="AL104" s="339"/>
      <c r="AM104" s="339"/>
      <c r="AN104" s="339"/>
      <c r="AO104" s="480"/>
      <c r="AP104" s="473"/>
      <c r="AQ104" s="49"/>
      <c r="AR104" s="488"/>
      <c r="AS104" s="489"/>
      <c r="AT104" s="488"/>
      <c r="AU104" s="489"/>
      <c r="AV104" s="488"/>
      <c r="AW104" s="489"/>
      <c r="AX104" s="488"/>
      <c r="AY104" s="489"/>
      <c r="AZ104" s="489"/>
      <c r="BA104" s="489"/>
      <c r="BB104" s="566">
        <f t="shared" si="12"/>
        <v>0</v>
      </c>
      <c r="BC104" s="563">
        <f t="shared" si="15"/>
        <v>0</v>
      </c>
    </row>
    <row r="105" spans="1:55">
      <c r="A105" s="470" t="s">
        <v>50</v>
      </c>
      <c r="B105" s="471" t="s">
        <v>512</v>
      </c>
      <c r="C105" s="471" t="str">
        <f t="shared" si="13"/>
        <v>Nueva Ecija, Licab</v>
      </c>
      <c r="D105" s="470" t="s">
        <v>88</v>
      </c>
      <c r="E105" s="470" t="s">
        <v>243</v>
      </c>
      <c r="F105" s="49">
        <v>15.540003</v>
      </c>
      <c r="G105" s="49">
        <v>120.762417</v>
      </c>
      <c r="H105" s="473" t="str">
        <f t="shared" si="14"/>
        <v>15.540003,120.762417</v>
      </c>
      <c r="I105" s="473" t="s">
        <v>99</v>
      </c>
      <c r="J105" s="473" t="s">
        <v>513</v>
      </c>
      <c r="K105" s="49" t="s">
        <v>291</v>
      </c>
      <c r="L105" s="49">
        <v>2019</v>
      </c>
      <c r="M105" s="49">
        <v>2027</v>
      </c>
      <c r="N105" s="49"/>
      <c r="O105" s="49" t="s">
        <v>140</v>
      </c>
      <c r="P105" s="49"/>
      <c r="Q105" s="475" t="s">
        <v>130</v>
      </c>
      <c r="R105" s="473"/>
      <c r="S105" s="49"/>
      <c r="T105" s="337"/>
      <c r="U105" s="337"/>
      <c r="V105" s="337"/>
      <c r="W105" s="337"/>
      <c r="X105" s="337"/>
      <c r="Y105" s="476" t="str">
        <f>IFERROR(
    IF(
        OR(ISBLANK(T105), ISBLANK(U105)),
        "",
        MAX(
            1,
            IF(
                NETWORKDAYS(T105, U105, Holiday_Dates) &lt;= 0,
                1,
                NETWORKDAYS(T105, U105, Holiday_Dates) - IF(T105 = U105, 0, 1)
            )
        )
    ),
    ""
)</f>
        <v/>
      </c>
      <c r="Z105" s="476" t="str">
        <f>IF(
    OR(ISBLANK(U105), ISBLANK(V105)),
    "",
    MAX(
        1,
        IF(
            NETWORKDAYS(U105, V105, Holiday_Dates) &lt;= 0,
            1,
            NETWORKDAYS(U105, V105, Holiday_Dates) - IF(U105 = V105, 0, 1)
        )
    )
)</f>
        <v/>
      </c>
      <c r="AA105" s="476" t="str">
        <f>IFERROR(
    IF(
        OR(ISBLANK(W105), AND(ISBLANK(U105), ISBLANK(V105))),
        "",
        MAX(
            1,
            IF(
                NETWORKDAYS(IF(NOT(ISBLANK(V105)), V105, U105), W105, Holiday_Dates) &lt;= 0,
                1,
                NETWORKDAYS(IF(NOT(ISBLANK(V105)), V105, U105), W105, Holiday_Dates)
                - IF(IF(NOT(ISBLANK(V105)), V105, U105) = W105, 0, 1)
            )
        )
    ),
    ""
)</f>
        <v/>
      </c>
      <c r="AB105" s="476" t="str">
        <f>IFERROR(
    IF(
        OR(ISBLANK(W105), ISBLANK(X105)),
        "",
        MAX(
            1,
            IF(
                NETWORKDAYS(W105, X105, Holiday_Dates) &lt;= 0,
                1,
                NETWORKDAYS(W105, X105, Holiday_Dates) - IF(W105 = X105, 0, 1)
            )
        )
    ),
    ""
)</f>
        <v/>
      </c>
      <c r="AC105" s="339"/>
      <c r="AD105" s="49"/>
      <c r="AE105" s="49"/>
      <c r="AF105" s="49"/>
      <c r="AG105" s="339"/>
      <c r="AH105" s="478"/>
      <c r="AI105" s="49"/>
      <c r="AJ105" s="49"/>
      <c r="AK105" s="49"/>
      <c r="AL105" s="49"/>
      <c r="AM105" s="49"/>
      <c r="AN105" s="49"/>
      <c r="AO105" s="337"/>
      <c r="AP105" s="49"/>
      <c r="AQ105" s="49"/>
      <c r="AR105" s="488"/>
      <c r="AS105" s="489"/>
      <c r="AT105" s="488"/>
      <c r="AU105" s="489"/>
      <c r="AV105" s="488"/>
      <c r="AW105" s="489"/>
      <c r="AX105" s="489"/>
      <c r="AY105" s="489"/>
      <c r="AZ105" s="489"/>
      <c r="BA105" s="489"/>
      <c r="BB105" s="566">
        <f t="shared" si="12"/>
        <v>0</v>
      </c>
      <c r="BC105" s="563">
        <f t="shared" si="15"/>
        <v>0</v>
      </c>
    </row>
    <row r="106" spans="1:55">
      <c r="A106" s="470" t="s">
        <v>50</v>
      </c>
      <c r="B106" s="471" t="s">
        <v>514</v>
      </c>
      <c r="C106" s="471" t="str">
        <f t="shared" si="13"/>
        <v>Nueva Ecija, Llanera</v>
      </c>
      <c r="D106" s="470" t="s">
        <v>88</v>
      </c>
      <c r="E106" s="470" t="s">
        <v>271</v>
      </c>
      <c r="F106" s="49">
        <v>15.662212</v>
      </c>
      <c r="G106" s="49">
        <v>121.01904</v>
      </c>
      <c r="H106" s="473" t="str">
        <f t="shared" si="14"/>
        <v>15.662212,121.01904</v>
      </c>
      <c r="I106" s="473" t="s">
        <v>99</v>
      </c>
      <c r="J106" s="473" t="s">
        <v>515</v>
      </c>
      <c r="K106" s="49" t="s">
        <v>297</v>
      </c>
      <c r="L106" s="49">
        <v>2020</v>
      </c>
      <c r="M106" s="49">
        <v>2026</v>
      </c>
      <c r="N106" s="49"/>
      <c r="O106" s="49" t="s">
        <v>26</v>
      </c>
      <c r="P106" s="49"/>
      <c r="Q106" s="475" t="s">
        <v>130</v>
      </c>
      <c r="R106" s="473"/>
      <c r="S106" s="49"/>
      <c r="T106" s="337"/>
      <c r="U106" s="337"/>
      <c r="V106" s="337"/>
      <c r="W106" s="337"/>
      <c r="X106" s="337"/>
      <c r="Y106" s="476" t="str">
        <f>IFERROR(
    IF(
        OR(ISBLANK(T106), ISBLANK(U106)),
        "",
        MAX(
            1,
            IF(
                NETWORKDAYS(T106, U106, Holiday_Dates) &lt;= 0,
                1,
                NETWORKDAYS(T106, U106, Holiday_Dates) - IF(T106 = U106, 0, 1)
            )
        )
    ),
    ""
)</f>
        <v/>
      </c>
      <c r="Z106" s="476" t="str">
        <f>IF(
    OR(ISBLANK(U106), ISBLANK(V106)),
    "",
    MAX(
        1,
        IF(
            NETWORKDAYS(U106, V106, Holiday_Dates) &lt;= 0,
            1,
            NETWORKDAYS(U106, V106, Holiday_Dates) - IF(U106 = V106, 0, 1)
        )
    )
)</f>
        <v/>
      </c>
      <c r="AA106" s="476" t="str">
        <f>IFERROR(
    IF(
        OR(ISBLANK(W106), AND(ISBLANK(U106), ISBLANK(V106))),
        "",
        MAX(
            1,
            IF(
                NETWORKDAYS(IF(NOT(ISBLANK(V106)), V106, U106), W106, Holiday_Dates) &lt;= 0,
                1,
                NETWORKDAYS(IF(NOT(ISBLANK(V106)), V106, U106), W106, Holiday_Dates)
                - IF(IF(NOT(ISBLANK(V106)), V106, U106) = W106, 0, 1)
            )
        )
    ),
    ""
)</f>
        <v/>
      </c>
      <c r="AB106" s="476" t="str">
        <f>IFERROR(
    IF(
        OR(ISBLANK(W106), ISBLANK(X106)),
        "",
        MAX(
            1,
            IF(
                NETWORKDAYS(W106, X106, Holiday_Dates) &lt;= 0,
                1,
                NETWORKDAYS(W106, X106, Holiday_Dates) - IF(W106 = X106, 0, 1)
            )
        )
    ),
    ""
)</f>
        <v/>
      </c>
      <c r="AC106" s="339"/>
      <c r="AD106" s="49"/>
      <c r="AE106" s="336"/>
      <c r="AF106" s="49"/>
      <c r="AG106" s="339"/>
      <c r="AH106" s="478"/>
      <c r="AI106" s="49"/>
      <c r="AJ106" s="49"/>
      <c r="AK106" s="49"/>
      <c r="AL106" s="49"/>
      <c r="AM106" s="49"/>
      <c r="AN106" s="49"/>
      <c r="AO106" s="337"/>
      <c r="AP106" s="49"/>
      <c r="AQ106" s="49"/>
      <c r="AR106" s="488"/>
      <c r="AS106" s="489"/>
      <c r="AT106" s="488"/>
      <c r="AU106" s="489"/>
      <c r="AV106" s="488"/>
      <c r="AW106" s="489"/>
      <c r="AX106" s="488"/>
      <c r="AY106" s="489"/>
      <c r="AZ106" s="489"/>
      <c r="BA106" s="489"/>
      <c r="BB106" s="566">
        <f t="shared" si="12"/>
        <v>0</v>
      </c>
      <c r="BC106" s="563">
        <f t="shared" si="15"/>
        <v>0</v>
      </c>
    </row>
    <row r="107" spans="1:55">
      <c r="A107" s="470" t="s">
        <v>50</v>
      </c>
      <c r="B107" s="471" t="s">
        <v>516</v>
      </c>
      <c r="C107" s="471" t="str">
        <f t="shared" si="13"/>
        <v>Nueva Ecija, Nampicuan</v>
      </c>
      <c r="D107" s="470" t="s">
        <v>89</v>
      </c>
      <c r="E107" s="470" t="s">
        <v>243</v>
      </c>
      <c r="F107" s="49">
        <v>15.733889</v>
      </c>
      <c r="G107" s="49">
        <v>120.635278</v>
      </c>
      <c r="H107" s="473" t="str">
        <f t="shared" si="14"/>
        <v>15.733889,120.635278</v>
      </c>
      <c r="I107" s="473" t="s">
        <v>99</v>
      </c>
      <c r="J107" s="473" t="s">
        <v>517</v>
      </c>
      <c r="K107" s="49" t="s">
        <v>252</v>
      </c>
      <c r="L107" s="49">
        <v>2020</v>
      </c>
      <c r="M107" s="49">
        <v>2027</v>
      </c>
      <c r="N107" s="49"/>
      <c r="O107" s="472" t="s">
        <v>29</v>
      </c>
      <c r="P107" s="472"/>
      <c r="Q107" s="475" t="s">
        <v>130</v>
      </c>
      <c r="R107" s="472"/>
      <c r="S107" s="472"/>
      <c r="T107" s="337"/>
      <c r="U107" s="337"/>
      <c r="V107" s="337"/>
      <c r="W107" s="337"/>
      <c r="X107" s="512"/>
      <c r="Y107" s="476" t="str">
        <f>IFERROR(
    IF(
        OR(ISBLANK(T107), ISBLANK(U107)),
        "",
        MAX(
            1,
            IF(
                NETWORKDAYS(T107, U107, Holiday_Dates) &lt;= 0,
                1,
                NETWORKDAYS(T107, U107, Holiday_Dates) - IF(T107 = U107, 0, 1)
            )
        )
    ),
    ""
)</f>
        <v/>
      </c>
      <c r="Z107" s="476" t="str">
        <f>IF(
    OR(ISBLANK(U107), ISBLANK(V107)),
    "",
    MAX(
        1,
        IF(
            NETWORKDAYS(U107, V107, Holiday_Dates) &lt;= 0,
            1,
            NETWORKDAYS(U107, V107, Holiday_Dates) - IF(U107 = V107, 0, 1)
        )
    )
)</f>
        <v/>
      </c>
      <c r="AA107" s="476" t="str">
        <f>IFERROR(
    IF(
        OR(ISBLANK(W107), AND(ISBLANK(U107), ISBLANK(V107))),
        "",
        MAX(
            1,
            IF(
                NETWORKDAYS(IF(NOT(ISBLANK(V107)), V107, U107), W107, Holiday_Dates) &lt;= 0,
                1,
                NETWORKDAYS(IF(NOT(ISBLANK(V107)), V107, U107), W107, Holiday_Dates)
                - IF(IF(NOT(ISBLANK(V107)), V107, U107) = W107, 0, 1)
            )
        )
    ),
    ""
)</f>
        <v/>
      </c>
      <c r="AB107" s="476" t="str">
        <f>IFERROR(
    IF(
        OR(ISBLANK(W107), ISBLANK(X107)),
        "",
        MAX(
            1,
            IF(
                NETWORKDAYS(W107, X107, Holiday_Dates) &lt;= 0,
                1,
                NETWORKDAYS(W107, X107, Holiday_Dates) - IF(W107 = X107, 0, 1)
            )
        )
    ),
    ""
)</f>
        <v/>
      </c>
      <c r="AC107" s="339"/>
      <c r="AD107" s="49"/>
      <c r="AE107" s="336"/>
      <c r="AF107" s="49"/>
      <c r="AG107" s="339"/>
      <c r="AH107" s="478"/>
      <c r="AI107" s="49"/>
      <c r="AJ107" s="49"/>
      <c r="AK107" s="49"/>
      <c r="AL107" s="49"/>
      <c r="AM107" s="49"/>
      <c r="AN107" s="49"/>
      <c r="AO107" s="337"/>
      <c r="AP107" s="49"/>
      <c r="AQ107" s="49"/>
      <c r="AR107" s="488"/>
      <c r="AS107" s="489"/>
      <c r="AT107" s="488"/>
      <c r="AU107" s="489"/>
      <c r="AV107" s="489"/>
      <c r="AW107" s="489"/>
      <c r="AX107" s="489"/>
      <c r="AY107" s="489"/>
      <c r="AZ107" s="489"/>
      <c r="BA107" s="489"/>
      <c r="BB107" s="566">
        <f t="shared" si="12"/>
        <v>0</v>
      </c>
      <c r="BC107" s="563">
        <f t="shared" si="15"/>
        <v>0</v>
      </c>
    </row>
    <row r="108" spans="1:55">
      <c r="A108" s="470" t="s">
        <v>50</v>
      </c>
      <c r="B108" s="471" t="s">
        <v>518</v>
      </c>
      <c r="C108" s="471" t="str">
        <f t="shared" si="13"/>
        <v>Nueva Ecija, Pantabangan</v>
      </c>
      <c r="D108" s="470" t="s">
        <v>88</v>
      </c>
      <c r="E108" s="470" t="s">
        <v>271</v>
      </c>
      <c r="F108" s="49">
        <v>15.808002</v>
      </c>
      <c r="G108" s="49">
        <v>121.143238</v>
      </c>
      <c r="H108" s="473" t="str">
        <f t="shared" si="14"/>
        <v>15.808002,121.143238</v>
      </c>
      <c r="I108" s="473" t="s">
        <v>99</v>
      </c>
      <c r="J108" s="473" t="s">
        <v>519</v>
      </c>
      <c r="K108" s="49" t="s">
        <v>279</v>
      </c>
      <c r="L108" s="49">
        <v>2019</v>
      </c>
      <c r="M108" s="49">
        <v>2028</v>
      </c>
      <c r="N108" s="49"/>
      <c r="O108" s="49" t="s">
        <v>26</v>
      </c>
      <c r="P108" s="49"/>
      <c r="Q108" s="475" t="s">
        <v>130</v>
      </c>
      <c r="R108" s="473"/>
      <c r="S108" s="49"/>
      <c r="T108" s="337"/>
      <c r="U108" s="337"/>
      <c r="V108" s="337"/>
      <c r="W108" s="337"/>
      <c r="X108" s="337"/>
      <c r="Y108" s="476" t="str">
        <f>IFERROR(
    IF(
        OR(ISBLANK(T108), ISBLANK(U108)),
        "",
        MAX(
            1,
            IF(
                NETWORKDAYS(T108, U108, Holiday_Dates) &lt;= 0,
                1,
                NETWORKDAYS(T108, U108, Holiday_Dates) - IF(T108 = U108, 0, 1)
            )
        )
    ),
    ""
)</f>
        <v/>
      </c>
      <c r="Z108" s="476" t="str">
        <f>IF(
    OR(ISBLANK(U108), ISBLANK(V108)),
    "",
    MAX(
        1,
        IF(
            NETWORKDAYS(U108, V108, Holiday_Dates) &lt;= 0,
            1,
            NETWORKDAYS(U108, V108, Holiday_Dates) - IF(U108 = V108, 0, 1)
        )
    )
)</f>
        <v/>
      </c>
      <c r="AA108" s="476" t="str">
        <f>IFERROR(
    IF(
        OR(ISBLANK(W108), AND(ISBLANK(U108), ISBLANK(V108))),
        "",
        MAX(
            1,
            IF(
                NETWORKDAYS(IF(NOT(ISBLANK(V108)), V108, U108), W108, Holiday_Dates) &lt;= 0,
                1,
                NETWORKDAYS(IF(NOT(ISBLANK(V108)), V108, U108), W108, Holiday_Dates)
                - IF(IF(NOT(ISBLANK(V108)), V108, U108) = W108, 0, 1)
            )
        )
    ),
    ""
)</f>
        <v/>
      </c>
      <c r="AB108" s="476" t="str">
        <f>IFERROR(
    IF(
        OR(ISBLANK(W108), ISBLANK(X108)),
        "",
        MAX(
            1,
            IF(
                NETWORKDAYS(W108, X108, Holiday_Dates) &lt;= 0,
                1,
                NETWORKDAYS(W108, X108, Holiday_Dates) - IF(W108 = X108, 0, 1)
            )
        )
    ),
    ""
)</f>
        <v/>
      </c>
      <c r="AC108" s="339"/>
      <c r="AD108" s="49"/>
      <c r="AE108" s="336"/>
      <c r="AF108" s="49"/>
      <c r="AG108" s="339"/>
      <c r="AH108" s="478"/>
      <c r="AI108" s="49"/>
      <c r="AJ108" s="49"/>
      <c r="AK108" s="49"/>
      <c r="AL108" s="49"/>
      <c r="AM108" s="49"/>
      <c r="AN108" s="49"/>
      <c r="AO108" s="337"/>
      <c r="AP108" s="49"/>
      <c r="AQ108" s="49"/>
      <c r="AR108" s="488"/>
      <c r="AS108" s="489"/>
      <c r="AT108" s="488"/>
      <c r="AU108" s="489"/>
      <c r="AV108" s="489"/>
      <c r="AW108" s="489"/>
      <c r="AX108" s="488"/>
      <c r="AY108" s="489"/>
      <c r="AZ108" s="489"/>
      <c r="BA108" s="489"/>
      <c r="BB108" s="566">
        <f t="shared" si="12"/>
        <v>0</v>
      </c>
      <c r="BC108" s="563">
        <f t="shared" si="15"/>
        <v>0</v>
      </c>
    </row>
    <row r="109" spans="1:55">
      <c r="A109" s="470" t="s">
        <v>50</v>
      </c>
      <c r="B109" s="471" t="s">
        <v>520</v>
      </c>
      <c r="C109" s="471" t="str">
        <f t="shared" si="13"/>
        <v>Nueva Ecija, San Isidro</v>
      </c>
      <c r="D109" s="470" t="s">
        <v>88</v>
      </c>
      <c r="E109" s="470" t="s">
        <v>224</v>
      </c>
      <c r="F109" s="49">
        <v>15.309493</v>
      </c>
      <c r="G109" s="49">
        <v>120.90685499999999</v>
      </c>
      <c r="H109" s="473" t="str">
        <f t="shared" si="14"/>
        <v>15.309493,120.906855</v>
      </c>
      <c r="I109" s="473" t="s">
        <v>99</v>
      </c>
      <c r="J109" s="473" t="s">
        <v>521</v>
      </c>
      <c r="K109" s="49" t="s">
        <v>233</v>
      </c>
      <c r="L109" s="49">
        <v>2021</v>
      </c>
      <c r="M109" s="49">
        <v>2029</v>
      </c>
      <c r="N109" s="49"/>
      <c r="O109" s="49" t="s">
        <v>30</v>
      </c>
      <c r="P109" s="49"/>
      <c r="Q109" s="475" t="s">
        <v>130</v>
      </c>
      <c r="R109" s="473"/>
      <c r="S109" s="472"/>
      <c r="T109" s="480"/>
      <c r="U109" s="337"/>
      <c r="V109" s="480"/>
      <c r="W109" s="480"/>
      <c r="X109" s="482"/>
      <c r="Y109" s="476" t="str">
        <f>IFERROR(
    IF(
        OR(ISBLANK(T109), ISBLANK(U109)),
        "",
        MAX(
            1,
            IF(
                NETWORKDAYS(T109, U109, Holiday_Dates) &lt;= 0,
                1,
                NETWORKDAYS(T109, U109, Holiday_Dates) - IF(T109 = U109, 0, 1)
            )
        )
    ),
    ""
)</f>
        <v/>
      </c>
      <c r="Z109" s="476" t="str">
        <f>IF(
    OR(ISBLANK(U109), ISBLANK(V109)),
    "",
    MAX(
        1,
        IF(
            NETWORKDAYS(U109, V109, Holiday_Dates) &lt;= 0,
            1,
            NETWORKDAYS(U109, V109, Holiday_Dates) - IF(U109 = V109, 0, 1)
        )
    )
)</f>
        <v/>
      </c>
      <c r="AA109" s="476" t="str">
        <f>IFERROR(
    IF(
        OR(ISBLANK(W109), AND(ISBLANK(U109), ISBLANK(V109))),
        "",
        MAX(
            1,
            IF(
                NETWORKDAYS(IF(NOT(ISBLANK(V109)), V109, U109), W109, Holiday_Dates) &lt;= 0,
                1,
                NETWORKDAYS(IF(NOT(ISBLANK(V109)), V109, U109), W109, Holiday_Dates)
                - IF(IF(NOT(ISBLANK(V109)), V109, U109) = W109, 0, 1)
            )
        )
    ),
    ""
)</f>
        <v/>
      </c>
      <c r="AB109" s="476" t="str">
        <f>IFERROR(
    IF(
        OR(ISBLANK(W109), ISBLANK(X109)),
        "",
        MAX(
            1,
            IF(
                NETWORKDAYS(W109, X109, Holiday_Dates) &lt;= 0,
                1,
                NETWORKDAYS(W109, X109, Holiday_Dates) - IF(W109 = X109, 0, 1)
            )
        )
    ),
    ""
)</f>
        <v/>
      </c>
      <c r="AC109" s="339"/>
      <c r="AD109" s="49"/>
      <c r="AE109" s="498"/>
      <c r="AF109" s="49"/>
      <c r="AG109" s="339"/>
      <c r="AH109" s="478"/>
      <c r="AI109" s="49"/>
      <c r="AJ109" s="49"/>
      <c r="AK109" s="49"/>
      <c r="AL109" s="49"/>
      <c r="AM109" s="49"/>
      <c r="AN109" s="49"/>
      <c r="AO109" s="337"/>
      <c r="AP109" s="49"/>
      <c r="AQ109" s="49"/>
      <c r="AR109" s="488"/>
      <c r="AS109" s="489"/>
      <c r="AT109" s="488"/>
      <c r="AU109" s="489"/>
      <c r="AV109" s="488"/>
      <c r="AW109" s="489"/>
      <c r="AX109" s="488"/>
      <c r="AY109" s="489"/>
      <c r="AZ109" s="489"/>
      <c r="BA109" s="489"/>
      <c r="BB109" s="566">
        <f t="shared" si="12"/>
        <v>0</v>
      </c>
      <c r="BC109" s="563">
        <f t="shared" si="15"/>
        <v>0</v>
      </c>
    </row>
    <row r="110" spans="1:55">
      <c r="A110" s="470" t="s">
        <v>50</v>
      </c>
      <c r="B110" s="471" t="s">
        <v>522</v>
      </c>
      <c r="C110" s="471" t="str">
        <f t="shared" si="13"/>
        <v>Nueva Ecija, San Leonardo</v>
      </c>
      <c r="D110" s="470" t="s">
        <v>88</v>
      </c>
      <c r="E110" s="470" t="s">
        <v>224</v>
      </c>
      <c r="F110" s="49">
        <v>15.362292999999999</v>
      </c>
      <c r="G110" s="49">
        <v>120.94050799999999</v>
      </c>
      <c r="H110" s="473" t="str">
        <f t="shared" si="14"/>
        <v>15.362293,120.940508</v>
      </c>
      <c r="I110" s="473" t="s">
        <v>99</v>
      </c>
      <c r="J110" s="473" t="s">
        <v>523</v>
      </c>
      <c r="K110" s="49" t="s">
        <v>297</v>
      </c>
      <c r="L110" s="49">
        <v>2018</v>
      </c>
      <c r="M110" s="49">
        <v>2026</v>
      </c>
      <c r="N110" s="49"/>
      <c r="O110" s="472" t="s">
        <v>141</v>
      </c>
      <c r="P110" s="472"/>
      <c r="Q110" s="475" t="s">
        <v>130</v>
      </c>
      <c r="R110" s="472"/>
      <c r="S110" s="372"/>
      <c r="T110" s="337"/>
      <c r="U110" s="337"/>
      <c r="V110" s="337"/>
      <c r="W110" s="337"/>
      <c r="X110" s="337"/>
      <c r="Y110" s="476" t="str">
        <f>IFERROR(
    IF(
        OR(ISBLANK(T110), ISBLANK(U110)),
        "",
        MAX(
            1,
            IF(
                NETWORKDAYS(T110, U110, Holiday_Dates) &lt;= 0,
                1,
                NETWORKDAYS(T110, U110, Holiday_Dates) - IF(T110 = U110, 0, 1)
            )
        )
    ),
    ""
)</f>
        <v/>
      </c>
      <c r="Z110" s="476" t="str">
        <f>IF(
    OR(ISBLANK(U110), ISBLANK(V110)),
    "",
    MAX(
        1,
        IF(
            NETWORKDAYS(U110, V110, Holiday_Dates) &lt;= 0,
            1,
            NETWORKDAYS(U110, V110, Holiday_Dates) - IF(U110 = V110, 0, 1)
        )
    )
)</f>
        <v/>
      </c>
      <c r="AA110" s="476" t="str">
        <f>IFERROR(
    IF(
        OR(ISBLANK(W110), AND(ISBLANK(U110), ISBLANK(V110))),
        "",
        MAX(
            1,
            IF(
                NETWORKDAYS(IF(NOT(ISBLANK(V110)), V110, U110), W110, Holiday_Dates) &lt;= 0,
                1,
                NETWORKDAYS(IF(NOT(ISBLANK(V110)), V110, U110), W110, Holiday_Dates)
                - IF(IF(NOT(ISBLANK(V110)), V110, U110) = W110, 0, 1)
            )
        )
    ),
    ""
)</f>
        <v/>
      </c>
      <c r="AB110" s="476" t="str">
        <f>IFERROR(
    IF(
        OR(ISBLANK(W110), ISBLANK(X110)),
        "",
        MAX(
            1,
            IF(
                NETWORKDAYS(W110, X110, Holiday_Dates) &lt;= 0,
                1,
                NETWORKDAYS(W110, X110, Holiday_Dates) - IF(W110 = X110, 0, 1)
            )
        )
    ),
    ""
)</f>
        <v/>
      </c>
      <c r="AC110" s="339"/>
      <c r="AD110" s="49"/>
      <c r="AE110" s="49"/>
      <c r="AF110" s="49"/>
      <c r="AG110" s="339"/>
      <c r="AH110" s="478"/>
      <c r="AI110" s="339"/>
      <c r="AJ110" s="339"/>
      <c r="AK110" s="339"/>
      <c r="AL110" s="339"/>
      <c r="AM110" s="49"/>
      <c r="AN110" s="49"/>
      <c r="AO110" s="337"/>
      <c r="AP110" s="49"/>
      <c r="AQ110" s="49"/>
      <c r="AR110" s="488"/>
      <c r="AS110" s="489"/>
      <c r="AT110" s="488"/>
      <c r="AU110" s="489"/>
      <c r="AV110" s="489"/>
      <c r="AW110" s="489"/>
      <c r="AX110" s="488"/>
      <c r="AY110" s="489"/>
      <c r="AZ110" s="489"/>
      <c r="BA110" s="489"/>
      <c r="BB110" s="566">
        <f t="shared" si="12"/>
        <v>0</v>
      </c>
      <c r="BC110" s="563">
        <f t="shared" si="15"/>
        <v>0</v>
      </c>
    </row>
    <row r="111" spans="1:55">
      <c r="A111" s="470" t="s">
        <v>50</v>
      </c>
      <c r="B111" s="471" t="s">
        <v>524</v>
      </c>
      <c r="C111" s="471" t="str">
        <f t="shared" si="13"/>
        <v>Nueva Ecija, Santa Rosa</v>
      </c>
      <c r="D111" s="470" t="s">
        <v>88</v>
      </c>
      <c r="E111" s="470" t="s">
        <v>213</v>
      </c>
      <c r="F111" s="49">
        <v>15.424258999999999</v>
      </c>
      <c r="G111" s="49">
        <v>120.939475</v>
      </c>
      <c r="H111" s="473" t="str">
        <f t="shared" si="14"/>
        <v>15.424259,120.939475</v>
      </c>
      <c r="I111" s="473" t="s">
        <v>99</v>
      </c>
      <c r="J111" s="473" t="s">
        <v>525</v>
      </c>
      <c r="K111" s="49" t="s">
        <v>297</v>
      </c>
      <c r="L111" s="49">
        <v>2020</v>
      </c>
      <c r="M111" s="49">
        <v>2026</v>
      </c>
      <c r="N111" s="49"/>
      <c r="O111" s="472" t="s">
        <v>141</v>
      </c>
      <c r="P111" s="472"/>
      <c r="Q111" s="475" t="s">
        <v>130</v>
      </c>
      <c r="R111" s="472"/>
      <c r="S111" s="472"/>
      <c r="T111" s="337"/>
      <c r="U111" s="337"/>
      <c r="V111" s="337"/>
      <c r="W111" s="337"/>
      <c r="X111" s="337"/>
      <c r="Y111" s="476" t="str">
        <f>IFERROR(
    IF(
        OR(ISBLANK(T111), ISBLANK(U111)),
        "",
        MAX(
            1,
            IF(
                NETWORKDAYS(T111, U111, Holiday_Dates) &lt;= 0,
                1,
                NETWORKDAYS(T111, U111, Holiday_Dates) - IF(T111 = U111, 0, 1)
            )
        )
    ),
    ""
)</f>
        <v/>
      </c>
      <c r="Z111" s="476" t="str">
        <f>IF(
    OR(ISBLANK(U111), ISBLANK(V111)),
    "",
    MAX(
        1,
        IF(
            NETWORKDAYS(U111, V111, Holiday_Dates) &lt;= 0,
            1,
            NETWORKDAYS(U111, V111, Holiday_Dates) - IF(U111 = V111, 0, 1)
        )
    )
)</f>
        <v/>
      </c>
      <c r="AA111" s="476" t="str">
        <f>IFERROR(
    IF(
        OR(ISBLANK(W111), AND(ISBLANK(U111), ISBLANK(V111))),
        "",
        MAX(
            1,
            IF(
                NETWORKDAYS(IF(NOT(ISBLANK(V111)), V111, U111), W111, Holiday_Dates) &lt;= 0,
                1,
                NETWORKDAYS(IF(NOT(ISBLANK(V111)), V111, U111), W111, Holiday_Dates)
                - IF(IF(NOT(ISBLANK(V111)), V111, U111) = W111, 0, 1)
            )
        )
    ),
    ""
)</f>
        <v/>
      </c>
      <c r="AB111" s="476" t="str">
        <f>IFERROR(
    IF(
        OR(ISBLANK(W111), ISBLANK(X111)),
        "",
        MAX(
            1,
            IF(
                NETWORKDAYS(W111, X111, Holiday_Dates) &lt;= 0,
                1,
                NETWORKDAYS(W111, X111, Holiday_Dates) - IF(W111 = X111, 0, 1)
            )
        )
    ),
    ""
)</f>
        <v/>
      </c>
      <c r="AC111" s="339"/>
      <c r="AD111" s="49"/>
      <c r="AE111" s="336"/>
      <c r="AF111" s="49"/>
      <c r="AG111" s="339"/>
      <c r="AH111" s="478"/>
      <c r="AI111" s="344"/>
      <c r="AJ111" s="344"/>
      <c r="AK111" s="344"/>
      <c r="AL111" s="344"/>
      <c r="AM111" s="344"/>
      <c r="AN111" s="344"/>
      <c r="AO111" s="337"/>
      <c r="AP111" s="49"/>
      <c r="AQ111" s="49"/>
      <c r="AR111" s="488"/>
      <c r="AS111" s="489"/>
      <c r="AT111" s="488"/>
      <c r="AU111" s="489"/>
      <c r="AV111" s="488"/>
      <c r="AW111" s="489"/>
      <c r="AX111" s="488"/>
      <c r="AY111" s="489"/>
      <c r="AZ111" s="489"/>
      <c r="BA111" s="489"/>
      <c r="BB111" s="566">
        <f t="shared" si="12"/>
        <v>0</v>
      </c>
      <c r="BC111" s="563">
        <f t="shared" si="15"/>
        <v>0</v>
      </c>
    </row>
    <row r="112" spans="1:55">
      <c r="A112" s="470" t="s">
        <v>50</v>
      </c>
      <c r="B112" s="471" t="s">
        <v>526</v>
      </c>
      <c r="C112" s="471" t="str">
        <f t="shared" si="13"/>
        <v>Nueva Ecija, Santo Domingo</v>
      </c>
      <c r="D112" s="470" t="s">
        <v>88</v>
      </c>
      <c r="E112" s="470" t="s">
        <v>243</v>
      </c>
      <c r="F112" s="49">
        <v>15.596054000000001</v>
      </c>
      <c r="G112" s="49">
        <v>120.877399</v>
      </c>
      <c r="H112" s="473" t="str">
        <f t="shared" si="14"/>
        <v>15.596054,120.877399</v>
      </c>
      <c r="I112" s="473" t="s">
        <v>99</v>
      </c>
      <c r="J112" s="473" t="s">
        <v>527</v>
      </c>
      <c r="K112" s="49" t="s">
        <v>291</v>
      </c>
      <c r="L112" s="49">
        <v>2020</v>
      </c>
      <c r="M112" s="49">
        <v>2027</v>
      </c>
      <c r="N112" s="49"/>
      <c r="O112" s="49" t="s">
        <v>140</v>
      </c>
      <c r="P112" s="49"/>
      <c r="Q112" s="475" t="s">
        <v>130</v>
      </c>
      <c r="R112" s="473"/>
      <c r="S112" s="49"/>
      <c r="T112" s="337"/>
      <c r="U112" s="337"/>
      <c r="V112" s="337"/>
      <c r="W112" s="337"/>
      <c r="X112" s="337"/>
      <c r="Y112" s="476" t="str">
        <f>IFERROR(
    IF(
        OR(ISBLANK(T112), ISBLANK(U112)),
        "",
        MAX(
            1,
            IF(
                NETWORKDAYS(T112, U112, Holiday_Dates) &lt;= 0,
                1,
                NETWORKDAYS(T112, U112, Holiday_Dates) - IF(T112 = U112, 0, 1)
            )
        )
    ),
    ""
)</f>
        <v/>
      </c>
      <c r="Z112" s="476" t="str">
        <f>IF(
    OR(ISBLANK(U112), ISBLANK(V112)),
    "",
    MAX(
        1,
        IF(
            NETWORKDAYS(U112, V112, Holiday_Dates) &lt;= 0,
            1,
            NETWORKDAYS(U112, V112, Holiday_Dates) - IF(U112 = V112, 0, 1)
        )
    )
)</f>
        <v/>
      </c>
      <c r="AA112" s="476" t="str">
        <f>IFERROR(
    IF(
        OR(ISBLANK(W112), AND(ISBLANK(U112), ISBLANK(V112))),
        "",
        MAX(
            1,
            IF(
                NETWORKDAYS(IF(NOT(ISBLANK(V112)), V112, U112), W112, Holiday_Dates) &lt;= 0,
                1,
                NETWORKDAYS(IF(NOT(ISBLANK(V112)), V112, U112), W112, Holiday_Dates)
                - IF(IF(NOT(ISBLANK(V112)), V112, U112) = W112, 0, 1)
            )
        )
    ),
    ""
)</f>
        <v/>
      </c>
      <c r="AB112" s="476" t="str">
        <f>IFERROR(
    IF(
        OR(ISBLANK(W112), ISBLANK(X112)),
        "",
        MAX(
            1,
            IF(
                NETWORKDAYS(W112, X112, Holiday_Dates) &lt;= 0,
                1,
                NETWORKDAYS(W112, X112, Holiday_Dates) - IF(W112 = X112, 0, 1)
            )
        )
    ),
    ""
)</f>
        <v/>
      </c>
      <c r="AC112" s="339"/>
      <c r="AD112" s="49"/>
      <c r="AE112" s="336"/>
      <c r="AF112" s="49"/>
      <c r="AG112" s="339"/>
      <c r="AH112" s="478"/>
      <c r="AI112" s="49"/>
      <c r="AJ112" s="49"/>
      <c r="AK112" s="49"/>
      <c r="AL112" s="49"/>
      <c r="AM112" s="49"/>
      <c r="AN112" s="49"/>
      <c r="AO112" s="337"/>
      <c r="AP112" s="49"/>
      <c r="AQ112" s="49"/>
      <c r="AR112" s="488"/>
      <c r="AS112" s="489"/>
      <c r="AT112" s="488"/>
      <c r="AU112" s="489"/>
      <c r="AV112" s="488"/>
      <c r="AW112" s="489"/>
      <c r="AX112" s="488"/>
      <c r="AY112" s="489"/>
      <c r="AZ112" s="489"/>
      <c r="BA112" s="489"/>
      <c r="BB112" s="566">
        <f t="shared" si="12"/>
        <v>0</v>
      </c>
      <c r="BC112" s="563">
        <f t="shared" si="15"/>
        <v>0</v>
      </c>
    </row>
    <row r="113" spans="1:55">
      <c r="A113" s="470" t="s">
        <v>50</v>
      </c>
      <c r="B113" s="471" t="s">
        <v>528</v>
      </c>
      <c r="C113" s="471" t="str">
        <f t="shared" si="13"/>
        <v>Nueva Ecija, Talugtug</v>
      </c>
      <c r="D113" s="470" t="s">
        <v>88</v>
      </c>
      <c r="E113" s="470" t="s">
        <v>271</v>
      </c>
      <c r="F113" s="49">
        <v>15.777162000000001</v>
      </c>
      <c r="G113" s="49">
        <v>120.807756</v>
      </c>
      <c r="H113" s="473" t="str">
        <f t="shared" si="14"/>
        <v>15.777162,120.807756</v>
      </c>
      <c r="I113" s="473" t="s">
        <v>99</v>
      </c>
      <c r="J113" s="473" t="s">
        <v>529</v>
      </c>
      <c r="K113" s="49" t="s">
        <v>291</v>
      </c>
      <c r="L113" s="49">
        <v>2018</v>
      </c>
      <c r="M113" s="49">
        <v>2027</v>
      </c>
      <c r="N113" s="49"/>
      <c r="O113" s="472" t="s">
        <v>29</v>
      </c>
      <c r="P113" s="472"/>
      <c r="Q113" s="475" t="s">
        <v>130</v>
      </c>
      <c r="R113" s="473"/>
      <c r="S113" s="49"/>
      <c r="T113" s="337"/>
      <c r="U113" s="337"/>
      <c r="V113" s="337"/>
      <c r="W113" s="337"/>
      <c r="X113" s="49"/>
      <c r="Y113" s="476" t="str">
        <f>IFERROR(
    IF(
        OR(ISBLANK(T113), ISBLANK(U113)),
        "",
        MAX(
            1,
            IF(
                NETWORKDAYS(T113, U113, Holiday_Dates) &lt;= 0,
                1,
                NETWORKDAYS(T113, U113, Holiday_Dates) - IF(T113 = U113, 0, 1)
            )
        )
    ),
    ""
)</f>
        <v/>
      </c>
      <c r="Z113" s="476" t="str">
        <f>IF(
    OR(ISBLANK(U113), ISBLANK(V113)),
    "",
    MAX(
        1,
        IF(
            NETWORKDAYS(U113, V113, Holiday_Dates) &lt;= 0,
            1,
            NETWORKDAYS(U113, V113, Holiday_Dates) - IF(U113 = V113, 0, 1)
        )
    )
)</f>
        <v/>
      </c>
      <c r="AA113" s="476" t="str">
        <f>IFERROR(
    IF(
        OR(ISBLANK(W113), AND(ISBLANK(U113), ISBLANK(V113))),
        "",
        MAX(
            1,
            IF(
                NETWORKDAYS(IF(NOT(ISBLANK(V113)), V113, U113), W113, Holiday_Dates) &lt;= 0,
                1,
                NETWORKDAYS(IF(NOT(ISBLANK(V113)), V113, U113), W113, Holiday_Dates)
                - IF(IF(NOT(ISBLANK(V113)), V113, U113) = W113, 0, 1)
            )
        )
    ),
    ""
)</f>
        <v/>
      </c>
      <c r="AB113" s="476" t="str">
        <f>IFERROR(
    IF(
        OR(ISBLANK(W113), ISBLANK(X113)),
        "",
        MAX(
            1,
            IF(
                NETWORKDAYS(W113, X113, Holiday_Dates) &lt;= 0,
                1,
                NETWORKDAYS(W113, X113, Holiday_Dates) - IF(W113 = X113, 0, 1)
            )
        )
    ),
    ""
)</f>
        <v/>
      </c>
      <c r="AC113" s="339"/>
      <c r="AD113" s="49"/>
      <c r="AE113" s="49"/>
      <c r="AF113" s="49"/>
      <c r="AG113" s="339"/>
      <c r="AH113" s="478"/>
      <c r="AI113" s="49"/>
      <c r="AJ113" s="49"/>
      <c r="AK113" s="49"/>
      <c r="AL113" s="49"/>
      <c r="AM113" s="49"/>
      <c r="AN113" s="49"/>
      <c r="AO113" s="337"/>
      <c r="AP113" s="49"/>
      <c r="AQ113" s="49"/>
      <c r="AR113" s="488"/>
      <c r="AS113" s="489"/>
      <c r="AT113" s="489"/>
      <c r="AU113" s="489"/>
      <c r="AV113" s="489"/>
      <c r="AW113" s="489"/>
      <c r="AX113" s="488"/>
      <c r="AY113" s="489"/>
      <c r="AZ113" s="489"/>
      <c r="BA113" s="489"/>
      <c r="BB113" s="566">
        <f t="shared" si="12"/>
        <v>0</v>
      </c>
      <c r="BC113" s="563">
        <f t="shared" si="15"/>
        <v>0</v>
      </c>
    </row>
    <row r="114" spans="1:55">
      <c r="A114" s="470" t="s">
        <v>50</v>
      </c>
      <c r="B114" s="471" t="s">
        <v>530</v>
      </c>
      <c r="C114" s="471" t="str">
        <f t="shared" si="13"/>
        <v>Nueva Ecija, Zaragoza</v>
      </c>
      <c r="D114" s="470" t="s">
        <v>88</v>
      </c>
      <c r="E114" s="470" t="s">
        <v>243</v>
      </c>
      <c r="F114" s="49">
        <v>15.449308</v>
      </c>
      <c r="G114" s="49">
        <v>120.793306</v>
      </c>
      <c r="H114" s="473" t="str">
        <f t="shared" si="14"/>
        <v>15.449308,120.793306</v>
      </c>
      <c r="I114" s="473" t="s">
        <v>99</v>
      </c>
      <c r="J114" s="473" t="s">
        <v>531</v>
      </c>
      <c r="K114" s="49" t="s">
        <v>297</v>
      </c>
      <c r="L114" s="49">
        <v>2018</v>
      </c>
      <c r="M114" s="49">
        <v>2026</v>
      </c>
      <c r="N114" s="49"/>
      <c r="O114" s="49" t="s">
        <v>140</v>
      </c>
      <c r="P114" s="49"/>
      <c r="Q114" s="475" t="s">
        <v>130</v>
      </c>
      <c r="R114" s="472"/>
      <c r="S114" s="49"/>
      <c r="T114" s="337"/>
      <c r="U114" s="337"/>
      <c r="V114" s="337"/>
      <c r="W114" s="337"/>
      <c r="X114" s="337"/>
      <c r="Y114" s="476" t="str">
        <f>IFERROR(
    IF(
        OR(ISBLANK(T114), ISBLANK(U114)),
        "",
        MAX(
            1,
            IF(
                NETWORKDAYS(T114, U114, Holiday_Dates) &lt;= 0,
                1,
                NETWORKDAYS(T114, U114, Holiday_Dates) - IF(T114 = U114, 0, 1)
            )
        )
    ),
    ""
)</f>
        <v/>
      </c>
      <c r="Z114" s="476" t="str">
        <f>IF(
    OR(ISBLANK(U114), ISBLANK(V114)),
    "",
    MAX(
        1,
        IF(
            NETWORKDAYS(U114, V114, Holiday_Dates) &lt;= 0,
            1,
            NETWORKDAYS(U114, V114, Holiday_Dates) - IF(U114 = V114, 0, 1)
        )
    )
)</f>
        <v/>
      </c>
      <c r="AA114" s="476" t="str">
        <f>IFERROR(
    IF(
        OR(ISBLANK(W114), AND(ISBLANK(U114), ISBLANK(V114))),
        "",
        MAX(
            1,
            IF(
                NETWORKDAYS(IF(NOT(ISBLANK(V114)), V114, U114), W114, Holiday_Dates) &lt;= 0,
                1,
                NETWORKDAYS(IF(NOT(ISBLANK(V114)), V114, U114), W114, Holiday_Dates)
                - IF(IF(NOT(ISBLANK(V114)), V114, U114) = W114, 0, 1)
            )
        )
    ),
    ""
)</f>
        <v/>
      </c>
      <c r="AB114" s="476" t="str">
        <f>IFERROR(
    IF(
        OR(ISBLANK(W114), ISBLANK(X114)),
        "",
        MAX(
            1,
            IF(
                NETWORKDAYS(W114, X114, Holiday_Dates) &lt;= 0,
                1,
                NETWORKDAYS(W114, X114, Holiday_Dates) - IF(W114 = X114, 0, 1)
            )
        )
    ),
    ""
)</f>
        <v/>
      </c>
      <c r="AC114" s="339"/>
      <c r="AD114" s="49"/>
      <c r="AE114" s="49"/>
      <c r="AF114" s="49"/>
      <c r="AG114" s="339"/>
      <c r="AH114" s="478"/>
      <c r="AI114" s="49"/>
      <c r="AJ114" s="49"/>
      <c r="AK114" s="49"/>
      <c r="AL114" s="49"/>
      <c r="AM114" s="49"/>
      <c r="AN114" s="49"/>
      <c r="AO114" s="337"/>
      <c r="AP114" s="49"/>
      <c r="AQ114" s="49"/>
      <c r="AR114" s="488"/>
      <c r="AS114" s="489"/>
      <c r="AT114" s="488"/>
      <c r="AU114" s="489"/>
      <c r="AV114" s="488"/>
      <c r="AW114" s="489"/>
      <c r="AX114" s="488"/>
      <c r="AY114" s="489"/>
      <c r="AZ114" s="489"/>
      <c r="BA114" s="489"/>
      <c r="BB114" s="566">
        <f t="shared" si="12"/>
        <v>0</v>
      </c>
      <c r="BC114" s="563">
        <f t="shared" si="15"/>
        <v>0</v>
      </c>
    </row>
    <row r="115" spans="1:55">
      <c r="A115" s="470" t="s">
        <v>51</v>
      </c>
      <c r="B115" s="471" t="s">
        <v>532</v>
      </c>
      <c r="C115" s="471" t="str">
        <f t="shared" si="13"/>
        <v>Pampanga, Lubao</v>
      </c>
      <c r="D115" s="470" t="s">
        <v>88</v>
      </c>
      <c r="E115" s="470" t="s">
        <v>271</v>
      </c>
      <c r="F115" s="49">
        <v>14.926299999999999</v>
      </c>
      <c r="G115" s="49">
        <v>120.5891</v>
      </c>
      <c r="H115" s="473" t="str">
        <f t="shared" si="14"/>
        <v>14.9263,120.5891</v>
      </c>
      <c r="I115" s="473" t="s">
        <v>99</v>
      </c>
      <c r="J115" s="473" t="s">
        <v>533</v>
      </c>
      <c r="K115" s="49" t="s">
        <v>297</v>
      </c>
      <c r="L115" s="49">
        <v>2018</v>
      </c>
      <c r="M115" s="49">
        <v>2026</v>
      </c>
      <c r="N115" s="49"/>
      <c r="O115" s="49" t="s">
        <v>145</v>
      </c>
      <c r="P115" s="49"/>
      <c r="Q115" s="483" t="s">
        <v>133</v>
      </c>
      <c r="R115" s="472"/>
      <c r="S115" s="49"/>
      <c r="T115" s="337"/>
      <c r="U115" s="337"/>
      <c r="V115" s="337"/>
      <c r="W115" s="337"/>
      <c r="X115" s="337"/>
      <c r="Y115" s="476" t="str">
        <f>IFERROR(
    IF(
        OR(ISBLANK(T115), ISBLANK(U115)),
        "",
        MAX(
            1,
            IF(
                NETWORKDAYS(T115, U115, Holiday_Dates) &lt;= 0,
                1,
                NETWORKDAYS(T115, U115, Holiday_Dates) - IF(T115 = U115, 0, 1)
            )
        )
    ),
    ""
)</f>
        <v/>
      </c>
      <c r="Z115" s="476" t="str">
        <f>IF(
    OR(ISBLANK(U115), ISBLANK(V115)),
    "",
    MAX(
        1,
        IF(
            NETWORKDAYS(U115, V115, Holiday_Dates) &lt;= 0,
            1,
            NETWORKDAYS(U115, V115, Holiday_Dates) - IF(U115 = V115, 0, 1)
        )
    )
)</f>
        <v/>
      </c>
      <c r="AA115" s="476" t="str">
        <f>IFERROR(
    IF(
        OR(ISBLANK(W115), AND(ISBLANK(U115), ISBLANK(V115))),
        "",
        MAX(
            1,
            IF(
                NETWORKDAYS(IF(NOT(ISBLANK(V115)), V115, U115), W115, Holiday_Dates) &lt;= 0,
                1,
                NETWORKDAYS(IF(NOT(ISBLANK(V115)), V115, U115), W115, Holiday_Dates)
                - IF(IF(NOT(ISBLANK(V115)), V115, U115) = W115, 0, 1)
            )
        )
    ),
    ""
)</f>
        <v/>
      </c>
      <c r="AB115" s="476" t="str">
        <f>IFERROR(
    IF(
        OR(ISBLANK(W115), ISBLANK(X115)),
        "",
        MAX(
            1,
            IF(
                NETWORKDAYS(W115, X115, Holiday_Dates) &lt;= 0,
                1,
                NETWORKDAYS(W115, X115, Holiday_Dates) - IF(W115 = X115, 0, 1)
            )
        )
    ),
    ""
)</f>
        <v/>
      </c>
      <c r="AC115" s="339"/>
      <c r="AD115" s="495"/>
      <c r="AE115" s="496"/>
      <c r="AF115" s="485"/>
      <c r="AG115" s="339"/>
      <c r="AH115" s="478"/>
      <c r="AI115" s="49"/>
      <c r="AJ115" s="49"/>
      <c r="AK115" s="49"/>
      <c r="AL115" s="49"/>
      <c r="AM115" s="49"/>
      <c r="AN115" s="49"/>
      <c r="AO115" s="337"/>
      <c r="AP115" s="49"/>
      <c r="AQ115" s="49"/>
      <c r="AR115" s="488"/>
      <c r="AS115" s="489"/>
      <c r="AT115" s="488"/>
      <c r="AU115" s="489"/>
      <c r="AV115" s="488"/>
      <c r="AW115" s="489"/>
      <c r="AX115" s="488"/>
      <c r="AY115" s="489"/>
      <c r="AZ115" s="488"/>
      <c r="BA115" s="489"/>
      <c r="BB115" s="566">
        <f t="shared" si="12"/>
        <v>0</v>
      </c>
      <c r="BC115" s="563">
        <f t="shared" si="15"/>
        <v>0</v>
      </c>
    </row>
    <row r="116" spans="1:55">
      <c r="A116" s="470" t="s">
        <v>51</v>
      </c>
      <c r="B116" s="471" t="s">
        <v>534</v>
      </c>
      <c r="C116" s="471" t="str">
        <f t="shared" si="13"/>
        <v>Pampanga, Mabalacat City</v>
      </c>
      <c r="D116" s="470" t="s">
        <v>88</v>
      </c>
      <c r="E116" s="472" t="s">
        <v>243</v>
      </c>
      <c r="F116" s="49">
        <v>15.244213</v>
      </c>
      <c r="G116" s="49">
        <v>120.56471500000001</v>
      </c>
      <c r="H116" s="473" t="str">
        <f t="shared" si="14"/>
        <v>15.244213,120.564715</v>
      </c>
      <c r="I116" s="473" t="s">
        <v>99</v>
      </c>
      <c r="J116" s="473">
        <v>147</v>
      </c>
      <c r="K116" s="49" t="s">
        <v>320</v>
      </c>
      <c r="L116" s="49">
        <v>2015</v>
      </c>
      <c r="M116" s="49">
        <v>2023</v>
      </c>
      <c r="N116" s="49" t="s">
        <v>216</v>
      </c>
      <c r="O116" s="49" t="s">
        <v>32</v>
      </c>
      <c r="P116" s="49"/>
      <c r="Q116" s="483" t="s">
        <v>133</v>
      </c>
      <c r="R116" s="472"/>
      <c r="S116" s="49"/>
      <c r="T116" s="337"/>
      <c r="U116" s="337"/>
      <c r="V116" s="337"/>
      <c r="W116" s="337"/>
      <c r="X116" s="484"/>
      <c r="Y116" s="476" t="str">
        <f>IFERROR(
    IF(
        OR(ISBLANK(T116), ISBLANK(U116)),
        "",
        MAX(
            1,
            IF(
                NETWORKDAYS(T116, U116, Holiday_Dates) &lt;= 0,
                1,
                NETWORKDAYS(T116, U116, Holiday_Dates) - IF(T116 = U116, 0, 1)
            )
        )
    ),
    ""
)</f>
        <v/>
      </c>
      <c r="Z116" s="476" t="str">
        <f>IF(
    OR(ISBLANK(U116), ISBLANK(V116)),
    "",
    MAX(
        1,
        IF(
            NETWORKDAYS(U116, V116, Holiday_Dates) &lt;= 0,
            1,
            NETWORKDAYS(U116, V116, Holiday_Dates) - IF(U116 = V116, 0, 1)
        )
    )
)</f>
        <v/>
      </c>
      <c r="AA116" s="476" t="str">
        <f>IFERROR(
    IF(
        OR(ISBLANK(W116), AND(ISBLANK(U116), ISBLANK(V116))),
        "",
        MAX(
            1,
            IF(
                NETWORKDAYS(IF(NOT(ISBLANK(V116)), V116, U116), W116, Holiday_Dates) &lt;= 0,
                1,
                NETWORKDAYS(IF(NOT(ISBLANK(V116)), V116, U116), W116, Holiday_Dates)
                - IF(IF(NOT(ISBLANK(V116)), V116, U116) = W116, 0, 1)
            )
        )
    ),
    ""
)</f>
        <v/>
      </c>
      <c r="AB116" s="476" t="str">
        <f>IFERROR(
    IF(
        OR(ISBLANK(W116), ISBLANK(X116)),
        "",
        MAX(
            1,
            IF(
                NETWORKDAYS(W116, X116, Holiday_Dates) &lt;= 0,
                1,
                NETWORKDAYS(W116, X116, Holiday_Dates) - IF(W116 = X116, 0, 1)
            )
        )
    ),
    ""
)</f>
        <v/>
      </c>
      <c r="AC116" s="339"/>
      <c r="AD116" s="49"/>
      <c r="AE116" s="336"/>
      <c r="AF116" s="477"/>
      <c r="AG116" s="339"/>
      <c r="AH116" s="478"/>
      <c r="AI116" s="339"/>
      <c r="AJ116" s="339"/>
      <c r="AK116" s="339"/>
      <c r="AL116" s="339"/>
      <c r="AM116" s="339"/>
      <c r="AN116" s="339"/>
      <c r="AO116" s="337"/>
      <c r="AP116" s="49"/>
      <c r="AQ116" s="49"/>
      <c r="AR116" s="488"/>
      <c r="AS116" s="489"/>
      <c r="AT116" s="488"/>
      <c r="AU116" s="489"/>
      <c r="AV116" s="488"/>
      <c r="AW116" s="489"/>
      <c r="AX116" s="488"/>
      <c r="AY116" s="489"/>
      <c r="AZ116" s="489"/>
      <c r="BA116" s="489"/>
      <c r="BB116" s="566">
        <f t="shared" si="12"/>
        <v>0</v>
      </c>
      <c r="BC116" s="563">
        <f t="shared" si="15"/>
        <v>0</v>
      </c>
    </row>
    <row r="117" spans="1:55">
      <c r="A117" s="470" t="s">
        <v>51</v>
      </c>
      <c r="B117" s="471" t="s">
        <v>535</v>
      </c>
      <c r="C117" s="471" t="str">
        <f t="shared" si="13"/>
        <v>Pampanga, Magalang</v>
      </c>
      <c r="D117" s="470" t="s">
        <v>88</v>
      </c>
      <c r="E117" s="472" t="s">
        <v>243</v>
      </c>
      <c r="F117" s="49">
        <v>15.214281</v>
      </c>
      <c r="G117" s="49">
        <v>120.66215</v>
      </c>
      <c r="H117" s="473" t="str">
        <f t="shared" si="14"/>
        <v>15.214281,120.66215</v>
      </c>
      <c r="I117" s="473" t="s">
        <v>99</v>
      </c>
      <c r="J117" s="473" t="s">
        <v>536</v>
      </c>
      <c r="K117" s="49" t="s">
        <v>297</v>
      </c>
      <c r="L117" s="49">
        <v>2018</v>
      </c>
      <c r="M117" s="49">
        <v>2026</v>
      </c>
      <c r="N117" s="49"/>
      <c r="O117" s="49" t="s">
        <v>32</v>
      </c>
      <c r="P117" s="49"/>
      <c r="Q117" s="483" t="s">
        <v>133</v>
      </c>
      <c r="R117" s="472"/>
      <c r="S117" s="472"/>
      <c r="T117" s="337"/>
      <c r="U117" s="337"/>
      <c r="V117" s="337"/>
      <c r="W117" s="337"/>
      <c r="X117" s="337"/>
      <c r="Y117" s="476" t="str">
        <f>IFERROR(
    IF(
        OR(ISBLANK(T117), ISBLANK(U117)),
        "",
        MAX(
            1,
            IF(
                NETWORKDAYS(T117, U117, Holiday_Dates) &lt;= 0,
                1,
                NETWORKDAYS(T117, U117, Holiday_Dates) - IF(T117 = U117, 0, 1)
            )
        )
    ),
    ""
)</f>
        <v/>
      </c>
      <c r="Z117" s="476" t="str">
        <f>IF(
    OR(ISBLANK(U117), ISBLANK(V117)),
    "",
    MAX(
        1,
        IF(
            NETWORKDAYS(U117, V117, Holiday_Dates) &lt;= 0,
            1,
            NETWORKDAYS(U117, V117, Holiday_Dates) - IF(U117 = V117, 0, 1)
        )
    )
)</f>
        <v/>
      </c>
      <c r="AA117" s="476" t="str">
        <f>IFERROR(
    IF(
        OR(ISBLANK(W117), AND(ISBLANK(U117), ISBLANK(V117))),
        "",
        MAX(
            1,
            IF(
                NETWORKDAYS(IF(NOT(ISBLANK(V117)), V117, U117), W117, Holiday_Dates) &lt;= 0,
                1,
                NETWORKDAYS(IF(NOT(ISBLANK(V117)), V117, U117), W117, Holiday_Dates)
                - IF(IF(NOT(ISBLANK(V117)), V117, U117) = W117, 0, 1)
            )
        )
    ),
    ""
)</f>
        <v/>
      </c>
      <c r="AB117" s="476" t="str">
        <f>IFERROR(
    IF(
        OR(ISBLANK(W117), ISBLANK(X117)),
        "",
        MAX(
            1,
            IF(
                NETWORKDAYS(W117, X117, Holiday_Dates) &lt;= 0,
                1,
                NETWORKDAYS(W117, X117, Holiday_Dates) - IF(W117 = X117, 0, 1)
            )
        )
    ),
    ""
)</f>
        <v/>
      </c>
      <c r="AC117" s="339"/>
      <c r="AD117" s="49"/>
      <c r="AE117" s="49"/>
      <c r="AF117" s="477"/>
      <c r="AG117" s="339"/>
      <c r="AH117" s="478"/>
      <c r="AI117" s="339"/>
      <c r="AJ117" s="339"/>
      <c r="AK117" s="339"/>
      <c r="AL117" s="339"/>
      <c r="AM117" s="339"/>
      <c r="AN117" s="339"/>
      <c r="AO117" s="337"/>
      <c r="AP117" s="49"/>
      <c r="AQ117" s="49"/>
      <c r="AR117" s="488"/>
      <c r="AS117" s="489"/>
      <c r="AT117" s="488"/>
      <c r="AU117" s="489"/>
      <c r="AV117" s="488"/>
      <c r="AW117" s="489"/>
      <c r="AX117" s="488"/>
      <c r="AY117" s="489"/>
      <c r="AZ117" s="489"/>
      <c r="BA117" s="489"/>
      <c r="BB117" s="566">
        <f t="shared" si="12"/>
        <v>0</v>
      </c>
      <c r="BC117" s="563">
        <f t="shared" si="15"/>
        <v>0</v>
      </c>
    </row>
    <row r="118" spans="1:55">
      <c r="A118" s="470" t="s">
        <v>51</v>
      </c>
      <c r="B118" s="471" t="s">
        <v>537</v>
      </c>
      <c r="C118" s="471" t="str">
        <f t="shared" si="13"/>
        <v>Pampanga, Mexico</v>
      </c>
      <c r="D118" s="470" t="s">
        <v>88</v>
      </c>
      <c r="E118" s="472" t="s">
        <v>213</v>
      </c>
      <c r="F118" s="49">
        <v>15.065</v>
      </c>
      <c r="G118" s="49">
        <v>120.7201</v>
      </c>
      <c r="H118" s="473" t="str">
        <f t="shared" si="14"/>
        <v>15.065,120.7201</v>
      </c>
      <c r="I118" s="473" t="s">
        <v>99</v>
      </c>
      <c r="J118" s="473" t="s">
        <v>538</v>
      </c>
      <c r="K118" s="49" t="s">
        <v>297</v>
      </c>
      <c r="L118" s="49">
        <v>2019</v>
      </c>
      <c r="M118" s="49">
        <v>2026</v>
      </c>
      <c r="N118" s="49"/>
      <c r="O118" s="49" t="s">
        <v>32</v>
      </c>
      <c r="P118" s="49"/>
      <c r="Q118" s="483" t="s">
        <v>133</v>
      </c>
      <c r="R118" s="473"/>
      <c r="S118" s="49"/>
      <c r="T118" s="337"/>
      <c r="U118" s="337"/>
      <c r="V118" s="337"/>
      <c r="W118" s="337"/>
      <c r="X118" s="513"/>
      <c r="Y118" s="476" t="str">
        <f>IFERROR(
    IF(
        OR(ISBLANK(T118), ISBLANK(U118)),
        "",
        MAX(
            1,
            IF(
                NETWORKDAYS(T118, U118, Holiday_Dates) &lt;= 0,
                1,
                NETWORKDAYS(T118, U118, Holiday_Dates) - IF(T118 = U118, 0, 1)
            )
        )
    ),
    ""
)</f>
        <v/>
      </c>
      <c r="Z118" s="476" t="str">
        <f>IF(
    OR(ISBLANK(U118), ISBLANK(V118)),
    "",
    MAX(
        1,
        IF(
            NETWORKDAYS(U118, V118, Holiday_Dates) &lt;= 0,
            1,
            NETWORKDAYS(U118, V118, Holiday_Dates) - IF(U118 = V118, 0, 1)
        )
    )
)</f>
        <v/>
      </c>
      <c r="AA118" s="476" t="str">
        <f>IFERROR(
    IF(
        OR(ISBLANK(W118), AND(ISBLANK(U118), ISBLANK(V118))),
        "",
        MAX(
            1,
            IF(
                NETWORKDAYS(IF(NOT(ISBLANK(V118)), V118, U118), W118, Holiday_Dates) &lt;= 0,
                1,
                NETWORKDAYS(IF(NOT(ISBLANK(V118)), V118, U118), W118, Holiday_Dates)
                - IF(IF(NOT(ISBLANK(V118)), V118, U118) = W118, 0, 1)
            )
        )
    ),
    ""
)</f>
        <v/>
      </c>
      <c r="AB118" s="476" t="str">
        <f>IFERROR(
    IF(
        OR(ISBLANK(W118), ISBLANK(X118)),
        "",
        MAX(
            1,
            IF(
                NETWORKDAYS(W118, X118, Holiday_Dates) &lt;= 0,
                1,
                NETWORKDAYS(W118, X118, Holiday_Dates) - IF(W118 = X118, 0, 1)
            )
        )
    ),
    ""
)</f>
        <v/>
      </c>
      <c r="AC118" s="339"/>
      <c r="AD118" s="49"/>
      <c r="AE118" s="336"/>
      <c r="AF118" s="49"/>
      <c r="AG118" s="339"/>
      <c r="AH118" s="478"/>
      <c r="AI118" s="49"/>
      <c r="AJ118" s="49"/>
      <c r="AK118" s="49"/>
      <c r="AL118" s="49"/>
      <c r="AM118" s="49"/>
      <c r="AN118" s="49"/>
      <c r="AO118" s="337"/>
      <c r="AP118" s="49"/>
      <c r="AQ118" s="49"/>
      <c r="AR118" s="488"/>
      <c r="AS118" s="489"/>
      <c r="AT118" s="488"/>
      <c r="AU118" s="489"/>
      <c r="AV118" s="488"/>
      <c r="AW118" s="489"/>
      <c r="AX118" s="488"/>
      <c r="AY118" s="489"/>
      <c r="AZ118" s="488"/>
      <c r="BA118" s="489"/>
      <c r="BB118" s="566">
        <f t="shared" si="12"/>
        <v>0</v>
      </c>
      <c r="BC118" s="563">
        <f t="shared" si="15"/>
        <v>0</v>
      </c>
    </row>
    <row r="119" spans="1:55">
      <c r="A119" s="470" t="s">
        <v>51</v>
      </c>
      <c r="B119" s="471" t="s">
        <v>539</v>
      </c>
      <c r="C119" s="471" t="str">
        <f t="shared" si="13"/>
        <v>Pampanga, Santa Rita</v>
      </c>
      <c r="D119" s="470" t="s">
        <v>88</v>
      </c>
      <c r="E119" s="472" t="s">
        <v>271</v>
      </c>
      <c r="F119" s="49">
        <v>15.000400000000001</v>
      </c>
      <c r="G119" s="49">
        <v>120.6178</v>
      </c>
      <c r="H119" s="473" t="str">
        <f t="shared" si="14"/>
        <v>15.0004,120.6178</v>
      </c>
      <c r="I119" s="473" t="s">
        <v>99</v>
      </c>
      <c r="J119" s="473" t="s">
        <v>540</v>
      </c>
      <c r="K119" s="49" t="s">
        <v>261</v>
      </c>
      <c r="L119" s="49">
        <v>2015</v>
      </c>
      <c r="M119" s="49">
        <v>2024</v>
      </c>
      <c r="N119" s="49" t="s">
        <v>170</v>
      </c>
      <c r="O119" s="49" t="s">
        <v>145</v>
      </c>
      <c r="P119" s="49"/>
      <c r="Q119" s="483" t="s">
        <v>133</v>
      </c>
      <c r="R119" s="49"/>
      <c r="S119" s="49"/>
      <c r="T119" s="337"/>
      <c r="U119" s="337"/>
      <c r="V119" s="337"/>
      <c r="W119" s="337"/>
      <c r="X119" s="337"/>
      <c r="Y119" s="476" t="str">
        <f>IFERROR(
    IF(
        OR(ISBLANK(T119), ISBLANK(U119)),
        "",
        MAX(
            1,
            IF(
                NETWORKDAYS(T119, U119, Holiday_Dates) &lt;= 0,
                1,
                NETWORKDAYS(T119, U119, Holiday_Dates) - IF(T119 = U119, 0, 1)
            )
        )
    ),
    ""
)</f>
        <v/>
      </c>
      <c r="Z119" s="476" t="str">
        <f>IF(
    OR(ISBLANK(U119), ISBLANK(V119)),
    "",
    MAX(
        1,
        IF(
            NETWORKDAYS(U119, V119, Holiday_Dates) &lt;= 0,
            1,
            NETWORKDAYS(U119, V119, Holiday_Dates) - IF(U119 = V119, 0, 1)
        )
    )
)</f>
        <v/>
      </c>
      <c r="AA119" s="476" t="str">
        <f>IFERROR(
    IF(
        OR(ISBLANK(W119), AND(ISBLANK(U119), ISBLANK(V119))),
        "",
        MAX(
            1,
            IF(
                NETWORKDAYS(IF(NOT(ISBLANK(V119)), V119, U119), W119, Holiday_Dates) &lt;= 0,
                1,
                NETWORKDAYS(IF(NOT(ISBLANK(V119)), V119, U119), W119, Holiday_Dates)
                - IF(IF(NOT(ISBLANK(V119)), V119, U119) = W119, 0, 1)
            )
        )
    ),
    ""
)</f>
        <v/>
      </c>
      <c r="AB119" s="476" t="str">
        <f>IFERROR(
    IF(
        OR(ISBLANK(W119), ISBLANK(X119)),
        "",
        MAX(
            1,
            IF(
                NETWORKDAYS(W119, X119, Holiday_Dates) &lt;= 0,
                1,
                NETWORKDAYS(W119, X119, Holiday_Dates) - IF(W119 = X119, 0, 1)
            )
        )
    ),
    ""
)</f>
        <v/>
      </c>
      <c r="AC119" s="339"/>
      <c r="AD119" s="49"/>
      <c r="AE119" s="336"/>
      <c r="AF119" s="491"/>
      <c r="AG119" s="339"/>
      <c r="AH119" s="478"/>
      <c r="AI119" s="49"/>
      <c r="AJ119" s="49"/>
      <c r="AK119" s="49"/>
      <c r="AL119" s="49"/>
      <c r="AM119" s="49"/>
      <c r="AN119" s="49"/>
      <c r="AO119" s="337"/>
      <c r="AP119" s="49"/>
      <c r="AQ119" s="49"/>
      <c r="AR119" s="488"/>
      <c r="AS119" s="489"/>
      <c r="AT119" s="488"/>
      <c r="AU119" s="489"/>
      <c r="AV119" s="488"/>
      <c r="AW119" s="489"/>
      <c r="AX119" s="488"/>
      <c r="AY119" s="489"/>
      <c r="AZ119" s="489"/>
      <c r="BA119" s="489"/>
      <c r="BB119" s="566">
        <f t="shared" ref="BB119:BB127" si="16">SUM(AR119,AT119,AV119)</f>
        <v>0</v>
      </c>
      <c r="BC119" s="563">
        <f t="shared" si="15"/>
        <v>0</v>
      </c>
    </row>
    <row r="120" spans="1:55">
      <c r="A120" s="470" t="s">
        <v>51</v>
      </c>
      <c r="B120" s="471" t="s">
        <v>541</v>
      </c>
      <c r="C120" s="471" t="str">
        <f t="shared" si="13"/>
        <v>Pampanga, Sto. Tomas</v>
      </c>
      <c r="D120" s="470" t="s">
        <v>88</v>
      </c>
      <c r="E120" s="472" t="s">
        <v>224</v>
      </c>
      <c r="F120" s="49">
        <v>14.996703999999999</v>
      </c>
      <c r="G120" s="49">
        <v>120.70418100000001</v>
      </c>
      <c r="H120" s="473" t="str">
        <f t="shared" si="14"/>
        <v>14.996704,120.704181</v>
      </c>
      <c r="I120" s="473" t="s">
        <v>99</v>
      </c>
      <c r="J120" s="473">
        <v>1243</v>
      </c>
      <c r="K120" s="49" t="s">
        <v>291</v>
      </c>
      <c r="L120" s="49">
        <v>2019</v>
      </c>
      <c r="M120" s="49">
        <v>2027</v>
      </c>
      <c r="N120" s="49"/>
      <c r="O120" s="49" t="s">
        <v>33</v>
      </c>
      <c r="P120" s="49"/>
      <c r="Q120" s="483" t="s">
        <v>239</v>
      </c>
      <c r="R120" s="473"/>
      <c r="S120" s="472"/>
      <c r="T120" s="337"/>
      <c r="U120" s="337"/>
      <c r="V120" s="337"/>
      <c r="W120" s="337"/>
      <c r="X120" s="484"/>
      <c r="Y120" s="476" t="str">
        <f>IFERROR(
    IF(
        OR(ISBLANK(T120), ISBLANK(U120)),
        "",
        MAX(
            1,
            IF(
                NETWORKDAYS(T120, U120, Holiday_Dates) &lt;= 0,
                1,
                NETWORKDAYS(T120, U120, Holiday_Dates) - IF(T120 = U120, 0, 1)
            )
        )
    ),
    ""
)</f>
        <v/>
      </c>
      <c r="Z120" s="476" t="str">
        <f>IF(
    OR(ISBLANK(U120), ISBLANK(V120)),
    "",
    MAX(
        1,
        IF(
            NETWORKDAYS(U120, V120, Holiday_Dates) &lt;= 0,
            1,
            NETWORKDAYS(U120, V120, Holiday_Dates) - IF(U120 = V120, 0, 1)
        )
    )
)</f>
        <v/>
      </c>
      <c r="AA120" s="476" t="str">
        <f>IFERROR(
    IF(
        OR(ISBLANK(W120), AND(ISBLANK(U120), ISBLANK(V120))),
        "",
        MAX(
            1,
            IF(
                NETWORKDAYS(IF(NOT(ISBLANK(V120)), V120, U120), W120, Holiday_Dates) &lt;= 0,
                1,
                NETWORKDAYS(IF(NOT(ISBLANK(V120)), V120, U120), W120, Holiday_Dates)
                - IF(IF(NOT(ISBLANK(V120)), V120, U120) = W120, 0, 1)
            )
        )
    ),
    ""
)</f>
        <v/>
      </c>
      <c r="AB120" s="476" t="str">
        <f>IFERROR(
    IF(
        OR(ISBLANK(W120), ISBLANK(X120)),
        "",
        MAX(
            1,
            IF(
                NETWORKDAYS(W120, X120, Holiday_Dates) &lt;= 0,
                1,
                NETWORKDAYS(W120, X120, Holiday_Dates) - IF(W120 = X120, 0, 1)
            )
        )
    ),
    ""
)</f>
        <v/>
      </c>
      <c r="AC120" s="339"/>
      <c r="AD120" s="49"/>
      <c r="AE120" s="49"/>
      <c r="AF120" s="49"/>
      <c r="AG120" s="339"/>
      <c r="AH120" s="478"/>
      <c r="AI120" s="49"/>
      <c r="AJ120" s="49"/>
      <c r="AK120" s="49"/>
      <c r="AL120" s="49"/>
      <c r="AM120" s="49"/>
      <c r="AN120" s="49"/>
      <c r="AO120" s="337"/>
      <c r="AP120" s="49"/>
      <c r="AQ120" s="49"/>
      <c r="AR120" s="488"/>
      <c r="AS120" s="489"/>
      <c r="AT120" s="488"/>
      <c r="AU120" s="489"/>
      <c r="AV120" s="488"/>
      <c r="AW120" s="489"/>
      <c r="AX120" s="488"/>
      <c r="AY120" s="489"/>
      <c r="AZ120" s="489"/>
      <c r="BA120" s="489"/>
      <c r="BB120" s="566">
        <f t="shared" si="16"/>
        <v>0</v>
      </c>
      <c r="BC120" s="563">
        <f t="shared" si="15"/>
        <v>0</v>
      </c>
    </row>
    <row r="121" spans="1:55">
      <c r="A121" s="470" t="s">
        <v>52</v>
      </c>
      <c r="B121" s="471" t="s">
        <v>542</v>
      </c>
      <c r="C121" s="471" t="str">
        <f t="shared" si="13"/>
        <v>Tarlac, San Clemente</v>
      </c>
      <c r="D121" s="470" t="s">
        <v>89</v>
      </c>
      <c r="E121" s="472" t="s">
        <v>243</v>
      </c>
      <c r="F121" s="49">
        <v>15.7122581</v>
      </c>
      <c r="G121" s="49">
        <v>120.360302</v>
      </c>
      <c r="H121" s="473" t="str">
        <f t="shared" si="14"/>
        <v>15.7122581,120.360302</v>
      </c>
      <c r="I121" s="473" t="s">
        <v>99</v>
      </c>
      <c r="J121" s="339" t="s">
        <v>543</v>
      </c>
      <c r="K121" s="49" t="s">
        <v>252</v>
      </c>
      <c r="L121" s="49">
        <v>2019</v>
      </c>
      <c r="M121" s="49">
        <v>2027</v>
      </c>
      <c r="N121" s="49"/>
      <c r="O121" s="49" t="s">
        <v>38</v>
      </c>
      <c r="P121" s="49"/>
      <c r="Q121" s="475" t="s">
        <v>28</v>
      </c>
      <c r="R121" s="473"/>
      <c r="S121" s="49"/>
      <c r="T121" s="337"/>
      <c r="U121" s="337"/>
      <c r="V121" s="337"/>
      <c r="W121" s="337"/>
      <c r="X121" s="337"/>
      <c r="Y121" s="476" t="str">
        <f>IFERROR(
    IF(
        OR(ISBLANK(T121), ISBLANK(U121)),
        "",
        MAX(
            1,
            IF(
                NETWORKDAYS(T121, U121, Holiday_Dates) &lt;= 0,
                1,
                NETWORKDAYS(T121, U121, Holiday_Dates) - IF(T121 = U121, 0, 1)
            )
        )
    ),
    ""
)</f>
        <v/>
      </c>
      <c r="Z121" s="476" t="str">
        <f>IF(
    OR(ISBLANK(U121), ISBLANK(V121)),
    "",
    MAX(
        1,
        IF(
            NETWORKDAYS(U121, V121, Holiday_Dates) &lt;= 0,
            1,
            NETWORKDAYS(U121, V121, Holiday_Dates) - IF(U121 = V121, 0, 1)
        )
    )
)</f>
        <v/>
      </c>
      <c r="AA121" s="476" t="str">
        <f>IFERROR(
    IF(
        OR(ISBLANK(W121), AND(ISBLANK(U121), ISBLANK(V121))),
        "",
        MAX(
            1,
            IF(
                NETWORKDAYS(IF(NOT(ISBLANK(V121)), V121, U121), W121, Holiday_Dates) &lt;= 0,
                1,
                NETWORKDAYS(IF(NOT(ISBLANK(V121)), V121, U121), W121, Holiday_Dates)
                - IF(IF(NOT(ISBLANK(V121)), V121, U121) = W121, 0, 1)
            )
        )
    ),
    ""
)</f>
        <v/>
      </c>
      <c r="AB121" s="476" t="str">
        <f>IFERROR(
    IF(
        OR(ISBLANK(W121), ISBLANK(X121)),
        "",
        MAX(
            1,
            IF(
                NETWORKDAYS(W121, X121, Holiday_Dates) &lt;= 0,
                1,
                NETWORKDAYS(W121, X121, Holiday_Dates) - IF(W121 = X121, 0, 1)
            )
        )
    ),
    ""
)</f>
        <v/>
      </c>
      <c r="AC121" s="339"/>
      <c r="AD121" s="49"/>
      <c r="AE121" s="49"/>
      <c r="AF121" s="49"/>
      <c r="AG121" s="339"/>
      <c r="AH121" s="478"/>
      <c r="AI121" s="49"/>
      <c r="AJ121" s="49"/>
      <c r="AK121" s="49"/>
      <c r="AL121" s="49"/>
      <c r="AM121" s="49"/>
      <c r="AN121" s="49"/>
      <c r="AO121" s="337"/>
      <c r="AP121" s="49"/>
      <c r="AQ121" s="49"/>
      <c r="AR121" s="488"/>
      <c r="AS121" s="489"/>
      <c r="AT121" s="489"/>
      <c r="AU121" s="489"/>
      <c r="AV121" s="489"/>
      <c r="AW121" s="489"/>
      <c r="AX121" s="489"/>
      <c r="AY121" s="489"/>
      <c r="AZ121" s="489"/>
      <c r="BA121" s="489"/>
      <c r="BB121" s="566">
        <f t="shared" si="16"/>
        <v>0</v>
      </c>
      <c r="BC121" s="563">
        <f t="shared" si="15"/>
        <v>0</v>
      </c>
    </row>
    <row r="122" spans="1:55">
      <c r="A122" s="470" t="s">
        <v>53</v>
      </c>
      <c r="B122" s="471" t="s">
        <v>544</v>
      </c>
      <c r="C122" s="471" t="str">
        <f t="shared" si="13"/>
        <v>Zambales, Cabangan</v>
      </c>
      <c r="D122" s="470" t="s">
        <v>89</v>
      </c>
      <c r="E122" s="470" t="s">
        <v>271</v>
      </c>
      <c r="F122" s="49">
        <v>15.158889</v>
      </c>
      <c r="G122" s="49">
        <v>120.055556</v>
      </c>
      <c r="H122" s="473" t="str">
        <f t="shared" si="14"/>
        <v>15.158889,120.055556</v>
      </c>
      <c r="I122" s="473" t="s">
        <v>99</v>
      </c>
      <c r="J122" s="339" t="s">
        <v>545</v>
      </c>
      <c r="K122" s="49" t="s">
        <v>233</v>
      </c>
      <c r="L122" s="49">
        <v>2021</v>
      </c>
      <c r="M122" s="49">
        <v>2029</v>
      </c>
      <c r="N122" s="49"/>
      <c r="O122" s="49" t="s">
        <v>41</v>
      </c>
      <c r="P122" s="49"/>
      <c r="Q122" s="475" t="s">
        <v>133</v>
      </c>
      <c r="R122" s="49"/>
      <c r="S122" s="49"/>
      <c r="T122" s="480"/>
      <c r="U122" s="480"/>
      <c r="V122" s="480"/>
      <c r="W122" s="480"/>
      <c r="X122" s="480"/>
      <c r="Y122" s="476" t="str">
        <f>IFERROR(
    IF(
        OR(ISBLANK(T122), ISBLANK(U122)),
        "",
        MAX(
            1,
            IF(
                NETWORKDAYS(T122, U122, Holiday_Dates) &lt;= 0,
                1,
                NETWORKDAYS(T122, U122, Holiday_Dates) - IF(T122 = U122, 0, 1)
            )
        )
    ),
    ""
)</f>
        <v/>
      </c>
      <c r="Z122" s="476" t="str">
        <f>IF(
    OR(ISBLANK(U122), ISBLANK(V122)),
    "",
    MAX(
        1,
        IF(
            NETWORKDAYS(U122, V122, Holiday_Dates) &lt;= 0,
            1,
            NETWORKDAYS(U122, V122, Holiday_Dates) - IF(U122 = V122, 0, 1)
        )
    )
)</f>
        <v/>
      </c>
      <c r="AA122" s="476" t="str">
        <f>IFERROR(
    IF(
        OR(ISBLANK(W122), AND(ISBLANK(U122), ISBLANK(V122))),
        "",
        MAX(
            1,
            IF(
                NETWORKDAYS(IF(NOT(ISBLANK(V122)), V122, U122), W122, Holiday_Dates) &lt;= 0,
                1,
                NETWORKDAYS(IF(NOT(ISBLANK(V122)), V122, U122), W122, Holiday_Dates)
                - IF(IF(NOT(ISBLANK(V122)), V122, U122) = W122, 0, 1)
            )
        )
    ),
    ""
)</f>
        <v/>
      </c>
      <c r="AB122" s="476" t="str">
        <f>IFERROR(
    IF(
        OR(ISBLANK(W122), ISBLANK(X122)),
        "",
        MAX(
            1,
            IF(
                NETWORKDAYS(W122, X122, Holiday_Dates) &lt;= 0,
                1,
                NETWORKDAYS(W122, X122, Holiday_Dates) - IF(W122 = X122, 0, 1)
            )
        )
    ),
    ""
)</f>
        <v/>
      </c>
      <c r="AC122" s="339"/>
      <c r="AD122" s="49"/>
      <c r="AE122" s="49"/>
      <c r="AF122" s="485"/>
      <c r="AG122" s="339"/>
      <c r="AH122" s="478"/>
      <c r="AI122" s="49"/>
      <c r="AJ122" s="49"/>
      <c r="AK122" s="49"/>
      <c r="AL122" s="49"/>
      <c r="AM122" s="49"/>
      <c r="AN122" s="49"/>
      <c r="AO122" s="337"/>
      <c r="AP122" s="49"/>
      <c r="AQ122" s="49"/>
      <c r="AR122" s="488"/>
      <c r="AS122" s="489"/>
      <c r="AT122" s="488"/>
      <c r="AU122" s="489"/>
      <c r="AV122" s="489"/>
      <c r="AW122" s="489"/>
      <c r="AX122" s="488"/>
      <c r="AY122" s="489"/>
      <c r="AZ122" s="489"/>
      <c r="BA122" s="489"/>
      <c r="BB122" s="566">
        <f t="shared" si="16"/>
        <v>0</v>
      </c>
      <c r="BC122" s="563">
        <f t="shared" si="15"/>
        <v>0</v>
      </c>
    </row>
    <row r="123" spans="1:55">
      <c r="A123" s="470" t="s">
        <v>53</v>
      </c>
      <c r="B123" s="471" t="s">
        <v>546</v>
      </c>
      <c r="C123" s="471" t="str">
        <f t="shared" si="13"/>
        <v>Zambales, Candelaria</v>
      </c>
      <c r="D123" s="470" t="s">
        <v>89</v>
      </c>
      <c r="E123" s="470" t="s">
        <v>271</v>
      </c>
      <c r="F123" s="49">
        <v>15.626389</v>
      </c>
      <c r="G123" s="49">
        <v>119.931389</v>
      </c>
      <c r="H123" s="473" t="str">
        <f t="shared" si="14"/>
        <v>15.626389,119.931389</v>
      </c>
      <c r="I123" s="473" t="s">
        <v>99</v>
      </c>
      <c r="J123" s="339" t="s">
        <v>547</v>
      </c>
      <c r="K123" s="49" t="s">
        <v>233</v>
      </c>
      <c r="L123" s="49">
        <v>2021</v>
      </c>
      <c r="M123" s="49">
        <v>2029</v>
      </c>
      <c r="N123" s="49"/>
      <c r="O123" s="49" t="s">
        <v>42</v>
      </c>
      <c r="P123" s="49"/>
      <c r="Q123" s="475" t="s">
        <v>133</v>
      </c>
      <c r="R123" s="473"/>
      <c r="S123" s="49"/>
      <c r="T123" s="337"/>
      <c r="U123" s="337"/>
      <c r="V123" s="337"/>
      <c r="W123" s="337"/>
      <c r="X123" s="337"/>
      <c r="Y123" s="476" t="str">
        <f>IFERROR(
    IF(
        OR(ISBLANK(T123), ISBLANK(U123)),
        "",
        MAX(
            1,
            IF(
                NETWORKDAYS(T123, U123, Holiday_Dates) &lt;= 0,
                1,
                NETWORKDAYS(T123, U123, Holiday_Dates) - IF(T123 = U123, 0, 1)
            )
        )
    ),
    ""
)</f>
        <v/>
      </c>
      <c r="Z123" s="476" t="str">
        <f>IF(
    OR(ISBLANK(U123), ISBLANK(V123)),
    "",
    MAX(
        1,
        IF(
            NETWORKDAYS(U123, V123, Holiday_Dates) &lt;= 0,
            1,
            NETWORKDAYS(U123, V123, Holiday_Dates) - IF(U123 = V123, 0, 1)
        )
    )
)</f>
        <v/>
      </c>
      <c r="AA123" s="476" t="str">
        <f>IFERROR(
    IF(
        OR(ISBLANK(W123), AND(ISBLANK(U123), ISBLANK(V123))),
        "",
        MAX(
            1,
            IF(
                NETWORKDAYS(IF(NOT(ISBLANK(V123)), V123, U123), W123, Holiday_Dates) &lt;= 0,
                1,
                NETWORKDAYS(IF(NOT(ISBLANK(V123)), V123, U123), W123, Holiday_Dates)
                - IF(IF(NOT(ISBLANK(V123)), V123, U123) = W123, 0, 1)
            )
        )
    ),
    ""
)</f>
        <v/>
      </c>
      <c r="AB123" s="476" t="str">
        <f>IFERROR(
    IF(
        OR(ISBLANK(W123), ISBLANK(X123)),
        "",
        MAX(
            1,
            IF(
                NETWORKDAYS(W123, X123, Holiday_Dates) &lt;= 0,
                1,
                NETWORKDAYS(W123, X123, Holiday_Dates) - IF(W123 = X123, 0, 1)
            )
        )
    ),
    ""
)</f>
        <v/>
      </c>
      <c r="AC123" s="339"/>
      <c r="AD123" s="49"/>
      <c r="AE123" s="49"/>
      <c r="AF123" s="49"/>
      <c r="AG123" s="339"/>
      <c r="AH123" s="478"/>
      <c r="AI123" s="49"/>
      <c r="AJ123" s="49"/>
      <c r="AK123" s="49"/>
      <c r="AL123" s="49"/>
      <c r="AM123" s="49"/>
      <c r="AN123" s="49"/>
      <c r="AO123" s="337"/>
      <c r="AP123" s="49"/>
      <c r="AQ123" s="49"/>
      <c r="AR123" s="488"/>
      <c r="AS123" s="489"/>
      <c r="AT123" s="488"/>
      <c r="AU123" s="489"/>
      <c r="AV123" s="489"/>
      <c r="AW123" s="489"/>
      <c r="AX123" s="488"/>
      <c r="AY123" s="489"/>
      <c r="AZ123" s="489"/>
      <c r="BA123" s="489"/>
      <c r="BB123" s="566">
        <f t="shared" si="16"/>
        <v>0</v>
      </c>
      <c r="BC123" s="563">
        <f t="shared" si="15"/>
        <v>0</v>
      </c>
    </row>
    <row r="124" spans="1:55">
      <c r="A124" s="470" t="s">
        <v>53</v>
      </c>
      <c r="B124" s="471" t="s">
        <v>548</v>
      </c>
      <c r="C124" s="471" t="str">
        <f t="shared" si="13"/>
        <v>Zambales, San Antonio_Z</v>
      </c>
      <c r="D124" s="470" t="s">
        <v>89</v>
      </c>
      <c r="E124" s="470" t="s">
        <v>271</v>
      </c>
      <c r="F124" s="49">
        <v>14.948117</v>
      </c>
      <c r="G124" s="49">
        <v>120.09014999999999</v>
      </c>
      <c r="H124" s="473" t="str">
        <f t="shared" si="14"/>
        <v>14.948117,120.09015</v>
      </c>
      <c r="I124" s="473" t="s">
        <v>99</v>
      </c>
      <c r="J124" s="339" t="s">
        <v>549</v>
      </c>
      <c r="K124" s="49" t="s">
        <v>359</v>
      </c>
      <c r="L124" s="49">
        <v>2021</v>
      </c>
      <c r="M124" s="49">
        <v>2031</v>
      </c>
      <c r="N124" s="49"/>
      <c r="O124" s="49" t="s">
        <v>42</v>
      </c>
      <c r="P124" s="49"/>
      <c r="Q124" s="475" t="s">
        <v>133</v>
      </c>
      <c r="R124" s="472"/>
      <c r="S124" s="49"/>
      <c r="T124" s="337"/>
      <c r="U124" s="337"/>
      <c r="V124" s="337"/>
      <c r="W124" s="337"/>
      <c r="X124" s="337"/>
      <c r="Y124" s="476" t="str">
        <f>IFERROR(
    IF(
        OR(ISBLANK(T124), ISBLANK(U124)),
        "",
        MAX(
            1,
            IF(
                NETWORKDAYS(T124, U124, Holiday_Dates) &lt;= 0,
                1,
                NETWORKDAYS(T124, U124, Holiday_Dates) - IF(T124 = U124, 0, 1)
            )
        )
    ),
    ""
)</f>
        <v/>
      </c>
      <c r="Z124" s="476" t="str">
        <f>IF(
    OR(ISBLANK(U124), ISBLANK(V124)),
    "",
    MAX(
        1,
        IF(
            NETWORKDAYS(U124, V124, Holiday_Dates) &lt;= 0,
            1,
            NETWORKDAYS(U124, V124, Holiday_Dates) - IF(U124 = V124, 0, 1)
        )
    )
)</f>
        <v/>
      </c>
      <c r="AA124" s="476" t="str">
        <f>IFERROR(
    IF(
        OR(ISBLANK(W124), AND(ISBLANK(U124), ISBLANK(V124))),
        "",
        MAX(
            1,
            IF(
                NETWORKDAYS(IF(NOT(ISBLANK(V124)), V124, U124), W124, Holiday_Dates) &lt;= 0,
                1,
                NETWORKDAYS(IF(NOT(ISBLANK(V124)), V124, U124), W124, Holiday_Dates)
                - IF(IF(NOT(ISBLANK(V124)), V124, U124) = W124, 0, 1)
            )
        )
    ),
    ""
)</f>
        <v/>
      </c>
      <c r="AB124" s="476" t="str">
        <f>IFERROR(
    IF(
        OR(ISBLANK(W124), ISBLANK(X124)),
        "",
        MAX(
            1,
            IF(
                NETWORKDAYS(W124, X124, Holiday_Dates) &lt;= 0,
                1,
                NETWORKDAYS(W124, X124, Holiday_Dates) - IF(W124 = X124, 0, 1)
            )
        )
    ),
    ""
)</f>
        <v/>
      </c>
      <c r="AC124" s="339"/>
      <c r="AD124" s="49"/>
      <c r="AE124" s="336"/>
      <c r="AF124" s="485"/>
      <c r="AG124" s="339"/>
      <c r="AH124" s="478"/>
      <c r="AI124" s="49"/>
      <c r="AJ124" s="49"/>
      <c r="AK124" s="49"/>
      <c r="AL124" s="49"/>
      <c r="AM124" s="49"/>
      <c r="AN124" s="49"/>
      <c r="AO124" s="337"/>
      <c r="AP124" s="49"/>
      <c r="AQ124" s="49"/>
      <c r="AR124" s="488"/>
      <c r="AS124" s="489"/>
      <c r="AT124" s="488"/>
      <c r="AU124" s="489"/>
      <c r="AV124" s="489"/>
      <c r="AW124" s="489"/>
      <c r="AX124" s="488"/>
      <c r="AY124" s="489"/>
      <c r="AZ124" s="489"/>
      <c r="BA124" s="489"/>
      <c r="BB124" s="566">
        <f t="shared" si="16"/>
        <v>0</v>
      </c>
      <c r="BC124" s="563">
        <f t="shared" si="15"/>
        <v>0</v>
      </c>
    </row>
    <row r="125" spans="1:55">
      <c r="A125" s="470" t="s">
        <v>53</v>
      </c>
      <c r="B125" s="471" t="s">
        <v>550</v>
      </c>
      <c r="C125" s="471" t="str">
        <f t="shared" si="13"/>
        <v>Zambales, San Felipe</v>
      </c>
      <c r="D125" s="470" t="s">
        <v>89</v>
      </c>
      <c r="E125" s="470" t="s">
        <v>271</v>
      </c>
      <c r="F125" s="49">
        <v>15.060178000000001</v>
      </c>
      <c r="G125" s="49">
        <v>120.070525</v>
      </c>
      <c r="H125" s="473" t="str">
        <f t="shared" si="14"/>
        <v>15.060178,120.070525</v>
      </c>
      <c r="I125" s="473" t="s">
        <v>99</v>
      </c>
      <c r="J125" s="339" t="s">
        <v>551</v>
      </c>
      <c r="K125" s="49" t="s">
        <v>359</v>
      </c>
      <c r="L125" s="49">
        <v>2023</v>
      </c>
      <c r="M125" s="49">
        <v>2031</v>
      </c>
      <c r="N125" s="49"/>
      <c r="O125" s="49" t="s">
        <v>41</v>
      </c>
      <c r="P125" s="49"/>
      <c r="Q125" s="475" t="s">
        <v>133</v>
      </c>
      <c r="R125" s="49"/>
      <c r="S125" s="472"/>
      <c r="T125" s="337"/>
      <c r="U125" s="337"/>
      <c r="V125" s="337"/>
      <c r="W125" s="337"/>
      <c r="X125" s="337"/>
      <c r="Y125" s="476" t="str">
        <f>IFERROR(
    IF(
        OR(ISBLANK(T125), ISBLANK(U125)),
        "",
        MAX(
            1,
            IF(
                NETWORKDAYS(T125, U125, Holiday_Dates) &lt;= 0,
                1,
                NETWORKDAYS(T125, U125, Holiday_Dates) - IF(T125 = U125, 0, 1)
            )
        )
    ),
    ""
)</f>
        <v/>
      </c>
      <c r="Z125" s="476" t="str">
        <f>IF(
    OR(ISBLANK(U125), ISBLANK(V125)),
    "",
    MAX(
        1,
        IF(
            NETWORKDAYS(U125, V125, Holiday_Dates) &lt;= 0,
            1,
            NETWORKDAYS(U125, V125, Holiday_Dates) - IF(U125 = V125, 0, 1)
        )
    )
)</f>
        <v/>
      </c>
      <c r="AA125" s="476" t="str">
        <f>IFERROR(
    IF(
        OR(ISBLANK(W125), AND(ISBLANK(U125), ISBLANK(V125))),
        "",
        MAX(
            1,
            IF(
                NETWORKDAYS(IF(NOT(ISBLANK(V125)), V125, U125), W125, Holiday_Dates) &lt;= 0,
                1,
                NETWORKDAYS(IF(NOT(ISBLANK(V125)), V125, U125), W125, Holiday_Dates)
                - IF(IF(NOT(ISBLANK(V125)), V125, U125) = W125, 0, 1)
            )
        )
    ),
    ""
)</f>
        <v/>
      </c>
      <c r="AB125" s="476" t="str">
        <f>IFERROR(
    IF(
        OR(ISBLANK(W125), ISBLANK(X125)),
        "",
        MAX(
            1,
            IF(
                NETWORKDAYS(W125, X125, Holiday_Dates) &lt;= 0,
                1,
                NETWORKDAYS(W125, X125, Holiday_Dates) - IF(W125 = X125, 0, 1)
            )
        )
    ),
    ""
)</f>
        <v/>
      </c>
      <c r="AC125" s="339"/>
      <c r="AD125" s="49"/>
      <c r="AE125" s="336"/>
      <c r="AF125" s="49"/>
      <c r="AG125" s="339"/>
      <c r="AH125" s="478"/>
      <c r="AI125" s="49"/>
      <c r="AJ125" s="49"/>
      <c r="AK125" s="49"/>
      <c r="AL125" s="49"/>
      <c r="AM125" s="49"/>
      <c r="AN125" s="49"/>
      <c r="AO125" s="337"/>
      <c r="AP125" s="49"/>
      <c r="AQ125" s="49"/>
      <c r="AR125" s="488"/>
      <c r="AS125" s="489"/>
      <c r="AT125" s="488"/>
      <c r="AU125" s="489"/>
      <c r="AV125" s="489"/>
      <c r="AW125" s="489"/>
      <c r="AX125" s="489"/>
      <c r="AY125" s="489"/>
      <c r="AZ125" s="489"/>
      <c r="BA125" s="489"/>
      <c r="BB125" s="566">
        <f t="shared" si="16"/>
        <v>0</v>
      </c>
      <c r="BC125" s="563">
        <f t="shared" si="15"/>
        <v>0</v>
      </c>
    </row>
    <row r="126" spans="1:55">
      <c r="A126" s="470" t="s">
        <v>53</v>
      </c>
      <c r="B126" s="471" t="s">
        <v>552</v>
      </c>
      <c r="C126" s="471" t="str">
        <f t="shared" si="13"/>
        <v>Zambales, San Narciso</v>
      </c>
      <c r="D126" s="470" t="s">
        <v>89</v>
      </c>
      <c r="E126" s="470" t="s">
        <v>271</v>
      </c>
      <c r="F126" s="49">
        <v>15.015553000000001</v>
      </c>
      <c r="G126" s="49">
        <v>120.07905599999999</v>
      </c>
      <c r="H126" s="473" t="str">
        <f t="shared" si="14"/>
        <v>15.015553,120.079056</v>
      </c>
      <c r="I126" s="473" t="s">
        <v>99</v>
      </c>
      <c r="J126" s="339" t="s">
        <v>553</v>
      </c>
      <c r="K126" s="49" t="s">
        <v>291</v>
      </c>
      <c r="L126" s="49">
        <v>2019</v>
      </c>
      <c r="M126" s="49">
        <v>2027</v>
      </c>
      <c r="N126" s="49"/>
      <c r="O126" s="49" t="s">
        <v>41</v>
      </c>
      <c r="P126" s="49"/>
      <c r="Q126" s="475" t="s">
        <v>133</v>
      </c>
      <c r="R126" s="49"/>
      <c r="S126" s="472"/>
      <c r="T126" s="337"/>
      <c r="U126" s="337"/>
      <c r="V126" s="337"/>
      <c r="W126" s="337"/>
      <c r="X126" s="337"/>
      <c r="Y126" s="476" t="str">
        <f>IFERROR(
    IF(
        OR(ISBLANK(T126), ISBLANK(U126)),
        "",
        MAX(
            1,
            IF(
                NETWORKDAYS(T126, U126, Holiday_Dates) &lt;= 0,
                1,
                NETWORKDAYS(T126, U126, Holiday_Dates) - IF(T126 = U126, 0, 1)
            )
        )
    ),
    ""
)</f>
        <v/>
      </c>
      <c r="Z126" s="476" t="str">
        <f>IF(
    OR(ISBLANK(U126), ISBLANK(V126)),
    "",
    MAX(
        1,
        IF(
            NETWORKDAYS(U126, V126, Holiday_Dates) &lt;= 0,
            1,
            NETWORKDAYS(U126, V126, Holiday_Dates) - IF(U126 = V126, 0, 1)
        )
    )
)</f>
        <v/>
      </c>
      <c r="AA126" s="476" t="str">
        <f>IFERROR(
    IF(
        OR(ISBLANK(W126), AND(ISBLANK(U126), ISBLANK(V126))),
        "",
        MAX(
            1,
            IF(
                NETWORKDAYS(IF(NOT(ISBLANK(V126)), V126, U126), W126, Holiday_Dates) &lt;= 0,
                1,
                NETWORKDAYS(IF(NOT(ISBLANK(V126)), V126, U126), W126, Holiday_Dates)
                - IF(IF(NOT(ISBLANK(V126)), V126, U126) = W126, 0, 1)
            )
        )
    ),
    ""
)</f>
        <v/>
      </c>
      <c r="AB126" s="476" t="str">
        <f>IFERROR(
    IF(
        OR(ISBLANK(W126), ISBLANK(X126)),
        "",
        MAX(
            1,
            IF(
                NETWORKDAYS(W126, X126, Holiday_Dates) &lt;= 0,
                1,
                NETWORKDAYS(W126, X126, Holiday_Dates) - IF(W126 = X126, 0, 1)
            )
        )
    ),
    ""
)</f>
        <v/>
      </c>
      <c r="AC126" s="339"/>
      <c r="AD126" s="49"/>
      <c r="AE126" s="336"/>
      <c r="AF126" s="485"/>
      <c r="AG126" s="339"/>
      <c r="AH126" s="478"/>
      <c r="AI126" s="49"/>
      <c r="AJ126" s="49"/>
      <c r="AK126" s="49"/>
      <c r="AL126" s="49"/>
      <c r="AM126" s="49"/>
      <c r="AN126" s="49"/>
      <c r="AO126" s="49"/>
      <c r="AP126" s="49"/>
      <c r="AQ126" s="49"/>
      <c r="AR126" s="488"/>
      <c r="AS126" s="489"/>
      <c r="AT126" s="488"/>
      <c r="AU126" s="489"/>
      <c r="AV126" s="489"/>
      <c r="AW126" s="489"/>
      <c r="AX126" s="489"/>
      <c r="AY126" s="489"/>
      <c r="AZ126" s="489"/>
      <c r="BA126" s="489"/>
      <c r="BB126" s="566">
        <f t="shared" si="16"/>
        <v>0</v>
      </c>
      <c r="BC126" s="563">
        <f t="shared" si="15"/>
        <v>0</v>
      </c>
    </row>
    <row r="127" spans="1:55">
      <c r="A127" s="470" t="s">
        <v>53</v>
      </c>
      <c r="B127" s="471" t="s">
        <v>554</v>
      </c>
      <c r="C127" s="471" t="str">
        <f t="shared" si="13"/>
        <v>Zambales, Santa Cruz</v>
      </c>
      <c r="D127" s="470" t="s">
        <v>89</v>
      </c>
      <c r="E127" s="470" t="s">
        <v>271</v>
      </c>
      <c r="F127" s="49">
        <v>15.762053</v>
      </c>
      <c r="G127" s="49">
        <v>119.909081</v>
      </c>
      <c r="H127" s="473" t="str">
        <f t="shared" si="14"/>
        <v>15.762053,119.909081</v>
      </c>
      <c r="I127" s="473" t="s">
        <v>99</v>
      </c>
      <c r="J127" s="339" t="s">
        <v>555</v>
      </c>
      <c r="K127" s="49" t="s">
        <v>359</v>
      </c>
      <c r="L127" s="49">
        <v>2023</v>
      </c>
      <c r="M127" s="49">
        <v>2031</v>
      </c>
      <c r="N127" s="49"/>
      <c r="O127" s="49" t="s">
        <v>42</v>
      </c>
      <c r="P127" s="49"/>
      <c r="Q127" s="475" t="s">
        <v>133</v>
      </c>
      <c r="R127" s="49"/>
      <c r="S127" s="49"/>
      <c r="T127" s="337"/>
      <c r="U127" s="337"/>
      <c r="V127" s="337"/>
      <c r="W127" s="337"/>
      <c r="X127" s="337"/>
      <c r="Y127" s="476" t="str">
        <f>IFERROR(
    IF(
        OR(ISBLANK(T127), ISBLANK(U127)),
        "",
        MAX(
            1,
            IF(
                NETWORKDAYS(T127, U127, Holiday_Dates) &lt;= 0,
                1,
                NETWORKDAYS(T127, U127, Holiday_Dates) - IF(T127 = U127, 0, 1)
            )
        )
    ),
    ""
)</f>
        <v/>
      </c>
      <c r="Z127" s="476" t="str">
        <f>IF(
    OR(ISBLANK(U127), ISBLANK(V127)),
    "",
    MAX(
        1,
        IF(
            NETWORKDAYS(U127, V127, Holiday_Dates) &lt;= 0,
            1,
            NETWORKDAYS(U127, V127, Holiday_Dates) - IF(U127 = V127, 0, 1)
        )
    )
)</f>
        <v/>
      </c>
      <c r="AA127" s="476" t="str">
        <f>IFERROR(
    IF(
        OR(ISBLANK(W127), AND(ISBLANK(U127), ISBLANK(V127))),
        "",
        MAX(
            1,
            IF(
                NETWORKDAYS(IF(NOT(ISBLANK(V127)), V127, U127), W127, Holiday_Dates) &lt;= 0,
                1,
                NETWORKDAYS(IF(NOT(ISBLANK(V127)), V127, U127), W127, Holiday_Dates)
                - IF(IF(NOT(ISBLANK(V127)), V127, U127) = W127, 0, 1)
            )
        )
    ),
    ""
)</f>
        <v/>
      </c>
      <c r="AB127" s="476" t="str">
        <f>IFERROR(
    IF(
        OR(ISBLANK(W127), ISBLANK(X127)),
        "",
        MAX(
            1,
            IF(
                NETWORKDAYS(W127, X127, Holiday_Dates) &lt;= 0,
                1,
                NETWORKDAYS(W127, X127, Holiday_Dates) - IF(W127 = X127, 0, 1)
            )
        )
    ),
    ""
)</f>
        <v/>
      </c>
      <c r="AC127" s="339"/>
      <c r="AD127" s="49"/>
      <c r="AE127" s="336"/>
      <c r="AF127" s="477"/>
      <c r="AG127" s="339"/>
      <c r="AH127" s="478"/>
      <c r="AI127" s="49"/>
      <c r="AJ127" s="49"/>
      <c r="AK127" s="49"/>
      <c r="AL127" s="49"/>
      <c r="AM127" s="49"/>
      <c r="AN127" s="49"/>
      <c r="AO127" s="337"/>
      <c r="AP127" s="49"/>
      <c r="AQ127" s="49"/>
      <c r="AR127" s="488"/>
      <c r="AS127" s="489"/>
      <c r="AT127" s="488"/>
      <c r="AU127" s="489"/>
      <c r="AV127" s="488"/>
      <c r="AW127" s="489"/>
      <c r="AX127" s="488"/>
      <c r="AY127" s="489"/>
      <c r="AZ127" s="489"/>
      <c r="BA127" s="489"/>
      <c r="BB127" s="566">
        <f t="shared" si="16"/>
        <v>0</v>
      </c>
      <c r="BC127" s="563">
        <f t="shared" si="15"/>
        <v>0</v>
      </c>
    </row>
  </sheetData>
  <sheetProtection formatColumns="0" formatRows="0" sort="0" autoFilter="0" pivotTables="0"/>
  <protectedRanges>
    <protectedRange sqref="AH2:BA150" name="swm_data_2"/>
    <protectedRange sqref="O2:Q127" name="enmo_data"/>
    <protectedRange sqref="AD2:AG150" name="swm_data_1"/>
    <protectedRange algorithmName="SHA-512" hashValue="Fv0g4++h/ZMiuz60bYZ9hm0C8OmaJiJsRoWbXWrwldvdXqqeVsdkkrpd0FsS2e5KerBHyIerNK/4dhOaIekWIg==" saltValue="1CnNwKBpxlnZ6+NR92SNCA==" spinCount="100000" sqref="S134 R133:R1048576 R1:R130" name="SWM_MONTH"/>
  </protectedRanges>
  <autoFilter ref="A1:BD127" xr:uid="{460F4299-87D7-4CB5-8DA5-F608F9E97611}">
    <sortState xmlns:xlrd2="http://schemas.microsoft.com/office/spreadsheetml/2017/richdata2" ref="A2:BD127">
      <sortCondition ref="A1:A127"/>
    </sortState>
  </autoFilter>
  <conditionalFormatting sqref="R12">
    <cfRule type="duplicateValues" dxfId="13" priority="1"/>
  </conditionalFormatting>
  <conditionalFormatting sqref="R17">
    <cfRule type="duplicateValues" dxfId="12" priority="3"/>
  </conditionalFormatting>
  <conditionalFormatting sqref="S38:S39 S43:S69 S20:S36 S71:S133 S135:S1048576 S1:S11 S13:S18">
    <cfRule type="duplicateValues" dxfId="11" priority="4"/>
  </conditionalFormatting>
  <dataValidations count="3">
    <dataValidation allowBlank="1" showInputMessage="1" showErrorMessage="1" prompt="Please input Date only" sqref="X74 V20:X20 V17:W17 V64:X64 U27:U28 V58:W58 W11:W12 V105:V106 U86:V86 U8:U25 U119:X120 U103:U106 U109:U110 V21 V10:V14 U67:U81 V88:V89 V33 V16:X16 U32:U65 U108:V108 W112:X112 W41:W42 V67 W103:X103 X92 U88:U101 U3 V72:X72 W71:X71 W8:W9 V8 X43:X44 X110 W115:X115 V74 U112:U116 V97:W97 X8 U83:U84 V84 T85:U85" xr:uid="{75B83812-A0E4-43F7-BD2C-8200F231C6DD}"/>
    <dataValidation type="list" allowBlank="1" showInputMessage="1" showErrorMessage="1" sqref="O2:P1048576" xr:uid="{B7E1D356-EC13-4EA1-BAC1-A23F58A64A65}">
      <formula1>ENMO</formula1>
    </dataValidation>
    <dataValidation type="list" allowBlank="1" showInputMessage="1" showErrorMessage="1" sqref="Q2:Q1048576 R133:R1048576 S134 R128:R130" xr:uid="{A9808993-0AA2-4685-90DA-DD056E21A662}">
      <formula1>ESWM_FOCAL</formula1>
    </dataValidation>
  </dataValidations>
  <hyperlinks>
    <hyperlink ref="BD2" r:id="rId1" xr:uid="{C8A7DCE3-7D45-484F-B46C-756B11621F7F}"/>
    <hyperlink ref="BD3" r:id="rId2" xr:uid="{228A64BA-1FB2-4A6C-9E43-A52F7C44127A}"/>
    <hyperlink ref="BD4" r:id="rId3" xr:uid="{4CB936FE-53EA-4D62-8285-2BE997A53956}"/>
    <hyperlink ref="BD5" r:id="rId4" xr:uid="{DC37F593-2E63-4760-82C8-6DC6ECF0D3A1}"/>
    <hyperlink ref="BD7" r:id="rId5" xr:uid="{6929386E-EE02-48D1-9F60-B00BD6BEBB64}"/>
    <hyperlink ref="BD6" r:id="rId6" xr:uid="{881F7893-E03E-4FD8-84E3-F7D487044213}"/>
    <hyperlink ref="BD8" r:id="rId7" xr:uid="{FADB055A-10C3-4E12-A21E-3BE48BBF26DD}"/>
    <hyperlink ref="BD18" r:id="rId8" xr:uid="{DBB6EA5D-48F0-423F-8CEF-9FE7A768A48C}"/>
    <hyperlink ref="BD12" r:id="rId9" xr:uid="{EE0D1251-C245-4848-9FD4-6F2D21FC3A6F}"/>
    <hyperlink ref="BD16" r:id="rId10" xr:uid="{1F8120F2-FDD7-4E47-BA02-D1CCCE42929A}"/>
    <hyperlink ref="BD17" r:id="rId11" xr:uid="{F5A90DAE-4880-426E-92E5-986862C0CF22}"/>
    <hyperlink ref="BD11" r:id="rId12" xr:uid="{3E2A77CC-C43A-483C-9924-21A8D56EB1F3}"/>
    <hyperlink ref="BD14" r:id="rId13" xr:uid="{CD4B7617-BEB4-426A-8501-A741717BE381}"/>
    <hyperlink ref="BD15" r:id="rId14" xr:uid="{E75E5A0B-7031-4C39-BE18-FBF267C9C494}"/>
    <hyperlink ref="BD13" r:id="rId15" xr:uid="{3C329CC6-A0E3-4F53-A2B6-CAC1EF1AC697}"/>
    <hyperlink ref="BD9" r:id="rId16" xr:uid="{C0B60C37-BF23-469C-9BB5-D0FE925FFDE9}"/>
    <hyperlink ref="BD10" r:id="rId17" xr:uid="{832BC147-50C7-4BE3-B8CD-887062D2FCF3}"/>
    <hyperlink ref="BD20" r:id="rId18" xr:uid="{78FCD3B9-3142-4E75-AA1B-1FCAAB179C84}"/>
    <hyperlink ref="BD19" r:id="rId19" xr:uid="{89606EB1-DBC4-4F67-990E-47EC3EAF1B7F}"/>
  </hyperlinks>
  <pageMargins left="0.7" right="0.7" top="0.75" bottom="0.75" header="0.3" footer="0.3"/>
  <legacyDrawing r:id="rId20"/>
  <extLst>
    <ext xmlns:x14="http://schemas.microsoft.com/office/spreadsheetml/2009/9/main" uri="{CCE6A557-97BC-4b89-ADB6-D9C93CAAB3DF}">
      <x14:dataValidations xmlns:xm="http://schemas.microsoft.com/office/excel/2006/main" count="4">
        <x14:dataValidation type="list" allowBlank="1" showInputMessage="1" showErrorMessage="1" xr:uid="{FFDB29E9-95A4-467C-9447-F8E680435C0A}">
          <x14:formula1>
            <xm:f>'Data Validation'!$B$2:$B$3</xm:f>
          </x14:formula1>
          <xm:sqref>AM77:AM78 AM55:AN56 AM82 AM27:AN27 AM120:AO120 AN12:AO12 AM5:AN5 AM30:AN30 AN28:AN29 AM68:AN68 AJ33:AN33 AM108:AN108 AN31:AN32 AJ32:AM32 AM104:AN104 AH34:AH36 AM72 AN105:AN107 AI2:AL20 AN57:AN67 AM42 AN34:AN42 AM43:AN43 AM85:AN86 AN121:AN127 AN87:AN103 AJ24:AL31 AJ23:AM23 AN44:AN54 AN69:AN84 AJ21:AL22 AI21:AI96 AN109:AN119 AI97:AL127 AN2:AN4 AJ34:AL96 AM10:AM18 AN6:AN11 AN13:AN26</xm:sqref>
        </x14:dataValidation>
        <x14:dataValidation type="list" allowBlank="1" showInputMessage="1" showErrorMessage="1" xr:uid="{E760AFB2-EC3B-43B7-9E8E-DF0BDF54A693}">
          <x14:formula1>
            <xm:f>'Data Validation'!$B$5:$B$7</xm:f>
          </x14:formula1>
          <xm:sqref>AM31 AM79:AM81 AM121:AM127 AM34:AM41 AM28:AM29 AM2:AM4 AM109:AM119 AM105:AM107 AM57:AM67 AM69:AM71 AM24:AM26 AM73:AM76 AM87:AM103 AM44:AM54 AM19:AM22 AM6:AM9 AM83:AM84</xm:sqref>
        </x14:dataValidation>
        <x14:dataValidation type="list" allowBlank="1" showInputMessage="1" showErrorMessage="1" xr:uid="{3214ADD6-490B-4EAC-817B-7DD98A58155E}">
          <x14:formula1>
            <xm:f>'Data Validation'!$A$2:$A$3</xm:f>
          </x14:formula1>
          <xm:sqref>I2:I127</xm:sqref>
        </x14:dataValidation>
        <x14:dataValidation type="list" allowBlank="1" showInputMessage="1" showErrorMessage="1" xr:uid="{5CC2F592-9D45-443B-85DD-783B0D2A149E}">
          <x14:formula1>
            <xm:f>'Data Validation'!$A$13:$A$24</xm:f>
          </x14:formula1>
          <xm:sqref>R2:R127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5C85-0ABB-474E-B5F3-7CB195D671B5}">
  <sheetPr codeName="Sheet4">
    <tabColor rgb="FF92D050"/>
  </sheetPr>
  <dimension ref="A1:AS115"/>
  <sheetViews>
    <sheetView zoomScaleNormal="100" workbookViewId="0">
      <pane xSplit="3" ySplit="1" topLeftCell="K9" activePane="bottomRight" state="frozen"/>
      <selection pane="topRight"/>
      <selection pane="bottomLeft"/>
      <selection pane="bottomRight" activeCell="O16" sqref="O16"/>
    </sheetView>
  </sheetViews>
  <sheetFormatPr defaultColWidth="9.140625" defaultRowHeight="15" customHeight="1"/>
  <cols>
    <col min="1" max="1" width="15.7109375" style="43" customWidth="1"/>
    <col min="2" max="2" width="31.140625" style="43" customWidth="1"/>
    <col min="3" max="3" width="18.85546875" style="43" customWidth="1"/>
    <col min="4" max="4" width="30" style="41" customWidth="1"/>
    <col min="5" max="5" width="17.5703125" style="41" customWidth="1"/>
    <col min="6" max="6" width="20.85546875" style="41" customWidth="1"/>
    <col min="7" max="7" width="23" style="41" customWidth="1"/>
    <col min="8" max="8" width="22.7109375" style="41" customWidth="1"/>
    <col min="9" max="9" width="28.140625" style="41" customWidth="1"/>
    <col min="10" max="10" width="13.28515625" style="41" customWidth="1"/>
    <col min="11" max="11" width="19.28515625" style="41" customWidth="1"/>
    <col min="12" max="12" width="29.140625" style="41" customWidth="1"/>
    <col min="13" max="14" width="28.7109375" style="41" customWidth="1"/>
    <col min="15" max="16" width="31.42578125" style="41" customWidth="1"/>
    <col min="17" max="17" width="20.42578125" style="41" customWidth="1"/>
    <col min="18" max="18" width="17.5703125" style="41" customWidth="1"/>
    <col min="19" max="19" width="18.140625" style="41" customWidth="1"/>
    <col min="20" max="20" width="17.42578125" style="41" customWidth="1"/>
    <col min="21" max="21" width="18.42578125" style="41" customWidth="1"/>
    <col min="22" max="22" width="21.5703125" style="41" customWidth="1"/>
    <col min="23" max="23" width="13.7109375" style="41" customWidth="1"/>
    <col min="24" max="24" width="15.85546875" style="41" customWidth="1"/>
    <col min="25" max="25" width="14.140625" style="41" customWidth="1"/>
    <col min="26" max="26" width="19.85546875" style="41" customWidth="1"/>
    <col min="27" max="27" width="20.140625" style="41" customWidth="1"/>
    <col min="28" max="28" width="13.85546875" style="41" customWidth="1"/>
    <col min="29" max="29" width="44" style="43" customWidth="1"/>
    <col min="30" max="30" width="36.7109375" style="43" customWidth="1"/>
    <col min="31" max="31" width="18.42578125" style="41" customWidth="1"/>
    <col min="32" max="32" width="16.28515625" style="41" bestFit="1" customWidth="1"/>
    <col min="33" max="33" width="14.28515625" style="41" customWidth="1"/>
    <col min="34" max="34" width="30" style="41" bestFit="1" customWidth="1"/>
    <col min="35" max="35" width="76.85546875" style="41" customWidth="1"/>
    <col min="36" max="36" width="76.85546875" style="43" customWidth="1"/>
    <col min="37" max="37" width="54.85546875" style="43" customWidth="1"/>
    <col min="38" max="38" width="18.7109375" style="41" customWidth="1"/>
    <col min="39" max="39" width="53.42578125" style="41" customWidth="1"/>
    <col min="40" max="41" width="24" style="41" customWidth="1"/>
    <col min="42" max="42" width="25.7109375" style="41" customWidth="1"/>
    <col min="43" max="43" width="22.28515625" style="43" customWidth="1"/>
    <col min="44" max="44" width="16.42578125" style="41" customWidth="1"/>
    <col min="45" max="45" width="132.85546875" style="254" bestFit="1" customWidth="1"/>
    <col min="46" max="16384" width="9.140625" style="41"/>
  </cols>
  <sheetData>
    <row r="1" spans="1:45" s="557" customFormat="1" ht="57">
      <c r="A1" s="554" t="s">
        <v>44</v>
      </c>
      <c r="B1" s="555" t="s">
        <v>158</v>
      </c>
      <c r="C1" s="556" t="s">
        <v>556</v>
      </c>
      <c r="D1" s="555" t="s">
        <v>160</v>
      </c>
      <c r="E1" s="555" t="s">
        <v>161</v>
      </c>
      <c r="F1" s="555" t="s">
        <v>557</v>
      </c>
      <c r="G1" s="555" t="s">
        <v>558</v>
      </c>
      <c r="H1" s="555" t="s">
        <v>559</v>
      </c>
      <c r="I1" s="555" t="s">
        <v>119</v>
      </c>
      <c r="J1" s="555" t="s">
        <v>560</v>
      </c>
      <c r="K1" s="555" t="s">
        <v>561</v>
      </c>
      <c r="L1" s="555" t="s">
        <v>562</v>
      </c>
      <c r="M1" s="555" t="s">
        <v>171</v>
      </c>
      <c r="N1" s="555" t="s">
        <v>172</v>
      </c>
      <c r="O1" s="555" t="s">
        <v>173</v>
      </c>
      <c r="P1" s="555" t="s">
        <v>43</v>
      </c>
      <c r="Q1" s="555" t="s">
        <v>174</v>
      </c>
      <c r="R1" s="555" t="s">
        <v>175</v>
      </c>
      <c r="S1" s="555" t="s">
        <v>176</v>
      </c>
      <c r="T1" s="555" t="s">
        <v>177</v>
      </c>
      <c r="U1" s="555" t="s">
        <v>178</v>
      </c>
      <c r="V1" s="555" t="s">
        <v>179</v>
      </c>
      <c r="W1" s="555" t="s">
        <v>180</v>
      </c>
      <c r="X1" s="555" t="s">
        <v>181</v>
      </c>
      <c r="Y1" s="555" t="s">
        <v>182</v>
      </c>
      <c r="Z1" s="555" t="s">
        <v>183</v>
      </c>
      <c r="AA1" s="555" t="s">
        <v>563</v>
      </c>
      <c r="AB1" s="555" t="s">
        <v>564</v>
      </c>
      <c r="AC1" s="555" t="s">
        <v>565</v>
      </c>
      <c r="AD1" s="555" t="s">
        <v>566</v>
      </c>
      <c r="AE1" s="555" t="s">
        <v>567</v>
      </c>
      <c r="AF1" s="555" t="s">
        <v>568</v>
      </c>
      <c r="AG1" s="555" t="s">
        <v>569</v>
      </c>
      <c r="AH1" s="555" t="s">
        <v>570</v>
      </c>
      <c r="AI1" s="555" t="s">
        <v>571</v>
      </c>
      <c r="AJ1" s="555" t="s">
        <v>189</v>
      </c>
      <c r="AK1" s="555" t="s">
        <v>572</v>
      </c>
      <c r="AL1" s="555" t="s">
        <v>196</v>
      </c>
      <c r="AM1" s="555" t="s">
        <v>573</v>
      </c>
      <c r="AN1" s="555" t="s">
        <v>574</v>
      </c>
      <c r="AO1" s="555" t="s">
        <v>575</v>
      </c>
      <c r="AP1" s="555" t="s">
        <v>576</v>
      </c>
      <c r="AQ1" s="555" t="s">
        <v>577</v>
      </c>
      <c r="AR1" s="555" t="s">
        <v>578</v>
      </c>
      <c r="AS1" s="560" t="s">
        <v>211</v>
      </c>
    </row>
    <row r="2" spans="1:45" ht="30">
      <c r="A2" s="73" t="s">
        <v>47</v>
      </c>
      <c r="B2" s="73" t="s">
        <v>370</v>
      </c>
      <c r="C2" s="73" t="s">
        <v>579</v>
      </c>
      <c r="D2" s="383" t="s">
        <v>89</v>
      </c>
      <c r="E2" s="383" t="s">
        <v>259</v>
      </c>
      <c r="F2" s="47">
        <v>15.735856</v>
      </c>
      <c r="G2" s="47">
        <v>121.56294699999999</v>
      </c>
      <c r="H2" s="47" t="str">
        <f t="shared" ref="H2:H33" si="0">CONCATENATE(F2,",",G2)</f>
        <v>15.735856,121.562947</v>
      </c>
      <c r="I2" s="47" t="s">
        <v>121</v>
      </c>
      <c r="J2" s="47">
        <v>1</v>
      </c>
      <c r="K2" s="47">
        <v>2016</v>
      </c>
      <c r="L2" s="514">
        <v>270000</v>
      </c>
      <c r="M2" s="321" t="s">
        <v>13</v>
      </c>
      <c r="N2" s="321"/>
      <c r="O2" s="47" t="s">
        <v>128</v>
      </c>
      <c r="P2" s="47" t="s">
        <v>92</v>
      </c>
      <c r="Q2" s="73" t="s">
        <v>580</v>
      </c>
      <c r="R2" s="305">
        <v>46042</v>
      </c>
      <c r="S2" s="305">
        <v>46043</v>
      </c>
      <c r="T2" s="305"/>
      <c r="U2" s="305">
        <v>46043</v>
      </c>
      <c r="V2" s="305">
        <v>46043</v>
      </c>
      <c r="W2" s="515">
        <f>IFERROR(
    IF(
        OR(ISBLANK(R2), ISBLANK(S2)),
        "",
        MAX(
            1,
            IF(
                NETWORKDAYS(R2, S2, Holiday_Dates) &lt;= 0,
                1,
                NETWORKDAYS(R2, S2, Holiday_Dates) - IF(R2 = S2, 0, 1)
            )
        )
    ),
    ""
)</f>
        <v>1</v>
      </c>
      <c r="X2" s="515" t="str">
        <f>IF(
    OR(ISBLANK(S2), ISBLANK(T2)),
    "",
    MAX(
        1,
        IF(
            NETWORKDAYS(S2, T2, Holiday_Dates) &lt;= 0,
            1,
            NETWORKDAYS(S2, T2, Holiday_Dates) - IF(S2 = T2, 0, 1)
        )
    )
)</f>
        <v/>
      </c>
      <c r="Y2" s="515">
        <f>IFERROR(
    IF(
        OR(ISBLANK(S2), AND(ISBLANK(T2), ISBLANK(U2))),
        "",
        MAX(
            1,
            IF(
                NETWORKDAYS(IF(NOT(ISBLANK(U2)), U2, T2), U2, Holiday_Dates) &lt;= 0,
                1,
                NETWORKDAYS(IF(NOT(ISBLANK(U2)), U2, T2), U2, Holiday_Dates)
                - IF(IF(NOT(ISBLANK(U2)), U2, T2) = U2, 0, 1)
            )
        )
    ),
    ""
)</f>
        <v>1</v>
      </c>
      <c r="Z2" s="515">
        <f t="shared" ref="Z2:Z31" si="1">IF(
    OR(ISBLANK(U2), ISBLANK(V2)),
    "",
    MAX(1, IF(
        NETWORKDAYS(U2, V2) &lt;= 0,
        1,
        NETWORKDAYS(U2, V2) - IF(U2 = V2, 0, 1)
    ))
)</f>
        <v>1</v>
      </c>
      <c r="AA2" s="6" t="s">
        <v>219</v>
      </c>
      <c r="AB2" s="47">
        <v>7</v>
      </c>
      <c r="AC2" s="73" t="s">
        <v>581</v>
      </c>
      <c r="AD2" s="73" t="s">
        <v>582</v>
      </c>
      <c r="AE2" s="514" t="s">
        <v>583</v>
      </c>
      <c r="AF2" s="371">
        <v>17430.2</v>
      </c>
      <c r="AG2" s="384">
        <v>0.89</v>
      </c>
      <c r="AH2" s="47" t="s">
        <v>101</v>
      </c>
      <c r="AI2" s="47"/>
      <c r="AJ2" s="73"/>
      <c r="AK2" s="73"/>
      <c r="AL2" s="47"/>
      <c r="AM2" s="47"/>
      <c r="AN2" s="47"/>
      <c r="AO2" s="47"/>
      <c r="AP2" s="47"/>
      <c r="AQ2" s="73"/>
      <c r="AR2" s="47"/>
      <c r="AS2" s="576" t="s">
        <v>584</v>
      </c>
    </row>
    <row r="3" spans="1:45" ht="30">
      <c r="A3" s="6" t="s">
        <v>49</v>
      </c>
      <c r="B3" s="6" t="s">
        <v>340</v>
      </c>
      <c r="C3" s="6" t="s">
        <v>585</v>
      </c>
      <c r="D3" s="9" t="s">
        <v>88</v>
      </c>
      <c r="E3" s="39" t="s">
        <v>259</v>
      </c>
      <c r="F3" s="9">
        <v>14.803364200000001</v>
      </c>
      <c r="G3" s="9">
        <v>121.0704497</v>
      </c>
      <c r="H3" s="9" t="str">
        <f t="shared" si="0"/>
        <v>14.8033642,121.0704497</v>
      </c>
      <c r="I3" s="9" t="s">
        <v>122</v>
      </c>
      <c r="J3" s="9">
        <v>1</v>
      </c>
      <c r="K3" s="9">
        <v>2017</v>
      </c>
      <c r="L3" s="66">
        <v>460000</v>
      </c>
      <c r="M3" s="9" t="s">
        <v>227</v>
      </c>
      <c r="N3" s="9"/>
      <c r="O3" s="9" t="s">
        <v>128</v>
      </c>
      <c r="P3" s="9" t="s">
        <v>92</v>
      </c>
      <c r="Q3" s="9" t="s">
        <v>586</v>
      </c>
      <c r="R3" s="22">
        <v>46037</v>
      </c>
      <c r="S3" s="22">
        <v>46041</v>
      </c>
      <c r="T3" s="22"/>
      <c r="U3" s="305">
        <v>46043</v>
      </c>
      <c r="V3" s="22">
        <v>46045</v>
      </c>
      <c r="W3" s="244">
        <f>IFERROR(
    IF(
        OR(ISBLANK(R3), ISBLANK(S3)),
        "",
        MAX(
            1,
            IF(
                NETWORKDAYS(R3, S3, Holiday_Dates) &lt;= 0,
                1,
                NETWORKDAYS(R3, S3, Holiday_Dates) - IF(R3 = S3, 0, 1)
            )
        )
    ),
    ""
)</f>
        <v>2</v>
      </c>
      <c r="X3" s="244" t="str">
        <f>IF(
    OR(ISBLANK(S3), ISBLANK(T3)),
    "",
    MAX(
        1,
        IF(
            NETWORKDAYS(S3, T3, Holiday_Dates) &lt;= 0,
            1,
            NETWORKDAYS(S3, T3, Holiday_Dates) - IF(S3 = T3, 0, 1)
        )
    )
)</f>
        <v/>
      </c>
      <c r="Y3" s="244">
        <f>IFERROR(
    IF(
        OR(ISBLANK(S3), AND(ISBLANK(T3), ISBLANK(U3))),
        "",
        MAX(
            1,
            IF(
                NETWORKDAYS(IF(NOT(ISBLANK(U3)), U3, T3), U3, Holiday_Dates) &lt;= 0,
                1,
                NETWORKDAYS(IF(NOT(ISBLANK(U3)), U3, T3), U3, Holiday_Dates)
                - IF(IF(NOT(ISBLANK(U3)), U3, T3) = U3, 0, 1)
            )
        )
    ),
    ""
)</f>
        <v>1</v>
      </c>
      <c r="Z3" s="244">
        <f t="shared" si="1"/>
        <v>2</v>
      </c>
      <c r="AA3" s="6" t="s">
        <v>219</v>
      </c>
      <c r="AB3" s="9">
        <v>1</v>
      </c>
      <c r="AC3" s="6" t="s">
        <v>587</v>
      </c>
      <c r="AD3" s="3" t="s">
        <v>588</v>
      </c>
      <c r="AE3" s="9">
        <v>1430</v>
      </c>
      <c r="AF3" s="371">
        <v>11000</v>
      </c>
      <c r="AG3" s="45">
        <v>0.13</v>
      </c>
      <c r="AH3" s="9" t="s">
        <v>101</v>
      </c>
      <c r="AI3" s="9"/>
      <c r="AJ3" s="6"/>
      <c r="AK3" s="6"/>
      <c r="AL3" s="9"/>
      <c r="AM3" s="9"/>
      <c r="AN3" s="9"/>
      <c r="AO3" s="9"/>
      <c r="AP3" s="9"/>
      <c r="AQ3" s="6"/>
      <c r="AR3" s="9"/>
      <c r="AS3" s="577" t="s">
        <v>589</v>
      </c>
    </row>
    <row r="4" spans="1:45" ht="60">
      <c r="A4" s="6" t="s">
        <v>50</v>
      </c>
      <c r="B4" s="6" t="s">
        <v>386</v>
      </c>
      <c r="C4" s="6" t="s">
        <v>590</v>
      </c>
      <c r="D4" s="9" t="s">
        <v>88</v>
      </c>
      <c r="E4" s="39" t="s">
        <v>213</v>
      </c>
      <c r="F4" s="9">
        <v>15.4709</v>
      </c>
      <c r="G4" s="9">
        <v>121.3436</v>
      </c>
      <c r="H4" s="9" t="str">
        <f t="shared" si="0"/>
        <v>15.4709,121.3436</v>
      </c>
      <c r="I4" s="9" t="s">
        <v>121</v>
      </c>
      <c r="J4" s="9">
        <v>1</v>
      </c>
      <c r="K4" s="9">
        <v>2019</v>
      </c>
      <c r="L4" s="44">
        <v>500000</v>
      </c>
      <c r="M4" s="9" t="s">
        <v>141</v>
      </c>
      <c r="N4" s="9"/>
      <c r="O4" s="9" t="s">
        <v>130</v>
      </c>
      <c r="P4" s="9" t="s">
        <v>92</v>
      </c>
      <c r="Q4" s="7" t="s">
        <v>591</v>
      </c>
      <c r="R4" s="451">
        <v>46043</v>
      </c>
      <c r="S4" s="313">
        <v>46044</v>
      </c>
      <c r="T4" s="313"/>
      <c r="U4" s="313">
        <v>46044</v>
      </c>
      <c r="V4" s="313">
        <v>46045</v>
      </c>
      <c r="W4" s="244">
        <f>IFERROR(
    IF(
        OR(ISBLANK(R4), ISBLANK(S4)),
        "",
        MAX(
            1,
            IF(
                NETWORKDAYS(R4, S4, Holiday_Dates) &lt;= 0,
                1,
                NETWORKDAYS(R4, S4, Holiday_Dates) - IF(R4 = S4, 0, 1)
            )
        )
    ),
    ""
)</f>
        <v>1</v>
      </c>
      <c r="X4" s="244" t="str">
        <f>IF(
    OR(ISBLANK(S4), ISBLANK(T4)),
    "",
    MAX(
        1,
        IF(
            NETWORKDAYS(S4, T4, Holiday_Dates) &lt;= 0,
            1,
            NETWORKDAYS(S4, T4, Holiday_Dates) - IF(S4 = T4, 0, 1)
        )
    )
)</f>
        <v/>
      </c>
      <c r="Y4" s="244">
        <f>IFERROR(
    IF(
        OR(ISBLANK(S4), AND(ISBLANK(T4), ISBLANK(U4))),
        "",
        MAX(
            1,
            IF(
                NETWORKDAYS(IF(NOT(ISBLANK(U4)), U4, T4), U4, Holiday_Dates) &lt;= 0,
                1,
                NETWORKDAYS(IF(NOT(ISBLANK(U4)), U4, T4), U4, Holiday_Dates)
                - IF(IF(NOT(ISBLANK(U4)), U4, T4) = U4, 0, 1)
            )
        )
    ),
    ""
)</f>
        <v>1</v>
      </c>
      <c r="Z4" s="244">
        <f t="shared" si="1"/>
        <v>1</v>
      </c>
      <c r="AA4" s="6" t="s">
        <v>219</v>
      </c>
      <c r="AB4" s="7">
        <v>16</v>
      </c>
      <c r="AC4" s="3" t="s">
        <v>592</v>
      </c>
      <c r="AD4" s="3" t="s">
        <v>593</v>
      </c>
      <c r="AE4" s="574">
        <v>1589.0319999999999</v>
      </c>
      <c r="AF4" s="574">
        <v>13044.835999999999</v>
      </c>
      <c r="AG4" s="45">
        <v>0.12181</v>
      </c>
      <c r="AH4" s="7" t="s">
        <v>101</v>
      </c>
      <c r="AI4" s="9"/>
      <c r="AJ4" s="6"/>
      <c r="AK4" s="6"/>
      <c r="AL4" s="9"/>
      <c r="AM4" s="9"/>
      <c r="AN4" s="9"/>
      <c r="AO4" s="9"/>
      <c r="AP4" s="9"/>
      <c r="AQ4" s="6"/>
      <c r="AR4" s="9"/>
      <c r="AS4" s="575" t="s">
        <v>589</v>
      </c>
    </row>
    <row r="5" spans="1:45" ht="30">
      <c r="A5" s="6" t="s">
        <v>51</v>
      </c>
      <c r="B5" s="6" t="s">
        <v>237</v>
      </c>
      <c r="C5" s="6" t="s">
        <v>594</v>
      </c>
      <c r="D5" s="9" t="s">
        <v>88</v>
      </c>
      <c r="E5" s="39" t="s">
        <v>213</v>
      </c>
      <c r="F5" s="9">
        <v>15.067883330000001</v>
      </c>
      <c r="G5" s="9">
        <v>120.64</v>
      </c>
      <c r="H5" s="9" t="str">
        <f t="shared" si="0"/>
        <v>15.06788333,120.64</v>
      </c>
      <c r="I5" s="9" t="s">
        <v>121</v>
      </c>
      <c r="J5" s="9">
        <v>1</v>
      </c>
      <c r="K5" s="9">
        <v>2012</v>
      </c>
      <c r="L5" s="9">
        <v>500000</v>
      </c>
      <c r="M5" s="9" t="s">
        <v>33</v>
      </c>
      <c r="N5" s="9"/>
      <c r="O5" s="9" t="s">
        <v>595</v>
      </c>
      <c r="P5" s="9" t="s">
        <v>92</v>
      </c>
      <c r="Q5" s="71" t="s">
        <v>596</v>
      </c>
      <c r="R5" s="22">
        <v>46035</v>
      </c>
      <c r="S5" s="420">
        <v>46038</v>
      </c>
      <c r="T5" s="22">
        <v>46042</v>
      </c>
      <c r="U5" s="22">
        <v>46042</v>
      </c>
      <c r="V5" s="22">
        <v>46042</v>
      </c>
      <c r="W5" s="244">
        <f>IFERROR(
    IF(
        OR(ISBLANK(R5), ISBLANK(S5)),
        "",
        MAX(
            1,
            IF(
                NETWORKDAYS(R5, S5, Holiday_Dates) &lt;= 0,
                1,
                NETWORKDAYS(R5, S5, Holiday_Dates) - IF(R5 = S5, 0, 1)
            )
        )
    ),
    ""
)</f>
        <v>3</v>
      </c>
      <c r="X5" s="244">
        <f>IF(
    OR(ISBLANK(S5), ISBLANK(T5)),
    "",
    MAX(
        1,
        IF(
            NETWORKDAYS(S5, T5, Holiday_Dates) &lt;= 0,
            1,
            NETWORKDAYS(S5, T5, Holiday_Dates) - IF(S5 = T5, 0, 1)
        )
    )
)</f>
        <v>2</v>
      </c>
      <c r="Y5" s="244">
        <f>IFERROR(
    IF(
        OR(ISBLANK(S5), AND(ISBLANK(T5), ISBLANK(U5))),
        "",
        MAX(
            1,
            IF(
                NETWORKDAYS(IF(NOT(ISBLANK(U5)), U5, T5), U5, Holiday_Dates) &lt;= 0,
                1,
                NETWORKDAYS(IF(NOT(ISBLANK(U5)), U5, T5), U5, Holiday_Dates)
                - IF(IF(NOT(ISBLANK(U5)), U5, T5) = U5, 0, 1)
            )
        )
    ),
    ""
)</f>
        <v>1</v>
      </c>
      <c r="Z5" s="244">
        <f t="shared" si="1"/>
        <v>1</v>
      </c>
      <c r="AA5" s="6" t="s">
        <v>219</v>
      </c>
      <c r="AB5" s="9">
        <v>1</v>
      </c>
      <c r="AC5" s="6" t="s">
        <v>597</v>
      </c>
      <c r="AD5" s="6" t="s">
        <v>598</v>
      </c>
      <c r="AE5" s="6" t="s">
        <v>599</v>
      </c>
      <c r="AF5" s="6">
        <v>648.4</v>
      </c>
      <c r="AG5" s="45" t="s">
        <v>599</v>
      </c>
      <c r="AH5" s="9" t="s">
        <v>101</v>
      </c>
      <c r="AI5" s="9"/>
      <c r="AJ5" s="6" t="s">
        <v>600</v>
      </c>
      <c r="AK5" s="6" t="s">
        <v>601</v>
      </c>
      <c r="AL5" s="9"/>
      <c r="AM5" s="9"/>
      <c r="AN5" s="9"/>
      <c r="AO5" s="9"/>
      <c r="AP5" s="9"/>
      <c r="AQ5" s="6"/>
      <c r="AR5" s="9"/>
      <c r="AS5" s="575" t="s">
        <v>602</v>
      </c>
    </row>
    <row r="6" spans="1:45" ht="45">
      <c r="A6" s="6" t="s">
        <v>53</v>
      </c>
      <c r="B6" s="6" t="s">
        <v>456</v>
      </c>
      <c r="C6" s="6" t="s">
        <v>603</v>
      </c>
      <c r="D6" s="39" t="s">
        <v>89</v>
      </c>
      <c r="E6" s="39" t="s">
        <v>271</v>
      </c>
      <c r="F6" s="9">
        <v>15.548492</v>
      </c>
      <c r="G6" s="9">
        <v>119.946567</v>
      </c>
      <c r="H6" s="9" t="str">
        <f t="shared" si="0"/>
        <v>15.548492,119.946567</v>
      </c>
      <c r="I6" s="9" t="s">
        <v>122</v>
      </c>
      <c r="J6" s="9">
        <v>1</v>
      </c>
      <c r="K6" s="9">
        <v>2018</v>
      </c>
      <c r="L6" s="9">
        <v>427500</v>
      </c>
      <c r="M6" s="9" t="s">
        <v>42</v>
      </c>
      <c r="N6" s="9"/>
      <c r="O6" s="9" t="s">
        <v>133</v>
      </c>
      <c r="P6" s="9" t="s">
        <v>92</v>
      </c>
      <c r="Q6" s="71" t="s">
        <v>604</v>
      </c>
      <c r="R6" s="22">
        <v>46035</v>
      </c>
      <c r="S6" s="420">
        <v>46040</v>
      </c>
      <c r="T6" s="22"/>
      <c r="U6" s="22">
        <v>46041</v>
      </c>
      <c r="V6" s="22">
        <v>46041</v>
      </c>
      <c r="W6" s="244">
        <f>IFERROR(
    IF(
        OR(ISBLANK(R6), ISBLANK(S6)),
        "",
        MAX(
            1,
            IF(
                NETWORKDAYS(R6, S6, Holiday_Dates) &lt;= 0,
                1,
                NETWORKDAYS(R6, S6, Holiday_Dates) - IF(R6 = S6, 0, 1)
            )
        )
    ),
    ""
)</f>
        <v>3</v>
      </c>
      <c r="X6" s="244" t="str">
        <f>IF(
    OR(ISBLANK(S6), ISBLANK(T6)),
    "",
    MAX(
        1,
        IF(
            NETWORKDAYS(S6, T6, Holiday_Dates) &lt;= 0,
            1,
            NETWORKDAYS(S6, T6, Holiday_Dates) - IF(S6 = T6, 0, 1)
        )
    )
)</f>
        <v/>
      </c>
      <c r="Y6" s="244">
        <f>IFERROR(
    IF(
        OR(ISBLANK(S6), AND(ISBLANK(T6), ISBLANK(U6))),
        "",
        MAX(
            1,
            IF(
                NETWORKDAYS(IF(NOT(ISBLANK(U6)), U6, T6), U6, Holiday_Dates) &lt;= 0,
                1,
                NETWORKDAYS(IF(NOT(ISBLANK(U6)), U6, T6), U6, Holiday_Dates)
                - IF(IF(NOT(ISBLANK(U6)), U6, T6) = U6, 0, 1)
            )
        )
    ),
    ""
)</f>
        <v>1</v>
      </c>
      <c r="Z6" s="244">
        <f t="shared" si="1"/>
        <v>1</v>
      </c>
      <c r="AA6" s="6" t="s">
        <v>219</v>
      </c>
      <c r="AB6" s="64" t="s">
        <v>597</v>
      </c>
      <c r="AC6" s="6" t="s">
        <v>597</v>
      </c>
      <c r="AD6" s="6" t="s">
        <v>120</v>
      </c>
      <c r="AE6" s="6" t="s">
        <v>120</v>
      </c>
      <c r="AF6" s="6" t="s">
        <v>120</v>
      </c>
      <c r="AG6" s="6" t="s">
        <v>120</v>
      </c>
      <c r="AH6" s="9" t="s">
        <v>108</v>
      </c>
      <c r="AI6" s="6" t="s">
        <v>605</v>
      </c>
      <c r="AJ6" s="6"/>
      <c r="AK6" s="6"/>
      <c r="AL6" s="9"/>
      <c r="AM6" s="9"/>
      <c r="AN6" s="9"/>
      <c r="AO6" s="9"/>
      <c r="AP6" s="9"/>
      <c r="AQ6" s="6"/>
      <c r="AR6" s="9"/>
      <c r="AS6" s="577" t="s">
        <v>606</v>
      </c>
    </row>
    <row r="7" spans="1:45" ht="45">
      <c r="A7" s="6" t="s">
        <v>53</v>
      </c>
      <c r="B7" s="6" t="s">
        <v>456</v>
      </c>
      <c r="C7" s="6" t="s">
        <v>607</v>
      </c>
      <c r="D7" s="39" t="s">
        <v>89</v>
      </c>
      <c r="E7" s="39" t="s">
        <v>271</v>
      </c>
      <c r="F7" s="9">
        <v>15.539332999999999</v>
      </c>
      <c r="G7" s="9">
        <v>119.947636</v>
      </c>
      <c r="H7" s="9" t="str">
        <f t="shared" si="0"/>
        <v>15.539333,119.947636</v>
      </c>
      <c r="I7" s="9" t="s">
        <v>122</v>
      </c>
      <c r="J7" s="9">
        <v>1</v>
      </c>
      <c r="K7" s="9">
        <v>2018</v>
      </c>
      <c r="L7" s="9">
        <v>427500</v>
      </c>
      <c r="M7" s="9" t="s">
        <v>42</v>
      </c>
      <c r="N7" s="9"/>
      <c r="O7" s="9" t="s">
        <v>133</v>
      </c>
      <c r="P7" s="9" t="s">
        <v>92</v>
      </c>
      <c r="Q7" s="71" t="s">
        <v>608</v>
      </c>
      <c r="R7" s="22">
        <v>46035</v>
      </c>
      <c r="S7" s="420">
        <v>46040</v>
      </c>
      <c r="T7" s="22"/>
      <c r="U7" s="22">
        <v>46041</v>
      </c>
      <c r="V7" s="22">
        <v>46041</v>
      </c>
      <c r="W7" s="244">
        <f>IFERROR(
    IF(
        OR(ISBLANK(R7), ISBLANK(S7)),
        "",
        MAX(
            1,
            IF(
                NETWORKDAYS(R7, S7, Holiday_Dates) &lt;= 0,
                1,
                NETWORKDAYS(R7, S7, Holiday_Dates) - IF(R7 = S7, 0, 1)
            )
        )
    ),
    ""
)</f>
        <v>3</v>
      </c>
      <c r="X7" s="244" t="str">
        <f>IF(
    OR(ISBLANK(S7), ISBLANK(T7)),
    "",
    MAX(
        1,
        IF(
            NETWORKDAYS(S7, T7, Holiday_Dates) &lt;= 0,
            1,
            NETWORKDAYS(S7, T7, Holiday_Dates) - IF(S7 = T7, 0, 1)
        )
    )
)</f>
        <v/>
      </c>
      <c r="Y7" s="244">
        <f>IFERROR(
    IF(
        OR(ISBLANK(S7), AND(ISBLANK(T7), ISBLANK(U7))),
        "",
        MAX(
            1,
            IF(
                NETWORKDAYS(IF(NOT(ISBLANK(U7)), U7, T7), U7, Holiday_Dates) &lt;= 0,
                1,
                NETWORKDAYS(IF(NOT(ISBLANK(U7)), U7, T7), U7, Holiday_Dates)
                - IF(IF(NOT(ISBLANK(U7)), U7, T7) = U7, 0, 1)
            )
        )
    ),
    ""
)</f>
        <v>1</v>
      </c>
      <c r="Z7" s="244">
        <f t="shared" si="1"/>
        <v>1</v>
      </c>
      <c r="AA7" s="6" t="s">
        <v>219</v>
      </c>
      <c r="AB7" s="64" t="s">
        <v>597</v>
      </c>
      <c r="AC7" s="9" t="s">
        <v>597</v>
      </c>
      <c r="AD7" s="6" t="s">
        <v>120</v>
      </c>
      <c r="AE7" s="6" t="s">
        <v>120</v>
      </c>
      <c r="AF7" s="6" t="s">
        <v>120</v>
      </c>
      <c r="AG7" s="6" t="s">
        <v>120</v>
      </c>
      <c r="AH7" s="9" t="s">
        <v>108</v>
      </c>
      <c r="AI7" s="6" t="s">
        <v>605</v>
      </c>
      <c r="AJ7" s="6"/>
      <c r="AK7" s="6"/>
      <c r="AL7" s="9"/>
      <c r="AM7" s="9"/>
      <c r="AN7" s="9"/>
      <c r="AO7" s="9"/>
      <c r="AP7" s="9"/>
      <c r="AQ7" s="6"/>
      <c r="AR7" s="9"/>
      <c r="AS7" s="575" t="s">
        <v>609</v>
      </c>
    </row>
    <row r="8" spans="1:45">
      <c r="A8" s="6" t="s">
        <v>47</v>
      </c>
      <c r="B8" s="6" t="s">
        <v>258</v>
      </c>
      <c r="C8" s="6" t="s">
        <v>610</v>
      </c>
      <c r="D8" s="39" t="s">
        <v>89</v>
      </c>
      <c r="E8" s="39" t="s">
        <v>259</v>
      </c>
      <c r="F8" s="9">
        <v>15.807801</v>
      </c>
      <c r="G8" s="9">
        <v>121.458669</v>
      </c>
      <c r="H8" s="9" t="str">
        <f t="shared" si="0"/>
        <v>15.807801,121.458669</v>
      </c>
      <c r="I8" s="9" t="s">
        <v>121</v>
      </c>
      <c r="J8" s="9">
        <v>2</v>
      </c>
      <c r="K8" s="9" t="s">
        <v>611</v>
      </c>
      <c r="L8" s="44" t="s">
        <v>612</v>
      </c>
      <c r="M8" s="9" t="s">
        <v>14</v>
      </c>
      <c r="N8" s="9"/>
      <c r="O8" s="9" t="s">
        <v>128</v>
      </c>
      <c r="P8" s="9" t="s">
        <v>62</v>
      </c>
      <c r="Q8" s="9" t="s">
        <v>613</v>
      </c>
      <c r="R8" s="48">
        <v>46057</v>
      </c>
      <c r="S8" s="22">
        <v>46062</v>
      </c>
      <c r="T8" s="22"/>
      <c r="U8" s="22">
        <v>46069</v>
      </c>
      <c r="V8" s="22">
        <v>46069</v>
      </c>
      <c r="W8" s="244">
        <f>IFERROR(
    IF(
        OR(ISBLANK(R8), ISBLANK(S8)),
        "",
        MAX(
            1,
            IF(
                NETWORKDAYS(R8, S8, Holiday_Dates) &lt;= 0,
                1,
                NETWORKDAYS(R8, S8, Holiday_Dates) - IF(R8 = S8, 0, 1)
            )
        )
    ),
    ""
)</f>
        <v>3</v>
      </c>
      <c r="X8" s="244" t="str">
        <f>IF(
    OR(ISBLANK(S8), ISBLANK(T8)),
    "",
    MAX(
        1,
        IF(
            NETWORKDAYS(S8, T8, Holiday_Dates) &lt;= 0,
            1,
            NETWORKDAYS(S8, T8, Holiday_Dates) - IF(S8 = T8, 0, 1)
        )
    )
)</f>
        <v/>
      </c>
      <c r="Y8" s="244">
        <f>IFERROR(
    IF(
        OR(ISBLANK(S8), AND(ISBLANK(T8), ISBLANK(U8))),
        "",
        MAX(
            1,
            IF(
                NETWORKDAYS(IF(NOT(ISBLANK(U8)), U8, T8), U8, Holiday_Dates) &lt;= 0,
                1,
                NETWORKDAYS(IF(NOT(ISBLANK(U8)), U8, T8), U8, Holiday_Dates)
                - IF(IF(NOT(ISBLANK(U8)), U8, T8) = U8, 0, 1)
            )
        )
    ),
    ""
)</f>
        <v>1</v>
      </c>
      <c r="Z8" s="244">
        <f t="shared" si="1"/>
        <v>1</v>
      </c>
      <c r="AA8" s="6" t="s">
        <v>614</v>
      </c>
      <c r="AB8" s="9"/>
      <c r="AC8" s="6"/>
      <c r="AD8" s="6"/>
      <c r="AE8" s="44"/>
      <c r="AF8" s="44"/>
      <c r="AG8" s="45"/>
      <c r="AH8" s="9" t="s">
        <v>108</v>
      </c>
      <c r="AI8" s="9"/>
      <c r="AJ8" s="6"/>
      <c r="AK8" s="6"/>
      <c r="AL8" s="9"/>
      <c r="AM8" s="9"/>
      <c r="AN8" s="9"/>
      <c r="AO8" s="9"/>
      <c r="AP8" s="9"/>
      <c r="AQ8" s="6"/>
      <c r="AR8" s="9"/>
      <c r="AS8" s="575" t="s">
        <v>615</v>
      </c>
    </row>
    <row r="9" spans="1:45" ht="15" customHeight="1">
      <c r="A9" s="236" t="s">
        <v>48</v>
      </c>
      <c r="B9" s="6" t="s">
        <v>265</v>
      </c>
      <c r="C9" s="6" t="s">
        <v>616</v>
      </c>
      <c r="D9" s="9" t="s">
        <v>88</v>
      </c>
      <c r="E9" s="39" t="s">
        <v>213</v>
      </c>
      <c r="F9" s="9">
        <v>14.535556</v>
      </c>
      <c r="G9" s="9">
        <v>120.39277800000001</v>
      </c>
      <c r="H9" s="9" t="str">
        <f t="shared" si="0"/>
        <v>14.535556,120.392778</v>
      </c>
      <c r="I9" s="9" t="s">
        <v>122</v>
      </c>
      <c r="J9" s="9">
        <v>1</v>
      </c>
      <c r="K9" s="9">
        <v>2018</v>
      </c>
      <c r="L9" s="9">
        <v>285000</v>
      </c>
      <c r="M9" s="9" t="s">
        <v>19</v>
      </c>
      <c r="N9" s="9"/>
      <c r="O9" s="9" t="s">
        <v>129</v>
      </c>
      <c r="P9" s="9" t="s">
        <v>62</v>
      </c>
      <c r="Q9" s="9" t="s">
        <v>617</v>
      </c>
      <c r="R9" s="22">
        <v>46050</v>
      </c>
      <c r="S9" s="22">
        <v>46050</v>
      </c>
      <c r="T9" s="22"/>
      <c r="U9" s="22">
        <v>46053</v>
      </c>
      <c r="V9" s="22">
        <v>46055</v>
      </c>
      <c r="W9" s="244">
        <f>IFERROR(
    IF(
        OR(ISBLANK(R9), ISBLANK(S9)),
        "",
        MAX(
            1,
            IF(
                NETWORKDAYS(R9, S9, Holiday_Dates) &lt;= 0,
                1,
                NETWORKDAYS(R9, S9, Holiday_Dates) - IF(R9 = S9, 0, 1)
            )
        )
    ),
    ""
)</f>
        <v>1</v>
      </c>
      <c r="X9" s="244" t="str">
        <f>IF(
    OR(ISBLANK(S9), ISBLANK(T9)),
    "",
    MAX(
        1,
        IF(
            NETWORKDAYS(S9, T9, Holiday_Dates) &lt;= 0,
            1,
            NETWORKDAYS(S9, T9, Holiday_Dates) - IF(S9 = T9, 0, 1)
        )
    )
)</f>
        <v/>
      </c>
      <c r="Y9" s="244">
        <f>IFERROR(
    IF(
        OR(ISBLANK(S9), AND(ISBLANK(T9), ISBLANK(U9))),
        "",
        MAX(
            1,
            IF(
                NETWORKDAYS(IF(NOT(ISBLANK(U9)), U9, T9), U9, Holiday_Dates) &lt;= 0,
                1,
                NETWORKDAYS(IF(NOT(ISBLANK(U9)), U9, T9), U9, Holiday_Dates)
                - IF(IF(NOT(ISBLANK(U9)), U9, T9) = U9, 0, 1)
            )
        )
    ),
    ""
)</f>
        <v>1</v>
      </c>
      <c r="Z9" s="244">
        <f t="shared" si="1"/>
        <v>1</v>
      </c>
      <c r="AA9" s="6" t="s">
        <v>219</v>
      </c>
      <c r="AB9" s="9">
        <v>1</v>
      </c>
      <c r="AC9" s="6" t="s">
        <v>618</v>
      </c>
      <c r="AD9" s="6" t="s">
        <v>619</v>
      </c>
      <c r="AE9" s="9">
        <v>42.62</v>
      </c>
      <c r="AF9" s="9">
        <v>139.41999999999999</v>
      </c>
      <c r="AG9" s="45">
        <v>0.30570000000000003</v>
      </c>
      <c r="AH9" s="9" t="s">
        <v>101</v>
      </c>
      <c r="AI9" s="9"/>
      <c r="AJ9" s="6"/>
      <c r="AK9" s="6"/>
      <c r="AL9" s="9"/>
      <c r="AM9" s="9"/>
      <c r="AN9" s="9"/>
      <c r="AO9" s="9"/>
      <c r="AP9" s="9"/>
      <c r="AQ9" s="6"/>
      <c r="AR9" s="9"/>
      <c r="AS9" s="575" t="s">
        <v>620</v>
      </c>
    </row>
    <row r="10" spans="1:45" ht="30">
      <c r="A10" s="6" t="s">
        <v>48</v>
      </c>
      <c r="B10" s="6" t="s">
        <v>270</v>
      </c>
      <c r="C10" s="6" t="s">
        <v>621</v>
      </c>
      <c r="D10" s="9" t="s">
        <v>88</v>
      </c>
      <c r="E10" s="39" t="s">
        <v>271</v>
      </c>
      <c r="F10" s="9">
        <v>14.671575000000001</v>
      </c>
      <c r="G10" s="9">
        <v>120.534451</v>
      </c>
      <c r="H10" s="9" t="str">
        <f t="shared" si="0"/>
        <v>14.671575,120.534451</v>
      </c>
      <c r="I10" s="9" t="s">
        <v>122</v>
      </c>
      <c r="J10" s="9">
        <v>1</v>
      </c>
      <c r="K10" s="9">
        <v>2018</v>
      </c>
      <c r="L10" s="9">
        <v>285000</v>
      </c>
      <c r="M10" s="9" t="s">
        <v>273</v>
      </c>
      <c r="N10" s="9"/>
      <c r="O10" s="9" t="s">
        <v>129</v>
      </c>
      <c r="P10" s="9" t="s">
        <v>62</v>
      </c>
      <c r="Q10" s="9" t="s">
        <v>622</v>
      </c>
      <c r="R10" s="22">
        <v>46064</v>
      </c>
      <c r="S10" s="22">
        <v>46064</v>
      </c>
      <c r="T10" s="22"/>
      <c r="U10" s="22">
        <v>46067</v>
      </c>
      <c r="V10" s="22">
        <v>46069</v>
      </c>
      <c r="W10" s="244">
        <f>IFERROR(
    IF(
        OR(ISBLANK(R10), ISBLANK(S10)),
        "",
        MAX(
            1,
            IF(
                NETWORKDAYS(R10, S10, Holiday_Dates) &lt;= 0,
                1,
                NETWORKDAYS(R10, S10, Holiday_Dates) - IF(R10 = S10, 0, 1)
            )
        )
    ),
    ""
)</f>
        <v>1</v>
      </c>
      <c r="X10" s="244" t="str">
        <f>IF(
    OR(ISBLANK(S10), ISBLANK(T10)),
    "",
    MAX(
        1,
        IF(
            NETWORKDAYS(S10, T10, Holiday_Dates) &lt;= 0,
            1,
            NETWORKDAYS(S10, T10, Holiday_Dates) - IF(S10 = T10, 0, 1)
        )
    )
)</f>
        <v/>
      </c>
      <c r="Y10" s="244">
        <f>IFERROR(
    IF(
        OR(ISBLANK(S10), AND(ISBLANK(T10), ISBLANK(U10))),
        "",
        MAX(
            1,
            IF(
                NETWORKDAYS(IF(NOT(ISBLANK(U10)), U10, T10), U10, Holiday_Dates) &lt;= 0,
                1,
                NETWORKDAYS(IF(NOT(ISBLANK(U10)), U10, T10), U10, Holiday_Dates)
                - IF(IF(NOT(ISBLANK(U10)), U10, T10) = U10, 0, 1)
            )
        )
    ),
    ""
)</f>
        <v>1</v>
      </c>
      <c r="Z10" s="244">
        <f t="shared" si="1"/>
        <v>1</v>
      </c>
      <c r="AA10" s="6"/>
      <c r="AB10" s="9">
        <v>1</v>
      </c>
      <c r="AC10" s="6" t="s">
        <v>618</v>
      </c>
      <c r="AD10" s="6" t="s">
        <v>623</v>
      </c>
      <c r="AE10" s="9" t="s">
        <v>624</v>
      </c>
      <c r="AF10" s="9">
        <v>946.65</v>
      </c>
      <c r="AG10" s="585" t="s">
        <v>625</v>
      </c>
      <c r="AH10" s="9" t="s">
        <v>101</v>
      </c>
      <c r="AI10" s="9"/>
      <c r="AJ10" s="6"/>
      <c r="AK10" s="6"/>
      <c r="AL10" s="9"/>
      <c r="AM10" s="9"/>
      <c r="AN10" s="9"/>
      <c r="AO10" s="9"/>
      <c r="AP10" s="9"/>
      <c r="AQ10" s="6"/>
      <c r="AR10" s="9"/>
      <c r="AS10" s="575" t="s">
        <v>626</v>
      </c>
    </row>
    <row r="11" spans="1:45" ht="15" customHeight="1">
      <c r="A11" s="6" t="s">
        <v>49</v>
      </c>
      <c r="B11" s="6" t="s">
        <v>401</v>
      </c>
      <c r="C11" s="666" t="s">
        <v>627</v>
      </c>
      <c r="D11" s="9" t="s">
        <v>88</v>
      </c>
      <c r="E11" s="39" t="s">
        <v>402</v>
      </c>
      <c r="F11" s="9">
        <v>14.862786</v>
      </c>
      <c r="G11" s="9">
        <v>120.91716</v>
      </c>
      <c r="H11" s="9" t="str">
        <f t="shared" si="0"/>
        <v>14.862786,120.91716</v>
      </c>
      <c r="I11" s="9" t="s">
        <v>121</v>
      </c>
      <c r="J11" s="9">
        <v>1</v>
      </c>
      <c r="K11" s="9">
        <v>2017</v>
      </c>
      <c r="L11" s="44">
        <v>460000</v>
      </c>
      <c r="M11" s="9" t="s">
        <v>135</v>
      </c>
      <c r="N11" s="9"/>
      <c r="O11" s="9" t="s">
        <v>128</v>
      </c>
      <c r="P11" s="9" t="s">
        <v>62</v>
      </c>
      <c r="Q11" s="9" t="s">
        <v>628</v>
      </c>
      <c r="R11" s="22">
        <v>46069</v>
      </c>
      <c r="S11" s="22">
        <v>46070</v>
      </c>
      <c r="T11" s="22"/>
      <c r="U11" s="22">
        <v>46071</v>
      </c>
      <c r="V11" s="22">
        <v>46071</v>
      </c>
      <c r="W11" s="244">
        <f>IFERROR(
    IF(
        OR(ISBLANK(R11), ISBLANK(S11)),
        "",
        MAX(
            1,
            IF(
                NETWORKDAYS(R11, S11, Holiday_Dates) &lt;= 0,
                1,
                NETWORKDAYS(R11, S11, Holiday_Dates) - IF(R11 = S11, 0, 1)
            )
        )
    ),
    ""
)</f>
        <v>1</v>
      </c>
      <c r="X11" s="244" t="str">
        <f>IF(
    OR(ISBLANK(S11), ISBLANK(T11)),
    "",
    MAX(
        1,
        IF(
            NETWORKDAYS(S11, T11, Holiday_Dates) &lt;= 0,
            1,
            NETWORKDAYS(S11, T11, Holiday_Dates) - IF(S11 = T11, 0, 1)
        )
    )
)</f>
        <v/>
      </c>
      <c r="Y11" s="244">
        <f>IFERROR(
    IF(
        OR(ISBLANK(S11), AND(ISBLANK(T11), ISBLANK(U11))),
        "",
        MAX(
            1,
            IF(
                NETWORKDAYS(IF(NOT(ISBLANK(U11)), U11, T11), U11, Holiday_Dates) &lt;= 0,
                1,
                NETWORKDAYS(IF(NOT(ISBLANK(U11)), U11, T11), U11, Holiday_Dates)
                - IF(IF(NOT(ISBLANK(U11)), U11, T11) = U11, 0, 1)
            )
        )
    ),
    ""
)</f>
        <v>1</v>
      </c>
      <c r="Z11" s="244">
        <f t="shared" si="1"/>
        <v>1</v>
      </c>
      <c r="AA11" s="6" t="s">
        <v>219</v>
      </c>
      <c r="AB11" s="9">
        <v>0</v>
      </c>
      <c r="AC11" s="6" t="s">
        <v>618</v>
      </c>
      <c r="AD11" s="6" t="s">
        <v>120</v>
      </c>
      <c r="AE11" s="9" t="s">
        <v>120</v>
      </c>
      <c r="AF11" s="9" t="s">
        <v>120</v>
      </c>
      <c r="AG11" s="45" t="s">
        <v>120</v>
      </c>
      <c r="AH11" s="9" t="s">
        <v>108</v>
      </c>
      <c r="AI11" s="6" t="s">
        <v>629</v>
      </c>
      <c r="AJ11" s="6"/>
      <c r="AK11" s="6"/>
      <c r="AL11" s="9"/>
      <c r="AM11" s="9"/>
      <c r="AN11" s="9"/>
      <c r="AO11" s="9"/>
      <c r="AP11" s="9"/>
      <c r="AQ11" s="6"/>
      <c r="AR11" s="9"/>
      <c r="AS11" s="575" t="s">
        <v>630</v>
      </c>
    </row>
    <row r="12" spans="1:45" ht="15" customHeight="1">
      <c r="A12" s="6" t="s">
        <v>49</v>
      </c>
      <c r="B12" s="6" t="s">
        <v>340</v>
      </c>
      <c r="C12" s="6" t="s">
        <v>631</v>
      </c>
      <c r="D12" s="9" t="s">
        <v>88</v>
      </c>
      <c r="E12" s="39" t="s">
        <v>259</v>
      </c>
      <c r="F12" s="9">
        <v>14.8477</v>
      </c>
      <c r="G12" s="9">
        <v>121.0722</v>
      </c>
      <c r="H12" s="9" t="str">
        <f t="shared" si="0"/>
        <v>14.8477,121.0722</v>
      </c>
      <c r="I12" s="9" t="s">
        <v>121</v>
      </c>
      <c r="J12" s="9">
        <v>2</v>
      </c>
      <c r="K12" s="9" t="s">
        <v>632</v>
      </c>
      <c r="L12" s="9" t="s">
        <v>633</v>
      </c>
      <c r="M12" s="9" t="s">
        <v>227</v>
      </c>
      <c r="N12" s="9"/>
      <c r="O12" s="9" t="s">
        <v>128</v>
      </c>
      <c r="P12" s="9" t="s">
        <v>62</v>
      </c>
      <c r="Q12" s="7" t="s">
        <v>634</v>
      </c>
      <c r="R12" s="22">
        <v>46065</v>
      </c>
      <c r="S12" s="22">
        <v>46070</v>
      </c>
      <c r="T12" s="22"/>
      <c r="U12" s="22">
        <v>46071</v>
      </c>
      <c r="V12" s="22">
        <v>46071</v>
      </c>
      <c r="W12" s="244">
        <f>IFERROR(
    IF(
        OR(ISBLANK(R12), ISBLANK(S12)),
        "",
        MAX(
            1,
            IF(
                NETWORKDAYS(R12, S12, Holiday_Dates) &lt;= 0,
                1,
                NETWORKDAYS(R12, S12, Holiday_Dates) - IF(R12 = S12, 0, 1)
            )
        )
    ),
    ""
)</f>
        <v>3</v>
      </c>
      <c r="X12" s="244" t="str">
        <f>IF(
    OR(ISBLANK(S12), ISBLANK(T12)),
    "",
    MAX(
        1,
        IF(
            NETWORKDAYS(S12, T12, Holiday_Dates) &lt;= 0,
            1,
            NETWORKDAYS(S12, T12, Holiday_Dates) - IF(S12 = T12, 0, 1)
        )
    )
)</f>
        <v/>
      </c>
      <c r="Y12" s="244">
        <f>IFERROR(
    IF(
        OR(ISBLANK(S12), AND(ISBLANK(T12), ISBLANK(U12))),
        "",
        MAX(
            1,
            IF(
                NETWORKDAYS(IF(NOT(ISBLANK(U12)), U12, T12), U12, Holiday_Dates) &lt;= 0,
                1,
                NETWORKDAYS(IF(NOT(ISBLANK(U12)), U12, T12), U12, Holiday_Dates)
                - IF(IF(NOT(ISBLANK(U12)), U12, T12) = U12, 0, 1)
            )
        )
    ),
    ""
)</f>
        <v>1</v>
      </c>
      <c r="Z12" s="244">
        <f t="shared" si="1"/>
        <v>1</v>
      </c>
      <c r="AA12" s="6" t="s">
        <v>219</v>
      </c>
      <c r="AB12" s="9">
        <v>0</v>
      </c>
      <c r="AC12" s="6" t="s">
        <v>120</v>
      </c>
      <c r="AD12" s="6" t="s">
        <v>120</v>
      </c>
      <c r="AE12" s="6" t="s">
        <v>120</v>
      </c>
      <c r="AF12" s="6" t="s">
        <v>120</v>
      </c>
      <c r="AG12" s="6" t="s">
        <v>120</v>
      </c>
      <c r="AH12" s="9" t="s">
        <v>108</v>
      </c>
      <c r="AI12" s="6" t="s">
        <v>635</v>
      </c>
      <c r="AJ12" s="6"/>
      <c r="AK12" s="6"/>
      <c r="AL12" s="9"/>
      <c r="AM12" s="9"/>
      <c r="AN12" s="9"/>
      <c r="AO12" s="9"/>
      <c r="AP12" s="9"/>
      <c r="AQ12" s="6"/>
      <c r="AR12" s="9"/>
      <c r="AS12" s="575" t="s">
        <v>636</v>
      </c>
    </row>
    <row r="13" spans="1:45" ht="15" customHeight="1">
      <c r="A13" s="6" t="s">
        <v>50</v>
      </c>
      <c r="B13" s="42" t="s">
        <v>637</v>
      </c>
      <c r="C13" s="6" t="s">
        <v>638</v>
      </c>
      <c r="D13" s="9" t="s">
        <v>88</v>
      </c>
      <c r="E13" s="39" t="s">
        <v>213</v>
      </c>
      <c r="F13" s="9">
        <v>15.606325999999999</v>
      </c>
      <c r="G13" s="9">
        <v>121.110789</v>
      </c>
      <c r="H13" s="9" t="str">
        <f t="shared" si="0"/>
        <v>15.606326,121.110789</v>
      </c>
      <c r="I13" s="9" t="s">
        <v>121</v>
      </c>
      <c r="J13" s="9">
        <v>1</v>
      </c>
      <c r="K13" s="9">
        <v>2019</v>
      </c>
      <c r="L13" s="44">
        <v>530642.86</v>
      </c>
      <c r="M13" s="9" t="s">
        <v>26</v>
      </c>
      <c r="N13" s="9"/>
      <c r="O13" s="9" t="s">
        <v>130</v>
      </c>
      <c r="P13" s="9" t="s">
        <v>62</v>
      </c>
      <c r="Q13" s="9" t="s">
        <v>639</v>
      </c>
      <c r="R13" s="22">
        <v>46069</v>
      </c>
      <c r="S13" s="22">
        <v>46071</v>
      </c>
      <c r="T13" s="22"/>
      <c r="U13" s="22">
        <v>46071</v>
      </c>
      <c r="V13" s="22">
        <v>46071</v>
      </c>
      <c r="W13" s="244">
        <f>IFERROR(
    IF(
        OR(ISBLANK(R13), ISBLANK(S13)),
        "",
        MAX(
            1,
            IF(
                NETWORKDAYS(R13, S13, Holiday_Dates) &lt;= 0,
                1,
                NETWORKDAYS(R13, S13, Holiday_Dates) - IF(R13 = S13, 0, 1)
            )
        )
    ),
    ""
)</f>
        <v>2</v>
      </c>
      <c r="X13" s="244" t="str">
        <f>IF(
    OR(ISBLANK(S13), ISBLANK(T13)),
    "",
    MAX(
        1,
        IF(
            NETWORKDAYS(S13, T13, Holiday_Dates) &lt;= 0,
            1,
            NETWORKDAYS(S13, T13, Holiday_Dates) - IF(S13 = T13, 0, 1)
        )
    )
)</f>
        <v/>
      </c>
      <c r="Y13" s="244">
        <f>IFERROR(
    IF(
        OR(ISBLANK(S13), AND(ISBLANK(T13), ISBLANK(U13))),
        "",
        MAX(
            1,
            IF(
                NETWORKDAYS(IF(NOT(ISBLANK(U13)), U13, T13), U13, Holiday_Dates) &lt;= 0,
                1,
                NETWORKDAYS(IF(NOT(ISBLANK(U13)), U13, T13), U13, Holiday_Dates)
                - IF(IF(NOT(ISBLANK(U13)), U13, T13) = U13, 0, 1)
            )
        )
    ),
    ""
)</f>
        <v>1</v>
      </c>
      <c r="Z13" s="244">
        <f t="shared" si="1"/>
        <v>1</v>
      </c>
      <c r="AA13" s="6" t="s">
        <v>219</v>
      </c>
      <c r="AB13" s="9">
        <v>19</v>
      </c>
      <c r="AC13" s="6" t="s">
        <v>640</v>
      </c>
      <c r="AD13" s="6" t="s">
        <v>641</v>
      </c>
      <c r="AE13" s="9">
        <v>49.44</v>
      </c>
      <c r="AF13" s="9">
        <v>11077.75</v>
      </c>
      <c r="AG13" s="45">
        <v>4.4999999999999997E-3</v>
      </c>
      <c r="AH13" s="9" t="s">
        <v>101</v>
      </c>
      <c r="AI13" s="9"/>
      <c r="AJ13" s="6"/>
      <c r="AK13" s="6"/>
      <c r="AL13" s="9"/>
      <c r="AM13" s="9"/>
      <c r="AN13" s="9"/>
      <c r="AO13" s="9"/>
      <c r="AP13" s="9"/>
      <c r="AQ13" s="6"/>
      <c r="AR13" s="9"/>
      <c r="AS13" s="575" t="s">
        <v>642</v>
      </c>
    </row>
    <row r="14" spans="1:45" ht="65.25" customHeight="1">
      <c r="A14" s="6" t="s">
        <v>50</v>
      </c>
      <c r="B14" s="6" t="s">
        <v>345</v>
      </c>
      <c r="C14" s="6" t="s">
        <v>643</v>
      </c>
      <c r="D14" s="9" t="s">
        <v>88</v>
      </c>
      <c r="E14" s="39" t="s">
        <v>224</v>
      </c>
      <c r="F14" s="9">
        <v>15.335853999999999</v>
      </c>
      <c r="G14" s="9">
        <v>120.892661</v>
      </c>
      <c r="H14" s="9" t="str">
        <f t="shared" si="0"/>
        <v>15.335854,120.892661</v>
      </c>
      <c r="I14" s="9" t="s">
        <v>121</v>
      </c>
      <c r="J14" s="9">
        <v>1</v>
      </c>
      <c r="K14" s="9">
        <v>2019</v>
      </c>
      <c r="L14" s="9">
        <v>502714.29</v>
      </c>
      <c r="M14" s="9" t="s">
        <v>30</v>
      </c>
      <c r="N14" s="9"/>
      <c r="O14" s="9" t="s">
        <v>130</v>
      </c>
      <c r="P14" s="9" t="s">
        <v>62</v>
      </c>
      <c r="Q14" s="9" t="s">
        <v>644</v>
      </c>
      <c r="R14" s="22">
        <v>46069</v>
      </c>
      <c r="S14" s="22">
        <v>46069</v>
      </c>
      <c r="T14" s="22"/>
      <c r="U14" s="22">
        <v>46071</v>
      </c>
      <c r="V14" s="22">
        <v>46071</v>
      </c>
      <c r="W14" s="244">
        <f>IFERROR(
    IF(
        OR(ISBLANK(R14), ISBLANK(S14)),
        "",
        MAX(
            1,
            IF(
                NETWORKDAYS(R14, S14, Holiday_Dates) &lt;= 0,
                1,
                NETWORKDAYS(R14, S14, Holiday_Dates) - IF(R14 = S14, 0, 1)
            )
        )
    ),
    ""
)</f>
        <v>1</v>
      </c>
      <c r="X14" s="244" t="str">
        <f>IF(
    OR(ISBLANK(S14), ISBLANK(T14)),
    "",
    MAX(
        1,
        IF(
            NETWORKDAYS(S14, T14, Holiday_Dates) &lt;= 0,
            1,
            NETWORKDAYS(S14, T14, Holiday_Dates) - IF(S14 = T14, 0, 1)
        )
    )
)</f>
        <v/>
      </c>
      <c r="Y14" s="244">
        <f>IFERROR(
    IF(
        OR(ISBLANK(S14), AND(ISBLANK(T14), ISBLANK(U14))),
        "",
        MAX(
            1,
            IF(
                NETWORKDAYS(IF(NOT(ISBLANK(U14)), U14, T14), U14, Holiday_Dates) &lt;= 0,
                1,
                NETWORKDAYS(IF(NOT(ISBLANK(U14)), U14, T14), U14, Holiday_Dates)
                - IF(IF(NOT(ISBLANK(U14)), U14, T14) = U14, 0, 1)
            )
        )
    ),
    ""
)</f>
        <v>1</v>
      </c>
      <c r="Z14" s="244">
        <f t="shared" si="1"/>
        <v>1</v>
      </c>
      <c r="AA14" s="6" t="s">
        <v>219</v>
      </c>
      <c r="AB14" s="9">
        <v>27</v>
      </c>
      <c r="AC14" s="6" t="s">
        <v>645</v>
      </c>
      <c r="AD14" s="6" t="s">
        <v>641</v>
      </c>
      <c r="AE14" s="44" t="s">
        <v>599</v>
      </c>
      <c r="AF14" s="647">
        <v>21458.240000000002</v>
      </c>
      <c r="AG14" s="44" t="s">
        <v>599</v>
      </c>
      <c r="AH14" s="9" t="s">
        <v>101</v>
      </c>
      <c r="AI14" s="9"/>
      <c r="AJ14" s="6" t="s">
        <v>310</v>
      </c>
      <c r="AK14" s="6" t="s">
        <v>646</v>
      </c>
      <c r="AL14" s="294">
        <v>46071</v>
      </c>
      <c r="AM14" s="9"/>
      <c r="AN14" s="9"/>
      <c r="AO14" s="9"/>
      <c r="AP14" s="294">
        <v>46084</v>
      </c>
      <c r="AQ14" s="6"/>
      <c r="AR14" s="9"/>
      <c r="AS14" s="575" t="s">
        <v>647</v>
      </c>
    </row>
    <row r="15" spans="1:45" ht="64.5" customHeight="1">
      <c r="A15" s="6" t="s">
        <v>50</v>
      </c>
      <c r="B15" s="6" t="s">
        <v>512</v>
      </c>
      <c r="C15" s="6" t="s">
        <v>648</v>
      </c>
      <c r="D15" s="9" t="s">
        <v>88</v>
      </c>
      <c r="E15" s="39" t="s">
        <v>243</v>
      </c>
      <c r="F15" s="9">
        <v>15.547317</v>
      </c>
      <c r="G15" s="9">
        <v>120.753197</v>
      </c>
      <c r="H15" s="9" t="str">
        <f t="shared" si="0"/>
        <v>15.547317,120.753197</v>
      </c>
      <c r="I15" s="9" t="s">
        <v>121</v>
      </c>
      <c r="J15" s="9">
        <v>1</v>
      </c>
      <c r="K15" s="9">
        <v>2016</v>
      </c>
      <c r="L15" s="66">
        <v>270000</v>
      </c>
      <c r="M15" s="9" t="s">
        <v>140</v>
      </c>
      <c r="N15" s="9"/>
      <c r="O15" s="9" t="s">
        <v>130</v>
      </c>
      <c r="P15" s="9" t="s">
        <v>62</v>
      </c>
      <c r="Q15" s="7" t="s">
        <v>649</v>
      </c>
      <c r="R15" s="22">
        <v>46050</v>
      </c>
      <c r="S15" s="22">
        <v>46066</v>
      </c>
      <c r="T15" s="22"/>
      <c r="U15" s="22">
        <v>46071</v>
      </c>
      <c r="V15" s="22">
        <v>46071</v>
      </c>
      <c r="W15" s="244">
        <f>IFERROR(
    IF(
        OR(ISBLANK(R15), ISBLANK(S15)),
        "",
        MAX(
            1,
            IF(
                NETWORKDAYS(R15, S15, Holiday_Dates) &lt;= 0,
                1,
                NETWORKDAYS(R15, S15, Holiday_Dates) - IF(R15 = S15, 0, 1)
            )
        )
    ),
    ""
)</f>
        <v>12</v>
      </c>
      <c r="X15" s="244" t="str">
        <f>IF(
    OR(ISBLANK(S15), ISBLANK(T15)),
    "",
    MAX(
        1,
        IF(
            NETWORKDAYS(S15, T15, Holiday_Dates) &lt;= 0,
            1,
            NETWORKDAYS(S15, T15, Holiday_Dates) - IF(S15 = T15, 0, 1)
        )
    )
)</f>
        <v/>
      </c>
      <c r="Y15" s="244">
        <f>IFERROR(
    IF(
        OR(ISBLANK(S15), AND(ISBLANK(T15), ISBLANK(U15))),
        "",
        MAX(
            1,
            IF(
                NETWORKDAYS(IF(NOT(ISBLANK(U15)), U15, T15), U15, Holiday_Dates) &lt;= 0,
                1,
                NETWORKDAYS(IF(NOT(ISBLANK(U15)), U15, T15), U15, Holiday_Dates)
                - IF(IF(NOT(ISBLANK(U15)), U15, T15) = U15, 0, 1)
            )
        )
    ),
    ""
)</f>
        <v>1</v>
      </c>
      <c r="Z15" s="244">
        <f t="shared" si="1"/>
        <v>1</v>
      </c>
      <c r="AA15" s="6" t="s">
        <v>219</v>
      </c>
      <c r="AB15" s="9">
        <v>11</v>
      </c>
      <c r="AC15" s="6" t="s">
        <v>650</v>
      </c>
      <c r="AD15" s="6" t="s">
        <v>641</v>
      </c>
      <c r="AE15" s="44" t="s">
        <v>599</v>
      </c>
      <c r="AF15" s="44">
        <v>8506.7999999999993</v>
      </c>
      <c r="AG15" s="44" t="s">
        <v>599</v>
      </c>
      <c r="AH15" s="9" t="s">
        <v>101</v>
      </c>
      <c r="AI15" s="9"/>
      <c r="AJ15" s="6" t="s">
        <v>310</v>
      </c>
      <c r="AK15" s="6" t="s">
        <v>651</v>
      </c>
      <c r="AL15" s="294">
        <v>46079</v>
      </c>
      <c r="AM15" s="9"/>
      <c r="AN15" s="9"/>
      <c r="AO15" s="9"/>
      <c r="AP15" s="9"/>
      <c r="AQ15" s="6"/>
      <c r="AR15" s="9"/>
      <c r="AS15" s="575" t="s">
        <v>652</v>
      </c>
    </row>
    <row r="16" spans="1:45" ht="150">
      <c r="A16" s="6" t="s">
        <v>51</v>
      </c>
      <c r="B16" s="6" t="s">
        <v>541</v>
      </c>
      <c r="C16" s="6" t="s">
        <v>653</v>
      </c>
      <c r="D16" s="9" t="s">
        <v>88</v>
      </c>
      <c r="E16" s="7" t="s">
        <v>224</v>
      </c>
      <c r="F16" s="9">
        <v>15.003997</v>
      </c>
      <c r="G16" s="9">
        <v>120.697078</v>
      </c>
      <c r="H16" s="9" t="str">
        <f t="shared" si="0"/>
        <v>15.003997,120.697078</v>
      </c>
      <c r="I16" s="9" t="s">
        <v>121</v>
      </c>
      <c r="J16" s="9">
        <v>1</v>
      </c>
      <c r="K16" s="9">
        <v>2017</v>
      </c>
      <c r="L16" s="9">
        <v>270000</v>
      </c>
      <c r="M16" s="9" t="s">
        <v>33</v>
      </c>
      <c r="N16" s="9"/>
      <c r="O16" s="9" t="s">
        <v>595</v>
      </c>
      <c r="P16" s="9" t="s">
        <v>62</v>
      </c>
      <c r="Q16" s="9" t="s">
        <v>654</v>
      </c>
      <c r="R16" s="22">
        <v>46058</v>
      </c>
      <c r="S16" s="22">
        <v>46059</v>
      </c>
      <c r="T16" s="22"/>
      <c r="U16" s="22">
        <v>46065</v>
      </c>
      <c r="V16" s="22">
        <v>46065</v>
      </c>
      <c r="W16" s="244">
        <f>IFERROR(
    IF(
        OR(ISBLANK(R16), ISBLANK(S16)),
        "",
        MAX(
            1,
            IF(
                NETWORKDAYS(R16, S16, Holiday_Dates) &lt;= 0,
                1,
                NETWORKDAYS(R16, S16, Holiday_Dates) - IF(R16 = S16, 0, 1)
            )
        )
    ),
    ""
)</f>
        <v>1</v>
      </c>
      <c r="X16" s="244" t="str">
        <f>IF(
    OR(ISBLANK(S16), ISBLANK(T16)),
    "",
    MAX(
        1,
        IF(
            NETWORKDAYS(S16, T16, Holiday_Dates) &lt;= 0,
            1,
            NETWORKDAYS(S16, T16, Holiday_Dates) - IF(S16 = T16, 0, 1)
        )
    )
)</f>
        <v/>
      </c>
      <c r="Y16" s="244">
        <f>IFERROR(
    IF(
        OR(ISBLANK(S16), AND(ISBLANK(T16), ISBLANK(U16))),
        "",
        MAX(
            1,
            IF(
                NETWORKDAYS(IF(NOT(ISBLANK(U16)), U16, T16), U16, Holiday_Dates) &lt;= 0,
                1,
                NETWORKDAYS(IF(NOT(ISBLANK(U16)), U16, T16), U16, Holiday_Dates)
                - IF(IF(NOT(ISBLANK(U16)), U16, T16) = U16, 0, 1)
            )
        )
    ),
    ""
)</f>
        <v>1</v>
      </c>
      <c r="Z16" s="244">
        <f t="shared" si="1"/>
        <v>1</v>
      </c>
      <c r="AA16" s="6"/>
      <c r="AB16" s="9">
        <v>7</v>
      </c>
      <c r="AC16" s="6" t="s">
        <v>655</v>
      </c>
      <c r="AD16" s="6" t="s">
        <v>656</v>
      </c>
      <c r="AE16" s="44" t="s">
        <v>599</v>
      </c>
      <c r="AF16" s="44" t="s">
        <v>599</v>
      </c>
      <c r="AG16" s="44" t="s">
        <v>599</v>
      </c>
      <c r="AH16" s="9" t="s">
        <v>101</v>
      </c>
      <c r="AI16" s="6"/>
      <c r="AJ16" s="6" t="s">
        <v>657</v>
      </c>
      <c r="AK16" s="6" t="s">
        <v>658</v>
      </c>
      <c r="AL16" s="9"/>
      <c r="AM16" s="9"/>
      <c r="AN16" s="9"/>
      <c r="AO16" s="9"/>
      <c r="AP16" s="9"/>
      <c r="AQ16" s="6"/>
      <c r="AR16" s="9"/>
      <c r="AS16" s="625" t="s">
        <v>659</v>
      </c>
    </row>
    <row r="17" spans="1:45" ht="35.25" customHeight="1">
      <c r="A17" s="6" t="s">
        <v>52</v>
      </c>
      <c r="B17" s="6" t="s">
        <v>460</v>
      </c>
      <c r="C17" s="6" t="s">
        <v>660</v>
      </c>
      <c r="D17" s="9" t="s">
        <v>88</v>
      </c>
      <c r="E17" s="7" t="s">
        <v>213</v>
      </c>
      <c r="F17" s="9">
        <v>15.32042229</v>
      </c>
      <c r="G17" s="9">
        <v>120.5892983</v>
      </c>
      <c r="H17" s="9" t="str">
        <f t="shared" si="0"/>
        <v>15.32042229,120.5892983</v>
      </c>
      <c r="I17" s="9" t="s">
        <v>121</v>
      </c>
      <c r="J17" s="9">
        <v>1</v>
      </c>
      <c r="K17" s="9">
        <v>2019</v>
      </c>
      <c r="L17" s="44">
        <v>502714.29</v>
      </c>
      <c r="M17" s="9" t="s">
        <v>39</v>
      </c>
      <c r="N17" s="9"/>
      <c r="O17" s="36" t="s">
        <v>28</v>
      </c>
      <c r="P17" s="9" t="s">
        <v>62</v>
      </c>
      <c r="Q17" s="9" t="s">
        <v>661</v>
      </c>
      <c r="R17" s="22">
        <v>46057</v>
      </c>
      <c r="S17" s="22">
        <v>46065</v>
      </c>
      <c r="T17" s="22"/>
      <c r="U17" s="22">
        <v>46069</v>
      </c>
      <c r="V17" s="22">
        <v>46069</v>
      </c>
      <c r="W17" s="244">
        <f>IFERROR(
    IF(
        OR(ISBLANK(R17), ISBLANK(S17)),
        "",
        MAX(
            1,
            IF(
                NETWORKDAYS(R17, S17, Holiday_Dates) &lt;= 0,
                1,
                NETWORKDAYS(R17, S17, Holiday_Dates) - IF(R17 = S17, 0, 1)
            )
        )
    ),
    ""
)</f>
        <v>6</v>
      </c>
      <c r="X17" s="244" t="str">
        <f>IF(
    OR(ISBLANK(S17), ISBLANK(T17)),
    "",
    MAX(
        1,
        IF(
            NETWORKDAYS(S17, T17, Holiday_Dates) &lt;= 0,
            1,
            NETWORKDAYS(S17, T17, Holiday_Dates) - IF(S17 = T17, 0, 1)
        )
    )
)</f>
        <v/>
      </c>
      <c r="Y17" s="244">
        <f>IFERROR(
    IF(
        OR(ISBLANK(S17), AND(ISBLANK(T17), ISBLANK(U17))),
        "",
        MAX(
            1,
            IF(
                NETWORKDAYS(IF(NOT(ISBLANK(U17)), U17, T17), U17, Holiday_Dates) &lt;= 0,
                1,
                NETWORKDAYS(IF(NOT(ISBLANK(U17)), U17, T17), U17, Holiday_Dates)
                - IF(IF(NOT(ISBLANK(U17)), U17, T17) = U17, 0, 1)
            )
        )
    ),
    ""
)</f>
        <v>1</v>
      </c>
      <c r="Z17" s="244">
        <f t="shared" si="1"/>
        <v>1</v>
      </c>
      <c r="AA17" s="6"/>
      <c r="AB17" s="9"/>
      <c r="AC17" s="6" t="s">
        <v>662</v>
      </c>
      <c r="AD17" s="6" t="s">
        <v>656</v>
      </c>
      <c r="AE17" s="9"/>
      <c r="AF17" s="9"/>
      <c r="AG17" s="45"/>
      <c r="AH17" s="9"/>
      <c r="AI17" s="9"/>
      <c r="AJ17" s="6"/>
      <c r="AK17" s="6"/>
      <c r="AL17" s="9"/>
      <c r="AM17" s="9"/>
      <c r="AN17" s="9"/>
      <c r="AO17" s="9"/>
      <c r="AP17" s="9"/>
      <c r="AQ17" s="6"/>
      <c r="AR17" s="9"/>
      <c r="AS17" s="625" t="s">
        <v>663</v>
      </c>
    </row>
    <row r="18" spans="1:45" ht="27.75" customHeight="1">
      <c r="A18" s="3" t="s">
        <v>52</v>
      </c>
      <c r="B18" s="3" t="s">
        <v>462</v>
      </c>
      <c r="C18" s="3" t="s">
        <v>664</v>
      </c>
      <c r="D18" s="7" t="s">
        <v>88</v>
      </c>
      <c r="E18" s="7" t="s">
        <v>271</v>
      </c>
      <c r="F18" s="7">
        <v>15.487158000000001</v>
      </c>
      <c r="G18" s="7">
        <v>120.571386</v>
      </c>
      <c r="H18" s="7" t="str">
        <f t="shared" si="0"/>
        <v>15.487158,120.571386</v>
      </c>
      <c r="I18" s="7" t="s">
        <v>121</v>
      </c>
      <c r="J18" s="7">
        <v>1</v>
      </c>
      <c r="K18" s="7">
        <v>2019</v>
      </c>
      <c r="L18" s="416">
        <v>502714.29</v>
      </c>
      <c r="M18" s="7" t="s">
        <v>37</v>
      </c>
      <c r="N18" s="7"/>
      <c r="O18" s="36" t="s">
        <v>28</v>
      </c>
      <c r="P18" s="7" t="s">
        <v>62</v>
      </c>
      <c r="Q18" s="7" t="s">
        <v>665</v>
      </c>
      <c r="R18" s="313">
        <v>46058</v>
      </c>
      <c r="S18" s="313">
        <v>46059</v>
      </c>
      <c r="T18" s="313"/>
      <c r="U18" s="313">
        <v>46069</v>
      </c>
      <c r="V18" s="313">
        <v>46069</v>
      </c>
      <c r="W18" s="244">
        <f>IFERROR(
    IF(
        OR(ISBLANK(R18), ISBLANK(S18)),
        "",
        MAX(
            1,
            IF(
                NETWORKDAYS(R18, S18, Holiday_Dates) &lt;= 0,
                1,
                NETWORKDAYS(R18, S18, Holiday_Dates) - IF(R18 = S18, 0, 1)
            )
        )
    ),
    ""
)</f>
        <v>1</v>
      </c>
      <c r="X18" s="244" t="str">
        <f>IF(
    OR(ISBLANK(S18), ISBLANK(T18)),
    "",
    MAX(
        1,
        IF(
            NETWORKDAYS(S18, T18, Holiday_Dates) &lt;= 0,
            1,
            NETWORKDAYS(S18, T18, Holiday_Dates) - IF(S18 = T18, 0, 1)
        )
    )
)</f>
        <v/>
      </c>
      <c r="Y18" s="244">
        <f>IFERROR(
    IF(
        OR(ISBLANK(S18), AND(ISBLANK(T18), ISBLANK(U18))),
        "",
        MAX(
            1,
            IF(
                NETWORKDAYS(IF(NOT(ISBLANK(U18)), U18, T18), U18, Holiday_Dates) &lt;= 0,
                1,
                NETWORKDAYS(IF(NOT(ISBLANK(U18)), U18, T18), U18, Holiday_Dates)
                - IF(IF(NOT(ISBLANK(U18)), U18, T18) = U18, 0, 1)
            )
        )
    ),
    ""
)</f>
        <v>1</v>
      </c>
      <c r="Z18" s="244">
        <f t="shared" si="1"/>
        <v>1</v>
      </c>
      <c r="AA18" s="7"/>
      <c r="AB18" s="7">
        <v>1</v>
      </c>
      <c r="AC18" s="3" t="s">
        <v>666</v>
      </c>
      <c r="AD18" s="6" t="s">
        <v>667</v>
      </c>
      <c r="AE18" s="7">
        <v>305</v>
      </c>
      <c r="AF18" s="416">
        <v>287036.96399999998</v>
      </c>
      <c r="AG18" s="417">
        <v>1E-3</v>
      </c>
      <c r="AH18" s="7" t="s">
        <v>101</v>
      </c>
      <c r="AI18" s="3"/>
      <c r="AJ18" s="3"/>
      <c r="AK18" s="3"/>
      <c r="AL18" s="7"/>
      <c r="AM18" s="7"/>
      <c r="AN18" s="7"/>
      <c r="AO18" s="7"/>
      <c r="AP18" s="7"/>
      <c r="AQ18" s="3"/>
      <c r="AR18" s="7"/>
      <c r="AS18" s="575" t="s">
        <v>668</v>
      </c>
    </row>
    <row r="19" spans="1:45" ht="15" customHeight="1">
      <c r="A19" s="6" t="s">
        <v>48</v>
      </c>
      <c r="B19" s="6" t="s">
        <v>265</v>
      </c>
      <c r="C19" s="6" t="s">
        <v>669</v>
      </c>
      <c r="D19" s="9" t="s">
        <v>88</v>
      </c>
      <c r="E19" s="39" t="s">
        <v>213</v>
      </c>
      <c r="F19" s="9">
        <v>14.516517</v>
      </c>
      <c r="G19" s="9">
        <v>120.386411</v>
      </c>
      <c r="H19" s="9" t="str">
        <f t="shared" si="0"/>
        <v>14.516517,120.386411</v>
      </c>
      <c r="I19" s="9" t="s">
        <v>122</v>
      </c>
      <c r="J19" s="9">
        <v>1</v>
      </c>
      <c r="K19" s="9">
        <v>2018</v>
      </c>
      <c r="L19" s="9">
        <v>285000</v>
      </c>
      <c r="M19" s="9" t="s">
        <v>19</v>
      </c>
      <c r="N19" s="9"/>
      <c r="O19" s="9" t="s">
        <v>129</v>
      </c>
      <c r="P19" s="548" t="s">
        <v>45</v>
      </c>
      <c r="Q19" s="9" t="s">
        <v>670</v>
      </c>
      <c r="R19" s="22">
        <v>46076</v>
      </c>
      <c r="S19" s="22">
        <v>46078</v>
      </c>
      <c r="T19" s="22"/>
      <c r="U19" s="22">
        <v>46078</v>
      </c>
      <c r="V19" s="22">
        <v>46079</v>
      </c>
      <c r="W19" s="244">
        <f>IFERROR(
    IF(
        OR(ISBLANK(R19), ISBLANK(S19)),
        "",
        MAX(
            1,
            IF(
                NETWORKDAYS(R19, S19, Holiday_Dates) &lt;= 0,
                1,
                NETWORKDAYS(R19, S19, Holiday_Dates) - IF(R19 = S19, 0, 1)
            )
        )
    ),
    ""
)</f>
        <v>2</v>
      </c>
      <c r="X19" s="244" t="str">
        <f>IF(
    OR(ISBLANK(S19), ISBLANK(T19)),
    "",
    MAX(
        1,
        IF(
            NETWORKDAYS(S19, T19, Holiday_Dates) &lt;= 0,
            1,
            NETWORKDAYS(S19, T19, Holiday_Dates) - IF(S19 = T19, 0, 1)
        )
    )
)</f>
        <v/>
      </c>
      <c r="Y19" s="244">
        <f>IFERROR(
    IF(
        OR(ISBLANK(S19), AND(ISBLANK(T19), ISBLANK(U19))),
        "",
        MAX(
            1,
            IF(
                NETWORKDAYS(IF(NOT(ISBLANK(U19)), U19, T19), U19, Holiday_Dates) &lt;= 0,
                1,
                NETWORKDAYS(IF(NOT(ISBLANK(U19)), U19, T19), U19, Holiday_Dates)
                - IF(IF(NOT(ISBLANK(U19)), U19, T19) = U19, 0, 1)
            )
        )
    ),
    ""
)</f>
        <v>1</v>
      </c>
      <c r="Z19" s="244">
        <f t="shared" si="1"/>
        <v>1</v>
      </c>
      <c r="AA19" s="9"/>
      <c r="AB19" s="9">
        <v>1</v>
      </c>
      <c r="AC19" s="6" t="s">
        <v>597</v>
      </c>
      <c r="AD19" s="6" t="s">
        <v>671</v>
      </c>
      <c r="AE19" s="9">
        <v>45</v>
      </c>
      <c r="AF19" s="9">
        <v>58.61</v>
      </c>
      <c r="AG19" s="45">
        <v>0.76780000000000004</v>
      </c>
      <c r="AH19" s="9" t="s">
        <v>101</v>
      </c>
      <c r="AI19" s="9" t="s">
        <v>672</v>
      </c>
      <c r="AJ19" s="6"/>
      <c r="AK19" s="6"/>
      <c r="AL19" s="9"/>
      <c r="AM19" s="9"/>
      <c r="AN19" s="9"/>
      <c r="AO19" s="9"/>
      <c r="AP19" s="9"/>
      <c r="AQ19" s="6"/>
      <c r="AR19" s="9"/>
      <c r="AS19" s="9"/>
    </row>
    <row r="20" spans="1:45" ht="15" customHeight="1">
      <c r="A20" s="6" t="s">
        <v>48</v>
      </c>
      <c r="B20" s="6" t="s">
        <v>270</v>
      </c>
      <c r="C20" s="6" t="s">
        <v>427</v>
      </c>
      <c r="D20" s="9" t="s">
        <v>88</v>
      </c>
      <c r="E20" s="39" t="s">
        <v>271</v>
      </c>
      <c r="F20" s="9">
        <v>14.671465</v>
      </c>
      <c r="G20" s="9">
        <v>120.534471</v>
      </c>
      <c r="H20" s="9" t="str">
        <f t="shared" si="0"/>
        <v>14.671465,120.534471</v>
      </c>
      <c r="I20" s="9" t="s">
        <v>122</v>
      </c>
      <c r="J20" s="9">
        <v>1</v>
      </c>
      <c r="K20" s="9">
        <v>2018</v>
      </c>
      <c r="L20" s="9">
        <v>285000</v>
      </c>
      <c r="M20" s="9" t="s">
        <v>273</v>
      </c>
      <c r="N20" s="9"/>
      <c r="O20" s="9" t="s">
        <v>129</v>
      </c>
      <c r="P20" s="548" t="s">
        <v>45</v>
      </c>
      <c r="Q20" s="9"/>
      <c r="R20" s="22"/>
      <c r="S20" s="22"/>
      <c r="T20" s="22"/>
      <c r="U20" s="22"/>
      <c r="V20" s="22"/>
      <c r="W20" s="244" t="str">
        <f>IFERROR(
    IF(
        OR(ISBLANK(R20), ISBLANK(S20)),
        "",
        MAX(
            1,
            IF(
                NETWORKDAYS(R20, S20, Holiday_Dates) &lt;= 0,
                1,
                NETWORKDAYS(R20, S20, Holiday_Dates) - IF(R20 = S20, 0, 1)
            )
        )
    ),
    ""
)</f>
        <v/>
      </c>
      <c r="X20" s="244" t="str">
        <f>IF(
    OR(ISBLANK(S20), ISBLANK(T20)),
    "",
    MAX(
        1,
        IF(
            NETWORKDAYS(S20, T20, Holiday_Dates) &lt;= 0,
            1,
            NETWORKDAYS(S20, T20, Holiday_Dates) - IF(S20 = T20, 0, 1)
        )
    )
)</f>
        <v/>
      </c>
      <c r="Y20" s="244" t="str">
        <f>IFERROR(
    IF(
        OR(ISBLANK(S20), AND(ISBLANK(T20), ISBLANK(U20))),
        "",
        MAX(
            1,
            IF(
                NETWORKDAYS(IF(NOT(ISBLANK(U20)), U20, T20), U20, Holiday_Dates) &lt;= 0,
                1,
                NETWORKDAYS(IF(NOT(ISBLANK(U20)), U20, T20), U20, Holiday_Dates)
                - IF(IF(NOT(ISBLANK(U20)), U20, T20) = U20, 0, 1)
            )
        )
    ),
    ""
)</f>
        <v/>
      </c>
      <c r="Z20" s="244" t="str">
        <f t="shared" si="1"/>
        <v/>
      </c>
      <c r="AA20" s="9"/>
      <c r="AB20" s="9"/>
      <c r="AC20" s="6"/>
      <c r="AD20" s="6"/>
      <c r="AE20" s="9"/>
      <c r="AF20" s="66"/>
      <c r="AG20" s="45"/>
      <c r="AH20" s="9"/>
      <c r="AI20" s="9"/>
      <c r="AJ20" s="6"/>
      <c r="AK20" s="6"/>
      <c r="AL20" s="9"/>
      <c r="AM20" s="9"/>
      <c r="AN20" s="9"/>
      <c r="AO20" s="9"/>
      <c r="AP20" s="9"/>
      <c r="AQ20" s="6"/>
      <c r="AR20" s="9"/>
      <c r="AS20" s="9"/>
    </row>
    <row r="21" spans="1:45" ht="15" customHeight="1">
      <c r="A21" s="6" t="s">
        <v>49</v>
      </c>
      <c r="B21" s="6" t="s">
        <v>490</v>
      </c>
      <c r="C21" s="6" t="s">
        <v>673</v>
      </c>
      <c r="D21" s="9" t="s">
        <v>88</v>
      </c>
      <c r="E21" s="39" t="s">
        <v>271</v>
      </c>
      <c r="F21" s="9">
        <v>14.929217</v>
      </c>
      <c r="G21" s="9">
        <v>120.942353</v>
      </c>
      <c r="H21" s="9" t="str">
        <f t="shared" si="0"/>
        <v>14.929217,120.942353</v>
      </c>
      <c r="I21" s="9" t="s">
        <v>121</v>
      </c>
      <c r="J21" s="9">
        <v>1</v>
      </c>
      <c r="K21" s="9">
        <v>2019</v>
      </c>
      <c r="L21" s="66">
        <v>502714</v>
      </c>
      <c r="M21" s="9" t="s">
        <v>344</v>
      </c>
      <c r="N21" s="9"/>
      <c r="O21" s="9" t="s">
        <v>128</v>
      </c>
      <c r="P21" s="548" t="s">
        <v>45</v>
      </c>
      <c r="Q21" s="9"/>
      <c r="R21" s="22"/>
      <c r="S21" s="22"/>
      <c r="T21" s="22"/>
      <c r="U21" s="22"/>
      <c r="V21" s="22"/>
      <c r="W21" s="244" t="str">
        <f>IFERROR(
    IF(
        OR(ISBLANK(R21), ISBLANK(S21)),
        "",
        MAX(
            1,
            IF(
                NETWORKDAYS(R21, S21, Holiday_Dates) &lt;= 0,
                1,
                NETWORKDAYS(R21, S21, Holiday_Dates) - IF(R21 = S21, 0, 1)
            )
        )
    ),
    ""
)</f>
        <v/>
      </c>
      <c r="X21" s="244" t="str">
        <f>IF(
    OR(ISBLANK(S21), ISBLANK(T21)),
    "",
    MAX(
        1,
        IF(
            NETWORKDAYS(S21, T21, Holiday_Dates) &lt;= 0,
            1,
            NETWORKDAYS(S21, T21, Holiday_Dates) - IF(S21 = T21, 0, 1)
        )
    )
)</f>
        <v/>
      </c>
      <c r="Y21" s="244" t="str">
        <f>IFERROR(
    IF(
        OR(ISBLANK(S21), AND(ISBLANK(T21), ISBLANK(U21))),
        "",
        MAX(
            1,
            IF(
                NETWORKDAYS(IF(NOT(ISBLANK(U21)), U21, T21), U21, Holiday_Dates) &lt;= 0,
                1,
                NETWORKDAYS(IF(NOT(ISBLANK(U21)), U21, T21), U21, Holiday_Dates)
                - IF(IF(NOT(ISBLANK(U21)), U21, T21) = U21, 0, 1)
            )
        )
    ),
    ""
)</f>
        <v/>
      </c>
      <c r="Z21" s="244" t="str">
        <f t="shared" si="1"/>
        <v/>
      </c>
      <c r="AA21" s="6"/>
      <c r="AB21" s="9"/>
      <c r="AC21" s="6"/>
      <c r="AD21" s="6"/>
      <c r="AE21" s="6"/>
      <c r="AF21" s="6"/>
      <c r="AG21" s="45"/>
      <c r="AH21" s="9"/>
      <c r="AI21" s="9"/>
      <c r="AJ21" s="6"/>
      <c r="AK21" s="6"/>
      <c r="AL21" s="9"/>
      <c r="AM21" s="9"/>
      <c r="AN21" s="9"/>
      <c r="AO21" s="9"/>
      <c r="AP21" s="9"/>
      <c r="AQ21" s="6"/>
      <c r="AR21" s="9"/>
      <c r="AS21" s="9"/>
    </row>
    <row r="22" spans="1:45" ht="15" customHeight="1">
      <c r="A22" s="6" t="s">
        <v>49</v>
      </c>
      <c r="B22" s="6" t="s">
        <v>674</v>
      </c>
      <c r="C22" s="418" t="s">
        <v>675</v>
      </c>
      <c r="D22" s="9" t="s">
        <v>88</v>
      </c>
      <c r="E22" s="39" t="s">
        <v>224</v>
      </c>
      <c r="F22" s="9">
        <v>14.725394</v>
      </c>
      <c r="G22" s="9">
        <v>120.96915199999999</v>
      </c>
      <c r="H22" s="9" t="str">
        <f t="shared" si="0"/>
        <v>14.725394,120.969152</v>
      </c>
      <c r="I22" s="9" t="s">
        <v>122</v>
      </c>
      <c r="J22" s="9">
        <v>1</v>
      </c>
      <c r="K22" s="9">
        <v>2017</v>
      </c>
      <c r="L22" s="66">
        <v>460000</v>
      </c>
      <c r="M22" s="9" t="s">
        <v>227</v>
      </c>
      <c r="N22" s="9"/>
      <c r="O22" s="9" t="s">
        <v>128</v>
      </c>
      <c r="P22" s="548" t="s">
        <v>45</v>
      </c>
      <c r="Q22" s="9"/>
      <c r="R22" s="22"/>
      <c r="S22" s="22"/>
      <c r="T22" s="22"/>
      <c r="U22" s="22"/>
      <c r="V22" s="22"/>
      <c r="W22" s="244" t="str">
        <f>IFERROR(
    IF(
        OR(ISBLANK(R22), ISBLANK(S22)),
        "",
        MAX(
            1,
            IF(
                NETWORKDAYS(R22, S22, Holiday_Dates) &lt;= 0,
                1,
                NETWORKDAYS(R22, S22, Holiday_Dates) - IF(R22 = S22, 0, 1)
            )
        )
    ),
    ""
)</f>
        <v/>
      </c>
      <c r="X22" s="244" t="str">
        <f>IF(
    OR(ISBLANK(S22), ISBLANK(T22)),
    "",
    MAX(
        1,
        IF(
            NETWORKDAYS(S22, T22, Holiday_Dates) &lt;= 0,
            1,
            NETWORKDAYS(S22, T22, Holiday_Dates) - IF(S22 = T22, 0, 1)
        )
    )
)</f>
        <v/>
      </c>
      <c r="Y22" s="244" t="str">
        <f>IFERROR(
    IF(
        OR(ISBLANK(S22), AND(ISBLANK(T22), ISBLANK(U22))),
        "",
        MAX(
            1,
            IF(
                NETWORKDAYS(IF(NOT(ISBLANK(U22)), U22, T22), U22, Holiday_Dates) &lt;= 0,
                1,
                NETWORKDAYS(IF(NOT(ISBLANK(U22)), U22, T22), U22, Holiday_Dates)
                - IF(IF(NOT(ISBLANK(U22)), U22, T22) = U22, 0, 1)
            )
        )
    ),
    ""
)</f>
        <v/>
      </c>
      <c r="Z22" s="244" t="str">
        <f t="shared" si="1"/>
        <v/>
      </c>
      <c r="AA22" s="9"/>
      <c r="AB22" s="9"/>
      <c r="AC22" s="6"/>
      <c r="AD22" s="6"/>
      <c r="AE22" s="9"/>
      <c r="AF22" s="9"/>
      <c r="AG22" s="45"/>
      <c r="AH22" s="9"/>
      <c r="AI22" s="9"/>
      <c r="AJ22" s="6"/>
      <c r="AK22" s="6"/>
      <c r="AL22" s="9"/>
      <c r="AM22" s="9"/>
      <c r="AN22" s="9"/>
      <c r="AO22" s="9"/>
      <c r="AP22" s="9"/>
      <c r="AQ22" s="6"/>
      <c r="AR22" s="9"/>
      <c r="AS22" s="9"/>
    </row>
    <row r="23" spans="1:45">
      <c r="A23" s="6" t="s">
        <v>49</v>
      </c>
      <c r="B23" s="6" t="s">
        <v>497</v>
      </c>
      <c r="C23" s="6" t="s">
        <v>676</v>
      </c>
      <c r="D23" s="9" t="s">
        <v>88</v>
      </c>
      <c r="E23" s="39" t="s">
        <v>402</v>
      </c>
      <c r="F23" s="9">
        <v>14.742096999999999</v>
      </c>
      <c r="G23" s="9">
        <v>120.912244</v>
      </c>
      <c r="H23" s="9" t="str">
        <f t="shared" si="0"/>
        <v>14.742097,120.912244</v>
      </c>
      <c r="I23" s="9" t="s">
        <v>121</v>
      </c>
      <c r="J23" s="9">
        <v>2</v>
      </c>
      <c r="K23" s="9" t="s">
        <v>677</v>
      </c>
      <c r="L23" s="66" t="s">
        <v>678</v>
      </c>
      <c r="M23" s="9" t="s">
        <v>135</v>
      </c>
      <c r="N23" s="9"/>
      <c r="O23" s="9" t="s">
        <v>128</v>
      </c>
      <c r="P23" s="548" t="s">
        <v>45</v>
      </c>
      <c r="Q23" s="9"/>
      <c r="R23" s="22"/>
      <c r="S23" s="22"/>
      <c r="T23" s="22"/>
      <c r="U23" s="22"/>
      <c r="V23" s="22"/>
      <c r="W23" s="244" t="str">
        <f>IFERROR(
    IF(
        OR(ISBLANK(R23), ISBLANK(S23)),
        "",
        MAX(
            1,
            IF(
                NETWORKDAYS(R23, S23, Holiday_Dates) &lt;= 0,
                1,
                NETWORKDAYS(R23, S23, Holiday_Dates) - IF(R23 = S23, 0, 1)
            )
        )
    ),
    ""
)</f>
        <v/>
      </c>
      <c r="X23" s="244" t="str">
        <f>IF(
    OR(ISBLANK(S23), ISBLANK(T23)),
    "",
    MAX(
        1,
        IF(
            NETWORKDAYS(S23, T23, Holiday_Dates) &lt;= 0,
            1,
            NETWORKDAYS(S23, T23, Holiday_Dates) - IF(S23 = T23, 0, 1)
        )
    )
)</f>
        <v/>
      </c>
      <c r="Y23" s="244" t="str">
        <f>IFERROR(
    IF(
        OR(ISBLANK(S23), AND(ISBLANK(T23), ISBLANK(U23))),
        "",
        MAX(
            1,
            IF(
                NETWORKDAYS(IF(NOT(ISBLANK(U23)), U23, T23), U23, Holiday_Dates) &lt;= 0,
                1,
                NETWORKDAYS(IF(NOT(ISBLANK(U23)), U23, T23), U23, Holiday_Dates)
                - IF(IF(NOT(ISBLANK(U23)), U23, T23) = U23, 0, 1)
            )
        )
    ),
    ""
)</f>
        <v/>
      </c>
      <c r="Z23" s="244" t="str">
        <f t="shared" si="1"/>
        <v/>
      </c>
      <c r="AA23" s="6"/>
      <c r="AB23" s="9"/>
      <c r="AC23" s="6"/>
      <c r="AD23" s="6"/>
      <c r="AE23" s="9"/>
      <c r="AF23" s="9"/>
      <c r="AG23" s="45"/>
      <c r="AH23" s="9"/>
      <c r="AI23" s="9"/>
      <c r="AJ23" s="6"/>
      <c r="AK23" s="6"/>
      <c r="AL23" s="9"/>
      <c r="AM23" s="9"/>
      <c r="AN23" s="9"/>
      <c r="AO23" s="9"/>
      <c r="AP23" s="9"/>
      <c r="AQ23" s="6"/>
      <c r="AR23" s="9"/>
      <c r="AS23" s="9"/>
    </row>
    <row r="24" spans="1:45" ht="15" customHeight="1">
      <c r="A24" s="6" t="s">
        <v>50</v>
      </c>
      <c r="B24" s="6" t="s">
        <v>231</v>
      </c>
      <c r="C24" s="6" t="s">
        <v>679</v>
      </c>
      <c r="D24" s="9" t="s">
        <v>88</v>
      </c>
      <c r="E24" s="39" t="s">
        <v>213</v>
      </c>
      <c r="F24" s="9">
        <v>15.505076000000001</v>
      </c>
      <c r="G24" s="9">
        <v>120.949955</v>
      </c>
      <c r="H24" s="9" t="str">
        <f t="shared" si="0"/>
        <v>15.505076,120.949955</v>
      </c>
      <c r="I24" s="9" t="s">
        <v>121</v>
      </c>
      <c r="J24" s="9">
        <v>1</v>
      </c>
      <c r="K24" s="9">
        <v>2018</v>
      </c>
      <c r="L24" s="44">
        <v>475000</v>
      </c>
      <c r="M24" s="9" t="s">
        <v>141</v>
      </c>
      <c r="N24" s="9"/>
      <c r="O24" s="9" t="s">
        <v>130</v>
      </c>
      <c r="P24" s="548" t="s">
        <v>45</v>
      </c>
      <c r="Q24" s="9"/>
      <c r="R24" s="22"/>
      <c r="S24" s="22"/>
      <c r="T24" s="22"/>
      <c r="U24" s="22"/>
      <c r="V24" s="22"/>
      <c r="W24" s="244" t="str">
        <f>IFERROR(
    IF(
        OR(ISBLANK(R24), ISBLANK(S24)),
        "",
        MAX(
            1,
            IF(
                NETWORKDAYS(R24, S24, Holiday_Dates) &lt;= 0,
                1,
                NETWORKDAYS(R24, S24, Holiday_Dates) - IF(R24 = S24, 0, 1)
            )
        )
    ),
    ""
)</f>
        <v/>
      </c>
      <c r="X24" s="244" t="str">
        <f>IF(
    OR(ISBLANK(S24), ISBLANK(T24)),
    "",
    MAX(
        1,
        IF(
            NETWORKDAYS(S24, T24, Holiday_Dates) &lt;= 0,
            1,
            NETWORKDAYS(S24, T24, Holiday_Dates) - IF(S24 = T24, 0, 1)
        )
    )
)</f>
        <v/>
      </c>
      <c r="Y24" s="244" t="str">
        <f>IFERROR(
    IF(
        OR(ISBLANK(S24), AND(ISBLANK(T24), ISBLANK(U24))),
        "",
        MAX(
            1,
            IF(
                NETWORKDAYS(IF(NOT(ISBLANK(U24)), U24, T24), U24, Holiday_Dates) &lt;= 0,
                1,
                NETWORKDAYS(IF(NOT(ISBLANK(U24)), U24, T24), U24, Holiday_Dates)
                - IF(IF(NOT(ISBLANK(U24)), U24, T24) = U24, 0, 1)
            )
        )
    ),
    ""
)</f>
        <v/>
      </c>
      <c r="Z24" s="244" t="str">
        <f t="shared" si="1"/>
        <v/>
      </c>
      <c r="AA24" s="6"/>
      <c r="AB24" s="9"/>
      <c r="AC24" s="6"/>
      <c r="AD24" s="6"/>
      <c r="AE24" s="9"/>
      <c r="AF24" s="9"/>
      <c r="AG24" s="45"/>
      <c r="AH24" s="9"/>
      <c r="AI24" s="9"/>
      <c r="AJ24" s="6"/>
      <c r="AK24" s="6"/>
      <c r="AL24" s="9"/>
      <c r="AM24" s="9"/>
      <c r="AN24" s="9"/>
      <c r="AO24" s="9"/>
      <c r="AP24" s="9"/>
      <c r="AQ24" s="6"/>
      <c r="AR24" s="9"/>
      <c r="AS24" s="9"/>
    </row>
    <row r="25" spans="1:45" ht="15" customHeight="1">
      <c r="A25" s="6" t="s">
        <v>50</v>
      </c>
      <c r="B25" s="6" t="s">
        <v>514</v>
      </c>
      <c r="C25" s="6" t="s">
        <v>550</v>
      </c>
      <c r="D25" s="9" t="s">
        <v>88</v>
      </c>
      <c r="E25" s="39" t="s">
        <v>271</v>
      </c>
      <c r="F25" s="9">
        <v>15.704369</v>
      </c>
      <c r="G25" s="9">
        <v>121.047766</v>
      </c>
      <c r="H25" s="9" t="str">
        <f t="shared" si="0"/>
        <v>15.704369,121.047766</v>
      </c>
      <c r="I25" s="9" t="s">
        <v>121</v>
      </c>
      <c r="J25" s="9">
        <v>3</v>
      </c>
      <c r="K25" s="9" t="s">
        <v>680</v>
      </c>
      <c r="L25" s="44" t="s">
        <v>681</v>
      </c>
      <c r="M25" s="9" t="s">
        <v>26</v>
      </c>
      <c r="N25" s="9"/>
      <c r="O25" s="9" t="s">
        <v>130</v>
      </c>
      <c r="P25" s="548" t="s">
        <v>45</v>
      </c>
      <c r="Q25" s="356"/>
      <c r="R25" s="22"/>
      <c r="S25" s="22"/>
      <c r="T25" s="22"/>
      <c r="U25" s="22"/>
      <c r="V25" s="22"/>
      <c r="W25" s="244" t="str">
        <f>IFERROR(
    IF(
        OR(ISBLANK(R25), ISBLANK(S25)),
        "",
        MAX(
            1,
            IF(
                NETWORKDAYS(R25, S25, Holiday_Dates) &lt;= 0,
                1,
                NETWORKDAYS(R25, S25, Holiday_Dates) - IF(R25 = S25, 0, 1)
            )
        )
    ),
    ""
)</f>
        <v/>
      </c>
      <c r="X25" s="244" t="str">
        <f>IF(
    OR(ISBLANK(S25), ISBLANK(T25)),
    "",
    MAX(
        1,
        IF(
            NETWORKDAYS(S25, T25, Holiday_Dates) &lt;= 0,
            1,
            NETWORKDAYS(S25, T25, Holiday_Dates) - IF(S25 = T25, 0, 1)
        )
    )
)</f>
        <v/>
      </c>
      <c r="Y25" s="244" t="str">
        <f>IFERROR(
    IF(
        OR(ISBLANK(S25), AND(ISBLANK(T25), ISBLANK(U25))),
        "",
        MAX(
            1,
            IF(
                NETWORKDAYS(IF(NOT(ISBLANK(U25)), U25, T25), U25, Holiday_Dates) &lt;= 0,
                1,
                NETWORKDAYS(IF(NOT(ISBLANK(U25)), U25, T25), U25, Holiday_Dates)
                - IF(IF(NOT(ISBLANK(U25)), U25, T25) = U25, 0, 1)
            )
        )
    ),
    ""
)</f>
        <v/>
      </c>
      <c r="Z25" s="244" t="str">
        <f t="shared" si="1"/>
        <v/>
      </c>
      <c r="AA25" s="9"/>
      <c r="AB25" s="9"/>
      <c r="AC25" s="6"/>
      <c r="AD25" s="6"/>
      <c r="AE25" s="9"/>
      <c r="AF25" s="9"/>
      <c r="AG25" s="45"/>
      <c r="AH25" s="9"/>
      <c r="AI25" s="9"/>
      <c r="AJ25" s="6"/>
      <c r="AK25" s="6"/>
      <c r="AL25" s="9"/>
      <c r="AM25" s="9"/>
      <c r="AN25" s="9"/>
      <c r="AO25" s="9"/>
      <c r="AP25" s="9"/>
      <c r="AQ25" s="6"/>
      <c r="AR25" s="9"/>
      <c r="AS25" s="271"/>
    </row>
    <row r="26" spans="1:45" s="646" customFormat="1" ht="15" customHeight="1">
      <c r="A26" s="635" t="s">
        <v>50</v>
      </c>
      <c r="B26" s="635" t="s">
        <v>520</v>
      </c>
      <c r="C26" s="635" t="s">
        <v>682</v>
      </c>
      <c r="D26" s="636" t="s">
        <v>88</v>
      </c>
      <c r="E26" s="637" t="s">
        <v>224</v>
      </c>
      <c r="F26" s="636">
        <v>15.293813</v>
      </c>
      <c r="G26" s="636">
        <v>120.906358</v>
      </c>
      <c r="H26" s="636" t="str">
        <f t="shared" si="0"/>
        <v>15.293813,120.906358</v>
      </c>
      <c r="I26" s="636" t="s">
        <v>121</v>
      </c>
      <c r="J26" s="636">
        <v>1</v>
      </c>
      <c r="K26" s="636">
        <v>2019</v>
      </c>
      <c r="L26" s="638">
        <v>502714.29</v>
      </c>
      <c r="M26" s="636" t="s">
        <v>30</v>
      </c>
      <c r="N26" s="636"/>
      <c r="O26" s="636" t="s">
        <v>130</v>
      </c>
      <c r="P26" s="639" t="s">
        <v>45</v>
      </c>
      <c r="Q26" s="636" t="s">
        <v>683</v>
      </c>
      <c r="R26" s="640">
        <v>46057</v>
      </c>
      <c r="S26" s="640">
        <v>46058</v>
      </c>
      <c r="T26" s="640"/>
      <c r="U26" s="640">
        <v>46063</v>
      </c>
      <c r="V26" s="640"/>
      <c r="W26" s="641">
        <f>IFERROR(
    IF(
        OR(ISBLANK(R26), ISBLANK(S26)),
        "",
        MAX(
            1,
            IF(
                NETWORKDAYS(R26, S26, Holiday_Dates) &lt;= 0,
                1,
                NETWORKDAYS(R26, S26, Holiday_Dates) - IF(R26 = S26, 0, 1)
            )
        )
    ),
    ""
)</f>
        <v>1</v>
      </c>
      <c r="X26" s="641" t="str">
        <f>IF(
    OR(ISBLANK(S26), ISBLANK(T26)),
    "",
    MAX(
        1,
        IF(
            NETWORKDAYS(S26, T26, Holiday_Dates) &lt;= 0,
            1,
            NETWORKDAYS(S26, T26, Holiday_Dates) - IF(S26 = T26, 0, 1)
        )
    )
)</f>
        <v/>
      </c>
      <c r="Y26" s="641">
        <f>IFERROR(
    IF(
        OR(ISBLANK(S26), AND(ISBLANK(T26), ISBLANK(U26))),
        "",
        MAX(
            1,
            IF(
                NETWORKDAYS(IF(NOT(ISBLANK(U26)), U26, T26), U26, Holiday_Dates) &lt;= 0,
                1,
                NETWORKDAYS(IF(NOT(ISBLANK(U26)), U26, T26), U26, Holiday_Dates)
                - IF(IF(NOT(ISBLANK(U26)), U26, T26) = U26, 0, 1)
            )
        )
    ),
    ""
)</f>
        <v>1</v>
      </c>
      <c r="Z26" s="641" t="str">
        <f t="shared" si="1"/>
        <v/>
      </c>
      <c r="AA26" s="635"/>
      <c r="AB26" s="636">
        <v>9</v>
      </c>
      <c r="AC26" s="635"/>
      <c r="AD26" s="635" t="s">
        <v>684</v>
      </c>
      <c r="AE26" s="642">
        <v>3252.89</v>
      </c>
      <c r="AF26" s="638">
        <v>18543.599999999999</v>
      </c>
      <c r="AG26" s="643">
        <v>0.1754</v>
      </c>
      <c r="AH26" s="636" t="s">
        <v>101</v>
      </c>
      <c r="AI26" s="635" t="s">
        <v>685</v>
      </c>
      <c r="AJ26" s="635" t="s">
        <v>221</v>
      </c>
      <c r="AK26" s="635" t="s">
        <v>686</v>
      </c>
      <c r="AL26" s="644" t="s">
        <v>686</v>
      </c>
      <c r="AM26" s="636"/>
      <c r="AN26" s="636"/>
      <c r="AO26" s="636"/>
      <c r="AP26" s="636"/>
      <c r="AQ26" s="635"/>
      <c r="AR26" s="636"/>
      <c r="AS26" s="645"/>
    </row>
    <row r="27" spans="1:45" ht="15" customHeight="1">
      <c r="A27" s="6" t="s">
        <v>51</v>
      </c>
      <c r="B27" s="6" t="s">
        <v>534</v>
      </c>
      <c r="C27" s="6" t="s">
        <v>687</v>
      </c>
      <c r="D27" s="9" t="s">
        <v>88</v>
      </c>
      <c r="E27" s="7" t="s">
        <v>243</v>
      </c>
      <c r="F27" s="9">
        <v>15.259975000000001</v>
      </c>
      <c r="G27" s="9">
        <v>120.596369</v>
      </c>
      <c r="H27" s="9" t="str">
        <f t="shared" si="0"/>
        <v>15.259975,120.596369</v>
      </c>
      <c r="I27" s="9" t="s">
        <v>121</v>
      </c>
      <c r="J27" s="9">
        <v>1</v>
      </c>
      <c r="K27" s="9">
        <v>2013</v>
      </c>
      <c r="L27" s="9">
        <v>500000</v>
      </c>
      <c r="M27" s="9" t="s">
        <v>32</v>
      </c>
      <c r="N27" s="9"/>
      <c r="O27" s="9" t="s">
        <v>133</v>
      </c>
      <c r="P27" s="548" t="s">
        <v>45</v>
      </c>
      <c r="Q27" s="9" t="s">
        <v>688</v>
      </c>
      <c r="R27" s="22">
        <v>46091</v>
      </c>
      <c r="S27" s="22">
        <v>46094</v>
      </c>
      <c r="T27" s="22"/>
      <c r="U27" s="22">
        <v>46097</v>
      </c>
      <c r="V27" s="22"/>
      <c r="W27" s="244">
        <f>IFERROR(
    IF(
        OR(ISBLANK(R27), ISBLANK(S27)),
        "",
        MAX(
            1,
            IF(
                NETWORKDAYS(R27, S27, Holiday_Dates) &lt;= 0,
                1,
                NETWORKDAYS(R27, S27, Holiday_Dates) - IF(R27 = S27, 0, 1)
            )
        )
    ),
    ""
)</f>
        <v>3</v>
      </c>
      <c r="X27" s="244" t="str">
        <f>IF(
    OR(ISBLANK(S27), ISBLANK(T27)),
    "",
    MAX(
        1,
        IF(
            NETWORKDAYS(S27, T27, Holiday_Dates) &lt;= 0,
            1,
            NETWORKDAYS(S27, T27, Holiday_Dates) - IF(S27 = T27, 0, 1)
        )
    )
)</f>
        <v/>
      </c>
      <c r="Y27" s="244">
        <f>IFERROR(
    IF(
        OR(ISBLANK(S27), AND(ISBLANK(T27), ISBLANK(U27))),
        "",
        MAX(
            1,
            IF(
                NETWORKDAYS(IF(NOT(ISBLANK(U27)), U27, T27), U27, Holiday_Dates) &lt;= 0,
                1,
                NETWORKDAYS(IF(NOT(ISBLANK(U27)), U27, T27), U27, Holiday_Dates)
                - IF(IF(NOT(ISBLANK(U27)), U27, T27) = U27, 0, 1)
            )
        )
    ),
    ""
)</f>
        <v>1</v>
      </c>
      <c r="Z27" s="244" t="str">
        <f t="shared" si="1"/>
        <v/>
      </c>
      <c r="AA27" s="9"/>
      <c r="AB27" s="9">
        <v>27</v>
      </c>
      <c r="AC27" s="6" t="s">
        <v>689</v>
      </c>
      <c r="AD27" s="6" t="s">
        <v>684</v>
      </c>
      <c r="AE27" s="66">
        <v>111058.51</v>
      </c>
      <c r="AF27" s="66">
        <v>159635.63</v>
      </c>
      <c r="AG27" s="45">
        <v>76.67</v>
      </c>
      <c r="AH27" s="9" t="s">
        <v>101</v>
      </c>
      <c r="AI27" s="9"/>
      <c r="AJ27" s="6"/>
      <c r="AK27" s="6"/>
      <c r="AL27" s="9"/>
      <c r="AM27" s="9"/>
      <c r="AN27" s="9"/>
      <c r="AO27" s="9"/>
      <c r="AP27" s="9"/>
      <c r="AQ27" s="6"/>
      <c r="AR27" s="9"/>
      <c r="AS27" s="9"/>
    </row>
    <row r="28" spans="1:45" ht="27.75" customHeight="1">
      <c r="A28" s="6" t="s">
        <v>52</v>
      </c>
      <c r="B28" s="6" t="s">
        <v>318</v>
      </c>
      <c r="C28" s="6" t="s">
        <v>690</v>
      </c>
      <c r="D28" s="9" t="s">
        <v>88</v>
      </c>
      <c r="E28" s="7" t="s">
        <v>213</v>
      </c>
      <c r="F28" s="9">
        <v>15.42272</v>
      </c>
      <c r="G28" s="9">
        <v>120.708189</v>
      </c>
      <c r="H28" s="9" t="str">
        <f t="shared" si="0"/>
        <v>15.42272,120.708189</v>
      </c>
      <c r="I28" s="9" t="s">
        <v>121</v>
      </c>
      <c r="J28" s="9">
        <v>1</v>
      </c>
      <c r="K28" s="9">
        <v>2019</v>
      </c>
      <c r="L28" s="44">
        <v>502714.29</v>
      </c>
      <c r="M28" s="9" t="s">
        <v>39</v>
      </c>
      <c r="N28" s="9"/>
      <c r="O28" s="36" t="s">
        <v>28</v>
      </c>
      <c r="P28" s="548" t="s">
        <v>45</v>
      </c>
      <c r="Q28" s="9" t="s">
        <v>691</v>
      </c>
      <c r="R28" s="22">
        <v>46085</v>
      </c>
      <c r="S28" s="22">
        <v>46089</v>
      </c>
      <c r="T28" s="22"/>
      <c r="U28" s="22">
        <v>46090</v>
      </c>
      <c r="V28" s="22">
        <v>46090</v>
      </c>
      <c r="W28" s="244">
        <f>IFERROR(
    IF(
        OR(ISBLANK(R28), ISBLANK(S28)),
        "",
        MAX(
            1,
            IF(
                NETWORKDAYS(R28, S28, Holiday_Dates) &lt;= 0,
                1,
                NETWORKDAYS(R28, S28, Holiday_Dates) - IF(R28 = S28, 0, 1)
            )
        )
    ),
    ""
)</f>
        <v>2</v>
      </c>
      <c r="X28" s="244" t="str">
        <f>IF(
    OR(ISBLANK(S28), ISBLANK(T28)),
    "",
    MAX(
        1,
        IF(
            NETWORKDAYS(S28, T28, Holiday_Dates) &lt;= 0,
            1,
            NETWORKDAYS(S28, T28, Holiday_Dates) - IF(S28 = T28, 0, 1)
        )
    )
)</f>
        <v/>
      </c>
      <c r="Y28" s="244">
        <f>IFERROR(
    IF(
        OR(ISBLANK(S28), AND(ISBLANK(T28), ISBLANK(U28))),
        "",
        MAX(
            1,
            IF(
                NETWORKDAYS(IF(NOT(ISBLANK(U28)), U28, T28), U28, Holiday_Dates) &lt;= 0,
                1,
                NETWORKDAYS(IF(NOT(ISBLANK(U28)), U28, T28), U28, Holiday_Dates)
                - IF(IF(NOT(ISBLANK(U28)), U28, T28) = U28, 0, 1)
            )
        )
    ),
    ""
)</f>
        <v>1</v>
      </c>
      <c r="Z28" s="244">
        <f t="shared" si="1"/>
        <v>1</v>
      </c>
      <c r="AA28" s="9"/>
      <c r="AB28" s="9"/>
      <c r="AC28" s="6" t="s">
        <v>692</v>
      </c>
      <c r="AD28" s="6" t="s">
        <v>684</v>
      </c>
      <c r="AE28" s="9" t="s">
        <v>693</v>
      </c>
      <c r="AF28" s="44">
        <v>16802.72</v>
      </c>
      <c r="AG28" s="45" t="s">
        <v>693</v>
      </c>
      <c r="AH28" s="9" t="s">
        <v>101</v>
      </c>
      <c r="AI28" s="9"/>
      <c r="AJ28" s="6"/>
      <c r="AK28" s="6"/>
      <c r="AL28" s="9"/>
      <c r="AM28" s="9"/>
      <c r="AN28" s="9"/>
      <c r="AO28" s="9"/>
      <c r="AP28" s="9"/>
      <c r="AQ28" s="6"/>
      <c r="AR28" s="9"/>
      <c r="AS28" s="271"/>
    </row>
    <row r="29" spans="1:45">
      <c r="A29" s="6" t="s">
        <v>53</v>
      </c>
      <c r="B29" s="6" t="s">
        <v>552</v>
      </c>
      <c r="C29" s="6" t="s">
        <v>694</v>
      </c>
      <c r="D29" s="39" t="s">
        <v>89</v>
      </c>
      <c r="E29" s="32" t="s">
        <v>271</v>
      </c>
      <c r="F29" s="9">
        <v>15.016275</v>
      </c>
      <c r="G29" s="9">
        <v>120.087317</v>
      </c>
      <c r="H29" s="9" t="str">
        <f t="shared" si="0"/>
        <v>15.016275,120.087317</v>
      </c>
      <c r="I29" s="9" t="s">
        <v>121</v>
      </c>
      <c r="J29" s="9">
        <v>2</v>
      </c>
      <c r="K29" s="9" t="s">
        <v>695</v>
      </c>
      <c r="L29" s="44" t="s">
        <v>696</v>
      </c>
      <c r="M29" s="9" t="s">
        <v>697</v>
      </c>
      <c r="N29" s="9"/>
      <c r="O29" s="9" t="s">
        <v>133</v>
      </c>
      <c r="P29" s="548" t="s">
        <v>45</v>
      </c>
      <c r="Q29" s="9" t="s">
        <v>698</v>
      </c>
      <c r="R29" s="22">
        <v>46092</v>
      </c>
      <c r="S29" s="22">
        <v>46097</v>
      </c>
      <c r="T29" s="22"/>
      <c r="U29" s="22"/>
      <c r="V29" s="22"/>
      <c r="W29" s="244">
        <f>IFERROR(
    IF(
        OR(ISBLANK(R29), ISBLANK(S29)),
        "",
        MAX(
            1,
            IF(
                NETWORKDAYS(R29, S29, Holiday_Dates) &lt;= 0,
                1,
                NETWORKDAYS(R29, S29, Holiday_Dates) - IF(R29 = S29, 0, 1)
            )
        )
    ),
    ""
)</f>
        <v>3</v>
      </c>
      <c r="X29" s="244" t="str">
        <f>IF(
    OR(ISBLANK(S29), ISBLANK(T29)),
    "",
    MAX(
        1,
        IF(
            NETWORKDAYS(S29, T29, Holiday_Dates) &lt;= 0,
            1,
            NETWORKDAYS(S29, T29, Holiday_Dates) - IF(S29 = T29, 0, 1)
        )
    )
)</f>
        <v/>
      </c>
      <c r="Y29" s="244" t="str">
        <f>IFERROR(
    IF(
        OR(ISBLANK(S29), AND(ISBLANK(T29), ISBLANK(U29))),
        "",
        MAX(
            1,
            IF(
                NETWORKDAYS(IF(NOT(ISBLANK(U29)), U29, T29), U29, Holiday_Dates) &lt;= 0,
                1,
                NETWORKDAYS(IF(NOT(ISBLANK(U29)), U29, T29), U29, Holiday_Dates)
                - IF(IF(NOT(ISBLANK(U29)), U29, T29) = U29, 0, 1)
            )
        )
    ),
    ""
)</f>
        <v/>
      </c>
      <c r="Z29" s="244" t="str">
        <f t="shared" si="1"/>
        <v/>
      </c>
      <c r="AA29" s="9"/>
      <c r="AB29" s="9">
        <v>17</v>
      </c>
      <c r="AC29" s="6" t="s">
        <v>699</v>
      </c>
      <c r="AD29" s="6" t="s">
        <v>700</v>
      </c>
      <c r="AE29" s="9" t="s">
        <v>701</v>
      </c>
      <c r="AF29" s="9" t="s">
        <v>701</v>
      </c>
      <c r="AG29" s="45" t="s">
        <v>120</v>
      </c>
      <c r="AH29" s="9" t="s">
        <v>101</v>
      </c>
      <c r="AI29" s="9"/>
      <c r="AJ29" s="6"/>
      <c r="AK29" s="6"/>
      <c r="AL29" s="9"/>
      <c r="AM29" s="9"/>
      <c r="AN29" s="9"/>
      <c r="AO29" s="9"/>
      <c r="AP29" s="9"/>
      <c r="AQ29" s="6"/>
      <c r="AR29" s="9"/>
      <c r="AS29" s="271"/>
    </row>
    <row r="30" spans="1:45" ht="15" customHeight="1">
      <c r="A30" s="6" t="s">
        <v>47</v>
      </c>
      <c r="B30" s="6" t="s">
        <v>370</v>
      </c>
      <c r="C30" s="6" t="s">
        <v>702</v>
      </c>
      <c r="D30" s="39" t="s">
        <v>89</v>
      </c>
      <c r="E30" s="39" t="s">
        <v>259</v>
      </c>
      <c r="F30" s="9">
        <v>15.768186</v>
      </c>
      <c r="G30" s="9">
        <v>121.55754399999999</v>
      </c>
      <c r="H30" s="9" t="str">
        <f t="shared" si="0"/>
        <v>15.768186,121.557544</v>
      </c>
      <c r="I30" s="9" t="s">
        <v>122</v>
      </c>
      <c r="J30" s="9">
        <v>1</v>
      </c>
      <c r="K30" s="9">
        <v>2018</v>
      </c>
      <c r="L30" s="66">
        <v>427500</v>
      </c>
      <c r="M30" s="9" t="s">
        <v>13</v>
      </c>
      <c r="N30" s="9"/>
      <c r="O30" s="9" t="s">
        <v>128</v>
      </c>
      <c r="P30" s="9" t="s">
        <v>57</v>
      </c>
      <c r="Q30" s="9"/>
      <c r="R30" s="22"/>
      <c r="S30" s="22"/>
      <c r="T30" s="22"/>
      <c r="U30" s="22"/>
      <c r="V30" s="22"/>
      <c r="W30" s="244" t="str">
        <f>IFERROR(
    IF(
        OR(ISBLANK(R30), ISBLANK(S30)),
        "",
        MAX(
            1,
            IF(
                NETWORKDAYS(R30, S30, Holiday_Dates) &lt;= 0,
                1,
                NETWORKDAYS(R30, S30, Holiday_Dates) - IF(R30 = S30, 0, 1)
            )
        )
    ),
    ""
)</f>
        <v/>
      </c>
      <c r="X30" s="244" t="str">
        <f>IF(
    OR(ISBLANK(S30), ISBLANK(T30)),
    "",
    MAX(
        1,
        IF(
            NETWORKDAYS(S30, T30, Holiday_Dates) &lt;= 0,
            1,
            NETWORKDAYS(S30, T30, Holiday_Dates) - IF(S30 = T30, 0, 1)
        )
    )
)</f>
        <v/>
      </c>
      <c r="Y30" s="244" t="str">
        <f>IFERROR(
    IF(
        OR(ISBLANK(S30), AND(ISBLANK(T30), ISBLANK(U30))),
        "",
        MAX(
            1,
            IF(
                NETWORKDAYS(IF(NOT(ISBLANK(U30)), U30, T30), U30, Holiday_Dates) &lt;= 0,
                1,
                NETWORKDAYS(IF(NOT(ISBLANK(U30)), U30, T30), U30, Holiday_Dates)
                - IF(IF(NOT(ISBLANK(U30)), U30, T30) = U30, 0, 1)
            )
        )
    ),
    ""
)</f>
        <v/>
      </c>
      <c r="Z30" s="244" t="str">
        <f t="shared" si="1"/>
        <v/>
      </c>
      <c r="AA30" s="6"/>
      <c r="AB30" s="9"/>
      <c r="AC30" s="6"/>
      <c r="AD30" s="6"/>
      <c r="AE30" s="9"/>
      <c r="AF30" s="9"/>
      <c r="AG30" s="45"/>
      <c r="AH30" s="9"/>
      <c r="AI30" s="9"/>
      <c r="AJ30" s="6"/>
      <c r="AK30" s="6"/>
      <c r="AL30" s="9"/>
      <c r="AM30" s="9"/>
      <c r="AN30" s="9"/>
      <c r="AO30" s="9"/>
      <c r="AP30" s="9"/>
      <c r="AQ30" s="6"/>
      <c r="AR30" s="9"/>
      <c r="AS30" s="271"/>
    </row>
    <row r="31" spans="1:45" ht="114" customHeight="1">
      <c r="A31" s="6" t="s">
        <v>47</v>
      </c>
      <c r="B31" s="6" t="s">
        <v>334</v>
      </c>
      <c r="C31" s="6" t="s">
        <v>703</v>
      </c>
      <c r="D31" s="39" t="s">
        <v>89</v>
      </c>
      <c r="E31" s="39" t="s">
        <v>259</v>
      </c>
      <c r="F31" s="9">
        <v>16.288091000000001</v>
      </c>
      <c r="G31" s="9">
        <v>122.122282</v>
      </c>
      <c r="H31" s="9" t="str">
        <f t="shared" si="0"/>
        <v>16.288091,122.122282</v>
      </c>
      <c r="I31" s="9" t="s">
        <v>121</v>
      </c>
      <c r="J31" s="9">
        <v>1</v>
      </c>
      <c r="K31" s="9">
        <v>2019</v>
      </c>
      <c r="L31" s="44">
        <v>502714.29</v>
      </c>
      <c r="M31" s="9" t="s">
        <v>335</v>
      </c>
      <c r="N31" s="9"/>
      <c r="O31" s="9" t="s">
        <v>128</v>
      </c>
      <c r="P31" s="9" t="s">
        <v>57</v>
      </c>
      <c r="Q31" s="9"/>
      <c r="R31" s="22"/>
      <c r="S31" s="22"/>
      <c r="T31" s="22"/>
      <c r="U31" s="22"/>
      <c r="V31" s="22"/>
      <c r="W31" s="244" t="str">
        <f>IFERROR(
    IF(
        OR(ISBLANK(R31), ISBLANK(S31)),
        "",
        MAX(
            1,
            IF(
                NETWORKDAYS(R31, S31, Holiday_Dates) &lt;= 0,
                1,
                NETWORKDAYS(R31, S31, Holiday_Dates) - IF(R31 = S31, 0, 1)
            )
        )
    ),
    ""
)</f>
        <v/>
      </c>
      <c r="X31" s="244" t="str">
        <f>IF(
    OR(ISBLANK(S31), ISBLANK(T31)),
    "",
    MAX(
        1,
        IF(
            NETWORKDAYS(S31, T31, Holiday_Dates) &lt;= 0,
            1,
            NETWORKDAYS(S31, T31, Holiday_Dates) - IF(S31 = T31, 0, 1)
        )
    )
)</f>
        <v/>
      </c>
      <c r="Y31" s="244" t="str">
        <f>IFERROR(
    IF(
        OR(ISBLANK(S31), AND(ISBLANK(T31), ISBLANK(U31))),
        "",
        MAX(
            1,
            IF(
                NETWORKDAYS(IF(NOT(ISBLANK(U31)), U31, T31), U31, Holiday_Dates) &lt;= 0,
                1,
                NETWORKDAYS(IF(NOT(ISBLANK(U31)), U31, T31), U31, Holiday_Dates)
                - IF(IF(NOT(ISBLANK(U31)), U31, T31) = U31, 0, 1)
            )
        )
    ),
    ""
)</f>
        <v/>
      </c>
      <c r="Z31" s="244" t="str">
        <f t="shared" si="1"/>
        <v/>
      </c>
      <c r="AA31" s="9"/>
      <c r="AB31" s="9"/>
      <c r="AC31" s="6"/>
      <c r="AD31" s="6"/>
      <c r="AE31" s="6"/>
      <c r="AF31" s="6"/>
      <c r="AG31" s="45"/>
      <c r="AH31" s="9"/>
      <c r="AI31" s="6"/>
      <c r="AJ31" s="6"/>
      <c r="AK31" s="6"/>
      <c r="AL31" s="9"/>
      <c r="AM31" s="9"/>
      <c r="AN31" s="9"/>
      <c r="AO31" s="9"/>
      <c r="AP31" s="9"/>
      <c r="AQ31" s="6"/>
      <c r="AR31" s="9"/>
      <c r="AS31" s="9"/>
    </row>
    <row r="32" spans="1:45">
      <c r="A32" s="6" t="s">
        <v>47</v>
      </c>
      <c r="B32" s="6" t="s">
        <v>258</v>
      </c>
      <c r="C32" s="6" t="s">
        <v>704</v>
      </c>
      <c r="D32" s="39" t="s">
        <v>89</v>
      </c>
      <c r="E32" s="39" t="s">
        <v>259</v>
      </c>
      <c r="F32" s="9">
        <v>15.814859999999999</v>
      </c>
      <c r="G32" s="9">
        <v>121.48000999999999</v>
      </c>
      <c r="H32" s="9" t="str">
        <f t="shared" si="0"/>
        <v>15.81486,121.48001</v>
      </c>
      <c r="I32" s="9" t="s">
        <v>121</v>
      </c>
      <c r="J32" s="9">
        <v>1</v>
      </c>
      <c r="K32" s="9">
        <v>2020</v>
      </c>
      <c r="L32" s="66">
        <v>190000</v>
      </c>
      <c r="M32" s="9" t="s">
        <v>14</v>
      </c>
      <c r="N32" s="9"/>
      <c r="O32" s="9" t="s">
        <v>128</v>
      </c>
      <c r="P32" s="274" t="s">
        <v>57</v>
      </c>
      <c r="Q32" s="9"/>
      <c r="R32" s="48"/>
      <c r="S32" s="22"/>
      <c r="T32" s="22"/>
      <c r="U32" s="22"/>
      <c r="V32" s="22"/>
      <c r="W32" s="244"/>
      <c r="X32" s="244"/>
      <c r="Y32" s="244"/>
      <c r="Z32" s="244"/>
      <c r="AA32" s="9"/>
      <c r="AB32" s="9"/>
      <c r="AC32" s="6"/>
      <c r="AD32" s="6"/>
      <c r="AE32" s="44"/>
      <c r="AF32" s="44"/>
      <c r="AG32" s="45"/>
      <c r="AH32" s="9"/>
      <c r="AI32" s="9"/>
      <c r="AJ32" s="6"/>
      <c r="AK32" s="6"/>
      <c r="AL32" s="9"/>
      <c r="AM32" s="9"/>
      <c r="AN32" s="9"/>
      <c r="AO32" s="9"/>
      <c r="AP32" s="9"/>
      <c r="AQ32" s="6"/>
      <c r="AR32" s="9"/>
      <c r="AS32" s="9"/>
    </row>
    <row r="33" spans="1:45">
      <c r="A33" s="6" t="s">
        <v>48</v>
      </c>
      <c r="B33" s="6" t="s">
        <v>212</v>
      </c>
      <c r="C33" s="6" t="s">
        <v>705</v>
      </c>
      <c r="D33" s="9" t="s">
        <v>88</v>
      </c>
      <c r="E33" s="39" t="s">
        <v>213</v>
      </c>
      <c r="F33" s="9">
        <v>14.915296</v>
      </c>
      <c r="G33" s="9">
        <v>120.45313299999999</v>
      </c>
      <c r="H33" s="9" t="str">
        <f t="shared" si="0"/>
        <v>14.915296,120.453133</v>
      </c>
      <c r="I33" s="9" t="s">
        <v>121</v>
      </c>
      <c r="J33" s="9">
        <v>1</v>
      </c>
      <c r="K33" s="9">
        <v>2015</v>
      </c>
      <c r="L33" s="9">
        <v>500000</v>
      </c>
      <c r="M33" s="9" t="s">
        <v>217</v>
      </c>
      <c r="N33" s="9"/>
      <c r="O33" s="9" t="s">
        <v>129</v>
      </c>
      <c r="P33" s="9" t="s">
        <v>57</v>
      </c>
      <c r="Q33" s="6"/>
      <c r="R33" s="22"/>
      <c r="S33" s="22"/>
      <c r="T33" s="22"/>
      <c r="U33" s="22"/>
      <c r="V33" s="22"/>
      <c r="W33" s="244" t="str">
        <f>IFERROR(
    IF(
        OR(ISBLANK(R33), ISBLANK(S33)),
        "",
        MAX(
            1,
            IF(
                NETWORKDAYS(R33, S33, Holiday_Dates) &lt;= 0,
                1,
                NETWORKDAYS(R33, S33, Holiday_Dates) - IF(R33 = S33, 0, 1)
            )
        )
    ),
    ""
)</f>
        <v/>
      </c>
      <c r="X33" s="244" t="str">
        <f>IF(
    OR(ISBLANK(S33), ISBLANK(T33)),
    "",
    MAX(
        1,
        IF(
            NETWORKDAYS(S33, T33, Holiday_Dates) &lt;= 0,
            1,
            NETWORKDAYS(S33, T33, Holiday_Dates) - IF(S33 = T33, 0, 1)
        )
    )
)</f>
        <v/>
      </c>
      <c r="Y33" s="244" t="str">
        <f>IFERROR(
    IF(
        OR(ISBLANK(S33), AND(ISBLANK(T33), ISBLANK(U33))),
        "",
        MAX(
            1,
            IF(
                NETWORKDAYS(IF(NOT(ISBLANK(U33)), U33, T33), U33, Holiday_Dates) &lt;= 0,
                1,
                NETWORKDAYS(IF(NOT(ISBLANK(U33)), U33, T33), U33, Holiday_Dates)
                - IF(IF(NOT(ISBLANK(U33)), U33, T33) = U33, 0, 1)
            )
        )
    ),
    ""
)</f>
        <v/>
      </c>
      <c r="Z33" s="244" t="str">
        <f t="shared" ref="Z33:Z67" si="2">IF(
    OR(ISBLANK(U33), ISBLANK(V33)),
    "",
    MAX(1, IF(
        NETWORKDAYS(U33, V33) &lt;= 0,
        1,
        NETWORKDAYS(U33, V33) - IF(U33 = V33, 0, 1)
    ))
)</f>
        <v/>
      </c>
      <c r="AA33" s="9"/>
      <c r="AB33" s="9"/>
      <c r="AC33" s="6"/>
      <c r="AD33" s="6"/>
      <c r="AE33" s="9"/>
      <c r="AF33" s="44"/>
      <c r="AG33" s="45"/>
      <c r="AH33" s="9"/>
      <c r="AI33" s="9"/>
      <c r="AJ33" s="6"/>
      <c r="AK33" s="6"/>
      <c r="AL33" s="294"/>
      <c r="AM33" s="9"/>
      <c r="AN33" s="9"/>
      <c r="AO33" s="9"/>
      <c r="AP33" s="9"/>
      <c r="AQ33" s="6"/>
      <c r="AR33" s="9"/>
      <c r="AS33" s="9"/>
    </row>
    <row r="34" spans="1:45" ht="15" customHeight="1">
      <c r="A34" s="6" t="s">
        <v>48</v>
      </c>
      <c r="B34" s="6" t="s">
        <v>482</v>
      </c>
      <c r="C34" s="6" t="s">
        <v>706</v>
      </c>
      <c r="D34" s="9" t="s">
        <v>88</v>
      </c>
      <c r="E34" s="39" t="s">
        <v>271</v>
      </c>
      <c r="F34" s="9">
        <v>14.569686000000001</v>
      </c>
      <c r="G34" s="9">
        <v>120.551528</v>
      </c>
      <c r="H34" s="9" t="str">
        <f t="shared" ref="H34:H65" si="3">CONCATENATE(F34,",",G34)</f>
        <v>14.569686,120.551528</v>
      </c>
      <c r="I34" s="9" t="s">
        <v>121</v>
      </c>
      <c r="J34" s="9">
        <v>1</v>
      </c>
      <c r="K34" s="9">
        <v>2019</v>
      </c>
      <c r="L34" s="9">
        <v>502714.29</v>
      </c>
      <c r="M34" s="9" t="s">
        <v>273</v>
      </c>
      <c r="N34" s="9"/>
      <c r="O34" s="9" t="s">
        <v>129</v>
      </c>
      <c r="P34" s="9" t="s">
        <v>57</v>
      </c>
      <c r="Q34" s="9"/>
      <c r="R34" s="22"/>
      <c r="S34" s="22"/>
      <c r="T34" s="22"/>
      <c r="U34" s="22"/>
      <c r="V34" s="22"/>
      <c r="W34" s="244" t="str">
        <f>IFERROR(
    IF(
        OR(ISBLANK(R34), ISBLANK(S34)),
        "",
        MAX(
            1,
            IF(
                NETWORKDAYS(R34, S34, Holiday_Dates) &lt;= 0,
                1,
                NETWORKDAYS(R34, S34, Holiday_Dates) - IF(R34 = S34, 0, 1)
            )
        )
    ),
    ""
)</f>
        <v/>
      </c>
      <c r="X34" s="244" t="str">
        <f>IF(
    OR(ISBLANK(S34), ISBLANK(T34)),
    "",
    MAX(
        1,
        IF(
            NETWORKDAYS(S34, T34, Holiday_Dates) &lt;= 0,
            1,
            NETWORKDAYS(S34, T34, Holiday_Dates) - IF(S34 = T34, 0, 1)
        )
    )
)</f>
        <v/>
      </c>
      <c r="Y34" s="244" t="str">
        <f>IFERROR(
    IF(
        OR(ISBLANK(S34), AND(ISBLANK(T34), ISBLANK(U34))),
        "",
        MAX(
            1,
            IF(
                NETWORKDAYS(IF(NOT(ISBLANK(U34)), U34, T34), U34, Holiday_Dates) &lt;= 0,
                1,
                NETWORKDAYS(IF(NOT(ISBLANK(U34)), U34, T34), U34, Holiday_Dates)
                - IF(IF(NOT(ISBLANK(U34)), U34, T34) = U34, 0, 1)
            )
        )
    ),
    ""
)</f>
        <v/>
      </c>
      <c r="Z34" s="244" t="str">
        <f t="shared" si="2"/>
        <v/>
      </c>
      <c r="AA34" s="9"/>
      <c r="AB34" s="9"/>
      <c r="AC34" s="6"/>
      <c r="AD34" s="6"/>
      <c r="AE34" s="9"/>
      <c r="AF34" s="9"/>
      <c r="AG34" s="45"/>
      <c r="AH34" s="9"/>
      <c r="AI34" s="6"/>
      <c r="AJ34" s="6"/>
      <c r="AK34" s="6"/>
      <c r="AL34" s="9"/>
      <c r="AM34" s="9"/>
      <c r="AN34" s="9"/>
      <c r="AO34" s="9"/>
      <c r="AP34" s="9"/>
      <c r="AQ34" s="6"/>
      <c r="AR34" s="9"/>
      <c r="AS34" s="9"/>
    </row>
    <row r="35" spans="1:45" ht="61.5" customHeight="1">
      <c r="A35" s="6" t="s">
        <v>49</v>
      </c>
      <c r="B35" s="6" t="s">
        <v>707</v>
      </c>
      <c r="C35" s="6" t="s">
        <v>708</v>
      </c>
      <c r="D35" s="9" t="s">
        <v>88</v>
      </c>
      <c r="E35" s="39" t="s">
        <v>402</v>
      </c>
      <c r="F35" s="9">
        <v>14.807480999999999</v>
      </c>
      <c r="G35" s="9">
        <v>120.94629399999999</v>
      </c>
      <c r="H35" s="9" t="str">
        <f t="shared" si="3"/>
        <v>14.807481,120.946294</v>
      </c>
      <c r="I35" s="9" t="s">
        <v>121</v>
      </c>
      <c r="J35" s="9">
        <v>2</v>
      </c>
      <c r="K35" s="9" t="s">
        <v>709</v>
      </c>
      <c r="L35" s="66" t="s">
        <v>710</v>
      </c>
      <c r="M35" s="9" t="s">
        <v>135</v>
      </c>
      <c r="N35" s="9"/>
      <c r="O35" s="9" t="s">
        <v>128</v>
      </c>
      <c r="P35" s="9" t="s">
        <v>57</v>
      </c>
      <c r="Q35" s="283"/>
      <c r="R35" s="22"/>
      <c r="S35" s="22"/>
      <c r="T35" s="22"/>
      <c r="U35" s="22"/>
      <c r="V35" s="22"/>
      <c r="W35" s="244" t="str">
        <f>IFERROR(
    IF(
        OR(ISBLANK(R35), ISBLANK(S35)),
        "",
        MAX(
            1,
            IF(
                NETWORKDAYS(R35, S35, Holiday_Dates) &lt;= 0,
                1,
                NETWORKDAYS(R35, S35, Holiday_Dates) - IF(R35 = S35, 0, 1)
            )
        )
    ),
    ""
)</f>
        <v/>
      </c>
      <c r="X35" s="244" t="str">
        <f>IF(
    OR(ISBLANK(S35), ISBLANK(T35)),
    "",
    MAX(
        1,
        IF(
            NETWORKDAYS(S35, T35, Holiday_Dates) &lt;= 0,
            1,
            NETWORKDAYS(S35, T35, Holiday_Dates) - IF(S35 = T35, 0, 1)
        )
    )
)</f>
        <v/>
      </c>
      <c r="Y35" s="244" t="str">
        <f>IFERROR(
    IF(
        OR(ISBLANK(S35), AND(ISBLANK(T35), ISBLANK(U35))),
        "",
        MAX(
            1,
            IF(
                NETWORKDAYS(IF(NOT(ISBLANK(U35)), U35, T35), U35, Holiday_Dates) &lt;= 0,
                1,
                NETWORKDAYS(IF(NOT(ISBLANK(U35)), U35, T35), U35, Holiday_Dates)
                - IF(IF(NOT(ISBLANK(U35)), U35, T35) = U35, 0, 1)
            )
        )
    ),
    ""
)</f>
        <v/>
      </c>
      <c r="Z35" s="244" t="str">
        <f t="shared" si="2"/>
        <v/>
      </c>
      <c r="AA35" s="9"/>
      <c r="AB35" s="9"/>
      <c r="AC35" s="6"/>
      <c r="AD35" s="6"/>
      <c r="AE35" s="9"/>
      <c r="AF35" s="9"/>
      <c r="AG35" s="45"/>
      <c r="AH35" s="9"/>
      <c r="AI35" s="6"/>
      <c r="AJ35" s="6"/>
      <c r="AK35" s="6"/>
      <c r="AL35" s="9"/>
      <c r="AM35" s="9"/>
      <c r="AN35" s="9"/>
      <c r="AO35" s="9"/>
      <c r="AP35" s="9"/>
      <c r="AQ35" s="6"/>
      <c r="AR35" s="9"/>
      <c r="AS35" s="9"/>
    </row>
    <row r="36" spans="1:45">
      <c r="A36" s="6" t="s">
        <v>49</v>
      </c>
      <c r="B36" s="6" t="s">
        <v>492</v>
      </c>
      <c r="C36" s="6" t="s">
        <v>711</v>
      </c>
      <c r="D36" s="9" t="s">
        <v>88</v>
      </c>
      <c r="E36" s="39" t="s">
        <v>243</v>
      </c>
      <c r="F36" s="9">
        <v>14.909181999999999</v>
      </c>
      <c r="G36" s="9">
        <v>120.753781</v>
      </c>
      <c r="H36" s="9" t="str">
        <f t="shared" si="3"/>
        <v>14.909182,120.753781</v>
      </c>
      <c r="I36" s="9" t="s">
        <v>121</v>
      </c>
      <c r="J36" s="9">
        <v>1</v>
      </c>
      <c r="K36" s="9">
        <v>2013</v>
      </c>
      <c r="L36" s="66">
        <v>500000</v>
      </c>
      <c r="M36" s="9" t="s">
        <v>344</v>
      </c>
      <c r="N36" s="9"/>
      <c r="O36" s="9" t="s">
        <v>128</v>
      </c>
      <c r="P36" s="9" t="s">
        <v>57</v>
      </c>
      <c r="Q36" s="9"/>
      <c r="R36" s="22"/>
      <c r="S36" s="22"/>
      <c r="T36" s="22"/>
      <c r="U36" s="22"/>
      <c r="V36" s="22"/>
      <c r="W36" s="244" t="str">
        <f>IFERROR(
    IF(
        OR(ISBLANK(R36), ISBLANK(S36)),
        "",
        MAX(
            1,
            IF(
                NETWORKDAYS(R36, S36, Holiday_Dates) &lt;= 0,
                1,
                NETWORKDAYS(R36, S36, Holiday_Dates) - IF(R36 = S36, 0, 1)
            )
        )
    ),
    ""
)</f>
        <v/>
      </c>
      <c r="X36" s="244" t="str">
        <f>IF(
    OR(ISBLANK(S36), ISBLANK(T36)),
    "",
    MAX(
        1,
        IF(
            NETWORKDAYS(S36, T36, Holiday_Dates) &lt;= 0,
            1,
            NETWORKDAYS(S36, T36, Holiday_Dates) - IF(S36 = T36, 0, 1)
        )
    )
)</f>
        <v/>
      </c>
      <c r="Y36" s="244" t="str">
        <f>IFERROR(
    IF(
        OR(ISBLANK(S36), AND(ISBLANK(T36), ISBLANK(U36))),
        "",
        MAX(
            1,
            IF(
                NETWORKDAYS(IF(NOT(ISBLANK(U36)), U36, T36), U36, Holiday_Dates) &lt;= 0,
                1,
                NETWORKDAYS(IF(NOT(ISBLANK(U36)), U36, T36), U36, Holiday_Dates)
                - IF(IF(NOT(ISBLANK(U36)), U36, T36) = U36, 0, 1)
            )
        )
    ),
    ""
)</f>
        <v/>
      </c>
      <c r="Z36" s="244" t="str">
        <f t="shared" si="2"/>
        <v/>
      </c>
      <c r="AA36" s="6"/>
      <c r="AB36" s="9"/>
      <c r="AC36" s="6"/>
      <c r="AD36" s="6"/>
      <c r="AE36" s="9"/>
      <c r="AF36" s="9"/>
      <c r="AG36" s="45"/>
      <c r="AH36" s="9"/>
      <c r="AI36" s="9"/>
      <c r="AJ36" s="6"/>
      <c r="AK36" s="6"/>
      <c r="AL36" s="9"/>
      <c r="AM36" s="9"/>
      <c r="AN36" s="9"/>
      <c r="AO36" s="9"/>
      <c r="AP36" s="9"/>
      <c r="AQ36" s="6"/>
      <c r="AR36" s="9"/>
      <c r="AS36" s="9"/>
    </row>
    <row r="37" spans="1:45" ht="15" customHeight="1">
      <c r="A37" s="6" t="s">
        <v>49</v>
      </c>
      <c r="B37" s="6" t="s">
        <v>437</v>
      </c>
      <c r="C37" s="6" t="s">
        <v>669</v>
      </c>
      <c r="D37" s="9" t="s">
        <v>88</v>
      </c>
      <c r="E37" s="39" t="s">
        <v>224</v>
      </c>
      <c r="F37" s="9">
        <v>14.904674999999999</v>
      </c>
      <c r="G37" s="9">
        <v>120.971828</v>
      </c>
      <c r="H37" s="9" t="str">
        <f t="shared" si="3"/>
        <v>14.904675,120.971828</v>
      </c>
      <c r="I37" s="9" t="s">
        <v>121</v>
      </c>
      <c r="J37" s="9">
        <v>2</v>
      </c>
      <c r="K37" s="9" t="s">
        <v>712</v>
      </c>
      <c r="L37" s="44" t="s">
        <v>713</v>
      </c>
      <c r="M37" s="9" t="s">
        <v>227</v>
      </c>
      <c r="N37" s="9"/>
      <c r="O37" s="9" t="s">
        <v>128</v>
      </c>
      <c r="P37" s="9" t="s">
        <v>57</v>
      </c>
      <c r="Q37" s="9"/>
      <c r="R37" s="22"/>
      <c r="S37" s="22"/>
      <c r="T37" s="22"/>
      <c r="U37" s="22"/>
      <c r="V37" s="22"/>
      <c r="W37" s="244" t="str">
        <f>IFERROR(
    IF(
        OR(ISBLANK(R37), ISBLANK(S37)),
        "",
        MAX(
            1,
            IF(
                NETWORKDAYS(R37, S37, Holiday_Dates) &lt;= 0,
                1,
                NETWORKDAYS(R37, S37, Holiday_Dates) - IF(R37 = S37, 0, 1)
            )
        )
    ),
    ""
)</f>
        <v/>
      </c>
      <c r="X37" s="244" t="str">
        <f>IF(
    OR(ISBLANK(S37), ISBLANK(T37)),
    "",
    MAX(
        1,
        IF(
            NETWORKDAYS(S37, T37, Holiday_Dates) &lt;= 0,
            1,
            NETWORKDAYS(S37, T37, Holiday_Dates) - IF(S37 = T37, 0, 1)
        )
    )
)</f>
        <v/>
      </c>
      <c r="Y37" s="244" t="str">
        <f>IFERROR(
    IF(
        OR(ISBLANK(S37), AND(ISBLANK(T37), ISBLANK(U37))),
        "",
        MAX(
            1,
            IF(
                NETWORKDAYS(IF(NOT(ISBLANK(U37)), U37, T37), U37, Holiday_Dates) &lt;= 0,
                1,
                NETWORKDAYS(IF(NOT(ISBLANK(U37)), U37, T37), U37, Holiday_Dates)
                - IF(IF(NOT(ISBLANK(U37)), U37, T37) = U37, 0, 1)
            )
        )
    ),
    ""
)</f>
        <v/>
      </c>
      <c r="Z37" s="244" t="str">
        <f t="shared" si="2"/>
        <v/>
      </c>
      <c r="AA37" s="3"/>
      <c r="AB37" s="9"/>
      <c r="AC37" s="6"/>
      <c r="AD37" s="6"/>
      <c r="AE37" s="9"/>
      <c r="AF37" s="9"/>
      <c r="AG37" s="45"/>
      <c r="AH37" s="9"/>
      <c r="AI37" s="9"/>
      <c r="AJ37" s="6"/>
      <c r="AK37" s="6"/>
      <c r="AL37" s="9"/>
      <c r="AM37" s="9"/>
      <c r="AN37" s="9"/>
      <c r="AO37" s="9"/>
      <c r="AP37" s="9"/>
      <c r="AQ37" s="6"/>
      <c r="AR37" s="9"/>
      <c r="AS37" s="9"/>
    </row>
    <row r="38" spans="1:45" ht="15" customHeight="1">
      <c r="A38" s="6" t="s">
        <v>50</v>
      </c>
      <c r="B38" s="6" t="s">
        <v>295</v>
      </c>
      <c r="C38" s="6" t="s">
        <v>714</v>
      </c>
      <c r="D38" s="9" t="s">
        <v>88</v>
      </c>
      <c r="E38" s="39" t="s">
        <v>271</v>
      </c>
      <c r="F38" s="9">
        <v>15.872605999999999</v>
      </c>
      <c r="G38" s="9">
        <v>120.896519</v>
      </c>
      <c r="H38" s="9" t="str">
        <f t="shared" si="3"/>
        <v>15.872606,120.896519</v>
      </c>
      <c r="I38" s="9" t="s">
        <v>121</v>
      </c>
      <c r="J38" s="9">
        <v>1</v>
      </c>
      <c r="K38" s="9">
        <v>2019</v>
      </c>
      <c r="L38" s="44">
        <v>502714.29</v>
      </c>
      <c r="M38" s="9" t="s">
        <v>29</v>
      </c>
      <c r="N38" s="9"/>
      <c r="O38" s="9" t="s">
        <v>130</v>
      </c>
      <c r="P38" s="9" t="s">
        <v>57</v>
      </c>
      <c r="Q38" s="9"/>
      <c r="R38" s="22"/>
      <c r="S38" s="22"/>
      <c r="T38" s="22"/>
      <c r="U38" s="22"/>
      <c r="V38" s="22"/>
      <c r="W38" s="244" t="str">
        <f>IFERROR(
    IF(
        OR(ISBLANK(R38), ISBLANK(S38)),
        "",
        MAX(
            1,
            IF(
                NETWORKDAYS(R38, S38, Holiday_Dates) &lt;= 0,
                1,
                NETWORKDAYS(R38, S38, Holiday_Dates) - IF(R38 = S38, 0, 1)
            )
        )
    ),
    ""
)</f>
        <v/>
      </c>
      <c r="X38" s="244" t="str">
        <f>IF(
    OR(ISBLANK(S38), ISBLANK(T38)),
    "",
    MAX(
        1,
        IF(
            NETWORKDAYS(S38, T38, Holiday_Dates) &lt;= 0,
            1,
            NETWORKDAYS(S38, T38, Holiday_Dates) - IF(S38 = T38, 0, 1)
        )
    )
)</f>
        <v/>
      </c>
      <c r="Y38" s="244" t="str">
        <f>IFERROR(
    IF(
        OR(ISBLANK(S38), AND(ISBLANK(T38), ISBLANK(U38))),
        "",
        MAX(
            1,
            IF(
                NETWORKDAYS(IF(NOT(ISBLANK(U38)), U38, T38), U38, Holiday_Dates) &lt;= 0,
                1,
                NETWORKDAYS(IF(NOT(ISBLANK(U38)), U38, T38), U38, Holiday_Dates)
                - IF(IF(NOT(ISBLANK(U38)), U38, T38) = U38, 0, 1)
            )
        )
    ),
    ""
)</f>
        <v/>
      </c>
      <c r="Z38" s="244" t="str">
        <f t="shared" si="2"/>
        <v/>
      </c>
      <c r="AA38" s="9"/>
      <c r="AB38" s="9"/>
      <c r="AC38" s="6"/>
      <c r="AD38" s="6"/>
      <c r="AE38" s="9"/>
      <c r="AF38" s="9"/>
      <c r="AG38" s="45"/>
      <c r="AH38" s="9"/>
      <c r="AI38" s="9"/>
      <c r="AJ38" s="6"/>
      <c r="AK38" s="6"/>
      <c r="AL38" s="9"/>
      <c r="AM38" s="9"/>
      <c r="AN38" s="9"/>
      <c r="AO38" s="9"/>
      <c r="AP38" s="9"/>
      <c r="AQ38" s="6"/>
      <c r="AR38" s="9"/>
      <c r="AS38" s="271"/>
    </row>
    <row r="39" spans="1:45" ht="34.5" customHeight="1">
      <c r="A39" s="6" t="s">
        <v>51</v>
      </c>
      <c r="B39" s="6" t="s">
        <v>448</v>
      </c>
      <c r="C39" s="6" t="s">
        <v>715</v>
      </c>
      <c r="D39" s="9" t="s">
        <v>88</v>
      </c>
      <c r="E39" s="39" t="s">
        <v>271</v>
      </c>
      <c r="F39" s="9">
        <v>14.95154</v>
      </c>
      <c r="G39" s="9">
        <v>120.47152</v>
      </c>
      <c r="H39" s="9" t="str">
        <f t="shared" si="3"/>
        <v>14.95154,120.47152</v>
      </c>
      <c r="I39" s="9" t="s">
        <v>121</v>
      </c>
      <c r="J39" s="9">
        <v>2</v>
      </c>
      <c r="K39" s="9" t="s">
        <v>695</v>
      </c>
      <c r="L39" s="44" t="s">
        <v>716</v>
      </c>
      <c r="M39" s="9" t="s">
        <v>33</v>
      </c>
      <c r="N39" s="9"/>
      <c r="O39" s="9" t="s">
        <v>595</v>
      </c>
      <c r="P39" s="9" t="s">
        <v>57</v>
      </c>
      <c r="Q39" s="419"/>
      <c r="R39" s="22"/>
      <c r="S39" s="22"/>
      <c r="T39" s="22"/>
      <c r="U39" s="22"/>
      <c r="V39" s="22"/>
      <c r="W39" s="244" t="str">
        <f>IFERROR(
    IF(
        OR(ISBLANK(R39), ISBLANK(S39)),
        "",
        MAX(
            1,
            IF(
                NETWORKDAYS(R39, S39, Holiday_Dates) &lt;= 0,
                1,
                NETWORKDAYS(R39, S39, Holiday_Dates) - IF(R39 = S39, 0, 1)
            )
        )
    ),
    ""
)</f>
        <v/>
      </c>
      <c r="X39" s="244" t="str">
        <f>IF(
    OR(ISBLANK(S39), ISBLANK(T39)),
    "",
    MAX(
        1,
        IF(
            NETWORKDAYS(S39, T39, Holiday_Dates) &lt;= 0,
            1,
            NETWORKDAYS(S39, T39, Holiday_Dates) - IF(S39 = T39, 0, 1)
        )
    )
)</f>
        <v/>
      </c>
      <c r="Y39" s="244" t="str">
        <f>IFERROR(
    IF(
        OR(ISBLANK(S39), AND(ISBLANK(T39), ISBLANK(U39))),
        "",
        MAX(
            1,
            IF(
                NETWORKDAYS(IF(NOT(ISBLANK(U39)), U39, T39), U39, Holiday_Dates) &lt;= 0,
                1,
                NETWORKDAYS(IF(NOT(ISBLANK(U39)), U39, T39), U39, Holiday_Dates)
                - IF(IF(NOT(ISBLANK(U39)), U39, T39) = U39, 0, 1)
            )
        )
    ),
    ""
)</f>
        <v/>
      </c>
      <c r="Z39" s="244" t="str">
        <f t="shared" si="2"/>
        <v/>
      </c>
      <c r="AA39" s="9"/>
      <c r="AB39" s="9"/>
      <c r="AC39" s="6"/>
      <c r="AD39" s="6"/>
      <c r="AE39" s="9"/>
      <c r="AF39" s="9"/>
      <c r="AG39" s="45"/>
      <c r="AH39" s="9"/>
      <c r="AI39" s="9"/>
      <c r="AJ39" s="6"/>
      <c r="AK39" s="6"/>
      <c r="AL39" s="9"/>
      <c r="AM39" s="9"/>
      <c r="AN39" s="9"/>
      <c r="AO39" s="9"/>
      <c r="AP39" s="9"/>
      <c r="AQ39" s="6"/>
      <c r="AR39" s="9"/>
      <c r="AS39" s="271"/>
    </row>
    <row r="40" spans="1:45" s="31" customFormat="1" ht="15" customHeight="1">
      <c r="A40" s="6" t="s">
        <v>52</v>
      </c>
      <c r="B40" s="6" t="s">
        <v>366</v>
      </c>
      <c r="C40" s="6" t="s">
        <v>717</v>
      </c>
      <c r="D40" s="9" t="s">
        <v>88</v>
      </c>
      <c r="E40" s="7" t="s">
        <v>213</v>
      </c>
      <c r="F40" s="9">
        <v>15.272779999999999</v>
      </c>
      <c r="G40" s="9">
        <v>120.56189999999999</v>
      </c>
      <c r="H40" s="9" t="str">
        <f t="shared" si="3"/>
        <v>15.27278,120.5619</v>
      </c>
      <c r="I40" s="9" t="s">
        <v>121</v>
      </c>
      <c r="J40" s="9">
        <v>1</v>
      </c>
      <c r="K40" s="9">
        <v>2019</v>
      </c>
      <c r="L40" s="44">
        <v>530642.86</v>
      </c>
      <c r="M40" s="9" t="s">
        <v>39</v>
      </c>
      <c r="N40" s="9"/>
      <c r="O40" s="36" t="s">
        <v>28</v>
      </c>
      <c r="P40" s="9" t="s">
        <v>57</v>
      </c>
      <c r="Q40" s="276"/>
      <c r="R40" s="22"/>
      <c r="S40" s="22"/>
      <c r="T40" s="22"/>
      <c r="U40" s="22"/>
      <c r="V40" s="22"/>
      <c r="W40" s="244" t="str">
        <f>IFERROR(
    IF(
        OR(ISBLANK(R40), ISBLANK(S40)),
        "",
        MAX(
            1,
            IF(
                NETWORKDAYS(R40, S40, Holiday_Dates) &lt;= 0,
                1,
                NETWORKDAYS(R40, S40, Holiday_Dates) - IF(R40 = S40, 0, 1)
            )
        )
    ),
    ""
)</f>
        <v/>
      </c>
      <c r="X40" s="244" t="str">
        <f>IF(
    OR(ISBLANK(S40), ISBLANK(T40)),
    "",
    MAX(
        1,
        IF(
            NETWORKDAYS(S40, T40, Holiday_Dates) &lt;= 0,
            1,
            NETWORKDAYS(S40, T40, Holiday_Dates) - IF(S40 = T40, 0, 1)
        )
    )
)</f>
        <v/>
      </c>
      <c r="Y40" s="244" t="str">
        <f>IFERROR(
    IF(
        OR(ISBLANK(S40), AND(ISBLANK(T40), ISBLANK(U40))),
        "",
        MAX(
            1,
            IF(
                NETWORKDAYS(IF(NOT(ISBLANK(U40)), U40, T40), U40, Holiday_Dates) &lt;= 0,
                1,
                NETWORKDAYS(IF(NOT(ISBLANK(U40)), U40, T40), U40, Holiday_Dates)
                - IF(IF(NOT(ISBLANK(U40)), U40, T40) = U40, 0, 1)
            )
        )
    ),
    ""
)</f>
        <v/>
      </c>
      <c r="Z40" s="244" t="str">
        <f t="shared" si="2"/>
        <v/>
      </c>
      <c r="AA40" s="6"/>
      <c r="AB40" s="9"/>
      <c r="AC40" s="6"/>
      <c r="AD40" s="6"/>
      <c r="AE40" s="9"/>
      <c r="AF40" s="9"/>
      <c r="AG40" s="45"/>
      <c r="AH40" s="9"/>
      <c r="AI40" s="9"/>
      <c r="AJ40" s="6"/>
      <c r="AK40" s="6"/>
      <c r="AL40" s="9"/>
      <c r="AM40" s="9"/>
      <c r="AN40" s="9"/>
      <c r="AO40" s="9"/>
      <c r="AP40" s="9"/>
      <c r="AQ40" s="6"/>
      <c r="AR40" s="9"/>
      <c r="AS40" s="271"/>
    </row>
    <row r="41" spans="1:45" ht="15" customHeight="1">
      <c r="A41" s="6" t="s">
        <v>53</v>
      </c>
      <c r="B41" s="6" t="s">
        <v>329</v>
      </c>
      <c r="C41" s="6" t="s">
        <v>718</v>
      </c>
      <c r="D41" s="39" t="s">
        <v>89</v>
      </c>
      <c r="E41" s="32" t="s">
        <v>271</v>
      </c>
      <c r="F41" s="9">
        <v>15.224679</v>
      </c>
      <c r="G41" s="9">
        <v>120.02360899999999</v>
      </c>
      <c r="H41" s="9" t="str">
        <f t="shared" si="3"/>
        <v>15.224679,120.023609</v>
      </c>
      <c r="I41" s="9" t="s">
        <v>121</v>
      </c>
      <c r="J41" s="9">
        <v>1</v>
      </c>
      <c r="K41" s="9">
        <v>2016</v>
      </c>
      <c r="L41" s="44">
        <v>270000</v>
      </c>
      <c r="M41" s="9" t="s">
        <v>697</v>
      </c>
      <c r="N41" s="9"/>
      <c r="O41" s="9" t="s">
        <v>133</v>
      </c>
      <c r="P41" s="9" t="s">
        <v>57</v>
      </c>
      <c r="Q41" s="9"/>
      <c r="R41" s="22"/>
      <c r="S41" s="22"/>
      <c r="T41" s="22"/>
      <c r="U41" s="22"/>
      <c r="V41" s="22"/>
      <c r="W41" s="244" t="str">
        <f>IFERROR(
    IF(
        OR(ISBLANK(R41), ISBLANK(S41)),
        "",
        MAX(
            1,
            IF(
                NETWORKDAYS(R41, S41, Holiday_Dates) &lt;= 0,
                1,
                NETWORKDAYS(R41, S41, Holiday_Dates) - IF(R41 = S41, 0, 1)
            )
        )
    ),
    ""
)</f>
        <v/>
      </c>
      <c r="X41" s="244" t="str">
        <f>IF(
    OR(ISBLANK(S41), ISBLANK(T41)),
    "",
    MAX(
        1,
        IF(
            NETWORKDAYS(S41, T41, Holiday_Dates) &lt;= 0,
            1,
            NETWORKDAYS(S41, T41, Holiday_Dates) - IF(S41 = T41, 0, 1)
        )
    )
)</f>
        <v/>
      </c>
      <c r="Y41" s="244" t="str">
        <f>IFERROR(
    IF(
        OR(ISBLANK(S41), AND(ISBLANK(T41), ISBLANK(U41))),
        "",
        MAX(
            1,
            IF(
                NETWORKDAYS(IF(NOT(ISBLANK(U41)), U41, T41), U41, Holiday_Dates) &lt;= 0,
                1,
                NETWORKDAYS(IF(NOT(ISBLANK(U41)), U41, T41), U41, Holiday_Dates)
                - IF(IF(NOT(ISBLANK(U41)), U41, T41) = U41, 0, 1)
            )
        )
    ),
    ""
)</f>
        <v/>
      </c>
      <c r="Z41" s="244" t="str">
        <f t="shared" si="2"/>
        <v/>
      </c>
      <c r="AA41" s="6"/>
      <c r="AB41" s="9"/>
      <c r="AC41" s="6"/>
      <c r="AD41" s="6"/>
      <c r="AE41" s="6"/>
      <c r="AF41" s="6"/>
      <c r="AG41" s="45"/>
      <c r="AH41" s="9"/>
      <c r="AI41" s="6"/>
      <c r="AJ41" s="6"/>
      <c r="AK41" s="6"/>
      <c r="AL41" s="9"/>
      <c r="AM41" s="9"/>
      <c r="AN41" s="9"/>
      <c r="AO41" s="9"/>
      <c r="AP41" s="9"/>
      <c r="AQ41" s="6"/>
      <c r="AR41" s="9"/>
      <c r="AS41" s="9"/>
    </row>
    <row r="42" spans="1:45" ht="15" customHeight="1">
      <c r="A42" s="6" t="s">
        <v>53</v>
      </c>
      <c r="B42" s="6" t="s">
        <v>456</v>
      </c>
      <c r="C42" s="6" t="s">
        <v>719</v>
      </c>
      <c r="D42" s="39" t="s">
        <v>89</v>
      </c>
      <c r="E42" s="39" t="s">
        <v>271</v>
      </c>
      <c r="F42" s="9">
        <v>15.539705</v>
      </c>
      <c r="G42" s="9">
        <v>119.961949</v>
      </c>
      <c r="H42" s="9" t="str">
        <f t="shared" si="3"/>
        <v>15.539705,119.961949</v>
      </c>
      <c r="I42" s="9" t="s">
        <v>122</v>
      </c>
      <c r="J42" s="9">
        <v>1</v>
      </c>
      <c r="K42" s="9">
        <v>2018</v>
      </c>
      <c r="L42" s="9">
        <v>427500</v>
      </c>
      <c r="M42" s="9" t="s">
        <v>42</v>
      </c>
      <c r="N42" s="9"/>
      <c r="O42" s="9" t="s">
        <v>133</v>
      </c>
      <c r="P42" s="9" t="s">
        <v>57</v>
      </c>
      <c r="Q42" s="9"/>
      <c r="R42" s="22"/>
      <c r="S42" s="22"/>
      <c r="T42" s="22"/>
      <c r="U42" s="22"/>
      <c r="V42" s="22"/>
      <c r="W42" s="244" t="str">
        <f>IFERROR(
    IF(
        OR(ISBLANK(R42), ISBLANK(S42)),
        "",
        MAX(
            1,
            IF(
                NETWORKDAYS(R42, S42, Holiday_Dates) &lt;= 0,
                1,
                NETWORKDAYS(R42, S42, Holiday_Dates) - IF(R42 = S42, 0, 1)
            )
        )
    ),
    ""
)</f>
        <v/>
      </c>
      <c r="X42" s="244" t="str">
        <f>IF(
    OR(ISBLANK(S42), ISBLANK(T42)),
    "",
    MAX(
        1,
        IF(
            NETWORKDAYS(S42, T42, Holiday_Dates) &lt;= 0,
            1,
            NETWORKDAYS(S42, T42, Holiday_Dates) - IF(S42 = T42, 0, 1)
        )
    )
)</f>
        <v/>
      </c>
      <c r="Y42" s="244" t="str">
        <f>IFERROR(
    IF(
        OR(ISBLANK(S42), AND(ISBLANK(T42), ISBLANK(U42))),
        "",
        MAX(
            1,
            IF(
                NETWORKDAYS(IF(NOT(ISBLANK(U42)), U42, T42), U42, Holiday_Dates) &lt;= 0,
                1,
                NETWORKDAYS(IF(NOT(ISBLANK(U42)), U42, T42), U42, Holiday_Dates)
                - IF(IF(NOT(ISBLANK(U42)), U42, T42) = U42, 0, 1)
            )
        )
    ),
    ""
)</f>
        <v/>
      </c>
      <c r="Z42" s="244" t="str">
        <f t="shared" si="2"/>
        <v/>
      </c>
      <c r="AA42" s="9"/>
      <c r="AB42" s="9"/>
      <c r="AC42" s="6"/>
      <c r="AD42" s="6"/>
      <c r="AE42" s="9"/>
      <c r="AF42" s="9"/>
      <c r="AG42" s="45"/>
      <c r="AH42" s="9"/>
      <c r="AI42" s="9"/>
      <c r="AJ42" s="6"/>
      <c r="AK42" s="6"/>
      <c r="AL42" s="9"/>
      <c r="AM42" s="9"/>
      <c r="AN42" s="9"/>
      <c r="AO42" s="9"/>
      <c r="AP42" s="9"/>
      <c r="AQ42" s="6"/>
      <c r="AR42" s="9"/>
      <c r="AS42" s="271"/>
    </row>
    <row r="43" spans="1:45" ht="15" customHeight="1">
      <c r="A43" s="6" t="s">
        <v>47</v>
      </c>
      <c r="B43" s="6" t="s">
        <v>370</v>
      </c>
      <c r="C43" s="6" t="s">
        <v>720</v>
      </c>
      <c r="D43" s="39" t="s">
        <v>89</v>
      </c>
      <c r="E43" s="39" t="s">
        <v>259</v>
      </c>
      <c r="F43" s="9">
        <v>15.779536</v>
      </c>
      <c r="G43" s="9">
        <v>121.526573</v>
      </c>
      <c r="H43" s="9" t="str">
        <f t="shared" si="3"/>
        <v>15.779536,121.526573</v>
      </c>
      <c r="I43" s="9" t="s">
        <v>122</v>
      </c>
      <c r="J43" s="9">
        <v>1</v>
      </c>
      <c r="K43" s="9">
        <v>2018</v>
      </c>
      <c r="L43" s="66">
        <v>427500</v>
      </c>
      <c r="M43" s="9" t="s">
        <v>13</v>
      </c>
      <c r="N43" s="9"/>
      <c r="O43" s="9" t="s">
        <v>128</v>
      </c>
      <c r="P43" s="9" t="s">
        <v>63</v>
      </c>
      <c r="Q43" s="9"/>
      <c r="R43" s="22"/>
      <c r="S43" s="22"/>
      <c r="T43" s="22"/>
      <c r="U43" s="22"/>
      <c r="V43" s="22"/>
      <c r="W43" s="244" t="str">
        <f>IFERROR(
    IF(
        OR(ISBLANK(R43), ISBLANK(S43)),
        "",
        MAX(
            1,
            IF(
                NETWORKDAYS(R43, S43, Holiday_Dates) &lt;= 0,
                1,
                NETWORKDAYS(R43, S43, Holiday_Dates) - IF(R43 = S43, 0, 1)
            )
        )
    ),
    ""
)</f>
        <v/>
      </c>
      <c r="X43" s="244" t="str">
        <f>IF(
    OR(ISBLANK(S43), ISBLANK(T43)),
    "",
    MAX(
        1,
        IF(
            NETWORKDAYS(S43, T43, Holiday_Dates) &lt;= 0,
            1,
            NETWORKDAYS(S43, T43, Holiday_Dates) - IF(S43 = T43, 0, 1)
        )
    )
)</f>
        <v/>
      </c>
      <c r="Y43" s="244" t="str">
        <f>IFERROR(
    IF(
        OR(ISBLANK(S43), AND(ISBLANK(T43), ISBLANK(U43))),
        "",
        MAX(
            1,
            IF(
                NETWORKDAYS(IF(NOT(ISBLANK(U43)), U43, T43), U43, Holiday_Dates) &lt;= 0,
                1,
                NETWORKDAYS(IF(NOT(ISBLANK(U43)), U43, T43), U43, Holiday_Dates)
                - IF(IF(NOT(ISBLANK(U43)), U43, T43) = U43, 0, 1)
            )
        )
    ),
    ""
)</f>
        <v/>
      </c>
      <c r="Z43" s="244" t="str">
        <f t="shared" si="2"/>
        <v/>
      </c>
      <c r="AA43" s="9"/>
      <c r="AB43" s="9"/>
      <c r="AC43" s="6"/>
      <c r="AD43" s="6"/>
      <c r="AE43" s="6"/>
      <c r="AF43" s="6"/>
      <c r="AG43" s="45"/>
      <c r="AH43" s="9"/>
      <c r="AI43" s="9"/>
      <c r="AJ43" s="6"/>
      <c r="AK43" s="6"/>
      <c r="AL43" s="9"/>
      <c r="AM43" s="9"/>
      <c r="AN43" s="9"/>
      <c r="AO43" s="9"/>
      <c r="AP43" s="9"/>
      <c r="AQ43" s="6"/>
      <c r="AR43" s="9"/>
      <c r="AS43" s="271"/>
    </row>
    <row r="44" spans="1:45" ht="15" customHeight="1">
      <c r="A44" s="6" t="s">
        <v>47</v>
      </c>
      <c r="B44" s="6" t="s">
        <v>470</v>
      </c>
      <c r="C44" s="6" t="s">
        <v>721</v>
      </c>
      <c r="D44" s="39" t="s">
        <v>89</v>
      </c>
      <c r="E44" s="39" t="s">
        <v>259</v>
      </c>
      <c r="F44" s="9">
        <v>16.144445000000001</v>
      </c>
      <c r="G44" s="9">
        <v>121.94247799999999</v>
      </c>
      <c r="H44" s="9" t="str">
        <f t="shared" si="3"/>
        <v>16.144445,121.942478</v>
      </c>
      <c r="I44" s="9" t="s">
        <v>121</v>
      </c>
      <c r="J44" s="9">
        <v>1</v>
      </c>
      <c r="K44" s="9">
        <v>2019</v>
      </c>
      <c r="L44" s="44">
        <v>502714.29</v>
      </c>
      <c r="M44" s="9" t="s">
        <v>335</v>
      </c>
      <c r="N44" s="9"/>
      <c r="O44" s="9" t="s">
        <v>128</v>
      </c>
      <c r="P44" s="9" t="s">
        <v>63</v>
      </c>
      <c r="Q44" s="9"/>
      <c r="R44" s="22"/>
      <c r="S44" s="22"/>
      <c r="T44" s="22"/>
      <c r="U44" s="22"/>
      <c r="V44" s="22"/>
      <c r="W44" s="244" t="str">
        <f>IFERROR(
    IF(
        OR(ISBLANK(R44), ISBLANK(S44)),
        "",
        MAX(
            1,
            IF(
                NETWORKDAYS(R44, S44, Holiday_Dates) &lt;= 0,
                1,
                NETWORKDAYS(R44, S44, Holiday_Dates) - IF(R44 = S44, 0, 1)
            )
        )
    ),
    ""
)</f>
        <v/>
      </c>
      <c r="X44" s="244" t="str">
        <f>IF(
    OR(ISBLANK(S44), ISBLANK(T44)),
    "",
    MAX(
        1,
        IF(
            NETWORKDAYS(S44, T44, Holiday_Dates) &lt;= 0,
            1,
            NETWORKDAYS(S44, T44, Holiday_Dates) - IF(S44 = T44, 0, 1)
        )
    )
)</f>
        <v/>
      </c>
      <c r="Y44" s="244" t="str">
        <f>IFERROR(
    IF(
        OR(ISBLANK(S44), AND(ISBLANK(T44), ISBLANK(U44))),
        "",
        MAX(
            1,
            IF(
                NETWORKDAYS(IF(NOT(ISBLANK(U44)), U44, T44), U44, Holiday_Dates) &lt;= 0,
                1,
                NETWORKDAYS(IF(NOT(ISBLANK(U44)), U44, T44), U44, Holiday_Dates)
                - IF(IF(NOT(ISBLANK(U44)), U44, T44) = U44, 0, 1)
            )
        )
    ),
    ""
)</f>
        <v/>
      </c>
      <c r="Z44" s="244" t="str">
        <f t="shared" si="2"/>
        <v/>
      </c>
      <c r="AA44" s="9"/>
      <c r="AB44" s="9"/>
      <c r="AC44" s="6"/>
      <c r="AD44" s="6"/>
      <c r="AE44" s="9"/>
      <c r="AF44" s="9"/>
      <c r="AG44" s="45"/>
      <c r="AH44" s="9"/>
      <c r="AI44" s="9"/>
      <c r="AJ44" s="6"/>
      <c r="AK44" s="6"/>
      <c r="AL44" s="9"/>
      <c r="AM44" s="9"/>
      <c r="AN44" s="9"/>
      <c r="AO44" s="9"/>
      <c r="AP44" s="9"/>
      <c r="AQ44" s="6"/>
      <c r="AR44" s="9"/>
      <c r="AS44" s="9"/>
    </row>
    <row r="45" spans="1:45" ht="15" customHeight="1">
      <c r="A45" s="6" t="s">
        <v>47</v>
      </c>
      <c r="B45" s="6" t="s">
        <v>472</v>
      </c>
      <c r="C45" s="6" t="s">
        <v>722</v>
      </c>
      <c r="D45" s="39" t="s">
        <v>89</v>
      </c>
      <c r="E45" s="39" t="s">
        <v>259</v>
      </c>
      <c r="F45" s="9">
        <v>15.223196</v>
      </c>
      <c r="G45" s="9">
        <v>121.40795</v>
      </c>
      <c r="H45" s="9" t="str">
        <f t="shared" si="3"/>
        <v>15.223196,121.40795</v>
      </c>
      <c r="I45" s="9" t="s">
        <v>122</v>
      </c>
      <c r="J45" s="9">
        <v>1</v>
      </c>
      <c r="K45" s="9">
        <v>2018</v>
      </c>
      <c r="L45" s="66">
        <v>427500</v>
      </c>
      <c r="M45" s="9" t="s">
        <v>14</v>
      </c>
      <c r="N45" s="9"/>
      <c r="O45" s="9" t="s">
        <v>128</v>
      </c>
      <c r="P45" s="9" t="s">
        <v>63</v>
      </c>
      <c r="Q45" s="9"/>
      <c r="R45" s="22"/>
      <c r="S45" s="22"/>
      <c r="T45" s="22"/>
      <c r="U45" s="22"/>
      <c r="V45" s="22"/>
      <c r="W45" s="244" t="str">
        <f>IFERROR(
    IF(
        OR(ISBLANK(R45), ISBLANK(S45)),
        "",
        MAX(
            1,
            IF(
                NETWORKDAYS(R45, S45, Holiday_Dates) &lt;= 0,
                1,
                NETWORKDAYS(R45, S45, Holiday_Dates) - IF(R45 = S45, 0, 1)
            )
        )
    ),
    ""
)</f>
        <v/>
      </c>
      <c r="X45" s="244" t="str">
        <f>IF(
    OR(ISBLANK(S45), ISBLANK(T45)),
    "",
    MAX(
        1,
        IF(
            NETWORKDAYS(S45, T45, Holiday_Dates) &lt;= 0,
            1,
            NETWORKDAYS(S45, T45, Holiday_Dates) - IF(S45 = T45, 0, 1)
        )
    )
)</f>
        <v/>
      </c>
      <c r="Y45" s="244" t="str">
        <f>IFERROR(
    IF(
        OR(ISBLANK(S45), AND(ISBLANK(T45), ISBLANK(U45))),
        "",
        MAX(
            1,
            IF(
                NETWORKDAYS(IF(NOT(ISBLANK(U45)), U45, T45), U45, Holiday_Dates) &lt;= 0,
                1,
                NETWORKDAYS(IF(NOT(ISBLANK(U45)), U45, T45), U45, Holiday_Dates)
                - IF(IF(NOT(ISBLANK(U45)), U45, T45) = U45, 0, 1)
            )
        )
    ),
    ""
)</f>
        <v/>
      </c>
      <c r="Z45" s="244" t="str">
        <f t="shared" si="2"/>
        <v/>
      </c>
      <c r="AA45" s="9"/>
      <c r="AB45" s="9"/>
      <c r="AC45" s="6"/>
      <c r="AD45" s="6"/>
      <c r="AE45" s="9"/>
      <c r="AF45" s="9"/>
      <c r="AG45" s="45"/>
      <c r="AH45" s="9"/>
      <c r="AI45" s="9"/>
      <c r="AJ45" s="6"/>
      <c r="AK45" s="6"/>
      <c r="AL45" s="9"/>
      <c r="AM45" s="9"/>
      <c r="AN45" s="9"/>
      <c r="AO45" s="9"/>
      <c r="AP45" s="9"/>
      <c r="AQ45" s="6"/>
      <c r="AR45" s="9"/>
      <c r="AS45" s="9"/>
    </row>
    <row r="46" spans="1:45" ht="15" customHeight="1">
      <c r="A46" s="6" t="s">
        <v>48</v>
      </c>
      <c r="B46" s="6" t="s">
        <v>336</v>
      </c>
      <c r="C46" s="6" t="s">
        <v>723</v>
      </c>
      <c r="D46" s="9" t="s">
        <v>88</v>
      </c>
      <c r="E46" s="39" t="s">
        <v>213</v>
      </c>
      <c r="F46" s="9">
        <v>14.459136300000001</v>
      </c>
      <c r="G46" s="9">
        <v>120.5266262</v>
      </c>
      <c r="H46" s="9" t="str">
        <f t="shared" si="3"/>
        <v>14.4591363,120.5266262</v>
      </c>
      <c r="I46" s="9" t="s">
        <v>122</v>
      </c>
      <c r="J46" s="9">
        <v>1</v>
      </c>
      <c r="K46" s="9">
        <v>2018</v>
      </c>
      <c r="L46" s="9">
        <v>285000</v>
      </c>
      <c r="M46" s="9" t="s">
        <v>19</v>
      </c>
      <c r="N46" s="9"/>
      <c r="O46" s="9" t="s">
        <v>129</v>
      </c>
      <c r="P46" s="9" t="s">
        <v>63</v>
      </c>
      <c r="Q46" s="9"/>
      <c r="R46" s="22"/>
      <c r="S46" s="22"/>
      <c r="T46" s="22"/>
      <c r="U46" s="22"/>
      <c r="V46" s="22"/>
      <c r="W46" s="244" t="str">
        <f>IFERROR(
    IF(
        OR(ISBLANK(R46), ISBLANK(S46)),
        "",
        MAX(
            1,
            IF(
                NETWORKDAYS(R46, S46, Holiday_Dates) &lt;= 0,
                1,
                NETWORKDAYS(R46, S46, Holiday_Dates) - IF(R46 = S46, 0, 1)
            )
        )
    ),
    ""
)</f>
        <v/>
      </c>
      <c r="X46" s="244" t="str">
        <f>IF(
    OR(ISBLANK(S46), ISBLANK(T46)),
    "",
    MAX(
        1,
        IF(
            NETWORKDAYS(S46, T46, Holiday_Dates) &lt;= 0,
            1,
            NETWORKDAYS(S46, T46, Holiday_Dates) - IF(S46 = T46, 0, 1)
        )
    )
)</f>
        <v/>
      </c>
      <c r="Y46" s="244" t="str">
        <f>IFERROR(
    IF(
        OR(ISBLANK(S46), AND(ISBLANK(T46), ISBLANK(U46))),
        "",
        MAX(
            1,
            IF(
                NETWORKDAYS(IF(NOT(ISBLANK(U46)), U46, T46), U46, Holiday_Dates) &lt;= 0,
                1,
                NETWORKDAYS(IF(NOT(ISBLANK(U46)), U46, T46), U46, Holiday_Dates)
                - IF(IF(NOT(ISBLANK(U46)), U46, T46) = U46, 0, 1)
            )
        )
    ),
    ""
)</f>
        <v/>
      </c>
      <c r="Z46" s="244" t="str">
        <f t="shared" si="2"/>
        <v/>
      </c>
      <c r="AA46" s="6"/>
      <c r="AB46" s="9"/>
      <c r="AC46" s="6"/>
      <c r="AD46" s="6"/>
      <c r="AE46" s="9"/>
      <c r="AF46" s="9"/>
      <c r="AG46" s="45"/>
      <c r="AH46" s="9"/>
      <c r="AI46" s="9"/>
      <c r="AJ46" s="6"/>
      <c r="AK46" s="6"/>
      <c r="AL46" s="9"/>
      <c r="AM46" s="9"/>
      <c r="AN46" s="9"/>
      <c r="AO46" s="9"/>
      <c r="AP46" s="9"/>
      <c r="AQ46" s="6"/>
      <c r="AR46" s="9"/>
      <c r="AS46" s="9"/>
    </row>
    <row r="47" spans="1:45" ht="15" customHeight="1">
      <c r="A47" s="6" t="s">
        <v>48</v>
      </c>
      <c r="B47" s="6" t="s">
        <v>336</v>
      </c>
      <c r="C47" s="6" t="s">
        <v>724</v>
      </c>
      <c r="D47" s="9" t="s">
        <v>88</v>
      </c>
      <c r="E47" s="39" t="s">
        <v>213</v>
      </c>
      <c r="F47" s="9">
        <v>14.490861600000001</v>
      </c>
      <c r="G47" s="9">
        <v>120.5811223</v>
      </c>
      <c r="H47" s="9" t="str">
        <f t="shared" si="3"/>
        <v>14.4908616,120.5811223</v>
      </c>
      <c r="I47" s="9" t="s">
        <v>122</v>
      </c>
      <c r="J47" s="9">
        <v>1</v>
      </c>
      <c r="K47" s="9">
        <v>2018</v>
      </c>
      <c r="L47" s="9">
        <v>285000</v>
      </c>
      <c r="M47" s="9" t="s">
        <v>19</v>
      </c>
      <c r="N47" s="9"/>
      <c r="O47" s="9" t="s">
        <v>129</v>
      </c>
      <c r="P47" s="9" t="s">
        <v>63</v>
      </c>
      <c r="Q47" s="9"/>
      <c r="R47" s="22"/>
      <c r="S47" s="22"/>
      <c r="T47" s="22"/>
      <c r="U47" s="22"/>
      <c r="V47" s="22"/>
      <c r="W47" s="244" t="str">
        <f>IFERROR(
    IF(
        OR(ISBLANK(R47), ISBLANK(S47)),
        "",
        MAX(
            1,
            IF(
                NETWORKDAYS(R47, S47, Holiday_Dates) &lt;= 0,
                1,
                NETWORKDAYS(R47, S47, Holiday_Dates) - IF(R47 = S47, 0, 1)
            )
        )
    ),
    ""
)</f>
        <v/>
      </c>
      <c r="X47" s="244" t="str">
        <f>IF(
    OR(ISBLANK(S47), ISBLANK(T47)),
    "",
    MAX(
        1,
        IF(
            NETWORKDAYS(S47, T47, Holiday_Dates) &lt;= 0,
            1,
            NETWORKDAYS(S47, T47, Holiday_Dates) - IF(S47 = T47, 0, 1)
        )
    )
)</f>
        <v/>
      </c>
      <c r="Y47" s="244" t="str">
        <f>IFERROR(
    IF(
        OR(ISBLANK(S47), AND(ISBLANK(T47), ISBLANK(U47))),
        "",
        MAX(
            1,
            IF(
                NETWORKDAYS(IF(NOT(ISBLANK(U47)), U47, T47), U47, Holiday_Dates) &lt;= 0,
                1,
                NETWORKDAYS(IF(NOT(ISBLANK(U47)), U47, T47), U47, Holiday_Dates)
                - IF(IF(NOT(ISBLANK(U47)), U47, T47) = U47, 0, 1)
            )
        )
    ),
    ""
)</f>
        <v/>
      </c>
      <c r="Z47" s="244" t="str">
        <f t="shared" si="2"/>
        <v/>
      </c>
      <c r="AA47" s="9"/>
      <c r="AB47" s="9"/>
      <c r="AC47" s="6"/>
      <c r="AD47" s="6"/>
      <c r="AE47" s="9"/>
      <c r="AF47" s="9"/>
      <c r="AG47" s="45"/>
      <c r="AH47" s="9"/>
      <c r="AI47" s="9"/>
      <c r="AJ47" s="6"/>
      <c r="AK47" s="6"/>
      <c r="AL47" s="9"/>
      <c r="AM47" s="9"/>
      <c r="AN47" s="9"/>
      <c r="AO47" s="9"/>
      <c r="AP47" s="9"/>
      <c r="AQ47" s="6"/>
      <c r="AR47" s="9"/>
      <c r="AS47" s="9"/>
    </row>
    <row r="48" spans="1:45" ht="15" customHeight="1">
      <c r="A48" s="6" t="s">
        <v>49</v>
      </c>
      <c r="B48" s="6" t="s">
        <v>401</v>
      </c>
      <c r="C48" s="6" t="s">
        <v>725</v>
      </c>
      <c r="D48" s="9" t="s">
        <v>88</v>
      </c>
      <c r="E48" s="39" t="s">
        <v>402</v>
      </c>
      <c r="F48" s="9">
        <v>14.8193</v>
      </c>
      <c r="G48" s="9">
        <v>120.90179999999999</v>
      </c>
      <c r="H48" s="9" t="str">
        <f t="shared" si="3"/>
        <v>14.8193,120.9018</v>
      </c>
      <c r="I48" s="9" t="s">
        <v>121</v>
      </c>
      <c r="J48" s="9">
        <v>1</v>
      </c>
      <c r="K48" s="9">
        <v>2019</v>
      </c>
      <c r="L48" s="44">
        <v>502714.29</v>
      </c>
      <c r="M48" s="9" t="s">
        <v>135</v>
      </c>
      <c r="N48" s="9"/>
      <c r="O48" s="9" t="s">
        <v>128</v>
      </c>
      <c r="P48" s="9" t="s">
        <v>63</v>
      </c>
      <c r="Q48" s="9"/>
      <c r="R48" s="22"/>
      <c r="S48" s="22"/>
      <c r="T48" s="22"/>
      <c r="U48" s="22"/>
      <c r="V48" s="22"/>
      <c r="W48" s="244" t="str">
        <f>IFERROR(
    IF(
        OR(ISBLANK(R48), ISBLANK(S48)),
        "",
        MAX(
            1,
            IF(
                NETWORKDAYS(R48, S48, Holiday_Dates) &lt;= 0,
                1,
                NETWORKDAYS(R48, S48, Holiday_Dates) - IF(R48 = S48, 0, 1)
            )
        )
    ),
    ""
)</f>
        <v/>
      </c>
      <c r="X48" s="244" t="str">
        <f>IF(
    OR(ISBLANK(S48), ISBLANK(T48)),
    "",
    MAX(
        1,
        IF(
            NETWORKDAYS(S48, T48, Holiday_Dates) &lt;= 0,
            1,
            NETWORKDAYS(S48, T48, Holiday_Dates) - IF(S48 = T48, 0, 1)
        )
    )
)</f>
        <v/>
      </c>
      <c r="Y48" s="244" t="str">
        <f>IFERROR(
    IF(
        OR(ISBLANK(S48), AND(ISBLANK(T48), ISBLANK(U48))),
        "",
        MAX(
            1,
            IF(
                NETWORKDAYS(IF(NOT(ISBLANK(U48)), U48, T48), U48, Holiday_Dates) &lt;= 0,
                1,
                NETWORKDAYS(IF(NOT(ISBLANK(U48)), U48, T48), U48, Holiday_Dates)
                - IF(IF(NOT(ISBLANK(U48)), U48, T48) = U48, 0, 1)
            )
        )
    ),
    ""
)</f>
        <v/>
      </c>
      <c r="Z48" s="244" t="str">
        <f t="shared" si="2"/>
        <v/>
      </c>
      <c r="AA48" s="9"/>
      <c r="AB48" s="9"/>
      <c r="AC48" s="6"/>
      <c r="AD48" s="6"/>
      <c r="AE48" s="9"/>
      <c r="AF48" s="9"/>
      <c r="AG48" s="45"/>
      <c r="AH48" s="9"/>
      <c r="AI48" s="9"/>
      <c r="AJ48" s="6"/>
      <c r="AK48" s="6"/>
      <c r="AL48" s="9"/>
      <c r="AM48" s="9"/>
      <c r="AN48" s="9"/>
      <c r="AO48" s="9"/>
      <c r="AP48" s="9"/>
      <c r="AQ48" s="6"/>
      <c r="AR48" s="9"/>
      <c r="AS48" s="9"/>
    </row>
    <row r="49" spans="1:45" ht="15" customHeight="1">
      <c r="A49" s="6" t="s">
        <v>49</v>
      </c>
      <c r="B49" s="6" t="s">
        <v>674</v>
      </c>
      <c r="C49" s="6" t="s">
        <v>726</v>
      </c>
      <c r="D49" s="9" t="s">
        <v>88</v>
      </c>
      <c r="E49" s="39" t="s">
        <v>224</v>
      </c>
      <c r="F49" s="9">
        <v>14.744464000000001</v>
      </c>
      <c r="G49" s="9">
        <v>120.95504029999999</v>
      </c>
      <c r="H49" s="9" t="str">
        <f t="shared" si="3"/>
        <v>14.744464,120.9550403</v>
      </c>
      <c r="I49" s="9" t="s">
        <v>122</v>
      </c>
      <c r="J49" s="9">
        <v>1</v>
      </c>
      <c r="K49" s="9">
        <v>2017</v>
      </c>
      <c r="L49" s="66">
        <v>460000</v>
      </c>
      <c r="M49" s="9" t="s">
        <v>227</v>
      </c>
      <c r="N49" s="9"/>
      <c r="O49" s="9" t="s">
        <v>128</v>
      </c>
      <c r="P49" s="9" t="s">
        <v>63</v>
      </c>
      <c r="Q49" s="9"/>
      <c r="R49" s="420"/>
      <c r="S49" s="22"/>
      <c r="T49" s="22"/>
      <c r="U49" s="22"/>
      <c r="V49" s="22"/>
      <c r="W49" s="244" t="str">
        <f>IFERROR(
    IF(
        OR(ISBLANK(R49), ISBLANK(S49)),
        "",
        MAX(
            1,
            IF(
                NETWORKDAYS(R49, S49, Holiday_Dates) &lt;= 0,
                1,
                NETWORKDAYS(R49, S49, Holiday_Dates) - IF(R49 = S49, 0, 1)
            )
        )
    ),
    ""
)</f>
        <v/>
      </c>
      <c r="X49" s="244" t="str">
        <f>IF(
    OR(ISBLANK(S49), ISBLANK(T49)),
    "",
    MAX(
        1,
        IF(
            NETWORKDAYS(S49, T49, Holiday_Dates) &lt;= 0,
            1,
            NETWORKDAYS(S49, T49, Holiday_Dates) - IF(S49 = T49, 0, 1)
        )
    )
)</f>
        <v/>
      </c>
      <c r="Y49" s="244" t="str">
        <f>IFERROR(
    IF(
        OR(ISBLANK(S49), AND(ISBLANK(T49), ISBLANK(U49))),
        "",
        MAX(
            1,
            IF(
                NETWORKDAYS(IF(NOT(ISBLANK(U49)), U49, T49), U49, Holiday_Dates) &lt;= 0,
                1,
                NETWORKDAYS(IF(NOT(ISBLANK(U49)), U49, T49), U49, Holiday_Dates)
                - IF(IF(NOT(ISBLANK(U49)), U49, T49) = U49, 0, 1)
            )
        )
    ),
    ""
)</f>
        <v/>
      </c>
      <c r="Z49" s="244" t="str">
        <f t="shared" si="2"/>
        <v/>
      </c>
      <c r="AA49" s="9"/>
      <c r="AB49" s="9"/>
      <c r="AC49" s="6"/>
      <c r="AD49" s="6"/>
      <c r="AE49" s="9"/>
      <c r="AF49" s="44"/>
      <c r="AG49" s="45"/>
      <c r="AH49" s="9"/>
      <c r="AI49" s="9"/>
      <c r="AJ49" s="6"/>
      <c r="AK49" s="6"/>
      <c r="AL49" s="9"/>
      <c r="AM49" s="9"/>
      <c r="AN49" s="9"/>
      <c r="AO49" s="9"/>
      <c r="AP49" s="9"/>
      <c r="AQ49" s="6"/>
      <c r="AR49" s="9"/>
      <c r="AS49" s="9"/>
    </row>
    <row r="50" spans="1:45" ht="15" customHeight="1">
      <c r="A50" s="6" t="s">
        <v>50</v>
      </c>
      <c r="B50" s="6" t="s">
        <v>727</v>
      </c>
      <c r="C50" s="6"/>
      <c r="D50" s="9" t="s">
        <v>88</v>
      </c>
      <c r="E50" s="39" t="s">
        <v>224</v>
      </c>
      <c r="F50" s="9">
        <v>15.388953000000001</v>
      </c>
      <c r="G50" s="9">
        <v>121.061851</v>
      </c>
      <c r="H50" s="9" t="str">
        <f t="shared" si="3"/>
        <v>15.388953,121.061851</v>
      </c>
      <c r="I50" s="9" t="s">
        <v>121</v>
      </c>
      <c r="J50" s="9">
        <v>1</v>
      </c>
      <c r="K50" s="9">
        <v>2016</v>
      </c>
      <c r="L50" s="44">
        <v>370000</v>
      </c>
      <c r="M50" s="9" t="s">
        <v>141</v>
      </c>
      <c r="N50" s="9"/>
      <c r="O50" s="9" t="s">
        <v>130</v>
      </c>
      <c r="P50" s="9" t="s">
        <v>63</v>
      </c>
      <c r="Q50" s="9"/>
      <c r="R50" s="420"/>
      <c r="S50" s="22"/>
      <c r="T50" s="22"/>
      <c r="U50" s="22"/>
      <c r="V50" s="22"/>
      <c r="W50" s="244" t="str">
        <f>IFERROR(
    IF(
        OR(ISBLANK(R50), ISBLANK(S50)),
        "",
        MAX(
            1,
            IF(
                NETWORKDAYS(R50, S50, Holiday_Dates) &lt;= 0,
                1,
                NETWORKDAYS(R50, S50, Holiday_Dates) - IF(R50 = S50, 0, 1)
            )
        )
    ),
    ""
)</f>
        <v/>
      </c>
      <c r="X50" s="244" t="str">
        <f>IF(
    OR(ISBLANK(S50), ISBLANK(T50)),
    "",
    MAX(
        1,
        IF(
            NETWORKDAYS(S50, T50, Holiday_Dates) &lt;= 0,
            1,
            NETWORKDAYS(S50, T50, Holiday_Dates) - IF(S50 = T50, 0, 1)
        )
    )
)</f>
        <v/>
      </c>
      <c r="Y50" s="244" t="str">
        <f>IFERROR(
    IF(
        OR(ISBLANK(S50), AND(ISBLANK(T50), ISBLANK(U50))),
        "",
        MAX(
            1,
            IF(
                NETWORKDAYS(IF(NOT(ISBLANK(U50)), U50, T50), U50, Holiday_Dates) &lt;= 0,
                1,
                NETWORKDAYS(IF(NOT(ISBLANK(U50)), U50, T50), U50, Holiday_Dates)
                - IF(IF(NOT(ISBLANK(U50)), U50, T50) = U50, 0, 1)
            )
        )
    ),
    ""
)</f>
        <v/>
      </c>
      <c r="Z50" s="244" t="str">
        <f t="shared" si="2"/>
        <v/>
      </c>
      <c r="AA50" s="9"/>
      <c r="AB50" s="9"/>
      <c r="AC50" s="6"/>
      <c r="AD50" s="6"/>
      <c r="AE50" s="9"/>
      <c r="AF50" s="9"/>
      <c r="AG50" s="45"/>
      <c r="AH50" s="9"/>
      <c r="AI50" s="9"/>
      <c r="AJ50" s="6"/>
      <c r="AK50" s="6"/>
      <c r="AL50" s="9"/>
      <c r="AM50" s="9"/>
      <c r="AN50" s="9"/>
      <c r="AO50" s="9"/>
      <c r="AP50" s="9"/>
      <c r="AQ50" s="6"/>
      <c r="AR50" s="9"/>
      <c r="AS50" s="271"/>
    </row>
    <row r="51" spans="1:45" ht="15" customHeight="1">
      <c r="A51" s="6" t="s">
        <v>50</v>
      </c>
      <c r="B51" s="6" t="s">
        <v>518</v>
      </c>
      <c r="C51" s="6" t="s">
        <v>728</v>
      </c>
      <c r="D51" s="9" t="s">
        <v>88</v>
      </c>
      <c r="E51" s="39" t="s">
        <v>271</v>
      </c>
      <c r="F51" s="9">
        <v>15.807872</v>
      </c>
      <c r="G51" s="9">
        <v>121.141914</v>
      </c>
      <c r="H51" s="9" t="str">
        <f t="shared" si="3"/>
        <v>15.807872,121.141914</v>
      </c>
      <c r="I51" s="9" t="s">
        <v>121</v>
      </c>
      <c r="J51" s="9">
        <v>2</v>
      </c>
      <c r="K51" s="9" t="s">
        <v>695</v>
      </c>
      <c r="L51" s="9" t="s">
        <v>729</v>
      </c>
      <c r="M51" s="9" t="s">
        <v>26</v>
      </c>
      <c r="N51" s="9"/>
      <c r="O51" s="9" t="s">
        <v>130</v>
      </c>
      <c r="P51" s="9" t="s">
        <v>63</v>
      </c>
      <c r="Q51" s="356"/>
      <c r="R51" s="22"/>
      <c r="S51" s="22"/>
      <c r="T51" s="22"/>
      <c r="U51" s="22"/>
      <c r="V51" s="22"/>
      <c r="W51" s="244" t="str">
        <f>IFERROR(
    IF(
        OR(ISBLANK(R51), ISBLANK(S51)),
        "",
        MAX(
            1,
            IF(
                NETWORKDAYS(R51, S51, Holiday_Dates) &lt;= 0,
                1,
                NETWORKDAYS(R51, S51, Holiday_Dates) - IF(R51 = S51, 0, 1)
            )
        )
    ),
    ""
)</f>
        <v/>
      </c>
      <c r="X51" s="244" t="str">
        <f>IF(
    OR(ISBLANK(S51), ISBLANK(T51)),
    "",
    MAX(
        1,
        IF(
            NETWORKDAYS(S51, T51, Holiday_Dates) &lt;= 0,
            1,
            NETWORKDAYS(S51, T51, Holiday_Dates) - IF(S51 = T51, 0, 1)
        )
    )
)</f>
        <v/>
      </c>
      <c r="Y51" s="244" t="str">
        <f>IFERROR(
    IF(
        OR(ISBLANK(S51), AND(ISBLANK(T51), ISBLANK(U51))),
        "",
        MAX(
            1,
            IF(
                NETWORKDAYS(IF(NOT(ISBLANK(U51)), U51, T51), U51, Holiday_Dates) &lt;= 0,
                1,
                NETWORKDAYS(IF(NOT(ISBLANK(U51)), U51, T51), U51, Holiday_Dates)
                - IF(IF(NOT(ISBLANK(U51)), U51, T51) = U51, 0, 1)
            )
        )
    ),
    ""
)</f>
        <v/>
      </c>
      <c r="Z51" s="244" t="str">
        <f t="shared" si="2"/>
        <v/>
      </c>
      <c r="AA51" s="9"/>
      <c r="AB51" s="9"/>
      <c r="AC51" s="6"/>
      <c r="AD51" s="6"/>
      <c r="AE51" s="44"/>
      <c r="AF51" s="44"/>
      <c r="AG51" s="45"/>
      <c r="AH51" s="9"/>
      <c r="AI51" s="9"/>
      <c r="AJ51" s="6"/>
      <c r="AK51" s="6"/>
      <c r="AL51" s="9"/>
      <c r="AM51" s="9"/>
      <c r="AN51" s="9"/>
      <c r="AO51" s="9"/>
      <c r="AP51" s="9"/>
      <c r="AQ51" s="6"/>
      <c r="AR51" s="9"/>
      <c r="AS51" s="9"/>
    </row>
    <row r="52" spans="1:45" ht="15" customHeight="1">
      <c r="A52" s="6" t="s">
        <v>51</v>
      </c>
      <c r="B52" s="6" t="s">
        <v>354</v>
      </c>
      <c r="C52" s="6" t="s">
        <v>378</v>
      </c>
      <c r="D52" s="9" t="s">
        <v>88</v>
      </c>
      <c r="E52" s="39" t="s">
        <v>271</v>
      </c>
      <c r="F52" s="9">
        <v>14.95635</v>
      </c>
      <c r="G52" s="9">
        <v>120.64061100000001</v>
      </c>
      <c r="H52" s="9" t="str">
        <f t="shared" si="3"/>
        <v>14.95635,120.640611</v>
      </c>
      <c r="I52" s="9" t="s">
        <v>121</v>
      </c>
      <c r="J52" s="9">
        <v>1</v>
      </c>
      <c r="K52" s="9">
        <v>2014</v>
      </c>
      <c r="L52" s="66">
        <v>250000</v>
      </c>
      <c r="M52" s="9" t="s">
        <v>145</v>
      </c>
      <c r="N52" s="9"/>
      <c r="O52" s="9" t="s">
        <v>133</v>
      </c>
      <c r="P52" s="9" t="s">
        <v>63</v>
      </c>
      <c r="Q52" s="9"/>
      <c r="R52" s="22"/>
      <c r="S52" s="22"/>
      <c r="T52" s="22"/>
      <c r="U52" s="22"/>
      <c r="V52" s="22"/>
      <c r="W52" s="244" t="str">
        <f>IFERROR(
    IF(
        OR(ISBLANK(R52), ISBLANK(S52)),
        "",
        MAX(
            1,
            IF(
                NETWORKDAYS(R52, S52, Holiday_Dates) &lt;= 0,
                1,
                NETWORKDAYS(R52, S52, Holiday_Dates) - IF(R52 = S52, 0, 1)
            )
        )
    ),
    ""
)</f>
        <v/>
      </c>
      <c r="X52" s="244" t="str">
        <f>IF(
    OR(ISBLANK(S52), ISBLANK(T52)),
    "",
    MAX(
        1,
        IF(
            NETWORKDAYS(S52, T52, Holiday_Dates) &lt;= 0,
            1,
            NETWORKDAYS(S52, T52, Holiday_Dates) - IF(S52 = T52, 0, 1)
        )
    )
)</f>
        <v/>
      </c>
      <c r="Y52" s="244" t="str">
        <f>IFERROR(
    IF(
        OR(ISBLANK(S52), AND(ISBLANK(T52), ISBLANK(U52))),
        "",
        MAX(
            1,
            IF(
                NETWORKDAYS(IF(NOT(ISBLANK(U52)), U52, T52), U52, Holiday_Dates) &lt;= 0,
                1,
                NETWORKDAYS(IF(NOT(ISBLANK(U52)), U52, T52), U52, Holiday_Dates)
                - IF(IF(NOT(ISBLANK(U52)), U52, T52) = U52, 0, 1)
            )
        )
    ),
    ""
)</f>
        <v/>
      </c>
      <c r="Z52" s="244" t="str">
        <f t="shared" si="2"/>
        <v/>
      </c>
      <c r="AA52" s="6"/>
      <c r="AB52" s="9"/>
      <c r="AC52" s="6"/>
      <c r="AD52" s="6"/>
      <c r="AE52" s="44"/>
      <c r="AF52" s="421"/>
      <c r="AG52" s="45"/>
      <c r="AH52" s="9"/>
      <c r="AI52" s="9"/>
      <c r="AJ52" s="6"/>
      <c r="AK52" s="6"/>
      <c r="AL52" s="9"/>
      <c r="AM52" s="9"/>
      <c r="AN52" s="9"/>
      <c r="AO52" s="9"/>
      <c r="AP52" s="9"/>
      <c r="AQ52" s="6"/>
      <c r="AR52" s="9"/>
      <c r="AS52" s="7"/>
    </row>
    <row r="53" spans="1:45" ht="15" customHeight="1">
      <c r="A53" s="6" t="s">
        <v>52</v>
      </c>
      <c r="B53" s="6" t="s">
        <v>360</v>
      </c>
      <c r="C53" s="6" t="s">
        <v>730</v>
      </c>
      <c r="D53" s="9" t="s">
        <v>88</v>
      </c>
      <c r="E53" s="7" t="s">
        <v>271</v>
      </c>
      <c r="F53" s="9">
        <v>15.619199999999999</v>
      </c>
      <c r="G53" s="9">
        <v>120.6841</v>
      </c>
      <c r="H53" s="9" t="str">
        <f t="shared" si="3"/>
        <v>15.6192,120.6841</v>
      </c>
      <c r="I53" s="9" t="s">
        <v>121</v>
      </c>
      <c r="J53" s="9">
        <v>2</v>
      </c>
      <c r="K53" s="9" t="s">
        <v>695</v>
      </c>
      <c r="L53" s="44" t="s">
        <v>731</v>
      </c>
      <c r="M53" s="9" t="s">
        <v>37</v>
      </c>
      <c r="N53" s="9"/>
      <c r="O53" s="36" t="s">
        <v>28</v>
      </c>
      <c r="P53" s="9" t="s">
        <v>63</v>
      </c>
      <c r="Q53" s="9"/>
      <c r="R53" s="22"/>
      <c r="S53" s="22"/>
      <c r="T53" s="9"/>
      <c r="U53" s="22"/>
      <c r="V53" s="22"/>
      <c r="W53" s="244" t="str">
        <f>IFERROR(
    IF(
        OR(ISBLANK(R53), ISBLANK(S53)),
        "",
        MAX(
            1,
            IF(
                NETWORKDAYS(R53, S53, Holiday_Dates) &lt;= 0,
                1,
                NETWORKDAYS(R53, S53, Holiday_Dates) - IF(R53 = S53, 0, 1)
            )
        )
    ),
    ""
)</f>
        <v/>
      </c>
      <c r="X53" s="244" t="str">
        <f>IF(
    OR(ISBLANK(S53), ISBLANK(T53)),
    "",
    MAX(
        1,
        IF(
            NETWORKDAYS(S53, T53, Holiday_Dates) &lt;= 0,
            1,
            NETWORKDAYS(S53, T53, Holiday_Dates) - IF(S53 = T53, 0, 1)
        )
    )
)</f>
        <v/>
      </c>
      <c r="Y53" s="244" t="str">
        <f>IFERROR(
    IF(
        OR(ISBLANK(S53), AND(ISBLANK(T53), ISBLANK(U53))),
        "",
        MAX(
            1,
            IF(
                NETWORKDAYS(IF(NOT(ISBLANK(U53)), U53, T53), U53, Holiday_Dates) &lt;= 0,
                1,
                NETWORKDAYS(IF(NOT(ISBLANK(U53)), U53, T53), U53, Holiday_Dates)
                - IF(IF(NOT(ISBLANK(U53)), U53, T53) = U53, 0, 1)
            )
        )
    ),
    ""
)</f>
        <v/>
      </c>
      <c r="Z53" s="244" t="str">
        <f t="shared" si="2"/>
        <v/>
      </c>
      <c r="AA53" s="9"/>
      <c r="AB53" s="9"/>
      <c r="AC53" s="6"/>
      <c r="AD53" s="6"/>
      <c r="AE53" s="9"/>
      <c r="AF53" s="9"/>
      <c r="AG53" s="45"/>
      <c r="AH53" s="9"/>
      <c r="AI53" s="9"/>
      <c r="AJ53" s="6"/>
      <c r="AK53" s="6"/>
      <c r="AL53" s="9"/>
      <c r="AM53" s="9"/>
      <c r="AN53" s="9"/>
      <c r="AO53" s="9"/>
      <c r="AP53" s="9"/>
      <c r="AQ53" s="6"/>
      <c r="AR53" s="9"/>
      <c r="AS53" s="9"/>
    </row>
    <row r="54" spans="1:45" ht="15" customHeight="1">
      <c r="A54" s="6" t="s">
        <v>53</v>
      </c>
      <c r="B54" s="6" t="s">
        <v>456</v>
      </c>
      <c r="C54" s="6" t="s">
        <v>732</v>
      </c>
      <c r="D54" s="39" t="s">
        <v>89</v>
      </c>
      <c r="E54" s="39" t="s">
        <v>271</v>
      </c>
      <c r="F54" s="9">
        <v>15.582189</v>
      </c>
      <c r="G54" s="9">
        <v>119.934836</v>
      </c>
      <c r="H54" s="9" t="str">
        <f t="shared" si="3"/>
        <v>15.582189,119.934836</v>
      </c>
      <c r="I54" s="9" t="s">
        <v>122</v>
      </c>
      <c r="J54" s="9">
        <v>1</v>
      </c>
      <c r="K54" s="9">
        <v>2018</v>
      </c>
      <c r="L54" s="9">
        <v>427500</v>
      </c>
      <c r="M54" s="9" t="s">
        <v>42</v>
      </c>
      <c r="N54" s="9"/>
      <c r="O54" s="9" t="s">
        <v>133</v>
      </c>
      <c r="P54" s="9" t="s">
        <v>63</v>
      </c>
      <c r="Q54" s="9"/>
      <c r="R54" s="22"/>
      <c r="S54" s="22"/>
      <c r="T54" s="22"/>
      <c r="U54" s="22"/>
      <c r="V54" s="22"/>
      <c r="W54" s="244" t="str">
        <f>IFERROR(
    IF(
        OR(ISBLANK(R54), ISBLANK(S54)),
        "",
        MAX(
            1,
            IF(
                NETWORKDAYS(R54, S54, Holiday_Dates) &lt;= 0,
                1,
                NETWORKDAYS(R54, S54, Holiday_Dates) - IF(R54 = S54, 0, 1)
            )
        )
    ),
    ""
)</f>
        <v/>
      </c>
      <c r="X54" s="244" t="str">
        <f>IF(
    OR(ISBLANK(S54), ISBLANK(T54)),
    "",
    MAX(
        1,
        IF(
            NETWORKDAYS(S54, T54, Holiday_Dates) &lt;= 0,
            1,
            NETWORKDAYS(S54, T54, Holiday_Dates) - IF(S54 = T54, 0, 1)
        )
    )
)</f>
        <v/>
      </c>
      <c r="Y54" s="244" t="str">
        <f>IFERROR(
    IF(
        OR(ISBLANK(S54), AND(ISBLANK(T54), ISBLANK(U54))),
        "",
        MAX(
            1,
            IF(
                NETWORKDAYS(IF(NOT(ISBLANK(U54)), U54, T54), U54, Holiday_Dates) &lt;= 0,
                1,
                NETWORKDAYS(IF(NOT(ISBLANK(U54)), U54, T54), U54, Holiday_Dates)
                - IF(IF(NOT(ISBLANK(U54)), U54, T54) = U54, 0, 1)
            )
        )
    ),
    ""
)</f>
        <v/>
      </c>
      <c r="Z54" s="244" t="str">
        <f t="shared" si="2"/>
        <v/>
      </c>
      <c r="AA54" s="6"/>
      <c r="AB54" s="9"/>
      <c r="AC54" s="6"/>
      <c r="AD54" s="6"/>
      <c r="AE54" s="9"/>
      <c r="AF54" s="9"/>
      <c r="AG54" s="45"/>
      <c r="AH54" s="9"/>
      <c r="AI54" s="9"/>
      <c r="AJ54" s="6"/>
      <c r="AK54" s="6"/>
      <c r="AL54" s="9"/>
      <c r="AM54" s="9"/>
      <c r="AN54" s="9"/>
      <c r="AO54" s="9"/>
      <c r="AP54" s="9"/>
      <c r="AQ54" s="6"/>
      <c r="AR54" s="9"/>
      <c r="AS54" s="9"/>
    </row>
    <row r="55" spans="1:45" ht="15" customHeight="1">
      <c r="A55" s="3" t="s">
        <v>53</v>
      </c>
      <c r="B55" s="3" t="s">
        <v>733</v>
      </c>
      <c r="C55" s="3" t="s">
        <v>734</v>
      </c>
      <c r="D55" s="32" t="s">
        <v>89</v>
      </c>
      <c r="E55" s="32" t="s">
        <v>271</v>
      </c>
      <c r="F55" s="7">
        <v>15.444043000000001</v>
      </c>
      <c r="G55" s="7">
        <v>120.016738</v>
      </c>
      <c r="H55" s="7" t="str">
        <f t="shared" si="3"/>
        <v>15.444043,120.016738</v>
      </c>
      <c r="I55" s="7" t="s">
        <v>121</v>
      </c>
      <c r="J55" s="7">
        <v>1</v>
      </c>
      <c r="K55" s="7">
        <v>2019</v>
      </c>
      <c r="L55" s="416">
        <v>502714.29</v>
      </c>
      <c r="M55" s="7" t="s">
        <v>42</v>
      </c>
      <c r="N55" s="7"/>
      <c r="O55" s="7" t="s">
        <v>133</v>
      </c>
      <c r="P55" s="9" t="s">
        <v>63</v>
      </c>
      <c r="Q55" s="300"/>
      <c r="R55" s="313"/>
      <c r="S55" s="313"/>
      <c r="T55" s="313"/>
      <c r="U55" s="313"/>
      <c r="V55" s="313"/>
      <c r="W55" s="244" t="str">
        <f>IFERROR(
    IF(
        OR(ISBLANK(R55), ISBLANK(S55)),
        "",
        MAX(
            1,
            IF(
                NETWORKDAYS(R55, S55, Holiday_Dates) &lt;= 0,
                1,
                NETWORKDAYS(R55, S55, Holiday_Dates) - IF(R55 = S55, 0, 1)
            )
        )
    ),
    ""
)</f>
        <v/>
      </c>
      <c r="X55" s="244" t="str">
        <f>IF(
    OR(ISBLANK(S55), ISBLANK(T55)),
    "",
    MAX(
        1,
        IF(
            NETWORKDAYS(S55, T55, Holiday_Dates) &lt;= 0,
            1,
            NETWORKDAYS(S55, T55, Holiday_Dates) - IF(S55 = T55, 0, 1)
        )
    )
)</f>
        <v/>
      </c>
      <c r="Y55" s="244" t="str">
        <f>IFERROR(
    IF(
        OR(ISBLANK(S55), AND(ISBLANK(T55), ISBLANK(U55))),
        "",
        MAX(
            1,
            IF(
                NETWORKDAYS(IF(NOT(ISBLANK(U55)), U55, T55), U55, Holiday_Dates) &lt;= 0,
                1,
                NETWORKDAYS(IF(NOT(ISBLANK(U55)), U55, T55), U55, Holiday_Dates)
                - IF(IF(NOT(ISBLANK(U55)), U55, T55) = U55, 0, 1)
            )
        )
    ),
    ""
)</f>
        <v/>
      </c>
      <c r="Z55" s="244" t="str">
        <f t="shared" si="2"/>
        <v/>
      </c>
      <c r="AA55" s="7"/>
      <c r="AB55" s="7"/>
      <c r="AC55" s="3"/>
      <c r="AD55" s="3"/>
      <c r="AE55" s="7"/>
      <c r="AF55" s="7"/>
      <c r="AG55" s="417"/>
      <c r="AH55" s="7"/>
      <c r="AI55" s="7"/>
      <c r="AJ55" s="3"/>
      <c r="AK55" s="3"/>
      <c r="AL55" s="3"/>
      <c r="AM55" s="7"/>
      <c r="AN55" s="7"/>
      <c r="AO55" s="7"/>
      <c r="AP55" s="7"/>
      <c r="AQ55" s="3"/>
      <c r="AR55" s="7"/>
      <c r="AS55" s="271"/>
    </row>
    <row r="56" spans="1:45" ht="15" customHeight="1">
      <c r="A56" s="6" t="s">
        <v>47</v>
      </c>
      <c r="B56" s="6" t="s">
        <v>370</v>
      </c>
      <c r="C56" s="6">
        <v>5</v>
      </c>
      <c r="D56" s="39" t="s">
        <v>89</v>
      </c>
      <c r="E56" s="39" t="s">
        <v>259</v>
      </c>
      <c r="F56" s="9">
        <v>15.759167</v>
      </c>
      <c r="G56" s="9">
        <v>121.562848</v>
      </c>
      <c r="H56" s="9" t="str">
        <f t="shared" si="3"/>
        <v>15.759167,121.562848</v>
      </c>
      <c r="I56" s="9" t="s">
        <v>122</v>
      </c>
      <c r="J56" s="9">
        <v>1</v>
      </c>
      <c r="K56" s="9">
        <v>2018</v>
      </c>
      <c r="L56" s="66">
        <v>427500</v>
      </c>
      <c r="M56" s="9" t="s">
        <v>13</v>
      </c>
      <c r="N56" s="9"/>
      <c r="O56" s="9" t="s">
        <v>128</v>
      </c>
      <c r="P56" s="9" t="s">
        <v>64</v>
      </c>
      <c r="Q56" s="9"/>
      <c r="R56" s="591"/>
      <c r="S56" s="22"/>
      <c r="T56" s="22"/>
      <c r="U56" s="22"/>
      <c r="V56" s="22"/>
      <c r="W56" s="244" t="str">
        <f>IFERROR(
    IF(
        OR(ISBLANK(R56), ISBLANK(S56)),
        "",
        MAX(
            1,
            IF(
                NETWORKDAYS(R56, S56, Holiday_Dates) &lt;= 0,
                1,
                NETWORKDAYS(R56, S56, Holiday_Dates) - IF(R56 = S56, 0, 1)
            )
        )
    ),
    ""
)</f>
        <v/>
      </c>
      <c r="X56" s="244" t="str">
        <f>IF(
    OR(ISBLANK(S56), ISBLANK(T56)),
    "",
    MAX(
        1,
        IF(
            NETWORKDAYS(S56, T56, Holiday_Dates) &lt;= 0,
            1,
            NETWORKDAYS(S56, T56, Holiday_Dates) - IF(S56 = T56, 0, 1)
        )
    )
)</f>
        <v/>
      </c>
      <c r="Y56" s="244" t="str">
        <f>IFERROR(
    IF(
        OR(ISBLANK(S56), AND(ISBLANK(T56), ISBLANK(U56))),
        "",
        MAX(
            1,
            IF(
                NETWORKDAYS(IF(NOT(ISBLANK(U56)), U56, T56), U56, Holiday_Dates) &lt;= 0,
                1,
                NETWORKDAYS(IF(NOT(ISBLANK(U56)), U56, T56), U56, Holiday_Dates)
                - IF(IF(NOT(ISBLANK(U56)), U56, T56) = U56, 0, 1)
            )
        )
    ),
    ""
)</f>
        <v/>
      </c>
      <c r="Z56" s="244" t="str">
        <f t="shared" si="2"/>
        <v/>
      </c>
      <c r="AA56" s="6"/>
      <c r="AB56" s="9"/>
      <c r="AC56" s="6"/>
      <c r="AD56" s="6"/>
      <c r="AE56" s="6"/>
      <c r="AF56" s="6"/>
      <c r="AG56" s="45"/>
      <c r="AH56" s="9"/>
      <c r="AI56" s="9"/>
      <c r="AJ56" s="6"/>
      <c r="AK56" s="6"/>
      <c r="AL56" s="9"/>
      <c r="AM56" s="9"/>
      <c r="AN56" s="9"/>
      <c r="AO56" s="9"/>
      <c r="AP56" s="9"/>
      <c r="AQ56" s="6"/>
      <c r="AR56" s="9"/>
      <c r="AS56" s="271"/>
    </row>
    <row r="57" spans="1:45" ht="15" customHeight="1">
      <c r="A57" s="6" t="s">
        <v>47</v>
      </c>
      <c r="B57" s="6" t="s">
        <v>370</v>
      </c>
      <c r="C57" s="6" t="s">
        <v>735</v>
      </c>
      <c r="D57" s="39" t="s">
        <v>89</v>
      </c>
      <c r="E57" s="39" t="s">
        <v>259</v>
      </c>
      <c r="F57" s="9">
        <v>15.751450999999999</v>
      </c>
      <c r="G57" s="9">
        <v>121.56715079999999</v>
      </c>
      <c r="H57" s="9" t="str">
        <f t="shared" si="3"/>
        <v>15.751451,121.5671508</v>
      </c>
      <c r="I57" s="9" t="s">
        <v>122</v>
      </c>
      <c r="J57" s="9">
        <v>1</v>
      </c>
      <c r="K57" s="9">
        <v>2018</v>
      </c>
      <c r="L57" s="66">
        <v>427500</v>
      </c>
      <c r="M57" s="9" t="s">
        <v>13</v>
      </c>
      <c r="N57" s="9"/>
      <c r="O57" s="9" t="s">
        <v>128</v>
      </c>
      <c r="P57" s="9" t="s">
        <v>64</v>
      </c>
      <c r="Q57" s="47"/>
      <c r="R57" s="22"/>
      <c r="S57" s="22"/>
      <c r="T57" s="22"/>
      <c r="U57" s="22"/>
      <c r="V57" s="22"/>
      <c r="W57" s="244" t="str">
        <f>IFERROR(
    IF(
        OR(ISBLANK(R57), ISBLANK(S57)),
        "",
        MAX(
            1,
            IF(
                NETWORKDAYS(R57, S57, Holiday_Dates) &lt;= 0,
                1,
                NETWORKDAYS(R57, S57, Holiday_Dates) - IF(R57 = S57, 0, 1)
            )
        )
    ),
    ""
)</f>
        <v/>
      </c>
      <c r="X57" s="244" t="str">
        <f>IF(
    OR(ISBLANK(S57), ISBLANK(T57)),
    "",
    MAX(
        1,
        IF(
            NETWORKDAYS(S57, T57, Holiday_Dates) &lt;= 0,
            1,
            NETWORKDAYS(S57, T57, Holiday_Dates) - IF(S57 = T57, 0, 1)
        )
    )
)</f>
        <v/>
      </c>
      <c r="Y57" s="244" t="str">
        <f>IFERROR(
    IF(
        OR(ISBLANK(S57), AND(ISBLANK(T57), ISBLANK(U57))),
        "",
        MAX(
            1,
            IF(
                NETWORKDAYS(IF(NOT(ISBLANK(U57)), U57, T57), U57, Holiday_Dates) &lt;= 0,
                1,
                NETWORKDAYS(IF(NOT(ISBLANK(U57)), U57, T57), U57, Holiday_Dates)
                - IF(IF(NOT(ISBLANK(U57)), U57, T57) = U57, 0, 1)
            )
        )
    ),
    ""
)</f>
        <v/>
      </c>
      <c r="Z57" s="244" t="str">
        <f t="shared" si="2"/>
        <v/>
      </c>
      <c r="AA57" s="9"/>
      <c r="AB57" s="9"/>
      <c r="AC57" s="6"/>
      <c r="AD57" s="6"/>
      <c r="AE57" s="6"/>
      <c r="AF57" s="6"/>
      <c r="AG57" s="45"/>
      <c r="AH57" s="9"/>
      <c r="AI57" s="6"/>
      <c r="AJ57" s="6"/>
      <c r="AK57" s="6"/>
      <c r="AL57" s="294"/>
      <c r="AM57" s="6"/>
      <c r="AN57" s="9"/>
      <c r="AO57" s="9"/>
      <c r="AP57" s="9"/>
      <c r="AQ57" s="6"/>
      <c r="AR57" s="9"/>
      <c r="AS57" s="273"/>
    </row>
    <row r="58" spans="1:45" ht="15" customHeight="1">
      <c r="A58" s="6" t="s">
        <v>47</v>
      </c>
      <c r="B58" s="6" t="s">
        <v>476</v>
      </c>
      <c r="C58" s="6" t="s">
        <v>736</v>
      </c>
      <c r="D58" s="39" t="s">
        <v>89</v>
      </c>
      <c r="E58" s="39" t="s">
        <v>259</v>
      </c>
      <c r="F58" s="9">
        <v>15.696968999999999</v>
      </c>
      <c r="G58" s="9">
        <v>121.514396</v>
      </c>
      <c r="H58" s="9" t="str">
        <f t="shared" si="3"/>
        <v>15.696969,121.514396</v>
      </c>
      <c r="I58" s="9" t="s">
        <v>121</v>
      </c>
      <c r="J58" s="9">
        <v>1</v>
      </c>
      <c r="K58" s="9">
        <v>2018</v>
      </c>
      <c r="L58" s="66">
        <v>475000</v>
      </c>
      <c r="M58" s="9" t="s">
        <v>13</v>
      </c>
      <c r="N58" s="9"/>
      <c r="O58" s="9" t="s">
        <v>128</v>
      </c>
      <c r="P58" s="9" t="s">
        <v>64</v>
      </c>
      <c r="Q58" s="9"/>
      <c r="R58" s="22"/>
      <c r="S58" s="22"/>
      <c r="T58" s="22"/>
      <c r="U58" s="22"/>
      <c r="V58" s="22"/>
      <c r="W58" s="244" t="str">
        <f>IFERROR(
    IF(
        OR(ISBLANK(R58), ISBLANK(S58)),
        "",
        MAX(
            1,
            IF(
                NETWORKDAYS(R58, S58, Holiday_Dates) &lt;= 0,
                1,
                NETWORKDAYS(R58, S58, Holiday_Dates) - IF(R58 = S58, 0, 1)
            )
        )
    ),
    ""
)</f>
        <v/>
      </c>
      <c r="X58" s="244" t="str">
        <f>IF(
    OR(ISBLANK(S58), ISBLANK(T58)),
    "",
    MAX(
        1,
        IF(
            NETWORKDAYS(S58, T58, Holiday_Dates) &lt;= 0,
            1,
            NETWORKDAYS(S58, T58, Holiday_Dates) - IF(S58 = T58, 0, 1)
        )
    )
)</f>
        <v/>
      </c>
      <c r="Y58" s="244" t="str">
        <f>IFERROR(
    IF(
        OR(ISBLANK(S58), AND(ISBLANK(T58), ISBLANK(U58))),
        "",
        MAX(
            1,
            IF(
                NETWORKDAYS(IF(NOT(ISBLANK(U58)), U58, T58), U58, Holiday_Dates) &lt;= 0,
                1,
                NETWORKDAYS(IF(NOT(ISBLANK(U58)), U58, T58), U58, Holiday_Dates)
                - IF(IF(NOT(ISBLANK(U58)), U58, T58) = U58, 0, 1)
            )
        )
    ),
    ""
)</f>
        <v/>
      </c>
      <c r="Z58" s="244" t="str">
        <f t="shared" si="2"/>
        <v/>
      </c>
      <c r="AA58" s="9"/>
      <c r="AB58" s="9"/>
      <c r="AC58" s="6"/>
      <c r="AD58" s="6"/>
      <c r="AE58" s="9"/>
      <c r="AF58" s="9"/>
      <c r="AG58" s="45"/>
      <c r="AH58" s="9"/>
      <c r="AI58" s="9"/>
      <c r="AJ58" s="6"/>
      <c r="AK58" s="6"/>
      <c r="AL58" s="9"/>
      <c r="AM58" s="9"/>
      <c r="AN58" s="9"/>
      <c r="AO58" s="9"/>
      <c r="AP58" s="9"/>
      <c r="AQ58" s="6"/>
      <c r="AR58" s="9"/>
      <c r="AS58" s="9"/>
    </row>
    <row r="59" spans="1:45" ht="75.75" customHeight="1">
      <c r="A59" s="6" t="s">
        <v>48</v>
      </c>
      <c r="B59" s="6" t="s">
        <v>265</v>
      </c>
      <c r="C59" s="6" t="s">
        <v>737</v>
      </c>
      <c r="D59" s="9" t="s">
        <v>88</v>
      </c>
      <c r="E59" s="39" t="s">
        <v>213</v>
      </c>
      <c r="F59" s="9">
        <v>14.610300000000001</v>
      </c>
      <c r="G59" s="9">
        <v>120.4074</v>
      </c>
      <c r="H59" s="9" t="str">
        <f t="shared" si="3"/>
        <v>14.6103,120.4074</v>
      </c>
      <c r="I59" s="9" t="s">
        <v>121</v>
      </c>
      <c r="J59" s="9">
        <v>1</v>
      </c>
      <c r="K59" s="9">
        <v>2016</v>
      </c>
      <c r="L59" s="9">
        <v>270000</v>
      </c>
      <c r="M59" s="9" t="s">
        <v>19</v>
      </c>
      <c r="N59" s="9"/>
      <c r="O59" s="9" t="s">
        <v>129</v>
      </c>
      <c r="P59" s="9" t="s">
        <v>64</v>
      </c>
      <c r="Q59" s="9"/>
      <c r="R59" s="22"/>
      <c r="S59" s="22"/>
      <c r="T59" s="22"/>
      <c r="U59" s="22"/>
      <c r="V59" s="22"/>
      <c r="W59" s="244" t="str">
        <f>IFERROR(
    IF(
        OR(ISBLANK(R59), ISBLANK(S59)),
        "",
        MAX(
            1,
            IF(
                NETWORKDAYS(R59, S59, Holiday_Dates) &lt;= 0,
                1,
                NETWORKDAYS(R59, S59, Holiday_Dates) - IF(R59 = S59, 0, 1)
            )
        )
    ),
    ""
)</f>
        <v/>
      </c>
      <c r="X59" s="244" t="str">
        <f>IF(
    OR(ISBLANK(S59), ISBLANK(T59)),
    "",
    MAX(
        1,
        IF(
            NETWORKDAYS(S59, T59, Holiday_Dates) &lt;= 0,
            1,
            NETWORKDAYS(S59, T59, Holiday_Dates) - IF(S59 = T59, 0, 1)
        )
    )
)</f>
        <v/>
      </c>
      <c r="Y59" s="244" t="str">
        <f>IFERROR(
    IF(
        OR(ISBLANK(S59), AND(ISBLANK(T59), ISBLANK(U59))),
        "",
        MAX(
            1,
            IF(
                NETWORKDAYS(IF(NOT(ISBLANK(U59)), U59, T59), U59, Holiday_Dates) &lt;= 0,
                1,
                NETWORKDAYS(IF(NOT(ISBLANK(U59)), U59, T59), U59, Holiday_Dates)
                - IF(IF(NOT(ISBLANK(U59)), U59, T59) = U59, 0, 1)
            )
        )
    ),
    ""
)</f>
        <v/>
      </c>
      <c r="Z59" s="244" t="str">
        <f t="shared" si="2"/>
        <v/>
      </c>
      <c r="AA59" s="9"/>
      <c r="AB59" s="9"/>
      <c r="AC59" s="6"/>
      <c r="AD59" s="6"/>
      <c r="AE59" s="9"/>
      <c r="AF59" s="44"/>
      <c r="AG59" s="45"/>
      <c r="AH59" s="9"/>
      <c r="AI59" s="9"/>
      <c r="AJ59" s="6"/>
      <c r="AK59" s="6"/>
      <c r="AL59" s="9"/>
      <c r="AM59" s="9"/>
      <c r="AN59" s="9"/>
      <c r="AO59" s="9"/>
      <c r="AP59" s="9"/>
      <c r="AQ59" s="6"/>
      <c r="AR59" s="9"/>
      <c r="AS59" s="9"/>
    </row>
    <row r="60" spans="1:45" s="31" customFormat="1" ht="15" customHeight="1">
      <c r="A60" s="6" t="s">
        <v>49</v>
      </c>
      <c r="B60" s="6" t="s">
        <v>340</v>
      </c>
      <c r="C60" s="6" t="s">
        <v>738</v>
      </c>
      <c r="D60" s="9" t="s">
        <v>88</v>
      </c>
      <c r="E60" s="39" t="s">
        <v>259</v>
      </c>
      <c r="F60" s="9">
        <v>14.8477</v>
      </c>
      <c r="G60" s="9">
        <v>121.0722</v>
      </c>
      <c r="H60" s="9" t="str">
        <f t="shared" si="3"/>
        <v>14.8477,121.0722</v>
      </c>
      <c r="I60" s="9" t="s">
        <v>121</v>
      </c>
      <c r="J60" s="9">
        <v>1</v>
      </c>
      <c r="K60" s="9">
        <v>2016</v>
      </c>
      <c r="L60" s="9">
        <v>270000</v>
      </c>
      <c r="M60" s="9" t="s">
        <v>227</v>
      </c>
      <c r="N60" s="9"/>
      <c r="O60" s="9" t="s">
        <v>128</v>
      </c>
      <c r="P60" s="9" t="s">
        <v>64</v>
      </c>
      <c r="Q60" s="41"/>
      <c r="R60" s="22"/>
      <c r="S60" s="22"/>
      <c r="T60" s="22"/>
      <c r="U60" s="22"/>
      <c r="V60" s="22"/>
      <c r="W60" s="244" t="str">
        <f>IFERROR(
    IF(
        OR(ISBLANK(R60), ISBLANK(S60)),
        "",
        MAX(
            1,
            IF(
                NETWORKDAYS(R60, S60, Holiday_Dates) &lt;= 0,
                1,
                NETWORKDAYS(R60, S60, Holiday_Dates) - IF(R60 = S60, 0, 1)
            )
        )
    ),
    ""
)</f>
        <v/>
      </c>
      <c r="X60" s="244" t="str">
        <f>IF(
    OR(ISBLANK(S60), ISBLANK(T60)),
    "",
    MAX(
        1,
        IF(
            NETWORKDAYS(S60, T60, Holiday_Dates) &lt;= 0,
            1,
            NETWORKDAYS(S60, T60, Holiday_Dates) - IF(S60 = T60, 0, 1)
        )
    )
)</f>
        <v/>
      </c>
      <c r="Y60" s="244" t="str">
        <f>IFERROR(
    IF(
        OR(ISBLANK(S60), AND(ISBLANK(T60), ISBLANK(U60))),
        "",
        MAX(
            1,
            IF(
                NETWORKDAYS(IF(NOT(ISBLANK(U60)), U60, T60), U60, Holiday_Dates) &lt;= 0,
                1,
                NETWORKDAYS(IF(NOT(ISBLANK(U60)), U60, T60), U60, Holiday_Dates)
                - IF(IF(NOT(ISBLANK(U60)), U60, T60) = U60, 0, 1)
            )
        )
    ),
    ""
)</f>
        <v/>
      </c>
      <c r="Z60" s="244" t="str">
        <f t="shared" si="2"/>
        <v/>
      </c>
      <c r="AA60" s="9"/>
      <c r="AB60" s="9"/>
      <c r="AC60" s="6"/>
      <c r="AD60" s="6"/>
      <c r="AE60" s="66"/>
      <c r="AF60" s="66"/>
      <c r="AG60" s="45"/>
      <c r="AH60" s="9"/>
      <c r="AI60" s="9"/>
      <c r="AJ60" s="6"/>
      <c r="AK60" s="6"/>
      <c r="AL60" s="9"/>
      <c r="AM60" s="9"/>
      <c r="AN60" s="9"/>
      <c r="AO60" s="9"/>
      <c r="AP60" s="9"/>
      <c r="AQ60" s="6"/>
      <c r="AR60" s="9"/>
      <c r="AS60" s="9"/>
    </row>
    <row r="61" spans="1:45" ht="15" customHeight="1">
      <c r="A61" s="6" t="s">
        <v>49</v>
      </c>
      <c r="B61" s="6" t="s">
        <v>340</v>
      </c>
      <c r="C61" s="6" t="s">
        <v>739</v>
      </c>
      <c r="D61" s="9" t="s">
        <v>88</v>
      </c>
      <c r="E61" s="39" t="s">
        <v>259</v>
      </c>
      <c r="F61" s="9">
        <v>14.820902999999999</v>
      </c>
      <c r="G61" s="9">
        <v>121.025722</v>
      </c>
      <c r="H61" s="9" t="str">
        <f t="shared" si="3"/>
        <v>14.820903,121.025722</v>
      </c>
      <c r="I61" s="9" t="s">
        <v>122</v>
      </c>
      <c r="J61" s="9">
        <v>1</v>
      </c>
      <c r="K61" s="9">
        <v>2017</v>
      </c>
      <c r="L61" s="66">
        <v>460000</v>
      </c>
      <c r="M61" s="9" t="s">
        <v>227</v>
      </c>
      <c r="N61" s="9"/>
      <c r="O61" s="9" t="s">
        <v>128</v>
      </c>
      <c r="P61" s="9" t="s">
        <v>64</v>
      </c>
      <c r="Q61" s="9"/>
      <c r="R61" s="22"/>
      <c r="S61" s="22"/>
      <c r="T61" s="22"/>
      <c r="U61" s="22"/>
      <c r="V61" s="22"/>
      <c r="W61" s="244" t="str">
        <f>IFERROR(
    IF(
        OR(ISBLANK(R61), ISBLANK(S61)),
        "",
        MAX(
            1,
            IF(
                NETWORKDAYS(R61, S61, Holiday_Dates) &lt;= 0,
                1,
                NETWORKDAYS(R61, S61, Holiday_Dates) - IF(R61 = S61, 0, 1)
            )
        )
    ),
    ""
)</f>
        <v/>
      </c>
      <c r="X61" s="244" t="str">
        <f>IF(
    OR(ISBLANK(S61), ISBLANK(T61)),
    "",
    MAX(
        1,
        IF(
            NETWORKDAYS(S61, T61, Holiday_Dates) &lt;= 0,
            1,
            NETWORKDAYS(S61, T61, Holiday_Dates) - IF(S61 = T61, 0, 1)
        )
    )
)</f>
        <v/>
      </c>
      <c r="Y61" s="244" t="str">
        <f>IFERROR(
    IF(
        OR(ISBLANK(S61), AND(ISBLANK(T61), ISBLANK(U61))),
        "",
        MAX(
            1,
            IF(
                NETWORKDAYS(IF(NOT(ISBLANK(U61)), U61, T61), U61, Holiday_Dates) &lt;= 0,
                1,
                NETWORKDAYS(IF(NOT(ISBLANK(U61)), U61, T61), U61, Holiday_Dates)
                - IF(IF(NOT(ISBLANK(U61)), U61, T61) = U61, 0, 1)
            )
        )
    ),
    ""
)</f>
        <v/>
      </c>
      <c r="Z61" s="244" t="str">
        <f t="shared" si="2"/>
        <v/>
      </c>
      <c r="AA61" s="9"/>
      <c r="AB61" s="9"/>
      <c r="AC61" s="6"/>
      <c r="AD61" s="6"/>
      <c r="AE61" s="6"/>
      <c r="AF61" s="9"/>
      <c r="AG61" s="45"/>
      <c r="AH61" s="9"/>
      <c r="AI61" s="9"/>
      <c r="AJ61" s="6"/>
      <c r="AK61" s="6"/>
      <c r="AL61" s="9"/>
      <c r="AM61" s="9"/>
      <c r="AN61" s="9"/>
      <c r="AO61" s="9"/>
      <c r="AP61" s="9"/>
      <c r="AQ61" s="6"/>
      <c r="AR61" s="9"/>
      <c r="AS61" s="9"/>
    </row>
    <row r="62" spans="1:45" ht="22.5" customHeight="1">
      <c r="A62" s="6" t="s">
        <v>49</v>
      </c>
      <c r="B62" s="6" t="s">
        <v>499</v>
      </c>
      <c r="C62" s="6" t="s">
        <v>740</v>
      </c>
      <c r="D62" s="9" t="s">
        <v>88</v>
      </c>
      <c r="E62" s="39" t="s">
        <v>402</v>
      </c>
      <c r="F62" s="9">
        <v>14.904645</v>
      </c>
      <c r="G62" s="9">
        <v>120.971863</v>
      </c>
      <c r="H62" s="9" t="str">
        <f t="shared" si="3"/>
        <v>14.904645,120.971863</v>
      </c>
      <c r="I62" s="9" t="s">
        <v>121</v>
      </c>
      <c r="J62" s="9">
        <v>1</v>
      </c>
      <c r="K62" s="9">
        <v>2020</v>
      </c>
      <c r="L62" s="44">
        <v>190000</v>
      </c>
      <c r="M62" s="9" t="s">
        <v>344</v>
      </c>
      <c r="N62" s="9"/>
      <c r="O62" s="9" t="s">
        <v>128</v>
      </c>
      <c r="P62" s="9" t="s">
        <v>64</v>
      </c>
      <c r="Q62" s="9"/>
      <c r="R62" s="22"/>
      <c r="S62" s="22"/>
      <c r="T62" s="22"/>
      <c r="U62" s="22"/>
      <c r="V62" s="22"/>
      <c r="W62" s="244" t="str">
        <f>IFERROR(
    IF(
        OR(ISBLANK(R62), ISBLANK(S62)),
        "",
        MAX(
            1,
            IF(
                NETWORKDAYS(R62, S62, Holiday_Dates) &lt;= 0,
                1,
                NETWORKDAYS(R62, S62, Holiday_Dates) - IF(R62 = S62, 0, 1)
            )
        )
    ),
    ""
)</f>
        <v/>
      </c>
      <c r="X62" s="244" t="str">
        <f>IF(
    OR(ISBLANK(S62), ISBLANK(T62)),
    "",
    MAX(
        1,
        IF(
            NETWORKDAYS(S62, T62, Holiday_Dates) &lt;= 0,
            1,
            NETWORKDAYS(S62, T62, Holiday_Dates) - IF(S62 = T62, 0, 1)
        )
    )
)</f>
        <v/>
      </c>
      <c r="Y62" s="244" t="str">
        <f>IFERROR(
    IF(
        OR(ISBLANK(S62), AND(ISBLANK(T62), ISBLANK(U62))),
        "",
        MAX(
            1,
            IF(
                NETWORKDAYS(IF(NOT(ISBLANK(U62)), U62, T62), U62, Holiday_Dates) &lt;= 0,
                1,
                NETWORKDAYS(IF(NOT(ISBLANK(U62)), U62, T62), U62, Holiday_Dates)
                - IF(IF(NOT(ISBLANK(U62)), U62, T62) = U62, 0, 1)
            )
        )
    ),
    ""
)</f>
        <v/>
      </c>
      <c r="Z62" s="244" t="str">
        <f t="shared" si="2"/>
        <v/>
      </c>
      <c r="AA62" s="9"/>
      <c r="AB62" s="9"/>
      <c r="AC62" s="6"/>
      <c r="AD62" s="6"/>
      <c r="AE62" s="9"/>
      <c r="AF62" s="9"/>
      <c r="AG62" s="45"/>
      <c r="AH62" s="9"/>
      <c r="AI62" s="9"/>
      <c r="AJ62" s="6"/>
      <c r="AK62" s="6"/>
      <c r="AL62" s="9"/>
      <c r="AM62" s="9"/>
      <c r="AN62" s="9"/>
      <c r="AO62" s="9"/>
      <c r="AP62" s="9"/>
      <c r="AQ62" s="6"/>
      <c r="AR62" s="9"/>
      <c r="AS62" s="271"/>
    </row>
    <row r="63" spans="1:45" ht="15" customHeight="1">
      <c r="A63" s="6" t="s">
        <v>50</v>
      </c>
      <c r="B63" s="6" t="s">
        <v>444</v>
      </c>
      <c r="C63" s="6" t="s">
        <v>741</v>
      </c>
      <c r="D63" s="9" t="s">
        <v>88</v>
      </c>
      <c r="E63" s="39" t="s">
        <v>271</v>
      </c>
      <c r="F63" s="9">
        <v>15.709612</v>
      </c>
      <c r="G63" s="9">
        <v>121.124466</v>
      </c>
      <c r="H63" s="9" t="str">
        <f t="shared" si="3"/>
        <v>15.709612,121.124466</v>
      </c>
      <c r="I63" s="9" t="s">
        <v>121</v>
      </c>
      <c r="J63" s="9">
        <v>2</v>
      </c>
      <c r="K63" s="9" t="s">
        <v>695</v>
      </c>
      <c r="L63" s="9" t="s">
        <v>742</v>
      </c>
      <c r="M63" s="9" t="s">
        <v>26</v>
      </c>
      <c r="N63" s="9"/>
      <c r="O63" s="9" t="s">
        <v>130</v>
      </c>
      <c r="P63" s="9" t="s">
        <v>64</v>
      </c>
      <c r="Q63" s="9"/>
      <c r="R63" s="22"/>
      <c r="S63" s="22"/>
      <c r="T63" s="22"/>
      <c r="U63" s="22"/>
      <c r="V63" s="22"/>
      <c r="W63" s="244" t="str">
        <f>IFERROR(
    IF(
        OR(ISBLANK(R63), ISBLANK(S63)),
        "",
        MAX(
            1,
            IF(
                NETWORKDAYS(R63, S63, Holiday_Dates) &lt;= 0,
                1,
                NETWORKDAYS(R63, S63, Holiday_Dates) - IF(R63 = S63, 0, 1)
            )
        )
    ),
    ""
)</f>
        <v/>
      </c>
      <c r="X63" s="244" t="str">
        <f>IF(
    OR(ISBLANK(S63), ISBLANK(T63)),
    "",
    MAX(
        1,
        IF(
            NETWORKDAYS(S63, T63, Holiday_Dates) &lt;= 0,
            1,
            NETWORKDAYS(S63, T63, Holiday_Dates) - IF(S63 = T63, 0, 1)
        )
    )
)</f>
        <v/>
      </c>
      <c r="Y63" s="244" t="str">
        <f>IFERROR(
    IF(
        OR(ISBLANK(S63), AND(ISBLANK(T63), ISBLANK(U63))),
        "",
        MAX(
            1,
            IF(
                NETWORKDAYS(IF(NOT(ISBLANK(U63)), U63, T63), U63, Holiday_Dates) &lt;= 0,
                1,
                NETWORKDAYS(IF(NOT(ISBLANK(U63)), U63, T63), U63, Holiday_Dates)
                - IF(IF(NOT(ISBLANK(U63)), U63, T63) = U63, 0, 1)
            )
        )
    ),
    ""
)</f>
        <v/>
      </c>
      <c r="Z63" s="244" t="str">
        <f t="shared" si="2"/>
        <v/>
      </c>
      <c r="AA63" s="9"/>
      <c r="AB63" s="9"/>
      <c r="AC63" s="6"/>
      <c r="AD63" s="6"/>
      <c r="AE63" s="9"/>
      <c r="AF63" s="9"/>
      <c r="AG63" s="45"/>
      <c r="AH63" s="9"/>
      <c r="AI63" s="9"/>
      <c r="AJ63" s="6"/>
      <c r="AK63" s="6"/>
      <c r="AL63" s="9"/>
      <c r="AM63" s="9"/>
      <c r="AN63" s="9"/>
      <c r="AO63" s="9"/>
      <c r="AP63" s="9"/>
      <c r="AQ63" s="6"/>
      <c r="AR63" s="9"/>
      <c r="AS63" s="9"/>
    </row>
    <row r="64" spans="1:45" ht="54" customHeight="1">
      <c r="A64" s="6" t="s">
        <v>50</v>
      </c>
      <c r="B64" s="6" t="s">
        <v>388</v>
      </c>
      <c r="C64" s="6" t="s">
        <v>743</v>
      </c>
      <c r="D64" s="9" t="s">
        <v>88</v>
      </c>
      <c r="E64" s="39" t="s">
        <v>271</v>
      </c>
      <c r="F64" s="9">
        <v>15.76037</v>
      </c>
      <c r="G64" s="9">
        <v>120.95538999999999</v>
      </c>
      <c r="H64" s="9" t="str">
        <f t="shared" si="3"/>
        <v>15.76037,120.95539</v>
      </c>
      <c r="I64" s="9" t="s">
        <v>121</v>
      </c>
      <c r="J64" s="9">
        <v>2</v>
      </c>
      <c r="K64" s="9" t="s">
        <v>744</v>
      </c>
      <c r="L64" s="9" t="s">
        <v>745</v>
      </c>
      <c r="M64" s="9" t="s">
        <v>26</v>
      </c>
      <c r="N64" s="9"/>
      <c r="O64" s="9" t="s">
        <v>130</v>
      </c>
      <c r="P64" s="9" t="s">
        <v>64</v>
      </c>
      <c r="Q64" s="9"/>
      <c r="R64" s="22"/>
      <c r="S64" s="22"/>
      <c r="T64" s="22"/>
      <c r="U64" s="22"/>
      <c r="V64" s="22"/>
      <c r="W64" s="244" t="str">
        <f>IFERROR(
    IF(
        OR(ISBLANK(R64), ISBLANK(S64)),
        "",
        MAX(
            1,
            IF(
                NETWORKDAYS(R64, S64, Holiday_Dates) &lt;= 0,
                1,
                NETWORKDAYS(R64, S64, Holiday_Dates) - IF(R64 = S64, 0, 1)
            )
        )
    ),
    ""
)</f>
        <v/>
      </c>
      <c r="X64" s="244" t="str">
        <f>IF(
    OR(ISBLANK(S64), ISBLANK(T64)),
    "",
    MAX(
        1,
        IF(
            NETWORKDAYS(S64, T64, Holiday_Dates) &lt;= 0,
            1,
            NETWORKDAYS(S64, T64, Holiday_Dates) - IF(S64 = T64, 0, 1)
        )
    )
)</f>
        <v/>
      </c>
      <c r="Y64" s="244" t="str">
        <f>IFERROR(
    IF(
        OR(ISBLANK(S64), AND(ISBLANK(T64), ISBLANK(U64))),
        "",
        MAX(
            1,
            IF(
                NETWORKDAYS(IF(NOT(ISBLANK(U64)), U64, T64), U64, Holiday_Dates) &lt;= 0,
                1,
                NETWORKDAYS(IF(NOT(ISBLANK(U64)), U64, T64), U64, Holiday_Dates)
                - IF(IF(NOT(ISBLANK(U64)), U64, T64) = U64, 0, 1)
            )
        )
    ),
    ""
)</f>
        <v/>
      </c>
      <c r="Z64" s="244" t="str">
        <f t="shared" si="2"/>
        <v/>
      </c>
      <c r="AA64" s="9"/>
      <c r="AB64" s="9"/>
      <c r="AC64" s="6"/>
      <c r="AD64" s="3"/>
      <c r="AE64" s="44"/>
      <c r="AF64" s="44"/>
      <c r="AG64" s="45"/>
      <c r="AH64" s="9"/>
      <c r="AJ64" s="6"/>
      <c r="AK64" s="6"/>
      <c r="AL64" s="9"/>
      <c r="AM64" s="9"/>
      <c r="AN64" s="9"/>
      <c r="AO64" s="9"/>
      <c r="AP64" s="9"/>
      <c r="AQ64" s="6"/>
      <c r="AR64" s="9"/>
      <c r="AS64" s="9"/>
    </row>
    <row r="65" spans="1:45">
      <c r="A65" s="6" t="s">
        <v>51</v>
      </c>
      <c r="B65" s="6" t="s">
        <v>532</v>
      </c>
      <c r="C65" s="6" t="s">
        <v>746</v>
      </c>
      <c r="D65" s="9" t="s">
        <v>88</v>
      </c>
      <c r="E65" s="39" t="s">
        <v>271</v>
      </c>
      <c r="F65" s="9">
        <v>14.902004</v>
      </c>
      <c r="G65" s="9">
        <v>120.60343399999999</v>
      </c>
      <c r="H65" s="9" t="str">
        <f t="shared" si="3"/>
        <v>14.902004,120.603434</v>
      </c>
      <c r="I65" s="9" t="s">
        <v>121</v>
      </c>
      <c r="J65" s="9">
        <v>1</v>
      </c>
      <c r="K65" s="9">
        <v>2019</v>
      </c>
      <c r="L65" s="9">
        <v>502714.29</v>
      </c>
      <c r="M65" s="9" t="s">
        <v>145</v>
      </c>
      <c r="N65" s="9"/>
      <c r="O65" s="9" t="s">
        <v>133</v>
      </c>
      <c r="P65" s="9" t="s">
        <v>64</v>
      </c>
      <c r="Q65" s="9"/>
      <c r="R65" s="22"/>
      <c r="S65" s="22"/>
      <c r="T65" s="22"/>
      <c r="U65" s="22"/>
      <c r="V65" s="22"/>
      <c r="W65" s="244" t="str">
        <f>IFERROR(
    IF(
        OR(ISBLANK(R65), ISBLANK(S65)),
        "",
        MAX(
            1,
            IF(
                NETWORKDAYS(R65, S65, Holiday_Dates) &lt;= 0,
                1,
                NETWORKDAYS(R65, S65, Holiday_Dates) - IF(R65 = S65, 0, 1)
            )
        )
    ),
    ""
)</f>
        <v/>
      </c>
      <c r="X65" s="244" t="str">
        <f>IF(
    OR(ISBLANK(S65), ISBLANK(T65)),
    "",
    MAX(
        1,
        IF(
            NETWORKDAYS(S65, T65, Holiday_Dates) &lt;= 0,
            1,
            NETWORKDAYS(S65, T65, Holiday_Dates) - IF(S65 = T65, 0, 1)
        )
    )
)</f>
        <v/>
      </c>
      <c r="Y65" s="244" t="str">
        <f>IFERROR(
    IF(
        OR(ISBLANK(S65), AND(ISBLANK(T65), ISBLANK(U65))),
        "",
        MAX(
            1,
            IF(
                NETWORKDAYS(IF(NOT(ISBLANK(U65)), U65, T65), U65, Holiday_Dates) &lt;= 0,
                1,
                NETWORKDAYS(IF(NOT(ISBLANK(U65)), U65, T65), U65, Holiday_Dates)
                - IF(IF(NOT(ISBLANK(U65)), U65, T65) = U65, 0, 1)
            )
        )
    ),
    ""
)</f>
        <v/>
      </c>
      <c r="Z65" s="244" t="str">
        <f t="shared" si="2"/>
        <v/>
      </c>
      <c r="AA65" s="9"/>
      <c r="AB65" s="9"/>
      <c r="AC65" s="6"/>
      <c r="AD65" s="6"/>
      <c r="AE65" s="9"/>
      <c r="AF65" s="9"/>
      <c r="AG65" s="45"/>
      <c r="AH65" s="9"/>
      <c r="AI65" s="9"/>
      <c r="AJ65" s="6"/>
      <c r="AK65" s="6"/>
      <c r="AL65" s="9"/>
      <c r="AM65" s="9"/>
      <c r="AN65" s="9"/>
      <c r="AO65" s="9"/>
      <c r="AP65" s="9"/>
      <c r="AQ65" s="6"/>
      <c r="AR65" s="9"/>
      <c r="AS65" s="9"/>
    </row>
    <row r="66" spans="1:45" s="31" customFormat="1" ht="15" customHeight="1">
      <c r="A66" s="6" t="s">
        <v>52</v>
      </c>
      <c r="B66" s="6" t="s">
        <v>250</v>
      </c>
      <c r="C66" s="6"/>
      <c r="D66" s="9" t="s">
        <v>88</v>
      </c>
      <c r="E66" s="7" t="s">
        <v>213</v>
      </c>
      <c r="F66" s="9">
        <v>15.302671999999999</v>
      </c>
      <c r="G66" s="9">
        <v>120.652235</v>
      </c>
      <c r="H66" s="9" t="str">
        <f t="shared" ref="H66:H97" si="4">CONCATENATE(F66,",",G66)</f>
        <v>15.302672,120.652235</v>
      </c>
      <c r="I66" s="9" t="s">
        <v>121</v>
      </c>
      <c r="J66" s="9">
        <v>1</v>
      </c>
      <c r="K66" s="9">
        <v>2019</v>
      </c>
      <c r="L66" s="9">
        <v>502714.29</v>
      </c>
      <c r="M66" s="9" t="s">
        <v>39</v>
      </c>
      <c r="N66" s="9"/>
      <c r="O66" s="36" t="s">
        <v>28</v>
      </c>
      <c r="P66" s="9" t="s">
        <v>64</v>
      </c>
      <c r="Q66" s="9"/>
      <c r="R66" s="420"/>
      <c r="S66" s="22"/>
      <c r="T66" s="22"/>
      <c r="U66" s="22"/>
      <c r="V66" s="22"/>
      <c r="W66" s="244" t="str">
        <f>IFERROR(
    IF(
        OR(ISBLANK(R66), ISBLANK(S66)),
        "",
        MAX(
            1,
            IF(
                NETWORKDAYS(R66, S66, Holiday_Dates) &lt;= 0,
                1,
                NETWORKDAYS(R66, S66, Holiday_Dates) - IF(R66 = S66, 0, 1)
            )
        )
    ),
    ""
)</f>
        <v/>
      </c>
      <c r="X66" s="244" t="str">
        <f>IF(
    OR(ISBLANK(S66), ISBLANK(T66)),
    "",
    MAX(
        1,
        IF(
            NETWORKDAYS(S66, T66, Holiday_Dates) &lt;= 0,
            1,
            NETWORKDAYS(S66, T66, Holiday_Dates) - IF(S66 = T66, 0, 1)
        )
    )
)</f>
        <v/>
      </c>
      <c r="Y66" s="244" t="str">
        <f>IFERROR(
    IF(
        OR(ISBLANK(S66), AND(ISBLANK(T66), ISBLANK(U66))),
        "",
        MAX(
            1,
            IF(
                NETWORKDAYS(IF(NOT(ISBLANK(U66)), U66, T66), U66, Holiday_Dates) &lt;= 0,
                1,
                NETWORKDAYS(IF(NOT(ISBLANK(U66)), U66, T66), U66, Holiday_Dates)
                - IF(IF(NOT(ISBLANK(U66)), U66, T66) = U66, 0, 1)
            )
        )
    ),
    ""
)</f>
        <v/>
      </c>
      <c r="Z66" s="244" t="str">
        <f t="shared" si="2"/>
        <v/>
      </c>
      <c r="AA66" s="9"/>
      <c r="AB66" s="9"/>
      <c r="AC66" s="6"/>
      <c r="AD66" s="6"/>
      <c r="AE66" s="9"/>
      <c r="AF66" s="9"/>
      <c r="AG66" s="45"/>
      <c r="AH66" s="9"/>
      <c r="AI66" s="9"/>
      <c r="AJ66" s="6"/>
      <c r="AK66" s="6"/>
      <c r="AL66" s="9"/>
      <c r="AM66" s="9"/>
      <c r="AN66" s="9"/>
      <c r="AO66" s="9"/>
      <c r="AP66" s="9"/>
      <c r="AQ66" s="6"/>
      <c r="AR66" s="9"/>
      <c r="AS66" s="9"/>
    </row>
    <row r="67" spans="1:45" ht="15" customHeight="1">
      <c r="A67" s="6" t="s">
        <v>53</v>
      </c>
      <c r="B67" s="6" t="s">
        <v>397</v>
      </c>
      <c r="C67" s="6" t="s">
        <v>747</v>
      </c>
      <c r="D67" s="39" t="s">
        <v>89</v>
      </c>
      <c r="E67" s="32" t="s">
        <v>243</v>
      </c>
      <c r="F67" s="9">
        <v>14.925186</v>
      </c>
      <c r="G67" s="9">
        <v>120.148443</v>
      </c>
      <c r="H67" s="9" t="str">
        <f t="shared" si="4"/>
        <v>14.925186,120.148443</v>
      </c>
      <c r="I67" s="9" t="s">
        <v>121</v>
      </c>
      <c r="J67" s="9">
        <v>1</v>
      </c>
      <c r="K67" s="9">
        <v>2019</v>
      </c>
      <c r="L67" s="44">
        <v>502714.29</v>
      </c>
      <c r="M67" s="9" t="s">
        <v>42</v>
      </c>
      <c r="N67" s="9"/>
      <c r="O67" s="9" t="s">
        <v>133</v>
      </c>
      <c r="P67" s="9" t="s">
        <v>64</v>
      </c>
      <c r="Q67" s="355"/>
      <c r="R67" s="22"/>
      <c r="S67" s="22"/>
      <c r="T67" s="22"/>
      <c r="U67" s="22"/>
      <c r="V67" s="22"/>
      <c r="W67" s="244" t="str">
        <f>IFERROR(
    IF(
        OR(ISBLANK(R67), ISBLANK(S67)),
        "",
        MAX(
            1,
            IF(
                NETWORKDAYS(R67, S67, Holiday_Dates) &lt;= 0,
                1,
                NETWORKDAYS(R67, S67, Holiday_Dates) - IF(R67 = S67, 0, 1)
            )
        )
    ),
    ""
)</f>
        <v/>
      </c>
      <c r="X67" s="244" t="str">
        <f>IF(
    OR(ISBLANK(S67), ISBLANK(T67)),
    "",
    MAX(
        1,
        IF(
            NETWORKDAYS(S67, T67, Holiday_Dates) &lt;= 0,
            1,
            NETWORKDAYS(S67, T67, Holiday_Dates) - IF(S67 = T67, 0, 1)
        )
    )
)</f>
        <v/>
      </c>
      <c r="Y67" s="244" t="str">
        <f>IFERROR(
    IF(
        OR(ISBLANK(S67), AND(ISBLANK(T67), ISBLANK(U67))),
        "",
        MAX(
            1,
            IF(
                NETWORKDAYS(IF(NOT(ISBLANK(U67)), U67, T67), U67, Holiday_Dates) &lt;= 0,
                1,
                NETWORKDAYS(IF(NOT(ISBLANK(U67)), U67, T67), U67, Holiday_Dates)
                - IF(IF(NOT(ISBLANK(U67)), U67, T67) = U67, 0, 1)
            )
        )
    ),
    ""
)</f>
        <v/>
      </c>
      <c r="Z67" s="244" t="str">
        <f t="shared" si="2"/>
        <v/>
      </c>
      <c r="AA67" s="6"/>
      <c r="AB67" s="9"/>
      <c r="AC67" s="6"/>
      <c r="AD67" s="6"/>
      <c r="AE67" s="9"/>
      <c r="AF67" s="9"/>
      <c r="AG67" s="45"/>
      <c r="AH67" s="9"/>
      <c r="AI67" s="9"/>
      <c r="AJ67" s="6"/>
      <c r="AK67" s="6"/>
      <c r="AL67" s="9"/>
      <c r="AM67" s="9"/>
      <c r="AN67" s="9"/>
      <c r="AO67" s="9"/>
      <c r="AP67" s="9"/>
      <c r="AQ67" s="6"/>
      <c r="AR67" s="9"/>
      <c r="AS67" s="9"/>
    </row>
    <row r="68" spans="1:45" s="31" customFormat="1" ht="15" customHeight="1">
      <c r="A68" s="6" t="s">
        <v>47</v>
      </c>
      <c r="B68" s="6" t="s">
        <v>370</v>
      </c>
      <c r="C68" s="6" t="s">
        <v>748</v>
      </c>
      <c r="D68" s="39" t="s">
        <v>89</v>
      </c>
      <c r="E68" s="39" t="s">
        <v>259</v>
      </c>
      <c r="F68" s="9">
        <v>15.735852299999999</v>
      </c>
      <c r="G68" s="9">
        <v>121.5629275</v>
      </c>
      <c r="H68" s="9" t="str">
        <f t="shared" si="4"/>
        <v>15.7358523,121.5629275</v>
      </c>
      <c r="I68" s="9" t="s">
        <v>122</v>
      </c>
      <c r="J68" s="9">
        <v>1</v>
      </c>
      <c r="K68" s="9">
        <v>2018</v>
      </c>
      <c r="L68" s="66">
        <v>427500</v>
      </c>
      <c r="M68" s="9" t="s">
        <v>13</v>
      </c>
      <c r="N68" s="9"/>
      <c r="O68" s="9" t="s">
        <v>128</v>
      </c>
      <c r="P68" s="9"/>
      <c r="Q68" s="590"/>
      <c r="R68" s="420"/>
      <c r="S68" s="22"/>
      <c r="T68" s="22"/>
      <c r="U68" s="22"/>
      <c r="V68" s="22"/>
      <c r="W68" s="244"/>
      <c r="X68" s="244"/>
      <c r="Y68" s="244"/>
      <c r="Z68" s="244"/>
      <c r="AA68" s="9"/>
      <c r="AB68" s="9"/>
      <c r="AC68" s="6"/>
      <c r="AD68" s="6"/>
      <c r="AE68" s="66"/>
      <c r="AF68" s="255"/>
      <c r="AG68" s="45"/>
      <c r="AH68" s="9"/>
      <c r="AI68" s="9"/>
      <c r="AJ68" s="6"/>
      <c r="AK68" s="6"/>
      <c r="AL68" s="9"/>
      <c r="AM68" s="9"/>
      <c r="AN68" s="9"/>
      <c r="AO68" s="9"/>
      <c r="AP68" s="9"/>
      <c r="AQ68" s="6"/>
      <c r="AR68" s="9"/>
      <c r="AS68" s="9"/>
    </row>
    <row r="69" spans="1:45" ht="15" customHeight="1">
      <c r="A69" s="6" t="s">
        <v>47</v>
      </c>
      <c r="B69" s="6" t="s">
        <v>474</v>
      </c>
      <c r="C69" s="6" t="s">
        <v>749</v>
      </c>
      <c r="D69" s="39" t="s">
        <v>89</v>
      </c>
      <c r="E69" s="39" t="s">
        <v>259</v>
      </c>
      <c r="F69" s="9">
        <v>15.9421021</v>
      </c>
      <c r="G69" s="9">
        <v>121.603663</v>
      </c>
      <c r="H69" s="9" t="str">
        <f t="shared" si="4"/>
        <v>15.9421021,121.603663</v>
      </c>
      <c r="I69" s="9" t="s">
        <v>122</v>
      </c>
      <c r="J69" s="9">
        <v>1</v>
      </c>
      <c r="K69" s="9">
        <v>2018</v>
      </c>
      <c r="L69" s="66">
        <v>427500</v>
      </c>
      <c r="M69" s="9" t="s">
        <v>13</v>
      </c>
      <c r="N69" s="9"/>
      <c r="O69" s="9" t="s">
        <v>128</v>
      </c>
      <c r="P69" s="9"/>
      <c r="Q69" s="9"/>
      <c r="R69" s="22"/>
      <c r="S69" s="22"/>
      <c r="T69" s="22"/>
      <c r="U69" s="22"/>
      <c r="V69" s="22"/>
      <c r="W69" s="244" t="str">
        <f>IFERROR(
    IF(
        OR(ISBLANK(R69), ISBLANK(S69)),
        "",
        MAX(
            1,
            IF(
                NETWORKDAYS(R69, S69, Holiday_Dates) &lt;= 0,
                1,
                NETWORKDAYS(R69, S69, Holiday_Dates) - IF(R69 = S69, 0, 1)
            )
        )
    ),
    ""
)</f>
        <v/>
      </c>
      <c r="X69" s="244" t="str">
        <f>IF(
    OR(ISBLANK(S69), ISBLANK(T69)),
    "",
    MAX(
        1,
        IF(
            NETWORKDAYS(S69, T69, Holiday_Dates) &lt;= 0,
            1,
            NETWORKDAYS(S69, T69, Holiday_Dates) - IF(S69 = T69, 0, 1)
        )
    )
)</f>
        <v/>
      </c>
      <c r="Y69" s="244" t="str">
        <f>IFERROR(
    IF(
        OR(ISBLANK(S69), AND(ISBLANK(T69), ISBLANK(U69))),
        "",
        MAX(
            1,
            IF(
                NETWORKDAYS(IF(NOT(ISBLANK(U69)), U69, T69), U69, Holiday_Dates) &lt;= 0,
                1,
                NETWORKDAYS(IF(NOT(ISBLANK(U69)), U69, T69), U69, Holiday_Dates)
                - IF(IF(NOT(ISBLANK(U69)), U69, T69) = U69, 0, 1)
            )
        )
    ),
    ""
)</f>
        <v/>
      </c>
      <c r="Z69" s="244" t="str">
        <f t="shared" ref="Z69:Z113" si="5">IF(
    OR(ISBLANK(U69), ISBLANK(V69)),
    "",
    MAX(1, IF(
        NETWORKDAYS(U69, V69) &lt;= 0,
        1,
        NETWORKDAYS(U69, V69) - IF(U69 = V69, 0, 1)
    ))
)</f>
        <v/>
      </c>
      <c r="AA69" s="9"/>
      <c r="AB69" s="9"/>
      <c r="AC69" s="6"/>
      <c r="AD69" s="6"/>
      <c r="AE69" s="9"/>
      <c r="AF69" s="9"/>
      <c r="AG69" s="45"/>
      <c r="AH69" s="9"/>
      <c r="AI69" s="9"/>
      <c r="AJ69" s="6"/>
      <c r="AK69" s="6"/>
      <c r="AL69" s="9"/>
      <c r="AM69" s="9"/>
      <c r="AN69" s="9"/>
      <c r="AO69" s="9"/>
      <c r="AP69" s="9"/>
      <c r="AQ69" s="6"/>
      <c r="AR69" s="9"/>
      <c r="AS69" s="9"/>
    </row>
    <row r="70" spans="1:45" ht="15" customHeight="1">
      <c r="A70" s="6" t="s">
        <v>47</v>
      </c>
      <c r="B70" s="6" t="s">
        <v>474</v>
      </c>
      <c r="C70" s="6" t="s">
        <v>750</v>
      </c>
      <c r="D70" s="39" t="s">
        <v>89</v>
      </c>
      <c r="E70" s="39" t="s">
        <v>259</v>
      </c>
      <c r="F70" s="9">
        <v>16.076998</v>
      </c>
      <c r="G70" s="9">
        <v>121.769361</v>
      </c>
      <c r="H70" s="9" t="str">
        <f t="shared" si="4"/>
        <v>16.076998,121.769361</v>
      </c>
      <c r="I70" s="9" t="s">
        <v>122</v>
      </c>
      <c r="J70" s="9">
        <v>1</v>
      </c>
      <c r="K70" s="9">
        <v>2018</v>
      </c>
      <c r="L70" s="66">
        <v>427500</v>
      </c>
      <c r="M70" s="9" t="s">
        <v>13</v>
      </c>
      <c r="N70" s="71"/>
      <c r="O70" s="71" t="s">
        <v>128</v>
      </c>
      <c r="P70" s="9"/>
      <c r="Q70" s="9"/>
      <c r="R70" s="420"/>
      <c r="S70" s="22"/>
      <c r="T70" s="22"/>
      <c r="U70" s="22"/>
      <c r="V70" s="22"/>
      <c r="W70" s="244" t="str">
        <f>IFERROR(
    IF(
        OR(ISBLANK(R70), ISBLANK(S70)),
        "",
        MAX(
            1,
            IF(
                NETWORKDAYS(R70, S70, Holiday_Dates) &lt;= 0,
                1,
                NETWORKDAYS(R70, S70, Holiday_Dates) - IF(R70 = S70, 0, 1)
            )
        )
    ),
    ""
)</f>
        <v/>
      </c>
      <c r="X70" s="244" t="str">
        <f>IF(
    OR(ISBLANK(S70), ISBLANK(T70)),
    "",
    MAX(
        1,
        IF(
            NETWORKDAYS(S70, T70, Holiday_Dates) &lt;= 0,
            1,
            NETWORKDAYS(S70, T70, Holiday_Dates) - IF(S70 = T70, 0, 1)
        )
    )
)</f>
        <v/>
      </c>
      <c r="Y70" s="244" t="str">
        <f>IFERROR(
    IF(
        OR(ISBLANK(S70), AND(ISBLANK(T70), ISBLANK(U70))),
        "",
        MAX(
            1,
            IF(
                NETWORKDAYS(IF(NOT(ISBLANK(U70)), U70, T70), U70, Holiday_Dates) &lt;= 0,
                1,
                NETWORKDAYS(IF(NOT(ISBLANK(U70)), U70, T70), U70, Holiday_Dates)
                - IF(IF(NOT(ISBLANK(U70)), U70, T70) = U70, 0, 1)
            )
        )
    ),
    ""
)</f>
        <v/>
      </c>
      <c r="Z70" s="244" t="str">
        <f t="shared" si="5"/>
        <v/>
      </c>
      <c r="AA70" s="9"/>
      <c r="AB70" s="9"/>
      <c r="AC70" s="6"/>
      <c r="AD70" s="6"/>
      <c r="AE70" s="9"/>
      <c r="AF70" s="9"/>
      <c r="AG70" s="45"/>
      <c r="AH70" s="9"/>
      <c r="AI70" s="9"/>
      <c r="AJ70" s="6"/>
      <c r="AK70" s="6"/>
      <c r="AL70" s="9"/>
      <c r="AM70" s="9"/>
      <c r="AN70" s="9"/>
      <c r="AO70" s="9"/>
      <c r="AP70" s="9"/>
      <c r="AQ70" s="6"/>
      <c r="AR70" s="9"/>
      <c r="AS70" s="9"/>
    </row>
    <row r="71" spans="1:45" ht="15" customHeight="1">
      <c r="A71" s="6" t="s">
        <v>47</v>
      </c>
      <c r="B71" s="6" t="s">
        <v>474</v>
      </c>
      <c r="C71" s="6" t="s">
        <v>751</v>
      </c>
      <c r="D71" s="39" t="s">
        <v>89</v>
      </c>
      <c r="E71" s="39" t="s">
        <v>259</v>
      </c>
      <c r="F71" s="9">
        <v>15.887986</v>
      </c>
      <c r="G71" s="9">
        <v>121.55078899999999</v>
      </c>
      <c r="H71" s="9" t="str">
        <f t="shared" si="4"/>
        <v>15.887986,121.550789</v>
      </c>
      <c r="I71" s="9" t="s">
        <v>122</v>
      </c>
      <c r="J71" s="9">
        <v>1</v>
      </c>
      <c r="K71" s="9">
        <v>2018</v>
      </c>
      <c r="L71" s="66">
        <v>427500</v>
      </c>
      <c r="M71" s="9" t="s">
        <v>13</v>
      </c>
      <c r="N71" s="9"/>
      <c r="O71" s="9" t="s">
        <v>128</v>
      </c>
      <c r="P71" s="9"/>
      <c r="Q71" s="9"/>
      <c r="R71" s="22"/>
      <c r="S71" s="22"/>
      <c r="T71" s="22"/>
      <c r="U71" s="22"/>
      <c r="V71" s="22"/>
      <c r="W71" s="244" t="str">
        <f>IFERROR(
    IF(
        OR(ISBLANK(R71), ISBLANK(S71)),
        "",
        MAX(
            1,
            IF(
                NETWORKDAYS(R71, S71, Holiday_Dates) &lt;= 0,
                1,
                NETWORKDAYS(R71, S71, Holiday_Dates) - IF(R71 = S71, 0, 1)
            )
        )
    ),
    ""
)</f>
        <v/>
      </c>
      <c r="X71" s="244" t="str">
        <f>IF(
    OR(ISBLANK(S71), ISBLANK(T71)),
    "",
    MAX(
        1,
        IF(
            NETWORKDAYS(S71, T71, Holiday_Dates) &lt;= 0,
            1,
            NETWORKDAYS(S71, T71, Holiday_Dates) - IF(S71 = T71, 0, 1)
        )
    )
)</f>
        <v/>
      </c>
      <c r="Y71" s="244" t="str">
        <f>IFERROR(
    IF(
        OR(ISBLANK(S71), AND(ISBLANK(T71), ISBLANK(U71))),
        "",
        MAX(
            1,
            IF(
                NETWORKDAYS(IF(NOT(ISBLANK(U71)), U71, T71), U71, Holiday_Dates) &lt;= 0,
                1,
                NETWORKDAYS(IF(NOT(ISBLANK(U71)), U71, T71), U71, Holiday_Dates)
                - IF(IF(NOT(ISBLANK(U71)), U71, T71) = U71, 0, 1)
            )
        )
    ),
    ""
)</f>
        <v/>
      </c>
      <c r="Z71" s="244" t="str">
        <f t="shared" si="5"/>
        <v/>
      </c>
      <c r="AA71" s="9"/>
      <c r="AB71" s="9"/>
      <c r="AC71" s="6"/>
      <c r="AD71" s="6"/>
      <c r="AE71" s="9"/>
      <c r="AF71" s="9"/>
      <c r="AG71" s="45"/>
      <c r="AH71" s="9"/>
      <c r="AI71" s="9"/>
      <c r="AJ71" s="6"/>
      <c r="AK71" s="6"/>
      <c r="AL71" s="9"/>
      <c r="AM71" s="9"/>
      <c r="AN71" s="9"/>
      <c r="AO71" s="9"/>
      <c r="AP71" s="9"/>
      <c r="AQ71" s="6"/>
      <c r="AR71" s="9"/>
      <c r="AS71" s="271"/>
    </row>
    <row r="72" spans="1:45">
      <c r="A72" s="6" t="s">
        <v>47</v>
      </c>
      <c r="B72" s="6" t="s">
        <v>474</v>
      </c>
      <c r="C72" s="6" t="s">
        <v>752</v>
      </c>
      <c r="D72" s="39" t="s">
        <v>89</v>
      </c>
      <c r="E72" s="39" t="s">
        <v>259</v>
      </c>
      <c r="F72" s="9">
        <v>15.874658999999999</v>
      </c>
      <c r="G72" s="9">
        <v>121.544376</v>
      </c>
      <c r="H72" s="9" t="str">
        <f t="shared" si="4"/>
        <v>15.874659,121.544376</v>
      </c>
      <c r="I72" s="9" t="s">
        <v>122</v>
      </c>
      <c r="J72" s="9">
        <v>1</v>
      </c>
      <c r="K72" s="9">
        <v>2018</v>
      </c>
      <c r="L72" s="66">
        <v>427500</v>
      </c>
      <c r="M72" s="9" t="s">
        <v>13</v>
      </c>
      <c r="N72" s="9"/>
      <c r="O72" s="9" t="s">
        <v>128</v>
      </c>
      <c r="P72" s="9"/>
      <c r="Q72" s="9"/>
      <c r="R72" s="22"/>
      <c r="S72" s="22"/>
      <c r="T72" s="22"/>
      <c r="U72" s="22"/>
      <c r="V72" s="22"/>
      <c r="W72" s="244" t="str">
        <f>IFERROR(
    IF(
        OR(ISBLANK(R72), ISBLANK(S72)),
        "",
        MAX(
            1,
            IF(
                NETWORKDAYS(R72, S72, Holiday_Dates) &lt;= 0,
                1,
                NETWORKDAYS(R72, S72, Holiday_Dates) - IF(R72 = S72, 0, 1)
            )
        )
    ),
    ""
)</f>
        <v/>
      </c>
      <c r="X72" s="244" t="str">
        <f>IF(
    OR(ISBLANK(S72), ISBLANK(T72)),
    "",
    MAX(
        1,
        IF(
            NETWORKDAYS(S72, T72, Holiday_Dates) &lt;= 0,
            1,
            NETWORKDAYS(S72, T72, Holiday_Dates) - IF(S72 = T72, 0, 1)
        )
    )
)</f>
        <v/>
      </c>
      <c r="Y72" s="244" t="str">
        <f>IFERROR(
    IF(
        OR(ISBLANK(S72), AND(ISBLANK(T72), ISBLANK(U72))),
        "",
        MAX(
            1,
            IF(
                NETWORKDAYS(IF(NOT(ISBLANK(U72)), U72, T72), U72, Holiday_Dates) &lt;= 0,
                1,
                NETWORKDAYS(IF(NOT(ISBLANK(U72)), U72, T72), U72, Holiday_Dates)
                - IF(IF(NOT(ISBLANK(U72)), U72, T72) = U72, 0, 1)
            )
        )
    ),
    ""
)</f>
        <v/>
      </c>
      <c r="Z72" s="244" t="str">
        <f t="shared" si="5"/>
        <v/>
      </c>
      <c r="AA72" s="9"/>
      <c r="AB72" s="9"/>
      <c r="AC72" s="6"/>
      <c r="AD72" s="6"/>
      <c r="AE72" s="9"/>
      <c r="AF72" s="9"/>
      <c r="AG72" s="45"/>
      <c r="AH72" s="9"/>
      <c r="AI72" s="9"/>
      <c r="AJ72" s="6"/>
      <c r="AK72" s="6"/>
      <c r="AL72" s="9"/>
      <c r="AM72" s="9"/>
      <c r="AN72" s="9"/>
      <c r="AO72" s="9"/>
      <c r="AP72" s="9"/>
      <c r="AQ72" s="6"/>
      <c r="AR72" s="9"/>
      <c r="AS72" s="271"/>
    </row>
    <row r="73" spans="1:45">
      <c r="A73" s="6" t="s">
        <v>47</v>
      </c>
      <c r="B73" s="6" t="s">
        <v>474</v>
      </c>
      <c r="C73" s="6" t="s">
        <v>753</v>
      </c>
      <c r="D73" s="39" t="s">
        <v>89</v>
      </c>
      <c r="E73" s="39" t="s">
        <v>259</v>
      </c>
      <c r="F73" s="9">
        <v>15.876108</v>
      </c>
      <c r="G73" s="9">
        <v>121.525147</v>
      </c>
      <c r="H73" s="9" t="str">
        <f t="shared" si="4"/>
        <v>15.876108,121.525147</v>
      </c>
      <c r="I73" s="9" t="s">
        <v>121</v>
      </c>
      <c r="J73" s="9">
        <v>2</v>
      </c>
      <c r="K73" s="9" t="s">
        <v>754</v>
      </c>
      <c r="L73" s="66" t="s">
        <v>755</v>
      </c>
      <c r="M73" s="9" t="s">
        <v>13</v>
      </c>
      <c r="N73" s="9"/>
      <c r="O73" s="9" t="s">
        <v>128</v>
      </c>
      <c r="P73" s="9"/>
      <c r="Q73" s="9"/>
      <c r="R73" s="22"/>
      <c r="S73" s="22"/>
      <c r="T73" s="22"/>
      <c r="U73" s="22"/>
      <c r="V73" s="22"/>
      <c r="W73" s="244" t="str">
        <f>IFERROR(
    IF(
        OR(ISBLANK(R73), ISBLANK(S73)),
        "",
        MAX(
            1,
            IF(
                NETWORKDAYS(R73, S73, Holiday_Dates) &lt;= 0,
                1,
                NETWORKDAYS(R73, S73, Holiday_Dates) - IF(R73 = S73, 0, 1)
            )
        )
    ),
    ""
)</f>
        <v/>
      </c>
      <c r="X73" s="244" t="str">
        <f>IF(
    OR(ISBLANK(S73), ISBLANK(T73)),
    "",
    MAX(
        1,
        IF(
            NETWORKDAYS(S73, T73, Holiday_Dates) &lt;= 0,
            1,
            NETWORKDAYS(S73, T73, Holiday_Dates) - IF(S73 = T73, 0, 1)
        )
    )
)</f>
        <v/>
      </c>
      <c r="Y73" s="244" t="str">
        <f>IFERROR(
    IF(
        OR(ISBLANK(S73), AND(ISBLANK(T73), ISBLANK(U73))),
        "",
        MAX(
            1,
            IF(
                NETWORKDAYS(IF(NOT(ISBLANK(U73)), U73, T73), U73, Holiday_Dates) &lt;= 0,
                1,
                NETWORKDAYS(IF(NOT(ISBLANK(U73)), U73, T73), U73, Holiday_Dates)
                - IF(IF(NOT(ISBLANK(U73)), U73, T73) = U73, 0, 1)
            )
        )
    ),
    ""
)</f>
        <v/>
      </c>
      <c r="Z73" s="244" t="str">
        <f t="shared" si="5"/>
        <v/>
      </c>
      <c r="AA73" s="9"/>
      <c r="AB73" s="9"/>
      <c r="AC73" s="6"/>
      <c r="AD73" s="6"/>
      <c r="AE73" s="44"/>
      <c r="AF73" s="66"/>
      <c r="AG73" s="45"/>
      <c r="AH73" s="9"/>
      <c r="AI73" s="9"/>
      <c r="AJ73" s="6"/>
      <c r="AK73" s="6"/>
      <c r="AL73" s="9"/>
      <c r="AM73" s="9"/>
      <c r="AN73" s="9"/>
      <c r="AO73" s="9"/>
      <c r="AP73" s="9"/>
      <c r="AQ73" s="6"/>
      <c r="AR73" s="9"/>
      <c r="AS73" s="9"/>
    </row>
    <row r="74" spans="1:45" ht="15" customHeight="1">
      <c r="A74" s="6" t="s">
        <v>48</v>
      </c>
      <c r="B74" s="6" t="s">
        <v>265</v>
      </c>
      <c r="C74" s="6" t="s">
        <v>756</v>
      </c>
      <c r="D74" s="9" t="s">
        <v>88</v>
      </c>
      <c r="E74" s="39" t="s">
        <v>213</v>
      </c>
      <c r="F74" s="9">
        <v>14.619694000000001</v>
      </c>
      <c r="G74" s="9">
        <v>120.386025</v>
      </c>
      <c r="H74" s="9" t="str">
        <f t="shared" si="4"/>
        <v>14.619694,120.386025</v>
      </c>
      <c r="I74" s="9" t="s">
        <v>122</v>
      </c>
      <c r="J74" s="9">
        <v>1</v>
      </c>
      <c r="K74" s="9">
        <v>2018</v>
      </c>
      <c r="L74" s="9">
        <v>285000</v>
      </c>
      <c r="M74" s="9" t="s">
        <v>19</v>
      </c>
      <c r="N74" s="9"/>
      <c r="O74" s="9" t="s">
        <v>129</v>
      </c>
      <c r="P74" s="9"/>
      <c r="Q74" s="9"/>
      <c r="R74" s="22"/>
      <c r="S74" s="22"/>
      <c r="T74" s="22"/>
      <c r="U74" s="22"/>
      <c r="V74" s="22"/>
      <c r="W74" s="244" t="str">
        <f>IFERROR(
    IF(
        OR(ISBLANK(R74), ISBLANK(S74)),
        "",
        MAX(
            1,
            IF(
                NETWORKDAYS(R74, S74, Holiday_Dates) &lt;= 0,
                1,
                NETWORKDAYS(R74, S74, Holiday_Dates) - IF(R74 = S74, 0, 1)
            )
        )
    ),
    ""
)</f>
        <v/>
      </c>
      <c r="X74" s="244" t="str">
        <f>IF(
    OR(ISBLANK(S74), ISBLANK(T74)),
    "",
    MAX(
        1,
        IF(
            NETWORKDAYS(S74, T74, Holiday_Dates) &lt;= 0,
            1,
            NETWORKDAYS(S74, T74, Holiday_Dates) - IF(S74 = T74, 0, 1)
        )
    )
)</f>
        <v/>
      </c>
      <c r="Y74" s="244" t="str">
        <f>IFERROR(
    IF(
        OR(ISBLANK(S74), AND(ISBLANK(T74), ISBLANK(U74))),
        "",
        MAX(
            1,
            IF(
                NETWORKDAYS(IF(NOT(ISBLANK(U74)), U74, T74), U74, Holiday_Dates) &lt;= 0,
                1,
                NETWORKDAYS(IF(NOT(ISBLANK(U74)), U74, T74), U74, Holiday_Dates)
                - IF(IF(NOT(ISBLANK(U74)), U74, T74) = U74, 0, 1)
            )
        )
    ),
    ""
)</f>
        <v/>
      </c>
      <c r="Z74" s="244" t="str">
        <f t="shared" si="5"/>
        <v/>
      </c>
      <c r="AA74" s="9"/>
      <c r="AB74" s="9"/>
      <c r="AC74" s="6"/>
      <c r="AD74" s="6"/>
      <c r="AE74" s="9"/>
      <c r="AF74" s="9"/>
      <c r="AG74" s="45"/>
      <c r="AH74" s="9"/>
      <c r="AI74" s="9"/>
      <c r="AJ74" s="6"/>
      <c r="AK74" s="6"/>
      <c r="AL74" s="9"/>
      <c r="AM74" s="9"/>
      <c r="AN74" s="9"/>
      <c r="AO74" s="9"/>
      <c r="AP74" s="9"/>
      <c r="AQ74" s="6"/>
      <c r="AR74" s="9"/>
      <c r="AS74" s="9"/>
    </row>
    <row r="75" spans="1:45" ht="15" customHeight="1">
      <c r="A75" s="6" t="s">
        <v>48</v>
      </c>
      <c r="B75" s="6" t="s">
        <v>265</v>
      </c>
      <c r="C75" s="6" t="s">
        <v>757</v>
      </c>
      <c r="D75" s="9" t="s">
        <v>88</v>
      </c>
      <c r="E75" s="39" t="s">
        <v>213</v>
      </c>
      <c r="F75" s="9">
        <v>14.481149</v>
      </c>
      <c r="G75" s="9">
        <v>120.390354</v>
      </c>
      <c r="H75" s="9" t="str">
        <f t="shared" si="4"/>
        <v>14.481149,120.390354</v>
      </c>
      <c r="I75" s="9" t="s">
        <v>122</v>
      </c>
      <c r="J75" s="9">
        <v>1</v>
      </c>
      <c r="K75" s="9">
        <v>2018</v>
      </c>
      <c r="L75" s="9">
        <v>285000</v>
      </c>
      <c r="M75" s="9" t="s">
        <v>19</v>
      </c>
      <c r="N75" s="9"/>
      <c r="O75" s="9" t="s">
        <v>129</v>
      </c>
      <c r="P75" s="9"/>
      <c r="Q75" s="9"/>
      <c r="R75" s="22"/>
      <c r="S75" s="22"/>
      <c r="T75" s="22"/>
      <c r="U75" s="22"/>
      <c r="V75" s="22"/>
      <c r="W75" s="244" t="str">
        <f>IFERROR(
    IF(
        OR(ISBLANK(R75), ISBLANK(S75)),
        "",
        MAX(
            1,
            IF(
                NETWORKDAYS(R75, S75, Holiday_Dates) &lt;= 0,
                1,
                NETWORKDAYS(R75, S75, Holiday_Dates) - IF(R75 = S75, 0, 1)
            )
        )
    ),
    ""
)</f>
        <v/>
      </c>
      <c r="X75" s="244" t="str">
        <f>IF(
    OR(ISBLANK(S75), ISBLANK(T75)),
    "",
    MAX(
        1,
        IF(
            NETWORKDAYS(S75, T75, Holiday_Dates) &lt;= 0,
            1,
            NETWORKDAYS(S75, T75, Holiday_Dates) - IF(S75 = T75, 0, 1)
        )
    )
)</f>
        <v/>
      </c>
      <c r="Y75" s="244" t="str">
        <f>IFERROR(
    IF(
        OR(ISBLANK(S75), AND(ISBLANK(T75), ISBLANK(U75))),
        "",
        MAX(
            1,
            IF(
                NETWORKDAYS(IF(NOT(ISBLANK(U75)), U75, T75), U75, Holiday_Dates) &lt;= 0,
                1,
                NETWORKDAYS(IF(NOT(ISBLANK(U75)), U75, T75), U75, Holiday_Dates)
                - IF(IF(NOT(ISBLANK(U75)), U75, T75) = U75, 0, 1)
            )
        )
    ),
    ""
)</f>
        <v/>
      </c>
      <c r="Z75" s="244" t="str">
        <f t="shared" si="5"/>
        <v/>
      </c>
      <c r="AA75" s="9"/>
      <c r="AB75" s="9"/>
      <c r="AC75" s="6"/>
      <c r="AD75" s="6"/>
      <c r="AE75" s="9"/>
      <c r="AF75" s="9"/>
      <c r="AG75" s="45"/>
      <c r="AH75" s="9"/>
      <c r="AI75" s="9"/>
      <c r="AJ75" s="6"/>
      <c r="AK75" s="6"/>
      <c r="AL75" s="9"/>
      <c r="AM75" s="9"/>
      <c r="AN75" s="9"/>
      <c r="AO75" s="9"/>
      <c r="AP75" s="9"/>
      <c r="AQ75" s="6"/>
      <c r="AR75" s="9"/>
      <c r="AS75" s="9"/>
    </row>
    <row r="76" spans="1:45" ht="15" customHeight="1">
      <c r="A76" s="6" t="s">
        <v>48</v>
      </c>
      <c r="B76" s="6" t="s">
        <v>265</v>
      </c>
      <c r="C76" s="6" t="s">
        <v>714</v>
      </c>
      <c r="D76" s="9" t="s">
        <v>88</v>
      </c>
      <c r="E76" s="39" t="s">
        <v>213</v>
      </c>
      <c r="F76" s="9">
        <v>14.628316999999999</v>
      </c>
      <c r="G76" s="9">
        <v>120.439263</v>
      </c>
      <c r="H76" s="9" t="str">
        <f t="shared" si="4"/>
        <v>14.628317,120.439263</v>
      </c>
      <c r="I76" s="9" t="s">
        <v>122</v>
      </c>
      <c r="J76" s="9">
        <v>1</v>
      </c>
      <c r="K76" s="9">
        <v>2018</v>
      </c>
      <c r="L76" s="9">
        <v>427500</v>
      </c>
      <c r="M76" s="9" t="s">
        <v>19</v>
      </c>
      <c r="N76" s="9"/>
      <c r="O76" s="9" t="s">
        <v>129</v>
      </c>
      <c r="P76" s="9"/>
      <c r="Q76" s="9"/>
      <c r="R76" s="22"/>
      <c r="S76" s="22"/>
      <c r="T76" s="22"/>
      <c r="U76" s="22"/>
      <c r="V76" s="22"/>
      <c r="W76" s="244" t="str">
        <f>IFERROR(
    IF(
        OR(ISBLANK(R76), ISBLANK(S76)),
        "",
        MAX(
            1,
            IF(
                NETWORKDAYS(R76, S76, Holiday_Dates) &lt;= 0,
                1,
                NETWORKDAYS(R76, S76, Holiday_Dates) - IF(R76 = S76, 0, 1)
            )
        )
    ),
    ""
)</f>
        <v/>
      </c>
      <c r="X76" s="244" t="str">
        <f>IF(
    OR(ISBLANK(S76), ISBLANK(T76)),
    "",
    MAX(
        1,
        IF(
            NETWORKDAYS(S76, T76, Holiday_Dates) &lt;= 0,
            1,
            NETWORKDAYS(S76, T76, Holiday_Dates) - IF(S76 = T76, 0, 1)
        )
    )
)</f>
        <v/>
      </c>
      <c r="Y76" s="244" t="str">
        <f>IFERROR(
    IF(
        OR(ISBLANK(S76), AND(ISBLANK(T76), ISBLANK(U76))),
        "",
        MAX(
            1,
            IF(
                NETWORKDAYS(IF(NOT(ISBLANK(U76)), U76, T76), U76, Holiday_Dates) &lt;= 0,
                1,
                NETWORKDAYS(IF(NOT(ISBLANK(U76)), U76, T76), U76, Holiday_Dates)
                - IF(IF(NOT(ISBLANK(U76)), U76, T76) = U76, 0, 1)
            )
        )
    ),
    ""
)</f>
        <v/>
      </c>
      <c r="Z76" s="244" t="str">
        <f t="shared" si="5"/>
        <v/>
      </c>
      <c r="AA76" s="9"/>
      <c r="AB76" s="9"/>
      <c r="AC76" s="6"/>
      <c r="AD76" s="6"/>
      <c r="AE76" s="9"/>
      <c r="AF76" s="9"/>
      <c r="AG76" s="45"/>
      <c r="AH76" s="9"/>
      <c r="AI76" s="9"/>
      <c r="AJ76" s="6"/>
      <c r="AK76" s="6"/>
      <c r="AL76" s="9"/>
      <c r="AM76" s="9"/>
      <c r="AN76" s="9"/>
      <c r="AO76" s="9"/>
      <c r="AP76" s="9"/>
      <c r="AQ76" s="6"/>
      <c r="AR76" s="9"/>
      <c r="AS76" s="9"/>
    </row>
    <row r="77" spans="1:45" ht="15" customHeight="1">
      <c r="A77" s="6" t="s">
        <v>48</v>
      </c>
      <c r="B77" s="6" t="s">
        <v>270</v>
      </c>
      <c r="C77" s="6" t="s">
        <v>758</v>
      </c>
      <c r="D77" s="9" t="s">
        <v>88</v>
      </c>
      <c r="E77" s="39" t="s">
        <v>271</v>
      </c>
      <c r="F77" s="9">
        <v>14.687931000000001</v>
      </c>
      <c r="G77" s="9">
        <v>120.55045800000001</v>
      </c>
      <c r="H77" s="9" t="str">
        <f t="shared" si="4"/>
        <v>14.687931,120.550458</v>
      </c>
      <c r="I77" s="9" t="s">
        <v>122</v>
      </c>
      <c r="J77" s="9">
        <v>1</v>
      </c>
      <c r="K77" s="9">
        <v>2018</v>
      </c>
      <c r="L77" s="9">
        <v>427500</v>
      </c>
      <c r="M77" s="9" t="s">
        <v>273</v>
      </c>
      <c r="N77" s="9"/>
      <c r="O77" s="9" t="s">
        <v>129</v>
      </c>
      <c r="P77" s="9"/>
      <c r="Q77" s="9"/>
      <c r="R77" s="22"/>
      <c r="S77" s="22"/>
      <c r="T77" s="22"/>
      <c r="U77" s="22"/>
      <c r="V77" s="22"/>
      <c r="W77" s="244" t="str">
        <f>IFERROR(
    IF(
        OR(ISBLANK(R77), ISBLANK(S77)),
        "",
        MAX(
            1,
            IF(
                NETWORKDAYS(R77, S77, Holiday_Dates) &lt;= 0,
                1,
                NETWORKDAYS(R77, S77, Holiday_Dates) - IF(R77 = S77, 0, 1)
            )
        )
    ),
    ""
)</f>
        <v/>
      </c>
      <c r="X77" s="244" t="str">
        <f>IF(
    OR(ISBLANK(S77), ISBLANK(T77)),
    "",
    MAX(
        1,
        IF(
            NETWORKDAYS(S77, T77, Holiday_Dates) &lt;= 0,
            1,
            NETWORKDAYS(S77, T77, Holiday_Dates) - IF(S77 = T77, 0, 1)
        )
    )
)</f>
        <v/>
      </c>
      <c r="Y77" s="244" t="str">
        <f>IFERROR(
    IF(
        OR(ISBLANK(S77), AND(ISBLANK(T77), ISBLANK(U77))),
        "",
        MAX(
            1,
            IF(
                NETWORKDAYS(IF(NOT(ISBLANK(U77)), U77, T77), U77, Holiday_Dates) &lt;= 0,
                1,
                NETWORKDAYS(IF(NOT(ISBLANK(U77)), U77, T77), U77, Holiday_Dates)
                - IF(IF(NOT(ISBLANK(U77)), U77, T77) = U77, 0, 1)
            )
        )
    ),
    ""
)</f>
        <v/>
      </c>
      <c r="Z77" s="244" t="str">
        <f t="shared" si="5"/>
        <v/>
      </c>
      <c r="AA77" s="9"/>
      <c r="AB77" s="9"/>
      <c r="AC77" s="6"/>
      <c r="AD77" s="6"/>
      <c r="AE77" s="9"/>
      <c r="AF77" s="9"/>
      <c r="AG77" s="45"/>
      <c r="AH77" s="9"/>
      <c r="AI77" s="9"/>
      <c r="AJ77" s="6"/>
      <c r="AK77" s="6"/>
      <c r="AL77" s="9"/>
      <c r="AM77" s="9"/>
      <c r="AN77" s="9"/>
      <c r="AO77" s="9"/>
      <c r="AP77" s="9"/>
      <c r="AQ77" s="6"/>
      <c r="AR77" s="9"/>
      <c r="AS77" s="9"/>
    </row>
    <row r="78" spans="1:45" ht="15" customHeight="1">
      <c r="A78" s="6" t="s">
        <v>48</v>
      </c>
      <c r="B78" s="6" t="s">
        <v>270</v>
      </c>
      <c r="C78" s="6" t="s">
        <v>427</v>
      </c>
      <c r="D78" s="9" t="s">
        <v>88</v>
      </c>
      <c r="E78" s="39" t="s">
        <v>271</v>
      </c>
      <c r="F78" s="9">
        <v>14.628389</v>
      </c>
      <c r="G78" s="9">
        <v>120.469267</v>
      </c>
      <c r="H78" s="9" t="str">
        <f t="shared" si="4"/>
        <v>14.628389,120.469267</v>
      </c>
      <c r="I78" s="9" t="s">
        <v>122</v>
      </c>
      <c r="J78" s="9">
        <v>1</v>
      </c>
      <c r="K78" s="9">
        <v>2018</v>
      </c>
      <c r="L78" s="9">
        <v>285000</v>
      </c>
      <c r="M78" s="9" t="s">
        <v>273</v>
      </c>
      <c r="N78" s="9"/>
      <c r="O78" s="9" t="s">
        <v>129</v>
      </c>
      <c r="P78" s="9"/>
      <c r="Q78" s="9"/>
      <c r="R78" s="22"/>
      <c r="S78" s="22"/>
      <c r="T78" s="22"/>
      <c r="U78" s="22"/>
      <c r="V78" s="22"/>
      <c r="W78" s="244" t="str">
        <f>IFERROR(
    IF(
        OR(ISBLANK(R78), ISBLANK(S78)),
        "",
        MAX(
            1,
            IF(
                NETWORKDAYS(R78, S78, Holiday_Dates) &lt;= 0,
                1,
                NETWORKDAYS(R78, S78, Holiday_Dates) - IF(R78 = S78, 0, 1)
            )
        )
    ),
    ""
)</f>
        <v/>
      </c>
      <c r="X78" s="244" t="str">
        <f>IF(
    OR(ISBLANK(S78), ISBLANK(T78)),
    "",
    MAX(
        1,
        IF(
            NETWORKDAYS(S78, T78, Holiday_Dates) &lt;= 0,
            1,
            NETWORKDAYS(S78, T78, Holiday_Dates) - IF(S78 = T78, 0, 1)
        )
    )
)</f>
        <v/>
      </c>
      <c r="Y78" s="244" t="str">
        <f>IFERROR(
    IF(
        OR(ISBLANK(S78), AND(ISBLANK(T78), ISBLANK(U78))),
        "",
        MAX(
            1,
            IF(
                NETWORKDAYS(IF(NOT(ISBLANK(U78)), U78, T78), U78, Holiday_Dates) &lt;= 0,
                1,
                NETWORKDAYS(IF(NOT(ISBLANK(U78)), U78, T78), U78, Holiday_Dates)
                - IF(IF(NOT(ISBLANK(U78)), U78, T78) = U78, 0, 1)
            )
        )
    ),
    ""
)</f>
        <v/>
      </c>
      <c r="Z78" s="244" t="str">
        <f t="shared" si="5"/>
        <v/>
      </c>
      <c r="AA78" s="6"/>
      <c r="AB78" s="9"/>
      <c r="AC78" s="6"/>
      <c r="AD78" s="6"/>
      <c r="AE78" s="9"/>
      <c r="AF78" s="66"/>
      <c r="AG78" s="45"/>
      <c r="AH78" s="9"/>
      <c r="AI78" s="9"/>
      <c r="AJ78" s="6"/>
      <c r="AK78" s="6"/>
      <c r="AL78" s="9"/>
      <c r="AM78" s="9"/>
      <c r="AN78" s="9"/>
      <c r="AO78" s="9"/>
      <c r="AP78" s="9"/>
      <c r="AQ78" s="6"/>
      <c r="AR78" s="9"/>
      <c r="AS78" s="271"/>
    </row>
    <row r="79" spans="1:45" ht="15" customHeight="1">
      <c r="A79" s="6" t="s">
        <v>48</v>
      </c>
      <c r="B79" s="6" t="s">
        <v>270</v>
      </c>
      <c r="C79" s="6" t="s">
        <v>759</v>
      </c>
      <c r="D79" s="9" t="s">
        <v>88</v>
      </c>
      <c r="E79" s="39" t="s">
        <v>271</v>
      </c>
      <c r="F79" s="9">
        <v>14.673788999999999</v>
      </c>
      <c r="G79" s="9">
        <v>120.532878</v>
      </c>
      <c r="H79" s="9" t="str">
        <f t="shared" si="4"/>
        <v>14.673789,120.532878</v>
      </c>
      <c r="I79" s="9" t="s">
        <v>122</v>
      </c>
      <c r="J79" s="9">
        <v>1</v>
      </c>
      <c r="K79" s="9">
        <v>2018</v>
      </c>
      <c r="L79" s="9">
        <v>285000</v>
      </c>
      <c r="M79" s="9" t="s">
        <v>273</v>
      </c>
      <c r="N79" s="9"/>
      <c r="O79" s="9" t="s">
        <v>129</v>
      </c>
      <c r="P79" s="9"/>
      <c r="Q79" s="9"/>
      <c r="R79" s="22"/>
      <c r="S79" s="22"/>
      <c r="T79" s="22"/>
      <c r="U79" s="22"/>
      <c r="V79" s="22"/>
      <c r="W79" s="244" t="str">
        <f>IFERROR(
    IF(
        OR(ISBLANK(R79), ISBLANK(S79)),
        "",
        MAX(
            1,
            IF(
                NETWORKDAYS(R79, S79, Holiday_Dates) &lt;= 0,
                1,
                NETWORKDAYS(R79, S79, Holiday_Dates) - IF(R79 = S79, 0, 1)
            )
        )
    ),
    ""
)</f>
        <v/>
      </c>
      <c r="X79" s="244" t="str">
        <f>IF(
    OR(ISBLANK(S79), ISBLANK(T79)),
    "",
    MAX(
        1,
        IF(
            NETWORKDAYS(S79, T79, Holiday_Dates) &lt;= 0,
            1,
            NETWORKDAYS(S79, T79, Holiday_Dates) - IF(S79 = T79, 0, 1)
        )
    )
)</f>
        <v/>
      </c>
      <c r="Y79" s="244" t="str">
        <f>IFERROR(
    IF(
        OR(ISBLANK(S79), AND(ISBLANK(T79), ISBLANK(U79))),
        "",
        MAX(
            1,
            IF(
                NETWORKDAYS(IF(NOT(ISBLANK(U79)), U79, T79), U79, Holiday_Dates) &lt;= 0,
                1,
                NETWORKDAYS(IF(NOT(ISBLANK(U79)), U79, T79), U79, Holiday_Dates)
                - IF(IF(NOT(ISBLANK(U79)), U79, T79) = U79, 0, 1)
            )
        )
    ),
    ""
)</f>
        <v/>
      </c>
      <c r="Z79" s="244" t="str">
        <f t="shared" si="5"/>
        <v/>
      </c>
      <c r="AA79" s="6"/>
      <c r="AB79" s="9"/>
      <c r="AC79" s="6"/>
      <c r="AD79" s="6"/>
      <c r="AE79" s="9"/>
      <c r="AF79" s="9"/>
      <c r="AG79" s="45"/>
      <c r="AH79" s="9"/>
      <c r="AI79" s="9"/>
      <c r="AJ79" s="6"/>
      <c r="AK79" s="6"/>
      <c r="AL79" s="9"/>
      <c r="AM79" s="9"/>
      <c r="AN79" s="9"/>
      <c r="AO79" s="9"/>
      <c r="AP79" s="9"/>
      <c r="AQ79" s="6"/>
      <c r="AR79" s="9"/>
      <c r="AS79" s="9"/>
    </row>
    <row r="80" spans="1:45" ht="15" customHeight="1">
      <c r="A80" s="6" t="s">
        <v>48</v>
      </c>
      <c r="B80" s="6" t="s">
        <v>336</v>
      </c>
      <c r="C80" s="6" t="s">
        <v>760</v>
      </c>
      <c r="D80" s="9" t="s">
        <v>88</v>
      </c>
      <c r="E80" s="39" t="s">
        <v>213</v>
      </c>
      <c r="F80" s="9">
        <v>14.4421395</v>
      </c>
      <c r="G80" s="9">
        <v>120.46040720000001</v>
      </c>
      <c r="H80" s="9" t="str">
        <f t="shared" si="4"/>
        <v>14.4421395,120.4604072</v>
      </c>
      <c r="I80" s="9" t="s">
        <v>122</v>
      </c>
      <c r="J80" s="9">
        <v>1</v>
      </c>
      <c r="K80" s="9">
        <v>2018</v>
      </c>
      <c r="L80" s="9">
        <v>285000</v>
      </c>
      <c r="M80" s="9" t="s">
        <v>19</v>
      </c>
      <c r="N80" s="9"/>
      <c r="O80" s="9" t="s">
        <v>129</v>
      </c>
      <c r="P80" s="9"/>
      <c r="Q80" s="9"/>
      <c r="R80" s="22"/>
      <c r="S80" s="22"/>
      <c r="T80" s="22"/>
      <c r="U80" s="22"/>
      <c r="V80" s="22"/>
      <c r="W80" s="244" t="str">
        <f>IFERROR(
    IF(
        OR(ISBLANK(R80), ISBLANK(S80)),
        "",
        MAX(
            1,
            IF(
                NETWORKDAYS(R80, S80, Holiday_Dates) &lt;= 0,
                1,
                NETWORKDAYS(R80, S80, Holiday_Dates) - IF(R80 = S80, 0, 1)
            )
        )
    ),
    ""
)</f>
        <v/>
      </c>
      <c r="X80" s="244" t="str">
        <f>IF(
    OR(ISBLANK(S80), ISBLANK(T80)),
    "",
    MAX(
        1,
        IF(
            NETWORKDAYS(S80, T80, Holiday_Dates) &lt;= 0,
            1,
            NETWORKDAYS(S80, T80, Holiday_Dates) - IF(S80 = T80, 0, 1)
        )
    )
)</f>
        <v/>
      </c>
      <c r="Y80" s="244" t="str">
        <f>IFERROR(
    IF(
        OR(ISBLANK(S80), AND(ISBLANK(T80), ISBLANK(U80))),
        "",
        MAX(
            1,
            IF(
                NETWORKDAYS(IF(NOT(ISBLANK(U80)), U80, T80), U80, Holiday_Dates) &lt;= 0,
                1,
                NETWORKDAYS(IF(NOT(ISBLANK(U80)), U80, T80), U80, Holiday_Dates)
                - IF(IF(NOT(ISBLANK(U80)), U80, T80) = U80, 0, 1)
            )
        )
    ),
    ""
)</f>
        <v/>
      </c>
      <c r="Z80" s="244" t="str">
        <f t="shared" si="5"/>
        <v/>
      </c>
      <c r="AA80" s="9"/>
      <c r="AB80" s="9"/>
      <c r="AC80" s="6"/>
      <c r="AD80" s="6"/>
      <c r="AE80" s="9"/>
      <c r="AF80" s="9"/>
      <c r="AG80" s="45"/>
      <c r="AH80" s="9"/>
      <c r="AI80" s="9"/>
      <c r="AJ80" s="6"/>
      <c r="AK80" s="6"/>
      <c r="AL80" s="9"/>
      <c r="AM80" s="9"/>
      <c r="AN80" s="9"/>
      <c r="AO80" s="9"/>
      <c r="AP80" s="9"/>
      <c r="AQ80" s="6"/>
      <c r="AR80" s="9"/>
      <c r="AS80" s="9"/>
    </row>
    <row r="81" spans="1:45" ht="15" customHeight="1">
      <c r="A81" s="6" t="s">
        <v>48</v>
      </c>
      <c r="B81" s="6" t="s">
        <v>336</v>
      </c>
      <c r="C81" s="6" t="s">
        <v>761</v>
      </c>
      <c r="D81" s="9" t="s">
        <v>88</v>
      </c>
      <c r="E81" s="39" t="s">
        <v>213</v>
      </c>
      <c r="F81" s="9">
        <v>14.436956</v>
      </c>
      <c r="G81" s="9">
        <v>120.524747</v>
      </c>
      <c r="H81" s="9" t="str">
        <f t="shared" si="4"/>
        <v>14.436956,120.524747</v>
      </c>
      <c r="I81" s="9" t="s">
        <v>122</v>
      </c>
      <c r="J81" s="9">
        <v>1</v>
      </c>
      <c r="K81" s="9">
        <v>2018</v>
      </c>
      <c r="L81" s="9">
        <v>427500</v>
      </c>
      <c r="M81" s="9" t="s">
        <v>19</v>
      </c>
      <c r="N81" s="9"/>
      <c r="O81" s="9" t="s">
        <v>129</v>
      </c>
      <c r="P81" s="9"/>
      <c r="Q81" s="9"/>
      <c r="R81" s="22"/>
      <c r="S81" s="22"/>
      <c r="T81" s="22"/>
      <c r="U81" s="22"/>
      <c r="V81" s="22"/>
      <c r="W81" s="244" t="str">
        <f>IFERROR(
    IF(
        OR(ISBLANK(R81), ISBLANK(S81)),
        "",
        MAX(
            1,
            IF(
                NETWORKDAYS(R81, S81, Holiday_Dates) &lt;= 0,
                1,
                NETWORKDAYS(R81, S81, Holiday_Dates) - IF(R81 = S81, 0, 1)
            )
        )
    ),
    ""
)</f>
        <v/>
      </c>
      <c r="X81" s="244" t="str">
        <f>IF(
    OR(ISBLANK(S81), ISBLANK(T81)),
    "",
    MAX(
        1,
        IF(
            NETWORKDAYS(S81, T81, Holiday_Dates) &lt;= 0,
            1,
            NETWORKDAYS(S81, T81, Holiday_Dates) - IF(S81 = T81, 0, 1)
        )
    )
)</f>
        <v/>
      </c>
      <c r="Y81" s="244" t="str">
        <f>IFERROR(
    IF(
        OR(ISBLANK(S81), AND(ISBLANK(T81), ISBLANK(U81))),
        "",
        MAX(
            1,
            IF(
                NETWORKDAYS(IF(NOT(ISBLANK(U81)), U81, T81), U81, Holiday_Dates) &lt;= 0,
                1,
                NETWORKDAYS(IF(NOT(ISBLANK(U81)), U81, T81), U81, Holiday_Dates)
                - IF(IF(NOT(ISBLANK(U81)), U81, T81) = U81, 0, 1)
            )
        )
    ),
    ""
)</f>
        <v/>
      </c>
      <c r="Z81" s="244" t="str">
        <f t="shared" si="5"/>
        <v/>
      </c>
      <c r="AA81" s="9"/>
      <c r="AB81" s="9"/>
      <c r="AC81" s="6"/>
      <c r="AD81" s="6"/>
      <c r="AE81" s="9"/>
      <c r="AF81" s="9"/>
      <c r="AG81" s="45"/>
      <c r="AH81" s="9"/>
      <c r="AI81" s="9"/>
      <c r="AJ81" s="6"/>
      <c r="AK81" s="6"/>
      <c r="AL81" s="9"/>
      <c r="AM81" s="9"/>
      <c r="AN81" s="9"/>
      <c r="AO81" s="9"/>
      <c r="AP81" s="9"/>
      <c r="AQ81" s="6"/>
      <c r="AR81" s="9"/>
      <c r="AS81" s="9"/>
    </row>
    <row r="82" spans="1:45" ht="15" customHeight="1">
      <c r="A82" s="6" t="s">
        <v>48</v>
      </c>
      <c r="B82" s="6" t="s">
        <v>336</v>
      </c>
      <c r="C82" s="6" t="s">
        <v>762</v>
      </c>
      <c r="D82" s="9" t="s">
        <v>88</v>
      </c>
      <c r="E82" s="39" t="s">
        <v>213</v>
      </c>
      <c r="F82" s="9">
        <v>14.453206</v>
      </c>
      <c r="G82" s="9">
        <v>120.494342</v>
      </c>
      <c r="H82" s="9" t="str">
        <f t="shared" si="4"/>
        <v>14.453206,120.494342</v>
      </c>
      <c r="I82" s="9" t="s">
        <v>122</v>
      </c>
      <c r="J82" s="9">
        <v>1</v>
      </c>
      <c r="K82" s="9">
        <v>2018</v>
      </c>
      <c r="L82" s="9">
        <v>427500</v>
      </c>
      <c r="M82" s="9" t="s">
        <v>19</v>
      </c>
      <c r="N82" s="9"/>
      <c r="O82" s="9" t="s">
        <v>129</v>
      </c>
      <c r="P82" s="9"/>
      <c r="Q82" s="9"/>
      <c r="R82" s="22"/>
      <c r="S82" s="21"/>
      <c r="T82" s="21"/>
      <c r="U82" s="21"/>
      <c r="V82" s="21"/>
      <c r="W82" s="244" t="str">
        <f>IFERROR(
    IF(
        OR(ISBLANK(R82), ISBLANK(S82)),
        "",
        MAX(
            1,
            IF(
                NETWORKDAYS(R82, S82, Holiday_Dates) &lt;= 0,
                1,
                NETWORKDAYS(R82, S82, Holiday_Dates) - IF(R82 = S82, 0, 1)
            )
        )
    ),
    ""
)</f>
        <v/>
      </c>
      <c r="X82" s="244" t="str">
        <f>IF(
    OR(ISBLANK(S82), ISBLANK(T82)),
    "",
    MAX(
        1,
        IF(
            NETWORKDAYS(S82, T82, Holiday_Dates) &lt;= 0,
            1,
            NETWORKDAYS(S82, T82, Holiday_Dates) - IF(S82 = T82, 0, 1)
        )
    )
)</f>
        <v/>
      </c>
      <c r="Y82" s="244" t="str">
        <f>IFERROR(
    IF(
        OR(ISBLANK(S82), AND(ISBLANK(T82), ISBLANK(U82))),
        "",
        MAX(
            1,
            IF(
                NETWORKDAYS(IF(NOT(ISBLANK(U82)), U82, T82), U82, Holiday_Dates) &lt;= 0,
                1,
                NETWORKDAYS(IF(NOT(ISBLANK(U82)), U82, T82), U82, Holiday_Dates)
                - IF(IF(NOT(ISBLANK(U82)), U82, T82) = U82, 0, 1)
            )
        )
    ),
    ""
)</f>
        <v/>
      </c>
      <c r="Z82" s="244" t="str">
        <f t="shared" si="5"/>
        <v/>
      </c>
      <c r="AA82" s="9"/>
      <c r="AB82" s="9"/>
      <c r="AC82" s="6"/>
      <c r="AD82" s="6"/>
      <c r="AE82" s="9"/>
      <c r="AF82" s="9"/>
      <c r="AG82" s="45"/>
      <c r="AH82" s="9"/>
      <c r="AI82" s="9"/>
      <c r="AJ82" s="6"/>
      <c r="AK82" s="6"/>
      <c r="AL82" s="9"/>
      <c r="AM82" s="9"/>
      <c r="AN82" s="9"/>
      <c r="AO82" s="9"/>
      <c r="AP82" s="9"/>
      <c r="AQ82" s="6"/>
      <c r="AR82" s="9"/>
      <c r="AS82" s="271"/>
    </row>
    <row r="83" spans="1:45" ht="15" customHeight="1">
      <c r="A83" s="6" t="s">
        <v>48</v>
      </c>
      <c r="B83" s="6" t="s">
        <v>399</v>
      </c>
      <c r="C83" s="6" t="s">
        <v>763</v>
      </c>
      <c r="D83" s="9" t="s">
        <v>88</v>
      </c>
      <c r="E83" s="39" t="s">
        <v>271</v>
      </c>
      <c r="F83" s="9">
        <v>14.66066</v>
      </c>
      <c r="G83" s="9">
        <v>120.543603</v>
      </c>
      <c r="H83" s="9" t="str">
        <f t="shared" si="4"/>
        <v>14.66066,120.543603</v>
      </c>
      <c r="I83" s="9" t="s">
        <v>121</v>
      </c>
      <c r="J83" s="9">
        <v>1</v>
      </c>
      <c r="K83" s="9">
        <v>2019</v>
      </c>
      <c r="L83" s="9">
        <v>502714.29</v>
      </c>
      <c r="M83" s="9" t="s">
        <v>273</v>
      </c>
      <c r="N83" s="9"/>
      <c r="O83" s="9" t="s">
        <v>129</v>
      </c>
      <c r="P83" s="9"/>
      <c r="Q83" s="9"/>
      <c r="R83" s="22"/>
      <c r="S83" s="22"/>
      <c r="T83" s="22"/>
      <c r="U83" s="22"/>
      <c r="V83" s="22"/>
      <c r="W83" s="244" t="str">
        <f>IFERROR(
    IF(
        OR(ISBLANK(R83), ISBLANK(S83)),
        "",
        MAX(
            1,
            IF(
                NETWORKDAYS(R83, S83, Holiday_Dates) &lt;= 0,
                1,
                NETWORKDAYS(R83, S83, Holiday_Dates) - IF(R83 = S83, 0, 1)
            )
        )
    ),
    ""
)</f>
        <v/>
      </c>
      <c r="X83" s="244" t="str">
        <f>IF(
    OR(ISBLANK(S83), ISBLANK(T83)),
    "",
    MAX(
        1,
        IF(
            NETWORKDAYS(S83, T83, Holiday_Dates) &lt;= 0,
            1,
            NETWORKDAYS(S83, T83, Holiday_Dates) - IF(S83 = T83, 0, 1)
        )
    )
)</f>
        <v/>
      </c>
      <c r="Y83" s="244" t="str">
        <f>IFERROR(
    IF(
        OR(ISBLANK(S83), AND(ISBLANK(T83), ISBLANK(U83))),
        "",
        MAX(
            1,
            IF(
                NETWORKDAYS(IF(NOT(ISBLANK(U83)), U83, T83), U83, Holiday_Dates) &lt;= 0,
                1,
                NETWORKDAYS(IF(NOT(ISBLANK(U83)), U83, T83), U83, Holiday_Dates)
                - IF(IF(NOT(ISBLANK(U83)), U83, T83) = U83, 0, 1)
            )
        )
    ),
    ""
)</f>
        <v/>
      </c>
      <c r="Z83" s="244" t="str">
        <f t="shared" si="5"/>
        <v/>
      </c>
      <c r="AA83" s="9"/>
      <c r="AB83" s="9"/>
      <c r="AC83" s="6"/>
      <c r="AD83" s="6"/>
      <c r="AE83" s="9"/>
      <c r="AF83" s="9"/>
      <c r="AG83" s="45"/>
      <c r="AH83" s="9"/>
      <c r="AI83" s="9"/>
      <c r="AJ83" s="6"/>
      <c r="AK83" s="6"/>
      <c r="AL83" s="9"/>
      <c r="AM83" s="9"/>
      <c r="AN83" s="9"/>
      <c r="AO83" s="9"/>
      <c r="AP83" s="9"/>
      <c r="AQ83" s="6"/>
      <c r="AR83" s="9"/>
      <c r="AS83" s="271"/>
    </row>
    <row r="84" spans="1:45" ht="15" customHeight="1">
      <c r="A84" s="6" t="s">
        <v>48</v>
      </c>
      <c r="B84" s="6" t="s">
        <v>432</v>
      </c>
      <c r="C84" s="6" t="s">
        <v>764</v>
      </c>
      <c r="D84" s="9" t="s">
        <v>88</v>
      </c>
      <c r="E84" s="7" t="s">
        <v>243</v>
      </c>
      <c r="F84" s="9">
        <v>14.772728000000001</v>
      </c>
      <c r="G84" s="9">
        <v>120.517353</v>
      </c>
      <c r="H84" s="9" t="str">
        <f t="shared" si="4"/>
        <v>14.772728,120.517353</v>
      </c>
      <c r="I84" s="9" t="s">
        <v>121</v>
      </c>
      <c r="J84" s="9">
        <v>2</v>
      </c>
      <c r="K84" s="9" t="s">
        <v>754</v>
      </c>
      <c r="L84" s="9" t="s">
        <v>765</v>
      </c>
      <c r="M84" s="9" t="s">
        <v>217</v>
      </c>
      <c r="N84" s="9"/>
      <c r="O84" s="9" t="s">
        <v>129</v>
      </c>
      <c r="P84" s="9"/>
      <c r="Q84" s="9"/>
      <c r="R84" s="22"/>
      <c r="S84" s="22"/>
      <c r="T84" s="22"/>
      <c r="U84" s="22"/>
      <c r="V84" s="22"/>
      <c r="W84" s="244" t="str">
        <f>IFERROR(
    IF(
        OR(ISBLANK(R84), ISBLANK(S84)),
        "",
        MAX(
            1,
            IF(
                NETWORKDAYS(R84, S84, Holiday_Dates) &lt;= 0,
                1,
                NETWORKDAYS(R84, S84, Holiday_Dates) - IF(R84 = S84, 0, 1)
            )
        )
    ),
    ""
)</f>
        <v/>
      </c>
      <c r="X84" s="244" t="str">
        <f>IF(
    OR(ISBLANK(S84), ISBLANK(T84)),
    "",
    MAX(
        1,
        IF(
            NETWORKDAYS(S84, T84, Holiday_Dates) &lt;= 0,
            1,
            NETWORKDAYS(S84, T84, Holiday_Dates) - IF(S84 = T84, 0, 1)
        )
    )
)</f>
        <v/>
      </c>
      <c r="Y84" s="244" t="str">
        <f>IFERROR(
    IF(
        OR(ISBLANK(S84), AND(ISBLANK(T84), ISBLANK(U84))),
        "",
        MAX(
            1,
            IF(
                NETWORKDAYS(IF(NOT(ISBLANK(U84)), U84, T84), U84, Holiday_Dates) &lt;= 0,
                1,
                NETWORKDAYS(IF(NOT(ISBLANK(U84)), U84, T84), U84, Holiday_Dates)
                - IF(IF(NOT(ISBLANK(U84)), U84, T84) = U84, 0, 1)
            )
        )
    ),
    ""
)</f>
        <v/>
      </c>
      <c r="Z84" s="244" t="str">
        <f t="shared" si="5"/>
        <v/>
      </c>
      <c r="AA84" s="6"/>
      <c r="AB84" s="9"/>
      <c r="AC84" s="6"/>
      <c r="AD84" s="6"/>
      <c r="AE84" s="9"/>
      <c r="AF84" s="44"/>
      <c r="AG84" s="45"/>
      <c r="AH84" s="9"/>
      <c r="AI84" s="9"/>
      <c r="AJ84" s="6"/>
      <c r="AK84" s="6"/>
      <c r="AL84" s="9"/>
      <c r="AM84" s="9"/>
      <c r="AN84" s="9"/>
      <c r="AO84" s="9"/>
      <c r="AP84" s="9"/>
      <c r="AQ84" s="6"/>
      <c r="AR84" s="9"/>
      <c r="AS84" s="271"/>
    </row>
    <row r="85" spans="1:45" ht="33" customHeight="1">
      <c r="A85" s="6" t="s">
        <v>49</v>
      </c>
      <c r="B85" s="6" t="s">
        <v>223</v>
      </c>
      <c r="C85" s="6" t="s">
        <v>766</v>
      </c>
      <c r="D85" s="9" t="s">
        <v>88</v>
      </c>
      <c r="E85" s="39" t="s">
        <v>224</v>
      </c>
      <c r="F85" s="9">
        <v>14.770871</v>
      </c>
      <c r="G85" s="9">
        <v>120.975582</v>
      </c>
      <c r="H85" s="9" t="str">
        <f t="shared" si="4"/>
        <v>14.770871,120.975582</v>
      </c>
      <c r="I85" s="9" t="s">
        <v>122</v>
      </c>
      <c r="J85" s="9">
        <v>1</v>
      </c>
      <c r="K85" s="9">
        <v>2017</v>
      </c>
      <c r="L85" s="66">
        <v>460000</v>
      </c>
      <c r="M85" s="9" t="s">
        <v>227</v>
      </c>
      <c r="N85" s="9"/>
      <c r="O85" s="9" t="s">
        <v>128</v>
      </c>
      <c r="P85" s="9"/>
      <c r="Q85" s="9"/>
      <c r="R85" s="22"/>
      <c r="S85" s="22"/>
      <c r="T85" s="22"/>
      <c r="U85" s="22"/>
      <c r="V85" s="22"/>
      <c r="W85" s="244" t="str">
        <f>IFERROR(
    IF(
        OR(ISBLANK(R85), ISBLANK(S85)),
        "",
        MAX(
            1,
            IF(
                NETWORKDAYS(R85, S85, Holiday_Dates) &lt;= 0,
                1,
                NETWORKDAYS(R85, S85, Holiday_Dates) - IF(R85 = S85, 0, 1)
            )
        )
    ),
    ""
)</f>
        <v/>
      </c>
      <c r="X85" s="244" t="str">
        <f>IF(
    OR(ISBLANK(S85), ISBLANK(T85)),
    "",
    MAX(
        1,
        IF(
            NETWORKDAYS(S85, T85, Holiday_Dates) &lt;= 0,
            1,
            NETWORKDAYS(S85, T85, Holiday_Dates) - IF(S85 = T85, 0, 1)
        )
    )
)</f>
        <v/>
      </c>
      <c r="Y85" s="244" t="str">
        <f>IFERROR(
    IF(
        OR(ISBLANK(S85), AND(ISBLANK(T85), ISBLANK(U85))),
        "",
        MAX(
            1,
            IF(
                NETWORKDAYS(IF(NOT(ISBLANK(U85)), U85, T85), U85, Holiday_Dates) &lt;= 0,
                1,
                NETWORKDAYS(IF(NOT(ISBLANK(U85)), U85, T85), U85, Holiday_Dates)
                - IF(IF(NOT(ISBLANK(U85)), U85, T85) = U85, 0, 1)
            )
        )
    ),
    ""
)</f>
        <v/>
      </c>
      <c r="Z85" s="244" t="str">
        <f t="shared" si="5"/>
        <v/>
      </c>
      <c r="AA85" s="9"/>
      <c r="AB85" s="9"/>
      <c r="AC85" s="6"/>
      <c r="AD85" s="6"/>
      <c r="AE85" s="6"/>
      <c r="AF85" s="6"/>
      <c r="AG85" s="45"/>
      <c r="AH85" s="9"/>
      <c r="AI85" s="422"/>
      <c r="AJ85" s="6"/>
      <c r="AK85" s="6"/>
      <c r="AL85" s="9"/>
      <c r="AM85" s="9"/>
      <c r="AN85" s="9"/>
      <c r="AO85" s="9"/>
      <c r="AP85" s="9"/>
      <c r="AQ85" s="6"/>
      <c r="AR85" s="9"/>
      <c r="AS85" s="271"/>
    </row>
    <row r="86" spans="1:45" ht="15" customHeight="1">
      <c r="A86" s="3" t="s">
        <v>49</v>
      </c>
      <c r="B86" s="3" t="s">
        <v>223</v>
      </c>
      <c r="C86" s="3" t="s">
        <v>767</v>
      </c>
      <c r="D86" s="7" t="s">
        <v>88</v>
      </c>
      <c r="E86" s="32" t="s">
        <v>224</v>
      </c>
      <c r="F86" s="7">
        <v>14.777778</v>
      </c>
      <c r="G86" s="7">
        <v>121.021111</v>
      </c>
      <c r="H86" s="7" t="str">
        <f t="shared" si="4"/>
        <v>14.777778,121.021111</v>
      </c>
      <c r="I86" s="7" t="s">
        <v>122</v>
      </c>
      <c r="J86" s="7">
        <v>1</v>
      </c>
      <c r="K86" s="7">
        <v>2017</v>
      </c>
      <c r="L86" s="315">
        <v>460000</v>
      </c>
      <c r="M86" s="9" t="s">
        <v>227</v>
      </c>
      <c r="N86" s="9"/>
      <c r="O86" s="9" t="s">
        <v>128</v>
      </c>
      <c r="P86" s="7"/>
      <c r="Q86" s="283"/>
      <c r="R86" s="313"/>
      <c r="S86" s="313"/>
      <c r="T86" s="313"/>
      <c r="U86" s="313"/>
      <c r="V86" s="313"/>
      <c r="W86" s="244" t="str">
        <f>IFERROR(
    IF(
        OR(ISBLANK(R86), ISBLANK(S86)),
        "",
        MAX(
            1,
            IF(
                NETWORKDAYS(R86, S86, Holiday_Dates) &lt;= 0,
                1,
                NETWORKDAYS(R86, S86, Holiday_Dates) - IF(R86 = S86, 0, 1)
            )
        )
    ),
    ""
)</f>
        <v/>
      </c>
      <c r="X86" s="244" t="str">
        <f>IF(
    OR(ISBLANK(S86), ISBLANK(T86)),
    "",
    MAX(
        1,
        IF(
            NETWORKDAYS(S86, T86, Holiday_Dates) &lt;= 0,
            1,
            NETWORKDAYS(S86, T86, Holiday_Dates) - IF(S86 = T86, 0, 1)
        )
    )
)</f>
        <v/>
      </c>
      <c r="Y86" s="244" t="str">
        <f>IFERROR(
    IF(
        OR(ISBLANK(S86), AND(ISBLANK(T86), ISBLANK(U86))),
        "",
        MAX(
            1,
            IF(
                NETWORKDAYS(IF(NOT(ISBLANK(U86)), U86, T86), U86, Holiday_Dates) &lt;= 0,
                1,
                NETWORKDAYS(IF(NOT(ISBLANK(U86)), U86, T86), U86, Holiday_Dates)
                - IF(IF(NOT(ISBLANK(U86)), U86, T86) = U86, 0, 1)
            )
        )
    ),
    ""
)</f>
        <v/>
      </c>
      <c r="Z86" s="244" t="str">
        <f t="shared" si="5"/>
        <v/>
      </c>
      <c r="AA86" s="7"/>
      <c r="AB86" s="7"/>
      <c r="AC86" s="3"/>
      <c r="AD86" s="3"/>
      <c r="AE86" s="7"/>
      <c r="AF86" s="7"/>
      <c r="AG86" s="417"/>
      <c r="AH86" s="7"/>
      <c r="AI86" s="3"/>
      <c r="AJ86" s="3"/>
      <c r="AK86" s="3"/>
      <c r="AL86" s="7"/>
      <c r="AM86" s="7"/>
      <c r="AN86" s="7"/>
      <c r="AO86" s="7"/>
      <c r="AP86" s="7"/>
      <c r="AQ86" s="3"/>
      <c r="AR86" s="7"/>
      <c r="AS86" s="271"/>
    </row>
    <row r="87" spans="1:45" ht="15" customHeight="1">
      <c r="A87" s="6" t="s">
        <v>49</v>
      </c>
      <c r="B87" s="6" t="s">
        <v>434</v>
      </c>
      <c r="C87" s="6" t="s">
        <v>768</v>
      </c>
      <c r="D87" s="9" t="s">
        <v>88</v>
      </c>
      <c r="E87" s="39" t="s">
        <v>381</v>
      </c>
      <c r="F87" s="9">
        <v>14.876657</v>
      </c>
      <c r="G87" s="9">
        <v>121.051275</v>
      </c>
      <c r="H87" s="9" t="str">
        <f t="shared" si="4"/>
        <v>14.876657,121.051275</v>
      </c>
      <c r="I87" s="9" t="s">
        <v>122</v>
      </c>
      <c r="J87" s="9">
        <v>1</v>
      </c>
      <c r="K87" s="9">
        <v>2017</v>
      </c>
      <c r="L87" s="66">
        <v>460000</v>
      </c>
      <c r="M87" s="9" t="s">
        <v>227</v>
      </c>
      <c r="N87" s="9"/>
      <c r="O87" s="9" t="s">
        <v>128</v>
      </c>
      <c r="P87" s="9"/>
      <c r="Q87" s="9"/>
      <c r="R87" s="22"/>
      <c r="S87" s="22"/>
      <c r="T87" s="22"/>
      <c r="U87" s="22"/>
      <c r="V87" s="22"/>
      <c r="W87" s="244" t="str">
        <f>IFERROR(
    IF(
        OR(ISBLANK(R87), ISBLANK(S87)),
        "",
        MAX(
            1,
            IF(
                NETWORKDAYS(R87, S87, Holiday_Dates) &lt;= 0,
                1,
                NETWORKDAYS(R87, S87, Holiday_Dates) - IF(R87 = S87, 0, 1)
            )
        )
    ),
    ""
)</f>
        <v/>
      </c>
      <c r="X87" s="244" t="str">
        <f>IF(
    OR(ISBLANK(S87), ISBLANK(T87)),
    "",
    MAX(
        1,
        IF(
            NETWORKDAYS(S87, T87, Holiday_Dates) &lt;= 0,
            1,
            NETWORKDAYS(S87, T87, Holiday_Dates) - IF(S87 = T87, 0, 1)
        )
    )
)</f>
        <v/>
      </c>
      <c r="Y87" s="244" t="str">
        <f>IFERROR(
    IF(
        OR(ISBLANK(S87), AND(ISBLANK(T87), ISBLANK(U87))),
        "",
        MAX(
            1,
            IF(
                NETWORKDAYS(IF(NOT(ISBLANK(U87)), U87, T87), U87, Holiday_Dates) &lt;= 0,
                1,
                NETWORKDAYS(IF(NOT(ISBLANK(U87)), U87, T87), U87, Holiday_Dates)
                - IF(IF(NOT(ISBLANK(U87)), U87, T87) = U87, 0, 1)
            )
        )
    ),
    ""
)</f>
        <v/>
      </c>
      <c r="Z87" s="244" t="str">
        <f t="shared" si="5"/>
        <v/>
      </c>
      <c r="AA87" s="9"/>
      <c r="AB87" s="9"/>
      <c r="AC87" s="6"/>
      <c r="AD87" s="6"/>
      <c r="AE87" s="9"/>
      <c r="AF87" s="9"/>
      <c r="AG87" s="45"/>
      <c r="AH87" s="9"/>
      <c r="AI87" s="9"/>
      <c r="AJ87" s="6"/>
      <c r="AK87" s="6"/>
      <c r="AL87" s="9"/>
      <c r="AM87" s="9"/>
      <c r="AN87" s="9"/>
      <c r="AO87" s="9"/>
      <c r="AP87" s="9"/>
      <c r="AQ87" s="6"/>
      <c r="AR87" s="9"/>
      <c r="AS87" s="271"/>
    </row>
    <row r="88" spans="1:45" ht="15" customHeight="1">
      <c r="A88" s="6" t="s">
        <v>49</v>
      </c>
      <c r="B88" s="6" t="s">
        <v>434</v>
      </c>
      <c r="C88" s="6" t="s">
        <v>769</v>
      </c>
      <c r="D88" s="9" t="s">
        <v>88</v>
      </c>
      <c r="E88" s="39" t="s">
        <v>381</v>
      </c>
      <c r="F88" s="9">
        <v>14.742096999999999</v>
      </c>
      <c r="G88" s="9">
        <v>120.912244</v>
      </c>
      <c r="H88" s="9" t="str">
        <f t="shared" si="4"/>
        <v>14.742097,120.912244</v>
      </c>
      <c r="I88" s="9" t="s">
        <v>121</v>
      </c>
      <c r="J88" s="9">
        <v>1</v>
      </c>
      <c r="K88" s="9">
        <v>2018</v>
      </c>
      <c r="L88" s="44">
        <v>285000</v>
      </c>
      <c r="M88" s="9" t="s">
        <v>227</v>
      </c>
      <c r="N88" s="9"/>
      <c r="O88" s="9" t="s">
        <v>128</v>
      </c>
      <c r="P88" s="9"/>
      <c r="Q88" s="9"/>
      <c r="R88" s="22"/>
      <c r="S88" s="22"/>
      <c r="T88" s="22"/>
      <c r="U88" s="22"/>
      <c r="V88" s="22"/>
      <c r="W88" s="244" t="str">
        <f>IFERROR(
    IF(
        OR(ISBLANK(R88), ISBLANK(S88)),
        "",
        MAX(
            1,
            IF(
                NETWORKDAYS(R88, S88, Holiday_Dates) &lt;= 0,
                1,
                NETWORKDAYS(R88, S88, Holiday_Dates) - IF(R88 = S88, 0, 1)
            )
        )
    ),
    ""
)</f>
        <v/>
      </c>
      <c r="X88" s="244" t="str">
        <f>IF(
    OR(ISBLANK(S88), ISBLANK(T88)),
    "",
    MAX(
        1,
        IF(
            NETWORKDAYS(S88, T88, Holiday_Dates) &lt;= 0,
            1,
            NETWORKDAYS(S88, T88, Holiday_Dates) - IF(S88 = T88, 0, 1)
        )
    )
)</f>
        <v/>
      </c>
      <c r="Y88" s="244" t="str">
        <f>IFERROR(
    IF(
        OR(ISBLANK(S88), AND(ISBLANK(T88), ISBLANK(U88))),
        "",
        MAX(
            1,
            IF(
                NETWORKDAYS(IF(NOT(ISBLANK(U88)), U88, T88), U88, Holiday_Dates) &lt;= 0,
                1,
                NETWORKDAYS(IF(NOT(ISBLANK(U88)), U88, T88), U88, Holiday_Dates)
                - IF(IF(NOT(ISBLANK(U88)), U88, T88) = U88, 0, 1)
            )
        )
    ),
    ""
)</f>
        <v/>
      </c>
      <c r="Z88" s="244" t="str">
        <f t="shared" si="5"/>
        <v/>
      </c>
      <c r="AA88" s="9"/>
      <c r="AB88" s="9"/>
      <c r="AC88" s="6"/>
      <c r="AD88" s="6"/>
      <c r="AE88" s="9"/>
      <c r="AF88" s="44"/>
      <c r="AG88" s="45"/>
      <c r="AH88" s="9"/>
      <c r="AI88" s="9"/>
      <c r="AJ88" s="6"/>
      <c r="AK88" s="6"/>
      <c r="AL88" s="9"/>
      <c r="AM88" s="9"/>
      <c r="AN88" s="9"/>
      <c r="AO88" s="9"/>
      <c r="AP88" s="9"/>
      <c r="AQ88" s="6"/>
      <c r="AR88" s="9"/>
      <c r="AS88" s="271"/>
    </row>
    <row r="89" spans="1:45" ht="15" customHeight="1">
      <c r="A89" s="6" t="s">
        <v>49</v>
      </c>
      <c r="B89" s="6" t="s">
        <v>437</v>
      </c>
      <c r="C89" s="6" t="s">
        <v>770</v>
      </c>
      <c r="D89" s="9" t="s">
        <v>88</v>
      </c>
      <c r="E89" s="39" t="s">
        <v>224</v>
      </c>
      <c r="F89" s="9">
        <v>14.717024</v>
      </c>
      <c r="G89" s="9">
        <v>120.931417</v>
      </c>
      <c r="H89" s="9" t="str">
        <f t="shared" si="4"/>
        <v>14.717024,120.931417</v>
      </c>
      <c r="I89" s="9" t="s">
        <v>122</v>
      </c>
      <c r="J89" s="9">
        <v>1</v>
      </c>
      <c r="K89" s="9">
        <v>2017</v>
      </c>
      <c r="L89" s="66">
        <v>460000</v>
      </c>
      <c r="M89" s="9" t="s">
        <v>227</v>
      </c>
      <c r="N89" s="9"/>
      <c r="O89" s="9" t="s">
        <v>128</v>
      </c>
      <c r="P89" s="9"/>
      <c r="Q89" s="9"/>
      <c r="R89" s="22"/>
      <c r="S89" s="22"/>
      <c r="T89" s="22"/>
      <c r="U89" s="22"/>
      <c r="V89" s="22"/>
      <c r="W89" s="244" t="str">
        <f>IFERROR(
    IF(
        OR(ISBLANK(R89), ISBLANK(S89)),
        "",
        MAX(
            1,
            IF(
                NETWORKDAYS(R89, S89, Holiday_Dates) &lt;= 0,
                1,
                NETWORKDAYS(R89, S89, Holiday_Dates) - IF(R89 = S89, 0, 1)
            )
        )
    ),
    ""
)</f>
        <v/>
      </c>
      <c r="X89" s="244" t="str">
        <f>IF(
    OR(ISBLANK(S89), ISBLANK(T89)),
    "",
    MAX(
        1,
        IF(
            NETWORKDAYS(S89, T89, Holiday_Dates) &lt;= 0,
            1,
            NETWORKDAYS(S89, T89, Holiday_Dates) - IF(S89 = T89, 0, 1)
        )
    )
)</f>
        <v/>
      </c>
      <c r="Y89" s="244" t="str">
        <f>IFERROR(
    IF(
        OR(ISBLANK(S89), AND(ISBLANK(T89), ISBLANK(U89))),
        "",
        MAX(
            1,
            IF(
                NETWORKDAYS(IF(NOT(ISBLANK(U89)), U89, T89), U89, Holiday_Dates) &lt;= 0,
                1,
                NETWORKDAYS(IF(NOT(ISBLANK(U89)), U89, T89), U89, Holiday_Dates)
                - IF(IF(NOT(ISBLANK(U89)), U89, T89) = U89, 0, 1)
            )
        )
    ),
    ""
)</f>
        <v/>
      </c>
      <c r="Z89" s="244" t="str">
        <f t="shared" si="5"/>
        <v/>
      </c>
      <c r="AA89" s="6"/>
      <c r="AB89" s="9"/>
      <c r="AC89" s="6"/>
      <c r="AD89" s="6"/>
      <c r="AE89" s="9"/>
      <c r="AF89" s="9"/>
      <c r="AG89" s="45"/>
      <c r="AH89" s="9"/>
      <c r="AI89" s="9"/>
      <c r="AJ89" s="6"/>
      <c r="AK89" s="6"/>
      <c r="AL89" s="9"/>
      <c r="AM89" s="9"/>
      <c r="AN89" s="9"/>
      <c r="AO89" s="9"/>
      <c r="AP89" s="9"/>
      <c r="AQ89" s="6"/>
      <c r="AR89" s="9"/>
      <c r="AS89" s="9"/>
    </row>
    <row r="90" spans="1:45" ht="15" customHeight="1">
      <c r="A90" s="6" t="s">
        <v>49</v>
      </c>
      <c r="B90" s="6" t="s">
        <v>437</v>
      </c>
      <c r="C90" s="6" t="s">
        <v>771</v>
      </c>
      <c r="D90" s="9" t="s">
        <v>88</v>
      </c>
      <c r="E90" s="39" t="s">
        <v>224</v>
      </c>
      <c r="F90" s="9">
        <v>14.904674999999999</v>
      </c>
      <c r="G90" s="9">
        <v>120.971828</v>
      </c>
      <c r="H90" s="9" t="str">
        <f t="shared" si="4"/>
        <v>14.904675,120.971828</v>
      </c>
      <c r="I90" s="9" t="s">
        <v>121</v>
      </c>
      <c r="J90" s="9">
        <v>1</v>
      </c>
      <c r="K90" s="9">
        <v>2018</v>
      </c>
      <c r="L90" s="44">
        <v>285000</v>
      </c>
      <c r="M90" s="9" t="s">
        <v>227</v>
      </c>
      <c r="N90" s="9"/>
      <c r="O90" s="9" t="s">
        <v>128</v>
      </c>
      <c r="P90" s="9"/>
      <c r="Q90" s="9"/>
      <c r="R90" s="22"/>
      <c r="S90" s="22"/>
      <c r="T90" s="22"/>
      <c r="U90" s="22"/>
      <c r="V90" s="22"/>
      <c r="W90" s="244" t="str">
        <f>IFERROR(
    IF(
        OR(ISBLANK(R90), ISBLANK(S90)),
        "",
        MAX(
            1,
            IF(
                NETWORKDAYS(R90, S90, Holiday_Dates) &lt;= 0,
                1,
                NETWORKDAYS(R90, S90, Holiday_Dates) - IF(R90 = S90, 0, 1)
            )
        )
    ),
    ""
)</f>
        <v/>
      </c>
      <c r="X90" s="244" t="str">
        <f>IF(
    OR(ISBLANK(S90), ISBLANK(T90)),
    "",
    MAX(
        1,
        IF(
            NETWORKDAYS(S90, T90, Holiday_Dates) &lt;= 0,
            1,
            NETWORKDAYS(S90, T90, Holiday_Dates) - IF(S90 = T90, 0, 1)
        )
    )
)</f>
        <v/>
      </c>
      <c r="Y90" s="244" t="str">
        <f>IFERROR(
    IF(
        OR(ISBLANK(S90), AND(ISBLANK(T90), ISBLANK(U90))),
        "",
        MAX(
            1,
            IF(
                NETWORKDAYS(IF(NOT(ISBLANK(U90)), U90, T90), U90, Holiday_Dates) &lt;= 0,
                1,
                NETWORKDAYS(IF(NOT(ISBLANK(U90)), U90, T90), U90, Holiday_Dates)
                - IF(IF(NOT(ISBLANK(U90)), U90, T90) = U90, 0, 1)
            )
        )
    ),
    ""
)</f>
        <v/>
      </c>
      <c r="Z90" s="244" t="str">
        <f t="shared" si="5"/>
        <v/>
      </c>
      <c r="AA90" s="6"/>
      <c r="AB90" s="9"/>
      <c r="AC90" s="6"/>
      <c r="AD90" s="6"/>
      <c r="AE90" s="44"/>
      <c r="AF90" s="44"/>
      <c r="AG90" s="45"/>
      <c r="AH90" s="9"/>
      <c r="AI90" s="9"/>
      <c r="AJ90" s="6"/>
      <c r="AK90" s="6"/>
      <c r="AL90" s="9"/>
      <c r="AM90" s="9"/>
      <c r="AN90" s="9"/>
      <c r="AO90" s="9"/>
      <c r="AP90" s="9"/>
      <c r="AQ90" s="6"/>
      <c r="AR90" s="9"/>
      <c r="AS90" s="9"/>
    </row>
    <row r="91" spans="1:45" ht="15" customHeight="1">
      <c r="A91" s="6" t="s">
        <v>49</v>
      </c>
      <c r="B91" s="6" t="s">
        <v>499</v>
      </c>
      <c r="C91" s="6" t="s">
        <v>740</v>
      </c>
      <c r="D91" s="9" t="s">
        <v>88</v>
      </c>
      <c r="E91" s="39" t="s">
        <v>402</v>
      </c>
      <c r="F91" s="9">
        <v>14.867974999999999</v>
      </c>
      <c r="G91" s="9">
        <v>120.88548299999999</v>
      </c>
      <c r="H91" s="9" t="str">
        <f t="shared" si="4"/>
        <v>14.867975,120.885483</v>
      </c>
      <c r="I91" s="9" t="s">
        <v>122</v>
      </c>
      <c r="J91" s="9">
        <v>1</v>
      </c>
      <c r="K91" s="9">
        <v>2017</v>
      </c>
      <c r="L91" s="66">
        <v>460000</v>
      </c>
      <c r="M91" s="9" t="s">
        <v>344</v>
      </c>
      <c r="N91" s="9"/>
      <c r="O91" s="9" t="s">
        <v>128</v>
      </c>
      <c r="P91" s="9"/>
      <c r="Q91" s="9"/>
      <c r="R91" s="22"/>
      <c r="S91" s="22"/>
      <c r="T91" s="22"/>
      <c r="U91" s="22"/>
      <c r="V91" s="22"/>
      <c r="W91" s="244" t="str">
        <f>IFERROR(
    IF(
        OR(ISBLANK(R91), ISBLANK(S91)),
        "",
        MAX(
            1,
            IF(
                NETWORKDAYS(R91, S91, Holiday_Dates) &lt;= 0,
                1,
                NETWORKDAYS(R91, S91, Holiday_Dates) - IF(R91 = S91, 0, 1)
            )
        )
    ),
    ""
)</f>
        <v/>
      </c>
      <c r="X91" s="244" t="str">
        <f>IF(
    OR(ISBLANK(S91), ISBLANK(T91)),
    "",
    MAX(
        1,
        IF(
            NETWORKDAYS(S91, T91, Holiday_Dates) &lt;= 0,
            1,
            NETWORKDAYS(S91, T91, Holiday_Dates) - IF(S91 = T91, 0, 1)
        )
    )
)</f>
        <v/>
      </c>
      <c r="Y91" s="244" t="str">
        <f>IFERROR(
    IF(
        OR(ISBLANK(S91), AND(ISBLANK(T91), ISBLANK(U91))),
        "",
        MAX(
            1,
            IF(
                NETWORKDAYS(IF(NOT(ISBLANK(U91)), U91, T91), U91, Holiday_Dates) &lt;= 0,
                1,
                NETWORKDAYS(IF(NOT(ISBLANK(U91)), U91, T91), U91, Holiday_Dates)
                - IF(IF(NOT(ISBLANK(U91)), U91, T91) = U91, 0, 1)
            )
        )
    ),
    ""
)</f>
        <v/>
      </c>
      <c r="Z91" s="244" t="str">
        <f t="shared" si="5"/>
        <v/>
      </c>
      <c r="AA91" s="9"/>
      <c r="AB91" s="9"/>
      <c r="AC91" s="6"/>
      <c r="AD91" s="6"/>
      <c r="AE91" s="9"/>
      <c r="AF91" s="9"/>
      <c r="AG91" s="45"/>
      <c r="AH91" s="9"/>
      <c r="AI91" s="9"/>
      <c r="AJ91" s="6"/>
      <c r="AK91" s="6"/>
      <c r="AL91" s="9"/>
      <c r="AM91" s="9"/>
      <c r="AN91" s="9"/>
      <c r="AO91" s="9"/>
      <c r="AP91" s="9"/>
      <c r="AQ91" s="6"/>
      <c r="AR91" s="9"/>
      <c r="AS91" s="9"/>
    </row>
    <row r="92" spans="1:45" ht="15" customHeight="1">
      <c r="A92" s="6" t="s">
        <v>49</v>
      </c>
      <c r="B92" s="6" t="s">
        <v>499</v>
      </c>
      <c r="C92" s="6" t="s">
        <v>772</v>
      </c>
      <c r="D92" s="9" t="s">
        <v>88</v>
      </c>
      <c r="E92" s="39" t="s">
        <v>402</v>
      </c>
      <c r="F92" s="9">
        <v>14.826808</v>
      </c>
      <c r="G92" s="9">
        <v>120.76367500000001</v>
      </c>
      <c r="H92" s="9" t="str">
        <f t="shared" si="4"/>
        <v>14.826808,120.763675</v>
      </c>
      <c r="I92" s="9" t="s">
        <v>121</v>
      </c>
      <c r="J92" s="9">
        <v>1</v>
      </c>
      <c r="K92" s="9">
        <v>2016</v>
      </c>
      <c r="L92" s="44">
        <v>270000</v>
      </c>
      <c r="M92" s="9" t="s">
        <v>344</v>
      </c>
      <c r="N92" s="9"/>
      <c r="O92" s="9" t="s">
        <v>128</v>
      </c>
      <c r="P92" s="9"/>
      <c r="Q92" s="9"/>
      <c r="R92" s="22"/>
      <c r="S92" s="22"/>
      <c r="T92" s="22"/>
      <c r="U92" s="22"/>
      <c r="V92" s="22"/>
      <c r="W92" s="244" t="str">
        <f>IFERROR(
    IF(
        OR(ISBLANK(R92), ISBLANK(S92)),
        "",
        MAX(
            1,
            IF(
                NETWORKDAYS(R92, S92, Holiday_Dates) &lt;= 0,
                1,
                NETWORKDAYS(R92, S92, Holiday_Dates) - IF(R92 = S92, 0, 1)
            )
        )
    ),
    ""
)</f>
        <v/>
      </c>
      <c r="X92" s="244" t="str">
        <f>IF(
    OR(ISBLANK(S92), ISBLANK(T92)),
    "",
    MAX(
        1,
        IF(
            NETWORKDAYS(S92, T92, Holiday_Dates) &lt;= 0,
            1,
            NETWORKDAYS(S92, T92, Holiday_Dates) - IF(S92 = T92, 0, 1)
        )
    )
)</f>
        <v/>
      </c>
      <c r="Y92" s="244" t="str">
        <f>IFERROR(
    IF(
        OR(ISBLANK(S92), AND(ISBLANK(T92), ISBLANK(U92))),
        "",
        MAX(
            1,
            IF(
                NETWORKDAYS(IF(NOT(ISBLANK(U92)), U92, T92), U92, Holiday_Dates) &lt;= 0,
                1,
                NETWORKDAYS(IF(NOT(ISBLANK(U92)), U92, T92), U92, Holiday_Dates)
                - IF(IF(NOT(ISBLANK(U92)), U92, T92) = U92, 0, 1)
            )
        )
    ),
    ""
)</f>
        <v/>
      </c>
      <c r="Z92" s="244" t="str">
        <f t="shared" si="5"/>
        <v/>
      </c>
      <c r="AA92" s="6"/>
      <c r="AB92" s="9"/>
      <c r="AC92" s="6"/>
      <c r="AD92" s="6"/>
      <c r="AE92" s="9"/>
      <c r="AF92" s="9"/>
      <c r="AG92" s="45"/>
      <c r="AH92" s="9"/>
      <c r="AI92" s="9"/>
      <c r="AJ92" s="6"/>
      <c r="AK92" s="6"/>
      <c r="AL92" s="9"/>
      <c r="AM92" s="9"/>
      <c r="AN92" s="9"/>
      <c r="AO92" s="9"/>
      <c r="AP92" s="9"/>
      <c r="AQ92" s="6"/>
      <c r="AR92" s="9"/>
      <c r="AS92" s="271"/>
    </row>
    <row r="93" spans="1:45" ht="15" customHeight="1">
      <c r="A93" s="6" t="s">
        <v>49</v>
      </c>
      <c r="B93" s="6" t="s">
        <v>499</v>
      </c>
      <c r="C93" s="6" t="s">
        <v>773</v>
      </c>
      <c r="D93" s="9" t="s">
        <v>88</v>
      </c>
      <c r="E93" s="39" t="s">
        <v>402</v>
      </c>
      <c r="F93" s="9">
        <v>14.891749000000001</v>
      </c>
      <c r="G93" s="9">
        <v>120.977345</v>
      </c>
      <c r="H93" s="9" t="str">
        <f t="shared" si="4"/>
        <v>14.891749,120.977345</v>
      </c>
      <c r="I93" s="9" t="s">
        <v>122</v>
      </c>
      <c r="J93" s="9">
        <v>1</v>
      </c>
      <c r="K93" s="9">
        <v>2017</v>
      </c>
      <c r="L93" s="66">
        <v>460000</v>
      </c>
      <c r="M93" s="46" t="s">
        <v>344</v>
      </c>
      <c r="N93" s="46"/>
      <c r="O93" s="9" t="s">
        <v>128</v>
      </c>
      <c r="P93" s="9"/>
      <c r="Q93" s="46"/>
      <c r="R93" s="22"/>
      <c r="S93" s="22"/>
      <c r="T93" s="292"/>
      <c r="U93" s="22"/>
      <c r="V93" s="22"/>
      <c r="W93" s="244" t="str">
        <f>IFERROR(
    IF(
        OR(ISBLANK(R93), ISBLANK(S93)),
        "",
        MAX(
            1,
            IF(
                NETWORKDAYS(R93, S93, Holiday_Dates) &lt;= 0,
                1,
                NETWORKDAYS(R93, S93, Holiday_Dates) - IF(R93 = S93, 0, 1)
            )
        )
    ),
    ""
)</f>
        <v/>
      </c>
      <c r="X93" s="244" t="str">
        <f>IF(
    OR(ISBLANK(S93), ISBLANK(T93)),
    "",
    MAX(
        1,
        IF(
            NETWORKDAYS(S93, T93, Holiday_Dates) &lt;= 0,
            1,
            NETWORKDAYS(S93, T93, Holiday_Dates) - IF(S93 = T93, 0, 1)
        )
    )
)</f>
        <v/>
      </c>
      <c r="Y93" s="244" t="str">
        <f>IFERROR(
    IF(
        OR(ISBLANK(S93), AND(ISBLANK(T93), ISBLANK(U93))),
        "",
        MAX(
            1,
            IF(
                NETWORKDAYS(IF(NOT(ISBLANK(U93)), U93, T93), U93, Holiday_Dates) &lt;= 0,
                1,
                NETWORKDAYS(IF(NOT(ISBLANK(U93)), U93, T93), U93, Holiday_Dates)
                - IF(IF(NOT(ISBLANK(U93)), U93, T93) = U93, 0, 1)
            )
        )
    ),
    ""
)</f>
        <v/>
      </c>
      <c r="Z93" s="244" t="str">
        <f t="shared" si="5"/>
        <v/>
      </c>
      <c r="AA93" s="9"/>
      <c r="AB93" s="9"/>
      <c r="AC93" s="6"/>
      <c r="AD93" s="6"/>
      <c r="AE93" s="9"/>
      <c r="AG93" s="45"/>
      <c r="AH93" s="9"/>
      <c r="AI93" s="9"/>
      <c r="AJ93" s="6"/>
      <c r="AK93" s="6"/>
      <c r="AL93" s="9"/>
      <c r="AM93" s="9"/>
      <c r="AN93" s="9"/>
      <c r="AO93" s="9"/>
      <c r="AP93" s="9"/>
      <c r="AQ93" s="6"/>
      <c r="AR93" s="9"/>
      <c r="AS93" s="271"/>
    </row>
    <row r="94" spans="1:45" ht="15" customHeight="1">
      <c r="A94" s="6" t="s">
        <v>49</v>
      </c>
      <c r="B94" s="6" t="s">
        <v>501</v>
      </c>
      <c r="C94" s="6" t="s">
        <v>774</v>
      </c>
      <c r="D94" s="9" t="s">
        <v>88</v>
      </c>
      <c r="E94" s="39" t="s">
        <v>243</v>
      </c>
      <c r="F94" s="9">
        <v>14.826669000000001</v>
      </c>
      <c r="G94" s="9">
        <v>120.763717</v>
      </c>
      <c r="H94" s="9" t="str">
        <f t="shared" si="4"/>
        <v>14.826669,120.763717</v>
      </c>
      <c r="I94" s="9" t="s">
        <v>121</v>
      </c>
      <c r="J94" s="9">
        <v>2</v>
      </c>
      <c r="K94" s="9" t="s">
        <v>775</v>
      </c>
      <c r="L94" s="44" t="s">
        <v>776</v>
      </c>
      <c r="M94" s="9" t="s">
        <v>344</v>
      </c>
      <c r="N94" s="9"/>
      <c r="O94" s="9" t="s">
        <v>128</v>
      </c>
      <c r="P94" s="71"/>
      <c r="Q94" s="7"/>
      <c r="R94" s="420"/>
      <c r="S94" s="22"/>
      <c r="T94" s="22"/>
      <c r="U94" s="22"/>
      <c r="V94" s="22"/>
      <c r="W94" s="244" t="str">
        <f>IFERROR(
    IF(
        OR(ISBLANK(R94), ISBLANK(S94)),
        "",
        MAX(
            1,
            IF(
                NETWORKDAYS(R94, S94, Holiday_Dates) &lt;= 0,
                1,
                NETWORKDAYS(R94, S94, Holiday_Dates) - IF(R94 = S94, 0, 1)
            )
        )
    ),
    ""
)</f>
        <v/>
      </c>
      <c r="X94" s="244" t="str">
        <f>IF(
    OR(ISBLANK(S94), ISBLANK(T94)),
    "",
    MAX(
        1,
        IF(
            NETWORKDAYS(S94, T94, Holiday_Dates) &lt;= 0,
            1,
            NETWORKDAYS(S94, T94, Holiday_Dates) - IF(S94 = T94, 0, 1)
        )
    )
)</f>
        <v/>
      </c>
      <c r="Y94" s="244" t="str">
        <f>IFERROR(
    IF(
        OR(ISBLANK(S94), AND(ISBLANK(T94), ISBLANK(U94))),
        "",
        MAX(
            1,
            IF(
                NETWORKDAYS(IF(NOT(ISBLANK(U94)), U94, T94), U94, Holiday_Dates) &lt;= 0,
                1,
                NETWORKDAYS(IF(NOT(ISBLANK(U94)), U94, T94), U94, Holiday_Dates)
                - IF(IF(NOT(ISBLANK(U94)), U94, T94) = U94, 0, 1)
            )
        )
    ),
    ""
)</f>
        <v/>
      </c>
      <c r="Z94" s="244" t="str">
        <f t="shared" si="5"/>
        <v/>
      </c>
      <c r="AA94" s="6"/>
      <c r="AB94" s="9"/>
      <c r="AC94" s="6"/>
      <c r="AD94" s="6"/>
      <c r="AE94" s="9"/>
      <c r="AF94" s="9"/>
      <c r="AG94" s="45"/>
      <c r="AH94" s="9"/>
      <c r="AI94" s="9"/>
      <c r="AJ94" s="6"/>
      <c r="AK94" s="6"/>
      <c r="AL94" s="9"/>
      <c r="AM94" s="9"/>
      <c r="AN94" s="9"/>
      <c r="AO94" s="9"/>
      <c r="AP94" s="9"/>
      <c r="AQ94" s="6"/>
      <c r="AR94" s="9"/>
      <c r="AS94" s="271"/>
    </row>
    <row r="95" spans="1:45" ht="15" customHeight="1">
      <c r="A95" s="6" t="s">
        <v>49</v>
      </c>
      <c r="B95" s="6" t="s">
        <v>284</v>
      </c>
      <c r="C95" s="6" t="s">
        <v>777</v>
      </c>
      <c r="D95" s="9" t="s">
        <v>88</v>
      </c>
      <c r="E95" s="39" t="s">
        <v>271</v>
      </c>
      <c r="F95" s="9">
        <v>14.856638999999999</v>
      </c>
      <c r="G95" s="9">
        <v>121.050831</v>
      </c>
      <c r="H95" s="9" t="str">
        <f t="shared" si="4"/>
        <v>14.856639,121.050831</v>
      </c>
      <c r="I95" s="9" t="s">
        <v>121</v>
      </c>
      <c r="J95" s="9">
        <v>2</v>
      </c>
      <c r="K95" s="9" t="s">
        <v>778</v>
      </c>
      <c r="L95" s="44" t="s">
        <v>779</v>
      </c>
      <c r="M95" s="9" t="s">
        <v>135</v>
      </c>
      <c r="N95" s="9"/>
      <c r="O95" s="9" t="s">
        <v>128</v>
      </c>
      <c r="P95" s="71"/>
      <c r="Q95" s="9"/>
      <c r="R95" s="420"/>
      <c r="S95" s="22"/>
      <c r="T95" s="22"/>
      <c r="U95" s="22"/>
      <c r="V95" s="22"/>
      <c r="W95" s="244" t="str">
        <f>IFERROR(
    IF(
        OR(ISBLANK(R95), ISBLANK(S95)),
        "",
        MAX(
            1,
            IF(
                NETWORKDAYS(R95, S95, Holiday_Dates) &lt;= 0,
                1,
                NETWORKDAYS(R95, S95, Holiday_Dates) - IF(R95 = S95, 0, 1)
            )
        )
    ),
    ""
)</f>
        <v/>
      </c>
      <c r="X95" s="244" t="str">
        <f>IF(
    OR(ISBLANK(S95), ISBLANK(T95)),
    "",
    MAX(
        1,
        IF(
            NETWORKDAYS(S95, T95, Holiday_Dates) &lt;= 0,
            1,
            NETWORKDAYS(S95, T95, Holiday_Dates) - IF(S95 = T95, 0, 1)
        )
    )
)</f>
        <v/>
      </c>
      <c r="Y95" s="244" t="str">
        <f>IFERROR(
    IF(
        OR(ISBLANK(S95), AND(ISBLANK(T95), ISBLANK(U95))),
        "",
        MAX(
            1,
            IF(
                NETWORKDAYS(IF(NOT(ISBLANK(U95)), U95, T95), U95, Holiday_Dates) &lt;= 0,
                1,
                NETWORKDAYS(IF(NOT(ISBLANK(U95)), U95, T95), U95, Holiday_Dates)
                - IF(IF(NOT(ISBLANK(U95)), U95, T95) = U95, 0, 1)
            )
        )
    ),
    ""
)</f>
        <v/>
      </c>
      <c r="Z95" s="244" t="str">
        <f t="shared" si="5"/>
        <v/>
      </c>
      <c r="AA95" s="6"/>
      <c r="AB95" s="9"/>
      <c r="AC95" s="6"/>
      <c r="AD95" s="6"/>
      <c r="AE95" s="9"/>
      <c r="AF95" s="66"/>
      <c r="AG95" s="45"/>
      <c r="AH95" s="9"/>
      <c r="AI95" s="9"/>
      <c r="AJ95" s="6"/>
      <c r="AK95" s="6"/>
      <c r="AL95" s="9"/>
      <c r="AM95" s="9"/>
      <c r="AN95" s="9"/>
      <c r="AO95" s="9"/>
      <c r="AP95" s="9"/>
      <c r="AQ95" s="6"/>
      <c r="AR95" s="9"/>
      <c r="AS95" s="271"/>
    </row>
    <row r="96" spans="1:45" ht="15" customHeight="1">
      <c r="A96" s="6" t="s">
        <v>49</v>
      </c>
      <c r="B96" s="6" t="s">
        <v>439</v>
      </c>
      <c r="C96" s="6" t="s">
        <v>780</v>
      </c>
      <c r="D96" s="9" t="s">
        <v>88</v>
      </c>
      <c r="E96" s="39" t="s">
        <v>213</v>
      </c>
      <c r="F96" s="9">
        <v>15.0479</v>
      </c>
      <c r="G96" s="9">
        <v>120.9543</v>
      </c>
      <c r="H96" s="9" t="str">
        <f t="shared" si="4"/>
        <v>15.0479,120.9543</v>
      </c>
      <c r="I96" s="9" t="s">
        <v>121</v>
      </c>
      <c r="J96" s="9">
        <v>1</v>
      </c>
      <c r="K96" s="9">
        <v>2019</v>
      </c>
      <c r="L96" s="44">
        <v>502714.29</v>
      </c>
      <c r="M96" s="9" t="s">
        <v>23</v>
      </c>
      <c r="N96" s="9"/>
      <c r="O96" s="9" t="s">
        <v>128</v>
      </c>
      <c r="P96" s="71"/>
      <c r="Q96" s="283"/>
      <c r="R96" s="420"/>
      <c r="S96" s="22"/>
      <c r="T96" s="22"/>
      <c r="U96" s="22"/>
      <c r="V96" s="22"/>
      <c r="W96" s="244" t="str">
        <f>IFERROR(
    IF(
        OR(ISBLANK(R96), ISBLANK(S96)),
        "",
        MAX(
            1,
            IF(
                NETWORKDAYS(R96, S96, Holiday_Dates) &lt;= 0,
                1,
                NETWORKDAYS(R96, S96, Holiday_Dates) - IF(R96 = S96, 0, 1)
            )
        )
    ),
    ""
)</f>
        <v/>
      </c>
      <c r="X96" s="244" t="str">
        <f>IF(
    OR(ISBLANK(S96), ISBLANK(T96)),
    "",
    MAX(
        1,
        IF(
            NETWORKDAYS(S96, T96, Holiday_Dates) &lt;= 0,
            1,
            NETWORKDAYS(S96, T96, Holiday_Dates) - IF(S96 = T96, 0, 1)
        )
    )
)</f>
        <v/>
      </c>
      <c r="Y96" s="244" t="str">
        <f>IFERROR(
    IF(
        OR(ISBLANK(S96), AND(ISBLANK(T96), ISBLANK(U96))),
        "",
        MAX(
            1,
            IF(
                NETWORKDAYS(IF(NOT(ISBLANK(U96)), U96, T96), U96, Holiday_Dates) &lt;= 0,
                1,
                NETWORKDAYS(IF(NOT(ISBLANK(U96)), U96, T96), U96, Holiday_Dates)
                - IF(IF(NOT(ISBLANK(U96)), U96, T96) = U96, 0, 1)
            )
        )
    ),
    ""
)</f>
        <v/>
      </c>
      <c r="Z96" s="244" t="str">
        <f t="shared" si="5"/>
        <v/>
      </c>
      <c r="AA96" s="9"/>
      <c r="AB96" s="9"/>
      <c r="AC96" s="6"/>
      <c r="AD96" s="6"/>
      <c r="AE96" s="9"/>
      <c r="AF96" s="9"/>
      <c r="AG96" s="45"/>
      <c r="AH96" s="9"/>
      <c r="AI96" s="9"/>
      <c r="AJ96" s="6"/>
      <c r="AK96" s="6"/>
      <c r="AL96" s="9"/>
      <c r="AM96" s="9"/>
      <c r="AN96" s="9"/>
      <c r="AO96" s="9"/>
      <c r="AP96" s="9"/>
      <c r="AQ96" s="6"/>
      <c r="AR96" s="9"/>
      <c r="AS96" s="7"/>
    </row>
    <row r="97" spans="1:45" ht="15" customHeight="1">
      <c r="A97" s="6" t="s">
        <v>49</v>
      </c>
      <c r="B97" s="6" t="s">
        <v>440</v>
      </c>
      <c r="C97" s="6" t="s">
        <v>781</v>
      </c>
      <c r="D97" s="9" t="s">
        <v>88</v>
      </c>
      <c r="E97" s="39" t="s">
        <v>213</v>
      </c>
      <c r="F97" s="9">
        <v>15.135514000000001</v>
      </c>
      <c r="G97" s="9">
        <v>121.059628</v>
      </c>
      <c r="H97" s="9" t="str">
        <f t="shared" si="4"/>
        <v>15.135514,121.059628</v>
      </c>
      <c r="I97" s="9" t="s">
        <v>121</v>
      </c>
      <c r="J97" s="9">
        <v>1</v>
      </c>
      <c r="K97" s="9">
        <v>2019</v>
      </c>
      <c r="L97" s="66">
        <v>530000</v>
      </c>
      <c r="M97" s="9" t="s">
        <v>23</v>
      </c>
      <c r="N97" s="9"/>
      <c r="O97" s="9" t="s">
        <v>128</v>
      </c>
      <c r="P97" s="9"/>
      <c r="Q97" s="7"/>
      <c r="R97" s="420"/>
      <c r="S97" s="22"/>
      <c r="T97" s="22"/>
      <c r="U97" s="22"/>
      <c r="V97" s="22"/>
      <c r="W97" s="244" t="str">
        <f>IFERROR(
    IF(
        OR(ISBLANK(R97), ISBLANK(S97)),
        "",
        MAX(
            1,
            IF(
                NETWORKDAYS(R97, S97, Holiday_Dates) &lt;= 0,
                1,
                NETWORKDAYS(R97, S97, Holiday_Dates) - IF(R97 = S97, 0, 1)
            )
        )
    ),
    ""
)</f>
        <v/>
      </c>
      <c r="X97" s="244" t="str">
        <f>IF(
    OR(ISBLANK(S97), ISBLANK(T97)),
    "",
    MAX(
        1,
        IF(
            NETWORKDAYS(S97, T97, Holiday_Dates) &lt;= 0,
            1,
            NETWORKDAYS(S97, T97, Holiday_Dates) - IF(S97 = T97, 0, 1)
        )
    )
)</f>
        <v/>
      </c>
      <c r="Y97" s="244" t="str">
        <f>IFERROR(
    IF(
        OR(ISBLANK(S97), AND(ISBLANK(T97), ISBLANK(U97))),
        "",
        MAX(
            1,
            IF(
                NETWORKDAYS(IF(NOT(ISBLANK(U97)), U97, T97), U97, Holiday_Dates) &lt;= 0,
                1,
                NETWORKDAYS(IF(NOT(ISBLANK(U97)), U97, T97), U97, Holiday_Dates)
                - IF(IF(NOT(ISBLANK(U97)), U97, T97) = U97, 0, 1)
            )
        )
    ),
    ""
)</f>
        <v/>
      </c>
      <c r="Z97" s="244" t="str">
        <f t="shared" si="5"/>
        <v/>
      </c>
      <c r="AA97" s="9"/>
      <c r="AB97" s="9"/>
      <c r="AC97" s="6"/>
      <c r="AD97" s="6"/>
      <c r="AE97" s="9"/>
      <c r="AF97" s="9"/>
      <c r="AG97" s="45"/>
      <c r="AH97" s="9"/>
      <c r="AI97" s="9"/>
      <c r="AJ97" s="6"/>
      <c r="AK97" s="6"/>
      <c r="AL97" s="9"/>
      <c r="AM97" s="9"/>
      <c r="AN97" s="9"/>
      <c r="AO97" s="9"/>
      <c r="AP97" s="9"/>
      <c r="AQ97" s="6"/>
      <c r="AR97" s="9"/>
      <c r="AS97" s="9"/>
    </row>
    <row r="98" spans="1:45">
      <c r="A98" s="6" t="s">
        <v>49</v>
      </c>
      <c r="B98" s="6" t="s">
        <v>380</v>
      </c>
      <c r="C98" s="6" t="s">
        <v>782</v>
      </c>
      <c r="D98" s="9" t="s">
        <v>88</v>
      </c>
      <c r="E98" s="39" t="s">
        <v>381</v>
      </c>
      <c r="F98" s="9">
        <v>14.870646000000001</v>
      </c>
      <c r="G98" s="9">
        <v>120.97304200000001</v>
      </c>
      <c r="H98" s="9" t="str">
        <f t="shared" ref="H98:H113" si="6">CONCATENATE(F98,",",G98)</f>
        <v>14.870646,120.973042</v>
      </c>
      <c r="I98" s="9" t="s">
        <v>121</v>
      </c>
      <c r="J98" s="9">
        <v>1</v>
      </c>
      <c r="K98" s="9">
        <v>2012</v>
      </c>
      <c r="L98" s="66">
        <v>500000</v>
      </c>
      <c r="M98" s="9" t="s">
        <v>227</v>
      </c>
      <c r="N98" s="9"/>
      <c r="O98" s="9" t="s">
        <v>128</v>
      </c>
      <c r="P98" s="71"/>
      <c r="Q98" s="9"/>
      <c r="R98" s="420"/>
      <c r="S98" s="22"/>
      <c r="T98" s="292"/>
      <c r="U98" s="22"/>
      <c r="V98" s="22"/>
      <c r="W98" s="244" t="str">
        <f>IFERROR(
    IF(
        OR(ISBLANK(R98), ISBLANK(S98)),
        "",
        MAX(
            1,
            IF(
                NETWORKDAYS(R98, S98, Holiday_Dates) &lt;= 0,
                1,
                NETWORKDAYS(R98, S98, Holiday_Dates) - IF(R98 = S98, 0, 1)
            )
        )
    ),
    ""
)</f>
        <v/>
      </c>
      <c r="X98" s="244" t="str">
        <f>IF(
    OR(ISBLANK(S98), ISBLANK(T98)),
    "",
    MAX(
        1,
        IF(
            NETWORKDAYS(S98, T98, Holiday_Dates) &lt;= 0,
            1,
            NETWORKDAYS(S98, T98, Holiday_Dates) - IF(S98 = T98, 0, 1)
        )
    )
)</f>
        <v/>
      </c>
      <c r="Y98" s="244" t="str">
        <f>IFERROR(
    IF(
        OR(ISBLANK(S98), AND(ISBLANK(T98), ISBLANK(U98))),
        "",
        MAX(
            1,
            IF(
                NETWORKDAYS(IF(NOT(ISBLANK(U98)), U98, T98), U98, Holiday_Dates) &lt;= 0,
                1,
                NETWORKDAYS(IF(NOT(ISBLANK(U98)), U98, T98), U98, Holiday_Dates)
                - IF(IF(NOT(ISBLANK(U98)), U98, T98) = U98, 0, 1)
            )
        )
    ),
    ""
)</f>
        <v/>
      </c>
      <c r="Z98" s="244" t="str">
        <f t="shared" si="5"/>
        <v/>
      </c>
      <c r="AA98" s="9"/>
      <c r="AB98" s="9"/>
      <c r="AC98" s="6"/>
      <c r="AD98" s="6"/>
      <c r="AG98" s="45"/>
      <c r="AH98" s="9"/>
      <c r="AI98" s="9"/>
      <c r="AJ98" s="6"/>
      <c r="AK98" s="6"/>
      <c r="AL98" s="9"/>
      <c r="AM98" s="9"/>
      <c r="AN98" s="9"/>
      <c r="AO98" s="9"/>
      <c r="AP98" s="9"/>
      <c r="AQ98" s="6"/>
      <c r="AR98" s="9"/>
      <c r="AS98" s="9"/>
    </row>
    <row r="99" spans="1:45" ht="15" customHeight="1">
      <c r="A99" s="6" t="s">
        <v>49</v>
      </c>
      <c r="B99" s="6" t="s">
        <v>380</v>
      </c>
      <c r="C99" s="6" t="s">
        <v>783</v>
      </c>
      <c r="D99" s="9" t="s">
        <v>88</v>
      </c>
      <c r="E99" s="39" t="s">
        <v>381</v>
      </c>
      <c r="F99" s="9">
        <v>14.807207999999999</v>
      </c>
      <c r="G99" s="9">
        <v>120.987347</v>
      </c>
      <c r="H99" s="9" t="str">
        <f t="shared" si="6"/>
        <v>14.807208,120.987347</v>
      </c>
      <c r="I99" s="9" t="s">
        <v>122</v>
      </c>
      <c r="J99" s="9">
        <v>1</v>
      </c>
      <c r="K99" s="9">
        <v>2017</v>
      </c>
      <c r="L99" s="66">
        <v>460000</v>
      </c>
      <c r="M99" s="9" t="s">
        <v>227</v>
      </c>
      <c r="N99" s="9"/>
      <c r="O99" s="9" t="s">
        <v>128</v>
      </c>
      <c r="P99" s="9"/>
      <c r="Q99" s="9"/>
      <c r="R99" s="420"/>
      <c r="S99" s="22"/>
      <c r="T99" s="22"/>
      <c r="U99" s="22"/>
      <c r="V99" s="22"/>
      <c r="W99" s="244" t="str">
        <f>IFERROR(
    IF(
        OR(ISBLANK(R99), ISBLANK(S99)),
        "",
        MAX(
            1,
            IF(
                NETWORKDAYS(R99, S99, Holiday_Dates) &lt;= 0,
                1,
                NETWORKDAYS(R99, S99, Holiday_Dates) - IF(R99 = S99, 0, 1)
            )
        )
    ),
    ""
)</f>
        <v/>
      </c>
      <c r="X99" s="244" t="str">
        <f>IF(
    OR(ISBLANK(S99), ISBLANK(T99)),
    "",
    MAX(
        1,
        IF(
            NETWORKDAYS(S99, T99, Holiday_Dates) &lt;= 0,
            1,
            NETWORKDAYS(S99, T99, Holiday_Dates) - IF(S99 = T99, 0, 1)
        )
    )
)</f>
        <v/>
      </c>
      <c r="Y99" s="244" t="str">
        <f>IFERROR(
    IF(
        OR(ISBLANK(S99), AND(ISBLANK(T99), ISBLANK(U99))),
        "",
        MAX(
            1,
            IF(
                NETWORKDAYS(IF(NOT(ISBLANK(U99)), U99, T99), U99, Holiday_Dates) &lt;= 0,
                1,
                NETWORKDAYS(IF(NOT(ISBLANK(U99)), U99, T99), U99, Holiday_Dates)
                - IF(IF(NOT(ISBLANK(U99)), U99, T99) = U99, 0, 1)
            )
        )
    ),
    ""
)</f>
        <v/>
      </c>
      <c r="Z99" s="244" t="str">
        <f t="shared" si="5"/>
        <v/>
      </c>
      <c r="AA99" s="9"/>
      <c r="AB99" s="9"/>
      <c r="AC99" s="6"/>
      <c r="AD99" s="6"/>
      <c r="AE99" s="9"/>
      <c r="AF99" s="9"/>
      <c r="AG99" s="45"/>
      <c r="AH99" s="9"/>
      <c r="AI99" s="9"/>
      <c r="AJ99" s="6"/>
      <c r="AK99" s="6"/>
      <c r="AL99" s="9"/>
      <c r="AM99" s="9"/>
      <c r="AN99" s="9"/>
      <c r="AO99" s="9"/>
      <c r="AP99" s="9"/>
      <c r="AQ99" s="6"/>
      <c r="AR99" s="9"/>
      <c r="AS99" s="271"/>
    </row>
    <row r="100" spans="1:45" ht="15" customHeight="1">
      <c r="A100" s="6" t="s">
        <v>49</v>
      </c>
      <c r="B100" s="6" t="s">
        <v>380</v>
      </c>
      <c r="C100" s="6" t="s">
        <v>653</v>
      </c>
      <c r="D100" s="9" t="s">
        <v>88</v>
      </c>
      <c r="E100" s="39" t="s">
        <v>381</v>
      </c>
      <c r="F100" s="9">
        <v>14.805337</v>
      </c>
      <c r="G100" s="9">
        <v>121.00643599999999</v>
      </c>
      <c r="H100" s="9" t="str">
        <f t="shared" si="6"/>
        <v>14.805337,121.006436</v>
      </c>
      <c r="I100" s="9" t="s">
        <v>122</v>
      </c>
      <c r="J100" s="9">
        <v>1</v>
      </c>
      <c r="K100" s="9">
        <v>2017</v>
      </c>
      <c r="L100" s="66">
        <v>460000</v>
      </c>
      <c r="M100" s="9" t="s">
        <v>227</v>
      </c>
      <c r="N100" s="9"/>
      <c r="O100" s="9" t="s">
        <v>128</v>
      </c>
      <c r="P100" s="9"/>
      <c r="Q100" s="9"/>
      <c r="R100" s="420"/>
      <c r="S100" s="22"/>
      <c r="T100" s="22"/>
      <c r="U100" s="22"/>
      <c r="V100" s="22"/>
      <c r="W100" s="244" t="str">
        <f>IFERROR(
    IF(
        OR(ISBLANK(R100), ISBLANK(S100)),
        "",
        MAX(
            1,
            IF(
                NETWORKDAYS(R100, S100, Holiday_Dates) &lt;= 0,
                1,
                NETWORKDAYS(R100, S100, Holiday_Dates) - IF(R100 = S100, 0, 1)
            )
        )
    ),
    ""
)</f>
        <v/>
      </c>
      <c r="X100" s="244" t="str">
        <f>IF(
    OR(ISBLANK(S100), ISBLANK(T100)),
    "",
    MAX(
        1,
        IF(
            NETWORKDAYS(S100, T100, Holiday_Dates) &lt;= 0,
            1,
            NETWORKDAYS(S100, T100, Holiday_Dates) - IF(S100 = T100, 0, 1)
        )
    )
)</f>
        <v/>
      </c>
      <c r="Y100" s="244" t="str">
        <f>IFERROR(
    IF(
        OR(ISBLANK(S100), AND(ISBLANK(T100), ISBLANK(U100))),
        "",
        MAX(
            1,
            IF(
                NETWORKDAYS(IF(NOT(ISBLANK(U100)), U100, T100), U100, Holiday_Dates) &lt;= 0,
                1,
                NETWORKDAYS(IF(NOT(ISBLANK(U100)), U100, T100), U100, Holiday_Dates)
                - IF(IF(NOT(ISBLANK(U100)), U100, T100) = U100, 0, 1)
            )
        )
    ),
    ""
)</f>
        <v/>
      </c>
      <c r="Z100" s="244" t="str">
        <f t="shared" si="5"/>
        <v/>
      </c>
      <c r="AA100" s="9"/>
      <c r="AB100" s="9"/>
      <c r="AC100" s="6"/>
      <c r="AD100" s="6"/>
      <c r="AE100" s="9"/>
      <c r="AF100" s="9"/>
      <c r="AG100" s="45"/>
      <c r="AH100" s="9"/>
      <c r="AI100" s="9"/>
      <c r="AJ100" s="6"/>
      <c r="AK100" s="6"/>
      <c r="AL100" s="9"/>
      <c r="AM100" s="9"/>
      <c r="AN100" s="9"/>
      <c r="AO100" s="9"/>
      <c r="AP100" s="9"/>
      <c r="AQ100" s="6"/>
      <c r="AR100" s="9"/>
      <c r="AS100" s="9"/>
    </row>
    <row r="101" spans="1:45">
      <c r="A101" s="6" t="s">
        <v>50</v>
      </c>
      <c r="B101" s="6" t="s">
        <v>507</v>
      </c>
      <c r="C101" s="6" t="s">
        <v>784</v>
      </c>
      <c r="D101" s="39" t="s">
        <v>89</v>
      </c>
      <c r="E101" s="39" t="s">
        <v>243</v>
      </c>
      <c r="F101" s="9">
        <v>15.8117</v>
      </c>
      <c r="G101" s="9">
        <v>120.67749999999999</v>
      </c>
      <c r="H101" s="9" t="str">
        <f t="shared" si="6"/>
        <v>15.8117,120.6775</v>
      </c>
      <c r="I101" s="9" t="s">
        <v>121</v>
      </c>
      <c r="J101" s="9">
        <v>1</v>
      </c>
      <c r="K101" s="9">
        <v>2019</v>
      </c>
      <c r="L101" s="9">
        <v>500000</v>
      </c>
      <c r="M101" s="47" t="s">
        <v>29</v>
      </c>
      <c r="N101" s="47"/>
      <c r="O101" s="47" t="s">
        <v>130</v>
      </c>
      <c r="P101" s="9"/>
      <c r="Q101" s="423"/>
      <c r="R101" s="22"/>
      <c r="S101" s="22"/>
      <c r="T101" s="22"/>
      <c r="U101" s="22"/>
      <c r="V101" s="22"/>
      <c r="W101" s="244" t="str">
        <f>IFERROR(
    IF(
        OR(ISBLANK(R101), ISBLANK(S101)),
        "",
        MAX(
            1,
            IF(
                NETWORKDAYS(R101, S101, Holiday_Dates) &lt;= 0,
                1,
                NETWORKDAYS(R101, S101, Holiday_Dates) - IF(R101 = S101, 0, 1)
            )
        )
    ),
    ""
)</f>
        <v/>
      </c>
      <c r="X101" s="244" t="str">
        <f>IF(
    OR(ISBLANK(S101), ISBLANK(T101)),
    "",
    MAX(
        1,
        IF(
            NETWORKDAYS(S101, T101, Holiday_Dates) &lt;= 0,
            1,
            NETWORKDAYS(S101, T101, Holiday_Dates) - IF(S101 = T101, 0, 1)
        )
    )
)</f>
        <v/>
      </c>
      <c r="Y101" s="244" t="str">
        <f>IFERROR(
    IF(
        OR(ISBLANK(S101), AND(ISBLANK(T101), ISBLANK(U101))),
        "",
        MAX(
            1,
            IF(
                NETWORKDAYS(IF(NOT(ISBLANK(U101)), U101, T101), U101, Holiday_Dates) &lt;= 0,
                1,
                NETWORKDAYS(IF(NOT(ISBLANK(U101)), U101, T101), U101, Holiday_Dates)
                - IF(IF(NOT(ISBLANK(U101)), U101, T101) = U101, 0, 1)
            )
        )
    ),
    ""
)</f>
        <v/>
      </c>
      <c r="Z101" s="244" t="str">
        <f t="shared" si="5"/>
        <v/>
      </c>
      <c r="AA101" s="9"/>
      <c r="AB101" s="9"/>
      <c r="AC101" s="6"/>
      <c r="AD101" s="6"/>
      <c r="AE101" s="9"/>
      <c r="AF101" s="9"/>
      <c r="AG101" s="45"/>
      <c r="AH101" s="9"/>
      <c r="AI101" s="9"/>
      <c r="AJ101" s="6"/>
      <c r="AK101" s="6"/>
      <c r="AL101" s="9"/>
      <c r="AM101" s="9"/>
      <c r="AN101" s="9"/>
      <c r="AO101" s="9"/>
      <c r="AP101" s="9"/>
      <c r="AQ101" s="6"/>
      <c r="AR101" s="9"/>
      <c r="AS101" s="271"/>
    </row>
    <row r="102" spans="1:45">
      <c r="A102" s="6" t="s">
        <v>50</v>
      </c>
      <c r="B102" s="6" t="s">
        <v>516</v>
      </c>
      <c r="C102" s="6" t="s">
        <v>603</v>
      </c>
      <c r="D102" s="39" t="s">
        <v>89</v>
      </c>
      <c r="E102" s="39" t="s">
        <v>243</v>
      </c>
      <c r="F102" s="9">
        <v>15.735196999999999</v>
      </c>
      <c r="G102" s="9">
        <v>120.63252799999999</v>
      </c>
      <c r="H102" s="9" t="str">
        <f t="shared" si="6"/>
        <v>15.735197,120.632528</v>
      </c>
      <c r="I102" s="9" t="s">
        <v>121</v>
      </c>
      <c r="J102" s="9">
        <v>1</v>
      </c>
      <c r="K102" s="9">
        <v>2019</v>
      </c>
      <c r="L102" s="44">
        <v>502714.29</v>
      </c>
      <c r="M102" s="9" t="s">
        <v>29</v>
      </c>
      <c r="N102" s="9"/>
      <c r="O102" s="9" t="s">
        <v>130</v>
      </c>
      <c r="P102" s="9"/>
      <c r="Q102" s="9"/>
      <c r="R102" s="22"/>
      <c r="S102" s="22"/>
      <c r="T102" s="22"/>
      <c r="U102" s="22"/>
      <c r="V102" s="22"/>
      <c r="W102" s="244" t="str">
        <f>IFERROR(
    IF(
        OR(ISBLANK(R102), ISBLANK(S102)),
        "",
        MAX(
            1,
            IF(
                NETWORKDAYS(R102, S102, Holiday_Dates) &lt;= 0,
                1,
                NETWORKDAYS(R102, S102, Holiday_Dates) - IF(R102 = S102, 0, 1)
            )
        )
    ),
    ""
)</f>
        <v/>
      </c>
      <c r="X102" s="244" t="str">
        <f>IF(
    OR(ISBLANK(S102), ISBLANK(T102)),
    "",
    MAX(
        1,
        IF(
            NETWORKDAYS(S102, T102, Holiday_Dates) &lt;= 0,
            1,
            NETWORKDAYS(S102, T102, Holiday_Dates) - IF(S102 = T102, 0, 1)
        )
    )
)</f>
        <v/>
      </c>
      <c r="Y102" s="244" t="str">
        <f>IFERROR(
    IF(
        OR(ISBLANK(S102), AND(ISBLANK(T102), ISBLANK(U102))),
        "",
        MAX(
            1,
            IF(
                NETWORKDAYS(IF(NOT(ISBLANK(U102)), U102, T102), U102, Holiday_Dates) &lt;= 0,
                1,
                NETWORKDAYS(IF(NOT(ISBLANK(U102)), U102, T102), U102, Holiday_Dates)
                - IF(IF(NOT(ISBLANK(U102)), U102, T102) = U102, 0, 1)
            )
        )
    ),
    ""
)</f>
        <v/>
      </c>
      <c r="Z102" s="244" t="str">
        <f t="shared" si="5"/>
        <v/>
      </c>
      <c r="AA102" s="9"/>
      <c r="AB102" s="9"/>
      <c r="AC102" s="6"/>
      <c r="AD102" s="6"/>
      <c r="AE102" s="9"/>
      <c r="AF102" s="9"/>
      <c r="AG102" s="45"/>
      <c r="AH102" s="9"/>
      <c r="AI102" s="9"/>
      <c r="AJ102" s="6"/>
      <c r="AK102" s="6"/>
      <c r="AL102" s="9"/>
      <c r="AM102" s="9"/>
      <c r="AN102" s="9"/>
      <c r="AO102" s="9"/>
      <c r="AP102" s="9"/>
      <c r="AQ102" s="6"/>
      <c r="AR102" s="9"/>
      <c r="AS102" s="271"/>
    </row>
    <row r="103" spans="1:45" ht="15" customHeight="1">
      <c r="A103" s="6" t="s">
        <v>50</v>
      </c>
      <c r="B103" s="6" t="s">
        <v>524</v>
      </c>
      <c r="C103" s="6" t="s">
        <v>785</v>
      </c>
      <c r="D103" s="9" t="s">
        <v>88</v>
      </c>
      <c r="E103" s="39" t="s">
        <v>213</v>
      </c>
      <c r="F103" s="9">
        <v>15.4377</v>
      </c>
      <c r="G103" s="9">
        <v>120.883</v>
      </c>
      <c r="H103" s="9" t="str">
        <f t="shared" si="6"/>
        <v>15.4377,120.883</v>
      </c>
      <c r="I103" s="9" t="s">
        <v>121</v>
      </c>
      <c r="J103" s="9">
        <v>1</v>
      </c>
      <c r="K103" s="9">
        <v>2019</v>
      </c>
      <c r="L103" s="44">
        <v>502714.29</v>
      </c>
      <c r="M103" s="9" t="s">
        <v>141</v>
      </c>
      <c r="N103" s="9"/>
      <c r="O103" s="9" t="s">
        <v>130</v>
      </c>
      <c r="P103" s="9"/>
      <c r="Q103" s="9"/>
      <c r="R103" s="22"/>
      <c r="S103" s="22"/>
      <c r="T103" s="22"/>
      <c r="U103" s="22"/>
      <c r="V103" s="22"/>
      <c r="W103" s="244" t="str">
        <f>IFERROR(
    IF(
        OR(ISBLANK(R103), ISBLANK(S103)),
        "",
        MAX(
            1,
            IF(
                NETWORKDAYS(R103, S103, Holiday_Dates) &lt;= 0,
                1,
                NETWORKDAYS(R103, S103, Holiday_Dates) - IF(R103 = S103, 0, 1)
            )
        )
    ),
    ""
)</f>
        <v/>
      </c>
      <c r="X103" s="244" t="str">
        <f>IF(
    OR(ISBLANK(S103), ISBLANK(T103)),
    "",
    MAX(
        1,
        IF(
            NETWORKDAYS(S103, T103, Holiday_Dates) &lt;= 0,
            1,
            NETWORKDAYS(S103, T103, Holiday_Dates) - IF(S103 = T103, 0, 1)
        )
    )
)</f>
        <v/>
      </c>
      <c r="Y103" s="244" t="str">
        <f>IFERROR(
    IF(
        OR(ISBLANK(S103), AND(ISBLANK(T103), ISBLANK(U103))),
        "",
        MAX(
            1,
            IF(
                NETWORKDAYS(IF(NOT(ISBLANK(U103)), U103, T103), U103, Holiday_Dates) &lt;= 0,
                1,
                NETWORKDAYS(IF(NOT(ISBLANK(U103)), U103, T103), U103, Holiday_Dates)
                - IF(IF(NOT(ISBLANK(U103)), U103, T103) = U103, 0, 1)
            )
        )
    ),
    ""
)</f>
        <v/>
      </c>
      <c r="Z103" s="244" t="str">
        <f t="shared" si="5"/>
        <v/>
      </c>
      <c r="AA103" s="3"/>
      <c r="AB103" s="9"/>
      <c r="AC103" s="6"/>
      <c r="AD103" s="6"/>
      <c r="AE103" s="6"/>
      <c r="AF103" s="9"/>
      <c r="AG103" s="45"/>
      <c r="AH103" s="9"/>
      <c r="AI103" s="9"/>
      <c r="AJ103" s="6"/>
      <c r="AK103" s="6"/>
      <c r="AL103" s="9"/>
      <c r="AM103" s="9"/>
      <c r="AN103" s="9"/>
      <c r="AO103" s="9"/>
      <c r="AP103" s="9"/>
      <c r="AQ103" s="6"/>
      <c r="AR103" s="9"/>
      <c r="AS103" s="424"/>
    </row>
    <row r="104" spans="1:45" ht="15" customHeight="1">
      <c r="A104" s="6" t="s">
        <v>51</v>
      </c>
      <c r="B104" s="6" t="s">
        <v>351</v>
      </c>
      <c r="C104" s="6" t="s">
        <v>786</v>
      </c>
      <c r="D104" s="9" t="s">
        <v>88</v>
      </c>
      <c r="E104" s="39" t="s">
        <v>224</v>
      </c>
      <c r="F104" s="9">
        <v>14.928388999999999</v>
      </c>
      <c r="G104" s="9">
        <v>120.763319</v>
      </c>
      <c r="H104" s="9" t="str">
        <f t="shared" si="6"/>
        <v>14.928389,120.763319</v>
      </c>
      <c r="I104" s="9" t="s">
        <v>121</v>
      </c>
      <c r="J104" s="9">
        <v>1</v>
      </c>
      <c r="K104" s="9">
        <v>2019</v>
      </c>
      <c r="L104" s="9">
        <v>530642.86</v>
      </c>
      <c r="M104" s="9" t="s">
        <v>142</v>
      </c>
      <c r="N104" s="71"/>
      <c r="O104" s="71" t="s">
        <v>595</v>
      </c>
      <c r="P104" s="9"/>
      <c r="Q104" s="9"/>
      <c r="R104" s="22"/>
      <c r="S104" s="22"/>
      <c r="T104" s="22"/>
      <c r="U104" s="22"/>
      <c r="V104" s="22"/>
      <c r="W104" s="244" t="str">
        <f>IFERROR(
    IF(
        OR(ISBLANK(R104), ISBLANK(S104)),
        "",
        MAX(
            1,
            IF(
                NETWORKDAYS(R104, S104, Holiday_Dates) &lt;= 0,
                1,
                NETWORKDAYS(R104, S104, Holiday_Dates) - IF(R104 = S104, 0, 1)
            )
        )
    ),
    ""
)</f>
        <v/>
      </c>
      <c r="X104" s="244" t="str">
        <f>IF(
    OR(ISBLANK(S104), ISBLANK(T104)),
    "",
    MAX(
        1,
        IF(
            NETWORKDAYS(S104, T104, Holiday_Dates) &lt;= 0,
            1,
            NETWORKDAYS(S104, T104, Holiday_Dates) - IF(S104 = T104, 0, 1)
        )
    )
)</f>
        <v/>
      </c>
      <c r="Y104" s="244" t="str">
        <f>IFERROR(
    IF(
        OR(ISBLANK(S104), AND(ISBLANK(T104), ISBLANK(U104))),
        "",
        MAX(
            1,
            IF(
                NETWORKDAYS(IF(NOT(ISBLANK(U104)), U104, T104), U104, Holiday_Dates) &lt;= 0,
                1,
                NETWORKDAYS(IF(NOT(ISBLANK(U104)), U104, T104), U104, Holiday_Dates)
                - IF(IF(NOT(ISBLANK(U104)), U104, T104) = U104, 0, 1)
            )
        )
    ),
    ""
)</f>
        <v/>
      </c>
      <c r="Z104" s="244" t="str">
        <f t="shared" si="5"/>
        <v/>
      </c>
      <c r="AA104" s="6"/>
      <c r="AB104" s="9"/>
      <c r="AC104" s="6"/>
      <c r="AD104" s="6"/>
      <c r="AE104" s="6"/>
      <c r="AF104" s="9"/>
      <c r="AG104" s="45"/>
      <c r="AH104" s="9"/>
      <c r="AI104" s="9"/>
      <c r="AJ104" s="6"/>
      <c r="AK104" s="6"/>
      <c r="AL104" s="9"/>
      <c r="AM104" s="9"/>
      <c r="AN104" s="9"/>
      <c r="AO104" s="9"/>
      <c r="AP104" s="9"/>
      <c r="AQ104" s="6"/>
      <c r="AR104" s="9"/>
      <c r="AS104" s="9"/>
    </row>
    <row r="105" spans="1:45" ht="15" customHeight="1">
      <c r="A105" s="6" t="s">
        <v>51</v>
      </c>
      <c r="B105" s="6" t="s">
        <v>389</v>
      </c>
      <c r="C105" s="6" t="s">
        <v>787</v>
      </c>
      <c r="D105" s="9" t="s">
        <v>88</v>
      </c>
      <c r="E105" s="39" t="s">
        <v>213</v>
      </c>
      <c r="F105" s="9">
        <v>15.189531000000001</v>
      </c>
      <c r="G105" s="9">
        <v>120.79133899999999</v>
      </c>
      <c r="H105" s="9" t="str">
        <f t="shared" si="6"/>
        <v>15.189531,120.791339</v>
      </c>
      <c r="I105" s="9" t="s">
        <v>121</v>
      </c>
      <c r="J105" s="9">
        <v>1</v>
      </c>
      <c r="K105" s="9">
        <v>2019</v>
      </c>
      <c r="L105" s="44">
        <v>502714.29</v>
      </c>
      <c r="M105" s="9" t="s">
        <v>32</v>
      </c>
      <c r="N105" s="9"/>
      <c r="O105" s="9" t="s">
        <v>133</v>
      </c>
      <c r="P105" s="9"/>
      <c r="Q105" s="9"/>
      <c r="R105" s="22"/>
      <c r="S105" s="22"/>
      <c r="T105" s="22"/>
      <c r="U105" s="22"/>
      <c r="V105" s="22"/>
      <c r="W105" s="244" t="str">
        <f>IFERROR(
    IF(
        OR(ISBLANK(R105), ISBLANK(S105)),
        "",
        MAX(
            1,
            IF(
                NETWORKDAYS(R105, S105, Holiday_Dates) &lt;= 0,
                1,
                NETWORKDAYS(R105, S105, Holiday_Dates) - IF(R105 = S105, 0, 1)
            )
        )
    ),
    ""
)</f>
        <v/>
      </c>
      <c r="X105" s="244" t="str">
        <f>IF(
    OR(ISBLANK(S105), ISBLANK(T105)),
    "",
    MAX(
        1,
        IF(
            NETWORKDAYS(S105, T105, Holiday_Dates) &lt;= 0,
            1,
            NETWORKDAYS(S105, T105, Holiday_Dates) - IF(S105 = T105, 0, 1)
        )
    )
)</f>
        <v/>
      </c>
      <c r="Y105" s="244" t="str">
        <f>IFERROR(
    IF(
        OR(ISBLANK(S105), AND(ISBLANK(T105), ISBLANK(U105))),
        "",
        MAX(
            1,
            IF(
                NETWORKDAYS(IF(NOT(ISBLANK(U105)), U105, T105), U105, Holiday_Dates) &lt;= 0,
                1,
                NETWORKDAYS(IF(NOT(ISBLANK(U105)), U105, T105), U105, Holiday_Dates)
                - IF(IF(NOT(ISBLANK(U105)), U105, T105) = U105, 0, 1)
            )
        )
    ),
    ""
)</f>
        <v/>
      </c>
      <c r="Z105" s="244" t="str">
        <f t="shared" si="5"/>
        <v/>
      </c>
      <c r="AA105" s="6"/>
      <c r="AB105" s="9"/>
      <c r="AC105" s="6"/>
      <c r="AD105" s="6"/>
      <c r="AE105" s="9"/>
      <c r="AF105" s="9"/>
      <c r="AG105" s="45"/>
      <c r="AH105" s="9"/>
      <c r="AI105" s="9"/>
      <c r="AJ105" s="6"/>
      <c r="AK105" s="6"/>
      <c r="AL105" s="9"/>
      <c r="AM105" s="9"/>
      <c r="AN105" s="9"/>
      <c r="AO105" s="9"/>
      <c r="AP105" s="9"/>
      <c r="AQ105" s="6"/>
      <c r="AR105" s="9"/>
      <c r="AS105" s="9"/>
    </row>
    <row r="106" spans="1:45" ht="15" customHeight="1">
      <c r="A106" s="6" t="s">
        <v>51</v>
      </c>
      <c r="B106" s="6" t="s">
        <v>452</v>
      </c>
      <c r="C106" s="6" t="s">
        <v>717</v>
      </c>
      <c r="D106" s="9" t="s">
        <v>88</v>
      </c>
      <c r="E106" s="7" t="s">
        <v>213</v>
      </c>
      <c r="F106" s="9">
        <v>15.100197</v>
      </c>
      <c r="G106" s="9">
        <v>120.777006</v>
      </c>
      <c r="H106" s="9" t="str">
        <f t="shared" si="6"/>
        <v>15.100197,120.777006</v>
      </c>
      <c r="I106" s="9" t="s">
        <v>121</v>
      </c>
      <c r="J106" s="9">
        <v>1</v>
      </c>
      <c r="K106" s="9">
        <v>2019</v>
      </c>
      <c r="L106" s="44">
        <v>530642.86</v>
      </c>
      <c r="M106" s="9" t="s">
        <v>32</v>
      </c>
      <c r="N106" s="9"/>
      <c r="O106" s="9" t="s">
        <v>133</v>
      </c>
      <c r="P106" s="9"/>
      <c r="Q106" s="9"/>
      <c r="R106" s="22"/>
      <c r="S106" s="22"/>
      <c r="T106" s="22"/>
      <c r="U106" s="22"/>
      <c r="V106" s="22"/>
      <c r="W106" s="244" t="str">
        <f>IFERROR(
    IF(
        OR(ISBLANK(R106), ISBLANK(S106)),
        "",
        MAX(
            1,
            IF(
                NETWORKDAYS(R106, S106, Holiday_Dates) &lt;= 0,
                1,
                NETWORKDAYS(R106, S106, Holiday_Dates) - IF(R106 = S106, 0, 1)
            )
        )
    ),
    ""
)</f>
        <v/>
      </c>
      <c r="X106" s="244" t="str">
        <f>IF(
    OR(ISBLANK(S106), ISBLANK(T106)),
    "",
    MAX(
        1,
        IF(
            NETWORKDAYS(S106, T106, Holiday_Dates) &lt;= 0,
            1,
            NETWORKDAYS(S106, T106, Holiday_Dates) - IF(S106 = T106, 0, 1)
        )
    )
)</f>
        <v/>
      </c>
      <c r="Y106" s="244" t="str">
        <f>IFERROR(
    IF(
        OR(ISBLANK(S106), AND(ISBLANK(T106), ISBLANK(U106))),
        "",
        MAX(
            1,
            IF(
                NETWORKDAYS(IF(NOT(ISBLANK(U106)), U106, T106), U106, Holiday_Dates) &lt;= 0,
                1,
                NETWORKDAYS(IF(NOT(ISBLANK(U106)), U106, T106), U106, Holiday_Dates)
                - IF(IF(NOT(ISBLANK(U106)), U106, T106) = U106, 0, 1)
            )
        )
    ),
    ""
)</f>
        <v/>
      </c>
      <c r="Z106" s="244" t="str">
        <f t="shared" si="5"/>
        <v/>
      </c>
      <c r="AA106" s="9"/>
      <c r="AB106" s="9"/>
      <c r="AC106" s="6"/>
      <c r="AD106" s="6"/>
      <c r="AE106" s="425"/>
      <c r="AF106" s="426"/>
      <c r="AG106" s="45"/>
      <c r="AH106" s="9"/>
      <c r="AI106" s="9"/>
      <c r="AJ106" s="6"/>
      <c r="AK106" s="6"/>
      <c r="AL106" s="9"/>
      <c r="AM106" s="9"/>
      <c r="AN106" s="9"/>
      <c r="AO106" s="9"/>
      <c r="AP106" s="9"/>
      <c r="AQ106" s="6"/>
      <c r="AR106" s="9"/>
      <c r="AS106" s="9"/>
    </row>
    <row r="107" spans="1:45" ht="15" customHeight="1">
      <c r="A107" s="6" t="s">
        <v>51</v>
      </c>
      <c r="B107" s="6" t="s">
        <v>394</v>
      </c>
      <c r="C107" s="6" t="s">
        <v>788</v>
      </c>
      <c r="D107" s="9" t="s">
        <v>88</v>
      </c>
      <c r="E107" s="7" t="s">
        <v>271</v>
      </c>
      <c r="F107" s="9">
        <v>14.936719</v>
      </c>
      <c r="G107" s="9">
        <v>120.617447</v>
      </c>
      <c r="H107" s="9" t="str">
        <f t="shared" si="6"/>
        <v>14.936719,120.617447</v>
      </c>
      <c r="I107" s="9" t="s">
        <v>121</v>
      </c>
      <c r="J107" s="9">
        <v>1</v>
      </c>
      <c r="K107" s="9">
        <v>2019</v>
      </c>
      <c r="L107" s="9">
        <v>502714.29</v>
      </c>
      <c r="M107" s="9" t="s">
        <v>145</v>
      </c>
      <c r="N107" s="9"/>
      <c r="O107" s="9" t="s">
        <v>133</v>
      </c>
      <c r="P107" s="9"/>
      <c r="Q107" s="9"/>
      <c r="R107" s="22"/>
      <c r="S107" s="22"/>
      <c r="T107" s="22"/>
      <c r="U107" s="22"/>
      <c r="V107" s="22"/>
      <c r="W107" s="244" t="str">
        <f>IFERROR(
    IF(
        OR(ISBLANK(R107), ISBLANK(S107)),
        "",
        MAX(
            1,
            IF(
                NETWORKDAYS(R107, S107, Holiday_Dates) &lt;= 0,
                1,
                NETWORKDAYS(R107, S107, Holiday_Dates) - IF(R107 = S107, 0, 1)
            )
        )
    ),
    ""
)</f>
        <v/>
      </c>
      <c r="X107" s="244" t="str">
        <f>IF(
    OR(ISBLANK(S107), ISBLANK(T107)),
    "",
    MAX(
        1,
        IF(
            NETWORKDAYS(S107, T107, Holiday_Dates) &lt;= 0,
            1,
            NETWORKDAYS(S107, T107, Holiday_Dates) - IF(S107 = T107, 0, 1)
        )
    )
)</f>
        <v/>
      </c>
      <c r="Y107" s="244" t="str">
        <f>IFERROR(
    IF(
        OR(ISBLANK(S107), AND(ISBLANK(T107), ISBLANK(U107))),
        "",
        MAX(
            1,
            IF(
                NETWORKDAYS(IF(NOT(ISBLANK(U107)), U107, T107), U107, Holiday_Dates) &lt;= 0,
                1,
                NETWORKDAYS(IF(NOT(ISBLANK(U107)), U107, T107), U107, Holiday_Dates)
                - IF(IF(NOT(ISBLANK(U107)), U107, T107) = U107, 0, 1)
            )
        )
    ),
    ""
)</f>
        <v/>
      </c>
      <c r="Z107" s="244" t="str">
        <f t="shared" si="5"/>
        <v/>
      </c>
      <c r="AA107" s="6"/>
      <c r="AB107" s="9"/>
      <c r="AC107" s="6"/>
      <c r="AD107" s="6"/>
      <c r="AE107" s="9"/>
      <c r="AF107" s="9"/>
      <c r="AG107" s="45"/>
      <c r="AH107" s="9"/>
      <c r="AI107" s="9"/>
      <c r="AJ107" s="6"/>
      <c r="AK107" s="6"/>
      <c r="AL107" s="9"/>
      <c r="AM107" s="9"/>
      <c r="AN107" s="9"/>
      <c r="AO107" s="9"/>
      <c r="AP107" s="9"/>
      <c r="AQ107" s="6"/>
      <c r="AR107" s="9"/>
      <c r="AS107" s="9"/>
    </row>
    <row r="108" spans="1:45" ht="15" customHeight="1">
      <c r="A108" s="6" t="s">
        <v>52</v>
      </c>
      <c r="B108" s="6" t="s">
        <v>427</v>
      </c>
      <c r="C108" s="6" t="s">
        <v>789</v>
      </c>
      <c r="D108" s="39" t="s">
        <v>89</v>
      </c>
      <c r="E108" s="7" t="s">
        <v>271</v>
      </c>
      <c r="F108" s="9">
        <v>15.500833999999999</v>
      </c>
      <c r="G108" s="9">
        <v>120.467815</v>
      </c>
      <c r="H108" s="9" t="str">
        <f t="shared" si="6"/>
        <v>15.500834,120.467815</v>
      </c>
      <c r="I108" s="9" t="s">
        <v>121</v>
      </c>
      <c r="J108" s="9">
        <v>1</v>
      </c>
      <c r="K108" s="9">
        <v>2016</v>
      </c>
      <c r="L108" s="44">
        <v>270000</v>
      </c>
      <c r="M108" s="9" t="s">
        <v>39</v>
      </c>
      <c r="N108" s="9"/>
      <c r="O108" s="36" t="s">
        <v>28</v>
      </c>
      <c r="P108" s="9"/>
      <c r="Q108" s="9"/>
      <c r="R108" s="22"/>
      <c r="S108" s="22"/>
      <c r="T108" s="22"/>
      <c r="U108" s="22"/>
      <c r="V108" s="22"/>
      <c r="W108" s="244" t="str">
        <f>IFERROR(
    IF(
        OR(ISBLANK(R108), ISBLANK(S108)),
        "",
        MAX(
            1,
            IF(
                NETWORKDAYS(R108, S108, Holiday_Dates) &lt;= 0,
                1,
                NETWORKDAYS(R108, S108, Holiday_Dates) - IF(R108 = S108, 0, 1)
            )
        )
    ),
    ""
)</f>
        <v/>
      </c>
      <c r="X108" s="244" t="str">
        <f>IF(
    OR(ISBLANK(S108), ISBLANK(T108)),
    "",
    MAX(
        1,
        IF(
            NETWORKDAYS(S108, T108, Holiday_Dates) &lt;= 0,
            1,
            NETWORKDAYS(S108, T108, Holiday_Dates) - IF(S108 = T108, 0, 1)
        )
    )
)</f>
        <v/>
      </c>
      <c r="Y108" s="244" t="str">
        <f>IFERROR(
    IF(
        OR(ISBLANK(S108), AND(ISBLANK(T108), ISBLANK(U108))),
        "",
        MAX(
            1,
            IF(
                NETWORKDAYS(IF(NOT(ISBLANK(U108)), U108, T108), U108, Holiday_Dates) &lt;= 0,
                1,
                NETWORKDAYS(IF(NOT(ISBLANK(U108)), U108, T108), U108, Holiday_Dates)
                - IF(IF(NOT(ISBLANK(U108)), U108, T108) = U108, 0, 1)
            )
        )
    ),
    ""
)</f>
        <v/>
      </c>
      <c r="Z108" s="244" t="str">
        <f t="shared" si="5"/>
        <v/>
      </c>
      <c r="AA108" s="6"/>
      <c r="AB108" s="9"/>
      <c r="AC108" s="6"/>
      <c r="AD108" s="6"/>
      <c r="AE108" s="6"/>
      <c r="AF108" s="6"/>
      <c r="AG108" s="45"/>
      <c r="AH108" s="9"/>
      <c r="AI108" s="9"/>
      <c r="AJ108" s="6"/>
      <c r="AK108" s="6"/>
      <c r="AL108" s="9"/>
      <c r="AM108" s="9"/>
      <c r="AN108" s="9"/>
      <c r="AO108" s="9"/>
      <c r="AP108" s="9"/>
      <c r="AQ108" s="6"/>
      <c r="AR108" s="9"/>
      <c r="AS108" s="9"/>
    </row>
    <row r="109" spans="1:45" ht="15" customHeight="1">
      <c r="A109" s="6" t="s">
        <v>53</v>
      </c>
      <c r="B109" s="6" t="s">
        <v>456</v>
      </c>
      <c r="C109" s="6" t="s">
        <v>790</v>
      </c>
      <c r="D109" s="39" t="s">
        <v>89</v>
      </c>
      <c r="E109" s="39" t="s">
        <v>271</v>
      </c>
      <c r="F109" s="9">
        <v>15.5817066</v>
      </c>
      <c r="G109" s="9">
        <v>119.94762160000001</v>
      </c>
      <c r="H109" s="9" t="str">
        <f t="shared" si="6"/>
        <v>15.5817066,119.9476216</v>
      </c>
      <c r="I109" s="9" t="s">
        <v>122</v>
      </c>
      <c r="J109" s="9">
        <v>1</v>
      </c>
      <c r="K109" s="9">
        <v>2018</v>
      </c>
      <c r="L109" s="9">
        <v>427500</v>
      </c>
      <c r="M109" s="9" t="s">
        <v>42</v>
      </c>
      <c r="N109" s="9"/>
      <c r="O109" s="9" t="s">
        <v>133</v>
      </c>
      <c r="P109" s="9"/>
      <c r="Q109" s="9"/>
      <c r="R109" s="22"/>
      <c r="S109" s="22"/>
      <c r="T109" s="22"/>
      <c r="U109" s="22"/>
      <c r="V109" s="22"/>
      <c r="W109" s="244" t="str">
        <f>IFERROR(
    IF(
        OR(ISBLANK(R109), ISBLANK(S109)),
        "",
        MAX(
            1,
            IF(
                NETWORKDAYS(R109, S109, Holiday_Dates) &lt;= 0,
                1,
                NETWORKDAYS(R109, S109, Holiday_Dates) - IF(R109 = S109, 0, 1)
            )
        )
    ),
    ""
)</f>
        <v/>
      </c>
      <c r="X109" s="244" t="str">
        <f>IF(
    OR(ISBLANK(S109), ISBLANK(T109)),
    "",
    MAX(
        1,
        IF(
            NETWORKDAYS(S109, T109, Holiday_Dates) &lt;= 0,
            1,
            NETWORKDAYS(S109, T109, Holiday_Dates) - IF(S109 = T109, 0, 1)
        )
    )
)</f>
        <v/>
      </c>
      <c r="Y109" s="244" t="str">
        <f>IFERROR(
    IF(
        OR(ISBLANK(S109), AND(ISBLANK(T109), ISBLANK(U109))),
        "",
        MAX(
            1,
            IF(
                NETWORKDAYS(IF(NOT(ISBLANK(U109)), U109, T109), U109, Holiday_Dates) &lt;= 0,
                1,
                NETWORKDAYS(IF(NOT(ISBLANK(U109)), U109, T109), U109, Holiday_Dates)
                - IF(IF(NOT(ISBLANK(U109)), U109, T109) = U109, 0, 1)
            )
        )
    ),
    ""
)</f>
        <v/>
      </c>
      <c r="Z109" s="244" t="str">
        <f t="shared" si="5"/>
        <v/>
      </c>
      <c r="AA109" s="9"/>
      <c r="AB109" s="9"/>
      <c r="AC109" s="6"/>
      <c r="AD109" s="6"/>
      <c r="AE109" s="9"/>
      <c r="AF109" s="9"/>
      <c r="AG109" s="45"/>
      <c r="AH109" s="9"/>
      <c r="AI109" s="6"/>
      <c r="AJ109" s="6"/>
      <c r="AK109" s="6"/>
      <c r="AL109" s="9"/>
      <c r="AM109" s="9"/>
      <c r="AN109" s="9"/>
      <c r="AO109" s="9"/>
      <c r="AP109" s="9"/>
      <c r="AQ109" s="6"/>
      <c r="AR109" s="9"/>
      <c r="AS109" s="9"/>
    </row>
    <row r="110" spans="1:45" ht="15" customHeight="1">
      <c r="A110" s="6" t="s">
        <v>53</v>
      </c>
      <c r="B110" s="6" t="s">
        <v>456</v>
      </c>
      <c r="C110" s="6" t="s">
        <v>791</v>
      </c>
      <c r="D110" s="39" t="s">
        <v>89</v>
      </c>
      <c r="E110" s="39" t="s">
        <v>271</v>
      </c>
      <c r="F110" s="9">
        <v>15.536987999999999</v>
      </c>
      <c r="G110" s="9">
        <v>119.947481</v>
      </c>
      <c r="H110" s="9" t="str">
        <f t="shared" si="6"/>
        <v>15.536988,119.947481</v>
      </c>
      <c r="I110" s="9" t="s">
        <v>122</v>
      </c>
      <c r="J110" s="9">
        <v>1</v>
      </c>
      <c r="K110" s="9">
        <v>2018</v>
      </c>
      <c r="L110" s="9">
        <v>427500</v>
      </c>
      <c r="M110" s="9" t="s">
        <v>42</v>
      </c>
      <c r="N110" s="9"/>
      <c r="O110" s="9" t="s">
        <v>133</v>
      </c>
      <c r="P110" s="9"/>
      <c r="Q110" s="9"/>
      <c r="R110" s="22"/>
      <c r="S110" s="22"/>
      <c r="T110" s="22"/>
      <c r="U110" s="22"/>
      <c r="V110" s="22"/>
      <c r="W110" s="244" t="str">
        <f>IFERROR(
    IF(
        OR(ISBLANK(R110), ISBLANK(S110)),
        "",
        MAX(
            1,
            IF(
                NETWORKDAYS(R110, S110, Holiday_Dates) &lt;= 0,
                1,
                NETWORKDAYS(R110, S110, Holiday_Dates) - IF(R110 = S110, 0, 1)
            )
        )
    ),
    ""
)</f>
        <v/>
      </c>
      <c r="X110" s="244" t="str">
        <f>IF(
    OR(ISBLANK(S110), ISBLANK(T110)),
    "",
    MAX(
        1,
        IF(
            NETWORKDAYS(S110, T110, Holiday_Dates) &lt;= 0,
            1,
            NETWORKDAYS(S110, T110, Holiday_Dates) - IF(S110 = T110, 0, 1)
        )
    )
)</f>
        <v/>
      </c>
      <c r="Y110" s="244" t="str">
        <f>IFERROR(
    IF(
        OR(ISBLANK(S110), AND(ISBLANK(T110), ISBLANK(U110))),
        "",
        MAX(
            1,
            IF(
                NETWORKDAYS(IF(NOT(ISBLANK(U110)), U110, T110), U110, Holiday_Dates) &lt;= 0,
                1,
                NETWORKDAYS(IF(NOT(ISBLANK(U110)), U110, T110), U110, Holiday_Dates)
                - IF(IF(NOT(ISBLANK(U110)), U110, T110) = U110, 0, 1)
            )
        )
    ),
    ""
)</f>
        <v/>
      </c>
      <c r="Z110" s="244" t="str">
        <f t="shared" si="5"/>
        <v/>
      </c>
      <c r="AA110" s="9"/>
      <c r="AB110" s="9"/>
      <c r="AC110" s="6"/>
      <c r="AD110" s="6"/>
      <c r="AE110" s="6"/>
      <c r="AF110" s="6"/>
      <c r="AG110" s="45"/>
      <c r="AH110" s="9"/>
      <c r="AI110" s="9"/>
      <c r="AJ110" s="6"/>
      <c r="AK110" s="6"/>
      <c r="AL110" s="9"/>
      <c r="AM110" s="9"/>
      <c r="AN110" s="9"/>
      <c r="AO110" s="9"/>
      <c r="AP110" s="9"/>
      <c r="AQ110" s="6"/>
      <c r="AR110" s="9"/>
      <c r="AS110" s="7"/>
    </row>
    <row r="111" spans="1:45" ht="15" customHeight="1">
      <c r="A111" s="6" t="s">
        <v>53</v>
      </c>
      <c r="B111" s="6" t="s">
        <v>456</v>
      </c>
      <c r="C111" s="6" t="s">
        <v>792</v>
      </c>
      <c r="D111" s="39" t="s">
        <v>89</v>
      </c>
      <c r="E111" s="39" t="s">
        <v>271</v>
      </c>
      <c r="F111" s="9">
        <v>15.5774153</v>
      </c>
      <c r="G111" s="9">
        <v>119.9287502</v>
      </c>
      <c r="H111" s="9" t="str">
        <f t="shared" si="6"/>
        <v>15.5774153,119.9287502</v>
      </c>
      <c r="I111" s="9" t="s">
        <v>122</v>
      </c>
      <c r="J111" s="9">
        <v>1</v>
      </c>
      <c r="K111" s="9">
        <v>2018</v>
      </c>
      <c r="L111" s="9">
        <v>427500</v>
      </c>
      <c r="M111" s="9" t="s">
        <v>42</v>
      </c>
      <c r="N111" s="9"/>
      <c r="O111" s="9" t="s">
        <v>133</v>
      </c>
      <c r="P111" s="9"/>
      <c r="Q111" s="9"/>
      <c r="R111" s="22"/>
      <c r="S111" s="22"/>
      <c r="T111" s="22"/>
      <c r="U111" s="22"/>
      <c r="V111" s="22"/>
      <c r="W111" s="244" t="str">
        <f>IFERROR(
    IF(
        OR(ISBLANK(R111), ISBLANK(S111)),
        "",
        MAX(
            1,
            IF(
                NETWORKDAYS(R111, S111, Holiday_Dates) &lt;= 0,
                1,
                NETWORKDAYS(R111, S111, Holiday_Dates) - IF(R111 = S111, 0, 1)
            )
        )
    ),
    ""
)</f>
        <v/>
      </c>
      <c r="X111" s="244" t="str">
        <f>IF(
    OR(ISBLANK(S111), ISBLANK(T111)),
    "",
    MAX(
        1,
        IF(
            NETWORKDAYS(S111, T111, Holiday_Dates) &lt;= 0,
            1,
            NETWORKDAYS(S111, T111, Holiday_Dates) - IF(S111 = T111, 0, 1)
        )
    )
)</f>
        <v/>
      </c>
      <c r="Y111" s="244" t="str">
        <f>IFERROR(
    IF(
        OR(ISBLANK(S111), AND(ISBLANK(T111), ISBLANK(U111))),
        "",
        MAX(
            1,
            IF(
                NETWORKDAYS(IF(NOT(ISBLANK(U111)), U111, T111), U111, Holiday_Dates) &lt;= 0,
                1,
                NETWORKDAYS(IF(NOT(ISBLANK(U111)), U111, T111), U111, Holiday_Dates)
                - IF(IF(NOT(ISBLANK(U111)), U111, T111) = U111, 0, 1)
            )
        )
    ),
    ""
)</f>
        <v/>
      </c>
      <c r="Z111" s="244" t="str">
        <f t="shared" si="5"/>
        <v/>
      </c>
      <c r="AA111" s="9"/>
      <c r="AB111" s="9"/>
      <c r="AC111" s="6"/>
      <c r="AD111" s="6"/>
      <c r="AE111" s="6"/>
      <c r="AF111" s="6"/>
      <c r="AG111" s="45"/>
      <c r="AH111" s="9"/>
      <c r="AI111" s="6"/>
      <c r="AJ111" s="6"/>
      <c r="AK111" s="6"/>
      <c r="AL111" s="9"/>
      <c r="AM111" s="9"/>
      <c r="AN111" s="9"/>
      <c r="AO111" s="9"/>
      <c r="AP111" s="9"/>
      <c r="AQ111" s="6"/>
      <c r="AR111" s="9"/>
      <c r="AS111" s="271"/>
    </row>
    <row r="112" spans="1:45">
      <c r="A112" s="6" t="s">
        <v>53</v>
      </c>
      <c r="B112" s="6" t="s">
        <v>550</v>
      </c>
      <c r="C112" s="6" t="s">
        <v>793</v>
      </c>
      <c r="D112" s="39" t="s">
        <v>89</v>
      </c>
      <c r="E112" s="32" t="s">
        <v>271</v>
      </c>
      <c r="F112" s="9">
        <v>15.042164</v>
      </c>
      <c r="G112" s="9">
        <v>120.0729913</v>
      </c>
      <c r="H112" s="9" t="str">
        <f t="shared" si="6"/>
        <v>15.042164,120.0729913</v>
      </c>
      <c r="I112" s="9" t="s">
        <v>121</v>
      </c>
      <c r="J112" s="9">
        <v>1</v>
      </c>
      <c r="K112" s="9">
        <v>2016</v>
      </c>
      <c r="L112" s="44">
        <v>270000</v>
      </c>
      <c r="M112" s="9" t="s">
        <v>697</v>
      </c>
      <c r="N112" s="9"/>
      <c r="O112" s="9" t="s">
        <v>133</v>
      </c>
      <c r="P112" s="9"/>
      <c r="Q112" s="9"/>
      <c r="R112" s="22"/>
      <c r="S112" s="22"/>
      <c r="T112" s="22"/>
      <c r="U112" s="22"/>
      <c r="V112" s="22"/>
      <c r="W112" s="244" t="str">
        <f>IFERROR(
    IF(
        OR(ISBLANK(R112), ISBLANK(S112)),
        "",
        MAX(
            1,
            IF(
                NETWORKDAYS(R112, S112, Holiday_Dates) &lt;= 0,
                1,
                NETWORKDAYS(R112, S112, Holiday_Dates) - IF(R112 = S112, 0, 1)
            )
        )
    ),
    ""
)</f>
        <v/>
      </c>
      <c r="X112" s="244" t="str">
        <f>IF(
    OR(ISBLANK(S112), ISBLANK(T112)),
    "",
    MAX(
        1,
        IF(
            NETWORKDAYS(S112, T112, Holiday_Dates) &lt;= 0,
            1,
            NETWORKDAYS(S112, T112, Holiday_Dates) - IF(S112 = T112, 0, 1)
        )
    )
)</f>
        <v/>
      </c>
      <c r="Y112" s="244" t="str">
        <f>IFERROR(
    IF(
        OR(ISBLANK(S112), AND(ISBLANK(T112), ISBLANK(U112))),
        "",
        MAX(
            1,
            IF(
                NETWORKDAYS(IF(NOT(ISBLANK(U112)), U112, T112), U112, Holiday_Dates) &lt;= 0,
                1,
                NETWORKDAYS(IF(NOT(ISBLANK(U112)), U112, T112), U112, Holiday_Dates)
                - IF(IF(NOT(ISBLANK(U112)), U112, T112) = U112, 0, 1)
            )
        )
    ),
    ""
)</f>
        <v/>
      </c>
      <c r="Z112" s="244" t="str">
        <f t="shared" si="5"/>
        <v/>
      </c>
      <c r="AA112" s="6"/>
      <c r="AB112" s="9"/>
      <c r="AC112" s="6"/>
      <c r="AD112" s="6"/>
      <c r="AE112" s="9"/>
      <c r="AF112" s="9"/>
      <c r="AG112" s="45"/>
      <c r="AH112" s="9"/>
      <c r="AI112" s="9"/>
      <c r="AJ112" s="6"/>
      <c r="AK112" s="6"/>
      <c r="AL112" s="9"/>
      <c r="AM112" s="9"/>
      <c r="AN112" s="9"/>
      <c r="AO112" s="9"/>
      <c r="AP112" s="9"/>
      <c r="AQ112" s="6"/>
      <c r="AR112" s="9"/>
      <c r="AS112" s="271"/>
    </row>
    <row r="113" spans="1:45" ht="33.75" customHeight="1">
      <c r="A113" s="6" t="s">
        <v>53</v>
      </c>
      <c r="B113" s="6" t="s">
        <v>554</v>
      </c>
      <c r="C113" s="6" t="s">
        <v>794</v>
      </c>
      <c r="D113" s="39" t="s">
        <v>89</v>
      </c>
      <c r="E113" s="32" t="s">
        <v>271</v>
      </c>
      <c r="F113" s="9">
        <v>15.733717</v>
      </c>
      <c r="G113" s="9">
        <v>119.889397</v>
      </c>
      <c r="H113" s="9" t="str">
        <f t="shared" si="6"/>
        <v>15.733717,119.889397</v>
      </c>
      <c r="I113" s="9" t="s">
        <v>121</v>
      </c>
      <c r="J113" s="9">
        <v>1</v>
      </c>
      <c r="K113" s="9">
        <v>2019</v>
      </c>
      <c r="L113" s="44">
        <v>502714.29</v>
      </c>
      <c r="M113" s="9" t="s">
        <v>42</v>
      </c>
      <c r="N113" s="9"/>
      <c r="O113" s="9" t="s">
        <v>133</v>
      </c>
      <c r="P113" s="9"/>
      <c r="Q113" s="9"/>
      <c r="R113" s="22"/>
      <c r="S113" s="22"/>
      <c r="T113" s="22"/>
      <c r="U113" s="22"/>
      <c r="V113" s="22"/>
      <c r="W113" s="244" t="str">
        <f>IFERROR(
    IF(
        OR(ISBLANK(R113), ISBLANK(S113)),
        "",
        MAX(
            1,
            IF(
                NETWORKDAYS(R113, S113, Holiday_Dates) &lt;= 0,
                1,
                NETWORKDAYS(R113, S113, Holiday_Dates) - IF(R113 = S113, 0, 1)
            )
        )
    ),
    ""
)</f>
        <v/>
      </c>
      <c r="X113" s="244" t="str">
        <f>IF(
    OR(ISBLANK(S113), ISBLANK(T113)),
    "",
    MAX(
        1,
        IF(
            NETWORKDAYS(S113, T113, Holiday_Dates) &lt;= 0,
            1,
            NETWORKDAYS(S113, T113, Holiday_Dates) - IF(S113 = T113, 0, 1)
        )
    )
)</f>
        <v/>
      </c>
      <c r="Y113" s="244" t="str">
        <f>IFERROR(
    IF(
        OR(ISBLANK(S113), AND(ISBLANK(T113), ISBLANK(U113))),
        "",
        MAX(
            1,
            IF(
                NETWORKDAYS(IF(NOT(ISBLANK(U113)), U113, T113), U113, Holiday_Dates) &lt;= 0,
                1,
                NETWORKDAYS(IF(NOT(ISBLANK(U113)), U113, T113), U113, Holiday_Dates)
                - IF(IF(NOT(ISBLANK(U113)), U113, T113) = U113, 0, 1)
            )
        )
    ),
    ""
)</f>
        <v/>
      </c>
      <c r="Z113" s="244" t="str">
        <f t="shared" si="5"/>
        <v/>
      </c>
      <c r="AA113" s="9"/>
      <c r="AB113" s="9"/>
      <c r="AC113" s="9"/>
      <c r="AD113" s="9"/>
      <c r="AE113" s="9"/>
      <c r="AF113" s="9"/>
      <c r="AG113" s="45"/>
      <c r="AH113" s="9"/>
      <c r="AI113" s="9"/>
      <c r="AJ113" s="6"/>
      <c r="AK113" s="6"/>
      <c r="AL113" s="9"/>
      <c r="AM113" s="9"/>
      <c r="AN113" s="9"/>
      <c r="AO113" s="9"/>
      <c r="AP113" s="9"/>
      <c r="AQ113" s="6"/>
      <c r="AR113" s="9"/>
      <c r="AS113" s="9"/>
    </row>
    <row r="114" spans="1:45" ht="15" customHeight="1">
      <c r="AG114" s="427"/>
      <c r="AI114" s="43"/>
      <c r="AK114" s="41"/>
      <c r="AP114" s="43"/>
      <c r="AQ114" s="41"/>
    </row>
    <row r="115" spans="1:45" ht="15" customHeight="1">
      <c r="F115" s="41" t="s">
        <v>795</v>
      </c>
      <c r="L115" s="327"/>
    </row>
  </sheetData>
  <sheetProtection formatCells="0" formatColumns="0" formatRows="0" sort="0" autoFilter="0" pivotTables="0"/>
  <protectedRanges>
    <protectedRange algorithmName="SHA-512" hashValue="gpGf95UnMUMYoYhevlx51OID1kV9fmLTAcu8UKP6jKw1YUS488GU4J/BATxZLe/QmHwuGL/IyfqtRGjbCK9dgA==" saltValue="ZsEUJgTYNhcH1UPZM/oyVw==" spinCount="100000" sqref="P1:P1048576" name="TARGET_MONTH"/>
    <protectedRange sqref="AB2:AS149" name="swm_data_1"/>
    <protectedRange sqref="AA2:AA150" name="reports"/>
    <protectedRange sqref="M2:O150 P116:P150 Q2:V150" name="enmostaff"/>
  </protectedRanges>
  <autoFilter ref="A1:AS113" xr:uid="{F2B85C85-0ABB-474E-B5F3-7CB195D671B5}"/>
  <sortState xmlns:xlrd2="http://schemas.microsoft.com/office/spreadsheetml/2017/richdata2" ref="A3:AS112">
    <sortCondition ref="A3:A112"/>
  </sortState>
  <conditionalFormatting sqref="Q71:Q1048576 Q57:Q59 Q41:Q47 Q61:Q67 Q50:Q54 Q69 Q1:Q39">
    <cfRule type="duplicateValues" dxfId="10" priority="1"/>
  </conditionalFormatting>
  <dataValidations count="3">
    <dataValidation allowBlank="1" showInputMessage="1" showErrorMessage="1" sqref="E62 AC72:AF72 Q59 Q101:V112 R98:S98 C108:C112 H108:H112 Q93:S93 AE99:AG112 AI99:AM112 R99:V100 AI97:AL98 AN97:XFD112 AM97 AE94:AF97 Q97:Q100 AF89:AF92 AE88:AE93 AE87:AF87 Q74:Q90 AE70:AF85 H70:H106 C70:C106 I70:L112 Q94:Z96 F70:G112 D70:D112 Q61:Q67 Q50:Q54 Q41:Q47 AI10:AI24 AJ33:AS96 F2:L69 AI32:AS32 R8:R27 B73:B112 AA33:AD112 AF33:AF67 AE33:AE68 X32:Z71 A70:A113 B70:B71 A2:D69 A1:L2 R73:Z91 Q69:V69 Q57 R2:R5 W32:W69 Q92:Z92 W99:Z113 R97:Z97 U93:Z93 Q72:Z72 U98:Z98 AI33:AI63 R70:W71 AI65:AI96 AI2:XFD9 M1:P1 Q1:AR2 AT1:XFD2 AI26:AI31 Q2:Q39 W3:Z31 S2:V27 AT10:XFD96 AJ10:AS31 AG2:AG98 R28:V68 AA2:AF32" xr:uid="{00F5EE5C-CA4D-440E-8806-E1F7E509FDC6}"/>
    <dataValidation type="list" allowBlank="1" showInputMessage="1" showErrorMessage="1" sqref="M2:N1048576" xr:uid="{5D8DE07E-941C-4542-AC9C-57B53953DCC4}">
      <formula1>ENMO</formula1>
    </dataValidation>
    <dataValidation type="list" allowBlank="1" showInputMessage="1" showErrorMessage="1" sqref="O2:O1048576 P114:P1048576" xr:uid="{3FF9C54B-D09C-42F6-9340-E74F7BC2D6DC}">
      <formula1>ESWM_FOCAL</formula1>
    </dataValidation>
  </dataValidations>
  <hyperlinks>
    <hyperlink ref="AS2" r:id="rId1" xr:uid="{EFFA5C2E-1519-488D-8D16-C65FF2795FC2}"/>
    <hyperlink ref="AS3" r:id="rId2" xr:uid="{89AFBF70-0676-469F-B368-90AC6C8AE597}"/>
    <hyperlink ref="AS4" r:id="rId3" xr:uid="{90618855-27AF-4484-93DD-7AB3E5D9A3F4}"/>
    <hyperlink ref="AS5" r:id="rId4" xr:uid="{BF97277E-B5AB-4247-A647-85830DC85965}"/>
    <hyperlink ref="AS6" r:id="rId5" xr:uid="{69D399AE-56E5-4B6B-B549-5F837B090805}"/>
    <hyperlink ref="AS7" r:id="rId6" xr:uid="{3696FAD8-F2AC-4992-AA25-879E39830C90}"/>
    <hyperlink ref="AS17" r:id="rId7" xr:uid="{533D09D3-85E4-47C4-90E5-3AB1B0273D0C}"/>
    <hyperlink ref="AS8" r:id="rId8" xr:uid="{06379B59-FBDB-4932-986B-0DB82724D67A}"/>
    <hyperlink ref="AS16" r:id="rId9" xr:uid="{B0AF0888-25E6-4B9B-866C-C363607293A8}"/>
    <hyperlink ref="AS12" r:id="rId10" xr:uid="{D26A0994-F9CB-46A7-B87F-4D7BF7F7BCFA}"/>
    <hyperlink ref="AS13" r:id="rId11" xr:uid="{33673F51-6FBA-40C2-BFD4-B4899C7FB2FA}"/>
    <hyperlink ref="AS11" r:id="rId12" xr:uid="{0E62E6AB-96D9-4883-81E2-25AC2B8F2429}"/>
    <hyperlink ref="AS18" r:id="rId13" xr:uid="{3372392A-44B3-4CA6-9311-8265A2A259F6}"/>
    <hyperlink ref="AS10" r:id="rId14" xr:uid="{C836536A-E04F-4F79-BCCA-E4CC795A14C8}"/>
    <hyperlink ref="AS9" r:id="rId15" xr:uid="{797A06A3-A0FA-4B3C-9E34-725DB48A9DB8}"/>
    <hyperlink ref="AS14" r:id="rId16" xr:uid="{E76D7557-A98E-4D9A-9550-277E2CFDA4E9}"/>
    <hyperlink ref="AS15" r:id="rId17" xr:uid="{EAF45C80-5126-47C6-87F3-D75CFA2FCD28}"/>
  </hyperlinks>
  <pageMargins left="0.7" right="0.7" top="0.75" bottom="0.75" header="0.3" footer="0.3"/>
  <pageSetup paperSize="9" orientation="portrait" horizontalDpi="0" verticalDpi="0" r:id="rId18"/>
  <legacyDrawing r:id="rId19"/>
  <extLst>
    <ext xmlns:x14="http://schemas.microsoft.com/office/spreadsheetml/2009/9/main" uri="{CCE6A557-97BC-4b89-ADB6-D9C93CAAB3DF}">
      <x14:dataValidations xmlns:xm="http://schemas.microsoft.com/office/excel/2006/main" count="2">
        <x14:dataValidation type="list" allowBlank="1" showInputMessage="1" showErrorMessage="1" xr:uid="{C2BCBB64-320A-4443-A405-D190D283363E}">
          <x14:formula1>
            <xm:f>'Data Validation'!$A$13:$A$24</xm:f>
          </x14:formula1>
          <xm:sqref>P2:P113</xm:sqref>
        </x14:dataValidation>
        <x14:dataValidation type="list" allowBlank="1" showInputMessage="1" showErrorMessage="1" xr:uid="{849BEF9E-6E0B-4A11-B913-2333F21D4588}">
          <x14:formula1>
            <xm:f>'Data Validation'!$H$2:$H$5</xm:f>
          </x14:formula1>
          <xm:sqref>AH2:AH112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C410E-A01E-41BE-A8D2-90B4904F1646}">
  <sheetPr codeName="Sheet5">
    <tabColor rgb="FF92D050"/>
    <pageSetUpPr fitToPage="1"/>
  </sheetPr>
  <dimension ref="A1:AX20"/>
  <sheetViews>
    <sheetView zoomScale="90" zoomScaleNormal="90" workbookViewId="0">
      <pane xSplit="2" ySplit="1" topLeftCell="I2" activePane="bottomRight" state="frozen"/>
      <selection pane="topRight"/>
      <selection pane="bottomLeft"/>
      <selection pane="bottomRight" activeCell="O41" sqref="O41"/>
    </sheetView>
  </sheetViews>
  <sheetFormatPr defaultColWidth="9.140625" defaultRowHeight="15" customHeight="1"/>
  <cols>
    <col min="1" max="1" width="24.140625" style="41" customWidth="1"/>
    <col min="2" max="2" width="24.140625" style="43" customWidth="1"/>
    <col min="3" max="5" width="24.140625" style="41" customWidth="1"/>
    <col min="6" max="6" width="36.5703125" style="43" customWidth="1"/>
    <col min="7" max="8" width="16.140625" style="41" customWidth="1"/>
    <col min="9" max="9" width="40.7109375" style="41" bestFit="1" customWidth="1"/>
    <col min="10" max="10" width="13.7109375" style="41" customWidth="1"/>
    <col min="11" max="11" width="12.28515625" style="41" customWidth="1"/>
    <col min="12" max="12" width="17.28515625" style="41" customWidth="1"/>
    <col min="13" max="13" width="11.140625" style="41" customWidth="1"/>
    <col min="14" max="14" width="24.5703125" style="41" customWidth="1"/>
    <col min="15" max="17" width="24.5703125" style="43" customWidth="1"/>
    <col min="18" max="18" width="30" style="41" bestFit="1" customWidth="1"/>
    <col min="19" max="19" width="22.85546875" style="41" bestFit="1" customWidth="1"/>
    <col min="20" max="20" width="22.85546875" style="41" customWidth="1"/>
    <col min="21" max="21" width="27.5703125" style="41" customWidth="1"/>
    <col min="22" max="22" width="16" style="41" bestFit="1" customWidth="1"/>
    <col min="23" max="35" width="23.5703125" style="41" customWidth="1"/>
    <col min="36" max="36" width="30.5703125" style="43" customWidth="1"/>
    <col min="37" max="40" width="23.5703125" style="41" customWidth="1"/>
    <col min="41" max="41" width="35.7109375" style="41" customWidth="1"/>
    <col min="42" max="42" width="31" style="41" customWidth="1"/>
    <col min="43" max="43" width="23.5703125" style="41" customWidth="1"/>
    <col min="44" max="44" width="15.140625" style="41" customWidth="1"/>
    <col min="45" max="45" width="18.140625" style="41" customWidth="1"/>
    <col min="46" max="46" width="11.140625" style="41" customWidth="1"/>
    <col min="47" max="47" width="12.42578125" style="41" customWidth="1"/>
    <col min="48" max="48" width="13.85546875" style="41" customWidth="1"/>
    <col min="49" max="49" width="19.85546875" style="41" customWidth="1"/>
    <col min="50" max="50" width="131.7109375" style="41" customWidth="1"/>
    <col min="51" max="16384" width="9.140625" style="41"/>
  </cols>
  <sheetData>
    <row r="1" spans="1:50" s="567" customFormat="1" ht="42.75">
      <c r="A1" s="617" t="s">
        <v>44</v>
      </c>
      <c r="B1" s="617" t="s">
        <v>105</v>
      </c>
      <c r="C1" s="617" t="s">
        <v>796</v>
      </c>
      <c r="D1" s="617" t="s">
        <v>160</v>
      </c>
      <c r="E1" s="617" t="s">
        <v>161</v>
      </c>
      <c r="F1" s="617" t="s">
        <v>797</v>
      </c>
      <c r="G1" s="617" t="s">
        <v>162</v>
      </c>
      <c r="H1" s="617" t="s">
        <v>163</v>
      </c>
      <c r="I1" s="617" t="s">
        <v>559</v>
      </c>
      <c r="J1" s="617" t="s">
        <v>798</v>
      </c>
      <c r="K1" s="617" t="s">
        <v>799</v>
      </c>
      <c r="L1" s="617" t="s">
        <v>800</v>
      </c>
      <c r="M1" s="617" t="s">
        <v>801</v>
      </c>
      <c r="N1" s="617" t="s">
        <v>802</v>
      </c>
      <c r="O1" s="617" t="s">
        <v>803</v>
      </c>
      <c r="P1" s="617" t="s">
        <v>804</v>
      </c>
      <c r="Q1" s="617" t="s">
        <v>805</v>
      </c>
      <c r="R1" s="617" t="s">
        <v>43</v>
      </c>
      <c r="S1" s="617" t="s">
        <v>2</v>
      </c>
      <c r="T1" s="617" t="s">
        <v>172</v>
      </c>
      <c r="U1" s="617" t="s">
        <v>173</v>
      </c>
      <c r="V1" s="617" t="s">
        <v>174</v>
      </c>
      <c r="W1" s="617" t="s">
        <v>175</v>
      </c>
      <c r="X1" s="617" t="s">
        <v>176</v>
      </c>
      <c r="Y1" s="617" t="s">
        <v>177</v>
      </c>
      <c r="Z1" s="617" t="s">
        <v>178</v>
      </c>
      <c r="AA1" s="617" t="s">
        <v>179</v>
      </c>
      <c r="AB1" s="617" t="s">
        <v>180</v>
      </c>
      <c r="AC1" s="617" t="s">
        <v>806</v>
      </c>
      <c r="AD1" s="617" t="s">
        <v>182</v>
      </c>
      <c r="AE1" s="617" t="s">
        <v>183</v>
      </c>
      <c r="AF1" s="617" t="s">
        <v>807</v>
      </c>
      <c r="AG1" s="617" t="s">
        <v>808</v>
      </c>
      <c r="AH1" s="617" t="s">
        <v>809</v>
      </c>
      <c r="AI1" s="617" t="s">
        <v>810</v>
      </c>
      <c r="AJ1" s="617" t="s">
        <v>811</v>
      </c>
      <c r="AK1" s="617" t="s">
        <v>812</v>
      </c>
      <c r="AL1" s="617" t="s">
        <v>813</v>
      </c>
      <c r="AM1" s="617" t="s">
        <v>814</v>
      </c>
      <c r="AN1" s="617" t="s">
        <v>815</v>
      </c>
      <c r="AO1" s="617" t="s">
        <v>816</v>
      </c>
      <c r="AP1" s="617" t="s">
        <v>189</v>
      </c>
      <c r="AQ1" s="617" t="s">
        <v>572</v>
      </c>
      <c r="AR1" s="617" t="s">
        <v>196</v>
      </c>
      <c r="AS1" s="617" t="s">
        <v>573</v>
      </c>
      <c r="AT1" s="617" t="s">
        <v>574</v>
      </c>
      <c r="AU1" s="617" t="s">
        <v>576</v>
      </c>
      <c r="AV1" s="617" t="s">
        <v>577</v>
      </c>
      <c r="AW1" s="617" t="s">
        <v>578</v>
      </c>
      <c r="AX1" s="618" t="s">
        <v>211</v>
      </c>
    </row>
    <row r="2" spans="1:50" ht="45">
      <c r="A2" s="9" t="s">
        <v>48</v>
      </c>
      <c r="B2" s="6" t="s">
        <v>477</v>
      </c>
      <c r="C2" s="9" t="s">
        <v>817</v>
      </c>
      <c r="D2" s="9" t="s">
        <v>88</v>
      </c>
      <c r="E2" s="9" t="s">
        <v>243</v>
      </c>
      <c r="F2" s="6" t="s">
        <v>818</v>
      </c>
      <c r="G2" s="9">
        <v>120.48693900000001</v>
      </c>
      <c r="H2" s="9">
        <v>14.700714</v>
      </c>
      <c r="I2" s="9" t="s">
        <v>819</v>
      </c>
      <c r="J2" s="9">
        <v>2024</v>
      </c>
      <c r="K2" s="9">
        <v>4</v>
      </c>
      <c r="L2" s="9" t="s">
        <v>820</v>
      </c>
      <c r="M2" s="9">
        <v>4</v>
      </c>
      <c r="N2" s="9" t="s">
        <v>821</v>
      </c>
      <c r="O2" s="4" t="s">
        <v>822</v>
      </c>
      <c r="P2" s="6" t="s">
        <v>120</v>
      </c>
      <c r="Q2" s="6" t="s">
        <v>823</v>
      </c>
      <c r="R2" s="7" t="s">
        <v>62</v>
      </c>
      <c r="S2" s="9"/>
      <c r="T2" s="9"/>
      <c r="U2" s="9" t="s">
        <v>129</v>
      </c>
      <c r="V2" s="9" t="s">
        <v>824</v>
      </c>
      <c r="W2" s="22">
        <v>46058</v>
      </c>
      <c r="X2" s="22">
        <v>46061</v>
      </c>
      <c r="Y2" s="22"/>
      <c r="Z2" s="22"/>
      <c r="AA2" s="22">
        <v>46079</v>
      </c>
      <c r="AB2" s="24">
        <f>IFERROR(
    IF(
        OR(ISBLANK(W2), ISBLANK(X2)),
        "",
        MAX(
            1,
            IF(
                NETWORKDAYS(W2, X2, Holiday_Dates) &lt;= 0,
                1,
                NETWORKDAYS(W2, X2, Holiday_Dates) - IF(W2 = X2, 0, 1)
            )
        )
    ),
    ""
)</f>
        <v>1</v>
      </c>
      <c r="AC2" s="24" t="str">
        <f>IF(
    OR(ISBLANK(X2), ISBLANK(Y2)),
    "",
    MAX(
        1,
        IF(
            NETWORKDAYS(X2, Y2, Holiday_Dates) &lt;= 0,
            1,
            NETWORKDAYS(X2, Y2, Holiday_Dates) - IF(X2 = Y2, 0, 1)
        )
    )
)</f>
        <v/>
      </c>
      <c r="AD2" s="24" t="str">
        <f>IFERROR(
    IF(
        OR(ISBLANK(AA2), AND(ISBLANK(Y2), ISBLANK(Z2))),
        "",
        MAX(
            1,
            IF(
                NETWORKDAYS(IF(NOT(ISBLANK(Z2)), Z2, Y2), AA2, Holiday_Dates) &lt;= 0,
                1,
                NETWORKDAYS(IF(NOT(ISBLANK(Z2)), Z2, Y2), AA2, Holiday_Dates)
                - IF(IF(NOT(ISBLANK(Z2)), Z2, Y2) = AA2, 0, 1)
            )
        )
    ),
    ""
)</f>
        <v/>
      </c>
      <c r="AE2" s="24" t="str">
        <f>IFERROR(
    IF(
        OR(ISBLANK(Z2), ISBLANK(AA2)),
        "",
        MAX(
            1,
            IF(
                NETWORKDAYS(Z2, AA2, Holiday_Dates) &lt;= 0,
                1,
                NETWORKDAYS(Z2, AA2, Holiday_Dates) - IF(Z2 = AA2, 0, 1)
            )
        )
    ),
    ""
)</f>
        <v/>
      </c>
      <c r="AF2" s="9"/>
      <c r="AG2" s="9" t="s">
        <v>685</v>
      </c>
      <c r="AH2" s="9" t="s">
        <v>825</v>
      </c>
      <c r="AI2" s="9" t="s">
        <v>826</v>
      </c>
      <c r="AJ2" s="6" t="s">
        <v>827</v>
      </c>
      <c r="AK2" s="9" t="s">
        <v>828</v>
      </c>
      <c r="AL2" s="6" t="s">
        <v>829</v>
      </c>
      <c r="AM2" s="9">
        <v>0</v>
      </c>
      <c r="AN2" s="9" t="s">
        <v>830</v>
      </c>
      <c r="AO2" s="9"/>
      <c r="AP2" s="9"/>
      <c r="AQ2" s="9"/>
      <c r="AR2" s="9"/>
      <c r="AS2" s="9"/>
      <c r="AT2" s="9"/>
      <c r="AU2" s="9"/>
      <c r="AV2" s="9"/>
      <c r="AW2" s="9"/>
    </row>
    <row r="3" spans="1:50" ht="30">
      <c r="A3" s="9" t="s">
        <v>53</v>
      </c>
      <c r="B3" s="6" t="s">
        <v>242</v>
      </c>
      <c r="C3" s="9" t="s">
        <v>831</v>
      </c>
      <c r="D3" s="9" t="s">
        <v>89</v>
      </c>
      <c r="E3" s="9" t="s">
        <v>243</v>
      </c>
      <c r="F3" s="6" t="s">
        <v>105</v>
      </c>
      <c r="G3" s="9">
        <v>120.3343139</v>
      </c>
      <c r="H3" s="9">
        <v>14.845700000000001</v>
      </c>
      <c r="I3" s="9" t="s">
        <v>832</v>
      </c>
      <c r="J3" s="9">
        <v>2011</v>
      </c>
      <c r="K3" s="9">
        <v>4</v>
      </c>
      <c r="L3" s="9" t="s">
        <v>833</v>
      </c>
      <c r="M3" s="9">
        <v>1</v>
      </c>
      <c r="N3" s="9" t="s">
        <v>834</v>
      </c>
      <c r="O3" s="6"/>
      <c r="P3" s="6"/>
      <c r="Q3" s="6" t="s">
        <v>835</v>
      </c>
      <c r="R3" s="7" t="s">
        <v>62</v>
      </c>
      <c r="S3" s="9" t="s">
        <v>836</v>
      </c>
      <c r="T3" s="9"/>
      <c r="U3" s="9" t="s">
        <v>133</v>
      </c>
      <c r="V3" s="9" t="s">
        <v>837</v>
      </c>
      <c r="W3" s="22">
        <v>46049</v>
      </c>
      <c r="X3" s="22">
        <v>46053</v>
      </c>
      <c r="Y3" s="22"/>
      <c r="Z3" s="22">
        <v>46055</v>
      </c>
      <c r="AA3" s="22">
        <v>46055</v>
      </c>
      <c r="AB3" s="24">
        <f>IFERROR(
    IF(
        OR(ISBLANK(W3), ISBLANK(X3)),
        "",
        MAX(
            1,
            IF(
                NETWORKDAYS(W3, X3, Holiday_Dates) &lt;= 0,
                1,
                NETWORKDAYS(W3, X3, Holiday_Dates) - IF(W3 = X3, 0, 1)
            )
        )
    ),
    ""
)</f>
        <v>3</v>
      </c>
      <c r="AC3" s="24" t="str">
        <f>IF(
    OR(ISBLANK(X3), ISBLANK(Y3)),
    "",
    MAX(
        1,
        IF(
            NETWORKDAYS(X3, Y3, Holiday_Dates) &lt;= 0,
            1,
            NETWORKDAYS(X3, Y3, Holiday_Dates) - IF(X3 = Y3, 0, 1)
        )
    )
)</f>
        <v/>
      </c>
      <c r="AD3" s="24">
        <f>IFERROR(
    IF(
        OR(ISBLANK(AA3), AND(ISBLANK(Y3), ISBLANK(Z3))),
        "",
        MAX(
            1,
            IF(
                NETWORKDAYS(IF(NOT(ISBLANK(Z3)), Z3, Y3), AA3, Holiday_Dates) &lt;= 0,
                1,
                NETWORKDAYS(IF(NOT(ISBLANK(Z3)), Z3, Y3), AA3, Holiday_Dates)
                - IF(IF(NOT(ISBLANK(Z3)), Z3, Y3) = AA3, 0, 1)
            )
        )
    ),
    ""
)</f>
        <v>1</v>
      </c>
      <c r="AE3" s="24">
        <f>IFERROR(
    IF(
        OR(ISBLANK(Z3), ISBLANK(AA3)),
        "",
        MAX(
            1,
            IF(
                NETWORKDAYS(Z3, AA3, Holiday_Dates) &lt;= 0,
                1,
                NETWORKDAYS(Z3, AA3, Holiday_Dates) - IF(Z3 = AA3, 0, 1)
            )
        )
    ),
    ""
)</f>
        <v>1</v>
      </c>
      <c r="AF3" s="9" t="s">
        <v>219</v>
      </c>
      <c r="AG3" s="9" t="s">
        <v>685</v>
      </c>
      <c r="AH3" s="9"/>
      <c r="AI3" s="9"/>
      <c r="AJ3" s="6" t="s">
        <v>838</v>
      </c>
      <c r="AK3" s="9" t="s">
        <v>839</v>
      </c>
      <c r="AL3" s="9">
        <v>1</v>
      </c>
      <c r="AM3" s="9"/>
      <c r="AN3" s="9" t="s">
        <v>840</v>
      </c>
      <c r="AO3" s="9"/>
      <c r="AP3" s="9"/>
      <c r="AQ3" s="9"/>
      <c r="AR3" s="9"/>
      <c r="AS3" s="9"/>
      <c r="AT3" s="9"/>
      <c r="AU3" s="9"/>
      <c r="AV3" s="9"/>
      <c r="AW3" s="9"/>
      <c r="AX3" s="627" t="s">
        <v>841</v>
      </c>
    </row>
    <row r="4" spans="1:50">
      <c r="A4" s="9" t="s">
        <v>47</v>
      </c>
      <c r="B4" s="6" t="s">
        <v>258</v>
      </c>
      <c r="C4" s="9" t="s">
        <v>704</v>
      </c>
      <c r="D4" s="9" t="s">
        <v>89</v>
      </c>
      <c r="E4" s="9" t="s">
        <v>842</v>
      </c>
      <c r="F4" s="6" t="s">
        <v>105</v>
      </c>
      <c r="G4" s="9">
        <v>121.47954</v>
      </c>
      <c r="H4" s="9">
        <v>15.814234000000001</v>
      </c>
      <c r="I4" s="9" t="s">
        <v>843</v>
      </c>
      <c r="J4" s="9">
        <v>2024</v>
      </c>
      <c r="K4" s="9">
        <v>1</v>
      </c>
      <c r="L4" s="9" t="s">
        <v>844</v>
      </c>
      <c r="M4" s="9">
        <v>1</v>
      </c>
      <c r="N4" s="9" t="s">
        <v>845</v>
      </c>
      <c r="O4" s="6"/>
      <c r="P4" s="6"/>
      <c r="Q4" s="6"/>
      <c r="R4" s="548" t="s">
        <v>45</v>
      </c>
      <c r="S4" s="9" t="s">
        <v>14</v>
      </c>
      <c r="T4" s="9"/>
      <c r="U4" s="9" t="s">
        <v>128</v>
      </c>
      <c r="V4" s="9"/>
      <c r="W4" s="22"/>
      <c r="X4" s="22"/>
      <c r="Y4" s="22"/>
      <c r="Z4" s="22"/>
      <c r="AA4" s="22"/>
      <c r="AB4" s="24" t="str">
        <f>IFERROR(
    IF(
        OR(ISBLANK(W4), ISBLANK(X4)),
        "",
        MAX(
            1,
            IF(
                NETWORKDAYS(W4, X4, Holiday_Dates) &lt;= 0,
                1,
                NETWORKDAYS(W4, X4, Holiday_Dates) - IF(W4 = X4, 0, 1)
            )
        )
    ),
    ""
)</f>
        <v/>
      </c>
      <c r="AC4" s="24" t="str">
        <f>IF(
    OR(ISBLANK(X4), ISBLANK(Y4)),
    "",
    MAX(
        1,
        IF(
            NETWORKDAYS(X4, Y4, Holiday_Dates) &lt;= 0,
            1,
            NETWORKDAYS(X4, Y4, Holiday_Dates) - IF(X4 = Y4, 0, 1)
        )
    )
)</f>
        <v/>
      </c>
      <c r="AD4" s="24" t="str">
        <f>IFERROR(
    IF(
        OR(ISBLANK(AA4), AND(ISBLANK(Y4), ISBLANK(Z4))),
        "",
        MAX(
            1,
            IF(
                NETWORKDAYS(IF(NOT(ISBLANK(Z4)), Z4, Y4), AA4, Holiday_Dates) &lt;= 0,
                1,
                NETWORKDAYS(IF(NOT(ISBLANK(Z4)), Z4, Y4), AA4, Holiday_Dates)
                - IF(IF(NOT(ISBLANK(Z4)), Z4, Y4) = AA4, 0, 1)
            )
        )
    ),
    ""
)</f>
        <v/>
      </c>
      <c r="AE4" s="24" t="str">
        <f>IFERROR(
    IF(
        OR(ISBLANK(Z4), ISBLANK(AA4)),
        "",
        MAX(
            1,
            IF(
                NETWORKDAYS(Z4, AA4, Holiday_Dates) &lt;= 0,
                1,
                NETWORKDAYS(Z4, AA4, Holiday_Dates) - IF(Z4 = AA4, 0, 1)
            )
        )
    ),
    ""
)</f>
        <v/>
      </c>
      <c r="AF4" s="9"/>
      <c r="AG4" s="9"/>
      <c r="AH4" s="9"/>
      <c r="AI4" s="44"/>
      <c r="AJ4" s="6"/>
      <c r="AK4" s="9"/>
      <c r="AL4" s="9"/>
      <c r="AM4" s="9"/>
      <c r="AN4" s="9"/>
      <c r="AO4" s="9"/>
      <c r="AP4" s="9"/>
      <c r="AQ4" s="9"/>
      <c r="AR4" s="9"/>
      <c r="AS4" s="9"/>
      <c r="AT4" s="9"/>
      <c r="AU4" s="9"/>
      <c r="AV4" s="9"/>
      <c r="AW4" s="9"/>
    </row>
    <row r="5" spans="1:50" ht="30">
      <c r="A5" s="9" t="s">
        <v>51</v>
      </c>
      <c r="B5" s="6" t="s">
        <v>416</v>
      </c>
      <c r="C5" s="9" t="s">
        <v>846</v>
      </c>
      <c r="D5" s="9" t="s">
        <v>88</v>
      </c>
      <c r="E5" s="9" t="s">
        <v>271</v>
      </c>
      <c r="F5" s="6" t="s">
        <v>847</v>
      </c>
      <c r="G5" s="9">
        <v>120.48104600000001</v>
      </c>
      <c r="H5" s="9">
        <v>15.048202</v>
      </c>
      <c r="I5" s="9" t="s">
        <v>848</v>
      </c>
      <c r="J5" s="9">
        <v>2024</v>
      </c>
      <c r="K5" s="9">
        <v>4</v>
      </c>
      <c r="L5" s="9" t="s">
        <v>849</v>
      </c>
      <c r="M5" s="9" t="s">
        <v>120</v>
      </c>
      <c r="N5" s="9" t="s">
        <v>850</v>
      </c>
      <c r="O5" s="6"/>
      <c r="P5" s="6"/>
      <c r="Q5" s="6"/>
      <c r="R5" s="548" t="s">
        <v>45</v>
      </c>
      <c r="S5" s="9" t="s">
        <v>33</v>
      </c>
      <c r="T5" s="9"/>
      <c r="U5" s="9" t="s">
        <v>851</v>
      </c>
      <c r="V5" s="9"/>
      <c r="W5" s="22"/>
      <c r="X5" s="22"/>
      <c r="Y5" s="22"/>
      <c r="Z5" s="22"/>
      <c r="AA5" s="22"/>
      <c r="AB5" s="24" t="str">
        <f>IFERROR(
    IF(
        OR(ISBLANK(W5), ISBLANK(X5)),
        "",
        MAX(
            1,
            IF(
                NETWORKDAYS(W5, X5, Holiday_Dates) &lt;= 0,
                1,
                NETWORKDAYS(W5, X5, Holiday_Dates) - IF(W5 = X5, 0, 1)
            )
        )
    ),
    ""
)</f>
        <v/>
      </c>
      <c r="AC5" s="24" t="str">
        <f>IF(
    OR(ISBLANK(X5), ISBLANK(Y5)),
    "",
    MAX(
        1,
        IF(
            NETWORKDAYS(X5, Y5, Holiday_Dates) &lt;= 0,
            1,
            NETWORKDAYS(X5, Y5, Holiday_Dates) - IF(X5 = Y5, 0, 1)
        )
    )
)</f>
        <v/>
      </c>
      <c r="AD5" s="24" t="str">
        <f>IFERROR(
    IF(
        OR(ISBLANK(AA5), AND(ISBLANK(Y5), ISBLANK(Z5))),
        "",
        MAX(
            1,
            IF(
                NETWORKDAYS(IF(NOT(ISBLANK(Z5)), Z5, Y5), AA5, Holiday_Dates) &lt;= 0,
                1,
                NETWORKDAYS(IF(NOT(ISBLANK(Z5)), Z5, Y5), AA5, Holiday_Dates)
                - IF(IF(NOT(ISBLANK(Z5)), Z5, Y5) = AA5, 0, 1)
            )
        )
    ),
    ""
)</f>
        <v/>
      </c>
      <c r="AE5" s="24" t="str">
        <f>IFERROR(
    IF(
        OR(ISBLANK(Z5), ISBLANK(AA5)),
        "",
        MAX(
            1,
            IF(
                NETWORKDAYS(Z5, AA5, Holiday_Dates) &lt;= 0,
                1,
                NETWORKDAYS(Z5, AA5, Holiday_Dates) - IF(Z5 = AA5, 0, 1)
            )
        )
    ),
    ""
)</f>
        <v/>
      </c>
      <c r="AF5" s="9"/>
      <c r="AG5" s="9"/>
      <c r="AH5" s="9"/>
      <c r="AI5" s="9"/>
      <c r="AJ5" s="6"/>
      <c r="AK5" s="9"/>
      <c r="AL5" s="9"/>
      <c r="AM5" s="9"/>
      <c r="AN5" s="9"/>
      <c r="AO5" s="9"/>
      <c r="AP5" s="9"/>
      <c r="AQ5" s="9"/>
      <c r="AR5" s="9"/>
      <c r="AS5" s="9"/>
      <c r="AT5" s="9"/>
      <c r="AU5" s="9"/>
      <c r="AV5" s="9"/>
      <c r="AW5" s="9"/>
    </row>
    <row r="6" spans="1:50">
      <c r="A6" s="9" t="s">
        <v>47</v>
      </c>
      <c r="B6" s="6" t="s">
        <v>474</v>
      </c>
      <c r="C6" s="9" t="s">
        <v>753</v>
      </c>
      <c r="D6" s="9" t="s">
        <v>89</v>
      </c>
      <c r="E6" s="9" t="s">
        <v>842</v>
      </c>
      <c r="F6" s="6" t="s">
        <v>105</v>
      </c>
      <c r="G6" s="9">
        <v>121.52559720000001</v>
      </c>
      <c r="H6" s="9">
        <v>15.876836109999999</v>
      </c>
      <c r="I6" s="9" t="s">
        <v>852</v>
      </c>
      <c r="J6" s="9">
        <v>2009</v>
      </c>
      <c r="K6" s="9">
        <v>1</v>
      </c>
      <c r="L6" s="9" t="s">
        <v>844</v>
      </c>
      <c r="M6" s="9">
        <v>1</v>
      </c>
      <c r="N6" s="9" t="s">
        <v>853</v>
      </c>
      <c r="O6" s="6"/>
      <c r="P6" s="6"/>
      <c r="Q6" s="6"/>
      <c r="R6" s="7" t="s">
        <v>57</v>
      </c>
      <c r="S6" s="9" t="s">
        <v>13</v>
      </c>
      <c r="T6" s="9"/>
      <c r="U6" s="9" t="s">
        <v>128</v>
      </c>
      <c r="V6" s="9"/>
      <c r="W6" s="22"/>
      <c r="X6" s="22"/>
      <c r="Y6" s="22"/>
      <c r="Z6" s="22"/>
      <c r="AA6" s="22"/>
      <c r="AB6" s="24" t="str">
        <f>IFERROR(
    IF(
        OR(ISBLANK(W6), ISBLANK(X6)),
        "",
        MAX(
            1,
            IF(
                NETWORKDAYS(W6, X6, Holiday_Dates) &lt;= 0,
                1,
                NETWORKDAYS(W6, X6, Holiday_Dates) - IF(W6 = X6, 0, 1)
            )
        )
    ),
    ""
)</f>
        <v/>
      </c>
      <c r="AC6" s="24" t="str">
        <f>IF(
    OR(ISBLANK(X6), ISBLANK(Y6)),
    "",
    MAX(
        1,
        IF(
            NETWORKDAYS(X6, Y6, Holiday_Dates) &lt;= 0,
            1,
            NETWORKDAYS(X6, Y6, Holiday_Dates) - IF(X6 = Y6, 0, 1)
        )
    )
)</f>
        <v/>
      </c>
      <c r="AD6" s="24" t="str">
        <f>IFERROR(
    IF(
        OR(ISBLANK(AA6), AND(ISBLANK(Y6), ISBLANK(Z6))),
        "",
        MAX(
            1,
            IF(
                NETWORKDAYS(IF(NOT(ISBLANK(Z6)), Z6, Y6), AA6, Holiday_Dates) &lt;= 0,
                1,
                NETWORKDAYS(IF(NOT(ISBLANK(Z6)), Z6, Y6), AA6, Holiday_Dates)
                - IF(IF(NOT(ISBLANK(Z6)), Z6, Y6) = AA6, 0, 1)
            )
        )
    ),
    ""
)</f>
        <v/>
      </c>
      <c r="AE6" s="24" t="str">
        <f>IFERROR(
    IF(
        OR(ISBLANK(Z6), ISBLANK(AA6)),
        "",
        MAX(
            1,
            IF(
                NETWORKDAYS(Z6, AA6, Holiday_Dates) &lt;= 0,
                1,
                NETWORKDAYS(Z6, AA6, Holiday_Dates) - IF(Z6 = AA6, 0, 1)
            )
        )
    ),
    ""
)</f>
        <v/>
      </c>
      <c r="AF6" s="9"/>
      <c r="AG6" s="9"/>
      <c r="AH6" s="9"/>
      <c r="AI6" s="9"/>
      <c r="AJ6" s="6"/>
      <c r="AK6" s="9"/>
      <c r="AL6" s="9"/>
      <c r="AM6" s="9"/>
      <c r="AN6" s="9"/>
      <c r="AO6" s="9"/>
      <c r="AP6" s="9"/>
      <c r="AQ6" s="9"/>
      <c r="AR6" s="9"/>
      <c r="AS6" s="9"/>
      <c r="AT6" s="9"/>
      <c r="AU6" s="9"/>
      <c r="AV6" s="9"/>
      <c r="AW6" s="9"/>
    </row>
    <row r="7" spans="1:50">
      <c r="A7" s="9" t="s">
        <v>48</v>
      </c>
      <c r="B7" s="6" t="s">
        <v>482</v>
      </c>
      <c r="C7" s="9" t="s">
        <v>854</v>
      </c>
      <c r="D7" s="9" t="s">
        <v>88</v>
      </c>
      <c r="E7" s="9" t="s">
        <v>271</v>
      </c>
      <c r="F7" s="6" t="s">
        <v>105</v>
      </c>
      <c r="G7" s="9">
        <v>120.55138890000001</v>
      </c>
      <c r="H7" s="9">
        <v>14.56944444</v>
      </c>
      <c r="I7" s="9" t="s">
        <v>855</v>
      </c>
      <c r="J7" s="9">
        <v>2021</v>
      </c>
      <c r="K7" s="9">
        <v>2</v>
      </c>
      <c r="L7" s="9" t="s">
        <v>856</v>
      </c>
      <c r="M7" s="9">
        <v>1</v>
      </c>
      <c r="N7" s="9" t="s">
        <v>857</v>
      </c>
      <c r="O7" s="6"/>
      <c r="P7" s="6"/>
      <c r="Q7" s="6"/>
      <c r="R7" s="7" t="s">
        <v>57</v>
      </c>
      <c r="S7" s="9" t="s">
        <v>273</v>
      </c>
      <c r="T7" s="9"/>
      <c r="U7" s="9" t="s">
        <v>129</v>
      </c>
      <c r="V7" s="9"/>
      <c r="W7" s="22"/>
      <c r="X7" s="22"/>
      <c r="Y7" s="22"/>
      <c r="Z7" s="22"/>
      <c r="AA7" s="22"/>
      <c r="AB7" s="24" t="str">
        <f>IFERROR(
    IF(
        OR(ISBLANK(W7), ISBLANK(X7)),
        "",
        MAX(
            1,
            IF(
                NETWORKDAYS(W7, X7, Holiday_Dates) &lt;= 0,
                1,
                NETWORKDAYS(W7, X7, Holiday_Dates) - IF(W7 = X7, 0, 1)
            )
        )
    ),
    ""
)</f>
        <v/>
      </c>
      <c r="AC7" s="24" t="str">
        <f>IF(
    OR(ISBLANK(X7), ISBLANK(Y7)),
    "",
    MAX(
        1,
        IF(
            NETWORKDAYS(X7, Y7, Holiday_Dates) &lt;= 0,
            1,
            NETWORKDAYS(X7, Y7, Holiday_Dates) - IF(X7 = Y7, 0, 1)
        )
    )
)</f>
        <v/>
      </c>
      <c r="AD7" s="24" t="str">
        <f>IFERROR(
    IF(
        OR(ISBLANK(AA7), AND(ISBLANK(Y7), ISBLANK(Z7))),
        "",
        MAX(
            1,
            IF(
                NETWORKDAYS(IF(NOT(ISBLANK(Z7)), Z7, Y7), AA7, Holiday_Dates) &lt;= 0,
                1,
                NETWORKDAYS(IF(NOT(ISBLANK(Z7)), Z7, Y7), AA7, Holiday_Dates)
                - IF(IF(NOT(ISBLANK(Z7)), Z7, Y7) = AA7, 0, 1)
            )
        )
    ),
    ""
)</f>
        <v/>
      </c>
      <c r="AE7" s="24" t="str">
        <f>IFERROR(
    IF(
        OR(ISBLANK(Z7), ISBLANK(AA7)),
        "",
        MAX(
            1,
            IF(
                NETWORKDAYS(Z7, AA7, Holiday_Dates) &lt;= 0,
                1,
                NETWORKDAYS(Z7, AA7, Holiday_Dates) - IF(Z7 = AA7, 0, 1)
            )
        )
    ),
    ""
)</f>
        <v/>
      </c>
      <c r="AF7" s="9"/>
      <c r="AG7" s="9"/>
      <c r="AH7" s="9"/>
      <c r="AI7" s="6"/>
      <c r="AJ7" s="6"/>
      <c r="AK7" s="9"/>
      <c r="AL7" s="9"/>
      <c r="AM7" s="9"/>
      <c r="AN7" s="9"/>
      <c r="AO7" s="6"/>
      <c r="AP7" s="9"/>
      <c r="AQ7" s="9"/>
      <c r="AR7" s="9"/>
      <c r="AS7" s="9"/>
      <c r="AT7" s="9"/>
      <c r="AU7" s="9"/>
      <c r="AV7" s="9"/>
      <c r="AW7" s="9"/>
    </row>
    <row r="8" spans="1:50">
      <c r="A8" s="9" t="s">
        <v>53</v>
      </c>
      <c r="B8" s="6" t="s">
        <v>422</v>
      </c>
      <c r="C8" s="9" t="s">
        <v>858</v>
      </c>
      <c r="D8" s="9" t="s">
        <v>89</v>
      </c>
      <c r="E8" s="9" t="s">
        <v>271</v>
      </c>
      <c r="F8" s="6" t="s">
        <v>105</v>
      </c>
      <c r="G8" s="9">
        <v>120.02509999999999</v>
      </c>
      <c r="H8" s="9">
        <v>15.396100000000001</v>
      </c>
      <c r="I8" s="9" t="s">
        <v>859</v>
      </c>
      <c r="J8" s="9">
        <v>2021</v>
      </c>
      <c r="K8" s="9">
        <v>1</v>
      </c>
      <c r="L8" s="9" t="s">
        <v>860</v>
      </c>
      <c r="M8" s="9">
        <v>1</v>
      </c>
      <c r="N8" s="9" t="s">
        <v>861</v>
      </c>
      <c r="O8" s="6"/>
      <c r="P8" s="6"/>
      <c r="Q8" s="6"/>
      <c r="R8" s="7" t="s">
        <v>57</v>
      </c>
      <c r="S8" s="9" t="s">
        <v>836</v>
      </c>
      <c r="T8" s="9"/>
      <c r="U8" s="9" t="s">
        <v>133</v>
      </c>
      <c r="V8" s="9"/>
      <c r="W8" s="22"/>
      <c r="X8" s="22"/>
      <c r="Y8" s="22"/>
      <c r="Z8" s="22"/>
      <c r="AA8" s="22"/>
      <c r="AB8" s="24" t="str">
        <f>IFERROR(
    IF(
        OR(ISBLANK(W8), ISBLANK(X8)),
        "",
        MAX(
            1,
            IF(
                NETWORKDAYS(W8, X8, Holiday_Dates) &lt;= 0,
                1,
                NETWORKDAYS(W8, X8, Holiday_Dates) - IF(W8 = X8, 0, 1)
            )
        )
    ),
    ""
)</f>
        <v/>
      </c>
      <c r="AC8" s="24" t="str">
        <f>IF(
    OR(ISBLANK(X8), ISBLANK(Y8)),
    "",
    MAX(
        1,
        IF(
            NETWORKDAYS(X8, Y8, Holiday_Dates) &lt;= 0,
            1,
            NETWORKDAYS(X8, Y8, Holiday_Dates) - IF(X8 = Y8, 0, 1)
        )
    )
)</f>
        <v/>
      </c>
      <c r="AD8" s="24" t="str">
        <f>IFERROR(
    IF(
        OR(ISBLANK(AA8), AND(ISBLANK(Y8), ISBLANK(Z8))),
        "",
        MAX(
            1,
            IF(
                NETWORKDAYS(IF(NOT(ISBLANK(Z8)), Z8, Y8), AA8, Holiday_Dates) &lt;= 0,
                1,
                NETWORKDAYS(IF(NOT(ISBLANK(Z8)), Z8, Y8), AA8, Holiday_Dates)
                - IF(IF(NOT(ISBLANK(Z8)), Z8, Y8) = AA8, 0, 1)
            )
        )
    ),
    ""
)</f>
        <v/>
      </c>
      <c r="AE8" s="24" t="str">
        <f>IFERROR(
    IF(
        OR(ISBLANK(Z8), ISBLANK(AA8)),
        "",
        MAX(
            1,
            IF(
                NETWORKDAYS(Z8, AA8, Holiday_Dates) &lt;= 0,
                1,
                NETWORKDAYS(Z8, AA8, Holiday_Dates) - IF(Z8 = AA8, 0, 1)
            )
        )
    ),
    ""
)</f>
        <v/>
      </c>
      <c r="AF8" s="9"/>
      <c r="AG8" s="9"/>
      <c r="AH8" s="9"/>
      <c r="AI8" s="9"/>
      <c r="AJ8" s="6"/>
      <c r="AK8" s="9"/>
      <c r="AL8" s="9"/>
      <c r="AM8" s="9"/>
      <c r="AN8" s="9"/>
      <c r="AO8" s="6"/>
      <c r="AP8" s="9"/>
      <c r="AQ8" s="9"/>
      <c r="AR8" s="9"/>
      <c r="AS8" s="9"/>
      <c r="AT8" s="9"/>
      <c r="AU8" s="9"/>
      <c r="AV8" s="9"/>
      <c r="AW8" s="9"/>
    </row>
    <row r="9" spans="1:50" ht="30">
      <c r="A9" s="9" t="s">
        <v>51</v>
      </c>
      <c r="B9" s="6" t="s">
        <v>416</v>
      </c>
      <c r="C9" s="9" t="s">
        <v>862</v>
      </c>
      <c r="D9" s="9" t="s">
        <v>88</v>
      </c>
      <c r="E9" s="9" t="s">
        <v>271</v>
      </c>
      <c r="F9" s="6" t="s">
        <v>863</v>
      </c>
      <c r="G9" s="9">
        <v>120.5736417</v>
      </c>
      <c r="H9" s="9">
        <v>15.08266111</v>
      </c>
      <c r="I9" s="9" t="s">
        <v>864</v>
      </c>
      <c r="J9" s="9">
        <v>2022</v>
      </c>
      <c r="K9" s="9">
        <v>4</v>
      </c>
      <c r="L9" s="9" t="s">
        <v>865</v>
      </c>
      <c r="M9" s="9">
        <v>4</v>
      </c>
      <c r="N9" s="9" t="s">
        <v>866</v>
      </c>
      <c r="O9" s="6"/>
      <c r="P9" s="6"/>
      <c r="Q9" s="6"/>
      <c r="R9" s="7" t="s">
        <v>63</v>
      </c>
      <c r="S9" s="9" t="s">
        <v>33</v>
      </c>
      <c r="T9" s="9"/>
      <c r="U9" s="9" t="s">
        <v>851</v>
      </c>
      <c r="V9" s="9"/>
      <c r="W9" s="8"/>
      <c r="X9" s="22"/>
      <c r="Y9" s="22"/>
      <c r="Z9" s="22"/>
      <c r="AA9" s="22"/>
      <c r="AB9" s="24" t="str">
        <f>IFERROR(
    IF(
        OR(ISBLANK(W9), ISBLANK(X9)),
        "",
        MAX(
            1,
            IF(
                NETWORKDAYS(W9, X9, Holiday_Dates) &lt;= 0,
                1,
                NETWORKDAYS(W9, X9, Holiday_Dates) - IF(W9 = X9, 0, 1)
            )
        )
    ),
    ""
)</f>
        <v/>
      </c>
      <c r="AC9" s="24" t="str">
        <f>IF(
    OR(ISBLANK(X9), ISBLANK(Y9)),
    "",
    MAX(
        1,
        IF(
            NETWORKDAYS(X9, Y9, Holiday_Dates) &lt;= 0,
            1,
            NETWORKDAYS(X9, Y9, Holiday_Dates) - IF(X9 = Y9, 0, 1)
        )
    )
)</f>
        <v/>
      </c>
      <c r="AD9" s="24" t="str">
        <f>IFERROR(
    IF(
        OR(ISBLANK(AA9), AND(ISBLANK(Y9), ISBLANK(Z9))),
        "",
        MAX(
            1,
            IF(
                NETWORKDAYS(IF(NOT(ISBLANK(Z9)), Z9, Y9), AA9, Holiday_Dates) &lt;= 0,
                1,
                NETWORKDAYS(IF(NOT(ISBLANK(Z9)), Z9, Y9), AA9, Holiday_Dates)
                - IF(IF(NOT(ISBLANK(Z9)), Z9, Y9) = AA9, 0, 1)
            )
        )
    ),
    ""
)</f>
        <v/>
      </c>
      <c r="AE9" s="24" t="str">
        <f>IFERROR(
    IF(
        OR(ISBLANK(Z9), ISBLANK(AA9)),
        "",
        MAX(
            1,
            IF(
                NETWORKDAYS(Z9, AA9, Holiday_Dates) &lt;= 0,
                1,
                NETWORKDAYS(Z9, AA9, Holiday_Dates) - IF(Z9 = AA9, 0, 1)
            )
        )
    ),
    ""
)</f>
        <v/>
      </c>
      <c r="AF9" s="9"/>
      <c r="AG9" s="9"/>
      <c r="AH9" s="9"/>
      <c r="AI9" s="9"/>
      <c r="AJ9" s="6"/>
      <c r="AK9" s="9"/>
      <c r="AL9" s="9"/>
      <c r="AM9" s="9"/>
      <c r="AN9" s="9"/>
      <c r="AO9" s="464"/>
      <c r="AP9" s="9"/>
      <c r="AQ9" s="9"/>
      <c r="AR9" s="9"/>
      <c r="AS9" s="9"/>
      <c r="AT9" s="9"/>
      <c r="AU9" s="9"/>
      <c r="AV9" s="9"/>
      <c r="AW9" s="9"/>
    </row>
    <row r="10" spans="1:50">
      <c r="A10" s="9" t="s">
        <v>53</v>
      </c>
      <c r="B10" s="6" t="s">
        <v>546</v>
      </c>
      <c r="C10" s="9" t="s">
        <v>867</v>
      </c>
      <c r="D10" s="9" t="s">
        <v>89</v>
      </c>
      <c r="E10" s="9" t="s">
        <v>271</v>
      </c>
      <c r="F10" s="6" t="s">
        <v>105</v>
      </c>
      <c r="G10" s="9">
        <v>119.975247</v>
      </c>
      <c r="H10" s="9">
        <v>15.599997</v>
      </c>
      <c r="I10" s="9" t="s">
        <v>868</v>
      </c>
      <c r="J10" s="9">
        <v>2017</v>
      </c>
      <c r="K10" s="9">
        <v>1</v>
      </c>
      <c r="L10" s="9" t="s">
        <v>869</v>
      </c>
      <c r="M10" s="9">
        <v>1</v>
      </c>
      <c r="N10" s="9" t="s">
        <v>870</v>
      </c>
      <c r="O10" s="6"/>
      <c r="P10" s="6"/>
      <c r="Q10" s="6"/>
      <c r="R10" s="7" t="s">
        <v>63</v>
      </c>
      <c r="S10" s="9" t="s">
        <v>42</v>
      </c>
      <c r="T10" s="9"/>
      <c r="U10" s="9" t="s">
        <v>133</v>
      </c>
      <c r="V10" s="9"/>
      <c r="W10" s="22"/>
      <c r="X10" s="22"/>
      <c r="Y10" s="22"/>
      <c r="Z10" s="22"/>
      <c r="AA10" s="22"/>
      <c r="AB10" s="24" t="str">
        <f>IFERROR(
    IF(
        OR(ISBLANK(W10), ISBLANK(X10)),
        "",
        MAX(
            1,
            IF(
                NETWORKDAYS(W10, X10, Holiday_Dates) &lt;= 0,
                1,
                NETWORKDAYS(W10, X10, Holiday_Dates) - IF(W10 = X10, 0, 1)
            )
        )
    ),
    ""
)</f>
        <v/>
      </c>
      <c r="AC10" s="24" t="str">
        <f>IF(
    OR(ISBLANK(X10), ISBLANK(Y10)),
    "",
    MAX(
        1,
        IF(
            NETWORKDAYS(X10, Y10, Holiday_Dates) &lt;= 0,
            1,
            NETWORKDAYS(X10, Y10, Holiday_Dates) - IF(X10 = Y10, 0, 1)
        )
    )
)</f>
        <v/>
      </c>
      <c r="AD10" s="24" t="str">
        <f>IFERROR(
    IF(
        OR(ISBLANK(AA10), AND(ISBLANK(Y10), ISBLANK(Z10))),
        "",
        MAX(
            1,
            IF(
                NETWORKDAYS(IF(NOT(ISBLANK(Z10)), Z10, Y10), AA10, Holiday_Dates) &lt;= 0,
                1,
                NETWORKDAYS(IF(NOT(ISBLANK(Z10)), Z10, Y10), AA10, Holiday_Dates)
                - IF(IF(NOT(ISBLANK(Z10)), Z10, Y10) = AA10, 0, 1)
            )
        )
    ),
    ""
)</f>
        <v/>
      </c>
      <c r="AE10" s="24" t="str">
        <f>IFERROR(
    IF(
        OR(ISBLANK(Z10), ISBLANK(AA10)),
        "",
        MAX(
            1,
            IF(
                NETWORKDAYS(Z10, AA10, Holiday_Dates) &lt;= 0,
                1,
                NETWORKDAYS(Z10, AA10, Holiday_Dates) - IF(Z10 = AA10, 0, 1)
            )
        )
    ),
    ""
)</f>
        <v/>
      </c>
      <c r="AF10" s="9"/>
      <c r="AG10" s="9"/>
      <c r="AH10" s="9"/>
      <c r="AI10" s="9"/>
      <c r="AJ10" s="6"/>
      <c r="AK10" s="9"/>
      <c r="AL10" s="9"/>
      <c r="AM10" s="9"/>
      <c r="AN10" s="9"/>
      <c r="AO10" s="6"/>
      <c r="AP10" s="9"/>
      <c r="AQ10" s="9"/>
      <c r="AR10" s="9"/>
      <c r="AS10" s="9"/>
      <c r="AT10" s="9"/>
      <c r="AU10" s="9"/>
      <c r="AV10" s="9"/>
      <c r="AW10" s="9"/>
    </row>
    <row r="11" spans="1:50">
      <c r="A11" s="9" t="s">
        <v>50</v>
      </c>
      <c r="B11" s="6" t="s">
        <v>524</v>
      </c>
      <c r="C11" s="9" t="s">
        <v>871</v>
      </c>
      <c r="D11" s="9" t="s">
        <v>88</v>
      </c>
      <c r="E11" s="9" t="s">
        <v>213</v>
      </c>
      <c r="F11" s="6" t="s">
        <v>105</v>
      </c>
      <c r="G11" s="9">
        <v>120.9720361</v>
      </c>
      <c r="H11" s="9">
        <v>15.397636110000001</v>
      </c>
      <c r="I11" s="9" t="s">
        <v>872</v>
      </c>
      <c r="J11" s="9">
        <v>2019</v>
      </c>
      <c r="K11" s="9">
        <v>1</v>
      </c>
      <c r="L11" s="9" t="s">
        <v>873</v>
      </c>
      <c r="M11" s="9">
        <v>1</v>
      </c>
      <c r="N11" s="9" t="s">
        <v>874</v>
      </c>
      <c r="O11" s="6"/>
      <c r="P11" s="6"/>
      <c r="Q11" s="6"/>
      <c r="R11" s="7" t="s">
        <v>64</v>
      </c>
      <c r="S11" s="9" t="s">
        <v>28</v>
      </c>
      <c r="T11" s="9"/>
      <c r="U11" s="9" t="s">
        <v>130</v>
      </c>
      <c r="V11" s="9"/>
      <c r="W11" s="22"/>
      <c r="X11" s="22"/>
      <c r="Y11" s="22"/>
      <c r="Z11" s="22"/>
      <c r="AA11" s="22"/>
      <c r="AB11" s="24" t="str">
        <f>IFERROR(
    IF(
        OR(ISBLANK(W11), ISBLANK(X11)),
        "",
        MAX(
            1,
            IF(
                NETWORKDAYS(W11, X11, Holiday_Dates) &lt;= 0,
                1,
                NETWORKDAYS(W11, X11, Holiday_Dates) - IF(W11 = X11, 0, 1)
            )
        )
    ),
    ""
)</f>
        <v/>
      </c>
      <c r="AC11" s="24" t="str">
        <f>IF(
    OR(ISBLANK(X11), ISBLANK(Y11)),
    "",
    MAX(
        1,
        IF(
            NETWORKDAYS(X11, Y11, Holiday_Dates) &lt;= 0,
            1,
            NETWORKDAYS(X11, Y11, Holiday_Dates) - IF(X11 = Y11, 0, 1)
        )
    )
)</f>
        <v/>
      </c>
      <c r="AD11" s="24" t="str">
        <f>IFERROR(
    IF(
        OR(ISBLANK(AA11), AND(ISBLANK(Y11), ISBLANK(Z11))),
        "",
        MAX(
            1,
            IF(
                NETWORKDAYS(IF(NOT(ISBLANK(Z11)), Z11, Y11), AA11, Holiday_Dates) &lt;= 0,
                1,
                NETWORKDAYS(IF(NOT(ISBLANK(Z11)), Z11, Y11), AA11, Holiday_Dates)
                - IF(IF(NOT(ISBLANK(Z11)), Z11, Y11) = AA11, 0, 1)
            )
        )
    ),
    ""
)</f>
        <v/>
      </c>
      <c r="AE11" s="24" t="str">
        <f>IFERROR(
    IF(
        OR(ISBLANK(Z11), ISBLANK(AA11)),
        "",
        MAX(
            1,
            IF(
                NETWORKDAYS(Z11, AA11, Holiday_Dates) &lt;= 0,
                1,
                NETWORKDAYS(Z11, AA11, Holiday_Dates) - IF(Z11 = AA11, 0, 1)
            )
        )
    ),
    ""
)</f>
        <v/>
      </c>
      <c r="AF11" s="9"/>
      <c r="AG11" s="9"/>
      <c r="AH11" s="9"/>
      <c r="AI11" s="9"/>
      <c r="AJ11" s="6"/>
      <c r="AK11" s="9"/>
      <c r="AL11" s="9"/>
      <c r="AM11" s="9"/>
      <c r="AN11" s="9"/>
      <c r="AO11" s="9"/>
      <c r="AP11" s="9"/>
      <c r="AQ11" s="9"/>
      <c r="AR11" s="9"/>
      <c r="AS11" s="9"/>
      <c r="AT11" s="9"/>
      <c r="AU11" s="9"/>
      <c r="AV11" s="9"/>
      <c r="AW11" s="9"/>
    </row>
    <row r="12" spans="1:50">
      <c r="A12" s="9" t="s">
        <v>47</v>
      </c>
      <c r="B12" s="6" t="s">
        <v>472</v>
      </c>
      <c r="C12" s="9" t="s">
        <v>875</v>
      </c>
      <c r="D12" s="9" t="s">
        <v>89</v>
      </c>
      <c r="E12" s="9" t="s">
        <v>842</v>
      </c>
      <c r="F12" s="6" t="s">
        <v>105</v>
      </c>
      <c r="G12" s="9">
        <v>121.38001939999999</v>
      </c>
      <c r="H12" s="9">
        <v>15.382611109999999</v>
      </c>
      <c r="I12" s="9" t="s">
        <v>876</v>
      </c>
      <c r="J12" s="9">
        <v>2019</v>
      </c>
      <c r="K12" s="9">
        <v>1</v>
      </c>
      <c r="L12" s="9" t="s">
        <v>877</v>
      </c>
      <c r="M12" s="9">
        <v>1</v>
      </c>
      <c r="N12" s="9" t="s">
        <v>878</v>
      </c>
      <c r="O12" s="6"/>
      <c r="P12" s="6"/>
      <c r="Q12" s="6"/>
      <c r="R12" s="7"/>
      <c r="S12" s="9" t="s">
        <v>14</v>
      </c>
      <c r="T12" s="9"/>
      <c r="U12" s="9" t="s">
        <v>128</v>
      </c>
      <c r="V12" s="9"/>
      <c r="W12" s="22"/>
      <c r="X12" s="22"/>
      <c r="Y12" s="22"/>
      <c r="Z12" s="22"/>
      <c r="AA12" s="22"/>
      <c r="AB12" s="24" t="str">
        <f>IFERROR(
    IF(
        OR(ISBLANK(W12), ISBLANK(X12)),
        "",
        MAX(
            1,
            IF(
                NETWORKDAYS(W12, X12, Holiday_Dates) &lt;= 0,
                1,
                NETWORKDAYS(W12, X12, Holiday_Dates) - IF(W12 = X12, 0, 1)
            )
        )
    ),
    ""
)</f>
        <v/>
      </c>
      <c r="AC12" s="24" t="str">
        <f>IF(
    OR(ISBLANK(X12), ISBLANK(Y12)),
    "",
    MAX(
        1,
        IF(
            NETWORKDAYS(X12, Y12, Holiday_Dates) &lt;= 0,
            1,
            NETWORKDAYS(X12, Y12, Holiday_Dates) - IF(X12 = Y12, 0, 1)
        )
    )
)</f>
        <v/>
      </c>
      <c r="AD12" s="24" t="str">
        <f>IFERROR(
    IF(
        OR(ISBLANK(AA12), AND(ISBLANK(Y12), ISBLANK(Z12))),
        "",
        MAX(
            1,
            IF(
                NETWORKDAYS(IF(NOT(ISBLANK(Z12)), Z12, Y12), AA12, Holiday_Dates) &lt;= 0,
                1,
                NETWORKDAYS(IF(NOT(ISBLANK(Z12)), Z12, Y12), AA12, Holiday_Dates)
                - IF(IF(NOT(ISBLANK(Z12)), Z12, Y12) = AA12, 0, 1)
            )
        )
    ),
    ""
)</f>
        <v/>
      </c>
      <c r="AE12" s="24" t="str">
        <f>IFERROR(
    IF(
        OR(ISBLANK(Z12), ISBLANK(AA12)),
        "",
        MAX(
            1,
            IF(
                NETWORKDAYS(Z12, AA12, Holiday_Dates) &lt;= 0,
                1,
                NETWORKDAYS(Z12, AA12, Holiday_Dates) - IF(Z12 = AA12, 0, 1)
            )
        )
    ),
    ""
)</f>
        <v/>
      </c>
      <c r="AF12" s="9"/>
      <c r="AG12" s="9"/>
      <c r="AH12" s="9"/>
      <c r="AI12" s="9"/>
      <c r="AJ12" s="6"/>
      <c r="AK12" s="9"/>
      <c r="AL12" s="9"/>
      <c r="AM12" s="9"/>
      <c r="AN12" s="6"/>
      <c r="AO12" s="9"/>
      <c r="AP12" s="9"/>
      <c r="AQ12" s="9"/>
      <c r="AR12" s="9"/>
      <c r="AS12" s="9"/>
      <c r="AT12" s="9"/>
      <c r="AU12" s="9"/>
      <c r="AV12" s="9"/>
      <c r="AW12" s="9"/>
    </row>
    <row r="13" spans="1:50">
      <c r="A13" s="9" t="s">
        <v>48</v>
      </c>
      <c r="B13" s="6" t="s">
        <v>477</v>
      </c>
      <c r="C13" s="9" t="s">
        <v>817</v>
      </c>
      <c r="D13" s="9" t="s">
        <v>88</v>
      </c>
      <c r="E13" s="9" t="s">
        <v>243</v>
      </c>
      <c r="F13" s="6" t="s">
        <v>105</v>
      </c>
      <c r="G13" s="9">
        <v>120.487578</v>
      </c>
      <c r="H13" s="9">
        <v>14.704069</v>
      </c>
      <c r="I13" s="9" t="s">
        <v>879</v>
      </c>
      <c r="J13" s="9">
        <v>2017</v>
      </c>
      <c r="K13" s="9">
        <v>1</v>
      </c>
      <c r="L13" s="9" t="s">
        <v>844</v>
      </c>
      <c r="M13" s="9">
        <v>1</v>
      </c>
      <c r="N13" s="9" t="s">
        <v>880</v>
      </c>
      <c r="O13" s="6"/>
      <c r="P13" s="6"/>
      <c r="Q13" s="6"/>
      <c r="R13" s="7"/>
      <c r="S13" s="9" t="s">
        <v>129</v>
      </c>
      <c r="T13" s="9"/>
      <c r="U13" s="9" t="s">
        <v>129</v>
      </c>
      <c r="V13" s="9"/>
      <c r="W13" s="22"/>
      <c r="X13" s="22"/>
      <c r="Y13" s="22"/>
      <c r="Z13" s="22"/>
      <c r="AA13" s="22"/>
      <c r="AB13" s="24" t="str">
        <f>IFERROR(
    IF(
        OR(ISBLANK(W13), ISBLANK(X13)),
        "",
        MAX(
            1,
            IF(
                NETWORKDAYS(W13, X13, Holiday_Dates) &lt;= 0,
                1,
                NETWORKDAYS(W13, X13, Holiday_Dates) - IF(W13 = X13, 0, 1)
            )
        )
    ),
    ""
)</f>
        <v/>
      </c>
      <c r="AC13" s="24" t="str">
        <f>IF(
    OR(ISBLANK(X13), ISBLANK(Y13)),
    "",
    MAX(
        1,
        IF(
            NETWORKDAYS(X13, Y13, Holiday_Dates) &lt;= 0,
            1,
            NETWORKDAYS(X13, Y13, Holiday_Dates) - IF(X13 = Y13, 0, 1)
        )
    )
)</f>
        <v/>
      </c>
      <c r="AD13" s="24" t="str">
        <f>IFERROR(
    IF(
        OR(ISBLANK(AA13), AND(ISBLANK(Y13), ISBLANK(Z13))),
        "",
        MAX(
            1,
            IF(
                NETWORKDAYS(IF(NOT(ISBLANK(Z13)), Z13, Y13), AA13, Holiday_Dates) &lt;= 0,
                1,
                NETWORKDAYS(IF(NOT(ISBLANK(Z13)), Z13, Y13), AA13, Holiday_Dates)
                - IF(IF(NOT(ISBLANK(Z13)), Z13, Y13) = AA13, 0, 1)
            )
        )
    ),
    ""
)</f>
        <v/>
      </c>
      <c r="AE13" s="24" t="str">
        <f>IFERROR(
    IF(
        OR(ISBLANK(Z13), ISBLANK(AA13)),
        "",
        MAX(
            1,
            IF(
                NETWORKDAYS(Z13, AA13, Holiday_Dates) &lt;= 0,
                1,
                NETWORKDAYS(Z13, AA13, Holiday_Dates) - IF(Z13 = AA13, 0, 1)
            )
        )
    ),
    ""
)</f>
        <v/>
      </c>
      <c r="AF13" s="9"/>
      <c r="AG13" s="9"/>
      <c r="AH13" s="9"/>
      <c r="AI13" s="9"/>
      <c r="AJ13" s="6"/>
      <c r="AK13" s="9"/>
      <c r="AL13" s="9"/>
      <c r="AM13" s="9"/>
      <c r="AN13" s="9"/>
      <c r="AO13" s="9"/>
      <c r="AP13" s="9"/>
      <c r="AQ13" s="9"/>
      <c r="AR13" s="9"/>
      <c r="AS13" s="9"/>
      <c r="AT13" s="9"/>
      <c r="AU13" s="9"/>
      <c r="AV13" s="9"/>
      <c r="AW13" s="9"/>
    </row>
    <row r="14" spans="1:50">
      <c r="A14" s="9" t="s">
        <v>50</v>
      </c>
      <c r="B14" s="6" t="s">
        <v>727</v>
      </c>
      <c r="C14" s="9" t="s">
        <v>881</v>
      </c>
      <c r="D14" s="9" t="s">
        <v>88</v>
      </c>
      <c r="E14" s="9" t="s">
        <v>224</v>
      </c>
      <c r="F14" s="6" t="s">
        <v>105</v>
      </c>
      <c r="G14" s="9">
        <v>121.0623556</v>
      </c>
      <c r="H14" s="9">
        <v>15.389950000000001</v>
      </c>
      <c r="I14" s="9" t="s">
        <v>882</v>
      </c>
      <c r="J14" s="9">
        <v>2018</v>
      </c>
      <c r="K14" s="9">
        <v>1</v>
      </c>
      <c r="L14" s="9" t="s">
        <v>883</v>
      </c>
      <c r="M14" s="9">
        <v>1</v>
      </c>
      <c r="N14" s="9" t="s">
        <v>884</v>
      </c>
      <c r="O14" s="6"/>
      <c r="P14" s="6"/>
      <c r="Q14" s="6"/>
      <c r="R14" s="7"/>
      <c r="S14" s="9" t="s">
        <v>885</v>
      </c>
      <c r="T14" s="9"/>
      <c r="U14" s="9" t="s">
        <v>130</v>
      </c>
      <c r="V14" s="9"/>
      <c r="W14" s="22"/>
      <c r="X14" s="22"/>
      <c r="Y14" s="22"/>
      <c r="Z14" s="22"/>
      <c r="AA14" s="22"/>
      <c r="AB14" s="24" t="str">
        <f>IFERROR(
    IF(
        OR(ISBLANK(W14), ISBLANK(X14)),
        "",
        MAX(
            1,
            IF(
                NETWORKDAYS(W14, X14, Holiday_Dates) &lt;= 0,
                1,
                NETWORKDAYS(W14, X14, Holiday_Dates) - IF(W14 = X14, 0, 1)
            )
        )
    ),
    ""
)</f>
        <v/>
      </c>
      <c r="AC14" s="24" t="str">
        <f>IF(
    OR(ISBLANK(X14), ISBLANK(Y14)),
    "",
    MAX(
        1,
        IF(
            NETWORKDAYS(X14, Y14, Holiday_Dates) &lt;= 0,
            1,
            NETWORKDAYS(X14, Y14, Holiday_Dates) - IF(X14 = Y14, 0, 1)
        )
    )
)</f>
        <v/>
      </c>
      <c r="AD14" s="24" t="str">
        <f>IFERROR(
    IF(
        OR(ISBLANK(AA14), AND(ISBLANK(Y14), ISBLANK(Z14))),
        "",
        MAX(
            1,
            IF(
                NETWORKDAYS(IF(NOT(ISBLANK(Z14)), Z14, Y14), AA14, Holiday_Dates) &lt;= 0,
                1,
                NETWORKDAYS(IF(NOT(ISBLANK(Z14)), Z14, Y14), AA14, Holiday_Dates)
                - IF(IF(NOT(ISBLANK(Z14)), Z14, Y14) = AA14, 0, 1)
            )
        )
    ),
    ""
)</f>
        <v/>
      </c>
      <c r="AE14" s="24" t="str">
        <f>IFERROR(
    IF(
        OR(ISBLANK(Z14), ISBLANK(AA14)),
        "",
        MAX(
            1,
            IF(
                NETWORKDAYS(Z14, AA14, Holiday_Dates) &lt;= 0,
                1,
                NETWORKDAYS(Z14, AA14, Holiday_Dates) - IF(Z14 = AA14, 0, 1)
            )
        )
    ),
    ""
)</f>
        <v/>
      </c>
      <c r="AF14" s="9"/>
      <c r="AG14" s="9"/>
      <c r="AH14" s="9"/>
      <c r="AI14" s="9"/>
      <c r="AJ14" s="6"/>
      <c r="AK14" s="9"/>
      <c r="AL14" s="9"/>
      <c r="AM14" s="9"/>
      <c r="AN14" s="9"/>
      <c r="AO14" s="9"/>
      <c r="AP14" s="9"/>
      <c r="AQ14" s="9"/>
      <c r="AR14" s="9"/>
      <c r="AS14" s="9"/>
      <c r="AT14" s="9"/>
      <c r="AU14" s="9"/>
      <c r="AV14" s="9"/>
      <c r="AW14" s="9"/>
    </row>
    <row r="15" spans="1:50">
      <c r="A15" s="9" t="s">
        <v>50</v>
      </c>
      <c r="B15" s="6" t="s">
        <v>511</v>
      </c>
      <c r="C15" s="9" t="s">
        <v>886</v>
      </c>
      <c r="D15" s="9" t="s">
        <v>88</v>
      </c>
      <c r="E15" s="9" t="s">
        <v>243</v>
      </c>
      <c r="F15" s="6" t="s">
        <v>105</v>
      </c>
      <c r="G15" s="9">
        <v>120.7461167</v>
      </c>
      <c r="H15" s="9">
        <v>15.71451111</v>
      </c>
      <c r="I15" s="9" t="s">
        <v>887</v>
      </c>
      <c r="J15" s="9">
        <v>2013</v>
      </c>
      <c r="K15" s="9">
        <v>1</v>
      </c>
      <c r="L15" s="9" t="s">
        <v>888</v>
      </c>
      <c r="M15" s="9">
        <v>1</v>
      </c>
      <c r="N15" s="9" t="s">
        <v>889</v>
      </c>
      <c r="O15" s="6"/>
      <c r="P15" s="6"/>
      <c r="Q15" s="6"/>
      <c r="R15" s="7"/>
      <c r="S15" s="9" t="s">
        <v>29</v>
      </c>
      <c r="T15" s="9"/>
      <c r="U15" s="9" t="s">
        <v>130</v>
      </c>
      <c r="V15" s="9"/>
      <c r="W15" s="22"/>
      <c r="X15" s="22"/>
      <c r="Y15" s="22"/>
      <c r="Z15" s="22"/>
      <c r="AA15" s="22"/>
      <c r="AB15" s="24" t="str">
        <f>IFERROR(
    IF(
        OR(ISBLANK(W15), ISBLANK(X15)),
        "",
        MAX(
            1,
            IF(
                NETWORKDAYS(W15, X15, Holiday_Dates) &lt;= 0,
                1,
                NETWORKDAYS(W15, X15, Holiday_Dates) - IF(W15 = X15, 0, 1)
            )
        )
    ),
    ""
)</f>
        <v/>
      </c>
      <c r="AC15" s="24" t="str">
        <f>IF(
    OR(ISBLANK(X15), ISBLANK(Y15)),
    "",
    MAX(
        1,
        IF(
            NETWORKDAYS(X15, Y15, Holiday_Dates) &lt;= 0,
            1,
            NETWORKDAYS(X15, Y15, Holiday_Dates) - IF(X15 = Y15, 0, 1)
        )
    )
)</f>
        <v/>
      </c>
      <c r="AD15" s="24" t="str">
        <f>IFERROR(
    IF(
        OR(ISBLANK(AA15), AND(ISBLANK(Y15), ISBLANK(Z15))),
        "",
        MAX(
            1,
            IF(
                NETWORKDAYS(IF(NOT(ISBLANK(Z15)), Z15, Y15), AA15, Holiday_Dates) &lt;= 0,
                1,
                NETWORKDAYS(IF(NOT(ISBLANK(Z15)), Z15, Y15), AA15, Holiday_Dates)
                - IF(IF(NOT(ISBLANK(Z15)), Z15, Y15) = AA15, 0, 1)
            )
        )
    ),
    ""
)</f>
        <v/>
      </c>
      <c r="AE15" s="24" t="str">
        <f>IFERROR(
    IF(
        OR(ISBLANK(Z15), ISBLANK(AA15)),
        "",
        MAX(
            1,
            IF(
                NETWORKDAYS(Z15, AA15, Holiday_Dates) &lt;= 0,
                1,
                NETWORKDAYS(Z15, AA15, Holiday_Dates) - IF(Z15 = AA15, 0, 1)
            )
        )
    ),
    ""
)</f>
        <v/>
      </c>
      <c r="AF15" s="9"/>
      <c r="AG15" s="9"/>
      <c r="AH15" s="9"/>
      <c r="AI15" s="9"/>
      <c r="AJ15" s="6"/>
      <c r="AK15" s="9"/>
      <c r="AL15" s="9"/>
      <c r="AM15" s="9"/>
      <c r="AN15" s="9"/>
      <c r="AO15" s="9"/>
      <c r="AP15" s="9"/>
      <c r="AQ15" s="9"/>
      <c r="AR15" s="9"/>
      <c r="AS15" s="9"/>
      <c r="AT15" s="9"/>
      <c r="AU15" s="9"/>
      <c r="AV15" s="9"/>
      <c r="AW15" s="9"/>
    </row>
    <row r="16" spans="1:50">
      <c r="A16" s="9" t="s">
        <v>51</v>
      </c>
      <c r="B16" s="6" t="s">
        <v>448</v>
      </c>
      <c r="C16" s="9" t="s">
        <v>890</v>
      </c>
      <c r="D16" s="9" t="s">
        <v>88</v>
      </c>
      <c r="E16" s="9" t="s">
        <v>271</v>
      </c>
      <c r="F16" s="6" t="s">
        <v>891</v>
      </c>
      <c r="G16" s="9">
        <v>120.4544667</v>
      </c>
      <c r="H16" s="9">
        <v>14.9876</v>
      </c>
      <c r="I16" s="9" t="s">
        <v>892</v>
      </c>
      <c r="J16" s="9">
        <v>2023</v>
      </c>
      <c r="K16" s="9">
        <v>4</v>
      </c>
      <c r="L16" s="9" t="s">
        <v>893</v>
      </c>
      <c r="M16" s="9">
        <v>9</v>
      </c>
      <c r="N16" s="9" t="s">
        <v>894</v>
      </c>
      <c r="O16" s="6"/>
      <c r="P16" s="6"/>
      <c r="Q16" s="6"/>
      <c r="R16" s="7"/>
      <c r="S16" s="9" t="s">
        <v>33</v>
      </c>
      <c r="T16" s="9"/>
      <c r="U16" s="9" t="s">
        <v>133</v>
      </c>
      <c r="V16" s="9"/>
      <c r="W16" s="22"/>
      <c r="X16" s="22"/>
      <c r="Y16" s="22"/>
      <c r="Z16" s="22"/>
      <c r="AA16" s="22"/>
      <c r="AB16" s="24" t="str">
        <f>IFERROR(
    IF(
        OR(ISBLANK(W16), ISBLANK(X16)),
        "",
        MAX(
            1,
            IF(
                NETWORKDAYS(W16, X16, Holiday_Dates) &lt;= 0,
                1,
                NETWORKDAYS(W16, X16, Holiday_Dates) - IF(W16 = X16, 0, 1)
            )
        )
    ),
    ""
)</f>
        <v/>
      </c>
      <c r="AC16" s="24" t="str">
        <f>IF(
    OR(ISBLANK(X16), ISBLANK(Y16)),
    "",
    MAX(
        1,
        IF(
            NETWORKDAYS(X16, Y16, Holiday_Dates) &lt;= 0,
            1,
            NETWORKDAYS(X16, Y16, Holiday_Dates) - IF(X16 = Y16, 0, 1)
        )
    )
)</f>
        <v/>
      </c>
      <c r="AD16" s="24" t="str">
        <f>IFERROR(
    IF(
        OR(ISBLANK(AA16), AND(ISBLANK(Y16), ISBLANK(Z16))),
        "",
        MAX(
            1,
            IF(
                NETWORKDAYS(IF(NOT(ISBLANK(Z16)), Z16, Y16), AA16, Holiday_Dates) &lt;= 0,
                1,
                NETWORKDAYS(IF(NOT(ISBLANK(Z16)), Z16, Y16), AA16, Holiday_Dates)
                - IF(IF(NOT(ISBLANK(Z16)), Z16, Y16) = AA16, 0, 1)
            )
        )
    ),
    ""
)</f>
        <v/>
      </c>
      <c r="AE16" s="24" t="str">
        <f>IFERROR(
    IF(
        OR(ISBLANK(Z16), ISBLANK(AA16)),
        "",
        MAX(
            1,
            IF(
                NETWORKDAYS(Z16, AA16, Holiday_Dates) &lt;= 0,
                1,
                NETWORKDAYS(Z16, AA16, Holiday_Dates) - IF(Z16 = AA16, 0, 1)
            )
        )
    ),
    ""
)</f>
        <v/>
      </c>
      <c r="AF16" s="9"/>
      <c r="AG16" s="9"/>
      <c r="AH16" s="9"/>
      <c r="AI16" s="9"/>
      <c r="AJ16" s="6"/>
      <c r="AK16" s="44"/>
      <c r="AL16" s="9"/>
      <c r="AM16" s="9"/>
      <c r="AN16" s="9"/>
      <c r="AO16" s="6"/>
      <c r="AP16" s="9"/>
      <c r="AQ16" s="9"/>
      <c r="AR16" s="9"/>
      <c r="AS16" s="9"/>
      <c r="AT16" s="9"/>
      <c r="AU16" s="9"/>
      <c r="AV16" s="9"/>
      <c r="AW16" s="9"/>
    </row>
    <row r="17" spans="1:49">
      <c r="A17" s="9" t="s">
        <v>53</v>
      </c>
      <c r="B17" s="6" t="s">
        <v>456</v>
      </c>
      <c r="C17" s="9" t="s">
        <v>895</v>
      </c>
      <c r="D17" s="9" t="s">
        <v>89</v>
      </c>
      <c r="E17" s="9" t="s">
        <v>271</v>
      </c>
      <c r="F17" s="6" t="s">
        <v>105</v>
      </c>
      <c r="G17" s="9">
        <v>119.98900829999999</v>
      </c>
      <c r="H17" s="9">
        <v>15.58263889</v>
      </c>
      <c r="I17" s="9" t="s">
        <v>896</v>
      </c>
      <c r="J17" s="9">
        <v>2018</v>
      </c>
      <c r="K17" s="9">
        <v>1</v>
      </c>
      <c r="L17" s="9" t="s">
        <v>873</v>
      </c>
      <c r="M17" s="9">
        <v>1</v>
      </c>
      <c r="N17" s="9" t="s">
        <v>897</v>
      </c>
      <c r="O17" s="6"/>
      <c r="P17" s="6"/>
      <c r="Q17" s="6"/>
      <c r="R17" s="7"/>
      <c r="S17" s="9" t="s">
        <v>42</v>
      </c>
      <c r="T17" s="9"/>
      <c r="U17" s="9" t="s">
        <v>133</v>
      </c>
      <c r="V17" s="9"/>
      <c r="W17" s="22"/>
      <c r="X17" s="22"/>
      <c r="Y17" s="22"/>
      <c r="Z17" s="22"/>
      <c r="AA17" s="22"/>
      <c r="AB17" s="24" t="str">
        <f>IFERROR(
    IF(
        OR(ISBLANK(W17), ISBLANK(X17)),
        "",
        MAX(
            1,
            IF(
                NETWORKDAYS(W17, X17, Holiday_Dates) &lt;= 0,
                1,
                NETWORKDAYS(W17, X17, Holiday_Dates) - IF(W17 = X17, 0, 1)
            )
        )
    ),
    ""
)</f>
        <v/>
      </c>
      <c r="AC17" s="24" t="str">
        <f>IF(
    OR(ISBLANK(X17), ISBLANK(Y17)),
    "",
    MAX(
        1,
        IF(
            NETWORKDAYS(X17, Y17, Holiday_Dates) &lt;= 0,
            1,
            NETWORKDAYS(X17, Y17, Holiday_Dates) - IF(X17 = Y17, 0, 1)
        )
    )
)</f>
        <v/>
      </c>
      <c r="AD17" s="24" t="str">
        <f>IFERROR(
    IF(
        OR(ISBLANK(AA17), AND(ISBLANK(Y17), ISBLANK(Z17))),
        "",
        MAX(
            1,
            IF(
                NETWORKDAYS(IF(NOT(ISBLANK(Z17)), Z17, Y17), AA17, Holiday_Dates) &lt;= 0,
                1,
                NETWORKDAYS(IF(NOT(ISBLANK(Z17)), Z17, Y17), AA17, Holiday_Dates)
                - IF(IF(NOT(ISBLANK(Z17)), Z17, Y17) = AA17, 0, 1)
            )
        )
    ),
    ""
)</f>
        <v/>
      </c>
      <c r="AE17" s="24" t="str">
        <f>IFERROR(
    IF(
        OR(ISBLANK(Z17), ISBLANK(AA17)),
        "",
        MAX(
            1,
            IF(
                NETWORKDAYS(Z17, AA17, Holiday_Dates) &lt;= 0,
                1,
                NETWORKDAYS(Z17, AA17, Holiday_Dates) - IF(Z17 = AA17, 0, 1)
            )
        )
    ),
    ""
)</f>
        <v/>
      </c>
      <c r="AF17" s="9"/>
      <c r="AG17" s="9"/>
      <c r="AH17" s="9"/>
      <c r="AI17" s="9"/>
      <c r="AJ17" s="6"/>
      <c r="AK17" s="9"/>
      <c r="AL17" s="9"/>
      <c r="AM17" s="9"/>
      <c r="AN17" s="9"/>
      <c r="AO17" s="6"/>
      <c r="AP17" s="9"/>
      <c r="AQ17" s="9"/>
      <c r="AR17" s="9"/>
      <c r="AS17" s="9"/>
      <c r="AT17" s="9"/>
      <c r="AU17" s="9"/>
      <c r="AV17" s="9"/>
      <c r="AW17" s="9"/>
    </row>
    <row r="18" spans="1:49" ht="15" customHeight="1">
      <c r="A18" s="64" t="s">
        <v>47</v>
      </c>
      <c r="B18" s="236" t="s">
        <v>370</v>
      </c>
      <c r="C18" s="9" t="s">
        <v>579</v>
      </c>
      <c r="D18" s="9" t="s">
        <v>89</v>
      </c>
      <c r="E18" s="9" t="s">
        <v>259</v>
      </c>
      <c r="F18" s="6" t="s">
        <v>105</v>
      </c>
      <c r="G18" s="9">
        <v>121.56143</v>
      </c>
      <c r="H18" s="9">
        <v>15.72869</v>
      </c>
      <c r="I18" s="9" t="s">
        <v>898</v>
      </c>
      <c r="J18" s="9">
        <v>2025</v>
      </c>
      <c r="K18" s="9">
        <v>2</v>
      </c>
      <c r="L18" s="9" t="s">
        <v>899</v>
      </c>
      <c r="M18" s="9">
        <v>2</v>
      </c>
      <c r="N18" s="9" t="s">
        <v>900</v>
      </c>
      <c r="O18" s="6" t="s">
        <v>901</v>
      </c>
      <c r="P18" s="6" t="s">
        <v>902</v>
      </c>
      <c r="Q18" s="6" t="s">
        <v>903</v>
      </c>
      <c r="R18" s="9" t="s">
        <v>904</v>
      </c>
      <c r="S18" s="9"/>
      <c r="T18" s="9"/>
      <c r="U18" s="9" t="s">
        <v>128</v>
      </c>
      <c r="V18" s="9"/>
      <c r="W18" s="22">
        <v>46063</v>
      </c>
      <c r="X18" s="9"/>
      <c r="Y18" s="9"/>
      <c r="Z18" s="9"/>
      <c r="AA18" s="9"/>
      <c r="AB18" s="9"/>
      <c r="AC18" s="9"/>
      <c r="AD18" s="9"/>
      <c r="AE18" s="9"/>
      <c r="AF18" s="9"/>
      <c r="AG18" s="9" t="s">
        <v>685</v>
      </c>
      <c r="AH18" s="9"/>
      <c r="AI18" s="9"/>
      <c r="AJ18" s="6">
        <v>1</v>
      </c>
      <c r="AK18" s="9"/>
      <c r="AL18" s="9"/>
      <c r="AM18" s="9"/>
      <c r="AN18" s="9"/>
      <c r="AO18" s="9"/>
      <c r="AP18" s="9"/>
      <c r="AQ18" s="9"/>
      <c r="AR18" s="9"/>
      <c r="AS18" s="9"/>
      <c r="AT18" s="9"/>
      <c r="AU18" s="9"/>
      <c r="AV18" s="9"/>
      <c r="AW18" s="9"/>
    </row>
    <row r="19" spans="1:49" ht="15" customHeight="1">
      <c r="A19" s="64" t="s">
        <v>48</v>
      </c>
      <c r="B19" s="236" t="s">
        <v>905</v>
      </c>
      <c r="C19" s="9" t="s">
        <v>906</v>
      </c>
      <c r="D19" s="9" t="s">
        <v>88</v>
      </c>
      <c r="E19" s="9" t="s">
        <v>271</v>
      </c>
      <c r="F19" s="6" t="s">
        <v>105</v>
      </c>
      <c r="G19" s="9">
        <v>120.476615265047</v>
      </c>
      <c r="H19" s="9">
        <v>14.678196038868499</v>
      </c>
      <c r="I19" s="9" t="s">
        <v>907</v>
      </c>
      <c r="J19" s="9">
        <v>2025</v>
      </c>
      <c r="K19" s="9">
        <v>1</v>
      </c>
      <c r="L19" s="9" t="s">
        <v>908</v>
      </c>
      <c r="M19" s="9">
        <v>1</v>
      </c>
      <c r="N19" s="9" t="s">
        <v>909</v>
      </c>
      <c r="O19" s="6"/>
      <c r="P19" s="6"/>
      <c r="Q19" s="6"/>
      <c r="R19" s="9" t="s">
        <v>904</v>
      </c>
      <c r="S19" s="9"/>
      <c r="T19" s="9"/>
      <c r="U19" s="9" t="s">
        <v>129</v>
      </c>
      <c r="V19" s="9"/>
      <c r="W19" s="22">
        <v>46055</v>
      </c>
      <c r="X19" s="9"/>
      <c r="Y19" s="9"/>
      <c r="Z19" s="9"/>
      <c r="AA19" s="9"/>
      <c r="AB19" s="9"/>
      <c r="AC19" s="9"/>
      <c r="AD19" s="9"/>
      <c r="AE19" s="9"/>
      <c r="AF19" s="9"/>
      <c r="AG19" s="9" t="s">
        <v>685</v>
      </c>
      <c r="AH19" s="9"/>
      <c r="AI19" s="9"/>
      <c r="AJ19" s="6">
        <v>1</v>
      </c>
      <c r="AK19" s="9"/>
      <c r="AL19" s="9"/>
      <c r="AM19" s="9">
        <v>0</v>
      </c>
      <c r="AN19" s="9" t="s">
        <v>840</v>
      </c>
      <c r="AO19" s="9"/>
      <c r="AP19" s="9"/>
      <c r="AQ19" s="9"/>
      <c r="AR19" s="9"/>
      <c r="AS19" s="9"/>
      <c r="AT19" s="9"/>
      <c r="AU19" s="9"/>
      <c r="AV19" s="9"/>
      <c r="AW19" s="9"/>
    </row>
    <row r="20" spans="1:49" ht="15" customHeight="1">
      <c r="A20" s="64" t="s">
        <v>48</v>
      </c>
      <c r="B20" s="236" t="s">
        <v>482</v>
      </c>
      <c r="C20" s="9" t="s">
        <v>910</v>
      </c>
      <c r="D20" s="9" t="s">
        <v>88</v>
      </c>
      <c r="E20" s="9" t="s">
        <v>271</v>
      </c>
      <c r="F20" s="6" t="s">
        <v>105</v>
      </c>
      <c r="G20" s="9">
        <v>14.567422811143301</v>
      </c>
      <c r="H20" s="9">
        <v>120.552495643166</v>
      </c>
      <c r="I20" s="9" t="s">
        <v>911</v>
      </c>
      <c r="J20" s="9">
        <v>2026</v>
      </c>
      <c r="K20" s="9">
        <v>1</v>
      </c>
      <c r="L20" s="9" t="s">
        <v>908</v>
      </c>
      <c r="M20" s="9">
        <v>1</v>
      </c>
      <c r="N20" s="9" t="s">
        <v>912</v>
      </c>
      <c r="O20" s="6"/>
      <c r="P20" s="6"/>
      <c r="Q20" s="6"/>
      <c r="R20" s="9" t="s">
        <v>904</v>
      </c>
      <c r="S20" s="9"/>
      <c r="T20" s="9"/>
      <c r="U20" s="9" t="s">
        <v>129</v>
      </c>
      <c r="V20" s="9"/>
      <c r="W20" s="22">
        <v>46057</v>
      </c>
      <c r="X20" s="9"/>
      <c r="Y20" s="9"/>
      <c r="Z20" s="9"/>
      <c r="AA20" s="9"/>
      <c r="AB20" s="9"/>
      <c r="AC20" s="9"/>
      <c r="AD20" s="9"/>
      <c r="AE20" s="9"/>
      <c r="AF20" s="9"/>
      <c r="AG20" s="9" t="s">
        <v>685</v>
      </c>
      <c r="AH20" s="9"/>
      <c r="AI20" s="9" t="s">
        <v>913</v>
      </c>
      <c r="AJ20" s="6" t="s">
        <v>914</v>
      </c>
      <c r="AK20" s="9"/>
      <c r="AL20" s="9">
        <v>1</v>
      </c>
      <c r="AM20" s="9">
        <v>0</v>
      </c>
      <c r="AN20" s="9" t="s">
        <v>840</v>
      </c>
      <c r="AO20" s="9"/>
      <c r="AP20" s="9"/>
      <c r="AQ20" s="9"/>
      <c r="AR20" s="9"/>
      <c r="AS20" s="9"/>
      <c r="AT20" s="9"/>
      <c r="AU20" s="9"/>
      <c r="AV20" s="9"/>
      <c r="AW20" s="9"/>
    </row>
  </sheetData>
  <sheetProtection formatColumns="0" formatRows="0" sort="0" autoFilter="0" pivotTables="0"/>
  <protectedRanges>
    <protectedRange sqref="S2:AA30" name="enmo_staff"/>
    <protectedRange algorithmName="SHA-512" hashValue="nDXPfJ4UXJl0PUX3eHnwj0r9a+zquiUm7ejo/9ekoIhPd/dTXScEC368487OPd42KWTt/HrP93yIzkJ/ZmwIIw==" saltValue="39Sgo2N/dc7frSrQUjHVeg==" spinCount="100000" sqref="AF2:AF30" name="reports"/>
    <protectedRange sqref="AG2:AW30" name="swm_data_1"/>
    <protectedRange algorithmName="SHA-512" hashValue="GJ0CtfgdesSef7XzfqBw9Se5VMM6nOQRHZzTWrRHUwQ/40CGCDtlsHcplMzZRb/0csyjfkte1TW8ghLNHhRwXg==" saltValue="geV7z30M8ZqI5r0Ys6jXcg==" spinCount="100000" sqref="R2:R20" name="TARGET_MONTH"/>
  </protectedRanges>
  <autoFilter ref="A1:AX20" xr:uid="{CB1C410E-A01E-41BE-A8D2-90B4904F1646}"/>
  <dataValidations count="2">
    <dataValidation type="list" allowBlank="1" showInputMessage="1" showErrorMessage="1" sqref="S2:T1048576" xr:uid="{233E0830-9128-4176-9EB0-D3964F1DC0D1}">
      <formula1>ENMO</formula1>
    </dataValidation>
    <dataValidation type="list" allowBlank="1" showInputMessage="1" showErrorMessage="1" sqref="U2:U1048576" xr:uid="{264DEE28-BD17-4157-8546-D276573295ED}">
      <formula1>ESWM_FOCAL</formula1>
    </dataValidation>
  </dataValidations>
  <hyperlinks>
    <hyperlink ref="AX3" r:id="rId1" xr:uid="{F5E732D8-5CBA-4F7D-97AD-33DC38F6039E}"/>
  </hyperlinks>
  <pageMargins left="0.7" right="0.7" top="0.75" bottom="0.75" header="0.3" footer="0.3"/>
  <pageSetup paperSize="5"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AD6C7242-C543-46E1-A8CA-38192079BBDD}">
          <x14:formula1>
            <xm:f>'Data Validation'!$A$13:$A$24</xm:f>
          </x14:formula1>
          <xm:sqref>R2:R17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25976-BF3E-4021-B876-9A8F4518AD7E}">
  <sheetPr codeName="Sheet7">
    <tabColor rgb="FF92D050"/>
  </sheetPr>
  <dimension ref="A1:AH138"/>
  <sheetViews>
    <sheetView workbookViewId="0">
      <pane xSplit="2" ySplit="1" topLeftCell="C2" activePane="bottomRight" state="frozen"/>
      <selection pane="topRight" activeCell="C1" sqref="C1"/>
      <selection pane="bottomLeft" activeCell="A2" sqref="A2"/>
      <selection pane="bottomRight" activeCell="J2" sqref="J2"/>
    </sheetView>
  </sheetViews>
  <sheetFormatPr defaultColWidth="11.5703125" defaultRowHeight="15" customHeight="1"/>
  <cols>
    <col min="1" max="1" width="21.85546875" style="43" bestFit="1" customWidth="1"/>
    <col min="2" max="2" width="30.42578125" style="43" bestFit="1" customWidth="1"/>
    <col min="3" max="3" width="13.7109375" style="43" bestFit="1" customWidth="1"/>
    <col min="4" max="4" width="24.5703125" style="43" hidden="1" customWidth="1"/>
    <col min="5" max="5" width="16" style="43" customWidth="1"/>
    <col min="6" max="6" width="32.42578125" style="43" bestFit="1" customWidth="1"/>
    <col min="7" max="7" width="16.28515625" style="43" customWidth="1"/>
    <col min="8" max="8" width="18.28515625" style="43" customWidth="1"/>
    <col min="9" max="9" width="29" style="43" bestFit="1" customWidth="1"/>
    <col min="10" max="10" width="18.7109375" style="43" customWidth="1"/>
    <col min="11" max="12" width="26.42578125" style="43" customWidth="1"/>
    <col min="13" max="13" width="30.7109375" style="43" customWidth="1"/>
    <col min="14" max="14" width="25.140625" style="43" customWidth="1"/>
    <col min="15" max="15" width="23.5703125" style="43" customWidth="1"/>
    <col min="16" max="16" width="22.85546875" style="43" customWidth="1"/>
    <col min="17" max="19" width="21" style="43" customWidth="1"/>
    <col min="20" max="23" width="15.5703125" style="43" customWidth="1"/>
    <col min="24" max="24" width="22.85546875" style="43" customWidth="1"/>
    <col min="25" max="26" width="38.85546875" style="43" customWidth="1"/>
    <col min="27" max="27" width="16.5703125" style="43" customWidth="1"/>
    <col min="28" max="28" width="20.5703125" style="43" customWidth="1"/>
    <col min="29" max="29" width="22" style="43" customWidth="1"/>
    <col min="30" max="30" width="16" style="43" customWidth="1"/>
    <col min="31" max="31" width="81.7109375" style="43" bestFit="1" customWidth="1"/>
    <col min="32" max="32" width="16.7109375" style="43" customWidth="1"/>
    <col min="33" max="33" width="24.7109375" style="43" customWidth="1"/>
    <col min="34" max="34" width="54.7109375" style="43" customWidth="1"/>
    <col min="35" max="16384" width="11.5703125" style="43"/>
  </cols>
  <sheetData>
    <row r="1" spans="1:34" ht="57">
      <c r="A1" s="51" t="s">
        <v>44</v>
      </c>
      <c r="B1" s="51" t="s">
        <v>158</v>
      </c>
      <c r="C1" s="51" t="s">
        <v>556</v>
      </c>
      <c r="D1" s="51" t="s">
        <v>160</v>
      </c>
      <c r="E1" s="51" t="s">
        <v>161</v>
      </c>
      <c r="F1" s="51" t="s">
        <v>915</v>
      </c>
      <c r="G1" s="51" t="s">
        <v>557</v>
      </c>
      <c r="H1" s="51" t="s">
        <v>558</v>
      </c>
      <c r="I1" s="51" t="s">
        <v>559</v>
      </c>
      <c r="J1" s="52" t="s">
        <v>43</v>
      </c>
      <c r="K1" s="52" t="s">
        <v>171</v>
      </c>
      <c r="L1" s="52" t="s">
        <v>172</v>
      </c>
      <c r="M1" s="52" t="s">
        <v>173</v>
      </c>
      <c r="N1" s="52" t="s">
        <v>174</v>
      </c>
      <c r="O1" s="52" t="s">
        <v>175</v>
      </c>
      <c r="P1" s="52" t="s">
        <v>176</v>
      </c>
      <c r="Q1" s="52" t="s">
        <v>177</v>
      </c>
      <c r="R1" s="52" t="s">
        <v>178</v>
      </c>
      <c r="S1" s="52" t="s">
        <v>179</v>
      </c>
      <c r="T1" s="52" t="s">
        <v>180</v>
      </c>
      <c r="U1" s="52" t="s">
        <v>806</v>
      </c>
      <c r="V1" s="52" t="s">
        <v>182</v>
      </c>
      <c r="W1" s="52" t="s">
        <v>183</v>
      </c>
      <c r="X1" s="53" t="s">
        <v>916</v>
      </c>
      <c r="Y1" s="23" t="s">
        <v>917</v>
      </c>
      <c r="Z1" s="23" t="s">
        <v>918</v>
      </c>
      <c r="AA1" s="23" t="s">
        <v>919</v>
      </c>
      <c r="AB1" s="54" t="s">
        <v>920</v>
      </c>
      <c r="AC1" s="23" t="s">
        <v>921</v>
      </c>
      <c r="AD1" s="54" t="s">
        <v>922</v>
      </c>
      <c r="AE1" s="23" t="s">
        <v>923</v>
      </c>
      <c r="AF1" s="2" t="s">
        <v>924</v>
      </c>
      <c r="AG1" s="579" t="s">
        <v>573</v>
      </c>
      <c r="AH1" s="43" t="s">
        <v>925</v>
      </c>
    </row>
    <row r="2" spans="1:34" ht="75">
      <c r="A2" s="73" t="s">
        <v>48</v>
      </c>
      <c r="B2" s="73" t="s">
        <v>336</v>
      </c>
      <c r="C2" s="73" t="s">
        <v>926</v>
      </c>
      <c r="D2" s="73" t="s">
        <v>88</v>
      </c>
      <c r="E2" s="306" t="s">
        <v>213</v>
      </c>
      <c r="F2" s="73" t="s">
        <v>927</v>
      </c>
      <c r="G2" s="73">
        <v>14.436640000000001</v>
      </c>
      <c r="H2" s="73">
        <v>120.48918</v>
      </c>
      <c r="I2" s="73" t="str">
        <f t="shared" ref="I2:I33" si="0">CONCATENATE(G2,","," ",H2)</f>
        <v>14.43664, 120.48918</v>
      </c>
      <c r="J2" s="541" t="s">
        <v>92</v>
      </c>
      <c r="K2" s="73" t="s">
        <v>19</v>
      </c>
      <c r="L2" s="304"/>
      <c r="M2" s="60" t="s">
        <v>129</v>
      </c>
      <c r="N2" s="73" t="s">
        <v>928</v>
      </c>
      <c r="O2" s="21">
        <v>46041</v>
      </c>
      <c r="P2" s="21">
        <v>46041</v>
      </c>
      <c r="Q2" s="21"/>
      <c r="R2" s="21">
        <v>46042</v>
      </c>
      <c r="S2" s="21">
        <v>46042</v>
      </c>
      <c r="T2" s="259">
        <f>IFERROR(
    IF(
        OR(ISBLANK(O2), ISBLANK(P2)),
        "",
        MAX(
            1,
            IF(
                NETWORKDAYS(O2, P2, Holiday_Dates) &lt;= 0,
                1,
                NETWORKDAYS(O2, P2, Holiday_Dates) - IF(O2 = P2, 0, 1)
            )
        )
    ),
    ""
)</f>
        <v>1</v>
      </c>
      <c r="U2" s="259" t="str">
        <f>IF(
    OR(ISBLANK(P2), ISBLANK(Q2)),
    "",
    MAX(
        1,
        IF(
            NETWORKDAYS(P2, Q2, Holiday_Dates) &lt;= 0,
            1,
            NETWORKDAYS(P2, Q2, Holiday_Dates) - IF(P2 = Q2, 0, 1)
        )
    )
)</f>
        <v/>
      </c>
      <c r="V2" s="259">
        <f>IFERROR(
    IF(
        OR(ISBLANK(R2), AND(ISBLANK(P2), ISBLANK(Q2))),
        "",
        MAX(
            1,
            IF(
                NETWORKDAYS(IF(NOT(ISBLANK(Q2)), Q2, P2), R2, Holiday_Dates) &lt;= 0,
                1,
                NETWORKDAYS(IF(NOT(ISBLANK(Q2)), Q2, P2), R2, Holiday_Dates)
                - IF(IF(NOT(ISBLANK(Q2)), Q2, P2) = R2, 0, 1)
            )
        )
    ),
    ""
)</f>
        <v>1</v>
      </c>
      <c r="W2" s="259">
        <f>IFERROR(
    IF(
        OR(ISBLANK(R2), ISBLANK(S2)),
        "",
        MAX(
            1,
            IF(
                NETWORKDAYS(R2, S2, Holiday_Dates) &lt;= 0,
                1,
                NETWORKDAYS(R2, S2, Holiday_Dates) - IF(R2 = S2, 0, 1)
            )
        )
    ),
    ""
)</f>
        <v>1</v>
      </c>
      <c r="X2" s="73" t="s">
        <v>929</v>
      </c>
      <c r="Y2" s="6" t="s">
        <v>108</v>
      </c>
      <c r="Z2" s="6" t="s">
        <v>108</v>
      </c>
      <c r="AA2" s="6" t="s">
        <v>120</v>
      </c>
      <c r="AB2" s="6" t="s">
        <v>120</v>
      </c>
      <c r="AC2" s="6" t="s">
        <v>120</v>
      </c>
      <c r="AD2" s="6" t="s">
        <v>120</v>
      </c>
      <c r="AE2" s="312" t="s">
        <v>930</v>
      </c>
      <c r="AF2" s="303"/>
      <c r="AG2" s="6"/>
      <c r="AH2" s="578" t="s">
        <v>931</v>
      </c>
    </row>
    <row r="3" spans="1:34" ht="60">
      <c r="A3" s="250" t="s">
        <v>49</v>
      </c>
      <c r="B3" s="250" t="s">
        <v>437</v>
      </c>
      <c r="C3" s="250" t="s">
        <v>771</v>
      </c>
      <c r="D3" s="250" t="s">
        <v>88</v>
      </c>
      <c r="E3" s="295" t="s">
        <v>224</v>
      </c>
      <c r="F3" s="250" t="s">
        <v>927</v>
      </c>
      <c r="G3" s="250">
        <v>14.7418</v>
      </c>
      <c r="H3" s="250">
        <v>120.9122</v>
      </c>
      <c r="I3" s="250" t="str">
        <f t="shared" si="0"/>
        <v>14.7418, 120.9122</v>
      </c>
      <c r="J3" s="542" t="s">
        <v>92</v>
      </c>
      <c r="K3" s="250" t="s">
        <v>24</v>
      </c>
      <c r="L3" s="318"/>
      <c r="M3" s="60" t="s">
        <v>128</v>
      </c>
      <c r="N3" s="73" t="s">
        <v>932</v>
      </c>
      <c r="O3" s="296">
        <v>46041</v>
      </c>
      <c r="P3" s="296">
        <v>46043</v>
      </c>
      <c r="Q3" s="296">
        <v>46043</v>
      </c>
      <c r="R3" s="296">
        <v>46043</v>
      </c>
      <c r="S3" s="296">
        <v>46044</v>
      </c>
      <c r="T3" s="259">
        <f>IFERROR(
    IF(
        OR(ISBLANK(O3), ISBLANK(P3)),
        "",
        MAX(
            1,
            IF(
                NETWORKDAYS(O3, P3, Holiday_Dates) &lt;= 0,
                1,
                NETWORKDAYS(O3, P3, Holiday_Dates) - IF(O3 = P3, 0, 1)
            )
        )
    ),
    ""
)</f>
        <v>2</v>
      </c>
      <c r="U3" s="259">
        <f>IF(
    OR(ISBLANK(P3), ISBLANK(Q3)),
    "",
    MAX(
        1,
        IF(
            NETWORKDAYS(P3, Q3, Holiday_Dates) &lt;= 0,
            1,
            NETWORKDAYS(P3, Q3, Holiday_Dates) - IF(P3 = Q3, 0, 1)
        )
    )
)</f>
        <v>1</v>
      </c>
      <c r="V3" s="259">
        <f>IFERROR(
    IF(
        OR(ISBLANK(R3), AND(ISBLANK(P3), ISBLANK(Q3))),
        "",
        MAX(
            1,
            IF(
                NETWORKDAYS(IF(NOT(ISBLANK(Q3)), Q3, P3), R3, Holiday_Dates) &lt;= 0,
                1,
                NETWORKDAYS(IF(NOT(ISBLANK(Q3)), Q3, P3), R3, Holiday_Dates)
                - IF(IF(NOT(ISBLANK(Q3)), Q3, P3) = R3, 0, 1)
            )
        )
    ),
    ""
)</f>
        <v>1</v>
      </c>
      <c r="W3" s="259">
        <f>IFERROR(
    IF(
        OR(ISBLANK(R3), ISBLANK(S3)),
        "",
        MAX(
            1,
            IF(
                NETWORKDAYS(R3, S3, Holiday_Dates) &lt;= 0,
                1,
                NETWORKDAYS(R3, S3, Holiday_Dates) - IF(R3 = S3, 0, 1)
            )
        )
    ),
    ""
)</f>
        <v>1</v>
      </c>
      <c r="X3" s="250" t="s">
        <v>929</v>
      </c>
      <c r="Y3" s="250" t="s">
        <v>108</v>
      </c>
      <c r="Z3" s="250" t="s">
        <v>108</v>
      </c>
      <c r="AA3" s="250"/>
      <c r="AB3" s="250"/>
      <c r="AC3" s="250"/>
      <c r="AD3" s="250"/>
      <c r="AE3" s="250" t="s">
        <v>933</v>
      </c>
      <c r="AF3" s="243"/>
      <c r="AG3" s="6"/>
      <c r="AH3" s="578" t="s">
        <v>934</v>
      </c>
    </row>
    <row r="4" spans="1:34" ht="60">
      <c r="A4" s="6" t="s">
        <v>50</v>
      </c>
      <c r="B4" s="6" t="s">
        <v>511</v>
      </c>
      <c r="C4" s="6" t="s">
        <v>886</v>
      </c>
      <c r="D4" s="6" t="s">
        <v>88</v>
      </c>
      <c r="E4" s="59" t="s">
        <v>243</v>
      </c>
      <c r="F4" s="6" t="s">
        <v>927</v>
      </c>
      <c r="G4" s="6">
        <v>15.71306669</v>
      </c>
      <c r="H4" s="6">
        <v>120.74638505</v>
      </c>
      <c r="I4" s="6" t="str">
        <f t="shared" si="0"/>
        <v>15.71306669, 120.74638505</v>
      </c>
      <c r="J4" s="543" t="s">
        <v>92</v>
      </c>
      <c r="K4" s="6" t="s">
        <v>29</v>
      </c>
      <c r="L4" s="58"/>
      <c r="M4" s="58" t="s">
        <v>130</v>
      </c>
      <c r="N4" s="73" t="s">
        <v>935</v>
      </c>
      <c r="O4" s="21">
        <v>46043</v>
      </c>
      <c r="P4" s="21">
        <v>46044</v>
      </c>
      <c r="Q4" s="21"/>
      <c r="R4" s="21">
        <v>46044</v>
      </c>
      <c r="S4" s="21">
        <v>46045</v>
      </c>
      <c r="T4" s="259">
        <f>IFERROR(
    IF(
        OR(ISBLANK(O4), ISBLANK(P4)),
        "",
        MAX(
            1,
            IF(
                NETWORKDAYS(O4, P4, Holiday_Dates) &lt;= 0,
                1,
                NETWORKDAYS(O4, P4, Holiday_Dates) - IF(O4 = P4, 0, 1)
            )
        )
    ),
    ""
)</f>
        <v>1</v>
      </c>
      <c r="U4" s="259" t="str">
        <f>IF(
    OR(ISBLANK(P4), ISBLANK(Q4)),
    "",
    MAX(
        1,
        IF(
            NETWORKDAYS(P4, Q4, Holiday_Dates) &lt;= 0,
            1,
            NETWORKDAYS(P4, Q4, Holiday_Dates) - IF(P4 = Q4, 0, 1)
        )
    )
)</f>
        <v/>
      </c>
      <c r="V4" s="259">
        <f>IFERROR(
    IF(
        OR(ISBLANK(R4), AND(ISBLANK(P4), ISBLANK(Q4))),
        "",
        MAX(
            1,
            IF(
                NETWORKDAYS(IF(NOT(ISBLANK(Q4)), Q4, P4), R4, Holiday_Dates) &lt;= 0,
                1,
                NETWORKDAYS(IF(NOT(ISBLANK(Q4)), Q4, P4), R4, Holiday_Dates)
                - IF(IF(NOT(ISBLANK(Q4)), Q4, P4) = R4, 0, 1)
            )
        )
    ),
    ""
)</f>
        <v>1</v>
      </c>
      <c r="W4" s="259">
        <f>IFERROR(
    IF(
        OR(ISBLANK(R4), ISBLANK(S4)),
        "",
        MAX(
            1,
            IF(
                NETWORKDAYS(R4, S4, Holiday_Dates) &lt;= 0,
                1,
                NETWORKDAYS(R4, S4, Holiday_Dates) - IF(R4 = S4, 0, 1)
            )
        )
    ),
    ""
)</f>
        <v>1</v>
      </c>
      <c r="X4" s="6" t="s">
        <v>929</v>
      </c>
      <c r="Y4" s="6" t="s">
        <v>108</v>
      </c>
      <c r="Z4" s="6" t="s">
        <v>108</v>
      </c>
      <c r="AA4" s="6" t="s">
        <v>120</v>
      </c>
      <c r="AB4" s="6" t="s">
        <v>120</v>
      </c>
      <c r="AC4" s="6" t="s">
        <v>120</v>
      </c>
      <c r="AD4" s="6" t="s">
        <v>120</v>
      </c>
      <c r="AE4" s="6" t="s">
        <v>936</v>
      </c>
      <c r="AF4" s="57"/>
      <c r="AG4" s="6"/>
      <c r="AH4" s="578" t="s">
        <v>937</v>
      </c>
    </row>
    <row r="5" spans="1:34" ht="60">
      <c r="A5" s="73" t="s">
        <v>50</v>
      </c>
      <c r="B5" s="73" t="s">
        <v>938</v>
      </c>
      <c r="C5" s="73" t="s">
        <v>939</v>
      </c>
      <c r="D5" s="73" t="s">
        <v>88</v>
      </c>
      <c r="E5" s="306" t="s">
        <v>271</v>
      </c>
      <c r="F5" s="73" t="s">
        <v>927</v>
      </c>
      <c r="G5" s="73">
        <v>15.821400000000001</v>
      </c>
      <c r="H5" s="73">
        <v>120.99290000000001</v>
      </c>
      <c r="I5" s="73" t="str">
        <f t="shared" si="0"/>
        <v>15.8214, 120.9929</v>
      </c>
      <c r="J5" s="541" t="s">
        <v>92</v>
      </c>
      <c r="K5" s="73" t="s">
        <v>26</v>
      </c>
      <c r="L5" s="304"/>
      <c r="M5" s="58" t="s">
        <v>130</v>
      </c>
      <c r="N5" s="73" t="s">
        <v>940</v>
      </c>
      <c r="O5" s="305">
        <v>46035</v>
      </c>
      <c r="P5" s="305">
        <v>46037</v>
      </c>
      <c r="Q5" s="296">
        <v>46043</v>
      </c>
      <c r="R5" s="296">
        <v>46043</v>
      </c>
      <c r="S5" s="305">
        <v>46044</v>
      </c>
      <c r="T5" s="259">
        <f>IFERROR(
    IF(
        OR(ISBLANK(O5), ISBLANK(P5)),
        "",
        MAX(
            1,
            IF(
                NETWORKDAYS(O5, P5, Holiday_Dates) &lt;= 0,
                1,
                NETWORKDAYS(O5, P5, Holiday_Dates) - IF(O5 = P5, 0, 1)
            )
        )
    ),
    ""
)</f>
        <v>2</v>
      </c>
      <c r="U5" s="259">
        <f>IF(
    OR(ISBLANK(P5), ISBLANK(Q5)),
    "",
    MAX(
        1,
        IF(
            NETWORKDAYS(P5, Q5, Holiday_Dates) &lt;= 0,
            1,
            NETWORKDAYS(P5, Q5, Holiday_Dates) - IF(P5 = Q5, 0, 1)
        )
    )
)</f>
        <v>4</v>
      </c>
      <c r="V5" s="259">
        <f>IFERROR(
    IF(
        OR(ISBLANK(R5), AND(ISBLANK(P5), ISBLANK(Q5))),
        "",
        MAX(
            1,
            IF(
                NETWORKDAYS(IF(NOT(ISBLANK(Q5)), Q5, P5), R5, Holiday_Dates) &lt;= 0,
                1,
                NETWORKDAYS(IF(NOT(ISBLANK(Q5)), Q5, P5), R5, Holiday_Dates)
                - IF(IF(NOT(ISBLANK(Q5)), Q5, P5) = R5, 0, 1)
            )
        )
    ),
    ""
)</f>
        <v>1</v>
      </c>
      <c r="W5" s="259">
        <f>IFERROR(
    IF(
        OR(ISBLANK(R5), ISBLANK(S5)),
        "",
        MAX(
            1,
            IF(
                NETWORKDAYS(R5, S5, Holiday_Dates) &lt;= 0,
                1,
                NETWORKDAYS(R5, S5, Holiday_Dates) - IF(R5 = S5, 0, 1)
            )
        )
    ),
    ""
)</f>
        <v>1</v>
      </c>
      <c r="X5" s="73" t="s">
        <v>929</v>
      </c>
      <c r="Y5" s="6" t="s">
        <v>101</v>
      </c>
      <c r="Z5" s="6" t="s">
        <v>108</v>
      </c>
      <c r="AA5" s="6" t="s">
        <v>120</v>
      </c>
      <c r="AB5" s="6" t="s">
        <v>120</v>
      </c>
      <c r="AC5" s="6" t="s">
        <v>120</v>
      </c>
      <c r="AD5" s="6" t="s">
        <v>120</v>
      </c>
      <c r="AE5" s="73" t="s">
        <v>941</v>
      </c>
      <c r="AF5" s="303"/>
      <c r="AG5" s="6"/>
      <c r="AH5" s="578" t="s">
        <v>942</v>
      </c>
    </row>
    <row r="6" spans="1:34" ht="60">
      <c r="A6" s="6" t="s">
        <v>51</v>
      </c>
      <c r="B6" s="6" t="s">
        <v>351</v>
      </c>
      <c r="C6" s="6" t="s">
        <v>786</v>
      </c>
      <c r="D6" s="6" t="s">
        <v>88</v>
      </c>
      <c r="E6" s="59" t="s">
        <v>224</v>
      </c>
      <c r="F6" s="6" t="s">
        <v>927</v>
      </c>
      <c r="G6" s="6">
        <v>14.92827065</v>
      </c>
      <c r="H6" s="6">
        <v>120.76341854</v>
      </c>
      <c r="I6" s="6" t="str">
        <f t="shared" si="0"/>
        <v>14.92827065, 120.76341854</v>
      </c>
      <c r="J6" s="544" t="s">
        <v>92</v>
      </c>
      <c r="K6" s="6" t="s">
        <v>34</v>
      </c>
      <c r="L6" s="58"/>
      <c r="M6" s="58" t="s">
        <v>239</v>
      </c>
      <c r="N6" s="73" t="s">
        <v>943</v>
      </c>
      <c r="O6" s="21">
        <v>46035</v>
      </c>
      <c r="P6" s="4">
        <v>46038</v>
      </c>
      <c r="Q6" s="6"/>
      <c r="R6" s="4">
        <v>46041</v>
      </c>
      <c r="S6" s="21">
        <v>46043</v>
      </c>
      <c r="T6" s="259">
        <f>IFERROR(
    IF(
        OR(ISBLANK(O6), ISBLANK(P6)),
        "",
        MAX(
            1,
            IF(
                NETWORKDAYS(O6, P6, Holiday_Dates) &lt;= 0,
                1,
                NETWORKDAYS(O6, P6, Holiday_Dates) - IF(O6 = P6, 0, 1)
            )
        )
    ),
    ""
)</f>
        <v>3</v>
      </c>
      <c r="U6" s="259" t="str">
        <f>IF(
    OR(ISBLANK(P6), ISBLANK(Q6)),
    "",
    MAX(
        1,
        IF(
            NETWORKDAYS(P6, Q6, Holiday_Dates) &lt;= 0,
            1,
            NETWORKDAYS(P6, Q6, Holiday_Dates) - IF(P6 = Q6, 0, 1)
        )
    )
)</f>
        <v/>
      </c>
      <c r="V6" s="259">
        <f>IFERROR(
    IF(
        OR(ISBLANK(R6), AND(ISBLANK(P6), ISBLANK(Q6))),
        "",
        MAX(
            1,
            IF(
                NETWORKDAYS(IF(NOT(ISBLANK(Q6)), Q6, P6), R6, Holiday_Dates) &lt;= 0,
                1,
                NETWORKDAYS(IF(NOT(ISBLANK(Q6)), Q6, P6), R6, Holiday_Dates)
                - IF(IF(NOT(ISBLANK(Q6)), Q6, P6) = R6, 0, 1)
            )
        )
    ),
    ""
)</f>
        <v>1</v>
      </c>
      <c r="W6" s="259">
        <f>IFERROR(
    IF(
        OR(ISBLANK(R6), ISBLANK(S6)),
        "",
        MAX(
            1,
            IF(
                NETWORKDAYS(R6, S6, Holiday_Dates) &lt;= 0,
                1,
                NETWORKDAYS(R6, S6, Holiday_Dates) - IF(R6 = S6, 0, 1)
            )
        )
    ),
    ""
)</f>
        <v>2</v>
      </c>
      <c r="X6" s="6" t="s">
        <v>929</v>
      </c>
      <c r="Y6" s="6" t="s">
        <v>108</v>
      </c>
      <c r="Z6" s="6" t="s">
        <v>108</v>
      </c>
      <c r="AA6" s="6"/>
      <c r="AB6" s="6"/>
      <c r="AC6" s="6"/>
      <c r="AD6" s="6"/>
      <c r="AE6" s="6" t="s">
        <v>944</v>
      </c>
      <c r="AF6" s="57"/>
      <c r="AG6" s="6"/>
      <c r="AH6" s="578" t="s">
        <v>945</v>
      </c>
    </row>
    <row r="7" spans="1:34" ht="60">
      <c r="A7" s="6" t="s">
        <v>51</v>
      </c>
      <c r="B7" s="6" t="s">
        <v>237</v>
      </c>
      <c r="C7" s="6" t="s">
        <v>946</v>
      </c>
      <c r="D7" s="6" t="s">
        <v>88</v>
      </c>
      <c r="E7" s="59" t="s">
        <v>213</v>
      </c>
      <c r="F7" s="6" t="s">
        <v>927</v>
      </c>
      <c r="G7" s="6">
        <v>15.081951719999999</v>
      </c>
      <c r="H7" s="6">
        <v>120.61186542</v>
      </c>
      <c r="I7" s="6" t="str">
        <f t="shared" si="0"/>
        <v>15.08195172, 120.61186542</v>
      </c>
      <c r="J7" s="544" t="s">
        <v>92</v>
      </c>
      <c r="K7" s="6" t="s">
        <v>33</v>
      </c>
      <c r="L7" s="58"/>
      <c r="M7" s="318" t="s">
        <v>239</v>
      </c>
      <c r="N7" s="73" t="s">
        <v>947</v>
      </c>
      <c r="O7" s="21">
        <v>46035</v>
      </c>
      <c r="P7" s="21">
        <v>46038</v>
      </c>
      <c r="Q7" s="21">
        <v>46042</v>
      </c>
      <c r="R7" s="21">
        <v>46042</v>
      </c>
      <c r="S7" s="21">
        <v>46042</v>
      </c>
      <c r="T7" s="259">
        <f>IFERROR(
    IF(
        OR(ISBLANK(O7), ISBLANK(P7)),
        "",
        MAX(
            1,
            IF(
                NETWORKDAYS(O7, P7, Holiday_Dates) &lt;= 0,
                1,
                NETWORKDAYS(O7, P7, Holiday_Dates) - IF(O7 = P7, 0, 1)
            )
        )
    ),
    ""
)</f>
        <v>3</v>
      </c>
      <c r="U7" s="259">
        <f>IF(
    OR(ISBLANK(P7), ISBLANK(Q7)),
    "",
    MAX(
        1,
        IF(
            NETWORKDAYS(P7, Q7, Holiday_Dates) &lt;= 0,
            1,
            NETWORKDAYS(P7, Q7, Holiday_Dates) - IF(P7 = Q7, 0, 1)
        )
    )
)</f>
        <v>2</v>
      </c>
      <c r="V7" s="259">
        <f>IFERROR(
    IF(
        OR(ISBLANK(R7), AND(ISBLANK(P7), ISBLANK(Q7))),
        "",
        MAX(
            1,
            IF(
                NETWORKDAYS(IF(NOT(ISBLANK(Q7)), Q7, P7), R7, Holiday_Dates) &lt;= 0,
                1,
                NETWORKDAYS(IF(NOT(ISBLANK(Q7)), Q7, P7), R7, Holiday_Dates)
                - IF(IF(NOT(ISBLANK(Q7)), Q7, P7) = R7, 0, 1)
            )
        )
    ),
    ""
)</f>
        <v>1</v>
      </c>
      <c r="W7" s="259">
        <f>IFERROR(
    IF(
        OR(ISBLANK(R7), ISBLANK(S7)),
        "",
        MAX(
            1,
            IF(
                NETWORKDAYS(R7, S7, Holiday_Dates) &lt;= 0,
                1,
                NETWORKDAYS(R7, S7, Holiday_Dates) - IF(R7 = S7, 0, 1)
            )
        )
    ),
    ""
)</f>
        <v>1</v>
      </c>
      <c r="X7" s="6" t="s">
        <v>929</v>
      </c>
      <c r="Y7" s="6" t="s">
        <v>108</v>
      </c>
      <c r="Z7" s="6" t="s">
        <v>108</v>
      </c>
      <c r="AA7" s="6"/>
      <c r="AB7" s="6"/>
      <c r="AC7" s="6"/>
      <c r="AD7" s="6"/>
      <c r="AE7" s="6" t="s">
        <v>948</v>
      </c>
      <c r="AF7" s="57"/>
      <c r="AG7" s="6"/>
      <c r="AH7" s="578" t="s">
        <v>949</v>
      </c>
    </row>
    <row r="8" spans="1:34" ht="90">
      <c r="A8" s="6" t="s">
        <v>52</v>
      </c>
      <c r="B8" s="6" t="s">
        <v>366</v>
      </c>
      <c r="C8" s="6" t="s">
        <v>950</v>
      </c>
      <c r="D8" s="6" t="s">
        <v>88</v>
      </c>
      <c r="E8" s="61" t="s">
        <v>213</v>
      </c>
      <c r="F8" s="6" t="s">
        <v>927</v>
      </c>
      <c r="G8" s="6">
        <v>15.293799999999999</v>
      </c>
      <c r="H8" s="6">
        <v>120.52290000000001</v>
      </c>
      <c r="I8" s="6" t="str">
        <f t="shared" si="0"/>
        <v>15.2938, 120.5229</v>
      </c>
      <c r="J8" s="544" t="s">
        <v>92</v>
      </c>
      <c r="K8" s="6" t="s">
        <v>39</v>
      </c>
      <c r="L8" s="429"/>
      <c r="M8" s="6" t="s">
        <v>28</v>
      </c>
      <c r="N8" s="73" t="s">
        <v>951</v>
      </c>
      <c r="O8" s="249">
        <v>46036</v>
      </c>
      <c r="P8" s="21">
        <v>46037</v>
      </c>
      <c r="Q8" s="21"/>
      <c r="R8" s="21">
        <v>46042</v>
      </c>
      <c r="S8" s="21">
        <v>46042</v>
      </c>
      <c r="T8" s="259">
        <f>IFERROR(
    IF(
        OR(ISBLANK(O8), ISBLANK(P8)),
        "",
        MAX(
            1,
            IF(
                NETWORKDAYS(O8, P8, Holiday_Dates) &lt;= 0,
                1,
                NETWORKDAYS(O8, P8, Holiday_Dates) - IF(O8 = P8, 0, 1)
            )
        )
    ),
    ""
)</f>
        <v>1</v>
      </c>
      <c r="U8" s="259" t="str">
        <f>IF(
    OR(ISBLANK(P8), ISBLANK(Q8)),
    "",
    MAX(
        1,
        IF(
            NETWORKDAYS(P8, Q8, Holiday_Dates) &lt;= 0,
            1,
            NETWORKDAYS(P8, Q8, Holiday_Dates) - IF(P8 = Q8, 0, 1)
        )
    )
)</f>
        <v/>
      </c>
      <c r="V8" s="259">
        <f>IFERROR(
    IF(
        OR(ISBLANK(R8), AND(ISBLANK(P8), ISBLANK(Q8))),
        "",
        MAX(
            1,
            IF(
                NETWORKDAYS(IF(NOT(ISBLANK(Q8)), Q8, P8), R8, Holiday_Dates) &lt;= 0,
                1,
                NETWORKDAYS(IF(NOT(ISBLANK(Q8)), Q8, P8), R8, Holiday_Dates)
                - IF(IF(NOT(ISBLANK(Q8)), Q8, P8) = R8, 0, 1)
            )
        )
    ),
    ""
)</f>
        <v>3</v>
      </c>
      <c r="W8" s="259">
        <f>IFERROR(
    IF(
        OR(ISBLANK(R8), ISBLANK(S8)),
        "",
        MAX(
            1,
            IF(
                NETWORKDAYS(R8, S8, Holiday_Dates) &lt;= 0,
                1,
                NETWORKDAYS(R8, S8, Holiday_Dates) - IF(R8 = S8, 0, 1)
            )
        )
    ),
    ""
)</f>
        <v>1</v>
      </c>
      <c r="X8" s="6" t="s">
        <v>929</v>
      </c>
      <c r="Y8" s="6" t="s">
        <v>101</v>
      </c>
      <c r="Z8" s="6" t="s">
        <v>108</v>
      </c>
      <c r="AA8" s="6" t="s">
        <v>693</v>
      </c>
      <c r="AB8" s="6"/>
      <c r="AC8" s="6"/>
      <c r="AD8" s="6"/>
      <c r="AE8" s="6" t="s">
        <v>952</v>
      </c>
      <c r="AF8" s="57"/>
      <c r="AG8" s="6"/>
      <c r="AH8" s="578" t="s">
        <v>953</v>
      </c>
    </row>
    <row r="9" spans="1:34" ht="60">
      <c r="A9" s="250" t="s">
        <v>53</v>
      </c>
      <c r="B9" s="250" t="s">
        <v>422</v>
      </c>
      <c r="C9" s="250" t="s">
        <v>954</v>
      </c>
      <c r="D9" s="250" t="s">
        <v>89</v>
      </c>
      <c r="E9" s="295" t="s">
        <v>271</v>
      </c>
      <c r="F9" s="250" t="s">
        <v>927</v>
      </c>
      <c r="G9" s="250">
        <v>15.337199999999999</v>
      </c>
      <c r="H9" s="250">
        <v>119.9748</v>
      </c>
      <c r="I9" s="250" t="str">
        <f>CONCATENATE(G9,","," ",H9)</f>
        <v>15.3372, 119.9748</v>
      </c>
      <c r="J9" s="542" t="s">
        <v>92</v>
      </c>
      <c r="K9" s="250" t="s">
        <v>41</v>
      </c>
      <c r="L9" s="318"/>
      <c r="M9" s="450" t="s">
        <v>133</v>
      </c>
      <c r="N9" s="73" t="s">
        <v>955</v>
      </c>
      <c r="O9" s="296">
        <v>46035</v>
      </c>
      <c r="P9" s="296">
        <v>46038</v>
      </c>
      <c r="Q9" s="296"/>
      <c r="R9" s="296">
        <v>46038</v>
      </c>
      <c r="S9" s="296">
        <v>46039</v>
      </c>
      <c r="T9" s="550">
        <f>IFERROR(
    IF(
        OR(ISBLANK(O9), ISBLANK(P9)),
        "",
        MAX(
            1,
            IF(
                NETWORKDAYS(O9, P9, Holiday_Dates) &lt;= 0,
                1,
                NETWORKDAYS(O9, P9, Holiday_Dates) - IF(O9 = P9, 0, 1)
            )
        )
    ),
    ""
)</f>
        <v>3</v>
      </c>
      <c r="U9" s="550" t="str">
        <f>IF(
    OR(ISBLANK(P9), ISBLANK(Q9)),
    "",
    MAX(
        1,
        IF(
            NETWORKDAYS(P9, Q9, Holiday_Dates) &lt;= 0,
            1,
            NETWORKDAYS(P9, Q9, Holiday_Dates) - IF(P9 = Q9, 0, 1)
        )
    )
)</f>
        <v/>
      </c>
      <c r="V9" s="550">
        <f>IFERROR(
    IF(
        OR(ISBLANK(R9), AND(ISBLANK(P9), ISBLANK(Q9))),
        "",
        MAX(
            1,
            IF(
                NETWORKDAYS(IF(NOT(ISBLANK(Q9)), Q9, P9), R9, Holiday_Dates) &lt;= 0,
                1,
                NETWORKDAYS(IF(NOT(ISBLANK(Q9)), Q9, P9), R9, Holiday_Dates)
                - IF(IF(NOT(ISBLANK(Q9)), Q9, P9) = R9, 0, 1)
            )
        )
    ),
    ""
)</f>
        <v>1</v>
      </c>
      <c r="W9" s="550">
        <f>IFERROR(
    IF(
        OR(ISBLANK(R9), ISBLANK(S9)),
        "",
        MAX(
            1,
            IF(
                NETWORKDAYS(R9, S9, Holiday_Dates) &lt;= 0,
                1,
                NETWORKDAYS(R9, S9, Holiday_Dates) - IF(R9 = S9, 0, 1)
            )
        )
    ),
    ""
)</f>
        <v>1</v>
      </c>
      <c r="X9" s="250" t="s">
        <v>929</v>
      </c>
      <c r="Y9" s="250" t="s">
        <v>108</v>
      </c>
      <c r="Z9" s="250" t="s">
        <v>108</v>
      </c>
      <c r="AA9" s="250" t="s">
        <v>120</v>
      </c>
      <c r="AB9" s="250" t="s">
        <v>956</v>
      </c>
      <c r="AC9" s="250" t="s">
        <v>120</v>
      </c>
      <c r="AD9" s="250" t="s">
        <v>120</v>
      </c>
      <c r="AE9" s="250" t="s">
        <v>957</v>
      </c>
      <c r="AF9" s="243"/>
      <c r="AG9" s="6"/>
      <c r="AH9" s="578" t="s">
        <v>958</v>
      </c>
    </row>
    <row r="10" spans="1:34" ht="60">
      <c r="A10" s="6" t="s">
        <v>47</v>
      </c>
      <c r="B10" s="6" t="s">
        <v>472</v>
      </c>
      <c r="C10" s="6" t="s">
        <v>875</v>
      </c>
      <c r="D10" s="6" t="s">
        <v>89</v>
      </c>
      <c r="E10" s="56" t="s">
        <v>259</v>
      </c>
      <c r="F10" s="6" t="s">
        <v>959</v>
      </c>
      <c r="G10" s="6">
        <v>15.38612</v>
      </c>
      <c r="H10" s="6">
        <v>121.38070999999999</v>
      </c>
      <c r="I10" s="6" t="str">
        <f t="shared" si="0"/>
        <v>15.38612, 121.38071</v>
      </c>
      <c r="J10" s="6" t="s">
        <v>62</v>
      </c>
      <c r="K10" s="6" t="s">
        <v>14</v>
      </c>
      <c r="L10" s="6"/>
      <c r="M10" s="35" t="s">
        <v>128</v>
      </c>
      <c r="N10" s="73" t="s">
        <v>960</v>
      </c>
      <c r="O10" s="21">
        <v>46058</v>
      </c>
      <c r="P10" s="21">
        <v>46062</v>
      </c>
      <c r="Q10" s="21">
        <v>46069</v>
      </c>
      <c r="R10" s="21">
        <v>46069</v>
      </c>
      <c r="S10" s="21">
        <v>46069</v>
      </c>
      <c r="T10" s="24">
        <f>IFERROR(
    IF(
        OR(ISBLANK(O10), ISBLANK(P10)),
        "",
        MAX(
            1,
            IF(
                NETWORKDAYS(O10, P10, Holiday_Dates) &lt;= 0,
                1,
                NETWORKDAYS(O10, P10, Holiday_Dates) - IF(O10 = P10, 0, 1)
            )
        )
    ),
    ""
)</f>
        <v>2</v>
      </c>
      <c r="U10" s="24">
        <f>IF(
    OR(ISBLANK(P10), ISBLANK(Q10)),
    "",
    MAX(
        1,
        IF(
            NETWORKDAYS(P10, Q10, Holiday_Dates) &lt;= 0,
            1,
            NETWORKDAYS(P10, Q10, Holiday_Dates) - IF(P10 = Q10, 0, 1)
        )
    )
)</f>
        <v>5</v>
      </c>
      <c r="V10" s="24">
        <f>IFERROR(
    IF(
        OR(ISBLANK(R10), AND(ISBLANK(P10), ISBLANK(Q10))),
        "",
        MAX(
            1,
            IF(
                NETWORKDAYS(IF(NOT(ISBLANK(Q10)), Q10, P10), R10, Holiday_Dates) &lt;= 0,
                1,
                NETWORKDAYS(IF(NOT(ISBLANK(Q10)), Q10, P10), R10, Holiday_Dates)
                - IF(IF(NOT(ISBLANK(Q10)), Q10, P10) = R10, 0, 1)
            )
        )
    ),
    ""
)</f>
        <v>1</v>
      </c>
      <c r="W10" s="24">
        <f>IFERROR(
    IF(
        OR(ISBLANK(R10), ISBLANK(S10)),
        "",
        MAX(
            1,
            IF(
                NETWORKDAYS(R10, S10, Holiday_Dates) &lt;= 0,
                1,
                NETWORKDAYS(R10, S10, Holiday_Dates) - IF(R10 = S10, 0, 1)
            )
        )
    ),
    ""
)</f>
        <v>1</v>
      </c>
      <c r="X10" s="6" t="s">
        <v>929</v>
      </c>
      <c r="Y10" s="6" t="s">
        <v>101</v>
      </c>
      <c r="Z10" s="6" t="s">
        <v>108</v>
      </c>
      <c r="AA10" s="6"/>
      <c r="AB10" s="6"/>
      <c r="AC10" s="6"/>
      <c r="AD10" s="6"/>
      <c r="AE10" s="6" t="s">
        <v>961</v>
      </c>
      <c r="AF10" s="57"/>
      <c r="AG10" s="6"/>
      <c r="AH10" s="578" t="s">
        <v>962</v>
      </c>
    </row>
    <row r="11" spans="1:34" ht="90">
      <c r="A11" s="6" t="s">
        <v>48</v>
      </c>
      <c r="B11" s="6" t="s">
        <v>212</v>
      </c>
      <c r="C11" s="6" t="s">
        <v>963</v>
      </c>
      <c r="D11" s="6" t="s">
        <v>88</v>
      </c>
      <c r="E11" s="59" t="s">
        <v>213</v>
      </c>
      <c r="F11" s="6" t="s">
        <v>927</v>
      </c>
      <c r="G11" s="6">
        <v>14.9153903</v>
      </c>
      <c r="H11" s="6">
        <v>120.45278860000001</v>
      </c>
      <c r="I11" s="6" t="str">
        <f t="shared" si="0"/>
        <v>14.9153903, 120.4527886</v>
      </c>
      <c r="J11" s="6" t="s">
        <v>62</v>
      </c>
      <c r="K11" s="6" t="s">
        <v>18</v>
      </c>
      <c r="L11" s="6"/>
      <c r="M11" s="35" t="s">
        <v>129</v>
      </c>
      <c r="N11" s="73" t="s">
        <v>964</v>
      </c>
      <c r="O11" s="21">
        <v>46062</v>
      </c>
      <c r="P11" s="21">
        <v>46062</v>
      </c>
      <c r="Q11" s="21"/>
      <c r="R11" s="21">
        <v>46063</v>
      </c>
      <c r="S11" s="21">
        <v>46063</v>
      </c>
      <c r="T11" s="24">
        <f>IFERROR(
    IF(
        OR(ISBLANK(O11), ISBLANK(P11)),
        "",
        MAX(
            1,
            IF(
                NETWORKDAYS(O11, P11, Holiday_Dates) &lt;= 0,
                1,
                NETWORKDAYS(O11, P11, Holiday_Dates) - IF(O11 = P11, 0, 1)
            )
        )
    ),
    ""
)</f>
        <v>1</v>
      </c>
      <c r="U11" s="24" t="str">
        <f>IF(
    OR(ISBLANK(P11), ISBLANK(Q11)),
    "",
    MAX(
        1,
        IF(
            NETWORKDAYS(P11, Q11, Holiday_Dates) &lt;= 0,
            1,
            NETWORKDAYS(P11, Q11, Holiday_Dates) - IF(P11 = Q11, 0, 1)
        )
    )
)</f>
        <v/>
      </c>
      <c r="V11" s="24">
        <f>IFERROR(
    IF(
        OR(ISBLANK(R11), AND(ISBLANK(P11), ISBLANK(Q11))),
        "",
        MAX(
            1,
            IF(
                NETWORKDAYS(IF(NOT(ISBLANK(Q11)), Q11, P11), R11, Holiday_Dates) &lt;= 0,
                1,
                NETWORKDAYS(IF(NOT(ISBLANK(Q11)), Q11, P11), R11, Holiday_Dates)
                - IF(IF(NOT(ISBLANK(Q11)), Q11, P11) = R11, 0, 1)
            )
        )
    ),
    ""
)</f>
        <v>1</v>
      </c>
      <c r="W11" s="24">
        <f>IFERROR(
    IF(
        OR(ISBLANK(R11), ISBLANK(S11)),
        "",
        MAX(
            1,
            IF(
                NETWORKDAYS(R11, S11, Holiday_Dates) &lt;= 0,
                1,
                NETWORKDAYS(R11, S11, Holiday_Dates) - IF(R11 = S11, 0, 1)
            )
        )
    ),
    ""
)</f>
        <v>1</v>
      </c>
      <c r="X11" s="6" t="s">
        <v>929</v>
      </c>
      <c r="Y11" s="6" t="s">
        <v>101</v>
      </c>
      <c r="Z11" s="6" t="s">
        <v>108</v>
      </c>
      <c r="AA11" s="6" t="s">
        <v>120</v>
      </c>
      <c r="AB11" s="6"/>
      <c r="AC11" s="6"/>
      <c r="AD11" s="6"/>
      <c r="AE11" s="6" t="s">
        <v>965</v>
      </c>
      <c r="AF11" s="57"/>
      <c r="AG11" s="6"/>
      <c r="AH11" s="578" t="s">
        <v>966</v>
      </c>
    </row>
    <row r="12" spans="1:34" ht="60">
      <c r="A12" s="6" t="s">
        <v>48</v>
      </c>
      <c r="B12" s="6" t="s">
        <v>432</v>
      </c>
      <c r="C12" s="6" t="s">
        <v>764</v>
      </c>
      <c r="D12" s="6" t="s">
        <v>88</v>
      </c>
      <c r="E12" s="59" t="s">
        <v>243</v>
      </c>
      <c r="F12" s="6" t="s">
        <v>927</v>
      </c>
      <c r="G12" s="6">
        <v>14.772974619999999</v>
      </c>
      <c r="H12" s="6">
        <v>120.51674672</v>
      </c>
      <c r="I12" s="6" t="str">
        <f t="shared" si="0"/>
        <v>14.77297462, 120.51674672</v>
      </c>
      <c r="J12" s="6" t="s">
        <v>62</v>
      </c>
      <c r="K12" s="6" t="s">
        <v>18</v>
      </c>
      <c r="L12" s="6"/>
      <c r="M12" s="35" t="s">
        <v>129</v>
      </c>
      <c r="N12" s="73" t="s">
        <v>967</v>
      </c>
      <c r="O12" s="21">
        <v>46051</v>
      </c>
      <c r="P12" s="21">
        <v>46051</v>
      </c>
      <c r="Q12" s="21"/>
      <c r="R12" s="21">
        <v>46053</v>
      </c>
      <c r="S12" s="21">
        <v>46055</v>
      </c>
      <c r="T12" s="24">
        <f>IFERROR(
    IF(
        OR(ISBLANK(O12), ISBLANK(P12)),
        "",
        MAX(
            1,
            IF(
                NETWORKDAYS(O12, P12, Holiday_Dates) &lt;= 0,
                1,
                NETWORKDAYS(O12, P12, Holiday_Dates) - IF(O12 = P12, 0, 1)
            )
        )
    ),
    ""
)</f>
        <v>1</v>
      </c>
      <c r="U12" s="24" t="str">
        <f>IF(
    OR(ISBLANK(P12), ISBLANK(Q12)),
    "",
    MAX(
        1,
        IF(
            NETWORKDAYS(P12, Q12, Holiday_Dates) &lt;= 0,
            1,
            NETWORKDAYS(P12, Q12, Holiday_Dates) - IF(P12 = Q12, 0, 1)
        )
    )
)</f>
        <v/>
      </c>
      <c r="V12" s="24">
        <f>IFERROR(
    IF(
        OR(ISBLANK(R12), AND(ISBLANK(P12), ISBLANK(Q12))),
        "",
        MAX(
            1,
            IF(
                NETWORKDAYS(IF(NOT(ISBLANK(Q12)), Q12, P12), R12, Holiday_Dates) &lt;= 0,
                1,
                NETWORKDAYS(IF(NOT(ISBLANK(Q12)), Q12, P12), R12, Holiday_Dates)
                - IF(IF(NOT(ISBLANK(Q12)), Q12, P12) = R12, 0, 1)
            )
        )
    ),
    ""
)</f>
        <v>1</v>
      </c>
      <c r="W12" s="24">
        <f>IFERROR(
    IF(
        OR(ISBLANK(R12), ISBLANK(S12)),
        "",
        MAX(
            1,
            IF(
                NETWORKDAYS(R12, S12, Holiday_Dates) &lt;= 0,
                1,
                NETWORKDAYS(R12, S12, Holiday_Dates) - IF(R12 = S12, 0, 1)
            )
        )
    ),
    ""
)</f>
        <v>1</v>
      </c>
      <c r="X12" s="6" t="s">
        <v>929</v>
      </c>
      <c r="Y12" s="6" t="s">
        <v>108</v>
      </c>
      <c r="Z12" s="6" t="s">
        <v>108</v>
      </c>
      <c r="AA12" s="6" t="s">
        <v>120</v>
      </c>
      <c r="AB12" s="6"/>
      <c r="AC12" s="6"/>
      <c r="AD12" s="6"/>
      <c r="AE12" s="6" t="s">
        <v>968</v>
      </c>
      <c r="AF12" s="57"/>
      <c r="AG12" s="6"/>
      <c r="AH12" s="578" t="s">
        <v>969</v>
      </c>
    </row>
    <row r="13" spans="1:34" ht="78.75">
      <c r="A13" s="6" t="s">
        <v>49</v>
      </c>
      <c r="B13" s="6" t="s">
        <v>707</v>
      </c>
      <c r="C13" s="6" t="s">
        <v>970</v>
      </c>
      <c r="D13" s="6" t="s">
        <v>88</v>
      </c>
      <c r="E13" s="59" t="s">
        <v>402</v>
      </c>
      <c r="F13" s="6" t="s">
        <v>927</v>
      </c>
      <c r="G13" s="6">
        <v>14.791753</v>
      </c>
      <c r="H13" s="6">
        <v>120.93874700000001</v>
      </c>
      <c r="I13" s="6" t="str">
        <f t="shared" si="0"/>
        <v>14.791753, 120.938747</v>
      </c>
      <c r="J13" s="6" t="s">
        <v>62</v>
      </c>
      <c r="K13" s="6" t="s">
        <v>21</v>
      </c>
      <c r="L13" s="6"/>
      <c r="M13" s="35" t="s">
        <v>128</v>
      </c>
      <c r="N13" s="73" t="s">
        <v>971</v>
      </c>
      <c r="O13" s="21">
        <v>46064</v>
      </c>
      <c r="P13" s="21">
        <v>46070</v>
      </c>
      <c r="Q13" s="21"/>
      <c r="R13" s="21">
        <v>46071</v>
      </c>
      <c r="S13" s="21">
        <v>46071</v>
      </c>
      <c r="T13" s="24">
        <f>IFERROR(
    IF(
        OR(ISBLANK(O13), ISBLANK(P13)),
        "",
        MAX(
            1,
            IF(
                NETWORKDAYS(O13, P13, Holiday_Dates) &lt;= 0,
                1,
                NETWORKDAYS(O13, P13, Holiday_Dates) - IF(O13 = P13, 0, 1)
            )
        )
    ),
    ""
)</f>
        <v>4</v>
      </c>
      <c r="U13" s="24" t="str">
        <f>IF(
    OR(ISBLANK(P13), ISBLANK(Q13)),
    "",
    MAX(
        1,
        IF(
            NETWORKDAYS(P13, Q13, Holiday_Dates) &lt;= 0,
            1,
            NETWORKDAYS(P13, Q13, Holiday_Dates) - IF(P13 = Q13, 0, 1)
        )
    )
)</f>
        <v/>
      </c>
      <c r="V13" s="24">
        <f>IFERROR(
    IF(
        OR(ISBLANK(R13), AND(ISBLANK(P13), ISBLANK(Q13))),
        "",
        MAX(
            1,
            IF(
                NETWORKDAYS(IF(NOT(ISBLANK(Q13)), Q13, P13), R13, Holiday_Dates) &lt;= 0,
                1,
                NETWORKDAYS(IF(NOT(ISBLANK(Q13)), Q13, P13), R13, Holiday_Dates)
                - IF(IF(NOT(ISBLANK(Q13)), Q13, P13) = R13, 0, 1)
            )
        )
    ),
    ""
)</f>
        <v>1</v>
      </c>
      <c r="W13" s="24">
        <f>IFERROR(
    IF(
        OR(ISBLANK(R13), ISBLANK(S13)),
        "",
        MAX(
            1,
            IF(
                NETWORKDAYS(R13, S13, Holiday_Dates) &lt;= 0,
                1,
                NETWORKDAYS(R13, S13, Holiday_Dates) - IF(R13 = S13, 0, 1)
            )
        )
    ),
    ""
)</f>
        <v>1</v>
      </c>
      <c r="X13" s="6" t="s">
        <v>929</v>
      </c>
      <c r="Y13" s="6" t="s">
        <v>108</v>
      </c>
      <c r="Z13" s="6" t="s">
        <v>108</v>
      </c>
      <c r="AA13" s="6"/>
      <c r="AB13" s="6"/>
      <c r="AC13" s="6"/>
      <c r="AD13" s="6"/>
      <c r="AE13" s="410" t="s">
        <v>972</v>
      </c>
      <c r="AF13" s="57"/>
      <c r="AG13" s="6"/>
      <c r="AH13" s="578" t="s">
        <v>973</v>
      </c>
    </row>
    <row r="14" spans="1:34" ht="60">
      <c r="A14" s="6" t="s">
        <v>49</v>
      </c>
      <c r="B14" s="6" t="s">
        <v>492</v>
      </c>
      <c r="C14" s="6" t="s">
        <v>974</v>
      </c>
      <c r="D14" s="6" t="s">
        <v>88</v>
      </c>
      <c r="E14" s="59" t="s">
        <v>243</v>
      </c>
      <c r="F14" s="6" t="s">
        <v>927</v>
      </c>
      <c r="G14" s="6">
        <v>14.909125</v>
      </c>
      <c r="H14" s="6">
        <v>120.753732</v>
      </c>
      <c r="I14" s="6" t="str">
        <f t="shared" si="0"/>
        <v>14.909125, 120.753732</v>
      </c>
      <c r="J14" s="6" t="s">
        <v>62</v>
      </c>
      <c r="K14" s="6" t="s">
        <v>22</v>
      </c>
      <c r="L14" s="6"/>
      <c r="M14" s="35" t="s">
        <v>128</v>
      </c>
      <c r="N14" s="73" t="s">
        <v>975</v>
      </c>
      <c r="O14" s="21">
        <v>46057</v>
      </c>
      <c r="P14" s="21">
        <v>46058</v>
      </c>
      <c r="Q14" s="21"/>
      <c r="R14" s="21">
        <v>46067</v>
      </c>
      <c r="S14" s="21">
        <v>46069</v>
      </c>
      <c r="T14" s="24">
        <f>IFERROR(
    IF(
        OR(ISBLANK(O14), ISBLANK(P14)),
        "",
        MAX(
            1,
            IF(
                NETWORKDAYS(O14, P14, Holiday_Dates) &lt;= 0,
                1,
                NETWORKDAYS(O14, P14, Holiday_Dates) - IF(O14 = P14, 0, 1)
            )
        )
    ),
    ""
)</f>
        <v>1</v>
      </c>
      <c r="U14" s="24" t="str">
        <f>IF(
    OR(ISBLANK(P14), ISBLANK(Q14)),
    "",
    MAX(
        1,
        IF(
            NETWORKDAYS(P14, Q14, Holiday_Dates) &lt;= 0,
            1,
            NETWORKDAYS(P14, Q14, Holiday_Dates) - IF(P14 = Q14, 0, 1)
        )
    )
)</f>
        <v/>
      </c>
      <c r="V14" s="24">
        <f>IFERROR(
    IF(
        OR(ISBLANK(R14), AND(ISBLANK(P14), ISBLANK(Q14))),
        "",
        MAX(
            1,
            IF(
                NETWORKDAYS(IF(NOT(ISBLANK(Q14)), Q14, P14), R14, Holiday_Dates) &lt;= 0,
                1,
                NETWORKDAYS(IF(NOT(ISBLANK(Q14)), Q14, P14), R14, Holiday_Dates)
                - IF(IF(NOT(ISBLANK(Q14)), Q14, P14) = R14, 0, 1)
            )
        )
    ),
    ""
)</f>
        <v>6</v>
      </c>
      <c r="W14" s="24">
        <f>IFERROR(
    IF(
        OR(ISBLANK(R14), ISBLANK(S14)),
        "",
        MAX(
            1,
            IF(
                NETWORKDAYS(R14, S14, Holiday_Dates) &lt;= 0,
                1,
                NETWORKDAYS(R14, S14, Holiday_Dates) - IF(R14 = S14, 0, 1)
            )
        )
    ),
    ""
)</f>
        <v>1</v>
      </c>
      <c r="X14" s="6" t="s">
        <v>929</v>
      </c>
      <c r="Y14" s="6" t="s">
        <v>108</v>
      </c>
      <c r="Z14" s="6" t="s">
        <v>101</v>
      </c>
      <c r="AA14" s="6" t="s">
        <v>976</v>
      </c>
      <c r="AB14" s="6"/>
      <c r="AC14" s="6"/>
      <c r="AD14" s="6"/>
      <c r="AE14" s="281" t="s">
        <v>977</v>
      </c>
      <c r="AF14" s="57"/>
      <c r="AG14" s="6"/>
      <c r="AH14" s="578" t="s">
        <v>978</v>
      </c>
    </row>
    <row r="15" spans="1:34" ht="60">
      <c r="A15" s="6" t="s">
        <v>50</v>
      </c>
      <c r="B15" s="6" t="s">
        <v>979</v>
      </c>
      <c r="C15" s="6" t="s">
        <v>980</v>
      </c>
      <c r="D15" s="6" t="s">
        <v>88</v>
      </c>
      <c r="E15" s="59" t="s">
        <v>224</v>
      </c>
      <c r="F15" s="6" t="s">
        <v>927</v>
      </c>
      <c r="G15" s="6">
        <v>15.322247000000001</v>
      </c>
      <c r="H15" s="6">
        <v>121.07476800000001</v>
      </c>
      <c r="I15" s="6" t="str">
        <f t="shared" si="0"/>
        <v>15.322247, 121.074768</v>
      </c>
      <c r="J15" s="6" t="s">
        <v>62</v>
      </c>
      <c r="K15" s="6" t="s">
        <v>30</v>
      </c>
      <c r="L15" s="6"/>
      <c r="M15" s="6" t="s">
        <v>130</v>
      </c>
      <c r="N15" s="73" t="s">
        <v>981</v>
      </c>
      <c r="O15" s="21">
        <v>46049</v>
      </c>
      <c r="P15" s="21">
        <v>46049</v>
      </c>
      <c r="Q15" s="21"/>
      <c r="R15" s="21">
        <v>46051</v>
      </c>
      <c r="S15" s="21">
        <v>46051</v>
      </c>
      <c r="T15" s="24">
        <f>IFERROR(
    IF(
        OR(ISBLANK(O15), ISBLANK(P15)),
        "",
        MAX(
            1,
            IF(
                NETWORKDAYS(O15, P15, Holiday_Dates) &lt;= 0,
                1,
                NETWORKDAYS(O15, P15, Holiday_Dates) - IF(O15 = P15, 0, 1)
            )
        )
    ),
    ""
)</f>
        <v>1</v>
      </c>
      <c r="U15" s="24" t="str">
        <f>IF(
    OR(ISBLANK(P15), ISBLANK(Q15)),
    "",
    MAX(
        1,
        IF(
            NETWORKDAYS(P15, Q15, Holiday_Dates) &lt;= 0,
            1,
            NETWORKDAYS(P15, Q15, Holiday_Dates) - IF(P15 = Q15, 0, 1)
        )
    )
)</f>
        <v/>
      </c>
      <c r="V15" s="24">
        <f>IFERROR(
    IF(
        OR(ISBLANK(R15), AND(ISBLANK(P15), ISBLANK(Q15))),
        "",
        MAX(
            1,
            IF(
                NETWORKDAYS(IF(NOT(ISBLANK(Q15)), Q15, P15), R15, Holiday_Dates) &lt;= 0,
                1,
                NETWORKDAYS(IF(NOT(ISBLANK(Q15)), Q15, P15), R15, Holiday_Dates)
                - IF(IF(NOT(ISBLANK(Q15)), Q15, P15) = R15, 0, 1)
            )
        )
    ),
    ""
)</f>
        <v>2</v>
      </c>
      <c r="W15" s="24">
        <f>IFERROR(
    IF(
        OR(ISBLANK(R15), ISBLANK(S15)),
        "",
        MAX(
            1,
            IF(
                NETWORKDAYS(R15, S15, Holiday_Dates) &lt;= 0,
                1,
                NETWORKDAYS(R15, S15, Holiday_Dates) - IF(R15 = S15, 0, 1)
            )
        )
    ),
    ""
)</f>
        <v>1</v>
      </c>
      <c r="X15" s="6" t="s">
        <v>929</v>
      </c>
      <c r="Y15" s="6" t="s">
        <v>108</v>
      </c>
      <c r="Z15" s="6" t="s">
        <v>108</v>
      </c>
      <c r="AA15" s="6"/>
      <c r="AB15" s="6"/>
      <c r="AC15" s="6"/>
      <c r="AD15" s="6"/>
      <c r="AE15" s="6" t="s">
        <v>982</v>
      </c>
      <c r="AF15" s="57" t="s">
        <v>100</v>
      </c>
      <c r="AG15" s="6" t="s">
        <v>983</v>
      </c>
      <c r="AH15" s="578" t="s">
        <v>984</v>
      </c>
    </row>
    <row r="16" spans="1:34" ht="60">
      <c r="A16" s="6" t="s">
        <v>50</v>
      </c>
      <c r="B16" s="6" t="s">
        <v>446</v>
      </c>
      <c r="C16" s="6" t="s">
        <v>985</v>
      </c>
      <c r="D16" s="6" t="s">
        <v>88</v>
      </c>
      <c r="E16" s="59" t="s">
        <v>243</v>
      </c>
      <c r="F16" s="6" t="s">
        <v>927</v>
      </c>
      <c r="G16" s="6">
        <v>15.641999999999999</v>
      </c>
      <c r="H16" s="6">
        <v>120.90470000000001</v>
      </c>
      <c r="I16" s="6" t="str">
        <f t="shared" si="0"/>
        <v>15.642, 120.9047</v>
      </c>
      <c r="J16" s="6" t="s">
        <v>62</v>
      </c>
      <c r="K16" s="6" t="s">
        <v>27</v>
      </c>
      <c r="L16" s="6"/>
      <c r="M16" s="6" t="s">
        <v>130</v>
      </c>
      <c r="N16" s="73" t="s">
        <v>986</v>
      </c>
      <c r="O16" s="21">
        <v>46048</v>
      </c>
      <c r="P16" s="21">
        <v>46048</v>
      </c>
      <c r="Q16" s="21"/>
      <c r="R16" s="21">
        <v>46050</v>
      </c>
      <c r="S16" s="21">
        <v>46055</v>
      </c>
      <c r="T16" s="24">
        <f>IFERROR(
    IF(
        OR(ISBLANK(O16), ISBLANK(P16)),
        "",
        MAX(
            1,
            IF(
                NETWORKDAYS(O16, P16, Holiday_Dates) &lt;= 0,
                1,
                NETWORKDAYS(O16, P16, Holiday_Dates) - IF(O16 = P16, 0, 1)
            )
        )
    ),
    ""
)</f>
        <v>1</v>
      </c>
      <c r="U16" s="24" t="str">
        <f>IF(
    OR(ISBLANK(P16), ISBLANK(Q16)),
    "",
    MAX(
        1,
        IF(
            NETWORKDAYS(P16, Q16, Holiday_Dates) &lt;= 0,
            1,
            NETWORKDAYS(P16, Q16, Holiday_Dates) - IF(P16 = Q16, 0, 1)
        )
    )
)</f>
        <v/>
      </c>
      <c r="V16" s="24">
        <f>IFERROR(
    IF(
        OR(ISBLANK(R16), AND(ISBLANK(P16), ISBLANK(Q16))),
        "",
        MAX(
            1,
            IF(
                NETWORKDAYS(IF(NOT(ISBLANK(Q16)), Q16, P16), R16, Holiday_Dates) &lt;= 0,
                1,
                NETWORKDAYS(IF(NOT(ISBLANK(Q16)), Q16, P16), R16, Holiday_Dates)
                - IF(IF(NOT(ISBLANK(Q16)), Q16, P16) = R16, 0, 1)
            )
        )
    ),
    ""
)</f>
        <v>2</v>
      </c>
      <c r="W16" s="24">
        <f>IFERROR(
    IF(
        OR(ISBLANK(R16), ISBLANK(S16)),
        "",
        MAX(
            1,
            IF(
                NETWORKDAYS(R16, S16, Holiday_Dates) &lt;= 0,
                1,
                NETWORKDAYS(R16, S16, Holiday_Dates) - IF(R16 = S16, 0, 1)
            )
        )
    ),
    ""
)</f>
        <v>3</v>
      </c>
      <c r="X16" s="6" t="s">
        <v>929</v>
      </c>
      <c r="Y16" s="6" t="s">
        <v>108</v>
      </c>
      <c r="Z16" s="6" t="s">
        <v>108</v>
      </c>
      <c r="AA16" s="6"/>
      <c r="AB16" s="6"/>
      <c r="AC16" s="6"/>
      <c r="AD16" s="6"/>
      <c r="AE16" s="6" t="s">
        <v>987</v>
      </c>
      <c r="AF16" s="57"/>
      <c r="AG16" s="6"/>
      <c r="AH16" s="578" t="s">
        <v>988</v>
      </c>
    </row>
    <row r="17" spans="1:34" ht="78.75">
      <c r="A17" s="6" t="s">
        <v>51</v>
      </c>
      <c r="B17" s="6" t="s">
        <v>452</v>
      </c>
      <c r="C17" s="6" t="s">
        <v>717</v>
      </c>
      <c r="D17" s="6" t="s">
        <v>88</v>
      </c>
      <c r="E17" s="61" t="s">
        <v>213</v>
      </c>
      <c r="F17" s="6" t="s">
        <v>927</v>
      </c>
      <c r="G17" s="6">
        <v>15.09998</v>
      </c>
      <c r="H17" s="6">
        <v>120.77719999999999</v>
      </c>
      <c r="I17" s="6" t="str">
        <f t="shared" si="0"/>
        <v>15.09998, 120.7772</v>
      </c>
      <c r="J17" s="6" t="s">
        <v>62</v>
      </c>
      <c r="K17" s="6" t="s">
        <v>32</v>
      </c>
      <c r="L17" s="6"/>
      <c r="M17" s="6" t="s">
        <v>133</v>
      </c>
      <c r="N17" s="73" t="s">
        <v>989</v>
      </c>
      <c r="O17" s="21">
        <v>46069</v>
      </c>
      <c r="P17" s="21">
        <v>46070</v>
      </c>
      <c r="Q17" s="21"/>
      <c r="R17" s="21">
        <v>46071</v>
      </c>
      <c r="S17" s="21">
        <v>46071</v>
      </c>
      <c r="T17" s="24">
        <f>IFERROR(
    IF(
        OR(ISBLANK(O17), ISBLANK(P17)),
        "",
        MAX(
            1,
            IF(
                NETWORKDAYS(O17, P17, Holiday_Dates) &lt;= 0,
                1,
                NETWORKDAYS(O17, P17, Holiday_Dates) - IF(O17 = P17, 0, 1)
            )
        )
    ),
    ""
)</f>
        <v>1</v>
      </c>
      <c r="U17" s="24" t="str">
        <f>IF(
    OR(ISBLANK(P17), ISBLANK(Q17)),
    "",
    MAX(
        1,
        IF(
            NETWORKDAYS(P17, Q17, Holiday_Dates) &lt;= 0,
            1,
            NETWORKDAYS(P17, Q17, Holiday_Dates) - IF(P17 = Q17, 0, 1)
        )
    )
)</f>
        <v/>
      </c>
      <c r="V17" s="24">
        <f>IFERROR(
    IF(
        OR(ISBLANK(R17), AND(ISBLANK(P17), ISBLANK(Q17))),
        "",
        MAX(
            1,
            IF(
                NETWORKDAYS(IF(NOT(ISBLANK(Q17)), Q17, P17), R17, Holiday_Dates) &lt;= 0,
                1,
                NETWORKDAYS(IF(NOT(ISBLANK(Q17)), Q17, P17), R17, Holiday_Dates)
                - IF(IF(NOT(ISBLANK(Q17)), Q17, P17) = R17, 0, 1)
            )
        )
    ),
    ""
)</f>
        <v>1</v>
      </c>
      <c r="W17" s="24">
        <f>IFERROR(
    IF(
        OR(ISBLANK(R17), ISBLANK(S17)),
        "",
        MAX(
            1,
            IF(
                NETWORKDAYS(R17, S17, Holiday_Dates) &lt;= 0,
                1,
                NETWORKDAYS(R17, S17, Holiday_Dates) - IF(R17 = S17, 0, 1)
            )
        )
    ),
    ""
)</f>
        <v>1</v>
      </c>
      <c r="X17" s="6" t="s">
        <v>929</v>
      </c>
      <c r="Y17" s="6" t="s">
        <v>108</v>
      </c>
      <c r="Z17" s="6" t="s">
        <v>108</v>
      </c>
      <c r="AA17" s="6"/>
      <c r="AB17" s="6" t="s">
        <v>120</v>
      </c>
      <c r="AC17" s="6" t="s">
        <v>120</v>
      </c>
      <c r="AD17" s="6" t="s">
        <v>120</v>
      </c>
      <c r="AE17" s="412" t="s">
        <v>990</v>
      </c>
      <c r="AF17" s="57"/>
      <c r="AG17" s="6"/>
      <c r="AH17" s="578" t="s">
        <v>991</v>
      </c>
    </row>
    <row r="18" spans="1:34" ht="60">
      <c r="A18" s="6" t="s">
        <v>992</v>
      </c>
      <c r="B18" s="6" t="s">
        <v>237</v>
      </c>
      <c r="C18" s="6" t="s">
        <v>946</v>
      </c>
      <c r="D18" s="6" t="s">
        <v>88</v>
      </c>
      <c r="E18" s="6"/>
      <c r="F18" s="6" t="s">
        <v>993</v>
      </c>
      <c r="G18" s="42">
        <v>15.0823</v>
      </c>
      <c r="H18" s="42">
        <v>120.6123</v>
      </c>
      <c r="I18" s="6" t="str">
        <f t="shared" si="0"/>
        <v>15.0823, 120.6123</v>
      </c>
      <c r="J18" s="6" t="s">
        <v>62</v>
      </c>
      <c r="K18" s="6" t="s">
        <v>33</v>
      </c>
      <c r="L18" s="6"/>
      <c r="M18" s="6" t="s">
        <v>239</v>
      </c>
      <c r="N18" s="73" t="s">
        <v>994</v>
      </c>
      <c r="O18" s="21">
        <v>46071</v>
      </c>
      <c r="P18" s="21">
        <v>46072</v>
      </c>
      <c r="Q18" s="21"/>
      <c r="R18" s="21">
        <v>46072</v>
      </c>
      <c r="S18" s="21">
        <v>46072</v>
      </c>
      <c r="T18" s="24">
        <f>IFERROR(
    IF(
        OR(ISBLANK(O18), ISBLANK(P18)),
        "",
        MAX(
            1,
            IF(
                NETWORKDAYS(O18, P18, Holiday_Dates) &lt;= 0,
                1,
                NETWORKDAYS(O18, P18, Holiday_Dates) - IF(O18 = P18, 0, 1)
            )
        )
    ),
    ""
)</f>
        <v>1</v>
      </c>
      <c r="U18" s="24" t="str">
        <f>IF(
    OR(ISBLANK(P18), ISBLANK(Q18)),
    "",
    MAX(
        1,
        IF(
            NETWORKDAYS(P18, Q18, Holiday_Dates) &lt;= 0,
            1,
            NETWORKDAYS(P18, Q18, Holiday_Dates) - IF(P18 = Q18, 0, 1)
        )
    )
)</f>
        <v/>
      </c>
      <c r="V18" s="24">
        <f>IFERROR(
    IF(
        OR(ISBLANK(R18), AND(ISBLANK(P18), ISBLANK(Q18))),
        "",
        MAX(
            1,
            IF(
                NETWORKDAYS(IF(NOT(ISBLANK(Q18)), Q18, P18), R18, Holiday_Dates) &lt;= 0,
                1,
                NETWORKDAYS(IF(NOT(ISBLANK(Q18)), Q18, P18), R18, Holiday_Dates)
                - IF(IF(NOT(ISBLANK(Q18)), Q18, P18) = R18, 0, 1)
            )
        )
    ),
    ""
)</f>
        <v>1</v>
      </c>
      <c r="W18" s="24">
        <f>IFERROR(
    IF(
        OR(ISBLANK(R18), ISBLANK(S18)),
        "",
        MAX(
            1,
            IF(
                NETWORKDAYS(R18, S18, Holiday_Dates) &lt;= 0,
                1,
                NETWORKDAYS(R18, S18, Holiday_Dates) - IF(R18 = S18, 0, 1)
            )
        )
    ),
    ""
)</f>
        <v>1</v>
      </c>
      <c r="X18" s="6" t="s">
        <v>929</v>
      </c>
      <c r="Y18" s="6" t="s">
        <v>120</v>
      </c>
      <c r="Z18" s="6" t="s">
        <v>120</v>
      </c>
      <c r="AA18" s="6" t="s">
        <v>120</v>
      </c>
      <c r="AB18" s="6" t="s">
        <v>120</v>
      </c>
      <c r="AC18" s="6" t="s">
        <v>108</v>
      </c>
      <c r="AD18" s="6" t="s">
        <v>120</v>
      </c>
      <c r="AE18" s="6" t="s">
        <v>995</v>
      </c>
      <c r="AF18" s="57"/>
      <c r="AG18" s="6"/>
      <c r="AH18" s="578" t="s">
        <v>996</v>
      </c>
    </row>
    <row r="19" spans="1:34" ht="75">
      <c r="A19" s="6" t="s">
        <v>997</v>
      </c>
      <c r="B19" s="6" t="s">
        <v>397</v>
      </c>
      <c r="C19" s="6" t="s">
        <v>747</v>
      </c>
      <c r="D19" s="6" t="s">
        <v>89</v>
      </c>
      <c r="E19" s="6" t="s">
        <v>243</v>
      </c>
      <c r="F19" s="6" t="s">
        <v>993</v>
      </c>
      <c r="G19" s="42">
        <v>14.92318</v>
      </c>
      <c r="H19" s="42">
        <v>120.1478</v>
      </c>
      <c r="I19" s="6" t="str">
        <f t="shared" si="0"/>
        <v>14.92318, 120.1478</v>
      </c>
      <c r="J19" s="6" t="s">
        <v>62</v>
      </c>
      <c r="K19" s="6" t="s">
        <v>42</v>
      </c>
      <c r="L19" s="6"/>
      <c r="M19" s="6" t="s">
        <v>133</v>
      </c>
      <c r="N19" s="73" t="s">
        <v>998</v>
      </c>
      <c r="O19" s="21">
        <v>46058</v>
      </c>
      <c r="P19" s="21">
        <v>46060</v>
      </c>
      <c r="Q19" s="21"/>
      <c r="R19" s="21">
        <v>46062</v>
      </c>
      <c r="S19" s="21">
        <v>46062</v>
      </c>
      <c r="T19" s="24">
        <f>IFERROR(
    IF(
        OR(ISBLANK(O19), ISBLANK(P19)),
        "",
        MAX(
            1,
            IF(
                NETWORKDAYS(O19, P19, Holiday_Dates) &lt;= 0,
                1,
                NETWORKDAYS(O19, P19, Holiday_Dates) - IF(O19 = P19, 0, 1)
            )
        )
    ),
    ""
)</f>
        <v>1</v>
      </c>
      <c r="U19" s="24" t="str">
        <f>IF(
    OR(ISBLANK(P19), ISBLANK(Q19)),
    "",
    MAX(
        1,
        IF(
            NETWORKDAYS(P19, Q19, Holiday_Dates) &lt;= 0,
            1,
            NETWORKDAYS(P19, Q19, Holiday_Dates) - IF(P19 = Q19, 0, 1)
        )
    )
)</f>
        <v/>
      </c>
      <c r="V19" s="24">
        <f>IFERROR(
    IF(
        OR(ISBLANK(R19), AND(ISBLANK(P19), ISBLANK(Q19))),
        "",
        MAX(
            1,
            IF(
                NETWORKDAYS(IF(NOT(ISBLANK(Q19)), Q19, P19), R19, Holiday_Dates) &lt;= 0,
                1,
                NETWORKDAYS(IF(NOT(ISBLANK(Q19)), Q19, P19), R19, Holiday_Dates)
                - IF(IF(NOT(ISBLANK(Q19)), Q19, P19) = R19, 0, 1)
            )
        )
    ),
    ""
)</f>
        <v>1</v>
      </c>
      <c r="W19" s="24">
        <f>IFERROR(
    IF(
        OR(ISBLANK(R19), ISBLANK(S19)),
        "",
        MAX(
            1,
            IF(
                NETWORKDAYS(R19, S19, Holiday_Dates) &lt;= 0,
                1,
                NETWORKDAYS(R19, S19, Holiday_Dates) - IF(R19 = S19, 0, 1)
            )
        )
    ),
    ""
)</f>
        <v>1</v>
      </c>
      <c r="X19" s="6" t="s">
        <v>929</v>
      </c>
      <c r="Y19" s="6" t="s">
        <v>108</v>
      </c>
      <c r="Z19" s="6" t="s">
        <v>108</v>
      </c>
      <c r="AA19" s="6"/>
      <c r="AB19" s="6"/>
      <c r="AC19" s="6" t="s">
        <v>108</v>
      </c>
      <c r="AD19" s="6" t="s">
        <v>120</v>
      </c>
      <c r="AE19" s="6" t="s">
        <v>999</v>
      </c>
      <c r="AF19" s="57"/>
      <c r="AG19" s="6"/>
      <c r="AH19" s="578" t="s">
        <v>1000</v>
      </c>
    </row>
    <row r="20" spans="1:34" ht="105">
      <c r="A20" s="6" t="s">
        <v>52</v>
      </c>
      <c r="B20" s="6" t="s">
        <v>430</v>
      </c>
      <c r="C20" s="6" t="s">
        <v>1001</v>
      </c>
      <c r="D20" s="6" t="s">
        <v>89</v>
      </c>
      <c r="E20" s="61" t="s">
        <v>243</v>
      </c>
      <c r="F20" s="6" t="s">
        <v>1002</v>
      </c>
      <c r="G20" s="6">
        <v>15.706300000000001</v>
      </c>
      <c r="H20" s="6">
        <v>120.629</v>
      </c>
      <c r="I20" s="6" t="str">
        <f t="shared" si="0"/>
        <v>15.7063, 120.629</v>
      </c>
      <c r="J20" s="6" t="s">
        <v>62</v>
      </c>
      <c r="K20" s="6" t="s">
        <v>38</v>
      </c>
      <c r="L20" s="6"/>
      <c r="M20" s="6" t="s">
        <v>28</v>
      </c>
      <c r="N20" s="73" t="s">
        <v>1003</v>
      </c>
      <c r="O20" s="21">
        <v>46058</v>
      </c>
      <c r="P20" s="21">
        <v>46058</v>
      </c>
      <c r="Q20" s="21"/>
      <c r="R20" s="21">
        <v>46062</v>
      </c>
      <c r="S20" s="21">
        <v>46062</v>
      </c>
      <c r="T20" s="24">
        <f>IFERROR(
    IF(
        OR(ISBLANK(O20), ISBLANK(P20)),
        "",
        MAX(
            1,
            IF(
                NETWORKDAYS(O20, P20, Holiday_Dates) &lt;= 0,
                1,
                NETWORKDAYS(O20, P20, Holiday_Dates) - IF(O20 = P20, 0, 1)
            )
        )
    ),
    ""
)</f>
        <v>1</v>
      </c>
      <c r="U20" s="24" t="str">
        <f>IF(
    OR(ISBLANK(P20), ISBLANK(Q20)),
    "",
    MAX(
        1,
        IF(
            NETWORKDAYS(P20, Q20, Holiday_Dates) &lt;= 0,
            1,
            NETWORKDAYS(P20, Q20, Holiday_Dates) - IF(P20 = Q20, 0, 1)
        )
    )
)</f>
        <v/>
      </c>
      <c r="V20" s="24">
        <f>IFERROR(
    IF(
        OR(ISBLANK(R20), AND(ISBLANK(P20), ISBLANK(Q20))),
        "",
        MAX(
            1,
            IF(
                NETWORKDAYS(IF(NOT(ISBLANK(Q20)), Q20, P20), R20, Holiday_Dates) &lt;= 0,
                1,
                NETWORKDAYS(IF(NOT(ISBLANK(Q20)), Q20, P20), R20, Holiday_Dates)
                - IF(IF(NOT(ISBLANK(Q20)), Q20, P20) = R20, 0, 1)
            )
        )
    ),
    ""
)</f>
        <v>2</v>
      </c>
      <c r="W20" s="24">
        <f>IFERROR(
    IF(
        OR(ISBLANK(R20), ISBLANK(S20)),
        "",
        MAX(
            1,
            IF(
                NETWORKDAYS(R20, S20, Holiday_Dates) &lt;= 0,
                1,
                NETWORKDAYS(R20, S20, Holiday_Dates) - IF(R20 = S20, 0, 1)
            )
        )
    ),
    ""
)</f>
        <v>1</v>
      </c>
      <c r="X20" s="6" t="s">
        <v>929</v>
      </c>
      <c r="Y20" s="6" t="s">
        <v>108</v>
      </c>
      <c r="Z20" s="6" t="s">
        <v>108</v>
      </c>
      <c r="AA20" s="6" t="s">
        <v>120</v>
      </c>
      <c r="AB20" s="6" t="s">
        <v>108</v>
      </c>
      <c r="AC20" s="6"/>
      <c r="AD20" s="6"/>
      <c r="AE20" s="6" t="s">
        <v>1004</v>
      </c>
      <c r="AF20" s="57"/>
      <c r="AG20" s="6"/>
      <c r="AH20" s="578" t="s">
        <v>1005</v>
      </c>
    </row>
    <row r="21" spans="1:34" ht="120">
      <c r="A21" s="6" t="s">
        <v>52</v>
      </c>
      <c r="B21" s="6" t="s">
        <v>324</v>
      </c>
      <c r="C21" s="6" t="s">
        <v>1006</v>
      </c>
      <c r="D21" s="6" t="s">
        <v>89</v>
      </c>
      <c r="E21" s="61" t="s">
        <v>243</v>
      </c>
      <c r="F21" s="6" t="s">
        <v>927</v>
      </c>
      <c r="G21" s="6">
        <v>15.732620000000001</v>
      </c>
      <c r="H21" s="6">
        <v>120.58458</v>
      </c>
      <c r="I21" s="6" t="str">
        <f t="shared" si="0"/>
        <v>15.73262, 120.58458</v>
      </c>
      <c r="J21" s="6" t="s">
        <v>62</v>
      </c>
      <c r="K21" s="6" t="s">
        <v>37</v>
      </c>
      <c r="L21" s="6"/>
      <c r="M21" s="6" t="s">
        <v>28</v>
      </c>
      <c r="N21" s="73" t="s">
        <v>1007</v>
      </c>
      <c r="O21" s="21">
        <v>46056</v>
      </c>
      <c r="P21" s="21">
        <v>46058</v>
      </c>
      <c r="Q21" s="21"/>
      <c r="R21" s="21">
        <v>46062</v>
      </c>
      <c r="S21" s="21">
        <v>46062</v>
      </c>
      <c r="T21" s="24">
        <f>IFERROR(
    IF(
        OR(ISBLANK(O21), ISBLANK(P21)),
        "",
        MAX(
            1,
            IF(
                NETWORKDAYS(O21, P21, Holiday_Dates) &lt;= 0,
                1,
                NETWORKDAYS(O21, P21, Holiday_Dates) - IF(O21 = P21, 0, 1)
            )
        )
    ),
    ""
)</f>
        <v>2</v>
      </c>
      <c r="U21" s="24" t="str">
        <f>IF(
    OR(ISBLANK(P21), ISBLANK(Q21)),
    "",
    MAX(
        1,
        IF(
            NETWORKDAYS(P21, Q21, Holiday_Dates) &lt;= 0,
            1,
            NETWORKDAYS(P21, Q21, Holiday_Dates) - IF(P21 = Q21, 0, 1)
        )
    )
)</f>
        <v/>
      </c>
      <c r="V21" s="24">
        <f>IFERROR(
    IF(
        OR(ISBLANK(R21), AND(ISBLANK(P21), ISBLANK(Q21))),
        "",
        MAX(
            1,
            IF(
                NETWORKDAYS(IF(NOT(ISBLANK(Q21)), Q21, P21), R21, Holiday_Dates) &lt;= 0,
                1,
                NETWORKDAYS(IF(NOT(ISBLANK(Q21)), Q21, P21), R21, Holiday_Dates)
                - IF(IF(NOT(ISBLANK(Q21)), Q21, P21) = R21, 0, 1)
            )
        )
    ),
    ""
)</f>
        <v>2</v>
      </c>
      <c r="W21" s="24">
        <f>IFERROR(
    IF(
        OR(ISBLANK(R21), ISBLANK(S21)),
        "",
        MAX(
            1,
            IF(
                NETWORKDAYS(R21, S21, Holiday_Dates) &lt;= 0,
                1,
                NETWORKDAYS(R21, S21, Holiday_Dates) - IF(R21 = S21, 0, 1)
            )
        )
    ),
    ""
)</f>
        <v>1</v>
      </c>
      <c r="X21" s="6" t="s">
        <v>929</v>
      </c>
      <c r="Y21" s="6" t="s">
        <v>101</v>
      </c>
      <c r="Z21" s="6" t="s">
        <v>101</v>
      </c>
      <c r="AA21" s="6" t="s">
        <v>120</v>
      </c>
      <c r="AB21" s="6" t="s">
        <v>120</v>
      </c>
      <c r="AC21" s="6"/>
      <c r="AD21" s="6"/>
      <c r="AE21" s="6" t="s">
        <v>1008</v>
      </c>
      <c r="AF21" s="57"/>
      <c r="AG21" s="6"/>
      <c r="AH21" s="578" t="s">
        <v>1009</v>
      </c>
    </row>
    <row r="22" spans="1:34" ht="120">
      <c r="A22" s="73" t="s">
        <v>48</v>
      </c>
      <c r="B22" s="73" t="s">
        <v>484</v>
      </c>
      <c r="C22" s="73" t="s">
        <v>1010</v>
      </c>
      <c r="D22" s="73" t="s">
        <v>88</v>
      </c>
      <c r="E22" s="306" t="s">
        <v>213</v>
      </c>
      <c r="F22" s="73" t="s">
        <v>927</v>
      </c>
      <c r="G22" s="73">
        <v>14.68066</v>
      </c>
      <c r="H22" s="73">
        <v>120.27274</v>
      </c>
      <c r="I22" s="73" t="str">
        <f t="shared" si="0"/>
        <v>14.68066, 120.27274</v>
      </c>
      <c r="J22" s="619" t="s">
        <v>45</v>
      </c>
      <c r="K22" s="73" t="s">
        <v>19</v>
      </c>
      <c r="L22" s="73"/>
      <c r="M22" s="551" t="s">
        <v>129</v>
      </c>
      <c r="N22" s="73" t="s">
        <v>1011</v>
      </c>
      <c r="O22" s="305">
        <v>46078</v>
      </c>
      <c r="P22" s="305">
        <v>46078</v>
      </c>
      <c r="Q22" s="305"/>
      <c r="R22" s="305">
        <v>46079</v>
      </c>
      <c r="S22" s="305">
        <v>46079</v>
      </c>
      <c r="T22" s="259">
        <f>IFERROR(
    IF(
        OR(ISBLANK(O22), ISBLANK(P22)),
        "",
        MAX(
            1,
            IF(
                NETWORKDAYS(O22, P22, Holiday_Dates) &lt;= 0,
                1,
                NETWORKDAYS(O22, P22, Holiday_Dates) - IF(O22 = P22, 0, 1)
            )
        )
    ),
    ""
)</f>
        <v>1</v>
      </c>
      <c r="U22" s="259" t="str">
        <f>IF(
    OR(ISBLANK(P22), ISBLANK(Q22)),
    "",
    MAX(
        1,
        IF(
            NETWORKDAYS(P22, Q22, Holiday_Dates) &lt;= 0,
            1,
            NETWORKDAYS(P22, Q22, Holiday_Dates) - IF(P22 = Q22, 0, 1)
        )
    )
)</f>
        <v/>
      </c>
      <c r="V22" s="259">
        <f>IFERROR(
    IF(
        OR(ISBLANK(R22), AND(ISBLANK(P22), ISBLANK(Q22))),
        "",
        MAX(
            1,
            IF(
                NETWORKDAYS(IF(NOT(ISBLANK(Q22)), Q22, P22), R22, Holiday_Dates) &lt;= 0,
                1,
                NETWORKDAYS(IF(NOT(ISBLANK(Q22)), Q22, P22), R22, Holiday_Dates)
                - IF(IF(NOT(ISBLANK(Q22)), Q22, P22) = R22, 0, 1)
            )
        )
    ),
    ""
)</f>
        <v>1</v>
      </c>
      <c r="W22" s="259">
        <f>IFERROR(
    IF(
        OR(ISBLANK(R22), ISBLANK(S22)),
        "",
        MAX(
            1,
            IF(
                NETWORKDAYS(R22, S22, Holiday_Dates) &lt;= 0,
                1,
                NETWORKDAYS(R22, S22, Holiday_Dates) - IF(R22 = S22, 0, 1)
            )
        )
    ),
    ""
)</f>
        <v>1</v>
      </c>
      <c r="X22" s="73" t="s">
        <v>929</v>
      </c>
      <c r="Y22" s="73" t="s">
        <v>101</v>
      </c>
      <c r="Z22" s="73" t="s">
        <v>108</v>
      </c>
      <c r="AA22" s="307" t="s">
        <v>120</v>
      </c>
      <c r="AB22" s="307" t="s">
        <v>120</v>
      </c>
      <c r="AC22" s="307" t="s">
        <v>120</v>
      </c>
      <c r="AD22" s="307" t="s">
        <v>120</v>
      </c>
      <c r="AE22" s="307" t="s">
        <v>1012</v>
      </c>
      <c r="AF22" s="73"/>
      <c r="AG22" s="73"/>
    </row>
    <row r="23" spans="1:34" ht="75">
      <c r="A23" s="307" t="s">
        <v>48</v>
      </c>
      <c r="B23" s="307" t="s">
        <v>486</v>
      </c>
      <c r="C23" s="307" t="s">
        <v>1013</v>
      </c>
      <c r="D23" s="307" t="s">
        <v>88</v>
      </c>
      <c r="E23" s="308" t="s">
        <v>243</v>
      </c>
      <c r="F23" s="307" t="s">
        <v>927</v>
      </c>
      <c r="G23" s="307">
        <v>14.80337815</v>
      </c>
      <c r="H23" s="307">
        <v>120.5254882</v>
      </c>
      <c r="I23" s="307" t="str">
        <f t="shared" si="0"/>
        <v>14.80337815, 120.5254882</v>
      </c>
      <c r="J23" s="620" t="s">
        <v>45</v>
      </c>
      <c r="K23" s="307" t="s">
        <v>18</v>
      </c>
      <c r="L23" s="307"/>
      <c r="M23" s="35" t="s">
        <v>129</v>
      </c>
      <c r="N23" s="307" t="s">
        <v>1014</v>
      </c>
      <c r="O23" s="309">
        <v>46077</v>
      </c>
      <c r="P23" s="309">
        <v>46078</v>
      </c>
      <c r="Q23" s="309"/>
      <c r="R23" s="309">
        <v>46078</v>
      </c>
      <c r="S23" s="305">
        <v>46079</v>
      </c>
      <c r="T23" s="259">
        <f>IFERROR(
    IF(
        OR(ISBLANK(O23), ISBLANK(P23)),
        "",
        MAX(
            1,
            IF(
                NETWORKDAYS(O23, P23, Holiday_Dates) &lt;= 0,
                1,
                NETWORKDAYS(O23, P23, Holiday_Dates) - IF(O23 = P23, 0, 1)
            )
        )
    ),
    ""
)</f>
        <v>1</v>
      </c>
      <c r="U23" s="259" t="str">
        <f>IF(
    OR(ISBLANK(P23), ISBLANK(Q23)),
    "",
    MAX(
        1,
        IF(
            NETWORKDAYS(P23, Q23, Holiday_Dates) &lt;= 0,
            1,
            NETWORKDAYS(P23, Q23, Holiday_Dates) - IF(P23 = Q23, 0, 1)
        )
    )
)</f>
        <v/>
      </c>
      <c r="V23" s="259">
        <f>IFERROR(
    IF(
        OR(ISBLANK(R23), AND(ISBLANK(P23), ISBLANK(Q23))),
        "",
        MAX(
            1,
            IF(
                NETWORKDAYS(IF(NOT(ISBLANK(Q23)), Q23, P23), R23, Holiday_Dates) &lt;= 0,
                1,
                NETWORKDAYS(IF(NOT(ISBLANK(Q23)), Q23, P23), R23, Holiday_Dates)
                - IF(IF(NOT(ISBLANK(Q23)), Q23, P23) = R23, 0, 1)
            )
        )
    ),
    ""
)</f>
        <v>1</v>
      </c>
      <c r="W23" s="259">
        <f>IFERROR(
    IF(
        OR(ISBLANK(R23), ISBLANK(S23)),
        "",
        MAX(
            1,
            IF(
                NETWORKDAYS(R23, S23, Holiday_Dates) &lt;= 0,
                1,
                NETWORKDAYS(R23, S23, Holiday_Dates) - IF(R23 = S23, 0, 1)
            )
        )
    ),
    ""
)</f>
        <v>1</v>
      </c>
      <c r="X23" s="250" t="s">
        <v>929</v>
      </c>
      <c r="Y23" s="307" t="s">
        <v>108</v>
      </c>
      <c r="Z23" s="632" t="s">
        <v>108</v>
      </c>
      <c r="AA23" s="6" t="s">
        <v>120</v>
      </c>
      <c r="AB23" s="6" t="s">
        <v>120</v>
      </c>
      <c r="AC23" s="58" t="s">
        <v>120</v>
      </c>
      <c r="AD23" s="6" t="s">
        <v>120</v>
      </c>
      <c r="AE23" s="6" t="s">
        <v>1015</v>
      </c>
      <c r="AF23" s="450"/>
      <c r="AG23" s="307"/>
    </row>
    <row r="24" spans="1:34" ht="30">
      <c r="A24" s="6" t="s">
        <v>49</v>
      </c>
      <c r="B24" s="6" t="s">
        <v>340</v>
      </c>
      <c r="C24" s="6" t="s">
        <v>738</v>
      </c>
      <c r="D24" s="6" t="s">
        <v>88</v>
      </c>
      <c r="E24" s="59" t="s">
        <v>259</v>
      </c>
      <c r="F24" s="6" t="s">
        <v>927</v>
      </c>
      <c r="G24" s="6">
        <v>14.843999999999999</v>
      </c>
      <c r="H24" s="6">
        <v>121.08929999999999</v>
      </c>
      <c r="I24" s="6" t="str">
        <f t="shared" si="0"/>
        <v>14.844, 121.0893</v>
      </c>
      <c r="J24" s="236" t="s">
        <v>45</v>
      </c>
      <c r="K24" s="6" t="s">
        <v>24</v>
      </c>
      <c r="L24" s="6"/>
      <c r="M24" s="35" t="s">
        <v>128</v>
      </c>
      <c r="N24" s="6"/>
      <c r="O24" s="21"/>
      <c r="P24" s="21"/>
      <c r="Q24" s="21"/>
      <c r="R24" s="21"/>
      <c r="S24" s="21"/>
      <c r="T24" s="259" t="str">
        <f>IFERROR(
    IF(
        OR(ISBLANK(O24), ISBLANK(P24)),
        "",
        MAX(
            1,
            IF(
                NETWORKDAYS(O24, P24, Holiday_Dates) &lt;= 0,
                1,
                NETWORKDAYS(O24, P24, Holiday_Dates) - IF(O24 = P24, 0, 1)
            )
        )
    ),
    ""
)</f>
        <v/>
      </c>
      <c r="U24" s="259" t="str">
        <f>IF(
    OR(ISBLANK(P24), ISBLANK(Q24)),
    "",
    MAX(
        1,
        IF(
            NETWORKDAYS(P24, Q24, Holiday_Dates) &lt;= 0,
            1,
            NETWORKDAYS(P24, Q24, Holiday_Dates) - IF(P24 = Q24, 0, 1)
        )
    )
)</f>
        <v/>
      </c>
      <c r="V24" s="259" t="str">
        <f>IFERROR(
    IF(
        OR(ISBLANK(R24), AND(ISBLANK(P24), ISBLANK(Q24))),
        "",
        MAX(
            1,
            IF(
                NETWORKDAYS(IF(NOT(ISBLANK(Q24)), Q24, P24), R24, Holiday_Dates) &lt;= 0,
                1,
                NETWORKDAYS(IF(NOT(ISBLANK(Q24)), Q24, P24), R24, Holiday_Dates)
                - IF(IF(NOT(ISBLANK(Q24)), Q24, P24) = R24, 0, 1)
            )
        )
    ),
    ""
)</f>
        <v/>
      </c>
      <c r="W24" s="259" t="str">
        <f>IFERROR(
    IF(
        OR(ISBLANK(R24), ISBLANK(S24)),
        "",
        MAX(
            1,
            IF(
                NETWORKDAYS(R24, S24, Holiday_Dates) &lt;= 0,
                1,
                NETWORKDAYS(R24, S24, Holiday_Dates) - IF(R24 = S24, 0, 1)
            )
        )
    ),
    ""
)</f>
        <v/>
      </c>
      <c r="X24" s="6"/>
      <c r="Y24" s="6"/>
      <c r="Z24" s="6"/>
      <c r="AA24" s="73"/>
      <c r="AB24" s="303"/>
      <c r="AC24" s="6"/>
      <c r="AD24" s="6"/>
      <c r="AE24" s="6"/>
      <c r="AF24" s="58"/>
      <c r="AG24" s="6"/>
    </row>
    <row r="25" spans="1:34">
      <c r="A25" s="73" t="s">
        <v>49</v>
      </c>
      <c r="B25" s="73" t="s">
        <v>223</v>
      </c>
      <c r="C25" s="73" t="s">
        <v>1016</v>
      </c>
      <c r="D25" s="73" t="s">
        <v>88</v>
      </c>
      <c r="E25" s="306" t="s">
        <v>224</v>
      </c>
      <c r="F25" s="73" t="s">
        <v>927</v>
      </c>
      <c r="G25" s="73">
        <v>14.7902</v>
      </c>
      <c r="H25" s="73">
        <v>120.9851</v>
      </c>
      <c r="I25" s="73" t="str">
        <f t="shared" si="0"/>
        <v>14.7902, 120.9851</v>
      </c>
      <c r="J25" s="621" t="s">
        <v>45</v>
      </c>
      <c r="K25" s="6" t="s">
        <v>21</v>
      </c>
      <c r="L25" s="6"/>
      <c r="M25" s="35" t="s">
        <v>128</v>
      </c>
      <c r="N25" s="6"/>
      <c r="O25" s="310"/>
      <c r="P25" s="305"/>
      <c r="Q25" s="305"/>
      <c r="R25" s="305"/>
      <c r="S25" s="305"/>
      <c r="T25" s="259" t="str">
        <f>IFERROR(
    IF(
        OR(ISBLANK(O25), ISBLANK(P25)),
        "",
        MAX(
            1,
            IF(
                NETWORKDAYS(O25, P25, Holiday_Dates) &lt;= 0,
                1,
                NETWORKDAYS(O25, P25, Holiday_Dates) - IF(O25 = P25, 0, 1)
            )
        )
    ),
    ""
)</f>
        <v/>
      </c>
      <c r="U25" s="259" t="str">
        <f>IF(
    OR(ISBLANK(P25), ISBLANK(Q25)),
    "",
    MAX(
        1,
        IF(
            NETWORKDAYS(P25, Q25, Holiday_Dates) &lt;= 0,
            1,
            NETWORKDAYS(P25, Q25, Holiday_Dates) - IF(P25 = Q25, 0, 1)
        )
    )
)</f>
        <v/>
      </c>
      <c r="V25" s="259" t="str">
        <f>IFERROR(
    IF(
        OR(ISBLANK(R25), AND(ISBLANK(P25), ISBLANK(Q25))),
        "",
        MAX(
            1,
            IF(
                NETWORKDAYS(IF(NOT(ISBLANK(Q25)), Q25, P25), R25, Holiday_Dates) &lt;= 0,
                1,
                NETWORKDAYS(IF(NOT(ISBLANK(Q25)), Q25, P25), R25, Holiday_Dates)
                - IF(IF(NOT(ISBLANK(Q25)), Q25, P25) = R25, 0, 1)
            )
        )
    ),
    ""
)</f>
        <v/>
      </c>
      <c r="W25" s="259" t="str">
        <f>IFERROR(
    IF(
        OR(ISBLANK(R25), ISBLANK(S25)),
        "",
        MAX(
            1,
            IF(
                NETWORKDAYS(R25, S25, Holiday_Dates) &lt;= 0,
                1,
                NETWORKDAYS(R25, S25, Holiday_Dates) - IF(R25 = S25, 0, 1)
            )
        )
    ),
    ""
)</f>
        <v/>
      </c>
      <c r="X25" s="6"/>
      <c r="Y25" s="73"/>
      <c r="Z25" s="73"/>
      <c r="AA25" s="73"/>
      <c r="AB25" s="303"/>
      <c r="AC25" s="6"/>
      <c r="AD25" s="6"/>
      <c r="AE25" s="6"/>
      <c r="AF25" s="304"/>
      <c r="AG25" s="73"/>
    </row>
    <row r="26" spans="1:34" ht="47.25">
      <c r="A26" s="6" t="s">
        <v>49</v>
      </c>
      <c r="B26" s="6" t="s">
        <v>378</v>
      </c>
      <c r="C26" s="6" t="s">
        <v>1017</v>
      </c>
      <c r="D26" s="6" t="s">
        <v>88</v>
      </c>
      <c r="E26" s="59" t="s">
        <v>213</v>
      </c>
      <c r="F26" s="6" t="s">
        <v>927</v>
      </c>
      <c r="G26" s="6">
        <v>14.9794</v>
      </c>
      <c r="H26" s="6">
        <v>120.9738</v>
      </c>
      <c r="I26" s="6" t="str">
        <f t="shared" si="0"/>
        <v>14.9794, 120.9738</v>
      </c>
      <c r="J26" s="622" t="s">
        <v>45</v>
      </c>
      <c r="K26" s="6" t="s">
        <v>377</v>
      </c>
      <c r="L26" s="6"/>
      <c r="M26" s="35" t="s">
        <v>28</v>
      </c>
      <c r="N26" s="6" t="s">
        <v>1018</v>
      </c>
      <c r="O26" s="21">
        <v>46090</v>
      </c>
      <c r="P26" s="21">
        <v>46091</v>
      </c>
      <c r="Q26" s="21">
        <v>46092</v>
      </c>
      <c r="R26" s="21">
        <v>46093</v>
      </c>
      <c r="S26" s="21"/>
      <c r="T26" s="259">
        <f>IFERROR(
    IF(
        OR(ISBLANK(O26), ISBLANK(P26)),
        "",
        MAX(
            1,
            IF(
                NETWORKDAYS(O26, P26, Holiday_Dates) &lt;= 0,
                1,
                NETWORKDAYS(O26, P26, Holiday_Dates) - IF(O26 = P26, 0, 1)
            )
        )
    ),
    ""
)</f>
        <v>1</v>
      </c>
      <c r="U26" s="259">
        <f>IF(
    OR(ISBLANK(P26), ISBLANK(Q26)),
    "",
    MAX(
        1,
        IF(
            NETWORKDAYS(P26, Q26, Holiday_Dates) &lt;= 0,
            1,
            NETWORKDAYS(P26, Q26, Holiday_Dates) - IF(P26 = Q26, 0, 1)
        )
    )
)</f>
        <v>1</v>
      </c>
      <c r="V26" s="259">
        <f>IFERROR(
    IF(
        OR(ISBLANK(R26), AND(ISBLANK(P26), ISBLANK(Q26))),
        "",
        MAX(
            1,
            IF(
                NETWORKDAYS(IF(NOT(ISBLANK(Q26)), Q26, P26), R26, Holiday_Dates) &lt;= 0,
                1,
                NETWORKDAYS(IF(NOT(ISBLANK(Q26)), Q26, P26), R26, Holiday_Dates)
                - IF(IF(NOT(ISBLANK(Q26)), Q26, P26) = R26, 0, 1)
            )
        )
    ),
    ""
)</f>
        <v>1</v>
      </c>
      <c r="W26" s="259" t="str">
        <f>IFERROR(
    IF(
        OR(ISBLANK(R26), ISBLANK(S26)),
        "",
        MAX(
            1,
            IF(
                NETWORKDAYS(R26, S26, Holiday_Dates) &lt;= 0,
                1,
                NETWORKDAYS(R26, S26, Holiday_Dates) - IF(R26 = S26, 0, 1)
            )
        )
    ),
    ""
)</f>
        <v/>
      </c>
      <c r="X26" s="6" t="s">
        <v>929</v>
      </c>
      <c r="Y26" s="6" t="s">
        <v>108</v>
      </c>
      <c r="Z26" s="6" t="s">
        <v>108</v>
      </c>
      <c r="AA26" s="6" t="s">
        <v>693</v>
      </c>
      <c r="AB26" s="57" t="s">
        <v>120</v>
      </c>
      <c r="AC26" s="57" t="s">
        <v>120</v>
      </c>
      <c r="AD26" s="57" t="s">
        <v>120</v>
      </c>
      <c r="AE26" s="410" t="s">
        <v>1019</v>
      </c>
      <c r="AF26" s="58"/>
      <c r="AG26" s="6"/>
    </row>
    <row r="27" spans="1:34" ht="30">
      <c r="A27" s="6" t="s">
        <v>50</v>
      </c>
      <c r="B27" s="6" t="s">
        <v>383</v>
      </c>
      <c r="C27" s="6" t="s">
        <v>1020</v>
      </c>
      <c r="D27" s="6" t="s">
        <v>88</v>
      </c>
      <c r="E27" s="59" t="s">
        <v>243</v>
      </c>
      <c r="F27" s="6" t="s">
        <v>1002</v>
      </c>
      <c r="G27" s="6">
        <v>15.4796</v>
      </c>
      <c r="H27" s="6">
        <v>120.81870000000001</v>
      </c>
      <c r="I27" s="6" t="str">
        <f t="shared" si="0"/>
        <v>15.4796, 120.8187</v>
      </c>
      <c r="J27" s="622" t="s">
        <v>45</v>
      </c>
      <c r="K27" s="6" t="s">
        <v>27</v>
      </c>
      <c r="L27" s="6"/>
      <c r="M27" s="6" t="s">
        <v>130</v>
      </c>
      <c r="N27" s="6"/>
      <c r="O27" s="21"/>
      <c r="P27" s="21"/>
      <c r="Q27" s="21"/>
      <c r="R27" s="21"/>
      <c r="S27" s="21"/>
      <c r="T27" s="259" t="str">
        <f>IFERROR(
    IF(
        OR(ISBLANK(O27), ISBLANK(P27)),
        "",
        MAX(
            1,
            IF(
                NETWORKDAYS(O27, P27, Holiday_Dates) &lt;= 0,
                1,
                NETWORKDAYS(O27, P27, Holiday_Dates) - IF(O27 = P27, 0, 1)
            )
        )
    ),
    ""
)</f>
        <v/>
      </c>
      <c r="U27" s="259" t="str">
        <f>IF(
    OR(ISBLANK(P27), ISBLANK(Q27)),
    "",
    MAX(
        1,
        IF(
            NETWORKDAYS(P27, Q27, Holiday_Dates) &lt;= 0,
            1,
            NETWORKDAYS(P27, Q27, Holiday_Dates) - IF(P27 = Q27, 0, 1)
        )
    )
)</f>
        <v/>
      </c>
      <c r="V27" s="259" t="str">
        <f>IFERROR(
    IF(
        OR(ISBLANK(R27), AND(ISBLANK(P27), ISBLANK(Q27))),
        "",
        MAX(
            1,
            IF(
                NETWORKDAYS(IF(NOT(ISBLANK(Q27)), Q27, P27), R27, Holiday_Dates) &lt;= 0,
                1,
                NETWORKDAYS(IF(NOT(ISBLANK(Q27)), Q27, P27), R27, Holiday_Dates)
                - IF(IF(NOT(ISBLANK(Q27)), Q27, P27) = R27, 0, 1)
            )
        )
    ),
    ""
)</f>
        <v/>
      </c>
      <c r="W27" s="259" t="str">
        <f>IFERROR(
    IF(
        OR(ISBLANK(R27), ISBLANK(S27)),
        "",
        MAX(
            1,
            IF(
                NETWORKDAYS(R27, S27, Holiday_Dates) &lt;= 0,
                1,
                NETWORKDAYS(R27, S27, Holiday_Dates) - IF(R27 = S27, 0, 1)
            )
        )
    ),
    ""
)</f>
        <v/>
      </c>
      <c r="X27" s="6"/>
      <c r="Y27" s="6"/>
      <c r="Z27" s="6"/>
      <c r="AA27" s="6"/>
      <c r="AB27" s="57"/>
      <c r="AC27" s="6"/>
      <c r="AD27" s="6"/>
      <c r="AE27" s="6"/>
      <c r="AF27" s="58"/>
      <c r="AG27" s="6"/>
    </row>
    <row r="28" spans="1:34" ht="45">
      <c r="A28" s="6" t="s">
        <v>50</v>
      </c>
      <c r="B28" s="6" t="s">
        <v>507</v>
      </c>
      <c r="C28" s="6" t="s">
        <v>784</v>
      </c>
      <c r="D28" s="6" t="s">
        <v>89</v>
      </c>
      <c r="E28" s="59" t="s">
        <v>243</v>
      </c>
      <c r="F28" s="6" t="s">
        <v>959</v>
      </c>
      <c r="G28" s="6">
        <v>15.81180694</v>
      </c>
      <c r="H28" s="6">
        <v>120.67721433</v>
      </c>
      <c r="I28" s="6" t="str">
        <f t="shared" si="0"/>
        <v>15.81180694, 120.67721433</v>
      </c>
      <c r="J28" s="622" t="s">
        <v>45</v>
      </c>
      <c r="K28" s="6" t="s">
        <v>29</v>
      </c>
      <c r="L28" s="6"/>
      <c r="M28" s="6" t="s">
        <v>130</v>
      </c>
      <c r="N28" s="6" t="s">
        <v>1021</v>
      </c>
      <c r="O28" s="21">
        <v>46084</v>
      </c>
      <c r="P28" s="21">
        <v>46088</v>
      </c>
      <c r="Q28" s="21"/>
      <c r="R28" s="21">
        <v>46091</v>
      </c>
      <c r="S28" s="21">
        <v>46093</v>
      </c>
      <c r="T28" s="259">
        <f>IFERROR(
    IF(
        OR(ISBLANK(O28), ISBLANK(P28)),
        "",
        MAX(
            1,
            IF(
                NETWORKDAYS(O28, P28, Holiday_Dates) &lt;= 0,
                1,
                NETWORKDAYS(O28, P28, Holiday_Dates) - IF(O28 = P28, 0, 1)
            )
        )
    ),
    ""
)</f>
        <v>3</v>
      </c>
      <c r="U28" s="259" t="str">
        <f>IF(
    OR(ISBLANK(P28), ISBLANK(Q28)),
    "",
    MAX(
        1,
        IF(
            NETWORKDAYS(P28, Q28, Holiday_Dates) &lt;= 0,
            1,
            NETWORKDAYS(P28, Q28, Holiday_Dates) - IF(P28 = Q28, 0, 1)
        )
    )
)</f>
        <v/>
      </c>
      <c r="V28" s="259">
        <f>IFERROR(
    IF(
        OR(ISBLANK(R28), AND(ISBLANK(P28), ISBLANK(Q28))),
        "",
        MAX(
            1,
            IF(
                NETWORKDAYS(IF(NOT(ISBLANK(Q28)), Q28, P28), R28, Holiday_Dates) &lt;= 0,
                1,
                NETWORKDAYS(IF(NOT(ISBLANK(Q28)), Q28, P28), R28, Holiday_Dates)
                - IF(IF(NOT(ISBLANK(Q28)), Q28, P28) = R28, 0, 1)
            )
        )
    ),
    ""
)</f>
        <v>1</v>
      </c>
      <c r="W28" s="259">
        <f>IFERROR(
    IF(
        OR(ISBLANK(R28), ISBLANK(S28)),
        "",
        MAX(
            1,
            IF(
                NETWORKDAYS(R28, S28, Holiday_Dates) &lt;= 0,
                1,
                NETWORKDAYS(R28, S28, Holiday_Dates) - IF(R28 = S28, 0, 1)
            )
        )
    ),
    ""
)</f>
        <v>2</v>
      </c>
      <c r="X28" s="6"/>
      <c r="Y28" s="6" t="s">
        <v>101</v>
      </c>
      <c r="Z28" s="6" t="s">
        <v>101</v>
      </c>
      <c r="AA28" s="6"/>
      <c r="AB28" s="57"/>
      <c r="AC28" s="6" t="s">
        <v>120</v>
      </c>
      <c r="AD28" s="6" t="s">
        <v>120</v>
      </c>
      <c r="AE28" s="6" t="s">
        <v>1022</v>
      </c>
      <c r="AF28" s="58"/>
      <c r="AG28" s="6"/>
    </row>
    <row r="29" spans="1:34">
      <c r="A29" s="6" t="s">
        <v>50</v>
      </c>
      <c r="B29" s="6" t="s">
        <v>514</v>
      </c>
      <c r="C29" s="6" t="s">
        <v>1023</v>
      </c>
      <c r="D29" s="6" t="s">
        <v>88</v>
      </c>
      <c r="E29" s="59" t="s">
        <v>271</v>
      </c>
      <c r="F29" s="6" t="s">
        <v>927</v>
      </c>
      <c r="G29" s="6">
        <v>15.66072</v>
      </c>
      <c r="H29" s="6">
        <v>121.0218</v>
      </c>
      <c r="I29" s="6" t="str">
        <f t="shared" si="0"/>
        <v>15.66072, 121.0218</v>
      </c>
      <c r="J29" s="622" t="s">
        <v>45</v>
      </c>
      <c r="K29" s="6" t="s">
        <v>26</v>
      </c>
      <c r="L29" s="6"/>
      <c r="M29" s="6" t="s">
        <v>130</v>
      </c>
      <c r="N29" s="665" t="s">
        <v>1024</v>
      </c>
      <c r="O29" s="21">
        <v>46086</v>
      </c>
      <c r="P29" s="21">
        <v>46087</v>
      </c>
      <c r="Q29" s="21"/>
      <c r="R29" s="21">
        <v>46091</v>
      </c>
      <c r="S29" s="21"/>
      <c r="T29" s="259">
        <f>IFERROR(
    IF(
        OR(ISBLANK(O29), ISBLANK(P29)),
        "",
        MAX(
            1,
            IF(
                NETWORKDAYS(O29, P29, Holiday_Dates) &lt;= 0,
                1,
                NETWORKDAYS(O29, P29, Holiday_Dates) - IF(O29 = P29, 0, 1)
            )
        )
    ),
    ""
)</f>
        <v>1</v>
      </c>
      <c r="U29" s="259" t="str">
        <f>IF(
    OR(ISBLANK(P29), ISBLANK(Q29)),
    "",
    MAX(
        1,
        IF(
            NETWORKDAYS(P29, Q29, Holiday_Dates) &lt;= 0,
            1,
            NETWORKDAYS(P29, Q29, Holiday_Dates) - IF(P29 = Q29, 0, 1)
        )
    )
)</f>
        <v/>
      </c>
      <c r="V29" s="259">
        <f>IFERROR(
    IF(
        OR(ISBLANK(R29), AND(ISBLANK(P29), ISBLANK(Q29))),
        "",
        MAX(
            1,
            IF(
                NETWORKDAYS(IF(NOT(ISBLANK(Q29)), Q29, P29), R29, Holiday_Dates) &lt;= 0,
                1,
                NETWORKDAYS(IF(NOT(ISBLANK(Q29)), Q29, P29), R29, Holiday_Dates)
                - IF(IF(NOT(ISBLANK(Q29)), Q29, P29) = R29, 0, 1)
            )
        )
    ),
    ""
)</f>
        <v>2</v>
      </c>
      <c r="W29" s="259" t="str">
        <f>IFERROR(
    IF(
        OR(ISBLANK(R29), ISBLANK(S29)),
        "",
        MAX(
            1,
            IF(
                NETWORKDAYS(R29, S29, Holiday_Dates) &lt;= 0,
                1,
                NETWORKDAYS(R29, S29, Holiday_Dates) - IF(R29 = S29, 0, 1)
            )
        )
    ),
    ""
)</f>
        <v/>
      </c>
      <c r="X29" s="6"/>
      <c r="Y29" s="6"/>
      <c r="Z29" s="6"/>
      <c r="AA29" s="6"/>
      <c r="AB29" s="57"/>
      <c r="AC29" s="6"/>
      <c r="AD29" s="6"/>
      <c r="AE29" s="6"/>
      <c r="AF29" s="58"/>
      <c r="AG29" s="6"/>
    </row>
    <row r="30" spans="1:34" ht="15.75">
      <c r="A30" s="6" t="s">
        <v>50</v>
      </c>
      <c r="B30" s="6" t="s">
        <v>301</v>
      </c>
      <c r="C30" s="6" t="s">
        <v>554</v>
      </c>
      <c r="D30" s="6" t="s">
        <v>88</v>
      </c>
      <c r="E30" s="59" t="s">
        <v>224</v>
      </c>
      <c r="F30" s="6" t="s">
        <v>927</v>
      </c>
      <c r="G30" s="6">
        <v>15.310642</v>
      </c>
      <c r="H30" s="6">
        <v>120.84886400000001</v>
      </c>
      <c r="I30" s="6" t="str">
        <f t="shared" si="0"/>
        <v>15.310642, 120.848864</v>
      </c>
      <c r="J30" s="622" t="s">
        <v>45</v>
      </c>
      <c r="K30" s="6" t="s">
        <v>30</v>
      </c>
      <c r="L30" s="6"/>
      <c r="M30" s="6" t="s">
        <v>130</v>
      </c>
      <c r="N30" s="6" t="s">
        <v>1024</v>
      </c>
      <c r="O30" s="21">
        <v>46086</v>
      </c>
      <c r="P30" s="21">
        <v>46087</v>
      </c>
      <c r="Q30" s="21"/>
      <c r="R30" s="21">
        <v>46091</v>
      </c>
      <c r="S30" s="21">
        <v>46093</v>
      </c>
      <c r="T30" s="259">
        <f>IFERROR(
    IF(
        OR(ISBLANK(O30), ISBLANK(P30)),
        "",
        MAX(
            1,
            IF(
                NETWORKDAYS(O30, P30, Holiday_Dates) &lt;= 0,
                1,
                NETWORKDAYS(O30, P30, Holiday_Dates) - IF(O30 = P30, 0, 1)
            )
        )
    ),
    ""
)</f>
        <v>1</v>
      </c>
      <c r="U30" s="259" t="str">
        <f>IF(
    OR(ISBLANK(P30), ISBLANK(Q30)),
    "",
    MAX(
        1,
        IF(
            NETWORKDAYS(P30, Q30, Holiday_Dates) &lt;= 0,
            1,
            NETWORKDAYS(P30, Q30, Holiday_Dates) - IF(P30 = Q30, 0, 1)
        )
    )
)</f>
        <v/>
      </c>
      <c r="V30" s="259">
        <f>IFERROR(
    IF(
        OR(ISBLANK(R30), AND(ISBLANK(P30), ISBLANK(Q30))),
        "",
        MAX(
            1,
            IF(
                NETWORKDAYS(IF(NOT(ISBLANK(Q30)), Q30, P30), R30, Holiday_Dates) &lt;= 0,
                1,
                NETWORKDAYS(IF(NOT(ISBLANK(Q30)), Q30, P30), R30, Holiday_Dates)
                - IF(IF(NOT(ISBLANK(Q30)), Q30, P30) = R30, 0, 1)
            )
        )
    ),
    ""
)</f>
        <v>2</v>
      </c>
      <c r="W30" s="259">
        <f>IFERROR(
    IF(
        OR(ISBLANK(R30), ISBLANK(S30)),
        "",
        MAX(
            1,
            IF(
                NETWORKDAYS(R30, S30, Holiday_Dates) &lt;= 0,
                1,
                NETWORKDAYS(R30, S30, Holiday_Dates) - IF(R30 = S30, 0, 1)
            )
        )
    ),
    ""
)</f>
        <v>2</v>
      </c>
      <c r="X30" s="6"/>
      <c r="Y30" s="6" t="s">
        <v>108</v>
      </c>
      <c r="Z30" s="6" t="s">
        <v>108</v>
      </c>
      <c r="AA30" s="6" t="s">
        <v>120</v>
      </c>
      <c r="AB30" s="57"/>
      <c r="AC30" s="6" t="s">
        <v>120</v>
      </c>
      <c r="AD30" s="6" t="s">
        <v>120</v>
      </c>
      <c r="AE30" s="411" t="s">
        <v>982</v>
      </c>
      <c r="AF30" s="58" t="s">
        <v>100</v>
      </c>
      <c r="AG30" s="6"/>
    </row>
    <row r="31" spans="1:34">
      <c r="A31" s="6" t="s">
        <v>51</v>
      </c>
      <c r="B31" s="6" t="s">
        <v>418</v>
      </c>
      <c r="C31" s="6" t="s">
        <v>541</v>
      </c>
      <c r="D31" s="6" t="s">
        <v>88</v>
      </c>
      <c r="E31" s="61" t="s">
        <v>224</v>
      </c>
      <c r="F31" s="6" t="s">
        <v>927</v>
      </c>
      <c r="G31" s="6">
        <v>15.047000000000001</v>
      </c>
      <c r="H31" s="6">
        <v>120.7854</v>
      </c>
      <c r="I31" s="6" t="str">
        <f t="shared" si="0"/>
        <v>15.047, 120.7854</v>
      </c>
      <c r="J31" s="622" t="s">
        <v>45</v>
      </c>
      <c r="K31" s="6" t="s">
        <v>34</v>
      </c>
      <c r="L31" s="6"/>
      <c r="M31" s="6" t="s">
        <v>239</v>
      </c>
      <c r="N31" s="6"/>
      <c r="O31" s="21"/>
      <c r="P31" s="21"/>
      <c r="Q31" s="21"/>
      <c r="R31" s="4"/>
      <c r="S31" s="21"/>
      <c r="T31" s="259" t="str">
        <f>IFERROR(
    IF(
        OR(ISBLANK(O31), ISBLANK(P31)),
        "",
        MAX(
            1,
            IF(
                NETWORKDAYS(O31, P31, Holiday_Dates) &lt;= 0,
                1,
                NETWORKDAYS(O31, P31, Holiday_Dates) - IF(O31 = P31, 0, 1)
            )
        )
    ),
    ""
)</f>
        <v/>
      </c>
      <c r="U31" s="259" t="str">
        <f>IF(
    OR(ISBLANK(P31), ISBLANK(Q31)),
    "",
    MAX(
        1,
        IF(
            NETWORKDAYS(P31, Q31, Holiday_Dates) &lt;= 0,
            1,
            NETWORKDAYS(P31, Q31, Holiday_Dates) - IF(P31 = Q31, 0, 1)
        )
    )
)</f>
        <v/>
      </c>
      <c r="V31" s="259" t="str">
        <f>IFERROR(
    IF(
        OR(ISBLANK(R31), AND(ISBLANK(P31), ISBLANK(Q31))),
        "",
        MAX(
            1,
            IF(
                NETWORKDAYS(IF(NOT(ISBLANK(Q31)), Q31, P31), R31, Holiday_Dates) &lt;= 0,
                1,
                NETWORKDAYS(IF(NOT(ISBLANK(Q31)), Q31, P31), R31, Holiday_Dates)
                - IF(IF(NOT(ISBLANK(Q31)), Q31, P31) = R31, 0, 1)
            )
        )
    ),
    ""
)</f>
        <v/>
      </c>
      <c r="W31" s="259" t="str">
        <f>IFERROR(
    IF(
        OR(ISBLANK(R31), ISBLANK(S31)),
        "",
        MAX(
            1,
            IF(
                NETWORKDAYS(R31, S31, Holiday_Dates) &lt;= 0,
                1,
                NETWORKDAYS(R31, S31, Holiday_Dates) - IF(R31 = S31, 0, 1)
            )
        )
    ),
    ""
)</f>
        <v/>
      </c>
      <c r="X31" s="6"/>
      <c r="Y31" s="6"/>
      <c r="Z31" s="6"/>
      <c r="AA31" s="6"/>
      <c r="AB31" s="6"/>
      <c r="AC31" s="73"/>
      <c r="AD31" s="73"/>
      <c r="AE31" s="633"/>
      <c r="AF31" s="6"/>
      <c r="AG31" s="6"/>
    </row>
    <row r="32" spans="1:34">
      <c r="A32" s="6" t="s">
        <v>51</v>
      </c>
      <c r="B32" s="6" t="s">
        <v>394</v>
      </c>
      <c r="C32" s="6" t="s">
        <v>788</v>
      </c>
      <c r="D32" s="6" t="s">
        <v>88</v>
      </c>
      <c r="E32" s="61" t="s">
        <v>271</v>
      </c>
      <c r="F32" s="6" t="s">
        <v>927</v>
      </c>
      <c r="G32" s="6">
        <v>14.93694444</v>
      </c>
      <c r="H32" s="6">
        <v>120.61750000000001</v>
      </c>
      <c r="I32" s="6" t="str">
        <f t="shared" si="0"/>
        <v>14.93694444, 120.6175</v>
      </c>
      <c r="J32" s="622" t="s">
        <v>45</v>
      </c>
      <c r="K32" s="6" t="s">
        <v>145</v>
      </c>
      <c r="L32" s="6"/>
      <c r="M32" s="6" t="s">
        <v>133</v>
      </c>
      <c r="N32" s="6"/>
      <c r="O32" s="21"/>
      <c r="P32" s="21"/>
      <c r="Q32" s="21"/>
      <c r="R32" s="21"/>
      <c r="S32" s="21"/>
      <c r="T32" s="259" t="str">
        <f>IFERROR(
    IF(
        OR(ISBLANK(O32), ISBLANK(P32)),
        "",
        MAX(
            1,
            IF(
                NETWORKDAYS(O32, P32, Holiday_Dates) &lt;= 0,
                1,
                NETWORKDAYS(O32, P32, Holiday_Dates) - IF(O32 = P32, 0, 1)
            )
        )
    ),
    ""
)</f>
        <v/>
      </c>
      <c r="U32" s="259" t="str">
        <f>IF(
    OR(ISBLANK(P32), ISBLANK(Q32)),
    "",
    MAX(
        1,
        IF(
            NETWORKDAYS(P32, Q32, Holiday_Dates) &lt;= 0,
            1,
            NETWORKDAYS(P32, Q32, Holiday_Dates) - IF(P32 = Q32, 0, 1)
        )
    )
)</f>
        <v/>
      </c>
      <c r="V32" s="259" t="str">
        <f>IFERROR(
    IF(
        OR(ISBLANK(R32), AND(ISBLANK(P32), ISBLANK(Q32))),
        "",
        MAX(
            1,
            IF(
                NETWORKDAYS(IF(NOT(ISBLANK(Q32)), Q32, P32), R32, Holiday_Dates) &lt;= 0,
                1,
                NETWORKDAYS(IF(NOT(ISBLANK(Q32)), Q32, P32), R32, Holiday_Dates)
                - IF(IF(NOT(ISBLANK(Q32)), Q32, P32) = R32, 0, 1)
            )
        )
    ),
    ""
)</f>
        <v/>
      </c>
      <c r="W32" s="259" t="str">
        <f>IFERROR(
    IF(
        OR(ISBLANK(R32), ISBLANK(S32)),
        "",
        MAX(
            1,
            IF(
                NETWORKDAYS(R32, S32, Holiday_Dates) &lt;= 0,
                1,
                NETWORKDAYS(R32, S32, Holiday_Dates) - IF(R32 = S32, 0, 1)
            )
        )
    ),
    ""
)</f>
        <v/>
      </c>
      <c r="X32" s="3"/>
      <c r="Y32" s="6"/>
      <c r="Z32" s="6"/>
      <c r="AA32" s="6"/>
      <c r="AB32" s="6"/>
      <c r="AC32" s="6"/>
      <c r="AD32" s="6"/>
      <c r="AE32" s="436"/>
      <c r="AF32" s="6"/>
      <c r="AG32" s="6"/>
    </row>
    <row r="33" spans="1:33" ht="30">
      <c r="A33" s="6" t="s">
        <v>52</v>
      </c>
      <c r="B33" s="6" t="s">
        <v>357</v>
      </c>
      <c r="C33" s="6" t="s">
        <v>1025</v>
      </c>
      <c r="D33" s="6" t="s">
        <v>89</v>
      </c>
      <c r="E33" s="61" t="s">
        <v>243</v>
      </c>
      <c r="F33" s="6" t="s">
        <v>959</v>
      </c>
      <c r="G33" s="6">
        <v>15.803900000000001</v>
      </c>
      <c r="H33" s="6">
        <v>120.6087</v>
      </c>
      <c r="I33" s="6" t="str">
        <f t="shared" si="0"/>
        <v>15.8039, 120.6087</v>
      </c>
      <c r="J33" s="622" t="s">
        <v>45</v>
      </c>
      <c r="K33" s="6" t="s">
        <v>38</v>
      </c>
      <c r="L33" s="6"/>
      <c r="M33" s="6" t="s">
        <v>28</v>
      </c>
      <c r="N33" s="6"/>
      <c r="O33" s="21"/>
      <c r="P33" s="21"/>
      <c r="Q33" s="21"/>
      <c r="R33" s="21"/>
      <c r="S33" s="21"/>
      <c r="T33" s="259" t="str">
        <f>IFERROR(
    IF(
        OR(ISBLANK(O33), ISBLANK(P33)),
        "",
        MAX(
            1,
            IF(
                NETWORKDAYS(O33, P33, Holiday_Dates) &lt;= 0,
                1,
                NETWORKDAYS(O33, P33, Holiday_Dates) - IF(O33 = P33, 0, 1)
            )
        )
    ),
    ""
)</f>
        <v/>
      </c>
      <c r="U33" s="259" t="str">
        <f>IF(
    OR(ISBLANK(P33), ISBLANK(Q33)),
    "",
    MAX(
        1,
        IF(
            NETWORKDAYS(P33, Q33, Holiday_Dates) &lt;= 0,
            1,
            NETWORKDAYS(P33, Q33, Holiday_Dates) - IF(P33 = Q33, 0, 1)
        )
    )
)</f>
        <v/>
      </c>
      <c r="V33" s="259" t="str">
        <f>IFERROR(
    IF(
        OR(ISBLANK(R33), AND(ISBLANK(P33), ISBLANK(Q33))),
        "",
        MAX(
            1,
            IF(
                NETWORKDAYS(IF(NOT(ISBLANK(Q33)), Q33, P33), R33, Holiday_Dates) &lt;= 0,
                1,
                NETWORKDAYS(IF(NOT(ISBLANK(Q33)), Q33, P33), R33, Holiday_Dates)
                - IF(IF(NOT(ISBLANK(Q33)), Q33, P33) = R33, 0, 1)
            )
        )
    ),
    ""
)</f>
        <v/>
      </c>
      <c r="W33" s="259" t="str">
        <f>IFERROR(
    IF(
        OR(ISBLANK(R33), ISBLANK(S33)),
        "",
        MAX(
            1,
            IF(
                NETWORKDAYS(R33, S33, Holiday_Dates) &lt;= 0,
                1,
                NETWORKDAYS(R33, S33, Holiday_Dates) - IF(R33 = S33, 0, 1)
            )
        )
    ),
    ""
)</f>
        <v/>
      </c>
      <c r="X33" s="6"/>
      <c r="Y33" s="6"/>
      <c r="Z33" s="6"/>
      <c r="AA33" s="6"/>
      <c r="AB33" s="6"/>
      <c r="AC33" s="6"/>
      <c r="AD33" s="6"/>
      <c r="AE33" s="6"/>
      <c r="AF33" s="6"/>
      <c r="AG33" s="6"/>
    </row>
    <row r="34" spans="1:33" ht="90">
      <c r="A34" s="6" t="s">
        <v>52</v>
      </c>
      <c r="B34" s="6" t="s">
        <v>360</v>
      </c>
      <c r="C34" s="6" t="s">
        <v>730</v>
      </c>
      <c r="D34" s="6" t="s">
        <v>88</v>
      </c>
      <c r="E34" s="61" t="s">
        <v>271</v>
      </c>
      <c r="F34" s="6" t="s">
        <v>927</v>
      </c>
      <c r="G34" s="6">
        <v>15.6196</v>
      </c>
      <c r="H34" s="6">
        <v>120.6844</v>
      </c>
      <c r="I34" s="6" t="str">
        <f t="shared" ref="I34:I65" si="1">CONCATENATE(G34,","," ",H34)</f>
        <v>15.6196, 120.6844</v>
      </c>
      <c r="J34" s="622" t="s">
        <v>45</v>
      </c>
      <c r="K34" s="6" t="s">
        <v>39</v>
      </c>
      <c r="L34" s="6"/>
      <c r="M34" s="6" t="s">
        <v>28</v>
      </c>
      <c r="N34" s="6" t="s">
        <v>1026</v>
      </c>
      <c r="O34" s="21">
        <v>46084</v>
      </c>
      <c r="P34" s="21">
        <v>46089</v>
      </c>
      <c r="Q34" s="21"/>
      <c r="R34" s="21">
        <v>46090</v>
      </c>
      <c r="S34" s="21">
        <v>46090</v>
      </c>
      <c r="T34" s="259">
        <f>IFERROR(
    IF(
        OR(ISBLANK(O34), ISBLANK(P34)),
        "",
        MAX(
            1,
            IF(
                NETWORKDAYS(O34, P34, Holiday_Dates) &lt;= 0,
                1,
                NETWORKDAYS(O34, P34, Holiday_Dates) - IF(O34 = P34, 0, 1)
            )
        )
    ),
    ""
)</f>
        <v>3</v>
      </c>
      <c r="U34" s="259" t="str">
        <f>IF(
    OR(ISBLANK(P34), ISBLANK(Q34)),
    "",
    MAX(
        1,
        IF(
            NETWORKDAYS(P34, Q34, Holiday_Dates) &lt;= 0,
            1,
            NETWORKDAYS(P34, Q34, Holiday_Dates) - IF(P34 = Q34, 0, 1)
        )
    )
)</f>
        <v/>
      </c>
      <c r="V34" s="259">
        <f>IFERROR(
    IF(
        OR(ISBLANK(R34), AND(ISBLANK(P34), ISBLANK(Q34))),
        "",
        MAX(
            1,
            IF(
                NETWORKDAYS(IF(NOT(ISBLANK(Q34)), Q34, P34), R34, Holiday_Dates) &lt;= 0,
                1,
                NETWORKDAYS(IF(NOT(ISBLANK(Q34)), Q34, P34), R34, Holiday_Dates)
                - IF(IF(NOT(ISBLANK(Q34)), Q34, P34) = R34, 0, 1)
            )
        )
    ),
    ""
)</f>
        <v>1</v>
      </c>
      <c r="W34" s="259">
        <f>IFERROR(
    IF(
        OR(ISBLANK(R34), ISBLANK(S34)),
        "",
        MAX(
            1,
            IF(
                NETWORKDAYS(R34, S34, Holiday_Dates) &lt;= 0,
                1,
                NETWORKDAYS(R34, S34, Holiday_Dates) - IF(R34 = S34, 0, 1)
            )
        )
    ),
    ""
)</f>
        <v>1</v>
      </c>
      <c r="X34" s="6" t="s">
        <v>929</v>
      </c>
      <c r="Y34" s="6" t="s">
        <v>108</v>
      </c>
      <c r="Z34" s="6" t="s">
        <v>108</v>
      </c>
      <c r="AA34" s="6" t="s">
        <v>686</v>
      </c>
      <c r="AB34" s="6" t="s">
        <v>686</v>
      </c>
      <c r="AC34" s="6" t="s">
        <v>686</v>
      </c>
      <c r="AD34" s="6" t="s">
        <v>686</v>
      </c>
      <c r="AE34" s="6" t="s">
        <v>1027</v>
      </c>
      <c r="AF34" s="6"/>
      <c r="AG34" s="6"/>
    </row>
    <row r="35" spans="1:33" ht="30">
      <c r="A35" s="6" t="s">
        <v>53</v>
      </c>
      <c r="B35" s="6" t="s">
        <v>550</v>
      </c>
      <c r="C35" s="6" t="s">
        <v>1028</v>
      </c>
      <c r="D35" s="6" t="s">
        <v>89</v>
      </c>
      <c r="E35" s="59" t="s">
        <v>271</v>
      </c>
      <c r="F35" s="6" t="s">
        <v>1002</v>
      </c>
      <c r="G35" s="6">
        <v>15.0519</v>
      </c>
      <c r="H35" s="6">
        <v>120.0715</v>
      </c>
      <c r="I35" s="6" t="str">
        <f t="shared" si="1"/>
        <v>15.0519, 120.0715</v>
      </c>
      <c r="J35" s="622" t="s">
        <v>45</v>
      </c>
      <c r="K35" s="6" t="s">
        <v>41</v>
      </c>
      <c r="L35" s="6"/>
      <c r="M35" s="6" t="s">
        <v>133</v>
      </c>
      <c r="N35" s="6"/>
      <c r="O35" s="21"/>
      <c r="P35" s="21"/>
      <c r="Q35" s="21"/>
      <c r="R35" s="21"/>
      <c r="S35" s="21"/>
      <c r="T35" s="259" t="str">
        <f>IFERROR(
    IF(
        OR(ISBLANK(O35), ISBLANK(P35)),
        "",
        MAX(
            1,
            IF(
                NETWORKDAYS(O35, P35, Holiday_Dates) &lt;= 0,
                1,
                NETWORKDAYS(O35, P35, Holiday_Dates) - IF(O35 = P35, 0, 1)
            )
        )
    ),
    ""
)</f>
        <v/>
      </c>
      <c r="U35" s="259" t="str">
        <f>IF(
    OR(ISBLANK(P35), ISBLANK(Q35)),
    "",
    MAX(
        1,
        IF(
            NETWORKDAYS(P35, Q35, Holiday_Dates) &lt;= 0,
            1,
            NETWORKDAYS(P35, Q35, Holiday_Dates) - IF(P35 = Q35, 0, 1)
        )
    )
)</f>
        <v/>
      </c>
      <c r="V35" s="259" t="str">
        <f>IFERROR(
    IF(
        OR(ISBLANK(R35), AND(ISBLANK(P35), ISBLANK(Q35))),
        "",
        MAX(
            1,
            IF(
                NETWORKDAYS(IF(NOT(ISBLANK(Q35)), Q35, P35), R35, Holiday_Dates) &lt;= 0,
                1,
                NETWORKDAYS(IF(NOT(ISBLANK(Q35)), Q35, P35), R35, Holiday_Dates)
                - IF(IF(NOT(ISBLANK(Q35)), Q35, P35) = R35, 0, 1)
            )
        )
    ),
    ""
)</f>
        <v/>
      </c>
      <c r="W35" s="259" t="str">
        <f>IFERROR(
    IF(
        OR(ISBLANK(R35), ISBLANK(S35)),
        "",
        MAX(
            1,
            IF(
                NETWORKDAYS(R35, S35, Holiday_Dates) &lt;= 0,
                1,
                NETWORKDAYS(R35, S35, Holiday_Dates) - IF(R35 = S35, 0, 1)
            )
        )
    ),
    ""
)</f>
        <v/>
      </c>
      <c r="X35" s="6"/>
      <c r="Y35" s="6"/>
      <c r="Z35" s="6"/>
      <c r="AA35" s="6"/>
      <c r="AB35" s="6"/>
      <c r="AC35" s="6"/>
      <c r="AD35" s="6"/>
      <c r="AE35" s="6"/>
      <c r="AF35" s="6"/>
      <c r="AG35" s="6"/>
    </row>
    <row r="36" spans="1:33">
      <c r="A36" s="6" t="s">
        <v>47</v>
      </c>
      <c r="B36" s="6" t="s">
        <v>258</v>
      </c>
      <c r="C36" s="6" t="s">
        <v>704</v>
      </c>
      <c r="D36" s="6" t="s">
        <v>89</v>
      </c>
      <c r="E36" s="56" t="s">
        <v>259</v>
      </c>
      <c r="F36" s="6" t="s">
        <v>927</v>
      </c>
      <c r="G36" s="6">
        <v>15.814970000000001</v>
      </c>
      <c r="H36" s="6">
        <v>121.47982</v>
      </c>
      <c r="I36" s="6" t="str">
        <f t="shared" si="1"/>
        <v>15.81497, 121.47982</v>
      </c>
      <c r="J36" s="57" t="s">
        <v>57</v>
      </c>
      <c r="K36" s="6" t="s">
        <v>14</v>
      </c>
      <c r="L36" s="6"/>
      <c r="M36" s="35" t="s">
        <v>128</v>
      </c>
      <c r="O36" s="21"/>
      <c r="P36" s="21"/>
      <c r="Q36" s="21"/>
      <c r="R36" s="21"/>
      <c r="S36" s="21"/>
      <c r="T36" s="259" t="str">
        <f>IFERROR(
    IF(
        OR(ISBLANK(O36), ISBLANK(P36)),
        "",
        MAX(
            1,
            IF(
                NETWORKDAYS(O36, P36, Holiday_Dates) &lt;= 0,
                1,
                NETWORKDAYS(O36, P36, Holiday_Dates) - IF(O36 = P36, 0, 1)
            )
        )
    ),
    ""
)</f>
        <v/>
      </c>
      <c r="U36" s="259" t="str">
        <f>IF(
    OR(ISBLANK(P36), ISBLANK(Q36)),
    "",
    MAX(
        1,
        IF(
            NETWORKDAYS(P36, Q36, Holiday_Dates) &lt;= 0,
            1,
            NETWORKDAYS(P36, Q36, Holiday_Dates) - IF(P36 = Q36, 0, 1)
        )
    )
)</f>
        <v/>
      </c>
      <c r="V36" s="259" t="str">
        <f>IFERROR(
    IF(
        OR(ISBLANK(R36), AND(ISBLANK(P36), ISBLANK(Q36))),
        "",
        MAX(
            1,
            IF(
                NETWORKDAYS(IF(NOT(ISBLANK(Q36)), Q36, P36), R36, Holiday_Dates) &lt;= 0,
                1,
                NETWORKDAYS(IF(NOT(ISBLANK(Q36)), Q36, P36), R36, Holiday_Dates)
                - IF(IF(NOT(ISBLANK(Q36)), Q36, P36) = R36, 0, 1)
            )
        )
    ),
    ""
)</f>
        <v/>
      </c>
      <c r="W36" s="259" t="str">
        <f>IFERROR(
    IF(
        OR(ISBLANK(R36), ISBLANK(S36)),
        "",
        MAX(
            1,
            IF(
                NETWORKDAYS(R36, S36, Holiday_Dates) &lt;= 0,
                1,
                NETWORKDAYS(R36, S36, Holiday_Dates) - IF(R36 = S36, 0, 1)
            )
        )
    ),
    ""
)</f>
        <v/>
      </c>
      <c r="X36" s="6"/>
      <c r="Y36" s="6"/>
      <c r="Z36" s="6"/>
      <c r="AA36" s="6"/>
      <c r="AB36" s="6"/>
      <c r="AC36" s="6"/>
      <c r="AD36" s="6"/>
      <c r="AF36" s="6"/>
      <c r="AG36" s="6"/>
    </row>
    <row r="37" spans="1:33">
      <c r="A37" s="6" t="s">
        <v>48</v>
      </c>
      <c r="B37" s="6" t="s">
        <v>480</v>
      </c>
      <c r="C37" s="6" t="s">
        <v>1029</v>
      </c>
      <c r="D37" s="6" t="s">
        <v>88</v>
      </c>
      <c r="E37" s="59" t="s">
        <v>243</v>
      </c>
      <c r="F37" s="6" t="s">
        <v>927</v>
      </c>
      <c r="G37" s="6">
        <v>14.814472670000001</v>
      </c>
      <c r="H37" s="6">
        <v>120.47924198</v>
      </c>
      <c r="I37" s="6" t="str">
        <f t="shared" si="1"/>
        <v>14.81447267, 120.47924198</v>
      </c>
      <c r="J37" s="57" t="s">
        <v>57</v>
      </c>
      <c r="K37" s="6" t="s">
        <v>18</v>
      </c>
      <c r="L37" s="6"/>
      <c r="M37" s="35" t="s">
        <v>129</v>
      </c>
      <c r="N37" s="6"/>
      <c r="O37" s="21"/>
      <c r="P37" s="21"/>
      <c r="Q37" s="21"/>
      <c r="R37" s="21"/>
      <c r="S37" s="21"/>
      <c r="T37" s="259" t="str">
        <f>IFERROR(
    IF(
        OR(ISBLANK(O37), ISBLANK(P37)),
        "",
        MAX(
            1,
            IF(
                NETWORKDAYS(O37, P37, Holiday_Dates) &lt;= 0,
                1,
                NETWORKDAYS(O37, P37, Holiday_Dates) - IF(O37 = P37, 0, 1)
            )
        )
    ),
    ""
)</f>
        <v/>
      </c>
      <c r="U37" s="259" t="str">
        <f>IF(
    OR(ISBLANK(P37), ISBLANK(Q37)),
    "",
    MAX(
        1,
        IF(
            NETWORKDAYS(P37, Q37, Holiday_Dates) &lt;= 0,
            1,
            NETWORKDAYS(P37, Q37, Holiday_Dates) - IF(P37 = Q37, 0, 1)
        )
    )
)</f>
        <v/>
      </c>
      <c r="V37" s="259" t="str">
        <f>IFERROR(
    IF(
        OR(ISBLANK(R37), AND(ISBLANK(P37), ISBLANK(Q37))),
        "",
        MAX(
            1,
            IF(
                NETWORKDAYS(IF(NOT(ISBLANK(Q37)), Q37, P37), R37, Holiday_Dates) &lt;= 0,
                1,
                NETWORKDAYS(IF(NOT(ISBLANK(Q37)), Q37, P37), R37, Holiday_Dates)
                - IF(IF(NOT(ISBLANK(Q37)), Q37, P37) = R37, 0, 1)
            )
        )
    ),
    ""
)</f>
        <v/>
      </c>
      <c r="W37" s="259" t="str">
        <f>IFERROR(
    IF(
        OR(ISBLANK(R37), ISBLANK(S37)),
        "",
        MAX(
            1,
            IF(
                NETWORKDAYS(R37, S37, Holiday_Dates) &lt;= 0,
                1,
                NETWORKDAYS(R37, S37, Holiday_Dates) - IF(R37 = S37, 0, 1)
            )
        )
    ),
    ""
)</f>
        <v/>
      </c>
      <c r="X37" s="6"/>
      <c r="Y37" s="6"/>
      <c r="Z37" s="6"/>
      <c r="AA37" s="6"/>
      <c r="AB37" s="6"/>
      <c r="AC37" s="6"/>
      <c r="AD37" s="6"/>
      <c r="AE37" s="6"/>
      <c r="AF37" s="6"/>
      <c r="AG37" s="6"/>
    </row>
    <row r="38" spans="1:33">
      <c r="A38" s="250" t="s">
        <v>49</v>
      </c>
      <c r="B38" s="250" t="s">
        <v>404</v>
      </c>
      <c r="C38" s="250" t="s">
        <v>427</v>
      </c>
      <c r="D38" s="250" t="s">
        <v>88</v>
      </c>
      <c r="E38" s="295" t="s">
        <v>243</v>
      </c>
      <c r="F38" s="250" t="s">
        <v>927</v>
      </c>
      <c r="G38" s="250">
        <v>14.702999999999999</v>
      </c>
      <c r="H38" s="250">
        <v>120.88039999999999</v>
      </c>
      <c r="I38" s="250" t="str">
        <f t="shared" si="1"/>
        <v>14.703, 120.8804</v>
      </c>
      <c r="J38" s="243" t="s">
        <v>57</v>
      </c>
      <c r="K38" s="250" t="s">
        <v>21</v>
      </c>
      <c r="L38" s="250"/>
      <c r="M38" s="35" t="s">
        <v>128</v>
      </c>
      <c r="N38" s="250"/>
      <c r="O38" s="296"/>
      <c r="P38" s="296"/>
      <c r="Q38" s="296"/>
      <c r="R38" s="296"/>
      <c r="S38" s="296"/>
      <c r="T38" s="259" t="str">
        <f>IFERROR(
    IF(
        OR(ISBLANK(O38), ISBLANK(P38)),
        "",
        MAX(
            1,
            IF(
                NETWORKDAYS(O38, P38, Holiday_Dates) &lt;= 0,
                1,
                NETWORKDAYS(O38, P38, Holiday_Dates) - IF(O38 = P38, 0, 1)
            )
        )
    ),
    ""
)</f>
        <v/>
      </c>
      <c r="U38" s="259" t="str">
        <f>IF(
    OR(ISBLANK(P38), ISBLANK(Q38)),
    "",
    MAX(
        1,
        IF(
            NETWORKDAYS(P38, Q38, Holiday_Dates) &lt;= 0,
            1,
            NETWORKDAYS(P38, Q38, Holiday_Dates) - IF(P38 = Q38, 0, 1)
        )
    )
)</f>
        <v/>
      </c>
      <c r="V38" s="259" t="str">
        <f>IFERROR(
    IF(
        OR(ISBLANK(R38), AND(ISBLANK(P38), ISBLANK(Q38))),
        "",
        MAX(
            1,
            IF(
                NETWORKDAYS(IF(NOT(ISBLANK(Q38)), Q38, P38), R38, Holiday_Dates) &lt;= 0,
                1,
                NETWORKDAYS(IF(NOT(ISBLANK(Q38)), Q38, P38), R38, Holiday_Dates)
                - IF(IF(NOT(ISBLANK(Q38)), Q38, P38) = R38, 0, 1)
            )
        )
    ),
    ""
)</f>
        <v/>
      </c>
      <c r="W38" s="259" t="str">
        <f>IFERROR(
    IF(
        OR(ISBLANK(R38), ISBLANK(S38)),
        "",
        MAX(
            1,
            IF(
                NETWORKDAYS(R38, S38, Holiday_Dates) &lt;= 0,
                1,
                NETWORKDAYS(R38, S38, Holiday_Dates) - IF(R38 = S38, 0, 1)
            )
        )
    ),
    ""
)</f>
        <v/>
      </c>
      <c r="X38" s="250"/>
      <c r="Y38" s="250"/>
      <c r="Z38" s="250"/>
      <c r="AA38" s="250"/>
      <c r="AB38" s="250"/>
      <c r="AC38" s="250"/>
      <c r="AD38" s="250"/>
      <c r="AE38" s="250"/>
      <c r="AF38" s="250"/>
      <c r="AG38" s="250"/>
    </row>
    <row r="39" spans="1:33">
      <c r="A39" s="6" t="s">
        <v>49</v>
      </c>
      <c r="B39" s="6" t="s">
        <v>434</v>
      </c>
      <c r="C39" s="6" t="s">
        <v>769</v>
      </c>
      <c r="D39" s="6" t="s">
        <v>88</v>
      </c>
      <c r="E39" s="59" t="s">
        <v>381</v>
      </c>
      <c r="F39" s="6" t="s">
        <v>927</v>
      </c>
      <c r="G39" s="6">
        <v>14.915900000000001</v>
      </c>
      <c r="H39" s="6">
        <v>121.0874</v>
      </c>
      <c r="I39" s="6" t="str">
        <f t="shared" si="1"/>
        <v>14.9159, 121.0874</v>
      </c>
      <c r="J39" s="6" t="s">
        <v>57</v>
      </c>
      <c r="K39" s="6" t="s">
        <v>24</v>
      </c>
      <c r="L39" s="6"/>
      <c r="M39" s="35" t="s">
        <v>128</v>
      </c>
      <c r="N39" s="6"/>
      <c r="O39" s="21"/>
      <c r="P39" s="21"/>
      <c r="Q39" s="21"/>
      <c r="R39" s="21"/>
      <c r="S39" s="21"/>
      <c r="T39" s="259" t="str">
        <f>IFERROR(
    IF(
        OR(ISBLANK(O39), ISBLANK(P39)),
        "",
        MAX(
            1,
            IF(
                NETWORKDAYS(O39, P39, Holiday_Dates) &lt;= 0,
                1,
                NETWORKDAYS(O39, P39, Holiday_Dates) - IF(O39 = P39, 0, 1)
            )
        )
    ),
    ""
)</f>
        <v/>
      </c>
      <c r="U39" s="259" t="str">
        <f>IF(
    OR(ISBLANK(P39), ISBLANK(Q39)),
    "",
    MAX(
        1,
        IF(
            NETWORKDAYS(P39, Q39, Holiday_Dates) &lt;= 0,
            1,
            NETWORKDAYS(P39, Q39, Holiday_Dates) - IF(P39 = Q39, 0, 1)
        )
    )
)</f>
        <v/>
      </c>
      <c r="V39" s="259" t="str">
        <f>IFERROR(
    IF(
        OR(ISBLANK(R39), AND(ISBLANK(P39), ISBLANK(Q39))),
        "",
        MAX(
            1,
            IF(
                NETWORKDAYS(IF(NOT(ISBLANK(Q39)), Q39, P39), R39, Holiday_Dates) &lt;= 0,
                1,
                NETWORKDAYS(IF(NOT(ISBLANK(Q39)), Q39, P39), R39, Holiday_Dates)
                - IF(IF(NOT(ISBLANK(Q39)), Q39, P39) = R39, 0, 1)
            )
        )
    ),
    ""
)</f>
        <v/>
      </c>
      <c r="W39" s="259" t="str">
        <f>IFERROR(
    IF(
        OR(ISBLANK(R39), ISBLANK(S39)),
        "",
        MAX(
            1,
            IF(
                NETWORKDAYS(R39, S39, Holiday_Dates) &lt;= 0,
                1,
                NETWORKDAYS(R39, S39, Holiday_Dates) - IF(R39 = S39, 0, 1)
            )
        )
    ),
    ""
)</f>
        <v/>
      </c>
      <c r="X39" s="6"/>
      <c r="Y39" s="6"/>
      <c r="Z39" s="6"/>
      <c r="AA39" s="6"/>
      <c r="AB39" s="6"/>
      <c r="AC39" s="6"/>
      <c r="AD39" s="6"/>
      <c r="AE39" s="6"/>
      <c r="AF39" s="250"/>
      <c r="AG39" s="6"/>
    </row>
    <row r="40" spans="1:33">
      <c r="A40" s="73" t="s">
        <v>49</v>
      </c>
      <c r="B40" s="73" t="s">
        <v>499</v>
      </c>
      <c r="C40" s="73" t="s">
        <v>926</v>
      </c>
      <c r="D40" s="73" t="s">
        <v>88</v>
      </c>
      <c r="E40" s="306" t="s">
        <v>402</v>
      </c>
      <c r="F40" s="73" t="s">
        <v>927</v>
      </c>
      <c r="G40" s="73">
        <v>14.876568000000001</v>
      </c>
      <c r="H40" s="73">
        <v>120.96017399999999</v>
      </c>
      <c r="I40" s="73" t="str">
        <f t="shared" si="1"/>
        <v>14.876568, 120.960174</v>
      </c>
      <c r="J40" s="303" t="s">
        <v>57</v>
      </c>
      <c r="K40" s="73" t="s">
        <v>22</v>
      </c>
      <c r="L40" s="73"/>
      <c r="M40" s="35" t="s">
        <v>128</v>
      </c>
      <c r="N40" s="73"/>
      <c r="O40" s="305"/>
      <c r="P40" s="305"/>
      <c r="Q40" s="305"/>
      <c r="R40" s="305"/>
      <c r="S40" s="305"/>
      <c r="T40" s="259" t="str">
        <f>IFERROR(
    IF(
        OR(ISBLANK(O40), ISBLANK(P40)),
        "",
        MAX(
            1,
            IF(
                NETWORKDAYS(O40, P40, Holiday_Dates) &lt;= 0,
                1,
                NETWORKDAYS(O40, P40, Holiday_Dates) - IF(O40 = P40, 0, 1)
            )
        )
    ),
    ""
)</f>
        <v/>
      </c>
      <c r="U40" s="259" t="str">
        <f>IF(
    OR(ISBLANK(P40), ISBLANK(Q40)),
    "",
    MAX(
        1,
        IF(
            NETWORKDAYS(P40, Q40, Holiday_Dates) &lt;= 0,
            1,
            NETWORKDAYS(P40, Q40, Holiday_Dates) - IF(P40 = Q40, 0, 1)
        )
    )
)</f>
        <v/>
      </c>
      <c r="V40" s="259" t="str">
        <f>IFERROR(
    IF(
        OR(ISBLANK(R40), AND(ISBLANK(P40), ISBLANK(Q40))),
        "",
        MAX(
            1,
            IF(
                NETWORKDAYS(IF(NOT(ISBLANK(Q40)), Q40, P40), R40, Holiday_Dates) &lt;= 0,
                1,
                NETWORKDAYS(IF(NOT(ISBLANK(Q40)), Q40, P40), R40, Holiday_Dates)
                - IF(IF(NOT(ISBLANK(Q40)), Q40, P40) = R40, 0, 1)
            )
        )
    ),
    ""
)</f>
        <v/>
      </c>
      <c r="W40" s="259" t="str">
        <f>IFERROR(
    IF(
        OR(ISBLANK(R40), ISBLANK(S40)),
        "",
        MAX(
            1,
            IF(
                NETWORKDAYS(R40, S40, Holiday_Dates) &lt;= 0,
                1,
                NETWORKDAYS(R40, S40, Holiday_Dates) - IF(R40 = S40, 0, 1)
            )
        )
    ),
    ""
)</f>
        <v/>
      </c>
      <c r="X40" s="73"/>
      <c r="Y40" s="73"/>
      <c r="Z40" s="73"/>
      <c r="AA40" s="73"/>
      <c r="AB40" s="73"/>
      <c r="AC40" s="73"/>
      <c r="AD40" s="73"/>
      <c r="AE40" s="73"/>
      <c r="AF40" s="73"/>
      <c r="AG40" s="73"/>
    </row>
    <row r="41" spans="1:33">
      <c r="A41" s="250" t="s">
        <v>50</v>
      </c>
      <c r="B41" s="250" t="s">
        <v>444</v>
      </c>
      <c r="C41" s="250" t="s">
        <v>741</v>
      </c>
      <c r="D41" s="250" t="s">
        <v>88</v>
      </c>
      <c r="E41" s="295" t="s">
        <v>271</v>
      </c>
      <c r="F41" s="250" t="s">
        <v>927</v>
      </c>
      <c r="G41" s="250">
        <v>15.718769999999999</v>
      </c>
      <c r="H41" s="250">
        <v>121.10781</v>
      </c>
      <c r="I41" s="250" t="str">
        <f t="shared" si="1"/>
        <v>15.71877, 121.10781</v>
      </c>
      <c r="J41" s="243" t="s">
        <v>57</v>
      </c>
      <c r="K41" s="6" t="s">
        <v>26</v>
      </c>
      <c r="L41" s="6"/>
      <c r="M41" s="6" t="s">
        <v>130</v>
      </c>
      <c r="N41" s="250"/>
      <c r="O41" s="296"/>
      <c r="P41" s="296"/>
      <c r="Q41" s="296"/>
      <c r="R41" s="296"/>
      <c r="S41" s="296"/>
      <c r="T41" s="259" t="str">
        <f>IFERROR(
    IF(
        OR(ISBLANK(O41), ISBLANK(P41)),
        "",
        MAX(
            1,
            IF(
                NETWORKDAYS(O41, P41, Holiday_Dates) &lt;= 0,
                1,
                NETWORKDAYS(O41, P41, Holiday_Dates) - IF(O41 = P41, 0, 1)
            )
        )
    ),
    ""
)</f>
        <v/>
      </c>
      <c r="U41" s="259" t="str">
        <f>IF(
    OR(ISBLANK(P41), ISBLANK(Q41)),
    "",
    MAX(
        1,
        IF(
            NETWORKDAYS(P41, Q41, Holiday_Dates) &lt;= 0,
            1,
            NETWORKDAYS(P41, Q41, Holiday_Dates) - IF(P41 = Q41, 0, 1)
        )
    )
)</f>
        <v/>
      </c>
      <c r="V41" s="259" t="str">
        <f>IFERROR(
    IF(
        OR(ISBLANK(R41), AND(ISBLANK(P41), ISBLANK(Q41))),
        "",
        MAX(
            1,
            IF(
                NETWORKDAYS(IF(NOT(ISBLANK(Q41)), Q41, P41), R41, Holiday_Dates) &lt;= 0,
                1,
                NETWORKDAYS(IF(NOT(ISBLANK(Q41)), Q41, P41), R41, Holiday_Dates)
                - IF(IF(NOT(ISBLANK(Q41)), Q41, P41) = R41, 0, 1)
            )
        )
    ),
    ""
)</f>
        <v/>
      </c>
      <c r="W41" s="259" t="str">
        <f>IFERROR(
    IF(
        OR(ISBLANK(R41), ISBLANK(S41)),
        "",
        MAX(
            1,
            IF(
                NETWORKDAYS(R41, S41, Holiday_Dates) &lt;= 0,
                1,
                NETWORKDAYS(R41, S41, Holiday_Dates) - IF(R41 = S41, 0, 1)
            )
        )
    ),
    ""
)</f>
        <v/>
      </c>
      <c r="X41" s="250"/>
      <c r="Y41" s="250"/>
      <c r="Z41" s="250"/>
      <c r="AA41" s="250"/>
      <c r="AB41" s="250"/>
      <c r="AC41" s="250"/>
      <c r="AD41" s="250"/>
      <c r="AE41" s="250"/>
      <c r="AF41" s="250"/>
      <c r="AG41" s="250"/>
    </row>
    <row r="42" spans="1:33">
      <c r="A42" s="6" t="s">
        <v>50</v>
      </c>
      <c r="B42" s="6" t="s">
        <v>522</v>
      </c>
      <c r="C42" s="6" t="s">
        <v>1030</v>
      </c>
      <c r="D42" s="6" t="s">
        <v>88</v>
      </c>
      <c r="E42" s="59" t="s">
        <v>224</v>
      </c>
      <c r="F42" s="6" t="s">
        <v>927</v>
      </c>
      <c r="G42" s="6">
        <v>15.3964</v>
      </c>
      <c r="H42" s="6">
        <v>120.971</v>
      </c>
      <c r="I42" s="6" t="str">
        <f t="shared" si="1"/>
        <v>15.3964, 120.971</v>
      </c>
      <c r="J42" s="6" t="s">
        <v>57</v>
      </c>
      <c r="K42" s="6" t="s">
        <v>1031</v>
      </c>
      <c r="L42" s="6"/>
      <c r="M42" s="6" t="s">
        <v>130</v>
      </c>
      <c r="N42" s="6"/>
      <c r="O42" s="21"/>
      <c r="P42" s="21"/>
      <c r="Q42" s="21"/>
      <c r="R42" s="21"/>
      <c r="S42" s="21"/>
      <c r="T42" s="259" t="str">
        <f>IFERROR(
    IF(
        OR(ISBLANK(O42), ISBLANK(P42)),
        "",
        MAX(
            1,
            IF(
                NETWORKDAYS(O42, P42, Holiday_Dates) &lt;= 0,
                1,
                NETWORKDAYS(O42, P42, Holiday_Dates) - IF(O42 = P42, 0, 1)
            )
        )
    ),
    ""
)</f>
        <v/>
      </c>
      <c r="U42" s="259" t="str">
        <f>IF(
    OR(ISBLANK(P42), ISBLANK(Q42)),
    "",
    MAX(
        1,
        IF(
            NETWORKDAYS(P42, Q42, Holiday_Dates) &lt;= 0,
            1,
            NETWORKDAYS(P42, Q42, Holiday_Dates) - IF(P42 = Q42, 0, 1)
        )
    )
)</f>
        <v/>
      </c>
      <c r="V42" s="259" t="str">
        <f>IFERROR(
    IF(
        OR(ISBLANK(R42), AND(ISBLANK(P42), ISBLANK(Q42))),
        "",
        MAX(
            1,
            IF(
                NETWORKDAYS(IF(NOT(ISBLANK(Q42)), Q42, P42), R42, Holiday_Dates) &lt;= 0,
                1,
                NETWORKDAYS(IF(NOT(ISBLANK(Q42)), Q42, P42), R42, Holiday_Dates)
                - IF(IF(NOT(ISBLANK(Q42)), Q42, P42) = R42, 0, 1)
            )
        )
    ),
    ""
)</f>
        <v/>
      </c>
      <c r="W42" s="259" t="str">
        <f>IFERROR(
    IF(
        OR(ISBLANK(R42), ISBLANK(S42)),
        "",
        MAX(
            1,
            IF(
                NETWORKDAYS(R42, S42, Holiday_Dates) &lt;= 0,
                1,
                NETWORKDAYS(R42, S42, Holiday_Dates) - IF(R42 = S42, 0, 1)
            )
        )
    ),
    ""
)</f>
        <v/>
      </c>
      <c r="X42" s="3"/>
      <c r="Y42" s="6"/>
      <c r="Z42" s="6"/>
      <c r="AA42" s="6"/>
      <c r="AB42" s="6"/>
      <c r="AC42" s="6"/>
      <c r="AD42" s="6"/>
      <c r="AE42" s="6"/>
      <c r="AF42" s="6"/>
      <c r="AG42" s="6"/>
    </row>
    <row r="43" spans="1:33">
      <c r="A43" s="73" t="s">
        <v>50</v>
      </c>
      <c r="B43" s="73" t="s">
        <v>526</v>
      </c>
      <c r="C43" s="73" t="s">
        <v>694</v>
      </c>
      <c r="D43" s="73" t="s">
        <v>88</v>
      </c>
      <c r="E43" s="306" t="s">
        <v>243</v>
      </c>
      <c r="F43" s="73" t="s">
        <v>927</v>
      </c>
      <c r="G43" s="73">
        <v>15.5891</v>
      </c>
      <c r="H43" s="73">
        <v>120.8691</v>
      </c>
      <c r="I43" s="73" t="str">
        <f t="shared" si="1"/>
        <v>15.5891, 120.8691</v>
      </c>
      <c r="J43" s="303" t="s">
        <v>57</v>
      </c>
      <c r="K43" s="73" t="s">
        <v>27</v>
      </c>
      <c r="L43" s="73"/>
      <c r="M43" s="6" t="s">
        <v>130</v>
      </c>
      <c r="N43" s="73"/>
      <c r="O43" s="305"/>
      <c r="P43" s="305"/>
      <c r="Q43" s="305"/>
      <c r="R43" s="305"/>
      <c r="S43" s="305"/>
      <c r="T43" s="259" t="str">
        <f>IFERROR(
    IF(
        OR(ISBLANK(O43), ISBLANK(P43)),
        "",
        MAX(
            1,
            IF(
                NETWORKDAYS(O43, P43, Holiday_Dates) &lt;= 0,
                1,
                NETWORKDAYS(O43, P43, Holiday_Dates) - IF(O43 = P43, 0, 1)
            )
        )
    ),
    ""
)</f>
        <v/>
      </c>
      <c r="U43" s="259" t="str">
        <f>IF(
    OR(ISBLANK(P43), ISBLANK(Q43)),
    "",
    MAX(
        1,
        IF(
            NETWORKDAYS(P43, Q43, Holiday_Dates) &lt;= 0,
            1,
            NETWORKDAYS(P43, Q43, Holiday_Dates) - IF(P43 = Q43, 0, 1)
        )
    )
)</f>
        <v/>
      </c>
      <c r="V43" s="259" t="str">
        <f>IFERROR(
    IF(
        OR(ISBLANK(R43), AND(ISBLANK(P43), ISBLANK(Q43))),
        "",
        MAX(
            1,
            IF(
                NETWORKDAYS(IF(NOT(ISBLANK(Q43)), Q43, P43), R43, Holiday_Dates) &lt;= 0,
                1,
                NETWORKDAYS(IF(NOT(ISBLANK(Q43)), Q43, P43), R43, Holiday_Dates)
                - IF(IF(NOT(ISBLANK(Q43)), Q43, P43) = R43, 0, 1)
            )
        )
    ),
    ""
)</f>
        <v/>
      </c>
      <c r="W43" s="259" t="str">
        <f>IFERROR(
    IF(
        OR(ISBLANK(R43), ISBLANK(S43)),
        "",
        MAX(
            1,
            IF(
                NETWORKDAYS(R43, S43, Holiday_Dates) &lt;= 0,
                1,
                NETWORKDAYS(R43, S43, Holiday_Dates) - IF(R43 = S43, 0, 1)
            )
        )
    ),
    ""
)</f>
        <v/>
      </c>
      <c r="X43" s="73"/>
      <c r="Y43" s="73"/>
      <c r="Z43" s="73"/>
      <c r="AA43" s="73"/>
      <c r="AB43" s="73"/>
      <c r="AC43" s="73"/>
      <c r="AD43" s="73"/>
      <c r="AE43" s="73"/>
      <c r="AF43" s="73"/>
      <c r="AG43" s="73"/>
    </row>
    <row r="44" spans="1:33">
      <c r="A44" s="250" t="s">
        <v>50</v>
      </c>
      <c r="B44" s="250" t="s">
        <v>528</v>
      </c>
      <c r="C44" s="250" t="s">
        <v>1032</v>
      </c>
      <c r="D44" s="250" t="s">
        <v>88</v>
      </c>
      <c r="E44" s="295" t="s">
        <v>271</v>
      </c>
      <c r="F44" s="250" t="s">
        <v>927</v>
      </c>
      <c r="G44" s="250">
        <v>15.7863091</v>
      </c>
      <c r="H44" s="250">
        <v>120.8106354</v>
      </c>
      <c r="I44" s="250" t="str">
        <f t="shared" si="1"/>
        <v>15.7863091, 120.8106354</v>
      </c>
      <c r="J44" s="243" t="s">
        <v>57</v>
      </c>
      <c r="K44" s="250" t="s">
        <v>29</v>
      </c>
      <c r="L44" s="318"/>
      <c r="M44" s="318" t="s">
        <v>130</v>
      </c>
      <c r="N44" s="250"/>
      <c r="O44" s="296"/>
      <c r="P44" s="296"/>
      <c r="Q44" s="296"/>
      <c r="R44" s="296"/>
      <c r="S44" s="296"/>
      <c r="T44" s="259" t="str">
        <f>IFERROR(
    IF(
        OR(ISBLANK(O44), ISBLANK(P44)),
        "",
        MAX(
            1,
            IF(
                NETWORKDAYS(O44, P44, Holiday_Dates) &lt;= 0,
                1,
                NETWORKDAYS(O44, P44, Holiday_Dates) - IF(O44 = P44, 0, 1)
            )
        )
    ),
    ""
)</f>
        <v/>
      </c>
      <c r="U44" s="259" t="str">
        <f>IF(
    OR(ISBLANK(P44), ISBLANK(Q44)),
    "",
    MAX(
        1,
        IF(
            NETWORKDAYS(P44, Q44, Holiday_Dates) &lt;= 0,
            1,
            NETWORKDAYS(P44, Q44, Holiday_Dates) - IF(P44 = Q44, 0, 1)
        )
    )
)</f>
        <v/>
      </c>
      <c r="V44" s="259" t="str">
        <f>IFERROR(
    IF(
        OR(ISBLANK(R44), AND(ISBLANK(P44), ISBLANK(Q44))),
        "",
        MAX(
            1,
            IF(
                NETWORKDAYS(IF(NOT(ISBLANK(Q44)), Q44, P44), R44, Holiday_Dates) &lt;= 0,
                1,
                NETWORKDAYS(IF(NOT(ISBLANK(Q44)), Q44, P44), R44, Holiday_Dates)
                - IF(IF(NOT(ISBLANK(Q44)), Q44, P44) = R44, 0, 1)
            )
        )
    ),
    ""
)</f>
        <v/>
      </c>
      <c r="W44" s="259" t="str">
        <f>IFERROR(
    IF(
        OR(ISBLANK(R44), ISBLANK(S44)),
        "",
        MAX(
            1,
            IF(
                NETWORKDAYS(R44, S44, Holiday_Dates) &lt;= 0,
                1,
                NETWORKDAYS(R44, S44, Holiday_Dates) - IF(R44 = S44, 0, 1)
            )
        )
    ),
    ""
)</f>
        <v/>
      </c>
      <c r="X44" s="250"/>
      <c r="Y44" s="250"/>
      <c r="Z44" s="250"/>
      <c r="AA44" s="250"/>
      <c r="AB44" s="250"/>
      <c r="AC44" s="250"/>
      <c r="AD44" s="250"/>
      <c r="AE44" s="250"/>
      <c r="AF44" s="250"/>
      <c r="AG44" s="250"/>
    </row>
    <row r="45" spans="1:33">
      <c r="A45" s="6" t="s">
        <v>51</v>
      </c>
      <c r="B45" s="6" t="s">
        <v>537</v>
      </c>
      <c r="C45" s="6" t="s">
        <v>1033</v>
      </c>
      <c r="D45" s="6" t="s">
        <v>88</v>
      </c>
      <c r="E45" s="61" t="s">
        <v>213</v>
      </c>
      <c r="F45" s="6" t="s">
        <v>927</v>
      </c>
      <c r="G45" s="6">
        <v>15.135300000000001</v>
      </c>
      <c r="H45" s="6">
        <v>120.64998</v>
      </c>
      <c r="I45" s="6" t="str">
        <f t="shared" si="1"/>
        <v>15.1353, 120.64998</v>
      </c>
      <c r="J45" s="6" t="s">
        <v>57</v>
      </c>
      <c r="K45" s="6" t="s">
        <v>32</v>
      </c>
      <c r="L45" s="57"/>
      <c r="M45" s="57" t="s">
        <v>133</v>
      </c>
      <c r="N45" s="6"/>
      <c r="O45" s="249"/>
      <c r="P45" s="249"/>
      <c r="Q45" s="21"/>
      <c r="R45" s="21"/>
      <c r="S45" s="21"/>
      <c r="T45" s="259" t="str">
        <f>IFERROR(
    IF(
        OR(ISBLANK(O45), ISBLANK(P45)),
        "",
        MAX(
            1,
            IF(
                NETWORKDAYS(O45, P45, Holiday_Dates) &lt;= 0,
                1,
                NETWORKDAYS(O45, P45, Holiday_Dates) - IF(O45 = P45, 0, 1)
            )
        )
    ),
    ""
)</f>
        <v/>
      </c>
      <c r="U45" s="259" t="str">
        <f>IF(
    OR(ISBLANK(P45), ISBLANK(Q45)),
    "",
    MAX(
        1,
        IF(
            NETWORKDAYS(P45, Q45, Holiday_Dates) &lt;= 0,
            1,
            NETWORKDAYS(P45, Q45, Holiday_Dates) - IF(P45 = Q45, 0, 1)
        )
    )
)</f>
        <v/>
      </c>
      <c r="V45" s="259" t="str">
        <f>IFERROR(
    IF(
        OR(ISBLANK(R45), AND(ISBLANK(P45), ISBLANK(Q45))),
        "",
        MAX(
            1,
            IF(
                NETWORKDAYS(IF(NOT(ISBLANK(Q45)), Q45, P45), R45, Holiday_Dates) &lt;= 0,
                1,
                NETWORKDAYS(IF(NOT(ISBLANK(Q45)), Q45, P45), R45, Holiday_Dates)
                - IF(IF(NOT(ISBLANK(Q45)), Q45, P45) = R45, 0, 1)
            )
        )
    ),
    ""
)</f>
        <v/>
      </c>
      <c r="W45" s="259" t="str">
        <f>IFERROR(
    IF(
        OR(ISBLANK(R45), ISBLANK(S45)),
        "",
        MAX(
            1,
            IF(
                NETWORKDAYS(R45, S45, Holiday_Dates) &lt;= 0,
                1,
                NETWORKDAYS(R45, S45, Holiday_Dates) - IF(R45 = S45, 0, 1)
            )
        )
    ),
    ""
)</f>
        <v/>
      </c>
      <c r="X45" s="6"/>
      <c r="Y45" s="6"/>
      <c r="Z45" s="6"/>
      <c r="AA45" s="6"/>
      <c r="AB45" s="6"/>
      <c r="AC45" s="6"/>
      <c r="AD45" s="6"/>
      <c r="AE45" s="6"/>
      <c r="AF45" s="6"/>
      <c r="AG45" s="6"/>
    </row>
    <row r="46" spans="1:33">
      <c r="A46" s="73" t="s">
        <v>51</v>
      </c>
      <c r="B46" s="73" t="s">
        <v>539</v>
      </c>
      <c r="C46" s="73" t="s">
        <v>1034</v>
      </c>
      <c r="D46" s="73" t="s">
        <v>88</v>
      </c>
      <c r="E46" s="311" t="s">
        <v>271</v>
      </c>
      <c r="F46" s="73" t="s">
        <v>927</v>
      </c>
      <c r="G46" s="73">
        <v>15.02195</v>
      </c>
      <c r="H46" s="73">
        <v>120.56746</v>
      </c>
      <c r="I46" s="73" t="str">
        <f t="shared" si="1"/>
        <v>15.02195, 120.56746</v>
      </c>
      <c r="J46" s="73" t="s">
        <v>57</v>
      </c>
      <c r="K46" s="250" t="s">
        <v>145</v>
      </c>
      <c r="L46" s="450"/>
      <c r="M46" s="304" t="s">
        <v>133</v>
      </c>
      <c r="N46" s="73"/>
      <c r="O46" s="305"/>
      <c r="P46" s="305"/>
      <c r="Q46" s="305"/>
      <c r="R46" s="305"/>
      <c r="S46" s="305"/>
      <c r="T46" s="259" t="str">
        <f>IFERROR(
    IF(
        OR(ISBLANK(O46), ISBLANK(P46)),
        "",
        MAX(
            1,
            IF(
                NETWORKDAYS(O46, P46, Holiday_Dates) &lt;= 0,
                1,
                NETWORKDAYS(O46, P46, Holiday_Dates) - IF(O46 = P46, 0, 1)
            )
        )
    ),
    ""
)</f>
        <v/>
      </c>
      <c r="U46" s="259" t="str">
        <f>IF(
    OR(ISBLANK(P46), ISBLANK(Q46)),
    "",
    MAX(
        1,
        IF(
            NETWORKDAYS(P46, Q46, Holiday_Dates) &lt;= 0,
            1,
            NETWORKDAYS(P46, Q46, Holiday_Dates) - IF(P46 = Q46, 0, 1)
        )
    )
)</f>
        <v/>
      </c>
      <c r="V46" s="259" t="str">
        <f>IFERROR(
    IF(
        OR(ISBLANK(R46), AND(ISBLANK(P46), ISBLANK(Q46))),
        "",
        MAX(
            1,
            IF(
                NETWORKDAYS(IF(NOT(ISBLANK(Q46)), Q46, P46), R46, Holiday_Dates) &lt;= 0,
                1,
                NETWORKDAYS(IF(NOT(ISBLANK(Q46)), Q46, P46), R46, Holiday_Dates)
                - IF(IF(NOT(ISBLANK(Q46)), Q46, P46) = R46, 0, 1)
            )
        )
    ),
    ""
)</f>
        <v/>
      </c>
      <c r="W46" s="259" t="str">
        <f>IFERROR(
    IF(
        OR(ISBLANK(R46), ISBLANK(S46)),
        "",
        MAX(
            1,
            IF(
                NETWORKDAYS(R46, S46, Holiday_Dates) &lt;= 0,
                1,
                NETWORKDAYS(R46, S46, Holiday_Dates) - IF(R46 = S46, 0, 1)
            )
        )
    ),
    ""
)</f>
        <v/>
      </c>
      <c r="X46" s="73"/>
      <c r="Y46" s="73"/>
      <c r="Z46" s="73"/>
      <c r="AA46" s="73"/>
      <c r="AB46" s="73"/>
      <c r="AC46" s="73"/>
      <c r="AD46" s="73"/>
      <c r="AE46" s="73"/>
      <c r="AF46" s="73"/>
      <c r="AG46" s="73"/>
    </row>
    <row r="47" spans="1:33">
      <c r="A47" s="6" t="s">
        <v>51</v>
      </c>
      <c r="B47" s="6" t="s">
        <v>1035</v>
      </c>
      <c r="C47" s="6" t="s">
        <v>653</v>
      </c>
      <c r="D47" s="6" t="s">
        <v>88</v>
      </c>
      <c r="E47" s="61" t="s">
        <v>224</v>
      </c>
      <c r="F47" s="6" t="s">
        <v>927</v>
      </c>
      <c r="G47" s="6">
        <v>15.003913000000001</v>
      </c>
      <c r="H47" s="6">
        <v>120.697005</v>
      </c>
      <c r="I47" s="6" t="str">
        <f t="shared" si="1"/>
        <v>15.003913, 120.697005</v>
      </c>
      <c r="J47" s="6" t="s">
        <v>57</v>
      </c>
      <c r="K47" s="250" t="s">
        <v>33</v>
      </c>
      <c r="L47" s="318"/>
      <c r="M47" s="58" t="s">
        <v>239</v>
      </c>
      <c r="N47" s="6"/>
      <c r="O47" s="21"/>
      <c r="P47" s="21"/>
      <c r="Q47" s="21"/>
      <c r="R47" s="21"/>
      <c r="S47" s="21"/>
      <c r="T47" s="259" t="str">
        <f>IFERROR(
    IF(
        OR(ISBLANK(O47), ISBLANK(P47)),
        "",
        MAX(
            1,
            IF(
                NETWORKDAYS(O47, P47, Holiday_Dates) &lt;= 0,
                1,
                NETWORKDAYS(O47, P47, Holiday_Dates) - IF(O47 = P47, 0, 1)
            )
        )
    ),
    ""
)</f>
        <v/>
      </c>
      <c r="U47" s="259" t="str">
        <f>IF(
    OR(ISBLANK(P47), ISBLANK(Q47)),
    "",
    MAX(
        1,
        IF(
            NETWORKDAYS(P47, Q47, Holiday_Dates) &lt;= 0,
            1,
            NETWORKDAYS(P47, Q47, Holiday_Dates) - IF(P47 = Q47, 0, 1)
        )
    )
)</f>
        <v/>
      </c>
      <c r="V47" s="259" t="str">
        <f>IFERROR(
    IF(
        OR(ISBLANK(R47), AND(ISBLANK(P47), ISBLANK(Q47))),
        "",
        MAX(
            1,
            IF(
                NETWORKDAYS(IF(NOT(ISBLANK(Q47)), Q47, P47), R47, Holiday_Dates) &lt;= 0,
                1,
                NETWORKDAYS(IF(NOT(ISBLANK(Q47)), Q47, P47), R47, Holiday_Dates)
                - IF(IF(NOT(ISBLANK(Q47)), Q47, P47) = R47, 0, 1)
            )
        )
    ),
    ""
)</f>
        <v/>
      </c>
      <c r="W47" s="259" t="str">
        <f>IFERROR(
    IF(
        OR(ISBLANK(R47), ISBLANK(S47)),
        "",
        MAX(
            1,
            IF(
                NETWORKDAYS(R47, S47, Holiday_Dates) &lt;= 0,
                1,
                NETWORKDAYS(R47, S47, Holiday_Dates) - IF(R47 = S47, 0, 1)
            )
        )
    ),
    ""
)</f>
        <v/>
      </c>
      <c r="X47" s="6"/>
      <c r="Y47" s="6"/>
      <c r="Z47" s="6"/>
      <c r="AA47" s="6"/>
      <c r="AB47" s="6"/>
      <c r="AC47" s="6"/>
      <c r="AD47" s="6"/>
      <c r="AE47" s="6"/>
      <c r="AF47" s="6"/>
      <c r="AG47" s="6"/>
    </row>
    <row r="48" spans="1:33" ht="30">
      <c r="A48" s="6" t="s">
        <v>52</v>
      </c>
      <c r="B48" s="6" t="s">
        <v>454</v>
      </c>
      <c r="C48" s="6" t="s">
        <v>1036</v>
      </c>
      <c r="D48" s="6" t="s">
        <v>89</v>
      </c>
      <c r="E48" s="61" t="s">
        <v>243</v>
      </c>
      <c r="F48" s="6" t="s">
        <v>1002</v>
      </c>
      <c r="G48" s="6">
        <v>15.6158</v>
      </c>
      <c r="H48" s="6">
        <v>120.6521</v>
      </c>
      <c r="I48" s="6" t="str">
        <f t="shared" si="1"/>
        <v>15.6158, 120.6521</v>
      </c>
      <c r="J48" s="6" t="s">
        <v>57</v>
      </c>
      <c r="K48" s="62" t="s">
        <v>37</v>
      </c>
      <c r="M48" s="58" t="s">
        <v>28</v>
      </c>
      <c r="N48" s="6"/>
      <c r="O48" s="21"/>
      <c r="P48" s="21"/>
      <c r="Q48" s="21"/>
      <c r="R48" s="21"/>
      <c r="S48" s="21"/>
      <c r="T48" s="259" t="str">
        <f>IFERROR(
    IF(
        OR(ISBLANK(O48), ISBLANK(P48)),
        "",
        MAX(
            1,
            IF(
                NETWORKDAYS(O48, P48, Holiday_Dates) &lt;= 0,
                1,
                NETWORKDAYS(O48, P48, Holiday_Dates) - IF(O48 = P48, 0, 1)
            )
        )
    ),
    ""
)</f>
        <v/>
      </c>
      <c r="U48" s="259" t="str">
        <f>IF(
    OR(ISBLANK(P48), ISBLANK(Q48)),
    "",
    MAX(
        1,
        IF(
            NETWORKDAYS(P48, Q48, Holiday_Dates) &lt;= 0,
            1,
            NETWORKDAYS(P48, Q48, Holiday_Dates) - IF(P48 = Q48, 0, 1)
        )
    )
)</f>
        <v/>
      </c>
      <c r="V48" s="259" t="str">
        <f>IFERROR(
    IF(
        OR(ISBLANK(R48), AND(ISBLANK(P48), ISBLANK(Q48))),
        "",
        MAX(
            1,
            IF(
                NETWORKDAYS(IF(NOT(ISBLANK(Q48)), Q48, P48), R48, Holiday_Dates) &lt;= 0,
                1,
                NETWORKDAYS(IF(NOT(ISBLANK(Q48)), Q48, P48), R48, Holiday_Dates)
                - IF(IF(NOT(ISBLANK(Q48)), Q48, P48) = R48, 0, 1)
            )
        )
    ),
    ""
)</f>
        <v/>
      </c>
      <c r="W48" s="259" t="str">
        <f>IFERROR(
    IF(
        OR(ISBLANK(R48), ISBLANK(S48)),
        "",
        MAX(
            1,
            IF(
                NETWORKDAYS(R48, S48, Holiday_Dates) &lt;= 0,
                1,
                NETWORKDAYS(R48, S48, Holiday_Dates) - IF(R48 = S48, 0, 1)
            )
        )
    ),
    ""
)</f>
        <v/>
      </c>
      <c r="X48" s="6"/>
      <c r="Y48" s="6"/>
      <c r="Z48" s="6"/>
      <c r="AA48" s="6"/>
      <c r="AB48" s="6"/>
      <c r="AC48" s="6"/>
      <c r="AD48" s="6"/>
      <c r="AE48" s="6"/>
      <c r="AF48" s="6"/>
      <c r="AG48" s="6"/>
    </row>
    <row r="49" spans="1:33" ht="30">
      <c r="A49" s="6" t="s">
        <v>52</v>
      </c>
      <c r="B49" s="6" t="s">
        <v>466</v>
      </c>
      <c r="C49" s="6" t="s">
        <v>1037</v>
      </c>
      <c r="D49" s="6" t="s">
        <v>89</v>
      </c>
      <c r="E49" s="61" t="s">
        <v>243</v>
      </c>
      <c r="F49" s="6" t="s">
        <v>1002</v>
      </c>
      <c r="G49" s="6">
        <v>15.687609999999999</v>
      </c>
      <c r="H49" s="6">
        <v>120.63420000000001</v>
      </c>
      <c r="I49" s="6" t="str">
        <f t="shared" si="1"/>
        <v>15.68761, 120.6342</v>
      </c>
      <c r="J49" s="6" t="s">
        <v>57</v>
      </c>
      <c r="K49" s="62" t="s">
        <v>38</v>
      </c>
      <c r="M49" s="58" t="s">
        <v>28</v>
      </c>
      <c r="N49" s="6"/>
      <c r="O49" s="21"/>
      <c r="P49" s="21"/>
      <c r="Q49" s="21"/>
      <c r="R49" s="21"/>
      <c r="S49" s="21"/>
      <c r="T49" s="259" t="str">
        <f>IFERROR(
    IF(
        OR(ISBLANK(O49), ISBLANK(P49)),
        "",
        MAX(
            1,
            IF(
                NETWORKDAYS(O49, P49, Holiday_Dates) &lt;= 0,
                1,
                NETWORKDAYS(O49, P49, Holiday_Dates) - IF(O49 = P49, 0, 1)
            )
        )
    ),
    ""
)</f>
        <v/>
      </c>
      <c r="U49" s="259" t="str">
        <f>IF(
    OR(ISBLANK(P49), ISBLANK(Q49)),
    "",
    MAX(
        1,
        IF(
            NETWORKDAYS(P49, Q49, Holiday_Dates) &lt;= 0,
            1,
            NETWORKDAYS(P49, Q49, Holiday_Dates) - IF(P49 = Q49, 0, 1)
        )
    )
)</f>
        <v/>
      </c>
      <c r="V49" s="259" t="str">
        <f>IFERROR(
    IF(
        OR(ISBLANK(R49), AND(ISBLANK(P49), ISBLANK(Q49))),
        "",
        MAX(
            1,
            IF(
                NETWORKDAYS(IF(NOT(ISBLANK(Q49)), Q49, P49), R49, Holiday_Dates) &lt;= 0,
                1,
                NETWORKDAYS(IF(NOT(ISBLANK(Q49)), Q49, P49), R49, Holiday_Dates)
                - IF(IF(NOT(ISBLANK(Q49)), Q49, P49) = R49, 0, 1)
            )
        )
    ),
    ""
)</f>
        <v/>
      </c>
      <c r="W49" s="259" t="str">
        <f>IFERROR(
    IF(
        OR(ISBLANK(R49), ISBLANK(S49)),
        "",
        MAX(
            1,
            IF(
                NETWORKDAYS(R49, S49, Holiday_Dates) &lt;= 0,
                1,
                NETWORKDAYS(R49, S49, Holiday_Dates) - IF(R49 = S49, 0, 1)
            )
        )
    ),
    ""
)</f>
        <v/>
      </c>
      <c r="X49" s="6"/>
      <c r="Y49" s="6"/>
      <c r="Z49" s="6"/>
      <c r="AA49" s="6"/>
      <c r="AB49" s="6"/>
      <c r="AC49" s="6"/>
      <c r="AD49" s="6"/>
      <c r="AE49" s="6"/>
      <c r="AF49" s="6"/>
      <c r="AG49" s="6"/>
    </row>
    <row r="50" spans="1:33" ht="30">
      <c r="A50" s="6" t="s">
        <v>53</v>
      </c>
      <c r="B50" s="6" t="s">
        <v>546</v>
      </c>
      <c r="C50" s="6" t="s">
        <v>867</v>
      </c>
      <c r="D50" s="6" t="s">
        <v>89</v>
      </c>
      <c r="E50" s="59" t="s">
        <v>271</v>
      </c>
      <c r="F50" s="6" t="s">
        <v>959</v>
      </c>
      <c r="G50" s="6">
        <v>15.5982</v>
      </c>
      <c r="H50" s="6">
        <v>119.9748</v>
      </c>
      <c r="I50" s="6" t="str">
        <f t="shared" si="1"/>
        <v>15.5982, 119.9748</v>
      </c>
      <c r="J50" s="6" t="s">
        <v>57</v>
      </c>
      <c r="K50" s="6" t="s">
        <v>42</v>
      </c>
      <c r="L50" s="58"/>
      <c r="M50" s="58" t="s">
        <v>133</v>
      </c>
      <c r="N50" s="6"/>
      <c r="O50" s="21"/>
      <c r="P50" s="21"/>
      <c r="Q50" s="21"/>
      <c r="R50" s="21"/>
      <c r="S50" s="21"/>
      <c r="T50" s="259" t="str">
        <f>IFERROR(
    IF(
        OR(ISBLANK(O50), ISBLANK(P50)),
        "",
        MAX(
            1,
            IF(
                NETWORKDAYS(O50, P50, Holiday_Dates) &lt;= 0,
                1,
                NETWORKDAYS(O50, P50, Holiday_Dates) - IF(O50 = P50, 0, 1)
            )
        )
    ),
    ""
)</f>
        <v/>
      </c>
      <c r="U50" s="259" t="str">
        <f>IF(
    OR(ISBLANK(P50), ISBLANK(Q50)),
    "",
    MAX(
        1,
        IF(
            NETWORKDAYS(P50, Q50, Holiday_Dates) &lt;= 0,
            1,
            NETWORKDAYS(P50, Q50, Holiday_Dates) - IF(P50 = Q50, 0, 1)
        )
    )
)</f>
        <v/>
      </c>
      <c r="V50" s="259" t="str">
        <f>IFERROR(
    IF(
        OR(ISBLANK(R50), AND(ISBLANK(P50), ISBLANK(Q50))),
        "",
        MAX(
            1,
            IF(
                NETWORKDAYS(IF(NOT(ISBLANK(Q50)), Q50, P50), R50, Holiday_Dates) &lt;= 0,
                1,
                NETWORKDAYS(IF(NOT(ISBLANK(Q50)), Q50, P50), R50, Holiday_Dates)
                - IF(IF(NOT(ISBLANK(Q50)), Q50, P50) = R50, 0, 1)
            )
        )
    ),
    ""
)</f>
        <v/>
      </c>
      <c r="W50" s="259" t="str">
        <f>IFERROR(
    IF(
        OR(ISBLANK(R50), ISBLANK(S50)),
        "",
        MAX(
            1,
            IF(
                NETWORKDAYS(R50, S50, Holiday_Dates) &lt;= 0,
                1,
                NETWORKDAYS(R50, S50, Holiday_Dates) - IF(R50 = S50, 0, 1)
            )
        )
    ),
    ""
)</f>
        <v/>
      </c>
      <c r="X50" s="6"/>
      <c r="Y50" s="6"/>
      <c r="Z50" s="6"/>
      <c r="AA50" s="6"/>
      <c r="AB50" s="6"/>
      <c r="AC50" s="6"/>
      <c r="AD50" s="6"/>
      <c r="AE50" s="6"/>
      <c r="AF50" s="6"/>
      <c r="AG50" s="6"/>
    </row>
    <row r="51" spans="1:33" ht="30">
      <c r="A51" s="6" t="s">
        <v>53</v>
      </c>
      <c r="B51" s="6" t="s">
        <v>552</v>
      </c>
      <c r="C51" s="6" t="s">
        <v>694</v>
      </c>
      <c r="D51" s="6" t="s">
        <v>89</v>
      </c>
      <c r="E51" s="59" t="s">
        <v>271</v>
      </c>
      <c r="F51" s="6" t="s">
        <v>959</v>
      </c>
      <c r="G51" s="6">
        <v>15.016299999999999</v>
      </c>
      <c r="H51" s="6">
        <v>120.0873</v>
      </c>
      <c r="I51" s="6" t="str">
        <f t="shared" si="1"/>
        <v>15.0163, 120.0873</v>
      </c>
      <c r="J51" s="6" t="s">
        <v>57</v>
      </c>
      <c r="K51" s="62" t="s">
        <v>41</v>
      </c>
      <c r="M51" s="58" t="s">
        <v>133</v>
      </c>
      <c r="O51" s="21"/>
      <c r="P51" s="21"/>
      <c r="Q51" s="21"/>
      <c r="R51" s="21"/>
      <c r="S51" s="21"/>
      <c r="T51" s="259" t="str">
        <f>IFERROR(
    IF(
        OR(ISBLANK(O51), ISBLANK(P51)),
        "",
        MAX(
            1,
            IF(
                NETWORKDAYS(O51, P51, Holiday_Dates) &lt;= 0,
                1,
                NETWORKDAYS(O51, P51, Holiday_Dates) - IF(O51 = P51, 0, 1)
            )
        )
    ),
    ""
)</f>
        <v/>
      </c>
      <c r="U51" s="259" t="str">
        <f>IF(
    OR(ISBLANK(P51), ISBLANK(Q51)),
    "",
    MAX(
        1,
        IF(
            NETWORKDAYS(P51, Q51, Holiday_Dates) &lt;= 0,
            1,
            NETWORKDAYS(P51, Q51, Holiday_Dates) - IF(P51 = Q51, 0, 1)
        )
    )
)</f>
        <v/>
      </c>
      <c r="V51" s="259" t="str">
        <f>IFERROR(
    IF(
        OR(ISBLANK(R51), AND(ISBLANK(P51), ISBLANK(Q51))),
        "",
        MAX(
            1,
            IF(
                NETWORKDAYS(IF(NOT(ISBLANK(Q51)), Q51, P51), R51, Holiday_Dates) &lt;= 0,
                1,
                NETWORKDAYS(IF(NOT(ISBLANK(Q51)), Q51, P51), R51, Holiday_Dates)
                - IF(IF(NOT(ISBLANK(Q51)), Q51, P51) = R51, 0, 1)
            )
        )
    ),
    ""
)</f>
        <v/>
      </c>
      <c r="W51" s="259" t="str">
        <f>IFERROR(
    IF(
        OR(ISBLANK(R51), ISBLANK(S51)),
        "",
        MAX(
            1,
            IF(
                NETWORKDAYS(R51, S51, Holiday_Dates) &lt;= 0,
                1,
                NETWORKDAYS(R51, S51, Holiday_Dates) - IF(R51 = S51, 0, 1)
            )
        )
    ),
    ""
)</f>
        <v/>
      </c>
      <c r="X51" s="6"/>
      <c r="Y51" s="6"/>
      <c r="Z51" s="6"/>
      <c r="AA51" s="6"/>
      <c r="AB51" s="6"/>
      <c r="AC51" s="6"/>
      <c r="AD51" s="6"/>
      <c r="AE51" s="6"/>
      <c r="AF51" s="6"/>
      <c r="AG51" s="6"/>
    </row>
    <row r="52" spans="1:33" ht="30">
      <c r="A52" s="6" t="s">
        <v>47</v>
      </c>
      <c r="B52" s="6" t="s">
        <v>470</v>
      </c>
      <c r="C52" s="6" t="s">
        <v>1038</v>
      </c>
      <c r="D52" s="6" t="s">
        <v>89</v>
      </c>
      <c r="E52" s="56" t="s">
        <v>259</v>
      </c>
      <c r="F52" s="6" t="s">
        <v>1002</v>
      </c>
      <c r="G52" s="6">
        <v>16.1402</v>
      </c>
      <c r="H52" s="6">
        <v>121.9569</v>
      </c>
      <c r="I52" s="6" t="str">
        <f t="shared" si="1"/>
        <v>16.1402, 121.9569</v>
      </c>
      <c r="J52" s="6" t="s">
        <v>63</v>
      </c>
      <c r="K52" s="62" t="s">
        <v>15</v>
      </c>
      <c r="M52" s="60" t="s">
        <v>128</v>
      </c>
      <c r="O52" s="21"/>
      <c r="P52" s="21"/>
      <c r="Q52" s="21"/>
      <c r="R52" s="21"/>
      <c r="S52" s="21"/>
      <c r="T52" s="259" t="str">
        <f>IFERROR(
    IF(
        OR(ISBLANK(O52), ISBLANK(P52)),
        "",
        MAX(
            1,
            IF(
                NETWORKDAYS(O52, P52, Holiday_Dates) &lt;= 0,
                1,
                NETWORKDAYS(O52, P52, Holiday_Dates) - IF(O52 = P52, 0, 1)
            )
        )
    ),
    ""
)</f>
        <v/>
      </c>
      <c r="U52" s="259" t="str">
        <f>IF(
    OR(ISBLANK(P52), ISBLANK(Q52)),
    "",
    MAX(
        1,
        IF(
            NETWORKDAYS(P52, Q52, Holiday_Dates) &lt;= 0,
            1,
            NETWORKDAYS(P52, Q52, Holiday_Dates) - IF(P52 = Q52, 0, 1)
        )
    )
)</f>
        <v/>
      </c>
      <c r="V52" s="259" t="str">
        <f>IFERROR(
    IF(
        OR(ISBLANK(R52), AND(ISBLANK(P52), ISBLANK(Q52))),
        "",
        MAX(
            1,
            IF(
                NETWORKDAYS(IF(NOT(ISBLANK(Q52)), Q52, P52), R52, Holiday_Dates) &lt;= 0,
                1,
                NETWORKDAYS(IF(NOT(ISBLANK(Q52)), Q52, P52), R52, Holiday_Dates)
                - IF(IF(NOT(ISBLANK(Q52)), Q52, P52) = R52, 0, 1)
            )
        )
    ),
    ""
)</f>
        <v/>
      </c>
      <c r="W52" s="259" t="str">
        <f>IFERROR(
    IF(
        OR(ISBLANK(R52), ISBLANK(S52)),
        "",
        MAX(
            1,
            IF(
                NETWORKDAYS(R52, S52, Holiday_Dates) &lt;= 0,
                1,
                NETWORKDAYS(R52, S52, Holiday_Dates) - IF(R52 = S52, 0, 1)
            )
        )
    ),
    ""
)</f>
        <v/>
      </c>
      <c r="X52" s="6"/>
      <c r="Y52" s="6"/>
      <c r="Z52" s="6"/>
      <c r="AA52" s="6"/>
      <c r="AB52" s="6"/>
      <c r="AC52" s="6"/>
      <c r="AD52" s="6"/>
      <c r="AE52" s="6"/>
      <c r="AF52" s="6"/>
      <c r="AG52" s="6"/>
    </row>
    <row r="53" spans="1:33">
      <c r="A53" s="250" t="s">
        <v>48</v>
      </c>
      <c r="B53" s="250" t="s">
        <v>373</v>
      </c>
      <c r="C53" s="250" t="s">
        <v>401</v>
      </c>
      <c r="D53" s="250" t="s">
        <v>88</v>
      </c>
      <c r="E53" s="295" t="s">
        <v>271</v>
      </c>
      <c r="F53" s="250" t="s">
        <v>927</v>
      </c>
      <c r="G53" s="250">
        <v>14.628104759999999</v>
      </c>
      <c r="H53" s="250">
        <v>120.57682907</v>
      </c>
      <c r="I53" s="250" t="str">
        <f t="shared" si="1"/>
        <v>14.62810476, 120.57682907</v>
      </c>
      <c r="J53" s="250" t="s">
        <v>63</v>
      </c>
      <c r="K53" s="250" t="s">
        <v>17</v>
      </c>
      <c r="L53" s="299"/>
      <c r="M53" s="297" t="s">
        <v>129</v>
      </c>
      <c r="N53" s="432"/>
      <c r="O53" s="433"/>
      <c r="P53" s="296"/>
      <c r="Q53" s="296"/>
      <c r="R53" s="296"/>
      <c r="S53" s="296"/>
      <c r="T53" s="259" t="str">
        <f>IFERROR(
    IF(
        OR(ISBLANK(O53), ISBLANK(P53)),
        "",
        MAX(
            1,
            IF(
                NETWORKDAYS(O53, P53, Holiday_Dates) &lt;= 0,
                1,
                NETWORKDAYS(O53, P53, Holiday_Dates) - IF(O53 = P53, 0, 1)
            )
        )
    ),
    ""
)</f>
        <v/>
      </c>
      <c r="U53" s="259" t="str">
        <f>IF(
    OR(ISBLANK(P53), ISBLANK(Q53)),
    "",
    MAX(
        1,
        IF(
            NETWORKDAYS(P53, Q53, Holiday_Dates) &lt;= 0,
            1,
            NETWORKDAYS(P53, Q53, Holiday_Dates) - IF(P53 = Q53, 0, 1)
        )
    )
)</f>
        <v/>
      </c>
      <c r="V53" s="259" t="str">
        <f>IFERROR(
    IF(
        OR(ISBLANK(R53), AND(ISBLANK(P53), ISBLANK(Q53))),
        "",
        MAX(
            1,
            IF(
                NETWORKDAYS(IF(NOT(ISBLANK(Q53)), Q53, P53), R53, Holiday_Dates) &lt;= 0,
                1,
                NETWORKDAYS(IF(NOT(ISBLANK(Q53)), Q53, P53), R53, Holiday_Dates)
                - IF(IF(NOT(ISBLANK(Q53)), Q53, P53) = R53, 0, 1)
            )
        )
    ),
    ""
)</f>
        <v/>
      </c>
      <c r="W53" s="259" t="str">
        <f>IFERROR(
    IF(
        OR(ISBLANK(R53), ISBLANK(S53)),
        "",
        MAX(
            1,
            IF(
                NETWORKDAYS(R53, S53, Holiday_Dates) &lt;= 0,
                1,
                NETWORKDAYS(R53, S53, Holiday_Dates) - IF(R53 = S53, 0, 1)
            )
        )
    ),
    ""
)</f>
        <v/>
      </c>
      <c r="X53" s="250"/>
      <c r="Y53" s="250"/>
      <c r="Z53" s="250"/>
      <c r="AA53" s="250"/>
      <c r="AB53" s="435"/>
      <c r="AC53" s="250"/>
      <c r="AD53" s="250"/>
      <c r="AE53" s="250"/>
      <c r="AF53" s="250"/>
      <c r="AG53" s="250"/>
    </row>
    <row r="54" spans="1:33">
      <c r="A54" s="6" t="s">
        <v>49</v>
      </c>
      <c r="B54" s="6" t="s">
        <v>503</v>
      </c>
      <c r="C54" s="6" t="s">
        <v>1039</v>
      </c>
      <c r="D54" s="6" t="s">
        <v>88</v>
      </c>
      <c r="E54" s="59" t="s">
        <v>243</v>
      </c>
      <c r="F54" s="6" t="s">
        <v>927</v>
      </c>
      <c r="G54" s="6">
        <v>14.899699999999999</v>
      </c>
      <c r="H54" s="6">
        <v>120.8665</v>
      </c>
      <c r="I54" s="6" t="str">
        <f t="shared" si="1"/>
        <v>14.8997, 120.8665</v>
      </c>
      <c r="J54" s="6" t="s">
        <v>63</v>
      </c>
      <c r="K54" s="6" t="s">
        <v>21</v>
      </c>
      <c r="L54" s="6"/>
      <c r="M54" s="35" t="s">
        <v>128</v>
      </c>
      <c r="N54" s="250"/>
      <c r="O54" s="296"/>
      <c r="P54" s="21"/>
      <c r="Q54" s="21"/>
      <c r="R54" s="21"/>
      <c r="S54" s="21"/>
      <c r="T54" s="259" t="str">
        <f>IFERROR(
    IF(
        OR(ISBLANK(O54), ISBLANK(P54)),
        "",
        MAX(
            1,
            IF(
                NETWORKDAYS(O54, P54, Holiday_Dates) &lt;= 0,
                1,
                NETWORKDAYS(O54, P54, Holiday_Dates) - IF(O54 = P54, 0, 1)
            )
        )
    ),
    ""
)</f>
        <v/>
      </c>
      <c r="U54" s="259" t="str">
        <f>IF(
    OR(ISBLANK(P54), ISBLANK(Q54)),
    "",
    MAX(
        1,
        IF(
            NETWORKDAYS(P54, Q54, Holiday_Dates) &lt;= 0,
            1,
            NETWORKDAYS(P54, Q54, Holiday_Dates) - IF(P54 = Q54, 0, 1)
        )
    )
)</f>
        <v/>
      </c>
      <c r="V54" s="259" t="str">
        <f>IFERROR(
    IF(
        OR(ISBLANK(R54), AND(ISBLANK(P54), ISBLANK(Q54))),
        "",
        MAX(
            1,
            IF(
                NETWORKDAYS(IF(NOT(ISBLANK(Q54)), Q54, P54), R54, Holiday_Dates) &lt;= 0,
                1,
                NETWORKDAYS(IF(NOT(ISBLANK(Q54)), Q54, P54), R54, Holiday_Dates)
                - IF(IF(NOT(ISBLANK(Q54)), Q54, P54) = R54, 0, 1)
            )
        )
    ),
    ""
)</f>
        <v/>
      </c>
      <c r="W54" s="259" t="str">
        <f>IFERROR(
    IF(
        OR(ISBLANK(R54), ISBLANK(S54)),
        "",
        MAX(
            1,
            IF(
                NETWORKDAYS(R54, S54, Holiday_Dates) &lt;= 0,
                1,
                NETWORKDAYS(R54, S54, Holiday_Dates) - IF(R54 = S54, 0, 1)
            )
        )
    ),
    ""
)</f>
        <v/>
      </c>
      <c r="X54" s="6"/>
      <c r="Y54" s="6"/>
      <c r="Z54" s="6"/>
      <c r="AA54" s="6"/>
      <c r="AB54" s="6"/>
      <c r="AC54" s="6"/>
      <c r="AD54" s="6"/>
      <c r="AE54" s="6"/>
      <c r="AF54" s="6"/>
      <c r="AG54" s="6"/>
    </row>
    <row r="55" spans="1:33">
      <c r="A55" s="307" t="s">
        <v>49</v>
      </c>
      <c r="B55" s="307" t="s">
        <v>440</v>
      </c>
      <c r="C55" s="307" t="s">
        <v>781</v>
      </c>
      <c r="D55" s="307" t="s">
        <v>88</v>
      </c>
      <c r="E55" s="308" t="s">
        <v>213</v>
      </c>
      <c r="F55" s="307" t="s">
        <v>927</v>
      </c>
      <c r="G55" s="307">
        <v>15.1349</v>
      </c>
      <c r="H55" s="307">
        <v>121.0595</v>
      </c>
      <c r="I55" s="307" t="str">
        <f t="shared" si="1"/>
        <v>15.1349, 121.0595</v>
      </c>
      <c r="J55" s="307" t="s">
        <v>63</v>
      </c>
      <c r="K55" s="301" t="s">
        <v>377</v>
      </c>
      <c r="M55" s="428" t="s">
        <v>128</v>
      </c>
      <c r="N55" s="6"/>
      <c r="O55" s="249"/>
      <c r="P55" s="325"/>
      <c r="Q55" s="309"/>
      <c r="R55" s="309"/>
      <c r="S55" s="309"/>
      <c r="T55" s="259" t="str">
        <f>IFERROR(
    IF(
        OR(ISBLANK(O55), ISBLANK(P55)),
        "",
        MAX(
            1,
            IF(
                NETWORKDAYS(O55, P55, Holiday_Dates) &lt;= 0,
                1,
                NETWORKDAYS(O55, P55, Holiday_Dates) - IF(O55 = P55, 0, 1)
            )
        )
    ),
    ""
)</f>
        <v/>
      </c>
      <c r="U55" s="259" t="str">
        <f>IF(
    OR(ISBLANK(P55), ISBLANK(Q55)),
    "",
    MAX(
        1,
        IF(
            NETWORKDAYS(P55, Q55, Holiday_Dates) &lt;= 0,
            1,
            NETWORKDAYS(P55, Q55, Holiday_Dates) - IF(P55 = Q55, 0, 1)
        )
    )
)</f>
        <v/>
      </c>
      <c r="V55" s="259" t="str">
        <f>IFERROR(
    IF(
        OR(ISBLANK(R55), AND(ISBLANK(P55), ISBLANK(Q55))),
        "",
        MAX(
            1,
            IF(
                NETWORKDAYS(IF(NOT(ISBLANK(Q55)), Q55, P55), R55, Holiday_Dates) &lt;= 0,
                1,
                NETWORKDAYS(IF(NOT(ISBLANK(Q55)), Q55, P55), R55, Holiday_Dates)
                - IF(IF(NOT(ISBLANK(Q55)), Q55, P55) = R55, 0, 1)
            )
        )
    ),
    ""
)</f>
        <v/>
      </c>
      <c r="W55" s="259" t="str">
        <f>IFERROR(
    IF(
        OR(ISBLANK(R55), ISBLANK(S55)),
        "",
        MAX(
            1,
            IF(
                NETWORKDAYS(R55, S55, Holiday_Dates) &lt;= 0,
                1,
                NETWORKDAYS(R55, S55, Holiday_Dates) - IF(R55 = S55, 0, 1)
            )
        )
    ),
    ""
)</f>
        <v/>
      </c>
      <c r="X55" s="6"/>
      <c r="Y55" s="307"/>
      <c r="Z55" s="307"/>
      <c r="AA55" s="307"/>
      <c r="AB55" s="250"/>
      <c r="AC55" s="250"/>
      <c r="AD55" s="250"/>
      <c r="AE55" s="307"/>
      <c r="AF55" s="307"/>
      <c r="AG55" s="307"/>
    </row>
    <row r="56" spans="1:33" ht="30">
      <c r="A56" s="6" t="s">
        <v>49</v>
      </c>
      <c r="B56" s="6" t="s">
        <v>380</v>
      </c>
      <c r="C56" s="6" t="s">
        <v>1040</v>
      </c>
      <c r="D56" s="6" t="s">
        <v>88</v>
      </c>
      <c r="E56" s="59" t="s">
        <v>381</v>
      </c>
      <c r="F56" s="6" t="s">
        <v>927</v>
      </c>
      <c r="G56" s="6">
        <v>14.870710000000001</v>
      </c>
      <c r="H56" s="6">
        <v>120.97342999999999</v>
      </c>
      <c r="I56" s="6" t="str">
        <f t="shared" si="1"/>
        <v>14.87071, 120.97343</v>
      </c>
      <c r="J56" s="6" t="s">
        <v>63</v>
      </c>
      <c r="K56" s="6" t="s">
        <v>24</v>
      </c>
      <c r="L56" s="6"/>
      <c r="M56" s="35" t="s">
        <v>128</v>
      </c>
      <c r="N56" s="73"/>
      <c r="O56" s="305"/>
      <c r="P56" s="21"/>
      <c r="Q56" s="21"/>
      <c r="R56" s="21"/>
      <c r="S56" s="21"/>
      <c r="T56" s="259" t="str">
        <f>IFERROR(
    IF(
        OR(ISBLANK(O56), ISBLANK(P56)),
        "",
        MAX(
            1,
            IF(
                NETWORKDAYS(O56, P56, Holiday_Dates) &lt;= 0,
                1,
                NETWORKDAYS(O56, P56, Holiday_Dates) - IF(O56 = P56, 0, 1)
            )
        )
    ),
    ""
)</f>
        <v/>
      </c>
      <c r="U56" s="259" t="str">
        <f>IF(
    OR(ISBLANK(P56), ISBLANK(Q56)),
    "",
    MAX(
        1,
        IF(
            NETWORKDAYS(P56, Q56, Holiday_Dates) &lt;= 0,
            1,
            NETWORKDAYS(P56, Q56, Holiday_Dates) - IF(P56 = Q56, 0, 1)
        )
    )
)</f>
        <v/>
      </c>
      <c r="V56" s="259" t="str">
        <f>IFERROR(
    IF(
        OR(ISBLANK(R56), AND(ISBLANK(P56), ISBLANK(Q56))),
        "",
        MAX(
            1,
            IF(
                NETWORKDAYS(IF(NOT(ISBLANK(Q56)), Q56, P56), R56, Holiday_Dates) &lt;= 0,
                1,
                NETWORKDAYS(IF(NOT(ISBLANK(Q56)), Q56, P56), R56, Holiday_Dates)
                - IF(IF(NOT(ISBLANK(Q56)), Q56, P56) = R56, 0, 1)
            )
        )
    ),
    ""
)</f>
        <v/>
      </c>
      <c r="W56" s="259" t="str">
        <f>IFERROR(
    IF(
        OR(ISBLANK(R56), ISBLANK(S56)),
        "",
        MAX(
            1,
            IF(
                NETWORKDAYS(R56, S56, Holiday_Dates) &lt;= 0,
                1,
                NETWORKDAYS(R56, S56, Holiday_Dates) - IF(R56 = S56, 0, 1)
            )
        )
    ),
    ""
)</f>
        <v/>
      </c>
      <c r="X56" s="6"/>
      <c r="Y56" s="6"/>
      <c r="Z56" s="6"/>
      <c r="AA56" s="6"/>
      <c r="AB56" s="6"/>
      <c r="AC56" s="6"/>
      <c r="AD56" s="6"/>
      <c r="AE56" s="6"/>
      <c r="AF56" s="6"/>
      <c r="AG56" s="6"/>
    </row>
    <row r="57" spans="1:33">
      <c r="A57" s="73" t="s">
        <v>50</v>
      </c>
      <c r="B57" s="73" t="s">
        <v>384</v>
      </c>
      <c r="C57" s="73" t="s">
        <v>1041</v>
      </c>
      <c r="D57" s="73" t="s">
        <v>88</v>
      </c>
      <c r="E57" s="306" t="s">
        <v>213</v>
      </c>
      <c r="F57" s="73" t="s">
        <v>927</v>
      </c>
      <c r="G57" s="73">
        <v>15.643420000000001</v>
      </c>
      <c r="H57" s="73">
        <v>121.18844</v>
      </c>
      <c r="I57" s="73" t="str">
        <f t="shared" si="1"/>
        <v>15.64342, 121.18844</v>
      </c>
      <c r="J57" s="73" t="s">
        <v>63</v>
      </c>
      <c r="K57" s="73" t="s">
        <v>1031</v>
      </c>
      <c r="L57" s="73"/>
      <c r="M57" s="73" t="s">
        <v>130</v>
      </c>
      <c r="N57" s="324"/>
      <c r="O57" s="309"/>
      <c r="P57" s="305"/>
      <c r="Q57" s="305"/>
      <c r="R57" s="305"/>
      <c r="S57" s="305"/>
      <c r="T57" s="259" t="str">
        <f>IFERROR(
    IF(
        OR(ISBLANK(O57), ISBLANK(P57)),
        "",
        MAX(
            1,
            IF(
                NETWORKDAYS(O57, P57, Holiday_Dates) &lt;= 0,
                1,
                NETWORKDAYS(O57, P57, Holiday_Dates) - IF(O57 = P57, 0, 1)
            )
        )
    ),
    ""
)</f>
        <v/>
      </c>
      <c r="U57" s="259" t="str">
        <f>IF(
    OR(ISBLANK(P57), ISBLANK(Q57)),
    "",
    MAX(
        1,
        IF(
            NETWORKDAYS(P57, Q57, Holiday_Dates) &lt;= 0,
            1,
            NETWORKDAYS(P57, Q57, Holiday_Dates) - IF(P57 = Q57, 0, 1)
        )
    )
)</f>
        <v/>
      </c>
      <c r="V57" s="259" t="str">
        <f>IFERROR(
    IF(
        OR(ISBLANK(R57), AND(ISBLANK(P57), ISBLANK(Q57))),
        "",
        MAX(
            1,
            IF(
                NETWORKDAYS(IF(NOT(ISBLANK(Q57)), Q57, P57), R57, Holiday_Dates) &lt;= 0,
                1,
                NETWORKDAYS(IF(NOT(ISBLANK(Q57)), Q57, P57), R57, Holiday_Dates)
                - IF(IF(NOT(ISBLANK(Q57)), Q57, P57) = R57, 0, 1)
            )
        )
    ),
    ""
)</f>
        <v/>
      </c>
      <c r="W57" s="259" t="str">
        <f>IFERROR(
    IF(
        OR(ISBLANK(R57), ISBLANK(S57)),
        "",
        MAX(
            1,
            IF(
                NETWORKDAYS(R57, S57, Holiday_Dates) &lt;= 0,
                1,
                NETWORKDAYS(R57, S57, Holiday_Dates) - IF(R57 = S57, 0, 1)
            )
        )
    ),
    ""
)</f>
        <v/>
      </c>
      <c r="X57" s="73"/>
      <c r="Y57" s="73"/>
      <c r="Z57" s="73"/>
      <c r="AA57" s="73"/>
      <c r="AB57" s="73"/>
      <c r="AC57" s="73"/>
      <c r="AD57" s="73"/>
      <c r="AE57" s="73"/>
      <c r="AF57" s="73"/>
      <c r="AG57" s="73"/>
    </row>
    <row r="58" spans="1:33" ht="30">
      <c r="A58" s="73" t="s">
        <v>50</v>
      </c>
      <c r="B58" s="73" t="s">
        <v>386</v>
      </c>
      <c r="C58" s="73" t="s">
        <v>603</v>
      </c>
      <c r="D58" s="73" t="s">
        <v>88</v>
      </c>
      <c r="E58" s="306" t="s">
        <v>213</v>
      </c>
      <c r="F58" s="73" t="s">
        <v>927</v>
      </c>
      <c r="G58" s="73">
        <v>15.4732</v>
      </c>
      <c r="H58" s="73">
        <v>120.3361</v>
      </c>
      <c r="I58" s="73" t="str">
        <f t="shared" si="1"/>
        <v>15.4732, 120.3361</v>
      </c>
      <c r="J58" s="73" t="s">
        <v>63</v>
      </c>
      <c r="K58" s="62" t="s">
        <v>1031</v>
      </c>
      <c r="M58" s="326" t="s">
        <v>130</v>
      </c>
      <c r="N58" s="6"/>
      <c r="O58" s="249"/>
      <c r="P58" s="310"/>
      <c r="Q58" s="305"/>
      <c r="R58" s="305"/>
      <c r="S58" s="305"/>
      <c r="T58" s="259" t="str">
        <f>IFERROR(
    IF(
        OR(ISBLANK(O58), ISBLANK(P58)),
        "",
        MAX(
            1,
            IF(
                NETWORKDAYS(O58, P58, Holiday_Dates) &lt;= 0,
                1,
                NETWORKDAYS(O58, P58, Holiday_Dates) - IF(O58 = P58, 0, 1)
            )
        )
    ),
    ""
)</f>
        <v/>
      </c>
      <c r="U58" s="259" t="str">
        <f>IF(
    OR(ISBLANK(P58), ISBLANK(Q58)),
    "",
    MAX(
        1,
        IF(
            NETWORKDAYS(P58, Q58, Holiday_Dates) &lt;= 0,
            1,
            NETWORKDAYS(P58, Q58, Holiday_Dates) - IF(P58 = Q58, 0, 1)
        )
    )
)</f>
        <v/>
      </c>
      <c r="V58" s="259" t="str">
        <f>IFERROR(
    IF(
        OR(ISBLANK(R58), AND(ISBLANK(P58), ISBLANK(Q58))),
        "",
        MAX(
            1,
            IF(
                NETWORKDAYS(IF(NOT(ISBLANK(Q58)), Q58, P58), R58, Holiday_Dates) &lt;= 0,
                1,
                NETWORKDAYS(IF(NOT(ISBLANK(Q58)), Q58, P58), R58, Holiday_Dates)
                - IF(IF(NOT(ISBLANK(Q58)), Q58, P58) = R58, 0, 1)
            )
        )
    ),
    ""
)</f>
        <v/>
      </c>
      <c r="W58" s="259" t="str">
        <f>IFERROR(
    IF(
        OR(ISBLANK(R58), ISBLANK(S58)),
        "",
        MAX(
            1,
            IF(
                NETWORKDAYS(R58, S58, Holiday_Dates) &lt;= 0,
                1,
                NETWORKDAYS(R58, S58, Holiday_Dates) - IF(R58 = S58, 0, 1)
            )
        )
    ),
    ""
)</f>
        <v/>
      </c>
      <c r="X58" s="6"/>
      <c r="Y58" s="73"/>
      <c r="Z58" s="73"/>
      <c r="AA58" s="73"/>
      <c r="AB58" s="6"/>
      <c r="AC58" s="6"/>
      <c r="AD58" s="6"/>
      <c r="AE58" s="73"/>
      <c r="AF58" s="73"/>
      <c r="AG58" s="73"/>
    </row>
    <row r="59" spans="1:33" ht="15.75">
      <c r="A59" s="6" t="s">
        <v>50</v>
      </c>
      <c r="B59" s="6" t="s">
        <v>512</v>
      </c>
      <c r="C59" s="6" t="s">
        <v>643</v>
      </c>
      <c r="D59" s="6" t="s">
        <v>88</v>
      </c>
      <c r="E59" s="59" t="s">
        <v>243</v>
      </c>
      <c r="F59" s="6" t="s">
        <v>927</v>
      </c>
      <c r="G59" s="6">
        <v>15.337645999999999</v>
      </c>
      <c r="H59" s="6">
        <v>120.90553300000001</v>
      </c>
      <c r="I59" s="6" t="str">
        <f t="shared" si="1"/>
        <v>15.337646, 120.905533</v>
      </c>
      <c r="J59" s="6" t="s">
        <v>63</v>
      </c>
      <c r="K59" s="62" t="s">
        <v>27</v>
      </c>
      <c r="M59" s="58" t="s">
        <v>130</v>
      </c>
      <c r="N59" s="73"/>
      <c r="O59" s="305"/>
      <c r="P59" s="21"/>
      <c r="Q59" s="21"/>
      <c r="R59" s="21"/>
      <c r="S59" s="21"/>
      <c r="T59" s="259" t="str">
        <f>IFERROR(
    IF(
        OR(ISBLANK(O59), ISBLANK(P59)),
        "",
        MAX(
            1,
            IF(
                NETWORKDAYS(O59, P59, Holiday_Dates) &lt;= 0,
                1,
                NETWORKDAYS(O59, P59, Holiday_Dates) - IF(O59 = P59, 0, 1)
            )
        )
    ),
    ""
)</f>
        <v/>
      </c>
      <c r="U59" s="259" t="str">
        <f>IF(
    OR(ISBLANK(P59), ISBLANK(Q59)),
    "",
    MAX(
        1,
        IF(
            NETWORKDAYS(P59, Q59, Holiday_Dates) &lt;= 0,
            1,
            NETWORKDAYS(P59, Q59, Holiday_Dates) - IF(P59 = Q59, 0, 1)
        )
    )
)</f>
        <v/>
      </c>
      <c r="V59" s="259" t="str">
        <f>IFERROR(
    IF(
        OR(ISBLANK(R59), AND(ISBLANK(P59), ISBLANK(Q59))),
        "",
        MAX(
            1,
            IF(
                NETWORKDAYS(IF(NOT(ISBLANK(Q59)), Q59, P59), R59, Holiday_Dates) &lt;= 0,
                1,
                NETWORKDAYS(IF(NOT(ISBLANK(Q59)), Q59, P59), R59, Holiday_Dates)
                - IF(IF(NOT(ISBLANK(Q59)), Q59, P59) = R59, 0, 1)
            )
        )
    ),
    ""
)</f>
        <v/>
      </c>
      <c r="W59" s="259" t="str">
        <f>IFERROR(
    IF(
        OR(ISBLANK(R59), ISBLANK(S59)),
        "",
        MAX(
            1,
            IF(
                NETWORKDAYS(R59, S59, Holiday_Dates) &lt;= 0,
                1,
                NETWORKDAYS(R59, S59, Holiday_Dates) - IF(R59 = S59, 0, 1)
            )
        )
    ),
    ""
)</f>
        <v/>
      </c>
      <c r="X59" s="6"/>
      <c r="Y59" s="6"/>
      <c r="Z59" s="6"/>
      <c r="AA59" s="6"/>
      <c r="AB59" s="6"/>
      <c r="AC59" s="6"/>
      <c r="AD59" s="6"/>
      <c r="AE59" s="411"/>
      <c r="AF59" s="6"/>
      <c r="AG59" s="6"/>
    </row>
    <row r="60" spans="1:33" ht="30">
      <c r="A60" s="6" t="s">
        <v>50</v>
      </c>
      <c r="B60" s="6" t="s">
        <v>516</v>
      </c>
      <c r="C60" s="6" t="s">
        <v>603</v>
      </c>
      <c r="D60" s="6" t="s">
        <v>89</v>
      </c>
      <c r="E60" s="59" t="s">
        <v>243</v>
      </c>
      <c r="F60" s="6" t="s">
        <v>927</v>
      </c>
      <c r="G60" s="6">
        <v>15.73542205</v>
      </c>
      <c r="H60" s="6">
        <v>120.63237801</v>
      </c>
      <c r="I60" s="6" t="str">
        <f t="shared" si="1"/>
        <v>15.73542205, 120.63237801</v>
      </c>
      <c r="J60" s="6" t="s">
        <v>63</v>
      </c>
      <c r="K60" s="62" t="s">
        <v>29</v>
      </c>
      <c r="M60" s="58" t="s">
        <v>130</v>
      </c>
      <c r="N60" s="6"/>
      <c r="O60" s="21"/>
      <c r="P60" s="21"/>
      <c r="Q60" s="21"/>
      <c r="R60" s="21"/>
      <c r="S60" s="21"/>
      <c r="T60" s="259" t="str">
        <f>IFERROR(
    IF(
        OR(ISBLANK(O60), ISBLANK(P60)),
        "",
        MAX(
            1,
            IF(
                NETWORKDAYS(O60, P60, Holiday_Dates) &lt;= 0,
                1,
                NETWORKDAYS(O60, P60, Holiday_Dates) - IF(O60 = P60, 0, 1)
            )
        )
    ),
    ""
)</f>
        <v/>
      </c>
      <c r="U60" s="259" t="str">
        <f>IF(
    OR(ISBLANK(P60), ISBLANK(Q60)),
    "",
    MAX(
        1,
        IF(
            NETWORKDAYS(P60, Q60, Holiday_Dates) &lt;= 0,
            1,
            NETWORKDAYS(P60, Q60, Holiday_Dates) - IF(P60 = Q60, 0, 1)
        )
    )
)</f>
        <v/>
      </c>
      <c r="V60" s="259" t="str">
        <f>IFERROR(
    IF(
        OR(ISBLANK(R60), AND(ISBLANK(P60), ISBLANK(Q60))),
        "",
        MAX(
            1,
            IF(
                NETWORKDAYS(IF(NOT(ISBLANK(Q60)), Q60, P60), R60, Holiday_Dates) &lt;= 0,
                1,
                NETWORKDAYS(IF(NOT(ISBLANK(Q60)), Q60, P60), R60, Holiday_Dates)
                - IF(IF(NOT(ISBLANK(Q60)), Q60, P60) = R60, 0, 1)
            )
        )
    ),
    ""
)</f>
        <v/>
      </c>
      <c r="W60" s="259" t="str">
        <f>IFERROR(
    IF(
        OR(ISBLANK(R60), ISBLANK(S60)),
        "",
        MAX(
            1,
            IF(
                NETWORKDAYS(R60, S60, Holiday_Dates) &lt;= 0,
                1,
                NETWORKDAYS(R60, S60, Holiday_Dates) - IF(R60 = S60, 0, 1)
            )
        )
    ),
    ""
)</f>
        <v/>
      </c>
      <c r="X60" s="6"/>
      <c r="Y60" s="6"/>
      <c r="Z60" s="6"/>
      <c r="AA60" s="6"/>
      <c r="AB60" s="6"/>
      <c r="AC60" s="6"/>
      <c r="AD60" s="6"/>
      <c r="AE60" s="6"/>
      <c r="AF60" s="236"/>
      <c r="AG60" s="6"/>
    </row>
    <row r="61" spans="1:33">
      <c r="A61" s="6" t="s">
        <v>51</v>
      </c>
      <c r="B61" s="6" t="s">
        <v>448</v>
      </c>
      <c r="C61" s="6" t="s">
        <v>1042</v>
      </c>
      <c r="D61" s="6" t="s">
        <v>88</v>
      </c>
      <c r="E61" s="59" t="s">
        <v>271</v>
      </c>
      <c r="F61" s="6" t="s">
        <v>927</v>
      </c>
      <c r="G61" s="6">
        <v>14.981299999999999</v>
      </c>
      <c r="H61" s="6">
        <v>120.53530000000001</v>
      </c>
      <c r="I61" s="6" t="str">
        <f t="shared" si="1"/>
        <v>14.9813, 120.5353</v>
      </c>
      <c r="J61" s="6" t="s">
        <v>63</v>
      </c>
      <c r="K61" s="62" t="s">
        <v>33</v>
      </c>
      <c r="M61" s="58" t="s">
        <v>239</v>
      </c>
      <c r="N61" s="431"/>
      <c r="O61" s="21"/>
      <c r="P61" s="21"/>
      <c r="Q61" s="21"/>
      <c r="R61" s="21"/>
      <c r="S61" s="21"/>
      <c r="T61" s="259" t="str">
        <f>IFERROR(
    IF(
        OR(ISBLANK(O61), ISBLANK(P61)),
        "",
        MAX(
            1,
            IF(
                NETWORKDAYS(O61, P61, Holiday_Dates) &lt;= 0,
                1,
                NETWORKDAYS(O61, P61, Holiday_Dates) - IF(O61 = P61, 0, 1)
            )
        )
    ),
    ""
)</f>
        <v/>
      </c>
      <c r="U61" s="259" t="str">
        <f>IF(
    OR(ISBLANK(P61), ISBLANK(Q61)),
    "",
    MAX(
        1,
        IF(
            NETWORKDAYS(P61, Q61, Holiday_Dates) &lt;= 0,
            1,
            NETWORKDAYS(P61, Q61, Holiday_Dates) - IF(P61 = Q61, 0, 1)
        )
    )
)</f>
        <v/>
      </c>
      <c r="V61" s="259" t="str">
        <f>IFERROR(
    IF(
        OR(ISBLANK(R61), AND(ISBLANK(P61), ISBLANK(Q61))),
        "",
        MAX(
            1,
            IF(
                NETWORKDAYS(IF(NOT(ISBLANK(Q61)), Q61, P61), R61, Holiday_Dates) &lt;= 0,
                1,
                NETWORKDAYS(IF(NOT(ISBLANK(Q61)), Q61, P61), R61, Holiday_Dates)
                - IF(IF(NOT(ISBLANK(Q61)), Q61, P61) = R61, 0, 1)
            )
        )
    ),
    ""
)</f>
        <v/>
      </c>
      <c r="W61" s="259" t="str">
        <f>IFERROR(
    IF(
        OR(ISBLANK(R61), ISBLANK(S61)),
        "",
        MAX(
            1,
            IF(
                NETWORKDAYS(R61, S61, Holiday_Dates) &lt;= 0,
                1,
                NETWORKDAYS(R61, S61, Holiday_Dates) - IF(R61 = S61, 0, 1)
            )
        )
    ),
    ""
)</f>
        <v/>
      </c>
      <c r="X61" s="6"/>
      <c r="Y61" s="6"/>
      <c r="Z61" s="6"/>
      <c r="AA61" s="6"/>
      <c r="AB61" s="6"/>
      <c r="AC61" s="6"/>
      <c r="AD61" s="6"/>
      <c r="AE61" s="6"/>
      <c r="AF61" s="6"/>
      <c r="AG61" s="6"/>
    </row>
    <row r="62" spans="1:33">
      <c r="A62" s="6" t="s">
        <v>51</v>
      </c>
      <c r="B62" s="6" t="s">
        <v>532</v>
      </c>
      <c r="C62" s="6" t="s">
        <v>1043</v>
      </c>
      <c r="D62" s="6" t="s">
        <v>88</v>
      </c>
      <c r="E62" s="59" t="s">
        <v>271</v>
      </c>
      <c r="F62" s="6" t="s">
        <v>927</v>
      </c>
      <c r="G62" s="6">
        <v>14.901999999999999</v>
      </c>
      <c r="H62" s="6">
        <v>120.6032</v>
      </c>
      <c r="I62" s="6" t="str">
        <f t="shared" si="1"/>
        <v>14.902, 120.6032</v>
      </c>
      <c r="J62" s="6" t="s">
        <v>63</v>
      </c>
      <c r="K62" s="62" t="s">
        <v>145</v>
      </c>
      <c r="M62" s="58" t="s">
        <v>133</v>
      </c>
      <c r="N62" s="250"/>
      <c r="O62" s="21"/>
      <c r="P62" s="21"/>
      <c r="Q62" s="21"/>
      <c r="R62" s="21"/>
      <c r="S62" s="21"/>
      <c r="T62" s="259" t="str">
        <f>IFERROR(
    IF(
        OR(ISBLANK(O62), ISBLANK(P62)),
        "",
        MAX(
            1,
            IF(
                NETWORKDAYS(O62, P62, Holiday_Dates) &lt;= 0,
                1,
                NETWORKDAYS(O62, P62, Holiday_Dates) - IF(O62 = P62, 0, 1)
            )
        )
    ),
    ""
)</f>
        <v/>
      </c>
      <c r="U62" s="259" t="str">
        <f>IF(
    OR(ISBLANK(P62), ISBLANK(Q62)),
    "",
    MAX(
        1,
        IF(
            NETWORKDAYS(P62, Q62, Holiday_Dates) &lt;= 0,
            1,
            NETWORKDAYS(P62, Q62, Holiday_Dates) - IF(P62 = Q62, 0, 1)
        )
    )
)</f>
        <v/>
      </c>
      <c r="V62" s="259" t="str">
        <f>IFERROR(
    IF(
        OR(ISBLANK(R62), AND(ISBLANK(P62), ISBLANK(Q62))),
        "",
        MAX(
            1,
            IF(
                NETWORKDAYS(IF(NOT(ISBLANK(Q62)), Q62, P62), R62, Holiday_Dates) &lt;= 0,
                1,
                NETWORKDAYS(IF(NOT(ISBLANK(Q62)), Q62, P62), R62, Holiday_Dates)
                - IF(IF(NOT(ISBLANK(Q62)), Q62, P62) = R62, 0, 1)
            )
        )
    ),
    ""
)</f>
        <v/>
      </c>
      <c r="W62" s="259" t="str">
        <f>IFERROR(
    IF(
        OR(ISBLANK(R62), ISBLANK(S62)),
        "",
        MAX(
            1,
            IF(
                NETWORKDAYS(R62, S62, Holiday_Dates) &lt;= 0,
                1,
                NETWORKDAYS(R62, S62, Holiday_Dates) - IF(R62 = S62, 0, 1)
            )
        )
    ),
    ""
)</f>
        <v/>
      </c>
      <c r="X62" s="6"/>
      <c r="Y62" s="6"/>
      <c r="Z62" s="6"/>
      <c r="AA62" s="6"/>
      <c r="AB62" s="6"/>
      <c r="AC62" s="6"/>
      <c r="AD62" s="6"/>
      <c r="AF62" s="6"/>
      <c r="AG62" s="6"/>
    </row>
    <row r="63" spans="1:33">
      <c r="A63" s="250" t="s">
        <v>51</v>
      </c>
      <c r="B63" s="250" t="s">
        <v>312</v>
      </c>
      <c r="C63" s="250" t="s">
        <v>1044</v>
      </c>
      <c r="D63" s="250" t="s">
        <v>88</v>
      </c>
      <c r="E63" s="302" t="s">
        <v>224</v>
      </c>
      <c r="F63" s="250" t="s">
        <v>927</v>
      </c>
      <c r="G63" s="250">
        <v>14.882400000000001</v>
      </c>
      <c r="H63" s="250">
        <v>120.7111</v>
      </c>
      <c r="I63" s="250" t="str">
        <f t="shared" si="1"/>
        <v>14.8824, 120.7111</v>
      </c>
      <c r="J63" s="250" t="s">
        <v>63</v>
      </c>
      <c r="K63" s="301" t="s">
        <v>34</v>
      </c>
      <c r="M63" s="299" t="s">
        <v>239</v>
      </c>
      <c r="N63" s="250"/>
      <c r="O63" s="298"/>
      <c r="P63" s="296"/>
      <c r="Q63" s="296"/>
      <c r="R63" s="296"/>
      <c r="S63" s="296"/>
      <c r="T63" s="259" t="str">
        <f>IFERROR(
    IF(
        OR(ISBLANK(O63), ISBLANK(P63)),
        "",
        MAX(
            1,
            IF(
                NETWORKDAYS(O63, P63, Holiday_Dates) &lt;= 0,
                1,
                NETWORKDAYS(O63, P63, Holiday_Dates) - IF(O63 = P63, 0, 1)
            )
        )
    ),
    ""
)</f>
        <v/>
      </c>
      <c r="U63" s="259" t="str">
        <f>IF(
    OR(ISBLANK(P63), ISBLANK(Q63)),
    "",
    MAX(
        1,
        IF(
            NETWORKDAYS(P63, Q63, Holiday_Dates) &lt;= 0,
            1,
            NETWORKDAYS(P63, Q63, Holiday_Dates) - IF(P63 = Q63, 0, 1)
        )
    )
)</f>
        <v/>
      </c>
      <c r="V63" s="259" t="str">
        <f>IFERROR(
    IF(
        OR(ISBLANK(R63), AND(ISBLANK(P63), ISBLANK(Q63))),
        "",
        MAX(
            1,
            IF(
                NETWORKDAYS(IF(NOT(ISBLANK(Q63)), Q63, P63), R63, Holiday_Dates) &lt;= 0,
                1,
                NETWORKDAYS(IF(NOT(ISBLANK(Q63)), Q63, P63), R63, Holiday_Dates)
                - IF(IF(NOT(ISBLANK(Q63)), Q63, P63) = R63, 0, 1)
            )
        )
    ),
    ""
)</f>
        <v/>
      </c>
      <c r="W63" s="259" t="str">
        <f>IFERROR(
    IF(
        OR(ISBLANK(R63), ISBLANK(S63)),
        "",
        MAX(
            1,
            IF(
                NETWORKDAYS(R63, S63, Holiday_Dates) &lt;= 0,
                1,
                NETWORKDAYS(R63, S63, Holiday_Dates) - IF(R63 = S63, 0, 1)
            )
        )
    ),
    ""
)</f>
        <v/>
      </c>
      <c r="X63" s="250"/>
      <c r="Y63" s="250"/>
      <c r="Z63" s="250"/>
      <c r="AA63" s="250"/>
      <c r="AB63" s="250"/>
      <c r="AC63" s="250"/>
      <c r="AD63" s="250"/>
      <c r="AE63" s="250"/>
      <c r="AF63" s="250"/>
      <c r="AG63" s="250"/>
    </row>
    <row r="64" spans="1:33">
      <c r="A64" s="6" t="s">
        <v>1045</v>
      </c>
      <c r="B64" s="6" t="s">
        <v>460</v>
      </c>
      <c r="C64" s="6" t="s">
        <v>1046</v>
      </c>
      <c r="D64" s="6" t="s">
        <v>88</v>
      </c>
      <c r="E64" s="6" t="s">
        <v>213</v>
      </c>
      <c r="F64" s="6" t="s">
        <v>993</v>
      </c>
      <c r="G64" s="42">
        <v>15.3704</v>
      </c>
      <c r="H64" s="42">
        <v>120.5457</v>
      </c>
      <c r="I64" s="6" t="str">
        <f t="shared" si="1"/>
        <v>15.3704, 120.5457</v>
      </c>
      <c r="J64" s="6" t="s">
        <v>63</v>
      </c>
      <c r="K64" s="6" t="s">
        <v>39</v>
      </c>
      <c r="L64" s="6"/>
      <c r="M64" s="6" t="s">
        <v>28</v>
      </c>
      <c r="N64" s="250"/>
      <c r="O64" s="296"/>
      <c r="P64" s="21"/>
      <c r="Q64" s="21"/>
      <c r="R64" s="21"/>
      <c r="S64" s="21"/>
      <c r="T64" s="259" t="str">
        <f>IFERROR(
    IF(
        OR(ISBLANK(O64), ISBLANK(P64)),
        "",
        MAX(
            1,
            IF(
                NETWORKDAYS(O64, P64, Holiday_Dates) &lt;= 0,
                1,
                NETWORKDAYS(O64, P64, Holiday_Dates) - IF(O64 = P64, 0, 1)
            )
        )
    ),
    ""
)</f>
        <v/>
      </c>
      <c r="U64" s="259" t="str">
        <f>IF(
    OR(ISBLANK(P64), ISBLANK(Q64)),
    "",
    MAX(
        1,
        IF(
            NETWORKDAYS(P64, Q64, Holiday_Dates) &lt;= 0,
            1,
            NETWORKDAYS(P64, Q64, Holiday_Dates) - IF(P64 = Q64, 0, 1)
        )
    )
)</f>
        <v/>
      </c>
      <c r="V64" s="259" t="str">
        <f>IFERROR(
    IF(
        OR(ISBLANK(R64), AND(ISBLANK(P64), ISBLANK(Q64))),
        "",
        MAX(
            1,
            IF(
                NETWORKDAYS(IF(NOT(ISBLANK(Q64)), Q64, P64), R64, Holiday_Dates) &lt;= 0,
                1,
                NETWORKDAYS(IF(NOT(ISBLANK(Q64)), Q64, P64), R64, Holiday_Dates)
                - IF(IF(NOT(ISBLANK(Q64)), Q64, P64) = R64, 0, 1)
            )
        )
    ),
    ""
)</f>
        <v/>
      </c>
      <c r="W64" s="259" t="str">
        <f>IFERROR(
    IF(
        OR(ISBLANK(R64), ISBLANK(S64)),
        "",
        MAX(
            1,
            IF(
                NETWORKDAYS(R64, S64, Holiday_Dates) &lt;= 0,
                1,
                NETWORKDAYS(R64, S64, Holiday_Dates) - IF(R64 = S64, 0, 1)
            )
        )
    ),
    ""
)</f>
        <v/>
      </c>
      <c r="X64" s="6"/>
      <c r="Y64" s="6"/>
      <c r="Z64" s="6"/>
      <c r="AA64" s="6"/>
      <c r="AB64" s="6"/>
      <c r="AC64" s="6"/>
      <c r="AD64" s="6"/>
      <c r="AE64" s="6"/>
      <c r="AF64" s="6"/>
      <c r="AG64" s="6"/>
    </row>
    <row r="65" spans="1:33" ht="30">
      <c r="A65" s="307" t="s">
        <v>52</v>
      </c>
      <c r="B65" s="307" t="s">
        <v>368</v>
      </c>
      <c r="C65" s="307" t="s">
        <v>1047</v>
      </c>
      <c r="D65" s="307" t="s">
        <v>89</v>
      </c>
      <c r="E65" s="320" t="s">
        <v>243</v>
      </c>
      <c r="F65" s="307" t="s">
        <v>1002</v>
      </c>
      <c r="G65" s="661">
        <v>15.6291424574178</v>
      </c>
      <c r="H65" s="661">
        <v>120.35300109811899</v>
      </c>
      <c r="I65" s="307" t="str">
        <f t="shared" si="1"/>
        <v>15.6291424574178, 120.353001098119</v>
      </c>
      <c r="J65" s="307" t="s">
        <v>63</v>
      </c>
      <c r="K65" s="301" t="s">
        <v>38</v>
      </c>
      <c r="M65" s="43" t="s">
        <v>28</v>
      </c>
      <c r="N65" s="6"/>
      <c r="O65" s="249"/>
      <c r="P65" s="325"/>
      <c r="Q65" s="309"/>
      <c r="R65" s="309"/>
      <c r="S65" s="309"/>
      <c r="T65" s="259" t="str">
        <f>IFERROR(
    IF(
        OR(ISBLANK(O65), ISBLANK(P65)),
        "",
        MAX(
            1,
            IF(
                NETWORKDAYS(O65, P65, Holiday_Dates) &lt;= 0,
                1,
                NETWORKDAYS(O65, P65, Holiday_Dates) - IF(O65 = P65, 0, 1)
            )
        )
    ),
    ""
)</f>
        <v/>
      </c>
      <c r="U65" s="259" t="str">
        <f>IF(
    OR(ISBLANK(P65), ISBLANK(Q65)),
    "",
    MAX(
        1,
        IF(
            NETWORKDAYS(P65, Q65, Holiday_Dates) &lt;= 0,
            1,
            NETWORKDAYS(P65, Q65, Holiday_Dates) - IF(P65 = Q65, 0, 1)
        )
    )
)</f>
        <v/>
      </c>
      <c r="V65" s="259" t="str">
        <f>IFERROR(
    IF(
        OR(ISBLANK(R65), AND(ISBLANK(P65), ISBLANK(Q65))),
        "",
        MAX(
            1,
            IF(
                NETWORKDAYS(IF(NOT(ISBLANK(Q65)), Q65, P65), R65, Holiday_Dates) &lt;= 0,
                1,
                NETWORKDAYS(IF(NOT(ISBLANK(Q65)), Q65, P65), R65, Holiday_Dates)
                - IF(IF(NOT(ISBLANK(Q65)), Q65, P65) = R65, 0, 1)
            )
        )
    ),
    ""
)</f>
        <v/>
      </c>
      <c r="W65" s="259" t="str">
        <f>IFERROR(
    IF(
        OR(ISBLANK(R65), ISBLANK(S65)),
        "",
        MAX(
            1,
            IF(
                NETWORKDAYS(R65, S65, Holiday_Dates) &lt;= 0,
                1,
                NETWORKDAYS(R65, S65, Holiday_Dates) - IF(R65 = S65, 0, 1)
            )
        )
    ),
    ""
)</f>
        <v/>
      </c>
      <c r="X65" s="6"/>
      <c r="Y65" s="434"/>
      <c r="Z65" s="307"/>
      <c r="AA65" s="307"/>
      <c r="AB65" s="434"/>
      <c r="AC65" s="434"/>
      <c r="AD65" s="307"/>
      <c r="AE65" s="307"/>
      <c r="AF65" s="307"/>
      <c r="AG65" s="307"/>
    </row>
    <row r="66" spans="1:33">
      <c r="A66" s="6" t="s">
        <v>53</v>
      </c>
      <c r="B66" s="6" t="s">
        <v>329</v>
      </c>
      <c r="C66" s="6" t="s">
        <v>1048</v>
      </c>
      <c r="D66" s="6" t="s">
        <v>89</v>
      </c>
      <c r="E66" s="59" t="s">
        <v>271</v>
      </c>
      <c r="F66" s="6" t="s">
        <v>927</v>
      </c>
      <c r="G66" s="6">
        <v>15.3109</v>
      </c>
      <c r="H66" s="6">
        <v>120.04559999999999</v>
      </c>
      <c r="I66" s="6" t="str">
        <f t="shared" ref="I66:I74" si="2">CONCATENATE(G66,","," ",H66)</f>
        <v>15.3109, 120.0456</v>
      </c>
      <c r="J66" s="6" t="s">
        <v>63</v>
      </c>
      <c r="K66" s="6" t="s">
        <v>41</v>
      </c>
      <c r="L66" s="6"/>
      <c r="M66" s="6" t="s">
        <v>133</v>
      </c>
      <c r="N66" s="307"/>
      <c r="O66" s="309"/>
      <c r="P66" s="21"/>
      <c r="Q66" s="21"/>
      <c r="R66" s="21"/>
      <c r="S66" s="21"/>
      <c r="T66" s="259" t="str">
        <f>IFERROR(
    IF(
        OR(ISBLANK(O66), ISBLANK(P66)),
        "",
        MAX(
            1,
            IF(
                NETWORKDAYS(O66, P66, Holiday_Dates) &lt;= 0,
                1,
                NETWORKDAYS(O66, P66, Holiday_Dates) - IF(O66 = P66, 0, 1)
            )
        )
    ),
    ""
)</f>
        <v/>
      </c>
      <c r="U66" s="259" t="str">
        <f>IF(
    OR(ISBLANK(P66), ISBLANK(Q66)),
    "",
    MAX(
        1,
        IF(
            NETWORKDAYS(P66, Q66, Holiday_Dates) &lt;= 0,
            1,
            NETWORKDAYS(P66, Q66, Holiday_Dates) - IF(P66 = Q66, 0, 1)
        )
    )
)</f>
        <v/>
      </c>
      <c r="V66" s="259" t="str">
        <f>IFERROR(
    IF(
        OR(ISBLANK(R66), AND(ISBLANK(P66), ISBLANK(Q66))),
        "",
        MAX(
            1,
            IF(
                NETWORKDAYS(IF(NOT(ISBLANK(Q66)), Q66, P66), R66, Holiday_Dates) &lt;= 0,
                1,
                NETWORKDAYS(IF(NOT(ISBLANK(Q66)), Q66, P66), R66, Holiday_Dates)
                - IF(IF(NOT(ISBLANK(Q66)), Q66, P66) = R66, 0, 1)
            )
        )
    ),
    ""
)</f>
        <v/>
      </c>
      <c r="W66" s="259" t="str">
        <f>IFERROR(
    IF(
        OR(ISBLANK(R66), ISBLANK(S66)),
        "",
        MAX(
            1,
            IF(
                NETWORKDAYS(R66, S66, Holiday_Dates) &lt;= 0,
                1,
                NETWORKDAYS(R66, S66, Holiday_Dates) - IF(R66 = S66, 0, 1)
            )
        )
    ),
    ""
)</f>
        <v/>
      </c>
      <c r="X66" s="6"/>
      <c r="Y66" s="6"/>
      <c r="Z66" s="6"/>
      <c r="AA66" s="6"/>
      <c r="AB66" s="6"/>
      <c r="AC66" s="6"/>
      <c r="AD66" s="6"/>
      <c r="AE66" s="252"/>
      <c r="AF66" s="6"/>
      <c r="AG66" s="6"/>
    </row>
    <row r="67" spans="1:33">
      <c r="A67" s="73" t="s">
        <v>53</v>
      </c>
      <c r="B67" s="73" t="s">
        <v>1049</v>
      </c>
      <c r="C67" s="73" t="s">
        <v>1050</v>
      </c>
      <c r="D67" s="73" t="s">
        <v>89</v>
      </c>
      <c r="E67" s="306" t="s">
        <v>243</v>
      </c>
      <c r="F67" s="73" t="s">
        <v>927</v>
      </c>
      <c r="G67" s="73">
        <v>14.901856860000001</v>
      </c>
      <c r="H67" s="73">
        <v>120.23227224999999</v>
      </c>
      <c r="I67" s="73" t="str">
        <f t="shared" si="2"/>
        <v>14.90185686, 120.23227225</v>
      </c>
      <c r="J67" s="73" t="s">
        <v>63</v>
      </c>
      <c r="K67" s="62" t="s">
        <v>246</v>
      </c>
      <c r="M67" s="326" t="s">
        <v>133</v>
      </c>
      <c r="N67" s="6"/>
      <c r="O67" s="249"/>
      <c r="P67" s="310"/>
      <c r="Q67" s="305"/>
      <c r="R67" s="305"/>
      <c r="S67" s="305"/>
      <c r="T67" s="259" t="str">
        <f>IFERROR(
    IF(
        OR(ISBLANK(O67), ISBLANK(P67)),
        "",
        MAX(
            1,
            IF(
                NETWORKDAYS(O67, P67, Holiday_Dates) &lt;= 0,
                1,
                NETWORKDAYS(O67, P67, Holiday_Dates) - IF(O67 = P67, 0, 1)
            )
        )
    ),
    ""
)</f>
        <v/>
      </c>
      <c r="U67" s="259" t="str">
        <f>IF(
    OR(ISBLANK(P67), ISBLANK(Q67)),
    "",
    MAX(
        1,
        IF(
            NETWORKDAYS(P67, Q67, Holiday_Dates) &lt;= 0,
            1,
            NETWORKDAYS(P67, Q67, Holiday_Dates) - IF(P67 = Q67, 0, 1)
        )
    )
)</f>
        <v/>
      </c>
      <c r="V67" s="259" t="str">
        <f>IFERROR(
    IF(
        OR(ISBLANK(R67), AND(ISBLANK(P67), ISBLANK(Q67))),
        "",
        MAX(
            1,
            IF(
                NETWORKDAYS(IF(NOT(ISBLANK(Q67)), Q67, P67), R67, Holiday_Dates) &lt;= 0,
                1,
                NETWORKDAYS(IF(NOT(ISBLANK(Q67)), Q67, P67), R67, Holiday_Dates)
                - IF(IF(NOT(ISBLANK(Q67)), Q67, P67) = R67, 0, 1)
            )
        )
    ),
    ""
)</f>
        <v/>
      </c>
      <c r="W67" s="259" t="str">
        <f>IFERROR(
    IF(
        OR(ISBLANK(R67), ISBLANK(S67)),
        "",
        MAX(
            1,
            IF(
                NETWORKDAYS(R67, S67, Holiday_Dates) &lt;= 0,
                1,
                NETWORKDAYS(R67, S67, Holiday_Dates) - IF(R67 = S67, 0, 1)
            )
        )
    ),
    ""
)</f>
        <v/>
      </c>
      <c r="X67" s="6"/>
      <c r="Y67" s="73"/>
      <c r="Z67" s="73"/>
      <c r="AA67" s="73"/>
      <c r="AB67" s="73"/>
      <c r="AC67" s="73"/>
      <c r="AD67" s="73"/>
      <c r="AE67" s="73"/>
      <c r="AF67" s="73"/>
      <c r="AG67" s="73"/>
    </row>
    <row r="68" spans="1:33" ht="30">
      <c r="A68" s="6" t="s">
        <v>47</v>
      </c>
      <c r="B68" s="6" t="s">
        <v>334</v>
      </c>
      <c r="C68" s="6" t="s">
        <v>703</v>
      </c>
      <c r="D68" s="6" t="s">
        <v>89</v>
      </c>
      <c r="E68" s="56" t="s">
        <v>259</v>
      </c>
      <c r="F68" s="6" t="s">
        <v>959</v>
      </c>
      <c r="G68" s="6">
        <v>16.288</v>
      </c>
      <c r="H68" s="6">
        <v>122.1223</v>
      </c>
      <c r="I68" s="6" t="str">
        <f t="shared" si="2"/>
        <v>16.288, 122.1223</v>
      </c>
      <c r="J68" s="6" t="s">
        <v>64</v>
      </c>
      <c r="K68" s="62" t="s">
        <v>15</v>
      </c>
      <c r="M68" s="60" t="s">
        <v>128</v>
      </c>
      <c r="N68" s="73"/>
      <c r="O68" s="305"/>
      <c r="P68" s="21"/>
      <c r="Q68" s="21"/>
      <c r="R68" s="21"/>
      <c r="S68" s="21"/>
      <c r="T68" s="259" t="str">
        <f>IFERROR(
    IF(
        OR(ISBLANK(O68), ISBLANK(P68)),
        "",
        MAX(
            1,
            IF(
                NETWORKDAYS(O68, P68, Holiday_Dates) &lt;= 0,
                1,
                NETWORKDAYS(O68, P68, Holiday_Dates) - IF(O68 = P68, 0, 1)
            )
        )
    ),
    ""
)</f>
        <v/>
      </c>
      <c r="U68" s="259" t="str">
        <f>IF(
    OR(ISBLANK(P68), ISBLANK(Q68)),
    "",
    MAX(
        1,
        IF(
            NETWORKDAYS(P68, Q68, Holiday_Dates) &lt;= 0,
            1,
            NETWORKDAYS(P68, Q68, Holiday_Dates) - IF(P68 = Q68, 0, 1)
        )
    )
)</f>
        <v/>
      </c>
      <c r="V68" s="259" t="str">
        <f>IFERROR(
    IF(
        OR(ISBLANK(R68), AND(ISBLANK(P68), ISBLANK(Q68))),
        "",
        MAX(
            1,
            IF(
                NETWORKDAYS(IF(NOT(ISBLANK(Q68)), Q68, P68), R68, Holiday_Dates) &lt;= 0,
                1,
                NETWORKDAYS(IF(NOT(ISBLANK(Q68)), Q68, P68), R68, Holiday_Dates)
                - IF(IF(NOT(ISBLANK(Q68)), Q68, P68) = R68, 0, 1)
            )
        )
    ),
    ""
)</f>
        <v/>
      </c>
      <c r="W68" s="259" t="str">
        <f>IFERROR(
    IF(
        OR(ISBLANK(R68), ISBLANK(S68)),
        "",
        MAX(
            1,
            IF(
                NETWORKDAYS(R68, S68, Holiday_Dates) &lt;= 0,
                1,
                NETWORKDAYS(R68, S68, Holiday_Dates) - IF(R68 = S68, 0, 1)
            )
        )
    ),
    ""
)</f>
        <v/>
      </c>
      <c r="X68" s="6"/>
      <c r="Y68" s="6"/>
      <c r="Z68" s="6"/>
      <c r="AA68" s="6"/>
      <c r="AB68" s="6"/>
      <c r="AC68" s="6"/>
      <c r="AD68" s="6"/>
      <c r="AE68" s="6"/>
      <c r="AF68" s="6"/>
      <c r="AG68" s="6"/>
    </row>
    <row r="69" spans="1:33">
      <c r="A69" s="6" t="s">
        <v>48</v>
      </c>
      <c r="B69" s="6" t="s">
        <v>477</v>
      </c>
      <c r="C69" s="6" t="s">
        <v>817</v>
      </c>
      <c r="D69" s="6" t="s">
        <v>88</v>
      </c>
      <c r="E69" s="59" t="s">
        <v>243</v>
      </c>
      <c r="F69" s="6" t="s">
        <v>927</v>
      </c>
      <c r="G69" s="6">
        <v>14.70363</v>
      </c>
      <c r="H69" s="6">
        <v>120.48793000000001</v>
      </c>
      <c r="I69" s="6" t="str">
        <f t="shared" si="2"/>
        <v>14.70363, 120.48793</v>
      </c>
      <c r="J69" s="6" t="s">
        <v>64</v>
      </c>
      <c r="K69" s="250" t="s">
        <v>17</v>
      </c>
      <c r="L69" s="318"/>
      <c r="M69" s="60" t="s">
        <v>129</v>
      </c>
      <c r="N69" s="6"/>
      <c r="O69" s="21"/>
      <c r="P69" s="21"/>
      <c r="Q69" s="21"/>
      <c r="R69" s="21"/>
      <c r="S69" s="21"/>
      <c r="T69" s="259" t="str">
        <f>IFERROR(
    IF(
        OR(ISBLANK(O69), ISBLANK(P69)),
        "",
        MAX(
            1,
            IF(
                NETWORKDAYS(O69, P69, Holiday_Dates) &lt;= 0,
                1,
                NETWORKDAYS(O69, P69, Holiday_Dates) - IF(O69 = P69, 0, 1)
            )
        )
    ),
    ""
)</f>
        <v/>
      </c>
      <c r="U69" s="259" t="str">
        <f>IF(
    OR(ISBLANK(P69), ISBLANK(Q69)),
    "",
    MAX(
        1,
        IF(
            NETWORKDAYS(P69, Q69, Holiday_Dates) &lt;= 0,
            1,
            NETWORKDAYS(P69, Q69, Holiday_Dates) - IF(P69 = Q69, 0, 1)
        )
    )
)</f>
        <v/>
      </c>
      <c r="V69" s="259" t="str">
        <f>IFERROR(
    IF(
        OR(ISBLANK(R69), AND(ISBLANK(P69), ISBLANK(Q69))),
        "",
        MAX(
            1,
            IF(
                NETWORKDAYS(IF(NOT(ISBLANK(Q69)), Q69, P69), R69, Holiday_Dates) &lt;= 0,
                1,
                NETWORKDAYS(IF(NOT(ISBLANK(Q69)), Q69, P69), R69, Holiday_Dates)
                - IF(IF(NOT(ISBLANK(Q69)), Q69, P69) = R69, 0, 1)
            )
        )
    ),
    ""
)</f>
        <v/>
      </c>
      <c r="W69" s="259" t="str">
        <f>IFERROR(
    IF(
        OR(ISBLANK(R69), ISBLANK(S69)),
        "",
        MAX(
            1,
            IF(
                NETWORKDAYS(R69, S69, Holiday_Dates) &lt;= 0,
                1,
                NETWORKDAYS(R69, S69, Holiday_Dates) - IF(R69 = S69, 0, 1)
            )
        )
    ),
    ""
)</f>
        <v/>
      </c>
      <c r="X69" s="6"/>
      <c r="Y69" s="6"/>
      <c r="Z69" s="6"/>
      <c r="AA69" s="6"/>
      <c r="AB69" s="6"/>
      <c r="AC69" s="6"/>
      <c r="AD69" s="6"/>
      <c r="AE69" s="6"/>
      <c r="AF69" s="6"/>
      <c r="AG69" s="6"/>
    </row>
    <row r="70" spans="1:33" ht="30">
      <c r="A70" s="6" t="s">
        <v>49</v>
      </c>
      <c r="B70" s="6" t="s">
        <v>405</v>
      </c>
      <c r="C70" s="6" t="s">
        <v>1051</v>
      </c>
      <c r="D70" s="6" t="s">
        <v>88</v>
      </c>
      <c r="E70" s="59" t="s">
        <v>271</v>
      </c>
      <c r="F70" s="6" t="s">
        <v>927</v>
      </c>
      <c r="G70" s="6">
        <v>14.9491</v>
      </c>
      <c r="H70" s="6">
        <v>120.8862</v>
      </c>
      <c r="I70" s="6" t="str">
        <f t="shared" si="2"/>
        <v>14.9491, 120.8862</v>
      </c>
      <c r="J70" s="6" t="s">
        <v>64</v>
      </c>
      <c r="K70" s="250" t="s">
        <v>377</v>
      </c>
      <c r="L70" s="318"/>
      <c r="M70" s="60" t="s">
        <v>128</v>
      </c>
      <c r="N70" s="6"/>
      <c r="O70" s="21"/>
      <c r="P70" s="21"/>
      <c r="Q70" s="21"/>
      <c r="R70" s="21"/>
      <c r="S70" s="21"/>
      <c r="T70" s="259" t="str">
        <f>IFERROR(
    IF(
        OR(ISBLANK(O70), ISBLANK(P70)),
        "",
        MAX(
            1,
            IF(
                NETWORKDAYS(O70, P70, Holiday_Dates) &lt;= 0,
                1,
                NETWORKDAYS(O70, P70, Holiday_Dates) - IF(O70 = P70, 0, 1)
            )
        )
    ),
    ""
)</f>
        <v/>
      </c>
      <c r="U70" s="259" t="str">
        <f>IF(
    OR(ISBLANK(P70), ISBLANK(Q70)),
    "",
    MAX(
        1,
        IF(
            NETWORKDAYS(P70, Q70, Holiday_Dates) &lt;= 0,
            1,
            NETWORKDAYS(P70, Q70, Holiday_Dates) - IF(P70 = Q70, 0, 1)
        )
    )
)</f>
        <v/>
      </c>
      <c r="V70" s="259" t="str">
        <f>IFERROR(
    IF(
        OR(ISBLANK(R70), AND(ISBLANK(P70), ISBLANK(Q70))),
        "",
        MAX(
            1,
            IF(
                NETWORKDAYS(IF(NOT(ISBLANK(Q70)), Q70, P70), R70, Holiday_Dates) &lt;= 0,
                1,
                NETWORKDAYS(IF(NOT(ISBLANK(Q70)), Q70, P70), R70, Holiday_Dates)
                - IF(IF(NOT(ISBLANK(Q70)), Q70, P70) = R70, 0, 1)
            )
        )
    ),
    ""
)</f>
        <v/>
      </c>
      <c r="W70" s="259" t="str">
        <f>IFERROR(
    IF(
        OR(ISBLANK(R70), ISBLANK(S70)),
        "",
        MAX(
            1,
            IF(
                NETWORKDAYS(R70, S70, Holiday_Dates) &lt;= 0,
                1,
                NETWORKDAYS(R70, S70, Holiday_Dates) - IF(R70 = S70, 0, 1)
            )
        )
    ),
    ""
)</f>
        <v/>
      </c>
      <c r="X70" s="6"/>
      <c r="Y70" s="6"/>
      <c r="Z70" s="6"/>
      <c r="AA70" s="6"/>
      <c r="AB70" s="6"/>
      <c r="AC70" s="6"/>
      <c r="AD70" s="6"/>
      <c r="AE70" s="6"/>
      <c r="AF70" s="6"/>
      <c r="AG70" s="6"/>
    </row>
    <row r="71" spans="1:33" ht="15.75">
      <c r="A71" s="6" t="s">
        <v>49</v>
      </c>
      <c r="B71" s="6" t="s">
        <v>494</v>
      </c>
      <c r="C71" s="6" t="s">
        <v>1029</v>
      </c>
      <c r="D71" s="6" t="s">
        <v>88</v>
      </c>
      <c r="E71" s="59" t="s">
        <v>243</v>
      </c>
      <c r="F71" s="6" t="s">
        <v>927</v>
      </c>
      <c r="G71" s="6">
        <v>14.808199999999999</v>
      </c>
      <c r="H71" s="6">
        <v>120.8443</v>
      </c>
      <c r="I71" s="6" t="str">
        <f t="shared" si="2"/>
        <v>14.8082, 120.8443</v>
      </c>
      <c r="J71" s="6" t="s">
        <v>64</v>
      </c>
      <c r="K71" s="62" t="s">
        <v>22</v>
      </c>
      <c r="M71" s="60" t="s">
        <v>128</v>
      </c>
      <c r="N71" s="6"/>
      <c r="O71" s="21"/>
      <c r="P71" s="21"/>
      <c r="Q71" s="21"/>
      <c r="R71" s="21"/>
      <c r="S71" s="21"/>
      <c r="T71" s="259" t="str">
        <f>IFERROR(
    IF(
        OR(ISBLANK(O71), ISBLANK(P71)),
        "",
        MAX(
            1,
            IF(
                NETWORKDAYS(O71, P71, Holiday_Dates) &lt;= 0,
                1,
                NETWORKDAYS(O71, P71, Holiday_Dates) - IF(O71 = P71, 0, 1)
            )
        )
    ),
    ""
)</f>
        <v/>
      </c>
      <c r="U71" s="259" t="str">
        <f>IF(
    OR(ISBLANK(P71), ISBLANK(Q71)),
    "",
    MAX(
        1,
        IF(
            NETWORKDAYS(P71, Q71, Holiday_Dates) &lt;= 0,
            1,
            NETWORKDAYS(P71, Q71, Holiday_Dates) - IF(P71 = Q71, 0, 1)
        )
    )
)</f>
        <v/>
      </c>
      <c r="V71" s="259" t="str">
        <f>IFERROR(
    IF(
        OR(ISBLANK(R71), AND(ISBLANK(P71), ISBLANK(Q71))),
        "",
        MAX(
            1,
            IF(
                NETWORKDAYS(IF(NOT(ISBLANK(Q71)), Q71, P71), R71, Holiday_Dates) &lt;= 0,
                1,
                NETWORKDAYS(IF(NOT(ISBLANK(Q71)), Q71, P71), R71, Holiday_Dates)
                - IF(IF(NOT(ISBLANK(Q71)), Q71, P71) = R71, 0, 1)
            )
        )
    ),
    ""
)</f>
        <v/>
      </c>
      <c r="W71" s="259" t="str">
        <f>IFERROR(
    IF(
        OR(ISBLANK(R71), ISBLANK(S71)),
        "",
        MAX(
            1,
            IF(
                NETWORKDAYS(R71, S71, Holiday_Dates) &lt;= 0,
                1,
                NETWORKDAYS(R71, S71, Holiday_Dates) - IF(R71 = S71, 0, 1)
            )
        )
    ),
    ""
)</f>
        <v/>
      </c>
      <c r="X71" s="6"/>
      <c r="Y71" s="6"/>
      <c r="Z71" s="6"/>
      <c r="AA71" s="6"/>
      <c r="AB71" s="6"/>
      <c r="AC71" s="6"/>
      <c r="AD71" s="6"/>
      <c r="AE71" s="412"/>
      <c r="AF71" s="6"/>
      <c r="AG71" s="6"/>
    </row>
    <row r="72" spans="1:33">
      <c r="A72" s="6" t="s">
        <v>49</v>
      </c>
      <c r="B72" s="6" t="s">
        <v>284</v>
      </c>
      <c r="C72" s="6" t="s">
        <v>777</v>
      </c>
      <c r="D72" s="6" t="s">
        <v>88</v>
      </c>
      <c r="E72" s="59" t="s">
        <v>271</v>
      </c>
      <c r="F72" s="6" t="s">
        <v>927</v>
      </c>
      <c r="G72" s="6">
        <v>14.8682</v>
      </c>
      <c r="H72" s="6">
        <v>120.8861</v>
      </c>
      <c r="I72" s="6" t="str">
        <f t="shared" si="2"/>
        <v>14.8682, 120.8861</v>
      </c>
      <c r="J72" s="6" t="s">
        <v>64</v>
      </c>
      <c r="K72" s="62" t="s">
        <v>21</v>
      </c>
      <c r="M72" s="60" t="s">
        <v>128</v>
      </c>
      <c r="O72" s="21"/>
      <c r="P72" s="21"/>
      <c r="Q72" s="21"/>
      <c r="R72" s="21"/>
      <c r="S72" s="21"/>
      <c r="T72" s="259" t="str">
        <f>IFERROR(
    IF(
        OR(ISBLANK(O72), ISBLANK(P72)),
        "",
        MAX(
            1,
            IF(
                NETWORKDAYS(O72, P72, Holiday_Dates) &lt;= 0,
                1,
                NETWORKDAYS(O72, P72, Holiday_Dates) - IF(O72 = P72, 0, 1)
            )
        )
    ),
    ""
)</f>
        <v/>
      </c>
      <c r="U72" s="259" t="str">
        <f>IF(
    OR(ISBLANK(P72), ISBLANK(Q72)),
    "",
    MAX(
        1,
        IF(
            NETWORKDAYS(P72, Q72, Holiday_Dates) &lt;= 0,
            1,
            NETWORKDAYS(P72, Q72, Holiday_Dates) - IF(P72 = Q72, 0, 1)
        )
    )
)</f>
        <v/>
      </c>
      <c r="V72" s="259" t="str">
        <f>IFERROR(
    IF(
        OR(ISBLANK(R72), AND(ISBLANK(P72), ISBLANK(Q72))),
        "",
        MAX(
            1,
            IF(
                NETWORKDAYS(IF(NOT(ISBLANK(Q72)), Q72, P72), R72, Holiday_Dates) &lt;= 0,
                1,
                NETWORKDAYS(IF(NOT(ISBLANK(Q72)), Q72, P72), R72, Holiday_Dates)
                - IF(IF(NOT(ISBLANK(Q72)), Q72, P72) = R72, 0, 1)
            )
        )
    ),
    ""
)</f>
        <v/>
      </c>
      <c r="W72" s="259" t="str">
        <f>IFERROR(
    IF(
        OR(ISBLANK(R72), ISBLANK(S72)),
        "",
        MAX(
            1,
            IF(
                NETWORKDAYS(R72, S72, Holiday_Dates) &lt;= 0,
                1,
                NETWORKDAYS(R72, S72, Holiday_Dates) - IF(R72 = S72, 0, 1)
            )
        )
    ),
    ""
)</f>
        <v/>
      </c>
      <c r="X72" s="6"/>
      <c r="AA72" s="6"/>
      <c r="AB72" s="6"/>
      <c r="AC72" s="6"/>
      <c r="AD72" s="6"/>
      <c r="AE72" s="250"/>
      <c r="AF72" s="6"/>
      <c r="AG72" s="6"/>
    </row>
    <row r="73" spans="1:33">
      <c r="A73" s="250" t="s">
        <v>50</v>
      </c>
      <c r="B73" s="250" t="s">
        <v>505</v>
      </c>
      <c r="C73" s="250" t="s">
        <v>1052</v>
      </c>
      <c r="D73" s="250" t="s">
        <v>88</v>
      </c>
      <c r="E73" s="295" t="s">
        <v>213</v>
      </c>
      <c r="F73" s="250" t="s">
        <v>927</v>
      </c>
      <c r="G73" s="250">
        <v>15.56236</v>
      </c>
      <c r="H73" s="250">
        <v>121.09817</v>
      </c>
      <c r="I73" s="250" t="str">
        <f t="shared" si="2"/>
        <v>15.56236, 121.09817</v>
      </c>
      <c r="J73" s="250" t="s">
        <v>64</v>
      </c>
      <c r="K73" s="301" t="s">
        <v>26</v>
      </c>
      <c r="M73" s="318" t="s">
        <v>130</v>
      </c>
      <c r="N73" s="300"/>
      <c r="O73" s="296"/>
      <c r="P73" s="296"/>
      <c r="Q73" s="296"/>
      <c r="R73" s="296"/>
      <c r="S73" s="296"/>
      <c r="T73" s="259" t="str">
        <f>IFERROR(
    IF(
        OR(ISBLANK(O73), ISBLANK(P73)),
        "",
        MAX(
            1,
            IF(
                NETWORKDAYS(O73, P73, Holiday_Dates) &lt;= 0,
                1,
                NETWORKDAYS(O73, P73, Holiday_Dates) - IF(O73 = P73, 0, 1)
            )
        )
    ),
    ""
)</f>
        <v/>
      </c>
      <c r="U73" s="259" t="str">
        <f>IF(
    OR(ISBLANK(P73), ISBLANK(Q73)),
    "",
    MAX(
        1,
        IF(
            NETWORKDAYS(P73, Q73, Holiday_Dates) &lt;= 0,
            1,
            NETWORKDAYS(P73, Q73, Holiday_Dates) - IF(P73 = Q73, 0, 1)
        )
    )
)</f>
        <v/>
      </c>
      <c r="V73" s="259" t="str">
        <f>IFERROR(
    IF(
        OR(ISBLANK(R73), AND(ISBLANK(P73), ISBLANK(Q73))),
        "",
        MAX(
            1,
            IF(
                NETWORKDAYS(IF(NOT(ISBLANK(Q73)), Q73, P73), R73, Holiday_Dates) &lt;= 0,
                1,
                NETWORKDAYS(IF(NOT(ISBLANK(Q73)), Q73, P73), R73, Holiday_Dates)
                - IF(IF(NOT(ISBLANK(Q73)), Q73, P73) = R73, 0, 1)
            )
        )
    ),
    ""
)</f>
        <v/>
      </c>
      <c r="W73" s="259" t="str">
        <f>IFERROR(
    IF(
        OR(ISBLANK(R73), ISBLANK(S73)),
        "",
        MAX(
            1,
            IF(
                NETWORKDAYS(R73, S73, Holiday_Dates) &lt;= 0,
                1,
                NETWORKDAYS(R73, S73, Holiday_Dates) - IF(R73 = S73, 0, 1)
            )
        )
    ),
    ""
)</f>
        <v/>
      </c>
      <c r="X73" s="250"/>
      <c r="Y73" s="250"/>
      <c r="Z73" s="250"/>
      <c r="AA73" s="250"/>
      <c r="AB73" s="250"/>
      <c r="AC73" s="250"/>
      <c r="AD73" s="243"/>
      <c r="AE73" s="6"/>
      <c r="AF73" s="318"/>
      <c r="AG73" s="250"/>
    </row>
    <row r="74" spans="1:33">
      <c r="A74" s="6" t="s">
        <v>50</v>
      </c>
      <c r="B74" s="6" t="s">
        <v>520</v>
      </c>
      <c r="C74" s="6" t="s">
        <v>682</v>
      </c>
      <c r="D74" s="6" t="s">
        <v>88</v>
      </c>
      <c r="E74" s="59" t="s">
        <v>224</v>
      </c>
      <c r="F74" s="6" t="s">
        <v>927</v>
      </c>
      <c r="G74" s="6">
        <v>15.270087</v>
      </c>
      <c r="H74" s="6">
        <v>120.9132</v>
      </c>
      <c r="I74" s="6" t="str">
        <f t="shared" si="2"/>
        <v>15.270087, 120.9132</v>
      </c>
      <c r="J74" s="6" t="s">
        <v>64</v>
      </c>
      <c r="K74" s="6" t="s">
        <v>30</v>
      </c>
      <c r="L74" s="6"/>
      <c r="M74" s="6" t="s">
        <v>130</v>
      </c>
      <c r="N74" s="6"/>
      <c r="O74" s="21"/>
      <c r="P74" s="21"/>
      <c r="Q74" s="21"/>
      <c r="R74" s="21"/>
      <c r="S74" s="21"/>
      <c r="T74" s="259" t="str">
        <f>IFERROR(
    IF(
        OR(ISBLANK(O74), ISBLANK(P74)),
        "",
        MAX(
            1,
            IF(
                NETWORKDAYS(O74, P74, Holiday_Dates) &lt;= 0,
                1,
                NETWORKDAYS(O74, P74, Holiday_Dates) - IF(O74 = P74, 0, 1)
            )
        )
    ),
    ""
)</f>
        <v/>
      </c>
      <c r="U74" s="259" t="str">
        <f>IF(
    OR(ISBLANK(P74), ISBLANK(Q74)),
    "",
    MAX(
        1,
        IF(
            NETWORKDAYS(P74, Q74, Holiday_Dates) &lt;= 0,
            1,
            NETWORKDAYS(P74, Q74, Holiday_Dates) - IF(P74 = Q74, 0, 1)
        )
    )
)</f>
        <v/>
      </c>
      <c r="V74" s="259" t="str">
        <f>IFERROR(
    IF(
        OR(ISBLANK(R74), AND(ISBLANK(P74), ISBLANK(Q74))),
        "",
        MAX(
            1,
            IF(
                NETWORKDAYS(IF(NOT(ISBLANK(Q74)), Q74, P74), R74, Holiday_Dates) &lt;= 0,
                1,
                NETWORKDAYS(IF(NOT(ISBLANK(Q74)), Q74, P74), R74, Holiday_Dates)
                - IF(IF(NOT(ISBLANK(Q74)), Q74, P74) = R74, 0, 1)
            )
        )
    ),
    ""
)</f>
        <v/>
      </c>
      <c r="W74" s="259" t="str">
        <f>IFERROR(
    IF(
        OR(ISBLANK(R74), ISBLANK(S74)),
        "",
        MAX(
            1,
            IF(
                NETWORKDAYS(R74, S74, Holiday_Dates) &lt;= 0,
                1,
                NETWORKDAYS(R74, S74, Holiday_Dates) - IF(R74 = S74, 0, 1)
            )
        )
    ),
    ""
)</f>
        <v/>
      </c>
      <c r="X74" s="6"/>
      <c r="Y74" s="6"/>
      <c r="Z74" s="6"/>
      <c r="AA74" s="6"/>
      <c r="AB74" s="6"/>
      <c r="AC74" s="6"/>
      <c r="AD74" s="6"/>
      <c r="AE74" s="73"/>
      <c r="AF74" s="6"/>
      <c r="AG74" s="6"/>
    </row>
    <row r="75" spans="1:33" ht="16.5">
      <c r="A75" s="6" t="s">
        <v>50</v>
      </c>
      <c r="B75" s="42" t="s">
        <v>412</v>
      </c>
      <c r="C75" s="6" t="s">
        <v>1053</v>
      </c>
      <c r="D75" s="6" t="s">
        <v>88</v>
      </c>
      <c r="E75" s="59" t="s">
        <v>271</v>
      </c>
      <c r="F75" s="6" t="s">
        <v>927</v>
      </c>
      <c r="G75" s="6">
        <v>15.7598</v>
      </c>
      <c r="H75" s="6">
        <v>120.8967</v>
      </c>
      <c r="I75" s="6" t="s">
        <v>1054</v>
      </c>
      <c r="J75" s="6" t="s">
        <v>64</v>
      </c>
      <c r="K75" s="6" t="s">
        <v>29</v>
      </c>
      <c r="L75" s="6"/>
      <c r="M75" s="6" t="s">
        <v>130</v>
      </c>
      <c r="N75" s="430"/>
      <c r="O75" s="21"/>
      <c r="P75" s="21"/>
      <c r="Q75" s="21"/>
      <c r="R75" s="21"/>
      <c r="S75" s="21"/>
      <c r="T75" s="259" t="str">
        <f>IFERROR(
    IF(
        OR(ISBLANK(O75), ISBLANK(P75)),
        "",
        MAX(
            1,
            IF(
                NETWORKDAYS(O75, P75, Holiday_Dates) &lt;= 0,
                1,
                NETWORKDAYS(O75, P75, Holiday_Dates) - IF(O75 = P75, 0, 1)
            )
        )
    ),
    ""
)</f>
        <v/>
      </c>
      <c r="U75" s="259" t="str">
        <f>IF(
    OR(ISBLANK(P75), ISBLANK(Q75)),
    "",
    MAX(
        1,
        IF(
            NETWORKDAYS(P75, Q75, Holiday_Dates) &lt;= 0,
            1,
            NETWORKDAYS(P75, Q75, Holiday_Dates) - IF(P75 = Q75, 0, 1)
        )
    )
)</f>
        <v/>
      </c>
      <c r="V75" s="259" t="str">
        <f>IFERROR(
    IF(
        OR(ISBLANK(R75), AND(ISBLANK(P75), ISBLANK(Q75))),
        "",
        MAX(
            1,
            IF(
                NETWORKDAYS(IF(NOT(ISBLANK(Q75)), Q75, P75), R75, Holiday_Dates) &lt;= 0,
                1,
                NETWORKDAYS(IF(NOT(ISBLANK(Q75)), Q75, P75), R75, Holiday_Dates)
                - IF(IF(NOT(ISBLANK(Q75)), Q75, P75) = R75, 0, 1)
            )
        )
    ),
    ""
)</f>
        <v/>
      </c>
      <c r="W75" s="259" t="str">
        <f>IFERROR(
    IF(
        OR(ISBLANK(R75), ISBLANK(S75)),
        "",
        MAX(
            1,
            IF(
                NETWORKDAYS(R75, S75, Holiday_Dates) &lt;= 0,
                1,
                NETWORKDAYS(R75, S75, Holiday_Dates) - IF(R75 = S75, 0, 1)
            )
        )
    ),
    ""
)</f>
        <v/>
      </c>
      <c r="X75" s="6"/>
      <c r="Y75" s="6"/>
      <c r="Z75" s="6"/>
      <c r="AA75" s="6"/>
      <c r="AB75" s="6"/>
      <c r="AC75" s="6"/>
      <c r="AD75" s="6"/>
      <c r="AE75" s="6"/>
      <c r="AF75" s="6"/>
      <c r="AG75" s="6"/>
    </row>
    <row r="76" spans="1:33">
      <c r="A76" s="73" t="s">
        <v>50</v>
      </c>
      <c r="B76" s="73" t="s">
        <v>530</v>
      </c>
      <c r="C76" s="73" t="s">
        <v>250</v>
      </c>
      <c r="D76" s="73" t="s">
        <v>88</v>
      </c>
      <c r="E76" s="306" t="s">
        <v>243</v>
      </c>
      <c r="F76" s="73" t="s">
        <v>927</v>
      </c>
      <c r="G76" s="73">
        <v>15.4315</v>
      </c>
      <c r="H76" s="73">
        <v>120.8028</v>
      </c>
      <c r="I76" s="73" t="str">
        <f t="shared" ref="I76:I107" si="3">CONCATENATE(G76,","," ",H76)</f>
        <v>15.4315, 120.8028</v>
      </c>
      <c r="J76" s="73" t="s">
        <v>64</v>
      </c>
      <c r="K76" s="62" t="s">
        <v>27</v>
      </c>
      <c r="M76" s="73" t="s">
        <v>130</v>
      </c>
      <c r="N76" s="73"/>
      <c r="O76" s="305"/>
      <c r="P76" s="305"/>
      <c r="Q76" s="305"/>
      <c r="R76" s="305"/>
      <c r="S76" s="305"/>
      <c r="T76" s="259" t="str">
        <f>IFERROR(
    IF(
        OR(ISBLANK(O76), ISBLANK(P76)),
        "",
        MAX(
            1,
            IF(
                NETWORKDAYS(O76, P76, Holiday_Dates) &lt;= 0,
                1,
                NETWORKDAYS(O76, P76, Holiday_Dates) - IF(O76 = P76, 0, 1)
            )
        )
    ),
    ""
)</f>
        <v/>
      </c>
      <c r="U76" s="259" t="str">
        <f>IF(
    OR(ISBLANK(P76), ISBLANK(Q76)),
    "",
    MAX(
        1,
        IF(
            NETWORKDAYS(P76, Q76, Holiday_Dates) &lt;= 0,
            1,
            NETWORKDAYS(P76, Q76, Holiday_Dates) - IF(P76 = Q76, 0, 1)
        )
    )
)</f>
        <v/>
      </c>
      <c r="V76" s="259" t="str">
        <f>IFERROR(
    IF(
        OR(ISBLANK(R76), AND(ISBLANK(P76), ISBLANK(Q76))),
        "",
        MAX(
            1,
            IF(
                NETWORKDAYS(IF(NOT(ISBLANK(Q76)), Q76, P76), R76, Holiday_Dates) &lt;= 0,
                1,
                NETWORKDAYS(IF(NOT(ISBLANK(Q76)), Q76, P76), R76, Holiday_Dates)
                - IF(IF(NOT(ISBLANK(Q76)), Q76, P76) = R76, 0, 1)
            )
        )
    ),
    ""
)</f>
        <v/>
      </c>
      <c r="W76" s="259" t="str">
        <f>IFERROR(
    IF(
        OR(ISBLANK(R76), ISBLANK(S76)),
        "",
        MAX(
            1,
            IF(
                NETWORKDAYS(R76, S76, Holiday_Dates) &lt;= 0,
                1,
                NETWORKDAYS(R76, S76, Holiday_Dates) - IF(R76 = S76, 0, 1)
            )
        )
    ),
    ""
)</f>
        <v/>
      </c>
      <c r="X76" s="73"/>
      <c r="Y76" s="73"/>
      <c r="Z76" s="73"/>
      <c r="AA76" s="73"/>
      <c r="AB76" s="73"/>
      <c r="AC76" s="73"/>
      <c r="AD76" s="73"/>
      <c r="AE76" s="73"/>
      <c r="AF76" s="73"/>
      <c r="AG76" s="73"/>
    </row>
    <row r="77" spans="1:33" ht="30">
      <c r="A77" s="6" t="s">
        <v>51</v>
      </c>
      <c r="B77" s="6" t="s">
        <v>389</v>
      </c>
      <c r="C77" s="6" t="s">
        <v>1055</v>
      </c>
      <c r="D77" s="6" t="s">
        <v>88</v>
      </c>
      <c r="E77" s="59" t="s">
        <v>213</v>
      </c>
      <c r="F77" s="6" t="s">
        <v>927</v>
      </c>
      <c r="G77" s="6">
        <v>15.189450000000001</v>
      </c>
      <c r="H77" s="6">
        <v>120.79130000000001</v>
      </c>
      <c r="I77" s="6" t="str">
        <f t="shared" si="3"/>
        <v>15.18945, 120.7913</v>
      </c>
      <c r="J77" s="6" t="s">
        <v>64</v>
      </c>
      <c r="K77" s="62" t="s">
        <v>32</v>
      </c>
      <c r="M77" s="6" t="s">
        <v>133</v>
      </c>
      <c r="N77" s="6"/>
      <c r="O77" s="21"/>
      <c r="P77" s="409"/>
      <c r="Q77" s="409"/>
      <c r="R77" s="409"/>
      <c r="S77" s="21"/>
      <c r="T77" s="259" t="str">
        <f>IFERROR(
    IF(
        OR(ISBLANK(O77), ISBLANK(P77)),
        "",
        MAX(
            1,
            IF(
                NETWORKDAYS(O77, P77, Holiday_Dates) &lt;= 0,
                1,
                NETWORKDAYS(O77, P77, Holiday_Dates) - IF(O77 = P77, 0, 1)
            )
        )
    ),
    ""
)</f>
        <v/>
      </c>
      <c r="U77" s="259" t="str">
        <f>IF(
    OR(ISBLANK(P77), ISBLANK(Q77)),
    "",
    MAX(
        1,
        IF(
            NETWORKDAYS(P77, Q77, Holiday_Dates) &lt;= 0,
            1,
            NETWORKDAYS(P77, Q77, Holiday_Dates) - IF(P77 = Q77, 0, 1)
        )
    )
)</f>
        <v/>
      </c>
      <c r="V77" s="259" t="str">
        <f>IFERROR(
    IF(
        OR(ISBLANK(R77), AND(ISBLANK(P77), ISBLANK(Q77))),
        "",
        MAX(
            1,
            IF(
                NETWORKDAYS(IF(NOT(ISBLANK(Q77)), Q77, P77), R77, Holiday_Dates) &lt;= 0,
                1,
                NETWORKDAYS(IF(NOT(ISBLANK(Q77)), Q77, P77), R77, Holiday_Dates)
                - IF(IF(NOT(ISBLANK(Q77)), Q77, P77) = R77, 0, 1)
            )
        )
    ),
    ""
)</f>
        <v/>
      </c>
      <c r="W77" s="259" t="str">
        <f>IFERROR(
    IF(
        OR(ISBLANK(R77), ISBLANK(S77)),
        "",
        MAX(
            1,
            IF(
                NETWORKDAYS(R77, S77, Holiday_Dates) &lt;= 0,
                1,
                NETWORKDAYS(R77, S77, Holiday_Dates) - IF(R77 = S77, 0, 1)
            )
        )
    ),
    ""
)</f>
        <v/>
      </c>
      <c r="X77" s="6"/>
      <c r="Y77" s="6"/>
      <c r="Z77" s="6"/>
      <c r="AA77" s="6"/>
      <c r="AB77" s="6"/>
      <c r="AC77" s="6"/>
      <c r="AD77" s="6"/>
      <c r="AE77" s="6"/>
      <c r="AF77" s="6"/>
      <c r="AG77" s="6"/>
    </row>
    <row r="78" spans="1:33">
      <c r="A78" s="250" t="s">
        <v>51</v>
      </c>
      <c r="B78" s="250" t="s">
        <v>416</v>
      </c>
      <c r="C78" s="250" t="s">
        <v>862</v>
      </c>
      <c r="D78" s="250" t="s">
        <v>88</v>
      </c>
      <c r="E78" s="302" t="s">
        <v>271</v>
      </c>
      <c r="F78" s="250" t="s">
        <v>927</v>
      </c>
      <c r="G78" s="250">
        <v>15.0678</v>
      </c>
      <c r="H78" s="250">
        <v>120.56019999999999</v>
      </c>
      <c r="I78" s="250" t="str">
        <f t="shared" si="3"/>
        <v>15.0678, 120.5602</v>
      </c>
      <c r="J78" s="250" t="s">
        <v>64</v>
      </c>
      <c r="K78" s="301" t="s">
        <v>33</v>
      </c>
      <c r="M78" s="250" t="s">
        <v>239</v>
      </c>
      <c r="N78" s="250"/>
      <c r="O78" s="296"/>
      <c r="P78" s="296"/>
      <c r="Q78" s="296"/>
      <c r="R78" s="296"/>
      <c r="S78" s="296"/>
      <c r="T78" s="259" t="str">
        <f>IFERROR(
    IF(
        OR(ISBLANK(O78), ISBLANK(P78)),
        "",
        MAX(
            1,
            IF(
                NETWORKDAYS(O78, P78, Holiday_Dates) &lt;= 0,
                1,
                NETWORKDAYS(O78, P78, Holiday_Dates) - IF(O78 = P78, 0, 1)
            )
        )
    ),
    ""
)</f>
        <v/>
      </c>
      <c r="U78" s="259" t="str">
        <f>IF(
    OR(ISBLANK(P78), ISBLANK(Q78)),
    "",
    MAX(
        1,
        IF(
            NETWORKDAYS(P78, Q78, Holiday_Dates) &lt;= 0,
            1,
            NETWORKDAYS(P78, Q78, Holiday_Dates) - IF(P78 = Q78, 0, 1)
        )
    )
)</f>
        <v/>
      </c>
      <c r="V78" s="259" t="str">
        <f>IFERROR(
    IF(
        OR(ISBLANK(R78), AND(ISBLANK(P78), ISBLANK(Q78))),
        "",
        MAX(
            1,
            IF(
                NETWORKDAYS(IF(NOT(ISBLANK(Q78)), Q78, P78), R78, Holiday_Dates) &lt;= 0,
                1,
                NETWORKDAYS(IF(NOT(ISBLANK(Q78)), Q78, P78), R78, Holiday_Dates)
                - IF(IF(NOT(ISBLANK(Q78)), Q78, P78) = R78, 0, 1)
            )
        )
    ),
    ""
)</f>
        <v/>
      </c>
      <c r="W78" s="259" t="str">
        <f>IFERROR(
    IF(
        OR(ISBLANK(R78), ISBLANK(S78)),
        "",
        MAX(
            1,
            IF(
                NETWORKDAYS(R78, S78, Holiday_Dates) &lt;= 0,
                1,
                NETWORKDAYS(R78, S78, Holiday_Dates) - IF(R78 = S78, 0, 1)
            )
        )
    ),
    ""
)</f>
        <v/>
      </c>
      <c r="X78" s="250"/>
      <c r="Y78" s="250"/>
      <c r="Z78" s="250"/>
      <c r="AA78" s="250"/>
      <c r="AB78" s="250"/>
      <c r="AC78" s="250"/>
      <c r="AD78" s="250"/>
      <c r="AE78" s="250"/>
      <c r="AF78" s="250"/>
      <c r="AG78" s="250"/>
    </row>
    <row r="79" spans="1:33">
      <c r="A79" s="6" t="s">
        <v>51</v>
      </c>
      <c r="B79" s="6" t="s">
        <v>450</v>
      </c>
      <c r="C79" s="6" t="s">
        <v>1056</v>
      </c>
      <c r="D79" s="6" t="s">
        <v>88</v>
      </c>
      <c r="E79" s="61" t="s">
        <v>224</v>
      </c>
      <c r="F79" s="6" t="s">
        <v>927</v>
      </c>
      <c r="G79" s="6">
        <v>14.996600000000001</v>
      </c>
      <c r="H79" s="6">
        <v>120.76139999999999</v>
      </c>
      <c r="I79" s="6" t="str">
        <f t="shared" si="3"/>
        <v>14.9966, 120.7614</v>
      </c>
      <c r="J79" s="6" t="s">
        <v>64</v>
      </c>
      <c r="K79" s="6" t="s">
        <v>34</v>
      </c>
      <c r="L79" s="6"/>
      <c r="M79" s="6" t="s">
        <v>239</v>
      </c>
      <c r="N79" s="6"/>
      <c r="O79" s="21"/>
      <c r="P79" s="21"/>
      <c r="Q79" s="21"/>
      <c r="R79" s="21"/>
      <c r="S79" s="21"/>
      <c r="T79" s="259" t="str">
        <f>IFERROR(
    IF(
        OR(ISBLANK(O79), ISBLANK(P79)),
        "",
        MAX(
            1,
            IF(
                NETWORKDAYS(O79, P79, Holiday_Dates) &lt;= 0,
                1,
                NETWORKDAYS(O79, P79, Holiday_Dates) - IF(O79 = P79, 0, 1)
            )
        )
    ),
    ""
)</f>
        <v/>
      </c>
      <c r="U79" s="259" t="str">
        <f>IF(
    OR(ISBLANK(P79), ISBLANK(Q79)),
    "",
    MAX(
        1,
        IF(
            NETWORKDAYS(P79, Q79, Holiday_Dates) &lt;= 0,
            1,
            NETWORKDAYS(P79, Q79, Holiday_Dates) - IF(P79 = Q79, 0, 1)
        )
    )
)</f>
        <v/>
      </c>
      <c r="V79" s="259" t="str">
        <f>IFERROR(
    IF(
        OR(ISBLANK(R79), AND(ISBLANK(P79), ISBLANK(Q79))),
        "",
        MAX(
            1,
            IF(
                NETWORKDAYS(IF(NOT(ISBLANK(Q79)), Q79, P79), R79, Holiday_Dates) &lt;= 0,
                1,
                NETWORKDAYS(IF(NOT(ISBLANK(Q79)), Q79, P79), R79, Holiday_Dates)
                - IF(IF(NOT(ISBLANK(Q79)), Q79, P79) = R79, 0, 1)
            )
        )
    ),
    ""
)</f>
        <v/>
      </c>
      <c r="W79" s="259" t="str">
        <f>IFERROR(
    IF(
        OR(ISBLANK(R79), ISBLANK(S79)),
        "",
        MAX(
            1,
            IF(
                NETWORKDAYS(R79, S79, Holiday_Dates) &lt;= 0,
                1,
                NETWORKDAYS(R79, S79, Holiday_Dates) - IF(R79 = S79, 0, 1)
            )
        )
    ),
    ""
)</f>
        <v/>
      </c>
      <c r="X79" s="6"/>
      <c r="Y79" s="6"/>
      <c r="Z79" s="6"/>
      <c r="AA79" s="6"/>
      <c r="AB79" s="6"/>
      <c r="AC79" s="6"/>
      <c r="AD79" s="6"/>
      <c r="AE79" s="6"/>
      <c r="AF79" s="6"/>
      <c r="AG79" s="6"/>
    </row>
    <row r="80" spans="1:33">
      <c r="A80" s="307" t="s">
        <v>52</v>
      </c>
      <c r="B80" s="307" t="s">
        <v>463</v>
      </c>
      <c r="C80" s="307" t="s">
        <v>1057</v>
      </c>
      <c r="D80" s="307" t="s">
        <v>89</v>
      </c>
      <c r="E80" s="320" t="s">
        <v>271</v>
      </c>
      <c r="F80" s="307" t="s">
        <v>927</v>
      </c>
      <c r="G80" s="307">
        <v>15.59802</v>
      </c>
      <c r="H80" s="307">
        <v>120.55574</v>
      </c>
      <c r="I80" s="307" t="str">
        <f t="shared" si="3"/>
        <v>15.59802, 120.55574</v>
      </c>
      <c r="J80" s="307" t="s">
        <v>64</v>
      </c>
      <c r="K80" s="301" t="s">
        <v>37</v>
      </c>
      <c r="M80" s="6" t="s">
        <v>28</v>
      </c>
      <c r="N80" s="307"/>
      <c r="O80" s="309"/>
      <c r="P80" s="309"/>
      <c r="Q80" s="309"/>
      <c r="R80" s="309"/>
      <c r="S80" s="309"/>
      <c r="T80" s="259" t="str">
        <f>IFERROR(
    IF(
        OR(ISBLANK(O80), ISBLANK(P80)),
        "",
        MAX(
            1,
            IF(
                NETWORKDAYS(O80, P80, Holiday_Dates) &lt;= 0,
                1,
                NETWORKDAYS(O80, P80, Holiday_Dates) - IF(O80 = P80, 0, 1)
            )
        )
    ),
    ""
)</f>
        <v/>
      </c>
      <c r="U80" s="259" t="str">
        <f>IF(
    OR(ISBLANK(P80), ISBLANK(Q80)),
    "",
    MAX(
        1,
        IF(
            NETWORKDAYS(P80, Q80, Holiday_Dates) &lt;= 0,
            1,
            NETWORKDAYS(P80, Q80, Holiday_Dates) - IF(P80 = Q80, 0, 1)
        )
    )
)</f>
        <v/>
      </c>
      <c r="V80" s="259" t="str">
        <f>IFERROR(
    IF(
        OR(ISBLANK(R80), AND(ISBLANK(P80), ISBLANK(Q80))),
        "",
        MAX(
            1,
            IF(
                NETWORKDAYS(IF(NOT(ISBLANK(Q80)), Q80, P80), R80, Holiday_Dates) &lt;= 0,
                1,
                NETWORKDAYS(IF(NOT(ISBLANK(Q80)), Q80, P80), R80, Holiday_Dates)
                - IF(IF(NOT(ISBLANK(Q80)), Q80, P80) = R80, 0, 1)
            )
        )
    ),
    ""
)</f>
        <v/>
      </c>
      <c r="W80" s="259" t="str">
        <f>IFERROR(
    IF(
        OR(ISBLANK(R80), ISBLANK(S80)),
        "",
        MAX(
            1,
            IF(
                NETWORKDAYS(R80, S80, Holiday_Dates) &lt;= 0,
                1,
                NETWORKDAYS(R80, S80, Holiday_Dates) - IF(R80 = S80, 0, 1)
            )
        )
    ),
    ""
)</f>
        <v/>
      </c>
      <c r="X80" s="6"/>
      <c r="Y80" s="307"/>
      <c r="Z80" s="307"/>
      <c r="AA80" s="307"/>
      <c r="AB80" s="307"/>
      <c r="AC80" s="307"/>
      <c r="AD80" s="307"/>
      <c r="AE80" s="307"/>
      <c r="AF80" s="307"/>
      <c r="AG80" s="307"/>
    </row>
    <row r="81" spans="1:33" ht="30">
      <c r="A81" s="6" t="s">
        <v>52</v>
      </c>
      <c r="B81" s="6" t="s">
        <v>542</v>
      </c>
      <c r="C81" s="6" t="s">
        <v>1058</v>
      </c>
      <c r="D81" s="6" t="s">
        <v>89</v>
      </c>
      <c r="E81" s="61" t="s">
        <v>243</v>
      </c>
      <c r="F81" s="6" t="s">
        <v>1002</v>
      </c>
      <c r="G81" s="6">
        <v>15.68412</v>
      </c>
      <c r="H81" s="6">
        <v>120.3616</v>
      </c>
      <c r="I81" s="6" t="str">
        <f t="shared" si="3"/>
        <v>15.68412, 120.3616</v>
      </c>
      <c r="J81" s="6" t="s">
        <v>64</v>
      </c>
      <c r="K81" s="6" t="s">
        <v>38</v>
      </c>
      <c r="L81" s="6"/>
      <c r="M81" s="6" t="s">
        <v>28</v>
      </c>
      <c r="N81" s="6"/>
      <c r="O81" s="21"/>
      <c r="P81" s="21"/>
      <c r="Q81" s="21"/>
      <c r="R81" s="21"/>
      <c r="S81" s="21"/>
      <c r="T81" s="259" t="str">
        <f>IFERROR(
    IF(
        OR(ISBLANK(O81), ISBLANK(P81)),
        "",
        MAX(
            1,
            IF(
                NETWORKDAYS(O81, P81, Holiday_Dates) &lt;= 0,
                1,
                NETWORKDAYS(O81, P81, Holiday_Dates) - IF(O81 = P81, 0, 1)
            )
        )
    ),
    ""
)</f>
        <v/>
      </c>
      <c r="U81" s="259" t="str">
        <f>IF(
    OR(ISBLANK(P81), ISBLANK(Q81)),
    "",
    MAX(
        1,
        IF(
            NETWORKDAYS(P81, Q81, Holiday_Dates) &lt;= 0,
            1,
            NETWORKDAYS(P81, Q81, Holiday_Dates) - IF(P81 = Q81, 0, 1)
        )
    )
)</f>
        <v/>
      </c>
      <c r="V81" s="259" t="str">
        <f>IFERROR(
    IF(
        OR(ISBLANK(R81), AND(ISBLANK(P81), ISBLANK(Q81))),
        "",
        MAX(
            1,
            IF(
                NETWORKDAYS(IF(NOT(ISBLANK(Q81)), Q81, P81), R81, Holiday_Dates) &lt;= 0,
                1,
                NETWORKDAYS(IF(NOT(ISBLANK(Q81)), Q81, P81), R81, Holiday_Dates)
                - IF(IF(NOT(ISBLANK(Q81)), Q81, P81) = R81, 0, 1)
            )
        )
    ),
    ""
)</f>
        <v/>
      </c>
      <c r="W81" s="259" t="str">
        <f>IFERROR(
    IF(
        OR(ISBLANK(R81), ISBLANK(S81)),
        "",
        MAX(
            1,
            IF(
                NETWORKDAYS(R81, S81, Holiday_Dates) &lt;= 0,
                1,
                NETWORKDAYS(R81, S81, Holiday_Dates) - IF(R81 = S81, 0, 1)
            )
        )
    ),
    ""
)</f>
        <v/>
      </c>
      <c r="X81" s="6"/>
      <c r="Y81" s="6"/>
      <c r="Z81" s="6"/>
      <c r="AA81" s="6"/>
      <c r="AB81" s="6"/>
      <c r="AC81" s="6"/>
      <c r="AD81" s="6"/>
      <c r="AE81" s="6"/>
      <c r="AF81" s="6"/>
      <c r="AG81" s="6"/>
    </row>
    <row r="82" spans="1:33" ht="30">
      <c r="A82" s="73" t="s">
        <v>53</v>
      </c>
      <c r="B82" s="73" t="s">
        <v>544</v>
      </c>
      <c r="C82" s="73" t="s">
        <v>764</v>
      </c>
      <c r="D82" s="73" t="s">
        <v>89</v>
      </c>
      <c r="E82" s="306" t="s">
        <v>271</v>
      </c>
      <c r="F82" s="73" t="s">
        <v>1002</v>
      </c>
      <c r="G82" s="73">
        <v>15.160500000000001</v>
      </c>
      <c r="H82" s="73">
        <v>120.07550000000001</v>
      </c>
      <c r="I82" s="73" t="str">
        <f t="shared" si="3"/>
        <v>15.1605, 120.0755</v>
      </c>
      <c r="J82" s="73" t="s">
        <v>64</v>
      </c>
      <c r="K82" s="62" t="s">
        <v>41</v>
      </c>
      <c r="M82" s="73" t="s">
        <v>133</v>
      </c>
      <c r="N82" s="73"/>
      <c r="O82" s="305"/>
      <c r="P82" s="305"/>
      <c r="Q82" s="305"/>
      <c r="R82" s="305"/>
      <c r="S82" s="305"/>
      <c r="T82" s="259" t="str">
        <f>IFERROR(
    IF(
        OR(ISBLANK(O82), ISBLANK(P82)),
        "",
        MAX(
            1,
            IF(
                NETWORKDAYS(O82, P82, Holiday_Dates) &lt;= 0,
                1,
                NETWORKDAYS(O82, P82, Holiday_Dates) - IF(O82 = P82, 0, 1)
            )
        )
    ),
    ""
)</f>
        <v/>
      </c>
      <c r="U82" s="259" t="str">
        <f>IF(
    OR(ISBLANK(P82), ISBLANK(Q82)),
    "",
    MAX(
        1,
        IF(
            NETWORKDAYS(P82, Q82, Holiday_Dates) &lt;= 0,
            1,
            NETWORKDAYS(P82, Q82, Holiday_Dates) - IF(P82 = Q82, 0, 1)
        )
    )
)</f>
        <v/>
      </c>
      <c r="V82" s="259" t="str">
        <f>IFERROR(
    IF(
        OR(ISBLANK(R82), AND(ISBLANK(P82), ISBLANK(Q82))),
        "",
        MAX(
            1,
            IF(
                NETWORKDAYS(IF(NOT(ISBLANK(Q82)), Q82, P82), R82, Holiday_Dates) &lt;= 0,
                1,
                NETWORKDAYS(IF(NOT(ISBLANK(Q82)), Q82, P82), R82, Holiday_Dates)
                - IF(IF(NOT(ISBLANK(Q82)), Q82, P82) = R82, 0, 1)
            )
        )
    ),
    ""
)</f>
        <v/>
      </c>
      <c r="W82" s="259" t="str">
        <f>IFERROR(
    IF(
        OR(ISBLANK(R82), ISBLANK(S82)),
        "",
        MAX(
            1,
            IF(
                NETWORKDAYS(R82, S82, Holiday_Dates) &lt;= 0,
                1,
                NETWORKDAYS(R82, S82, Holiday_Dates) - IF(R82 = S82, 0, 1)
            )
        )
    ),
    ""
)</f>
        <v/>
      </c>
      <c r="X82" s="73"/>
      <c r="Y82" s="73"/>
      <c r="Z82" s="73"/>
      <c r="AA82" s="73"/>
      <c r="AB82" s="73"/>
      <c r="AC82" s="73"/>
      <c r="AD82" s="73"/>
      <c r="AE82" s="73"/>
      <c r="AF82" s="73"/>
      <c r="AG82" s="73"/>
    </row>
    <row r="83" spans="1:33">
      <c r="A83" s="6" t="s">
        <v>53</v>
      </c>
      <c r="B83" s="6" t="s">
        <v>456</v>
      </c>
      <c r="C83" s="6" t="s">
        <v>895</v>
      </c>
      <c r="D83" s="6" t="s">
        <v>89</v>
      </c>
      <c r="E83" s="59" t="s">
        <v>271</v>
      </c>
      <c r="F83" s="6" t="s">
        <v>927</v>
      </c>
      <c r="G83" s="6">
        <v>15.582100000000001</v>
      </c>
      <c r="H83" s="6">
        <v>119.9893</v>
      </c>
      <c r="I83" s="6" t="str">
        <f t="shared" si="3"/>
        <v>15.5821, 119.9893</v>
      </c>
      <c r="J83" s="6" t="s">
        <v>64</v>
      </c>
      <c r="K83" s="301" t="s">
        <v>42</v>
      </c>
      <c r="M83" s="6" t="s">
        <v>133</v>
      </c>
      <c r="N83" s="6"/>
      <c r="O83" s="21"/>
      <c r="P83" s="21"/>
      <c r="Q83" s="21"/>
      <c r="R83" s="21"/>
      <c r="S83" s="21"/>
      <c r="T83" s="259" t="str">
        <f>IFERROR(
    IF(
        OR(ISBLANK(O83), ISBLANK(P83)),
        "",
        MAX(
            1,
            IF(
                NETWORKDAYS(O83, P83, Holiday_Dates) &lt;= 0,
                1,
                NETWORKDAYS(O83, P83, Holiday_Dates) - IF(O83 = P83, 0, 1)
            )
        )
    ),
    ""
)</f>
        <v/>
      </c>
      <c r="U83" s="259" t="str">
        <f>IF(
    OR(ISBLANK(P83), ISBLANK(Q83)),
    "",
    MAX(
        1,
        IF(
            NETWORKDAYS(P83, Q83, Holiday_Dates) &lt;= 0,
            1,
            NETWORKDAYS(P83, Q83, Holiday_Dates) - IF(P83 = Q83, 0, 1)
        )
    )
)</f>
        <v/>
      </c>
      <c r="V83" s="259" t="str">
        <f>IFERROR(
    IF(
        OR(ISBLANK(R83), AND(ISBLANK(P83), ISBLANK(Q83))),
        "",
        MAX(
            1,
            IF(
                NETWORKDAYS(IF(NOT(ISBLANK(Q83)), Q83, P83), R83, Holiday_Dates) &lt;= 0,
                1,
                NETWORKDAYS(IF(NOT(ISBLANK(Q83)), Q83, P83), R83, Holiday_Dates)
                - IF(IF(NOT(ISBLANK(Q83)), Q83, P83) = R83, 0, 1)
            )
        )
    ),
    ""
)</f>
        <v/>
      </c>
      <c r="W83" s="259" t="str">
        <f>IFERROR(
    IF(
        OR(ISBLANK(R83), ISBLANK(S83)),
        "",
        MAX(
            1,
            IF(
                NETWORKDAYS(R83, S83, Holiday_Dates) &lt;= 0,
                1,
                NETWORKDAYS(R83, S83, Holiday_Dates) - IF(R83 = S83, 0, 1)
            )
        )
    ),
    ""
)</f>
        <v/>
      </c>
      <c r="X83" s="6"/>
      <c r="Y83" s="6"/>
      <c r="Z83" s="6"/>
      <c r="AA83" s="6"/>
      <c r="AB83" s="6"/>
      <c r="AC83" s="6"/>
      <c r="AD83" s="6"/>
      <c r="AE83" s="250"/>
      <c r="AF83" s="6"/>
      <c r="AG83" s="6"/>
    </row>
    <row r="84" spans="1:33">
      <c r="A84" s="6" t="s">
        <v>47</v>
      </c>
      <c r="B84" s="6" t="s">
        <v>370</v>
      </c>
      <c r="C84" s="6" t="s">
        <v>579</v>
      </c>
      <c r="D84" s="6" t="s">
        <v>89</v>
      </c>
      <c r="E84" s="56" t="s">
        <v>259</v>
      </c>
      <c r="F84" s="6" t="s">
        <v>927</v>
      </c>
      <c r="G84" s="6">
        <v>15.736000000000001</v>
      </c>
      <c r="H84" s="6">
        <v>121.56310000000001</v>
      </c>
      <c r="I84" s="6" t="str">
        <f t="shared" si="3"/>
        <v>15.736, 121.5631</v>
      </c>
      <c r="J84" s="6"/>
      <c r="K84" s="301" t="s">
        <v>13</v>
      </c>
      <c r="M84" s="35" t="s">
        <v>128</v>
      </c>
      <c r="N84" s="6"/>
      <c r="O84" s="21"/>
      <c r="P84" s="21"/>
      <c r="Q84" s="21"/>
      <c r="R84" s="21"/>
      <c r="S84" s="21"/>
      <c r="T84" s="259" t="str">
        <f>IFERROR(
    IF(
        OR(ISBLANK(O84), ISBLANK(P84)),
        "",
        MAX(
            1,
            IF(
                NETWORKDAYS(O84, P84, Holiday_Dates) &lt;= 0,
                1,
                NETWORKDAYS(O84, P84, Holiday_Dates) - IF(O84 = P84, 0, 1)
            )
        )
    ),
    ""
)</f>
        <v/>
      </c>
      <c r="U84" s="259" t="str">
        <f>IF(
    OR(ISBLANK(P84), ISBLANK(Q84)),
    "",
    MAX(
        1,
        IF(
            NETWORKDAYS(P84, Q84, Holiday_Dates) &lt;= 0,
            1,
            NETWORKDAYS(P84, Q84, Holiday_Dates) - IF(P84 = Q84, 0, 1)
        )
    )
)</f>
        <v/>
      </c>
      <c r="V84" s="259" t="str">
        <f>IFERROR(
    IF(
        OR(ISBLANK(R84), AND(ISBLANK(P84), ISBLANK(Q84))),
        "",
        MAX(
            1,
            IF(
                NETWORKDAYS(IF(NOT(ISBLANK(Q84)), Q84, P84), R84, Holiday_Dates) &lt;= 0,
                1,
                NETWORKDAYS(IF(NOT(ISBLANK(Q84)), Q84, P84), R84, Holiday_Dates)
                - IF(IF(NOT(ISBLANK(Q84)), Q84, P84) = R84, 0, 1)
            )
        )
    ),
    ""
)</f>
        <v/>
      </c>
      <c r="W84" s="259" t="str">
        <f>IFERROR(
    IF(
        OR(ISBLANK(R84), ISBLANK(S84)),
        "",
        MAX(
            1,
            IF(
                NETWORKDAYS(R84, S84, Holiday_Dates) &lt;= 0,
                1,
                NETWORKDAYS(R84, S84, Holiday_Dates) - IF(R84 = S84, 0, 1)
            )
        )
    ),
    ""
)</f>
        <v/>
      </c>
      <c r="X84" s="6"/>
      <c r="Y84" s="6"/>
      <c r="Z84" s="6"/>
      <c r="AA84" s="6"/>
      <c r="AB84" s="6"/>
      <c r="AC84" s="6"/>
      <c r="AD84" s="57"/>
      <c r="AE84" s="6"/>
      <c r="AF84" s="58"/>
      <c r="AG84" s="6"/>
    </row>
    <row r="85" spans="1:33" ht="30">
      <c r="A85" s="6" t="s">
        <v>47</v>
      </c>
      <c r="B85" s="6" t="s">
        <v>468</v>
      </c>
      <c r="C85" s="6" t="s">
        <v>1059</v>
      </c>
      <c r="D85" s="6" t="s">
        <v>89</v>
      </c>
      <c r="E85" s="56" t="s">
        <v>259</v>
      </c>
      <c r="F85" s="6" t="s">
        <v>959</v>
      </c>
      <c r="G85" s="6">
        <v>16.3917</v>
      </c>
      <c r="H85" s="6">
        <v>122.21080000000001</v>
      </c>
      <c r="I85" s="6" t="str">
        <f t="shared" si="3"/>
        <v>16.3917, 122.2108</v>
      </c>
      <c r="J85" s="6"/>
      <c r="K85" s="62" t="s">
        <v>15</v>
      </c>
      <c r="M85" s="35" t="s">
        <v>128</v>
      </c>
      <c r="N85" s="6"/>
      <c r="O85" s="21"/>
      <c r="P85" s="21"/>
      <c r="Q85" s="21"/>
      <c r="R85" s="21"/>
      <c r="S85" s="21"/>
      <c r="T85" s="259" t="str">
        <f>IFERROR(
    IF(
        OR(ISBLANK(O85), ISBLANK(P85)),
        "",
        MAX(
            1,
            IF(
                NETWORKDAYS(O85, P85, Holiday_Dates) &lt;= 0,
                1,
                NETWORKDAYS(O85, P85, Holiday_Dates) - IF(O85 = P85, 0, 1)
            )
        )
    ),
    ""
)</f>
        <v/>
      </c>
      <c r="U85" s="259" t="str">
        <f>IF(
    OR(ISBLANK(P85), ISBLANK(Q85)),
    "",
    MAX(
        1,
        IF(
            NETWORKDAYS(P85, Q85, Holiday_Dates) &lt;= 0,
            1,
            NETWORKDAYS(P85, Q85, Holiday_Dates) - IF(P85 = Q85, 0, 1)
        )
    )
)</f>
        <v/>
      </c>
      <c r="V85" s="259" t="str">
        <f>IFERROR(
    IF(
        OR(ISBLANK(R85), AND(ISBLANK(P85), ISBLANK(Q85))),
        "",
        MAX(
            1,
            IF(
                NETWORKDAYS(IF(NOT(ISBLANK(Q85)), Q85, P85), R85, Holiday_Dates) &lt;= 0,
                1,
                NETWORKDAYS(IF(NOT(ISBLANK(Q85)), Q85, P85), R85, Holiday_Dates)
                - IF(IF(NOT(ISBLANK(Q85)), Q85, P85) = R85, 0, 1)
            )
        )
    ),
    ""
)</f>
        <v/>
      </c>
      <c r="W85" s="259" t="str">
        <f>IFERROR(
    IF(
        OR(ISBLANK(R85), ISBLANK(S85)),
        "",
        MAX(
            1,
            IF(
                NETWORKDAYS(R85, S85, Holiday_Dates) &lt;= 0,
                1,
                NETWORKDAYS(R85, S85, Holiday_Dates) - IF(R85 = S85, 0, 1)
            )
        )
    ),
    ""
)</f>
        <v/>
      </c>
      <c r="X85" s="6"/>
      <c r="Y85" s="6"/>
      <c r="Z85" s="6"/>
      <c r="AA85" s="6"/>
      <c r="AB85" s="6"/>
      <c r="AC85" s="6"/>
      <c r="AD85" s="6"/>
      <c r="AE85" s="307"/>
      <c r="AF85" s="6"/>
      <c r="AG85" s="6"/>
    </row>
    <row r="86" spans="1:33" ht="30">
      <c r="A86" s="6" t="s">
        <v>48</v>
      </c>
      <c r="B86" s="6" t="s">
        <v>265</v>
      </c>
      <c r="C86" s="6" t="s">
        <v>1060</v>
      </c>
      <c r="D86" s="6" t="s">
        <v>88</v>
      </c>
      <c r="E86" s="59" t="s">
        <v>213</v>
      </c>
      <c r="F86" s="6" t="s">
        <v>927</v>
      </c>
      <c r="G86" s="6">
        <v>14.6069</v>
      </c>
      <c r="H86" s="6">
        <v>120.40187</v>
      </c>
      <c r="I86" s="6" t="str">
        <f t="shared" si="3"/>
        <v>14.6069, 120.40187</v>
      </c>
      <c r="J86" s="6"/>
      <c r="K86" s="301" t="s">
        <v>19</v>
      </c>
      <c r="M86" s="319" t="s">
        <v>129</v>
      </c>
      <c r="N86" s="6"/>
      <c r="O86" s="21"/>
      <c r="P86" s="21"/>
      <c r="Q86" s="21"/>
      <c r="R86" s="21"/>
      <c r="S86" s="21"/>
      <c r="T86" s="259" t="str">
        <f>IFERROR(
    IF(
        OR(ISBLANK(O86), ISBLANK(P86)),
        "",
        MAX(
            1,
            IF(
                NETWORKDAYS(O86, P86, Holiday_Dates) &lt;= 0,
                1,
                NETWORKDAYS(O86, P86, Holiday_Dates) - IF(O86 = P86, 0, 1)
            )
        )
    ),
    ""
)</f>
        <v/>
      </c>
      <c r="U86" s="259" t="str">
        <f>IF(
    OR(ISBLANK(P86), ISBLANK(Q86)),
    "",
    MAX(
        1,
        IF(
            NETWORKDAYS(P86, Q86, Holiday_Dates) &lt;= 0,
            1,
            NETWORKDAYS(P86, Q86, Holiday_Dates) - IF(P86 = Q86, 0, 1)
        )
    )
)</f>
        <v/>
      </c>
      <c r="V86" s="259" t="str">
        <f>IFERROR(
    IF(
        OR(ISBLANK(R86), AND(ISBLANK(P86), ISBLANK(Q86))),
        "",
        MAX(
            1,
            IF(
                NETWORKDAYS(IF(NOT(ISBLANK(Q86)), Q86, P86), R86, Holiday_Dates) &lt;= 0,
                1,
                NETWORKDAYS(IF(NOT(ISBLANK(Q86)), Q86, P86), R86, Holiday_Dates)
                - IF(IF(NOT(ISBLANK(Q86)), Q86, P86) = R86, 0, 1)
            )
        )
    ),
    ""
)</f>
        <v/>
      </c>
      <c r="W86" s="259" t="str">
        <f>IFERROR(
    IF(
        OR(ISBLANK(R86), ISBLANK(S86)),
        "",
        MAX(
            1,
            IF(
                NETWORKDAYS(R86, S86, Holiday_Dates) &lt;= 0,
                1,
                NETWORKDAYS(R86, S86, Holiday_Dates) - IF(R86 = S86, 0, 1)
            )
        )
    ),
    ""
)</f>
        <v/>
      </c>
      <c r="X86" s="6"/>
      <c r="Y86" s="6"/>
      <c r="Z86" s="6"/>
      <c r="AA86" s="6"/>
      <c r="AB86" s="6"/>
      <c r="AC86" s="6"/>
      <c r="AD86" s="6"/>
      <c r="AE86" s="252"/>
      <c r="AF86" s="58"/>
      <c r="AG86" s="6"/>
    </row>
    <row r="87" spans="1:33" ht="30">
      <c r="A87" s="6" t="s">
        <v>48</v>
      </c>
      <c r="B87" s="6" t="s">
        <v>270</v>
      </c>
      <c r="C87" s="6" t="s">
        <v>1061</v>
      </c>
      <c r="D87" s="6" t="s">
        <v>88</v>
      </c>
      <c r="E87" s="59" t="s">
        <v>271</v>
      </c>
      <c r="F87" s="6" t="s">
        <v>927</v>
      </c>
      <c r="G87" s="6">
        <v>14.677733419999999</v>
      </c>
      <c r="H87" s="6">
        <v>120.47504139</v>
      </c>
      <c r="I87" s="6" t="str">
        <f t="shared" si="3"/>
        <v>14.67773342, 120.47504139</v>
      </c>
      <c r="J87" s="6"/>
      <c r="K87" s="62" t="s">
        <v>17</v>
      </c>
      <c r="M87" s="35" t="s">
        <v>129</v>
      </c>
      <c r="N87" s="6"/>
      <c r="O87" s="21"/>
      <c r="P87" s="21"/>
      <c r="Q87" s="21"/>
      <c r="R87" s="21"/>
      <c r="S87" s="21"/>
      <c r="T87" s="259" t="str">
        <f>IFERROR(
    IF(
        OR(ISBLANK(O87), ISBLANK(P87)),
        "",
        MAX(
            1,
            IF(
                NETWORKDAYS(O87, P87, Holiday_Dates) &lt;= 0,
                1,
                NETWORKDAYS(O87, P87, Holiday_Dates) - IF(O87 = P87, 0, 1)
            )
        )
    ),
    ""
)</f>
        <v/>
      </c>
      <c r="U87" s="259" t="str">
        <f>IF(
    OR(ISBLANK(P87), ISBLANK(Q87)),
    "",
    MAX(
        1,
        IF(
            NETWORKDAYS(P87, Q87, Holiday_Dates) &lt;= 0,
            1,
            NETWORKDAYS(P87, Q87, Holiday_Dates) - IF(P87 = Q87, 0, 1)
        )
    )
)</f>
        <v/>
      </c>
      <c r="V87" s="259" t="str">
        <f>IFERROR(
    IF(
        OR(ISBLANK(R87), AND(ISBLANK(P87), ISBLANK(Q87))),
        "",
        MAX(
            1,
            IF(
                NETWORKDAYS(IF(NOT(ISBLANK(Q87)), Q87, P87), R87, Holiday_Dates) &lt;= 0,
                1,
                NETWORKDAYS(IF(NOT(ISBLANK(Q87)), Q87, P87), R87, Holiday_Dates)
                - IF(IF(NOT(ISBLANK(Q87)), Q87, P87) = R87, 0, 1)
            )
        )
    ),
    ""
)</f>
        <v/>
      </c>
      <c r="W87" s="259" t="str">
        <f>IFERROR(
    IF(
        OR(ISBLANK(R87), ISBLANK(S87)),
        "",
        MAX(
            1,
            IF(
                NETWORKDAYS(R87, S87, Holiday_Dates) &lt;= 0,
                1,
                NETWORKDAYS(R87, S87, Holiday_Dates) - IF(R87 = S87, 0, 1)
            )
        )
    ),
    ""
)</f>
        <v/>
      </c>
      <c r="X87" s="6"/>
      <c r="Y87" s="6"/>
      <c r="Z87" s="6"/>
      <c r="AA87" s="6"/>
      <c r="AB87" s="6"/>
      <c r="AC87" s="6"/>
      <c r="AD87" s="6"/>
      <c r="AE87" s="73"/>
      <c r="AF87" s="6"/>
      <c r="AG87" s="6"/>
    </row>
    <row r="88" spans="1:33">
      <c r="A88" s="6" t="s">
        <v>48</v>
      </c>
      <c r="B88" s="6" t="s">
        <v>482</v>
      </c>
      <c r="C88" s="6" t="s">
        <v>1062</v>
      </c>
      <c r="D88" s="6" t="s">
        <v>88</v>
      </c>
      <c r="E88" s="59" t="s">
        <v>271</v>
      </c>
      <c r="F88" s="6" t="s">
        <v>927</v>
      </c>
      <c r="G88" s="6">
        <v>14.53316856</v>
      </c>
      <c r="H88" s="6">
        <v>120.58780304</v>
      </c>
      <c r="I88" s="6" t="str">
        <f t="shared" si="3"/>
        <v>14.53316856, 120.58780304</v>
      </c>
      <c r="J88" s="6"/>
      <c r="K88" s="301" t="s">
        <v>17</v>
      </c>
      <c r="M88" s="319" t="s">
        <v>129</v>
      </c>
      <c r="N88" s="6"/>
      <c r="O88" s="21"/>
      <c r="P88" s="21"/>
      <c r="Q88" s="21"/>
      <c r="R88" s="21"/>
      <c r="S88" s="21"/>
      <c r="T88" s="259" t="str">
        <f>IFERROR(
    IF(
        OR(ISBLANK(O88), ISBLANK(P88)),
        "",
        MAX(
            1,
            IF(
                NETWORKDAYS(O88, P88, Holiday_Dates) &lt;= 0,
                1,
                NETWORKDAYS(O88, P88, Holiday_Dates) - IF(O88 = P88, 0, 1)
            )
        )
    ),
    ""
)</f>
        <v/>
      </c>
      <c r="U88" s="259" t="str">
        <f>IF(
    OR(ISBLANK(P88), ISBLANK(Q88)),
    "",
    MAX(
        1,
        IF(
            NETWORKDAYS(P88, Q88, Holiday_Dates) &lt;= 0,
            1,
            NETWORKDAYS(P88, Q88, Holiday_Dates) - IF(P88 = Q88, 0, 1)
        )
    )
)</f>
        <v/>
      </c>
      <c r="V88" s="259" t="str">
        <f>IFERROR(
    IF(
        OR(ISBLANK(R88), AND(ISBLANK(P88), ISBLANK(Q88))),
        "",
        MAX(
            1,
            IF(
                NETWORKDAYS(IF(NOT(ISBLANK(Q88)), Q88, P88), R88, Holiday_Dates) &lt;= 0,
                1,
                NETWORKDAYS(IF(NOT(ISBLANK(Q88)), Q88, P88), R88, Holiday_Dates)
                - IF(IF(NOT(ISBLANK(Q88)), Q88, P88) = R88, 0, 1)
            )
        )
    ),
    ""
)</f>
        <v/>
      </c>
      <c r="W88" s="259" t="str">
        <f>IFERROR(
    IF(
        OR(ISBLANK(R88), ISBLANK(S88)),
        "",
        MAX(
            1,
            IF(
                NETWORKDAYS(R88, S88, Holiday_Dates) &lt;= 0,
                1,
                NETWORKDAYS(R88, S88, Holiday_Dates) - IF(R88 = S88, 0, 1)
            )
        )
    ),
    ""
)</f>
        <v/>
      </c>
      <c r="X88" s="6"/>
      <c r="Y88" s="6"/>
      <c r="Z88" s="6"/>
      <c r="AA88" s="6"/>
      <c r="AB88" s="6"/>
      <c r="AC88" s="6"/>
      <c r="AD88" s="6"/>
      <c r="AE88" s="6"/>
      <c r="AF88" s="6"/>
      <c r="AG88" s="6"/>
    </row>
    <row r="89" spans="1:33">
      <c r="A89" s="6" t="s">
        <v>48</v>
      </c>
      <c r="B89" s="6" t="s">
        <v>399</v>
      </c>
      <c r="C89" s="6" t="s">
        <v>763</v>
      </c>
      <c r="D89" s="6" t="s">
        <v>88</v>
      </c>
      <c r="E89" s="59" t="s">
        <v>271</v>
      </c>
      <c r="F89" s="6" t="s">
        <v>927</v>
      </c>
      <c r="G89" s="6">
        <v>14.660496800000001</v>
      </c>
      <c r="H89" s="6">
        <v>120.54375235000001</v>
      </c>
      <c r="I89" s="6" t="str">
        <f t="shared" si="3"/>
        <v>14.6604968, 120.54375235</v>
      </c>
      <c r="J89" s="6"/>
      <c r="K89" s="301" t="s">
        <v>17</v>
      </c>
      <c r="M89" s="319" t="s">
        <v>129</v>
      </c>
      <c r="N89" s="1"/>
      <c r="O89" s="1"/>
      <c r="P89" s="21"/>
      <c r="Q89" s="21"/>
      <c r="R89" s="21"/>
      <c r="S89" s="21"/>
      <c r="T89" s="259" t="str">
        <f>IFERROR(
    IF(
        OR(ISBLANK(O89), ISBLANK(P89)),
        "",
        MAX(
            1,
            IF(
                NETWORKDAYS(O89, P89, Holiday_Dates) &lt;= 0,
                1,
                NETWORKDAYS(O89, P89, Holiday_Dates) - IF(O89 = P89, 0, 1)
            )
        )
    ),
    ""
)</f>
        <v/>
      </c>
      <c r="U89" s="259" t="str">
        <f>IF(
    OR(ISBLANK(P89), ISBLANK(Q89)),
    "",
    MAX(
        1,
        IF(
            NETWORKDAYS(P89, Q89, Holiday_Dates) &lt;= 0,
            1,
            NETWORKDAYS(P89, Q89, Holiday_Dates) - IF(P89 = Q89, 0, 1)
        )
    )
)</f>
        <v/>
      </c>
      <c r="V89" s="259" t="str">
        <f>IFERROR(
    IF(
        OR(ISBLANK(R89), AND(ISBLANK(P89), ISBLANK(Q89))),
        "",
        MAX(
            1,
            IF(
                NETWORKDAYS(IF(NOT(ISBLANK(Q89)), Q89, P89), R89, Holiday_Dates) &lt;= 0,
                1,
                NETWORKDAYS(IF(NOT(ISBLANK(Q89)), Q89, P89), R89, Holiday_Dates)
                - IF(IF(NOT(ISBLANK(Q89)), Q89, P89) = R89, 0, 1)
            )
        )
    ),
    ""
)</f>
        <v/>
      </c>
      <c r="W89" s="259" t="str">
        <f>IFERROR(
    IF(
        OR(ISBLANK(R89), ISBLANK(S89)),
        "",
        MAX(
            1,
            IF(
                NETWORKDAYS(R89, S89, Holiday_Dates) &lt;= 0,
                1,
                NETWORKDAYS(R89, S89, Holiday_Dates) - IF(R89 = S89, 0, 1)
            )
        )
    ),
    ""
)</f>
        <v/>
      </c>
      <c r="X89" s="6"/>
      <c r="Y89" s="6"/>
      <c r="Z89" s="6"/>
      <c r="AA89" s="6"/>
      <c r="AB89" s="6"/>
      <c r="AC89" s="6"/>
      <c r="AD89" s="6"/>
      <c r="AE89" s="6"/>
      <c r="AF89" s="6"/>
      <c r="AG89" s="6"/>
    </row>
    <row r="90" spans="1:33">
      <c r="A90" s="250" t="s">
        <v>49</v>
      </c>
      <c r="B90" s="250" t="s">
        <v>488</v>
      </c>
      <c r="C90" s="250" t="s">
        <v>1063</v>
      </c>
      <c r="D90" s="250" t="s">
        <v>88</v>
      </c>
      <c r="E90" s="295" t="s">
        <v>381</v>
      </c>
      <c r="F90" s="250" t="s">
        <v>927</v>
      </c>
      <c r="G90" s="250">
        <v>14.937799999999999</v>
      </c>
      <c r="H90" s="250">
        <v>120.9739</v>
      </c>
      <c r="I90" s="250" t="str">
        <f t="shared" si="3"/>
        <v>14.9378, 120.9739</v>
      </c>
      <c r="J90" s="250"/>
      <c r="K90" s="301" t="s">
        <v>22</v>
      </c>
      <c r="M90" s="319" t="s">
        <v>128</v>
      </c>
      <c r="N90" s="250"/>
      <c r="O90" s="296"/>
      <c r="P90" s="296"/>
      <c r="Q90" s="296"/>
      <c r="R90" s="296"/>
      <c r="S90" s="296"/>
      <c r="T90" s="259" t="str">
        <f>IFERROR(
    IF(
        OR(ISBLANK(O90), ISBLANK(P90)),
        "",
        MAX(
            1,
            IF(
                NETWORKDAYS(O90, P90, Holiday_Dates) &lt;= 0,
                1,
                NETWORKDAYS(O90, P90, Holiday_Dates) - IF(O90 = P90, 0, 1)
            )
        )
    ),
    ""
)</f>
        <v/>
      </c>
      <c r="U90" s="259" t="str">
        <f>IF(
    OR(ISBLANK(P90), ISBLANK(Q90)),
    "",
    MAX(
        1,
        IF(
            NETWORKDAYS(P90, Q90, Holiday_Dates) &lt;= 0,
            1,
            NETWORKDAYS(P90, Q90, Holiday_Dates) - IF(P90 = Q90, 0, 1)
        )
    )
)</f>
        <v/>
      </c>
      <c r="V90" s="259" t="str">
        <f>IFERROR(
    IF(
        OR(ISBLANK(R90), AND(ISBLANK(P90), ISBLANK(Q90))),
        "",
        MAX(
            1,
            IF(
                NETWORKDAYS(IF(NOT(ISBLANK(Q90)), Q90, P90), R90, Holiday_Dates) &lt;= 0,
                1,
                NETWORKDAYS(IF(NOT(ISBLANK(Q90)), Q90, P90), R90, Holiday_Dates)
                - IF(IF(NOT(ISBLANK(Q90)), Q90, P90) = R90, 0, 1)
            )
        )
    ),
    ""
)</f>
        <v/>
      </c>
      <c r="W90" s="259" t="str">
        <f>IFERROR(
    IF(
        OR(ISBLANK(R90), ISBLANK(S90)),
        "",
        MAX(
            1,
            IF(
                NETWORKDAYS(R90, S90, Holiday_Dates) &lt;= 0,
                1,
                NETWORKDAYS(R90, S90, Holiday_Dates) - IF(R90 = S90, 0, 1)
            )
        )
    ),
    ""
)</f>
        <v/>
      </c>
      <c r="X90" s="250"/>
      <c r="Y90" s="250"/>
      <c r="Z90" s="250"/>
      <c r="AA90" s="250"/>
      <c r="AB90" s="250"/>
      <c r="AC90" s="250"/>
      <c r="AD90" s="250"/>
      <c r="AE90" s="250"/>
      <c r="AF90" s="250"/>
      <c r="AG90" s="250"/>
    </row>
    <row r="91" spans="1:33">
      <c r="A91" s="6" t="s">
        <v>49</v>
      </c>
      <c r="B91" s="6" t="s">
        <v>401</v>
      </c>
      <c r="C91" s="6" t="s">
        <v>1064</v>
      </c>
      <c r="D91" s="6" t="s">
        <v>88</v>
      </c>
      <c r="E91" s="59" t="s">
        <v>402</v>
      </c>
      <c r="F91" s="6" t="s">
        <v>927</v>
      </c>
      <c r="G91" s="6">
        <v>14.847977</v>
      </c>
      <c r="H91" s="6">
        <v>120.91888899999999</v>
      </c>
      <c r="I91" s="6" t="str">
        <f t="shared" si="3"/>
        <v>14.847977, 120.918889</v>
      </c>
      <c r="J91" s="6"/>
      <c r="K91" s="6" t="s">
        <v>21</v>
      </c>
      <c r="L91" s="250"/>
      <c r="M91" s="319" t="s">
        <v>128</v>
      </c>
      <c r="N91" s="6"/>
      <c r="O91" s="21"/>
      <c r="P91" s="21"/>
      <c r="Q91" s="21"/>
      <c r="R91" s="21"/>
      <c r="S91" s="21"/>
      <c r="T91" s="259" t="str">
        <f>IFERROR(
    IF(
        OR(ISBLANK(O91), ISBLANK(P91)),
        "",
        MAX(
            1,
            IF(
                NETWORKDAYS(O91, P91, Holiday_Dates) &lt;= 0,
                1,
                NETWORKDAYS(O91, P91, Holiday_Dates) - IF(O91 = P91, 0, 1)
            )
        )
    ),
    ""
)</f>
        <v/>
      </c>
      <c r="U91" s="259" t="str">
        <f>IF(
    OR(ISBLANK(P91), ISBLANK(Q91)),
    "",
    MAX(
        1,
        IF(
            NETWORKDAYS(P91, Q91, Holiday_Dates) &lt;= 0,
            1,
            NETWORKDAYS(P91, Q91, Holiday_Dates) - IF(P91 = Q91, 0, 1)
        )
    )
)</f>
        <v/>
      </c>
      <c r="V91" s="259" t="str">
        <f>IFERROR(
    IF(
        OR(ISBLANK(R91), AND(ISBLANK(P91), ISBLANK(Q91))),
        "",
        MAX(
            1,
            IF(
                NETWORKDAYS(IF(NOT(ISBLANK(Q91)), Q91, P91), R91, Holiday_Dates) &lt;= 0,
                1,
                NETWORKDAYS(IF(NOT(ISBLANK(Q91)), Q91, P91), R91, Holiday_Dates)
                - IF(IF(NOT(ISBLANK(Q91)), Q91, P91) = R91, 0, 1)
            )
        )
    ),
    ""
)</f>
        <v/>
      </c>
      <c r="W91" s="259" t="str">
        <f>IFERROR(
    IF(
        OR(ISBLANK(R91), ISBLANK(S91)),
        "",
        MAX(
            1,
            IF(
                NETWORKDAYS(R91, S91, Holiday_Dates) &lt;= 0,
                1,
                NETWORKDAYS(R91, S91, Holiday_Dates) - IF(R91 = S91, 0, 1)
            )
        )
    ),
    ""
)</f>
        <v/>
      </c>
      <c r="X91" s="6"/>
      <c r="Y91" s="6"/>
      <c r="Z91" s="6"/>
      <c r="AA91" s="6"/>
      <c r="AB91" s="6"/>
      <c r="AC91" s="6"/>
      <c r="AD91" s="6"/>
      <c r="AE91" s="6"/>
      <c r="AF91" s="6"/>
      <c r="AG91" s="6"/>
    </row>
    <row r="92" spans="1:33">
      <c r="A92" s="307" t="s">
        <v>49</v>
      </c>
      <c r="B92" s="307" t="s">
        <v>490</v>
      </c>
      <c r="C92" s="307" t="s">
        <v>1065</v>
      </c>
      <c r="D92" s="307" t="s">
        <v>88</v>
      </c>
      <c r="E92" s="308" t="s">
        <v>271</v>
      </c>
      <c r="F92" s="307" t="s">
        <v>927</v>
      </c>
      <c r="G92" s="307">
        <v>14.955033</v>
      </c>
      <c r="H92" s="307">
        <v>120.922296</v>
      </c>
      <c r="I92" s="307" t="str">
        <f t="shared" si="3"/>
        <v>14.955033, 120.922296</v>
      </c>
      <c r="J92" s="307"/>
      <c r="K92" s="301" t="s">
        <v>22</v>
      </c>
      <c r="M92" s="319" t="s">
        <v>128</v>
      </c>
      <c r="N92" s="307"/>
      <c r="O92" s="309"/>
      <c r="P92" s="309"/>
      <c r="Q92" s="309"/>
      <c r="R92" s="309"/>
      <c r="S92" s="309"/>
      <c r="T92" s="259" t="str">
        <f>IFERROR(
    IF(
        OR(ISBLANK(O92), ISBLANK(P92)),
        "",
        MAX(
            1,
            IF(
                NETWORKDAYS(O92, P92, Holiday_Dates) &lt;= 0,
                1,
                NETWORKDAYS(O92, P92, Holiday_Dates) - IF(O92 = P92, 0, 1)
            )
        )
    ),
    ""
)</f>
        <v/>
      </c>
      <c r="U92" s="259" t="str">
        <f>IF(
    OR(ISBLANK(P92), ISBLANK(Q92)),
    "",
    MAX(
        1,
        IF(
            NETWORKDAYS(P92, Q92, Holiday_Dates) &lt;= 0,
            1,
            NETWORKDAYS(P92, Q92, Holiday_Dates) - IF(P92 = Q92, 0, 1)
        )
    )
)</f>
        <v/>
      </c>
      <c r="V92" s="259" t="str">
        <f>IFERROR(
    IF(
        OR(ISBLANK(R92), AND(ISBLANK(P92), ISBLANK(Q92))),
        "",
        MAX(
            1,
            IF(
                NETWORKDAYS(IF(NOT(ISBLANK(Q92)), Q92, P92), R92, Holiday_Dates) &lt;= 0,
                1,
                NETWORKDAYS(IF(NOT(ISBLANK(Q92)), Q92, P92), R92, Holiday_Dates)
                - IF(IF(NOT(ISBLANK(Q92)), Q92, P92) = R92, 0, 1)
            )
        )
    ),
    ""
)</f>
        <v/>
      </c>
      <c r="W92" s="259" t="str">
        <f>IFERROR(
    IF(
        OR(ISBLANK(R92), ISBLANK(S92)),
        "",
        MAX(
            1,
            IF(
                NETWORKDAYS(R92, S92, Holiday_Dates) &lt;= 0,
                1,
                NETWORKDAYS(R92, S92, Holiday_Dates) - IF(R92 = S92, 0, 1)
            )
        )
    ),
    ""
)</f>
        <v/>
      </c>
      <c r="X92" s="6"/>
      <c r="Y92" s="307"/>
      <c r="Z92" s="307"/>
      <c r="AA92" s="307"/>
      <c r="AB92" s="307"/>
      <c r="AC92" s="307"/>
      <c r="AD92" s="307"/>
      <c r="AE92" s="307"/>
      <c r="AF92" s="307"/>
      <c r="AG92" s="307"/>
    </row>
    <row r="93" spans="1:33">
      <c r="A93" s="6" t="s">
        <v>49</v>
      </c>
      <c r="B93" s="6" t="s">
        <v>277</v>
      </c>
      <c r="C93" s="6" t="s">
        <v>1066</v>
      </c>
      <c r="D93" s="6" t="s">
        <v>88</v>
      </c>
      <c r="E93" s="59" t="s">
        <v>224</v>
      </c>
      <c r="F93" s="6" t="s">
        <v>927</v>
      </c>
      <c r="G93" s="6">
        <v>14.7745</v>
      </c>
      <c r="H93" s="6">
        <v>121.0081</v>
      </c>
      <c r="I93" s="6" t="str">
        <f t="shared" si="3"/>
        <v>14.7745, 121.0081</v>
      </c>
      <c r="J93" s="6"/>
      <c r="K93" s="301" t="s">
        <v>21</v>
      </c>
      <c r="M93" s="319" t="s">
        <v>128</v>
      </c>
      <c r="N93" s="6"/>
      <c r="O93" s="21"/>
      <c r="P93" s="21"/>
      <c r="Q93" s="21"/>
      <c r="R93" s="21"/>
      <c r="S93" s="21"/>
      <c r="T93" s="259" t="str">
        <f>IFERROR(
    IF(
        OR(ISBLANK(O93), ISBLANK(P93)),
        "",
        MAX(
            1,
            IF(
                NETWORKDAYS(O93, P93, Holiday_Dates) &lt;= 0,
                1,
                NETWORKDAYS(O93, P93, Holiday_Dates) - IF(O93 = P93, 0, 1)
            )
        )
    ),
    ""
)</f>
        <v/>
      </c>
      <c r="U93" s="259" t="str">
        <f>IF(
    OR(ISBLANK(P93), ISBLANK(Q93)),
    "",
    MAX(
        1,
        IF(
            NETWORKDAYS(P93, Q93, Holiday_Dates) &lt;= 0,
            1,
            NETWORKDAYS(P93, Q93, Holiday_Dates) - IF(P93 = Q93, 0, 1)
        )
    )
)</f>
        <v/>
      </c>
      <c r="V93" s="259" t="str">
        <f>IFERROR(
    IF(
        OR(ISBLANK(R93), AND(ISBLANK(P93), ISBLANK(Q93))),
        "",
        MAX(
            1,
            IF(
                NETWORKDAYS(IF(NOT(ISBLANK(Q93)), Q93, P93), R93, Holiday_Dates) &lt;= 0,
                1,
                NETWORKDAYS(IF(NOT(ISBLANK(Q93)), Q93, P93), R93, Holiday_Dates)
                - IF(IF(NOT(ISBLANK(Q93)), Q93, P93) = R93, 0, 1)
            )
        )
    ),
    ""
)</f>
        <v/>
      </c>
      <c r="W93" s="259" t="str">
        <f>IFERROR(
    IF(
        OR(ISBLANK(R93), ISBLANK(S93)),
        "",
        MAX(
            1,
            IF(
                NETWORKDAYS(R93, S93, Holiday_Dates) &lt;= 0,
                1,
                NETWORKDAYS(R93, S93, Holiday_Dates) - IF(R93 = S93, 0, 1)
            )
        )
    ),
    ""
)</f>
        <v/>
      </c>
      <c r="X93" s="6"/>
      <c r="Y93" s="6"/>
      <c r="Z93" s="6"/>
      <c r="AA93" s="6"/>
      <c r="AB93" s="6"/>
      <c r="AC93" s="6"/>
      <c r="AD93" s="6"/>
      <c r="AE93" s="6"/>
      <c r="AF93" s="6"/>
      <c r="AG93" s="6"/>
    </row>
    <row r="94" spans="1:33">
      <c r="A94" s="73" t="s">
        <v>49</v>
      </c>
      <c r="B94" s="73" t="s">
        <v>375</v>
      </c>
      <c r="C94" s="73" t="s">
        <v>1067</v>
      </c>
      <c r="D94" s="73" t="s">
        <v>88</v>
      </c>
      <c r="E94" s="306" t="s">
        <v>213</v>
      </c>
      <c r="F94" s="73" t="s">
        <v>927</v>
      </c>
      <c r="G94" s="73">
        <v>14.9831</v>
      </c>
      <c r="H94" s="73">
        <v>121.0604</v>
      </c>
      <c r="I94" s="73" t="str">
        <f t="shared" si="3"/>
        <v>14.9831, 121.0604</v>
      </c>
      <c r="J94" s="73"/>
      <c r="K94" s="301" t="s">
        <v>377</v>
      </c>
      <c r="M94" s="35" t="s">
        <v>128</v>
      </c>
      <c r="N94" s="73"/>
      <c r="O94" s="305"/>
      <c r="P94" s="305"/>
      <c r="Q94" s="305"/>
      <c r="R94" s="305"/>
      <c r="S94" s="305"/>
      <c r="T94" s="259" t="str">
        <f>IFERROR(
    IF(
        OR(ISBLANK(O94), ISBLANK(P94)),
        "",
        MAX(
            1,
            IF(
                NETWORKDAYS(O94, P94, Holiday_Dates) &lt;= 0,
                1,
                NETWORKDAYS(O94, P94, Holiday_Dates) - IF(O94 = P94, 0, 1)
            )
        )
    ),
    ""
)</f>
        <v/>
      </c>
      <c r="U94" s="259" t="str">
        <f>IF(
    OR(ISBLANK(P94), ISBLANK(Q94)),
    "",
    MAX(
        1,
        IF(
            NETWORKDAYS(P94, Q94, Holiday_Dates) &lt;= 0,
            1,
            NETWORKDAYS(P94, Q94, Holiday_Dates) - IF(P94 = Q94, 0, 1)
        )
    )
)</f>
        <v/>
      </c>
      <c r="V94" s="259" t="str">
        <f>IFERROR(
    IF(
        OR(ISBLANK(R94), AND(ISBLANK(P94), ISBLANK(Q94))),
        "",
        MAX(
            1,
            IF(
                NETWORKDAYS(IF(NOT(ISBLANK(Q94)), Q94, P94), R94, Holiday_Dates) &lt;= 0,
                1,
                NETWORKDAYS(IF(NOT(ISBLANK(Q94)), Q94, P94), R94, Holiday_Dates)
                - IF(IF(NOT(ISBLANK(Q94)), Q94, P94) = R94, 0, 1)
            )
        )
    ),
    ""
)</f>
        <v/>
      </c>
      <c r="W94" s="259" t="str">
        <f>IFERROR(
    IF(
        OR(ISBLANK(R94), ISBLANK(S94)),
        "",
        MAX(
            1,
            IF(
                NETWORKDAYS(R94, S94, Holiday_Dates) &lt;= 0,
                1,
                NETWORKDAYS(R94, S94, Holiday_Dates) - IF(R94 = S94, 0, 1)
            )
        )
    ),
    ""
)</f>
        <v/>
      </c>
      <c r="X94" s="73"/>
      <c r="Y94" s="73"/>
      <c r="Z94" s="73"/>
      <c r="AA94" s="73"/>
      <c r="AB94" s="73"/>
      <c r="AC94" s="73"/>
      <c r="AD94" s="73"/>
      <c r="AE94" s="307"/>
      <c r="AF94" s="73"/>
      <c r="AG94" s="73"/>
    </row>
    <row r="95" spans="1:33" ht="15.75">
      <c r="A95" s="6" t="s">
        <v>49</v>
      </c>
      <c r="B95" s="6" t="s">
        <v>497</v>
      </c>
      <c r="C95" s="6" t="s">
        <v>926</v>
      </c>
      <c r="D95" s="6" t="s">
        <v>88</v>
      </c>
      <c r="E95" s="59" t="s">
        <v>402</v>
      </c>
      <c r="F95" s="6" t="s">
        <v>927</v>
      </c>
      <c r="G95" s="6">
        <v>14.824400000000001</v>
      </c>
      <c r="H95" s="6">
        <v>120.8805</v>
      </c>
      <c r="I95" s="6" t="str">
        <f t="shared" si="3"/>
        <v>14.8244, 120.8805</v>
      </c>
      <c r="J95" s="6"/>
      <c r="K95" s="301" t="s">
        <v>21</v>
      </c>
      <c r="M95" s="35" t="s">
        <v>128</v>
      </c>
      <c r="N95" s="6"/>
      <c r="O95" s="21"/>
      <c r="P95" s="21"/>
      <c r="Q95" s="21"/>
      <c r="R95" s="21"/>
      <c r="S95" s="21"/>
      <c r="T95" s="259" t="str">
        <f>IFERROR(
    IF(
        OR(ISBLANK(O95), ISBLANK(P95)),
        "",
        MAX(
            1,
            IF(
                NETWORKDAYS(O95, P95, Holiday_Dates) &lt;= 0,
                1,
                NETWORKDAYS(O95, P95, Holiday_Dates) - IF(O95 = P95, 0, 1)
            )
        )
    ),
    ""
)</f>
        <v/>
      </c>
      <c r="U95" s="259" t="str">
        <f>IF(
    OR(ISBLANK(P95), ISBLANK(Q95)),
    "",
    MAX(
        1,
        IF(
            NETWORKDAYS(P95, Q95, Holiday_Dates) &lt;= 0,
            1,
            NETWORKDAYS(P95, Q95, Holiday_Dates) - IF(P95 = Q95, 0, 1)
        )
    )
)</f>
        <v/>
      </c>
      <c r="V95" s="259" t="str">
        <f>IFERROR(
    IF(
        OR(ISBLANK(R95), AND(ISBLANK(P95), ISBLANK(Q95))),
        "",
        MAX(
            1,
            IF(
                NETWORKDAYS(IF(NOT(ISBLANK(Q95)), Q95, P95), R95, Holiday_Dates) &lt;= 0,
                1,
                NETWORKDAYS(IF(NOT(ISBLANK(Q95)), Q95, P95), R95, Holiday_Dates)
                - IF(IF(NOT(ISBLANK(Q95)), Q95, P95) = R95, 0, 1)
            )
        )
    ),
    ""
)</f>
        <v/>
      </c>
      <c r="W95" s="259" t="str">
        <f>IFERROR(
    IF(
        OR(ISBLANK(R95), ISBLANK(S95)),
        "",
        MAX(
            1,
            IF(
                NETWORKDAYS(R95, S95, Holiday_Dates) &lt;= 0,
                1,
                NETWORKDAYS(R95, S95, Holiday_Dates) - IF(R95 = S95, 0, 1)
            )
        )
    ),
    ""
)</f>
        <v/>
      </c>
      <c r="X95" s="6"/>
      <c r="Y95" s="6"/>
      <c r="Z95" s="6"/>
      <c r="AA95" s="6"/>
      <c r="AB95" s="6"/>
      <c r="AC95" s="6"/>
      <c r="AD95" s="57"/>
      <c r="AE95" s="281"/>
      <c r="AF95" s="58"/>
      <c r="AG95" s="6"/>
    </row>
    <row r="96" spans="1:33">
      <c r="A96" s="6" t="s">
        <v>49</v>
      </c>
      <c r="B96" s="6" t="s">
        <v>342</v>
      </c>
      <c r="C96" s="6" t="s">
        <v>1068</v>
      </c>
      <c r="D96" s="6" t="s">
        <v>88</v>
      </c>
      <c r="E96" s="59" t="s">
        <v>243</v>
      </c>
      <c r="F96" s="6" t="s">
        <v>927</v>
      </c>
      <c r="G96" s="6">
        <v>14.850863</v>
      </c>
      <c r="H96" s="6">
        <v>120.76495300000001</v>
      </c>
      <c r="I96" s="6" t="str">
        <f t="shared" si="3"/>
        <v>14.850863, 120.764953</v>
      </c>
      <c r="J96" s="6"/>
      <c r="K96" s="62" t="s">
        <v>22</v>
      </c>
      <c r="M96" s="319" t="s">
        <v>128</v>
      </c>
      <c r="N96" s="6"/>
      <c r="O96" s="21"/>
      <c r="P96" s="21"/>
      <c r="Q96" s="21"/>
      <c r="R96" s="21"/>
      <c r="S96" s="21"/>
      <c r="T96" s="259" t="str">
        <f>IFERROR(
    IF(
        OR(ISBLANK(O96), ISBLANK(P96)),
        "",
        MAX(
            1,
            IF(
                NETWORKDAYS(O96, P96, Holiday_Dates) &lt;= 0,
                1,
                NETWORKDAYS(O96, P96, Holiday_Dates) - IF(O96 = P96, 0, 1)
            )
        )
    ),
    ""
)</f>
        <v/>
      </c>
      <c r="U96" s="259" t="str">
        <f>IF(
    OR(ISBLANK(P96), ISBLANK(Q96)),
    "",
    MAX(
        1,
        IF(
            NETWORKDAYS(P96, Q96, Holiday_Dates) &lt;= 0,
            1,
            NETWORKDAYS(P96, Q96, Holiday_Dates) - IF(P96 = Q96, 0, 1)
        )
    )
)</f>
        <v/>
      </c>
      <c r="V96" s="259" t="str">
        <f>IFERROR(
    IF(
        OR(ISBLANK(R96), AND(ISBLANK(P96), ISBLANK(Q96))),
        "",
        MAX(
            1,
            IF(
                NETWORKDAYS(IF(NOT(ISBLANK(Q96)), Q96, P96), R96, Holiday_Dates) &lt;= 0,
                1,
                NETWORKDAYS(IF(NOT(ISBLANK(Q96)), Q96, P96), R96, Holiday_Dates)
                - IF(IF(NOT(ISBLANK(Q96)), Q96, P96) = R96, 0, 1)
            )
        )
    ),
    ""
)</f>
        <v/>
      </c>
      <c r="W96" s="259" t="str">
        <f>IFERROR(
    IF(
        OR(ISBLANK(R96), ISBLANK(S96)),
        "",
        MAX(
            1,
            IF(
                NETWORKDAYS(R96, S96, Holiday_Dates) &lt;= 0,
                1,
                NETWORKDAYS(R96, S96, Holiday_Dates) - IF(R96 = S96, 0, 1)
            )
        )
    ),
    ""
)</f>
        <v/>
      </c>
      <c r="X96" s="6"/>
      <c r="Y96" s="6"/>
      <c r="Z96" s="6"/>
      <c r="AA96" s="6"/>
      <c r="AB96" s="6"/>
      <c r="AC96" s="6"/>
      <c r="AD96" s="6"/>
      <c r="AE96" s="73"/>
      <c r="AF96" s="6"/>
      <c r="AG96" s="6"/>
    </row>
    <row r="97" spans="1:33">
      <c r="A97" s="6" t="s">
        <v>49</v>
      </c>
      <c r="B97" s="6" t="s">
        <v>501</v>
      </c>
      <c r="C97" s="6" t="s">
        <v>774</v>
      </c>
      <c r="D97" s="6" t="s">
        <v>88</v>
      </c>
      <c r="E97" s="59" t="s">
        <v>243</v>
      </c>
      <c r="F97" s="6" t="s">
        <v>927</v>
      </c>
      <c r="G97" s="6">
        <v>14.8268</v>
      </c>
      <c r="H97" s="6">
        <v>120.7637</v>
      </c>
      <c r="I97" s="6" t="str">
        <f t="shared" si="3"/>
        <v>14.8268, 120.7637</v>
      </c>
      <c r="J97" s="6"/>
      <c r="K97" s="62" t="s">
        <v>22</v>
      </c>
      <c r="M97" s="35" t="s">
        <v>128</v>
      </c>
      <c r="N97" s="3"/>
      <c r="O97" s="21"/>
      <c r="P97" s="21"/>
      <c r="Q97" s="21"/>
      <c r="R97" s="21"/>
      <c r="S97" s="21"/>
      <c r="T97" s="259" t="str">
        <f>IFERROR(
    IF(
        OR(ISBLANK(O97), ISBLANK(P97)),
        "",
        MAX(
            1,
            IF(
                NETWORKDAYS(O97, P97, Holiday_Dates) &lt;= 0,
                1,
                NETWORKDAYS(O97, P97, Holiday_Dates) - IF(O97 = P97, 0, 1)
            )
        )
    ),
    ""
)</f>
        <v/>
      </c>
      <c r="U97" s="259" t="str">
        <f>IF(
    OR(ISBLANK(P97), ISBLANK(Q97)),
    "",
    MAX(
        1,
        IF(
            NETWORKDAYS(P97, Q97, Holiday_Dates) &lt;= 0,
            1,
            NETWORKDAYS(P97, Q97, Holiday_Dates) - IF(P97 = Q97, 0, 1)
        )
    )
)</f>
        <v/>
      </c>
      <c r="V97" s="259" t="str">
        <f>IFERROR(
    IF(
        OR(ISBLANK(R97), AND(ISBLANK(P97), ISBLANK(Q97))),
        "",
        MAX(
            1,
            IF(
                NETWORKDAYS(IF(NOT(ISBLANK(Q97)), Q97, P97), R97, Holiday_Dates) &lt;= 0,
                1,
                NETWORKDAYS(IF(NOT(ISBLANK(Q97)), Q97, P97), R97, Holiday_Dates)
                - IF(IF(NOT(ISBLANK(Q97)), Q97, P97) = R97, 0, 1)
            )
        )
    ),
    ""
)</f>
        <v/>
      </c>
      <c r="W97" s="259" t="str">
        <f>IFERROR(
    IF(
        OR(ISBLANK(R97), ISBLANK(S97)),
        "",
        MAX(
            1,
            IF(
                NETWORKDAYS(R97, S97, Holiday_Dates) &lt;= 0,
                1,
                NETWORKDAYS(R97, S97, Holiday_Dates) - IF(R97 = S97, 0, 1)
            )
        )
    ),
    ""
)</f>
        <v/>
      </c>
      <c r="X97" s="6"/>
      <c r="Y97" s="6"/>
      <c r="Z97" s="6"/>
      <c r="AA97" s="6"/>
      <c r="AB97" s="6"/>
      <c r="AC97" s="6"/>
      <c r="AD97" s="6"/>
      <c r="AE97" s="6"/>
      <c r="AF97" s="6"/>
      <c r="AG97" s="6"/>
    </row>
    <row r="98" spans="1:33">
      <c r="A98" s="6" t="s">
        <v>49</v>
      </c>
      <c r="B98" s="6" t="s">
        <v>439</v>
      </c>
      <c r="C98" s="6" t="s">
        <v>1069</v>
      </c>
      <c r="D98" s="6" t="s">
        <v>88</v>
      </c>
      <c r="E98" s="59" t="s">
        <v>213</v>
      </c>
      <c r="F98" s="6" t="s">
        <v>927</v>
      </c>
      <c r="G98" s="6">
        <v>15.047700000000001</v>
      </c>
      <c r="H98" s="6">
        <v>120.9541</v>
      </c>
      <c r="I98" s="6" t="str">
        <f t="shared" si="3"/>
        <v>15.0477, 120.9541</v>
      </c>
      <c r="J98" s="6"/>
      <c r="K98" s="62" t="s">
        <v>377</v>
      </c>
      <c r="M98" s="35" t="s">
        <v>128</v>
      </c>
      <c r="N98" s="6"/>
      <c r="O98" s="4"/>
      <c r="P98" s="4"/>
      <c r="Q98" s="4"/>
      <c r="R98" s="21"/>
      <c r="S98" s="21"/>
      <c r="T98" s="259" t="str">
        <f>IFERROR(
    IF(
        OR(ISBLANK(O98), ISBLANK(P98)),
        "",
        MAX(
            1,
            IF(
                NETWORKDAYS(O98, P98, Holiday_Dates) &lt;= 0,
                1,
                NETWORKDAYS(O98, P98, Holiday_Dates) - IF(O98 = P98, 0, 1)
            )
        )
    ),
    ""
)</f>
        <v/>
      </c>
      <c r="U98" s="259" t="str">
        <f>IF(
    OR(ISBLANK(P98), ISBLANK(Q98)),
    "",
    MAX(
        1,
        IF(
            NETWORKDAYS(P98, Q98, Holiday_Dates) &lt;= 0,
            1,
            NETWORKDAYS(P98, Q98, Holiday_Dates) - IF(P98 = Q98, 0, 1)
        )
    )
)</f>
        <v/>
      </c>
      <c r="V98" s="259" t="str">
        <f>IFERROR(
    IF(
        OR(ISBLANK(R98), AND(ISBLANK(P98), ISBLANK(Q98))),
        "",
        MAX(
            1,
            IF(
                NETWORKDAYS(IF(NOT(ISBLANK(Q98)), Q98, P98), R98, Holiday_Dates) &lt;= 0,
                1,
                NETWORKDAYS(IF(NOT(ISBLANK(Q98)), Q98, P98), R98, Holiday_Dates)
                - IF(IF(NOT(ISBLANK(Q98)), Q98, P98) = R98, 0, 1)
            )
        )
    ),
    ""
)</f>
        <v/>
      </c>
      <c r="W98" s="259" t="str">
        <f>IFERROR(
    IF(
        OR(ISBLANK(R98), ISBLANK(S98)),
        "",
        MAX(
            1,
            IF(
                NETWORKDAYS(R98, S98, Holiday_Dates) &lt;= 0,
                1,
                NETWORKDAYS(R98, S98, Holiday_Dates) - IF(R98 = S98, 0, 1)
            )
        )
    ),
    ""
)</f>
        <v/>
      </c>
      <c r="X98" s="6"/>
      <c r="Y98" s="6"/>
      <c r="Z98" s="6"/>
      <c r="AA98" s="6"/>
      <c r="AB98" s="6"/>
      <c r="AC98" s="6"/>
      <c r="AD98" s="6"/>
      <c r="AE98" s="6"/>
      <c r="AF98" s="6"/>
      <c r="AG98" s="6"/>
    </row>
    <row r="99" spans="1:33">
      <c r="A99" s="6" t="s">
        <v>50</v>
      </c>
      <c r="B99" s="6" t="s">
        <v>407</v>
      </c>
      <c r="C99" s="6" t="s">
        <v>250</v>
      </c>
      <c r="D99" s="6" t="s">
        <v>88</v>
      </c>
      <c r="E99" s="59" t="s">
        <v>224</v>
      </c>
      <c r="F99" s="6" t="s">
        <v>927</v>
      </c>
      <c r="G99" s="6">
        <v>15.142721999999999</v>
      </c>
      <c r="H99" s="6">
        <v>120.817814</v>
      </c>
      <c r="I99" s="6" t="str">
        <f t="shared" si="3"/>
        <v>15.142722, 120.817814</v>
      </c>
      <c r="J99" s="6"/>
      <c r="K99" s="62" t="s">
        <v>30</v>
      </c>
      <c r="M99" s="6" t="s">
        <v>130</v>
      </c>
      <c r="N99" s="6"/>
      <c r="O99" s="21"/>
      <c r="P99" s="21"/>
      <c r="Q99" s="21"/>
      <c r="R99" s="21"/>
      <c r="S99" s="21"/>
      <c r="T99" s="259" t="str">
        <f>IFERROR(
    IF(
        OR(ISBLANK(O99), ISBLANK(P99)),
        "",
        MAX(
            1,
            IF(
                NETWORKDAYS(O99, P99, Holiday_Dates) &lt;= 0,
                1,
                NETWORKDAYS(O99, P99, Holiday_Dates) - IF(O99 = P99, 0, 1)
            )
        )
    ),
    ""
)</f>
        <v/>
      </c>
      <c r="U99" s="259" t="str">
        <f>IF(
    OR(ISBLANK(P99), ISBLANK(Q99)),
    "",
    MAX(
        1,
        IF(
            NETWORKDAYS(P99, Q99, Holiday_Dates) &lt;= 0,
            1,
            NETWORKDAYS(P99, Q99, Holiday_Dates) - IF(P99 = Q99, 0, 1)
        )
    )
)</f>
        <v/>
      </c>
      <c r="V99" s="259" t="str">
        <f>IFERROR(
    IF(
        OR(ISBLANK(R99), AND(ISBLANK(P99), ISBLANK(Q99))),
        "",
        MAX(
            1,
            IF(
                NETWORKDAYS(IF(NOT(ISBLANK(Q99)), Q99, P99), R99, Holiday_Dates) &lt;= 0,
                1,
                NETWORKDAYS(IF(NOT(ISBLANK(Q99)), Q99, P99), R99, Holiday_Dates)
                - IF(IF(NOT(ISBLANK(Q99)), Q99, P99) = R99, 0, 1)
            )
        )
    ),
    ""
)</f>
        <v/>
      </c>
      <c r="W99" s="259" t="str">
        <f>IFERROR(
    IF(
        OR(ISBLANK(R99), ISBLANK(S99)),
        "",
        MAX(
            1,
            IF(
                NETWORKDAYS(R99, S99, Holiday_Dates) &lt;= 0,
                1,
                NETWORKDAYS(R99, S99, Holiday_Dates) - IF(R99 = S99, 0, 1)
            )
        )
    ),
    ""
)</f>
        <v/>
      </c>
      <c r="X99" s="6"/>
      <c r="Y99" s="6"/>
      <c r="Z99" s="6"/>
      <c r="AA99" s="6"/>
      <c r="AB99" s="72"/>
      <c r="AC99" s="6"/>
      <c r="AD99" s="6"/>
      <c r="AE99" s="6"/>
      <c r="AF99" s="6"/>
      <c r="AG99" s="6"/>
    </row>
    <row r="100" spans="1:33">
      <c r="A100" s="6" t="s">
        <v>50</v>
      </c>
      <c r="B100" s="6" t="s">
        <v>409</v>
      </c>
      <c r="C100" s="6" t="s">
        <v>1070</v>
      </c>
      <c r="D100" s="6" t="s">
        <v>88</v>
      </c>
      <c r="E100" s="59" t="s">
        <v>271</v>
      </c>
      <c r="F100" s="6" t="s">
        <v>927</v>
      </c>
      <c r="G100" s="6">
        <v>15.962387870000001</v>
      </c>
      <c r="H100" s="6">
        <v>121.06738254</v>
      </c>
      <c r="I100" s="6" t="str">
        <f t="shared" si="3"/>
        <v>15.96238787, 121.06738254</v>
      </c>
      <c r="J100" s="6"/>
      <c r="K100" s="62" t="s">
        <v>29</v>
      </c>
      <c r="M100" s="6" t="s">
        <v>130</v>
      </c>
      <c r="N100" s="6"/>
      <c r="O100" s="21"/>
      <c r="P100" s="21"/>
      <c r="Q100" s="21"/>
      <c r="R100" s="21"/>
      <c r="S100" s="21"/>
      <c r="T100" s="259" t="str">
        <f>IFERROR(
    IF(
        OR(ISBLANK(O100), ISBLANK(P100)),
        "",
        MAX(
            1,
            IF(
                NETWORKDAYS(O100, P100, Holiday_Dates) &lt;= 0,
                1,
                NETWORKDAYS(O100, P100, Holiday_Dates) - IF(O100 = P100, 0, 1)
            )
        )
    ),
    ""
)</f>
        <v/>
      </c>
      <c r="U100" s="259" t="str">
        <f>IF(
    OR(ISBLANK(P100), ISBLANK(Q100)),
    "",
    MAX(
        1,
        IF(
            NETWORKDAYS(P100, Q100, Holiday_Dates) &lt;= 0,
            1,
            NETWORKDAYS(P100, Q100, Holiday_Dates) - IF(P100 = Q100, 0, 1)
        )
    )
)</f>
        <v/>
      </c>
      <c r="V100" s="259" t="str">
        <f>IFERROR(
    IF(
        OR(ISBLANK(R100), AND(ISBLANK(P100), ISBLANK(Q100))),
        "",
        MAX(
            1,
            IF(
                NETWORKDAYS(IF(NOT(ISBLANK(Q100)), Q100, P100), R100, Holiday_Dates) &lt;= 0,
                1,
                NETWORKDAYS(IF(NOT(ISBLANK(Q100)), Q100, P100), R100, Holiday_Dates)
                - IF(IF(NOT(ISBLANK(Q100)), Q100, P100) = R100, 0, 1)
            )
        )
    ),
    ""
)</f>
        <v/>
      </c>
      <c r="W100" s="259" t="str">
        <f>IFERROR(
    IF(
        OR(ISBLANK(R100), ISBLANK(S100)),
        "",
        MAX(
            1,
            IF(
                NETWORKDAYS(R100, S100, Holiday_Dates) &lt;= 0,
                1,
                NETWORKDAYS(R100, S100, Holiday_Dates) - IF(R100 = S100, 0, 1)
            )
        )
    ),
    ""
)</f>
        <v/>
      </c>
      <c r="X100" s="6"/>
      <c r="Y100" s="6"/>
      <c r="Z100" s="6"/>
      <c r="AA100" s="6"/>
      <c r="AB100" s="6"/>
      <c r="AC100" s="6"/>
      <c r="AD100" s="6"/>
      <c r="AE100" s="6"/>
      <c r="AF100" s="6"/>
      <c r="AG100" s="6"/>
    </row>
    <row r="101" spans="1:33">
      <c r="A101" s="6" t="s">
        <v>50</v>
      </c>
      <c r="B101" s="6" t="s">
        <v>231</v>
      </c>
      <c r="C101" s="6" t="s">
        <v>520</v>
      </c>
      <c r="D101" s="6" t="s">
        <v>88</v>
      </c>
      <c r="E101" s="59" t="s">
        <v>213</v>
      </c>
      <c r="F101" s="6" t="s">
        <v>927</v>
      </c>
      <c r="G101" s="6">
        <v>15.489800000000001</v>
      </c>
      <c r="H101" s="6">
        <v>120.9939</v>
      </c>
      <c r="I101" s="6" t="str">
        <f t="shared" si="3"/>
        <v>15.4898, 120.9939</v>
      </c>
      <c r="J101" s="6"/>
      <c r="K101" s="62" t="s">
        <v>1031</v>
      </c>
      <c r="M101" s="6" t="s">
        <v>130</v>
      </c>
      <c r="N101" s="6"/>
      <c r="O101" s="21"/>
      <c r="P101" s="21"/>
      <c r="Q101" s="21"/>
      <c r="R101" s="21"/>
      <c r="S101" s="21"/>
      <c r="T101" s="259" t="str">
        <f>IFERROR(
    IF(
        OR(ISBLANK(O101), ISBLANK(P101)),
        "",
        MAX(
            1,
            IF(
                NETWORKDAYS(O101, P101, Holiday_Dates) &lt;= 0,
                1,
                NETWORKDAYS(O101, P101, Holiday_Dates) - IF(O101 = P101, 0, 1)
            )
        )
    ),
    ""
)</f>
        <v/>
      </c>
      <c r="U101" s="259" t="str">
        <f>IF(
    OR(ISBLANK(P101), ISBLANK(Q101)),
    "",
    MAX(
        1,
        IF(
            NETWORKDAYS(P101, Q101, Holiday_Dates) &lt;= 0,
            1,
            NETWORKDAYS(P101, Q101, Holiday_Dates) - IF(P101 = Q101, 0, 1)
        )
    )
)</f>
        <v/>
      </c>
      <c r="V101" s="259" t="str">
        <f>IFERROR(
    IF(
        OR(ISBLANK(R101), AND(ISBLANK(P101), ISBLANK(Q101))),
        "",
        MAX(
            1,
            IF(
                NETWORKDAYS(IF(NOT(ISBLANK(Q101)), Q101, P101), R101, Holiday_Dates) &lt;= 0,
                1,
                NETWORKDAYS(IF(NOT(ISBLANK(Q101)), Q101, P101), R101, Holiday_Dates)
                - IF(IF(NOT(ISBLANK(Q101)), Q101, P101) = R101, 0, 1)
            )
        )
    ),
    ""
)</f>
        <v/>
      </c>
      <c r="W101" s="259" t="str">
        <f>IFERROR(
    IF(
        OR(ISBLANK(R101), ISBLANK(S101)),
        "",
        MAX(
            1,
            IF(
                NETWORKDAYS(R101, S101, Holiday_Dates) &lt;= 0,
                1,
                NETWORKDAYS(R101, S101, Holiday_Dates) - IF(R101 = S101, 0, 1)
            )
        )
    ),
    ""
)</f>
        <v/>
      </c>
      <c r="X101" s="6"/>
      <c r="Y101" s="6"/>
      <c r="Z101" s="6"/>
      <c r="AA101" s="6"/>
      <c r="AB101" s="6"/>
      <c r="AC101" s="6"/>
      <c r="AD101" s="6"/>
      <c r="AE101" s="6"/>
      <c r="AF101" s="6"/>
      <c r="AG101" s="6"/>
    </row>
    <row r="102" spans="1:33">
      <c r="A102" s="6" t="s">
        <v>50</v>
      </c>
      <c r="B102" s="6" t="s">
        <v>442</v>
      </c>
      <c r="C102" s="6" t="s">
        <v>1071</v>
      </c>
      <c r="D102" s="6" t="s">
        <v>88</v>
      </c>
      <c r="E102" s="59" t="s">
        <v>224</v>
      </c>
      <c r="F102" s="6" t="s">
        <v>927</v>
      </c>
      <c r="G102" s="6">
        <v>15.334293000000001</v>
      </c>
      <c r="H102" s="6">
        <v>120.97338499999999</v>
      </c>
      <c r="I102" s="6" t="str">
        <f t="shared" si="3"/>
        <v>15.334293, 120.973385</v>
      </c>
      <c r="J102" s="6"/>
      <c r="K102" s="62" t="s">
        <v>30</v>
      </c>
      <c r="M102" s="6" t="s">
        <v>130</v>
      </c>
      <c r="N102" s="7"/>
      <c r="O102" s="21"/>
      <c r="P102" s="21"/>
      <c r="Q102" s="21"/>
      <c r="R102" s="21"/>
      <c r="S102" s="21"/>
      <c r="T102" s="259" t="str">
        <f>IFERROR(
    IF(
        OR(ISBLANK(O102), ISBLANK(P102)),
        "",
        MAX(
            1,
            IF(
                NETWORKDAYS(O102, P102, Holiday_Dates) &lt;= 0,
                1,
                NETWORKDAYS(O102, P102, Holiday_Dates) - IF(O102 = P102, 0, 1)
            )
        )
    ),
    ""
)</f>
        <v/>
      </c>
      <c r="U102" s="259" t="str">
        <f>IF(
    OR(ISBLANK(P102), ISBLANK(Q102)),
    "",
    MAX(
        1,
        IF(
            NETWORKDAYS(P102, Q102, Holiday_Dates) &lt;= 0,
            1,
            NETWORKDAYS(P102, Q102, Holiday_Dates) - IF(P102 = Q102, 0, 1)
        )
    )
)</f>
        <v/>
      </c>
      <c r="V102" s="259" t="str">
        <f>IFERROR(
    IF(
        OR(ISBLANK(R102), AND(ISBLANK(P102), ISBLANK(Q102))),
        "",
        MAX(
            1,
            IF(
                NETWORKDAYS(IF(NOT(ISBLANK(Q102)), Q102, P102), R102, Holiday_Dates) &lt;= 0,
                1,
                NETWORKDAYS(IF(NOT(ISBLANK(Q102)), Q102, P102), R102, Holiday_Dates)
                - IF(IF(NOT(ISBLANK(Q102)), Q102, P102) = R102, 0, 1)
            )
        )
    ),
    ""
)</f>
        <v/>
      </c>
      <c r="W102" s="259" t="str">
        <f>IFERROR(
    IF(
        OR(ISBLANK(R102), ISBLANK(S102)),
        "",
        MAX(
            1,
            IF(
                NETWORKDAYS(R102, S102, Holiday_Dates) &lt;= 0,
                1,
                NETWORKDAYS(R102, S102, Holiday_Dates) - IF(R102 = S102, 0, 1)
            )
        )
    ),
    ""
)</f>
        <v/>
      </c>
      <c r="X102" s="6"/>
      <c r="Y102" s="6"/>
      <c r="Z102" s="6"/>
      <c r="AA102" s="6"/>
      <c r="AB102" s="6"/>
      <c r="AC102" s="6"/>
      <c r="AD102" s="6"/>
      <c r="AE102" s="6"/>
      <c r="AF102" s="6"/>
      <c r="AG102" s="6"/>
    </row>
    <row r="103" spans="1:33">
      <c r="A103" s="6" t="s">
        <v>50</v>
      </c>
      <c r="B103" s="6" t="s">
        <v>637</v>
      </c>
      <c r="C103" s="6" t="s">
        <v>638</v>
      </c>
      <c r="D103" s="6" t="s">
        <v>88</v>
      </c>
      <c r="E103" s="59" t="s">
        <v>213</v>
      </c>
      <c r="F103" s="6" t="s">
        <v>927</v>
      </c>
      <c r="G103" s="6">
        <v>15.60618</v>
      </c>
      <c r="H103" s="6">
        <v>121.11087000000001</v>
      </c>
      <c r="I103" s="6" t="str">
        <f t="shared" si="3"/>
        <v>15.60618, 121.11087</v>
      </c>
      <c r="J103" s="6"/>
      <c r="K103" s="62" t="s">
        <v>26</v>
      </c>
      <c r="M103" s="250" t="s">
        <v>130</v>
      </c>
      <c r="N103" s="7"/>
      <c r="O103" s="21"/>
      <c r="P103" s="21"/>
      <c r="Q103" s="21"/>
      <c r="R103" s="21"/>
      <c r="S103" s="21"/>
      <c r="T103" s="259" t="str">
        <f>IFERROR(
    IF(
        OR(ISBLANK(O103), ISBLANK(P103)),
        "",
        MAX(
            1,
            IF(
                NETWORKDAYS(O103, P103, Holiday_Dates) &lt;= 0,
                1,
                NETWORKDAYS(O103, P103, Holiday_Dates) - IF(O103 = P103, 0, 1)
            )
        )
    ),
    ""
)</f>
        <v/>
      </c>
      <c r="U103" s="259" t="str">
        <f>IF(
    OR(ISBLANK(P103), ISBLANK(Q103)),
    "",
    MAX(
        1,
        IF(
            NETWORKDAYS(P103, Q103, Holiday_Dates) &lt;= 0,
            1,
            NETWORKDAYS(P103, Q103, Holiday_Dates) - IF(P103 = Q103, 0, 1)
        )
    )
)</f>
        <v/>
      </c>
      <c r="V103" s="259" t="str">
        <f>IFERROR(
    IF(
        OR(ISBLANK(R103), AND(ISBLANK(P103), ISBLANK(Q103))),
        "",
        MAX(
            1,
            IF(
                NETWORKDAYS(IF(NOT(ISBLANK(Q103)), Q103, P103), R103, Holiday_Dates) &lt;= 0,
                1,
                NETWORKDAYS(IF(NOT(ISBLANK(Q103)), Q103, P103), R103, Holiday_Dates)
                - IF(IF(NOT(ISBLANK(Q103)), Q103, P103) = R103, 0, 1)
            )
        )
    ),
    ""
)</f>
        <v/>
      </c>
      <c r="W103" s="259" t="str">
        <f>IFERROR(
    IF(
        OR(ISBLANK(R103), ISBLANK(S103)),
        "",
        MAX(
            1,
            IF(
                NETWORKDAYS(R103, S103, Holiday_Dates) &lt;= 0,
                1,
                NETWORKDAYS(R103, S103, Holiday_Dates) - IF(R103 = S103, 0, 1)
            )
        )
    ),
    ""
)</f>
        <v/>
      </c>
      <c r="X103" s="6"/>
      <c r="Y103" s="6"/>
      <c r="Z103" s="6"/>
      <c r="AA103" s="6"/>
      <c r="AB103" s="6"/>
      <c r="AC103" s="6"/>
      <c r="AD103" s="6"/>
      <c r="AE103" s="6"/>
      <c r="AF103" s="6"/>
      <c r="AG103" s="6"/>
    </row>
    <row r="104" spans="1:33">
      <c r="A104" s="6" t="s">
        <v>50</v>
      </c>
      <c r="B104" s="6" t="s">
        <v>727</v>
      </c>
      <c r="C104" s="6" t="s">
        <v>881</v>
      </c>
      <c r="D104" s="6" t="s">
        <v>88</v>
      </c>
      <c r="E104" s="59" t="s">
        <v>213</v>
      </c>
      <c r="F104" s="6" t="s">
        <v>927</v>
      </c>
      <c r="G104" s="6">
        <v>15.3888</v>
      </c>
      <c r="H104" s="6">
        <v>121.06189999999999</v>
      </c>
      <c r="I104" s="6" t="str">
        <f t="shared" si="3"/>
        <v>15.3888, 121.0619</v>
      </c>
      <c r="J104" s="6"/>
      <c r="K104" s="62" t="s">
        <v>885</v>
      </c>
      <c r="M104" s="6" t="s">
        <v>130</v>
      </c>
      <c r="N104" s="7"/>
      <c r="O104" s="21"/>
      <c r="P104" s="21"/>
      <c r="Q104" s="21"/>
      <c r="R104" s="21"/>
      <c r="S104" s="21"/>
      <c r="T104" s="259" t="str">
        <f>IFERROR(
    IF(
        OR(ISBLANK(O104), ISBLANK(P104)),
        "",
        MAX(
            1,
            IF(
                NETWORKDAYS(O104, P104, Holiday_Dates) &lt;= 0,
                1,
                NETWORKDAYS(O104, P104, Holiday_Dates) - IF(O104 = P104, 0, 1)
            )
        )
    ),
    ""
)</f>
        <v/>
      </c>
      <c r="U104" s="259" t="str">
        <f>IF(
    OR(ISBLANK(P104), ISBLANK(Q104)),
    "",
    MAX(
        1,
        IF(
            NETWORKDAYS(P104, Q104, Holiday_Dates) &lt;= 0,
            1,
            NETWORKDAYS(P104, Q104, Holiday_Dates) - IF(P104 = Q104, 0, 1)
        )
    )
)</f>
        <v/>
      </c>
      <c r="V104" s="259" t="str">
        <f>IFERROR(
    IF(
        OR(ISBLANK(R104), AND(ISBLANK(P104), ISBLANK(Q104))),
        "",
        MAX(
            1,
            IF(
                NETWORKDAYS(IF(NOT(ISBLANK(Q104)), Q104, P104), R104, Holiday_Dates) &lt;= 0,
                1,
                NETWORKDAYS(IF(NOT(ISBLANK(Q104)), Q104, P104), R104, Holiday_Dates)
                - IF(IF(NOT(ISBLANK(Q104)), Q104, P104) = R104, 0, 1)
            )
        )
    ),
    ""
)</f>
        <v/>
      </c>
      <c r="W104" s="259" t="str">
        <f>IFERROR(
    IF(
        OR(ISBLANK(R104), ISBLANK(S104)),
        "",
        MAX(
            1,
            IF(
                NETWORKDAYS(R104, S104, Holiday_Dates) &lt;= 0,
                1,
                NETWORKDAYS(R104, S104, Holiday_Dates) - IF(R104 = S104, 0, 1)
            )
        )
    ),
    ""
)</f>
        <v/>
      </c>
      <c r="X104" s="6"/>
      <c r="Y104" s="6"/>
      <c r="Z104" s="6"/>
      <c r="AA104" s="6"/>
      <c r="AB104" s="6"/>
      <c r="AC104" s="6"/>
      <c r="AD104" s="6"/>
      <c r="AE104" s="6"/>
      <c r="AF104" s="6"/>
      <c r="AG104" s="6"/>
    </row>
    <row r="105" spans="1:33">
      <c r="A105" s="6" t="s">
        <v>50</v>
      </c>
      <c r="B105" s="6" t="s">
        <v>345</v>
      </c>
      <c r="C105" s="6" t="s">
        <v>1072</v>
      </c>
      <c r="D105" s="6" t="s">
        <v>88</v>
      </c>
      <c r="E105" s="59" t="s">
        <v>224</v>
      </c>
      <c r="F105" s="6" t="s">
        <v>927</v>
      </c>
      <c r="G105" s="6">
        <v>15.337645999999999</v>
      </c>
      <c r="H105" s="6">
        <v>120.90553300000001</v>
      </c>
      <c r="I105" s="6" t="str">
        <f t="shared" si="3"/>
        <v>15.337646, 120.905533</v>
      </c>
      <c r="J105" s="6"/>
      <c r="K105" s="62" t="s">
        <v>30</v>
      </c>
      <c r="M105" s="6" t="s">
        <v>130</v>
      </c>
      <c r="N105" s="6"/>
      <c r="O105" s="21"/>
      <c r="P105" s="21"/>
      <c r="Q105" s="21"/>
      <c r="R105" s="21"/>
      <c r="S105" s="21"/>
      <c r="T105" s="259" t="str">
        <f>IFERROR(
    IF(
        OR(ISBLANK(O105), ISBLANK(P105)),
        "",
        MAX(
            1,
            IF(
                NETWORKDAYS(O105, P105, Holiday_Dates) &lt;= 0,
                1,
                NETWORKDAYS(O105, P105, Holiday_Dates) - IF(O105 = P105, 0, 1)
            )
        )
    ),
    ""
)</f>
        <v/>
      </c>
      <c r="U105" s="259" t="str">
        <f>IF(
    OR(ISBLANK(P105), ISBLANK(Q105)),
    "",
    MAX(
        1,
        IF(
            NETWORKDAYS(P105, Q105, Holiday_Dates) &lt;= 0,
            1,
            NETWORKDAYS(P105, Q105, Holiday_Dates) - IF(P105 = Q105, 0, 1)
        )
    )
)</f>
        <v/>
      </c>
      <c r="V105" s="259" t="str">
        <f>IFERROR(
    IF(
        OR(ISBLANK(R105), AND(ISBLANK(P105), ISBLANK(Q105))),
        "",
        MAX(
            1,
            IF(
                NETWORKDAYS(IF(NOT(ISBLANK(Q105)), Q105, P105), R105, Holiday_Dates) &lt;= 0,
                1,
                NETWORKDAYS(IF(NOT(ISBLANK(Q105)), Q105, P105), R105, Holiday_Dates)
                - IF(IF(NOT(ISBLANK(Q105)), Q105, P105) = R105, 0, 1)
            )
        )
    ),
    ""
)</f>
        <v/>
      </c>
      <c r="W105" s="259" t="str">
        <f>IFERROR(
    IF(
        OR(ISBLANK(R105), ISBLANK(S105)),
        "",
        MAX(
            1,
            IF(
                NETWORKDAYS(R105, S105, Holiday_Dates) &lt;= 0,
                1,
                NETWORKDAYS(R105, S105, Holiday_Dates) - IF(R105 = S105, 0, 1)
            )
        )
    ),
    ""
)</f>
        <v/>
      </c>
      <c r="X105" s="6"/>
      <c r="Y105" s="6"/>
      <c r="Z105" s="6"/>
      <c r="AA105" s="6"/>
      <c r="AB105" s="6"/>
      <c r="AC105" s="6"/>
      <c r="AD105" s="6"/>
      <c r="AE105" s="6"/>
      <c r="AF105" s="6"/>
      <c r="AG105" s="6"/>
    </row>
    <row r="106" spans="1:33">
      <c r="A106" s="6" t="s">
        <v>50</v>
      </c>
      <c r="B106" s="6" t="s">
        <v>347</v>
      </c>
      <c r="C106" s="6" t="s">
        <v>1073</v>
      </c>
      <c r="D106" s="6" t="s">
        <v>88</v>
      </c>
      <c r="E106" s="59" t="s">
        <v>213</v>
      </c>
      <c r="F106" s="6" t="s">
        <v>927</v>
      </c>
      <c r="G106" s="6">
        <v>15.5722</v>
      </c>
      <c r="H106" s="6">
        <v>121.1682</v>
      </c>
      <c r="I106" s="6" t="str">
        <f t="shared" si="3"/>
        <v>15.5722, 121.1682</v>
      </c>
      <c r="J106" s="6"/>
      <c r="K106" s="62" t="s">
        <v>885</v>
      </c>
      <c r="M106" s="6" t="s">
        <v>130</v>
      </c>
      <c r="N106" s="6"/>
      <c r="O106" s="21"/>
      <c r="P106" s="21"/>
      <c r="Q106" s="21"/>
      <c r="R106" s="21"/>
      <c r="S106" s="21"/>
      <c r="T106" s="259" t="str">
        <f>IFERROR(
    IF(
        OR(ISBLANK(O106), ISBLANK(P106)),
        "",
        MAX(
            1,
            IF(
                NETWORKDAYS(O106, P106, Holiday_Dates) &lt;= 0,
                1,
                NETWORKDAYS(O106, P106, Holiday_Dates) - IF(O106 = P106, 0, 1)
            )
        )
    ),
    ""
)</f>
        <v/>
      </c>
      <c r="U106" s="259" t="str">
        <f>IF(
    OR(ISBLANK(P106), ISBLANK(Q106)),
    "",
    MAX(
        1,
        IF(
            NETWORKDAYS(P106, Q106, Holiday_Dates) &lt;= 0,
            1,
            NETWORKDAYS(P106, Q106, Holiday_Dates) - IF(P106 = Q106, 0, 1)
        )
    )
)</f>
        <v/>
      </c>
      <c r="V106" s="259" t="str">
        <f>IFERROR(
    IF(
        OR(ISBLANK(R106), AND(ISBLANK(P106), ISBLANK(Q106))),
        "",
        MAX(
            1,
            IF(
                NETWORKDAYS(IF(NOT(ISBLANK(Q106)), Q106, P106), R106, Holiday_Dates) &lt;= 0,
                1,
                NETWORKDAYS(IF(NOT(ISBLANK(Q106)), Q106, P106), R106, Holiday_Dates)
                - IF(IF(NOT(ISBLANK(Q106)), Q106, P106) = R106, 0, 1)
            )
        )
    ),
    ""
)</f>
        <v/>
      </c>
      <c r="W106" s="259" t="str">
        <f>IFERROR(
    IF(
        OR(ISBLANK(R106), ISBLANK(S106)),
        "",
        MAX(
            1,
            IF(
                NETWORKDAYS(R106, S106, Holiday_Dates) &lt;= 0,
                1,
                NETWORKDAYS(R106, S106, Holiday_Dates) - IF(R106 = S106, 0, 1)
            )
        )
    ),
    ""
)</f>
        <v/>
      </c>
      <c r="X106" s="6"/>
      <c r="Y106" s="6"/>
      <c r="Z106" s="6"/>
      <c r="AA106" s="6"/>
      <c r="AB106" s="6"/>
      <c r="AC106" s="6"/>
      <c r="AD106" s="6"/>
      <c r="AE106" s="6"/>
      <c r="AF106" s="6"/>
      <c r="AG106" s="6"/>
    </row>
    <row r="107" spans="1:33" ht="30">
      <c r="A107" s="6" t="s">
        <v>50</v>
      </c>
      <c r="B107" s="6" t="s">
        <v>295</v>
      </c>
      <c r="C107" s="6" t="s">
        <v>1074</v>
      </c>
      <c r="D107" s="6" t="s">
        <v>88</v>
      </c>
      <c r="E107" s="59" t="s">
        <v>271</v>
      </c>
      <c r="F107" s="6" t="s">
        <v>927</v>
      </c>
      <c r="G107" s="6">
        <v>15.872199999999999</v>
      </c>
      <c r="H107" s="6">
        <v>120.8969</v>
      </c>
      <c r="I107" s="6" t="str">
        <f t="shared" si="3"/>
        <v>15.8722, 120.8969</v>
      </c>
      <c r="J107" s="6"/>
      <c r="K107" s="62" t="s">
        <v>29</v>
      </c>
      <c r="M107" s="6" t="s">
        <v>130</v>
      </c>
      <c r="N107" s="6"/>
      <c r="O107" s="21"/>
      <c r="P107" s="21"/>
      <c r="Q107" s="21"/>
      <c r="R107" s="21"/>
      <c r="S107" s="21"/>
      <c r="T107" s="259" t="str">
        <f>IFERROR(
    IF(
        OR(ISBLANK(O107), ISBLANK(P107)),
        "",
        MAX(
            1,
            IF(
                NETWORKDAYS(O107, P107, Holiday_Dates) &lt;= 0,
                1,
                NETWORKDAYS(O107, P107, Holiday_Dates) - IF(O107 = P107, 0, 1)
            )
        )
    ),
    ""
)</f>
        <v/>
      </c>
      <c r="U107" s="259" t="str">
        <f>IF(
    OR(ISBLANK(P107), ISBLANK(Q107)),
    "",
    MAX(
        1,
        IF(
            NETWORKDAYS(P107, Q107, Holiday_Dates) &lt;= 0,
            1,
            NETWORKDAYS(P107, Q107, Holiday_Dates) - IF(P107 = Q107, 0, 1)
        )
    )
)</f>
        <v/>
      </c>
      <c r="V107" s="259" t="str">
        <f>IFERROR(
    IF(
        OR(ISBLANK(R107), AND(ISBLANK(P107), ISBLANK(Q107))),
        "",
        MAX(
            1,
            IF(
                NETWORKDAYS(IF(NOT(ISBLANK(Q107)), Q107, P107), R107, Holiday_Dates) &lt;= 0,
                1,
                NETWORKDAYS(IF(NOT(ISBLANK(Q107)), Q107, P107), R107, Holiday_Dates)
                - IF(IF(NOT(ISBLANK(Q107)), Q107, P107) = R107, 0, 1)
            )
        )
    ),
    ""
)</f>
        <v/>
      </c>
      <c r="W107" s="259" t="str">
        <f>IFERROR(
    IF(
        OR(ISBLANK(R107), ISBLANK(S107)),
        "",
        MAX(
            1,
            IF(
                NETWORKDAYS(R107, S107, Holiday_Dates) &lt;= 0,
                1,
                NETWORKDAYS(R107, S107, Holiday_Dates) - IF(R107 = S107, 0, 1)
            )
        )
    ),
    ""
)</f>
        <v/>
      </c>
      <c r="X107" s="6"/>
      <c r="Y107" s="6"/>
      <c r="Z107" s="6"/>
      <c r="AA107" s="6"/>
      <c r="AB107" s="6"/>
      <c r="AC107" s="6"/>
      <c r="AD107" s="6"/>
      <c r="AE107" s="6"/>
      <c r="AF107" s="6"/>
      <c r="AG107" s="6"/>
    </row>
    <row r="108" spans="1:33">
      <c r="A108" s="6" t="s">
        <v>50</v>
      </c>
      <c r="B108" s="6" t="s">
        <v>518</v>
      </c>
      <c r="C108" s="6" t="s">
        <v>926</v>
      </c>
      <c r="D108" s="6" t="s">
        <v>88</v>
      </c>
      <c r="E108" s="59" t="s">
        <v>271</v>
      </c>
      <c r="F108" s="6" t="s">
        <v>927</v>
      </c>
      <c r="G108" s="6">
        <v>15.807740000000001</v>
      </c>
      <c r="H108" s="6">
        <v>121.14201</v>
      </c>
      <c r="I108" s="6" t="str">
        <f t="shared" ref="I108:I136" si="4">CONCATENATE(G108,","," ",H108)</f>
        <v>15.80774, 121.14201</v>
      </c>
      <c r="J108" s="6"/>
      <c r="K108" s="62" t="s">
        <v>26</v>
      </c>
      <c r="M108" s="6" t="s">
        <v>130</v>
      </c>
      <c r="N108" s="6"/>
      <c r="O108" s="21"/>
      <c r="P108" s="21"/>
      <c r="Q108" s="21"/>
      <c r="R108" s="21"/>
      <c r="S108" s="21"/>
      <c r="T108" s="259" t="str">
        <f>IFERROR(
    IF(
        OR(ISBLANK(O108), ISBLANK(P108)),
        "",
        MAX(
            1,
            IF(
                NETWORKDAYS(O108, P108, Holiday_Dates) &lt;= 0,
                1,
                NETWORKDAYS(O108, P108, Holiday_Dates) - IF(O108 = P108, 0, 1)
            )
        )
    ),
    ""
)</f>
        <v/>
      </c>
      <c r="U108" s="259" t="str">
        <f>IF(
    OR(ISBLANK(P108), ISBLANK(Q108)),
    "",
    MAX(
        1,
        IF(
            NETWORKDAYS(P108, Q108, Holiday_Dates) &lt;= 0,
            1,
            NETWORKDAYS(P108, Q108, Holiday_Dates) - IF(P108 = Q108, 0, 1)
        )
    )
)</f>
        <v/>
      </c>
      <c r="V108" s="259" t="str">
        <f>IFERROR(
    IF(
        OR(ISBLANK(R108), AND(ISBLANK(P108), ISBLANK(Q108))),
        "",
        MAX(
            1,
            IF(
                NETWORKDAYS(IF(NOT(ISBLANK(Q108)), Q108, P108), R108, Holiday_Dates) &lt;= 0,
                1,
                NETWORKDAYS(IF(NOT(ISBLANK(Q108)), Q108, P108), R108, Holiday_Dates)
                - IF(IF(NOT(ISBLANK(Q108)), Q108, P108) = R108, 0, 1)
            )
        )
    ),
    ""
)</f>
        <v/>
      </c>
      <c r="W108" s="259" t="str">
        <f>IFERROR(
    IF(
        OR(ISBLANK(R108), ISBLANK(S108)),
        "",
        MAX(
            1,
            IF(
                NETWORKDAYS(R108, S108, Holiday_Dates) &lt;= 0,
                1,
                NETWORKDAYS(R108, S108, Holiday_Dates) - IF(R108 = S108, 0, 1)
            )
        )
    ),
    ""
)</f>
        <v/>
      </c>
      <c r="X108" s="6"/>
      <c r="Y108" s="6"/>
      <c r="Z108" s="6"/>
      <c r="AA108" s="6"/>
      <c r="AB108" s="6"/>
      <c r="AC108" s="6"/>
      <c r="AD108" s="6"/>
      <c r="AE108" s="6"/>
      <c r="AF108" s="6"/>
      <c r="AG108" s="6"/>
    </row>
    <row r="109" spans="1:33">
      <c r="A109" s="6" t="s">
        <v>50</v>
      </c>
      <c r="B109" s="6" t="s">
        <v>410</v>
      </c>
      <c r="C109" s="6" t="s">
        <v>1075</v>
      </c>
      <c r="D109" s="6" t="s">
        <v>88</v>
      </c>
      <c r="E109" s="59" t="s">
        <v>243</v>
      </c>
      <c r="F109" s="6" t="s">
        <v>927</v>
      </c>
      <c r="G109" s="6">
        <v>15.544499999999999</v>
      </c>
      <c r="H109" s="6">
        <v>120.8091</v>
      </c>
      <c r="I109" s="6" t="str">
        <f t="shared" si="4"/>
        <v>15.5445, 120.8091</v>
      </c>
      <c r="J109" s="6"/>
      <c r="K109" s="62" t="s">
        <v>27</v>
      </c>
      <c r="M109" s="6" t="s">
        <v>130</v>
      </c>
      <c r="N109" s="6"/>
      <c r="O109" s="21"/>
      <c r="P109" s="21"/>
      <c r="Q109" s="21"/>
      <c r="R109" s="21"/>
      <c r="S109" s="21"/>
      <c r="T109" s="259" t="str">
        <f>IFERROR(
    IF(
        OR(ISBLANK(O109), ISBLANK(P109)),
        "",
        MAX(
            1,
            IF(
                NETWORKDAYS(O109, P109, Holiday_Dates) &lt;= 0,
                1,
                NETWORKDAYS(O109, P109, Holiday_Dates) - IF(O109 = P109, 0, 1)
            )
        )
    ),
    ""
)</f>
        <v/>
      </c>
      <c r="U109" s="259" t="str">
        <f>IF(
    OR(ISBLANK(P109), ISBLANK(Q109)),
    "",
    MAX(
        1,
        IF(
            NETWORKDAYS(P109, Q109, Holiday_Dates) &lt;= 0,
            1,
            NETWORKDAYS(P109, Q109, Holiday_Dates) - IF(P109 = Q109, 0, 1)
        )
    )
)</f>
        <v/>
      </c>
      <c r="V109" s="259" t="str">
        <f>IFERROR(
    IF(
        OR(ISBLANK(R109), AND(ISBLANK(P109), ISBLANK(Q109))),
        "",
        MAX(
            1,
            IF(
                NETWORKDAYS(IF(NOT(ISBLANK(Q109)), Q109, P109), R109, Holiday_Dates) &lt;= 0,
                1,
                NETWORKDAYS(IF(NOT(ISBLANK(Q109)), Q109, P109), R109, Holiday_Dates)
                - IF(IF(NOT(ISBLANK(Q109)), Q109, P109) = R109, 0, 1)
            )
        )
    ),
    ""
)</f>
        <v/>
      </c>
      <c r="W109" s="259" t="str">
        <f>IFERROR(
    IF(
        OR(ISBLANK(R109), ISBLANK(S109)),
        "",
        MAX(
            1,
            IF(
                NETWORKDAYS(R109, S109, Holiday_Dates) &lt;= 0,
                1,
                NETWORKDAYS(R109, S109, Holiday_Dates) - IF(R109 = S109, 0, 1)
            )
        )
    ),
    ""
)</f>
        <v/>
      </c>
      <c r="X109" s="6"/>
      <c r="Y109" s="6"/>
      <c r="Z109" s="6"/>
      <c r="AA109" s="6"/>
      <c r="AB109" s="6"/>
      <c r="AC109" s="6"/>
      <c r="AD109" s="6"/>
      <c r="AE109" s="252"/>
      <c r="AF109" s="6"/>
      <c r="AG109" s="6"/>
    </row>
    <row r="110" spans="1:33">
      <c r="A110" s="250" t="s">
        <v>50</v>
      </c>
      <c r="B110" s="250" t="s">
        <v>524</v>
      </c>
      <c r="C110" s="250" t="s">
        <v>1076</v>
      </c>
      <c r="D110" s="250" t="s">
        <v>88</v>
      </c>
      <c r="E110" s="295" t="s">
        <v>213</v>
      </c>
      <c r="F110" s="250" t="s">
        <v>927</v>
      </c>
      <c r="G110" s="250">
        <v>15.3954</v>
      </c>
      <c r="H110" s="250">
        <v>120.973</v>
      </c>
      <c r="I110" s="250" t="str">
        <f t="shared" si="4"/>
        <v>15.3954, 120.973</v>
      </c>
      <c r="J110" s="250"/>
      <c r="K110" s="62" t="s">
        <v>1031</v>
      </c>
      <c r="M110" s="6" t="s">
        <v>130</v>
      </c>
      <c r="N110" s="250"/>
      <c r="O110" s="296"/>
      <c r="P110" s="296"/>
      <c r="Q110" s="296"/>
      <c r="R110" s="296"/>
      <c r="S110" s="296"/>
      <c r="T110" s="259" t="str">
        <f>IFERROR(
    IF(
        OR(ISBLANK(O110), ISBLANK(P110)),
        "",
        MAX(
            1,
            IF(
                NETWORKDAYS(O110, P110, Holiday_Dates) &lt;= 0,
                1,
                NETWORKDAYS(O110, P110, Holiday_Dates) - IF(O110 = P110, 0, 1)
            )
        )
    ),
    ""
)</f>
        <v/>
      </c>
      <c r="U110" s="259" t="str">
        <f>IF(
    OR(ISBLANK(P110), ISBLANK(Q110)),
    "",
    MAX(
        1,
        IF(
            NETWORKDAYS(P110, Q110, Holiday_Dates) &lt;= 0,
            1,
            NETWORKDAYS(P110, Q110, Holiday_Dates) - IF(P110 = Q110, 0, 1)
        )
    )
)</f>
        <v/>
      </c>
      <c r="V110" s="259" t="str">
        <f>IFERROR(
    IF(
        OR(ISBLANK(R110), AND(ISBLANK(P110), ISBLANK(Q110))),
        "",
        MAX(
            1,
            IF(
                NETWORKDAYS(IF(NOT(ISBLANK(Q110)), Q110, P110), R110, Holiday_Dates) &lt;= 0,
                1,
                NETWORKDAYS(IF(NOT(ISBLANK(Q110)), Q110, P110), R110, Holiday_Dates)
                - IF(IF(NOT(ISBLANK(Q110)), Q110, P110) = R110, 0, 1)
            )
        )
    ),
    ""
)</f>
        <v/>
      </c>
      <c r="W110" s="259" t="str">
        <f>IFERROR(
    IF(
        OR(ISBLANK(R110), ISBLANK(S110)),
        "",
        MAX(
            1,
            IF(
                NETWORKDAYS(R110, S110, Holiday_Dates) &lt;= 0,
                1,
                NETWORKDAYS(R110, S110, Holiday_Dates) - IF(R110 = S110, 0, 1)
            )
        )
    ),
    ""
)</f>
        <v/>
      </c>
      <c r="X110" s="382"/>
      <c r="Y110" s="250"/>
      <c r="Z110" s="250"/>
      <c r="AA110" s="250"/>
      <c r="AB110" s="250"/>
      <c r="AC110" s="250"/>
      <c r="AD110" s="250"/>
      <c r="AE110" s="250"/>
      <c r="AF110" s="250"/>
      <c r="AG110" s="250"/>
    </row>
    <row r="111" spans="1:33">
      <c r="A111" s="6" t="s">
        <v>51</v>
      </c>
      <c r="B111" s="6" t="s">
        <v>414</v>
      </c>
      <c r="C111" s="6" t="s">
        <v>1077</v>
      </c>
      <c r="D111" s="6" t="s">
        <v>88</v>
      </c>
      <c r="E111" s="59" t="s">
        <v>213</v>
      </c>
      <c r="F111" s="6" t="s">
        <v>927</v>
      </c>
      <c r="G111" s="6">
        <v>14.993252010000001</v>
      </c>
      <c r="H111" s="6">
        <v>120.67140138000001</v>
      </c>
      <c r="I111" s="6" t="str">
        <f t="shared" si="4"/>
        <v>14.99325201, 120.67140138</v>
      </c>
      <c r="J111" s="6"/>
      <c r="K111" s="6" t="s">
        <v>145</v>
      </c>
      <c r="L111" s="6"/>
      <c r="M111" s="6" t="s">
        <v>133</v>
      </c>
      <c r="N111" s="6"/>
      <c r="O111" s="21"/>
      <c r="P111" s="21"/>
      <c r="Q111" s="21"/>
      <c r="R111" s="21"/>
      <c r="S111" s="21"/>
      <c r="T111" s="259" t="str">
        <f>IFERROR(
    IF(
        OR(ISBLANK(O111), ISBLANK(P111)),
        "",
        MAX(
            1,
            IF(
                NETWORKDAYS(O111, P111, Holiday_Dates) &lt;= 0,
                1,
                NETWORKDAYS(O111, P111, Holiday_Dates) - IF(O111 = P111, 0, 1)
            )
        )
    ),
    ""
)</f>
        <v/>
      </c>
      <c r="U111" s="259" t="str">
        <f>IF(
    OR(ISBLANK(P111), ISBLANK(Q111)),
    "",
    MAX(
        1,
        IF(
            NETWORKDAYS(P111, Q111, Holiday_Dates) &lt;= 0,
            1,
            NETWORKDAYS(P111, Q111, Holiday_Dates) - IF(P111 = Q111, 0, 1)
        )
    )
)</f>
        <v/>
      </c>
      <c r="V111" s="259" t="str">
        <f>IFERROR(
    IF(
        OR(ISBLANK(R111), AND(ISBLANK(P111), ISBLANK(Q111))),
        "",
        MAX(
            1,
            IF(
                NETWORKDAYS(IF(NOT(ISBLANK(Q111)), Q111, P111), R111, Holiday_Dates) &lt;= 0,
                1,
                NETWORKDAYS(IF(NOT(ISBLANK(Q111)), Q111, P111), R111, Holiday_Dates)
                - IF(IF(NOT(ISBLANK(Q111)), Q111, P111) = R111, 0, 1)
            )
        )
    ),
    ""
)</f>
        <v/>
      </c>
      <c r="W111" s="259" t="str">
        <f>IFERROR(
    IF(
        OR(ISBLANK(R111), ISBLANK(S111)),
        "",
        MAX(
            1,
            IF(
                NETWORKDAYS(R111, S111, Holiday_Dates) &lt;= 0,
                1,
                NETWORKDAYS(R111, S111, Holiday_Dates) - IF(R111 = S111, 0, 1)
            )
        )
    ),
    ""
)</f>
        <v/>
      </c>
      <c r="X111" s="6"/>
      <c r="Y111" s="6"/>
      <c r="Z111" s="6"/>
      <c r="AA111" s="6"/>
      <c r="AB111" s="6"/>
      <c r="AC111" s="6"/>
      <c r="AD111" s="6"/>
      <c r="AE111" s="284"/>
      <c r="AF111" s="6"/>
      <c r="AG111" s="6"/>
    </row>
    <row r="112" spans="1:33" ht="15.75">
      <c r="A112" s="6" t="s">
        <v>51</v>
      </c>
      <c r="B112" s="6" t="s">
        <v>352</v>
      </c>
      <c r="C112" s="6" t="s">
        <v>1078</v>
      </c>
      <c r="D112" s="6" t="s">
        <v>88</v>
      </c>
      <c r="E112" s="59" t="s">
        <v>224</v>
      </c>
      <c r="F112" s="6" t="s">
        <v>927</v>
      </c>
      <c r="G112" s="6">
        <v>15.09286</v>
      </c>
      <c r="H112" s="6">
        <v>120.8129</v>
      </c>
      <c r="I112" s="6" t="str">
        <f t="shared" si="4"/>
        <v>15.09286, 120.8129</v>
      </c>
      <c r="J112" s="6"/>
      <c r="K112" s="6" t="s">
        <v>32</v>
      </c>
      <c r="L112" s="6"/>
      <c r="M112" s="6" t="s">
        <v>133</v>
      </c>
      <c r="N112" s="6"/>
      <c r="O112" s="21"/>
      <c r="P112" s="21"/>
      <c r="Q112" s="21"/>
      <c r="R112" s="21"/>
      <c r="S112" s="21"/>
      <c r="T112" s="259" t="str">
        <f>IFERROR(
    IF(
        OR(ISBLANK(O112), ISBLANK(P112)),
        "",
        MAX(
            1,
            IF(
                NETWORKDAYS(O112, P112, Holiday_Dates) &lt;= 0,
                1,
                NETWORKDAYS(O112, P112, Holiday_Dates) - IF(O112 = P112, 0, 1)
            )
        )
    ),
    ""
)</f>
        <v/>
      </c>
      <c r="U112" s="259" t="str">
        <f>IF(
    OR(ISBLANK(P112), ISBLANK(Q112)),
    "",
    MAX(
        1,
        IF(
            NETWORKDAYS(P112, Q112, Holiday_Dates) &lt;= 0,
            1,
            NETWORKDAYS(P112, Q112, Holiday_Dates) - IF(P112 = Q112, 0, 1)
        )
    )
)</f>
        <v/>
      </c>
      <c r="V112" s="259" t="str">
        <f>IFERROR(
    IF(
        OR(ISBLANK(R112), AND(ISBLANK(P112), ISBLANK(Q112))),
        "",
        MAX(
            1,
            IF(
                NETWORKDAYS(IF(NOT(ISBLANK(Q112)), Q112, P112), R112, Holiday_Dates) &lt;= 0,
                1,
                NETWORKDAYS(IF(NOT(ISBLANK(Q112)), Q112, P112), R112, Holiday_Dates)
                - IF(IF(NOT(ISBLANK(Q112)), Q112, P112) = R112, 0, 1)
            )
        )
    ),
    ""
)</f>
        <v/>
      </c>
      <c r="W112" s="259" t="str">
        <f>IFERROR(
    IF(
        OR(ISBLANK(R112), ISBLANK(S112)),
        "",
        MAX(
            1,
            IF(
                NETWORKDAYS(R112, S112, Holiday_Dates) &lt;= 0,
                1,
                NETWORKDAYS(R112, S112, Holiday_Dates) - IF(R112 = S112, 0, 1)
            )
        )
    ),
    ""
)</f>
        <v/>
      </c>
      <c r="X112" s="6"/>
      <c r="Y112" s="6"/>
      <c r="Z112" s="6"/>
      <c r="AA112" s="6"/>
      <c r="AB112" s="6"/>
      <c r="AC112" s="6"/>
      <c r="AD112" s="6"/>
      <c r="AE112" s="281"/>
      <c r="AF112" s="6"/>
      <c r="AG112" s="6"/>
    </row>
    <row r="113" spans="1:33">
      <c r="A113" s="307" t="s">
        <v>51</v>
      </c>
      <c r="B113" s="307" t="s">
        <v>306</v>
      </c>
      <c r="C113" s="307" t="s">
        <v>1079</v>
      </c>
      <c r="D113" s="307" t="s">
        <v>88</v>
      </c>
      <c r="E113" s="308" t="s">
        <v>243</v>
      </c>
      <c r="F113" s="307" t="s">
        <v>927</v>
      </c>
      <c r="G113" s="307">
        <v>15.147360000000001</v>
      </c>
      <c r="H113" s="307">
        <v>120.58368</v>
      </c>
      <c r="I113" s="307" t="str">
        <f t="shared" si="4"/>
        <v>15.14736, 120.58368</v>
      </c>
      <c r="J113" s="307"/>
      <c r="K113" s="301" t="s">
        <v>33</v>
      </c>
      <c r="M113" s="6" t="s">
        <v>239</v>
      </c>
      <c r="N113" s="307"/>
      <c r="O113" s="309"/>
      <c r="P113" s="309"/>
      <c r="Q113" s="309"/>
      <c r="R113" s="309"/>
      <c r="S113" s="309"/>
      <c r="T113" s="259" t="str">
        <f>IFERROR(
    IF(
        OR(ISBLANK(O113), ISBLANK(P113)),
        "",
        MAX(
            1,
            IF(
                NETWORKDAYS(O113, P113, Holiday_Dates) &lt;= 0,
                1,
                NETWORKDAYS(O113, P113, Holiday_Dates) - IF(O113 = P113, 0, 1)
            )
        )
    ),
    ""
)</f>
        <v/>
      </c>
      <c r="U113" s="259" t="str">
        <f>IF(
    OR(ISBLANK(P113), ISBLANK(Q113)),
    "",
    MAX(
        1,
        IF(
            NETWORKDAYS(P113, Q113, Holiday_Dates) &lt;= 0,
            1,
            NETWORKDAYS(P113, Q113, Holiday_Dates) - IF(P113 = Q113, 0, 1)
        )
    )
)</f>
        <v/>
      </c>
      <c r="V113" s="259" t="str">
        <f>IFERROR(
    IF(
        OR(ISBLANK(R113), AND(ISBLANK(P113), ISBLANK(Q113))),
        "",
        MAX(
            1,
            IF(
                NETWORKDAYS(IF(NOT(ISBLANK(Q113)), Q113, P113), R113, Holiday_Dates) &lt;= 0,
                1,
                NETWORKDAYS(IF(NOT(ISBLANK(Q113)), Q113, P113), R113, Holiday_Dates)
                - IF(IF(NOT(ISBLANK(Q113)), Q113, P113) = R113, 0, 1)
            )
        )
    ),
    ""
)</f>
        <v/>
      </c>
      <c r="W113" s="259" t="str">
        <f>IFERROR(
    IF(
        OR(ISBLANK(R113), ISBLANK(S113)),
        "",
        MAX(
            1,
            IF(
                NETWORKDAYS(R113, S113, Holiday_Dates) &lt;= 0,
                1,
                NETWORKDAYS(R113, S113, Holiday_Dates) - IF(R113 = S113, 0, 1)
            )
        )
    ),
    ""
)</f>
        <v/>
      </c>
      <c r="X113" s="3"/>
      <c r="Y113" s="307"/>
      <c r="Z113" s="307"/>
      <c r="AA113" s="250"/>
      <c r="AB113" s="250"/>
      <c r="AC113" s="250"/>
      <c r="AD113" s="250"/>
      <c r="AE113" s="307"/>
      <c r="AF113" s="307"/>
      <c r="AG113" s="307"/>
    </row>
    <row r="114" spans="1:33">
      <c r="A114" s="6" t="s">
        <v>51</v>
      </c>
      <c r="B114" s="6" t="s">
        <v>354</v>
      </c>
      <c r="C114" s="6" t="s">
        <v>378</v>
      </c>
      <c r="D114" s="6" t="s">
        <v>88</v>
      </c>
      <c r="E114" s="59" t="s">
        <v>271</v>
      </c>
      <c r="F114" s="6" t="s">
        <v>927</v>
      </c>
      <c r="G114" s="6">
        <v>14.956096110000001</v>
      </c>
      <c r="H114" s="6">
        <v>120.64060747000001</v>
      </c>
      <c r="I114" s="6" t="str">
        <f t="shared" si="4"/>
        <v>14.95609611, 120.64060747</v>
      </c>
      <c r="J114" s="6"/>
      <c r="K114" s="6" t="s">
        <v>145</v>
      </c>
      <c r="L114" s="6"/>
      <c r="M114" s="6" t="s">
        <v>133</v>
      </c>
      <c r="N114" s="6"/>
      <c r="O114" s="21"/>
      <c r="P114" s="21"/>
      <c r="Q114" s="21"/>
      <c r="R114" s="21"/>
      <c r="S114" s="21"/>
      <c r="T114" s="259" t="str">
        <f>IFERROR(
    IF(
        OR(ISBLANK(O114), ISBLANK(P114)),
        "",
        MAX(
            1,
            IF(
                NETWORKDAYS(O114, P114, Holiday_Dates) &lt;= 0,
                1,
                NETWORKDAYS(O114, P114, Holiday_Dates) - IF(O114 = P114, 0, 1)
            )
        )
    ),
    ""
)</f>
        <v/>
      </c>
      <c r="U114" s="259" t="str">
        <f>IF(
    OR(ISBLANK(P114), ISBLANK(Q114)),
    "",
    MAX(
        1,
        IF(
            NETWORKDAYS(P114, Q114, Holiday_Dates) &lt;= 0,
            1,
            NETWORKDAYS(P114, Q114, Holiday_Dates) - IF(P114 = Q114, 0, 1)
        )
    )
)</f>
        <v/>
      </c>
      <c r="V114" s="259" t="str">
        <f>IFERROR(
    IF(
        OR(ISBLANK(R114), AND(ISBLANK(P114), ISBLANK(Q114))),
        "",
        MAX(
            1,
            IF(
                NETWORKDAYS(IF(NOT(ISBLANK(Q114)), Q114, P114), R114, Holiday_Dates) &lt;= 0,
                1,
                NETWORKDAYS(IF(NOT(ISBLANK(Q114)), Q114, P114), R114, Holiday_Dates)
                - IF(IF(NOT(ISBLANK(Q114)), Q114, P114) = R114, 0, 1)
            )
        )
    ),
    ""
)</f>
        <v/>
      </c>
      <c r="W114" s="259" t="str">
        <f>IFERROR(
    IF(
        OR(ISBLANK(R114), ISBLANK(S114)),
        "",
        MAX(
            1,
            IF(
                NETWORKDAYS(R114, S114, Holiday_Dates) &lt;= 0,
                1,
                NETWORKDAYS(R114, S114, Holiday_Dates) - IF(R114 = S114, 0, 1)
            )
        )
    ),
    ""
)</f>
        <v/>
      </c>
      <c r="X114" s="6"/>
      <c r="Y114" s="6"/>
      <c r="Z114" s="6"/>
      <c r="AA114" s="6"/>
      <c r="AB114" s="6"/>
      <c r="AC114" s="6"/>
      <c r="AD114" s="6"/>
      <c r="AE114" s="250"/>
      <c r="AF114" s="6"/>
      <c r="AG114" s="6"/>
    </row>
    <row r="115" spans="1:33">
      <c r="A115" s="73" t="s">
        <v>51</v>
      </c>
      <c r="B115" s="73" t="s">
        <v>534</v>
      </c>
      <c r="C115" s="73" t="s">
        <v>682</v>
      </c>
      <c r="D115" s="73" t="s">
        <v>88</v>
      </c>
      <c r="E115" s="311" t="s">
        <v>243</v>
      </c>
      <c r="F115" s="73" t="s">
        <v>927</v>
      </c>
      <c r="G115" s="73">
        <v>15.240790000000001</v>
      </c>
      <c r="H115" s="73">
        <v>120.56075</v>
      </c>
      <c r="I115" s="73" t="str">
        <f t="shared" si="4"/>
        <v>15.24079, 120.56075</v>
      </c>
      <c r="J115" s="73"/>
      <c r="K115" s="62" t="s">
        <v>32</v>
      </c>
      <c r="M115" s="6" t="s">
        <v>133</v>
      </c>
      <c r="N115" s="73"/>
      <c r="O115" s="305"/>
      <c r="P115" s="305"/>
      <c r="Q115" s="305"/>
      <c r="R115" s="305"/>
      <c r="S115" s="305"/>
      <c r="T115" s="259" t="str">
        <f>IFERROR(
    IF(
        OR(ISBLANK(O115), ISBLANK(P115)),
        "",
        MAX(
            1,
            IF(
                NETWORKDAYS(O115, P115, Holiday_Dates) &lt;= 0,
                1,
                NETWORKDAYS(O115, P115, Holiday_Dates) - IF(O115 = P115, 0, 1)
            )
        )
    ),
    ""
)</f>
        <v/>
      </c>
      <c r="U115" s="259" t="str">
        <f>IF(
    OR(ISBLANK(P115), ISBLANK(Q115)),
    "",
    MAX(
        1,
        IF(
            NETWORKDAYS(P115, Q115, Holiday_Dates) &lt;= 0,
            1,
            NETWORKDAYS(P115, Q115, Holiday_Dates) - IF(P115 = Q115, 0, 1)
        )
    )
)</f>
        <v/>
      </c>
      <c r="V115" s="259" t="str">
        <f>IFERROR(
    IF(
        OR(ISBLANK(R115), AND(ISBLANK(P115), ISBLANK(Q115))),
        "",
        MAX(
            1,
            IF(
                NETWORKDAYS(IF(NOT(ISBLANK(Q115)), Q115, P115), R115, Holiday_Dates) &lt;= 0,
                1,
                NETWORKDAYS(IF(NOT(ISBLANK(Q115)), Q115, P115), R115, Holiday_Dates)
                - IF(IF(NOT(ISBLANK(Q115)), Q115, P115) = R115, 0, 1)
            )
        )
    ),
    ""
)</f>
        <v/>
      </c>
      <c r="W115" s="259" t="str">
        <f>IFERROR(
    IF(
        OR(ISBLANK(R115), ISBLANK(S115)),
        "",
        MAX(
            1,
            IF(
                NETWORKDAYS(R115, S115, Holiday_Dates) &lt;= 0,
                1,
                NETWORKDAYS(R115, S115, Holiday_Dates) - IF(R115 = S115, 0, 1)
            )
        )
    ),
    ""
)</f>
        <v/>
      </c>
      <c r="X115" s="73"/>
      <c r="Y115" s="73"/>
      <c r="Z115" s="73"/>
      <c r="AA115" s="73"/>
      <c r="AB115" s="73"/>
      <c r="AC115" s="73"/>
      <c r="AD115" s="303"/>
      <c r="AE115" s="6"/>
      <c r="AF115" s="304"/>
      <c r="AG115" s="73"/>
    </row>
    <row r="116" spans="1:33">
      <c r="A116" s="250" t="s">
        <v>51</v>
      </c>
      <c r="B116" s="250" t="s">
        <v>1080</v>
      </c>
      <c r="C116" s="250" t="s">
        <v>653</v>
      </c>
      <c r="D116" s="250" t="s">
        <v>88</v>
      </c>
      <c r="E116" s="295" t="s">
        <v>224</v>
      </c>
      <c r="F116" s="250" t="s">
        <v>927</v>
      </c>
      <c r="G116" s="250">
        <v>14.897500000000001</v>
      </c>
      <c r="H116" s="250">
        <v>120.7183333</v>
      </c>
      <c r="I116" s="250" t="str">
        <f t="shared" si="4"/>
        <v>14.8975, 120.7183333</v>
      </c>
      <c r="J116" s="250"/>
      <c r="K116" s="301" t="s">
        <v>34</v>
      </c>
      <c r="M116" s="6" t="s">
        <v>239</v>
      </c>
      <c r="N116" s="250"/>
      <c r="O116" s="296"/>
      <c r="P116" s="296"/>
      <c r="Q116" s="296"/>
      <c r="R116" s="296"/>
      <c r="S116" s="296"/>
      <c r="T116" s="259" t="str">
        <f>IFERROR(
    IF(
        OR(ISBLANK(O116), ISBLANK(P116)),
        "",
        MAX(
            1,
            IF(
                NETWORKDAYS(O116, P116, Holiday_Dates) &lt;= 0,
                1,
                NETWORKDAYS(O116, P116, Holiday_Dates) - IF(O116 = P116, 0, 1)
            )
        )
    ),
    ""
)</f>
        <v/>
      </c>
      <c r="U116" s="259" t="str">
        <f>IF(
    OR(ISBLANK(P116), ISBLANK(Q116)),
    "",
    MAX(
        1,
        IF(
            NETWORKDAYS(P116, Q116, Holiday_Dates) &lt;= 0,
            1,
            NETWORKDAYS(P116, Q116, Holiday_Dates) - IF(P116 = Q116, 0, 1)
        )
    )
)</f>
        <v/>
      </c>
      <c r="V116" s="259" t="str">
        <f>IFERROR(
    IF(
        OR(ISBLANK(R116), AND(ISBLANK(P116), ISBLANK(Q116))),
        "",
        MAX(
            1,
            IF(
                NETWORKDAYS(IF(NOT(ISBLANK(Q116)), Q116, P116), R116, Holiday_Dates) &lt;= 0,
                1,
                NETWORKDAYS(IF(NOT(ISBLANK(Q116)), Q116, P116), R116, Holiday_Dates)
                - IF(IF(NOT(ISBLANK(Q116)), Q116, P116) = R116, 0, 1)
            )
        )
    ),
    ""
)</f>
        <v/>
      </c>
      <c r="W116" s="259" t="str">
        <f>IFERROR(
    IF(
        OR(ISBLANK(R116), ISBLANK(S116)),
        "",
        MAX(
            1,
            IF(
                NETWORKDAYS(R116, S116, Holiday_Dates) &lt;= 0,
                1,
                NETWORKDAYS(R116, S116, Holiday_Dates) - IF(R116 = S116, 0, 1)
            )
        )
    ),
    ""
)</f>
        <v/>
      </c>
      <c r="X116" s="250"/>
      <c r="Y116" s="250"/>
      <c r="Z116" s="250"/>
      <c r="AA116" s="250"/>
      <c r="AB116" s="250"/>
      <c r="AC116" s="250"/>
      <c r="AD116" s="250"/>
      <c r="AE116" s="307"/>
      <c r="AF116" s="250"/>
      <c r="AG116" s="250"/>
    </row>
    <row r="117" spans="1:33">
      <c r="A117" s="6" t="s">
        <v>51</v>
      </c>
      <c r="B117" s="6" t="s">
        <v>535</v>
      </c>
      <c r="C117" s="6" t="s">
        <v>1081</v>
      </c>
      <c r="D117" s="6" t="s">
        <v>88</v>
      </c>
      <c r="E117" s="61" t="s">
        <v>243</v>
      </c>
      <c r="F117" s="6" t="s">
        <v>927</v>
      </c>
      <c r="G117" s="6">
        <v>15.256629999999999</v>
      </c>
      <c r="H117" s="6">
        <v>120.63491999999999</v>
      </c>
      <c r="I117" s="6" t="str">
        <f t="shared" si="4"/>
        <v>15.25663, 120.63492</v>
      </c>
      <c r="J117" s="250"/>
      <c r="K117" s="6" t="s">
        <v>32</v>
      </c>
      <c r="L117" s="6"/>
      <c r="M117" s="6" t="s">
        <v>133</v>
      </c>
      <c r="N117" s="6"/>
      <c r="O117" s="21"/>
      <c r="P117" s="21"/>
      <c r="Q117" s="21"/>
      <c r="R117" s="21"/>
      <c r="S117" s="21"/>
      <c r="T117" s="259" t="str">
        <f>IFERROR(
    IF(
        OR(ISBLANK(O117), ISBLANK(P117)),
        "",
        MAX(
            1,
            IF(
                NETWORKDAYS(O117, P117, Holiday_Dates) &lt;= 0,
                1,
                NETWORKDAYS(O117, P117, Holiday_Dates) - IF(O117 = P117, 0, 1)
            )
        )
    ),
    ""
)</f>
        <v/>
      </c>
      <c r="U117" s="259" t="str">
        <f>IF(
    OR(ISBLANK(P117), ISBLANK(Q117)),
    "",
    MAX(
        1,
        IF(
            NETWORKDAYS(P117, Q117, Holiday_Dates) &lt;= 0,
            1,
            NETWORKDAYS(P117, Q117, Holiday_Dates) - IF(P117 = Q117, 0, 1)
        )
    )
)</f>
        <v/>
      </c>
      <c r="V117" s="259" t="str">
        <f>IFERROR(
    IF(
        OR(ISBLANK(R117), AND(ISBLANK(P117), ISBLANK(Q117))),
        "",
        MAX(
            1,
            IF(
                NETWORKDAYS(IF(NOT(ISBLANK(Q117)), Q117, P117), R117, Holiday_Dates) &lt;= 0,
                1,
                NETWORKDAYS(IF(NOT(ISBLANK(Q117)), Q117, P117), R117, Holiday_Dates)
                - IF(IF(NOT(ISBLANK(Q117)), Q117, P117) = R117, 0, 1)
            )
        )
    ),
    ""
)</f>
        <v/>
      </c>
      <c r="W117" s="259" t="str">
        <f>IFERROR(
    IF(
        OR(ISBLANK(R117), ISBLANK(S117)),
        "",
        MAX(
            1,
            IF(
                NETWORKDAYS(R117, S117, Holiday_Dates) &lt;= 0,
                1,
                NETWORKDAYS(R117, S117, Holiday_Dates) - IF(R117 = S117, 0, 1)
            )
        )
    ),
    ""
)</f>
        <v/>
      </c>
      <c r="X117" s="6"/>
      <c r="Y117" s="6"/>
      <c r="Z117" s="6"/>
      <c r="AA117" s="6"/>
      <c r="AB117" s="6"/>
      <c r="AC117" s="6"/>
      <c r="AD117" s="6"/>
      <c r="AE117" s="250"/>
      <c r="AF117" s="6"/>
      <c r="AG117" s="6"/>
    </row>
    <row r="118" spans="1:33">
      <c r="A118" s="73" t="s">
        <v>51</v>
      </c>
      <c r="B118" s="73" t="s">
        <v>392</v>
      </c>
      <c r="C118" s="73" t="s">
        <v>1043</v>
      </c>
      <c r="D118" s="73" t="s">
        <v>88</v>
      </c>
      <c r="E118" s="311" t="s">
        <v>224</v>
      </c>
      <c r="F118" s="73" t="s">
        <v>927</v>
      </c>
      <c r="G118" s="73">
        <v>14.963290000000001</v>
      </c>
      <c r="H118" s="73">
        <v>120.66292</v>
      </c>
      <c r="I118" s="73" t="str">
        <f t="shared" si="4"/>
        <v>14.96329, 120.66292</v>
      </c>
      <c r="J118" s="6"/>
      <c r="K118" s="62" t="s">
        <v>34</v>
      </c>
      <c r="M118" s="6" t="s">
        <v>239</v>
      </c>
      <c r="N118" s="73"/>
      <c r="O118" s="305"/>
      <c r="P118" s="305"/>
      <c r="Q118" s="305"/>
      <c r="R118" s="305"/>
      <c r="S118" s="21"/>
      <c r="T118" s="259" t="str">
        <f>IFERROR(
    IF(
        OR(ISBLANK(O118), ISBLANK(P118)),
        "",
        MAX(
            1,
            IF(
                NETWORKDAYS(O118, P118, Holiday_Dates) &lt;= 0,
                1,
                NETWORKDAYS(O118, P118, Holiday_Dates) - IF(O118 = P118, 0, 1)
            )
        )
    ),
    ""
)</f>
        <v/>
      </c>
      <c r="U118" s="259" t="str">
        <f>IF(
    OR(ISBLANK(P118), ISBLANK(Q118)),
    "",
    MAX(
        1,
        IF(
            NETWORKDAYS(P118, Q118, Holiday_Dates) &lt;= 0,
            1,
            NETWORKDAYS(P118, Q118, Holiday_Dates) - IF(P118 = Q118, 0, 1)
        )
    )
)</f>
        <v/>
      </c>
      <c r="V118" s="259" t="str">
        <f>IFERROR(
    IF(
        OR(ISBLANK(R118), AND(ISBLANK(P118), ISBLANK(Q118))),
        "",
        MAX(
            1,
            IF(
                NETWORKDAYS(IF(NOT(ISBLANK(Q118)), Q118, P118), R118, Holiday_Dates) &lt;= 0,
                1,
                NETWORKDAYS(IF(NOT(ISBLANK(Q118)), Q118, P118), R118, Holiday_Dates)
                - IF(IF(NOT(ISBLANK(Q118)), Q118, P118) = R118, 0, 1)
            )
        )
    ),
    ""
)</f>
        <v/>
      </c>
      <c r="W118" s="259" t="str">
        <f>IFERROR(
    IF(
        OR(ISBLANK(R118), ISBLANK(S118)),
        "",
        MAX(
            1,
            IF(
                NETWORKDAYS(R118, S118, Holiday_Dates) &lt;= 0,
                1,
                NETWORKDAYS(R118, S118, Holiday_Dates) - IF(R118 = S118, 0, 1)
            )
        )
    ),
    ""
)</f>
        <v/>
      </c>
      <c r="X118" s="73"/>
      <c r="Z118" s="73"/>
      <c r="AA118" s="73"/>
      <c r="AB118" s="73"/>
      <c r="AC118" s="73"/>
      <c r="AD118" s="303"/>
      <c r="AE118" s="6"/>
      <c r="AF118" s="304"/>
      <c r="AG118" s="73"/>
    </row>
    <row r="119" spans="1:33">
      <c r="A119" s="6" t="s">
        <v>1082</v>
      </c>
      <c r="B119" s="6" t="s">
        <v>370</v>
      </c>
      <c r="C119" s="6" t="s">
        <v>1083</v>
      </c>
      <c r="D119" s="6" t="s">
        <v>89</v>
      </c>
      <c r="E119" s="6"/>
      <c r="F119" s="6" t="s">
        <v>993</v>
      </c>
      <c r="G119" s="42">
        <v>15.75</v>
      </c>
      <c r="H119" s="42">
        <v>121.53</v>
      </c>
      <c r="I119" s="6" t="str">
        <f t="shared" si="4"/>
        <v>15.75, 121.53</v>
      </c>
      <c r="J119" s="6"/>
      <c r="K119" s="62" t="s">
        <v>13</v>
      </c>
      <c r="M119" s="6" t="s">
        <v>128</v>
      </c>
      <c r="N119" s="6"/>
      <c r="O119" s="21"/>
      <c r="P119" s="21"/>
      <c r="Q119" s="21"/>
      <c r="R119" s="21"/>
      <c r="S119" s="21"/>
      <c r="T119" s="259" t="str">
        <f>IFERROR(
    IF(
        OR(ISBLANK(O119), ISBLANK(P119)),
        "",
        MAX(
            1,
            IF(
                NETWORKDAYS(O119, P119, Holiday_Dates) &lt;= 0,
                1,
                NETWORKDAYS(O119, P119, Holiday_Dates) - IF(O119 = P119, 0, 1)
            )
        )
    ),
    ""
)</f>
        <v/>
      </c>
      <c r="U119" s="259" t="str">
        <f>IF(
    OR(ISBLANK(P119), ISBLANK(Q119)),
    "",
    MAX(
        1,
        IF(
            NETWORKDAYS(P119, Q119, Holiday_Dates) &lt;= 0,
            1,
            NETWORKDAYS(P119, Q119, Holiday_Dates) - IF(P119 = Q119, 0, 1)
        )
    )
)</f>
        <v/>
      </c>
      <c r="V119" s="259" t="str">
        <f>IFERROR(
    IF(
        OR(ISBLANK(R119), AND(ISBLANK(P119), ISBLANK(Q119))),
        "",
        MAX(
            1,
            IF(
                NETWORKDAYS(IF(NOT(ISBLANK(Q119)), Q119, P119), R119, Holiday_Dates) &lt;= 0,
                1,
                NETWORKDAYS(IF(NOT(ISBLANK(Q119)), Q119, P119), R119, Holiday_Dates)
                - IF(IF(NOT(ISBLANK(Q119)), Q119, P119) = R119, 0, 1)
            )
        )
    ),
    ""
)</f>
        <v/>
      </c>
      <c r="W119" s="259" t="str">
        <f>IFERROR(
    IF(
        OR(ISBLANK(R119), ISBLANK(S119)),
        "",
        MAX(
            1,
            IF(
                NETWORKDAYS(R119, S119, Holiday_Dates) &lt;= 0,
                1,
                NETWORKDAYS(R119, S119, Holiday_Dates) - IF(R119 = S119, 0, 1)
            )
        )
    ),
    ""
)</f>
        <v/>
      </c>
      <c r="X119" s="6"/>
      <c r="Y119" s="6"/>
      <c r="Z119" s="6"/>
      <c r="AA119" s="6"/>
      <c r="AB119" s="6"/>
      <c r="AC119" s="6"/>
      <c r="AD119" s="6"/>
      <c r="AE119" s="73"/>
      <c r="AF119" s="6"/>
      <c r="AG119" s="6"/>
    </row>
    <row r="120" spans="1:33">
      <c r="A120" s="6" t="s">
        <v>1084</v>
      </c>
      <c r="B120" s="6" t="s">
        <v>477</v>
      </c>
      <c r="C120" s="6" t="s">
        <v>817</v>
      </c>
      <c r="D120" s="6" t="s">
        <v>88</v>
      </c>
      <c r="E120" s="6"/>
      <c r="F120" s="6" t="s">
        <v>993</v>
      </c>
      <c r="G120" s="42">
        <v>14.7034</v>
      </c>
      <c r="H120" s="42">
        <v>120.488</v>
      </c>
      <c r="I120" s="6" t="str">
        <f t="shared" si="4"/>
        <v>14.7034, 120.488</v>
      </c>
      <c r="J120" s="6"/>
      <c r="K120" s="62" t="s">
        <v>17</v>
      </c>
      <c r="M120" s="6" t="s">
        <v>129</v>
      </c>
      <c r="N120" s="6"/>
      <c r="O120" s="21"/>
      <c r="P120" s="21"/>
      <c r="Q120" s="21"/>
      <c r="R120" s="21"/>
      <c r="S120" s="21"/>
      <c r="T120" s="259" t="str">
        <f>IFERROR(
    IF(
        OR(ISBLANK(O120), ISBLANK(P120)),
        "",
        MAX(
            1,
            IF(
                NETWORKDAYS(O120, P120, Holiday_Dates) &lt;= 0,
                1,
                NETWORKDAYS(O120, P120, Holiday_Dates) - IF(O120 = P120, 0, 1)
            )
        )
    ),
    ""
)</f>
        <v/>
      </c>
      <c r="U120" s="259" t="str">
        <f>IF(
    OR(ISBLANK(P120), ISBLANK(Q120)),
    "",
    MAX(
        1,
        IF(
            NETWORKDAYS(P120, Q120, Holiday_Dates) &lt;= 0,
            1,
            NETWORKDAYS(P120, Q120, Holiday_Dates) - IF(P120 = Q120, 0, 1)
        )
    )
)</f>
        <v/>
      </c>
      <c r="V120" s="259" t="str">
        <f>IFERROR(
    IF(
        OR(ISBLANK(R120), AND(ISBLANK(P120), ISBLANK(Q120))),
        "",
        MAX(
            1,
            IF(
                NETWORKDAYS(IF(NOT(ISBLANK(Q120)), Q120, P120), R120, Holiday_Dates) &lt;= 0,
                1,
                NETWORKDAYS(IF(NOT(ISBLANK(Q120)), Q120, P120), R120, Holiday_Dates)
                - IF(IF(NOT(ISBLANK(Q120)), Q120, P120) = R120, 0, 1)
            )
        )
    ),
    ""
)</f>
        <v/>
      </c>
      <c r="W120" s="259" t="str">
        <f>IFERROR(
    IF(
        OR(ISBLANK(R120), ISBLANK(S120)),
        "",
        MAX(
            1,
            IF(
                NETWORKDAYS(R120, S120, Holiday_Dates) &lt;= 0,
                1,
                NETWORKDAYS(R120, S120, Holiday_Dates) - IF(R120 = S120, 0, 1)
            )
        )
    ),
    ""
)</f>
        <v/>
      </c>
      <c r="X120" s="6"/>
      <c r="Y120" s="6"/>
      <c r="Z120" s="6"/>
      <c r="AA120" s="6"/>
      <c r="AB120" s="6"/>
      <c r="AC120" s="6"/>
      <c r="AD120" s="6"/>
      <c r="AE120" s="6"/>
      <c r="AF120" s="6"/>
      <c r="AG120" s="6"/>
    </row>
    <row r="121" spans="1:33">
      <c r="A121" s="6" t="s">
        <v>1085</v>
      </c>
      <c r="B121" s="6" t="s">
        <v>494</v>
      </c>
      <c r="C121" s="6" t="s">
        <v>1029</v>
      </c>
      <c r="D121" s="6" t="s">
        <v>88</v>
      </c>
      <c r="E121" s="6"/>
      <c r="F121" s="6" t="s">
        <v>993</v>
      </c>
      <c r="G121" s="42">
        <v>14.808299999999999</v>
      </c>
      <c r="H121" s="42">
        <v>120.84439999999999</v>
      </c>
      <c r="I121" s="6" t="str">
        <f t="shared" si="4"/>
        <v>14.8083, 120.8444</v>
      </c>
      <c r="J121" s="6"/>
      <c r="K121" s="62" t="s">
        <v>22</v>
      </c>
      <c r="M121" s="6" t="s">
        <v>128</v>
      </c>
      <c r="N121" s="6"/>
      <c r="O121" s="21"/>
      <c r="P121" s="21"/>
      <c r="Q121" s="21"/>
      <c r="R121" s="21"/>
      <c r="S121" s="21"/>
      <c r="T121" s="259" t="str">
        <f>IFERROR(
    IF(
        OR(ISBLANK(O121), ISBLANK(P121)),
        "",
        MAX(
            1,
            IF(
                NETWORKDAYS(O121, P121, Holiday_Dates) &lt;= 0,
                1,
                NETWORKDAYS(O121, P121, Holiday_Dates) - IF(O121 = P121, 0, 1)
            )
        )
    ),
    ""
)</f>
        <v/>
      </c>
      <c r="U121" s="259" t="str">
        <f>IF(
    OR(ISBLANK(P121), ISBLANK(Q121)),
    "",
    MAX(
        1,
        IF(
            NETWORKDAYS(P121, Q121, Holiday_Dates) &lt;= 0,
            1,
            NETWORKDAYS(P121, Q121, Holiday_Dates) - IF(P121 = Q121, 0, 1)
        )
    )
)</f>
        <v/>
      </c>
      <c r="V121" s="259" t="str">
        <f>IFERROR(
    IF(
        OR(ISBLANK(R121), AND(ISBLANK(P121), ISBLANK(Q121))),
        "",
        MAX(
            1,
            IF(
                NETWORKDAYS(IF(NOT(ISBLANK(Q121)), Q121, P121), R121, Holiday_Dates) &lt;= 0,
                1,
                NETWORKDAYS(IF(NOT(ISBLANK(Q121)), Q121, P121), R121, Holiday_Dates)
                - IF(IF(NOT(ISBLANK(Q121)), Q121, P121) = R121, 0, 1)
            )
        )
    ),
    ""
)</f>
        <v/>
      </c>
      <c r="W121" s="259" t="str">
        <f>IFERROR(
    IF(
        OR(ISBLANK(R121), ISBLANK(S121)),
        "",
        MAX(
            1,
            IF(
                NETWORKDAYS(R121, S121, Holiday_Dates) &lt;= 0,
                1,
                NETWORKDAYS(R121, S121, Holiday_Dates) - IF(R121 = S121, 0, 1)
            )
        )
    ),
    ""
)</f>
        <v/>
      </c>
      <c r="X121" s="6"/>
      <c r="Y121" s="6"/>
      <c r="Z121" s="6"/>
      <c r="AA121" s="6"/>
      <c r="AB121" s="6"/>
      <c r="AC121" s="6"/>
      <c r="AD121" s="6"/>
      <c r="AE121" s="6"/>
      <c r="AF121" s="6"/>
      <c r="AG121" s="6"/>
    </row>
    <row r="122" spans="1:33" ht="30">
      <c r="A122" s="250" t="s">
        <v>1086</v>
      </c>
      <c r="B122" s="250" t="s">
        <v>505</v>
      </c>
      <c r="C122" s="250" t="s">
        <v>1052</v>
      </c>
      <c r="D122" s="250" t="s">
        <v>88</v>
      </c>
      <c r="E122" s="250" t="s">
        <v>213</v>
      </c>
      <c r="F122" s="250" t="s">
        <v>993</v>
      </c>
      <c r="G122" s="381">
        <v>15.556570000000001</v>
      </c>
      <c r="H122" s="381">
        <v>121.0951</v>
      </c>
      <c r="I122" s="250" t="str">
        <f t="shared" si="4"/>
        <v>15.55657, 121.0951</v>
      </c>
      <c r="J122" s="250"/>
      <c r="K122" s="301" t="s">
        <v>26</v>
      </c>
      <c r="M122" s="250" t="s">
        <v>130</v>
      </c>
      <c r="N122" s="250"/>
      <c r="O122" s="296"/>
      <c r="P122" s="296"/>
      <c r="Q122" s="296"/>
      <c r="R122" s="296"/>
      <c r="S122" s="296"/>
      <c r="T122" s="259" t="str">
        <f>IFERROR(
    IF(
        OR(ISBLANK(O122), ISBLANK(P122)),
        "",
        MAX(
            1,
            IF(
                NETWORKDAYS(O122, P122, Holiday_Dates) &lt;= 0,
                1,
                NETWORKDAYS(O122, P122, Holiday_Dates) - IF(O122 = P122, 0, 1)
            )
        )
    ),
    ""
)</f>
        <v/>
      </c>
      <c r="U122" s="259" t="str">
        <f>IF(
    OR(ISBLANK(P122), ISBLANK(Q122)),
    "",
    MAX(
        1,
        IF(
            NETWORKDAYS(P122, Q122, Holiday_Dates) &lt;= 0,
            1,
            NETWORKDAYS(P122, Q122, Holiday_Dates) - IF(P122 = Q122, 0, 1)
        )
    )
)</f>
        <v/>
      </c>
      <c r="V122" s="259" t="str">
        <f>IFERROR(
    IF(
        OR(ISBLANK(R122), AND(ISBLANK(P122), ISBLANK(Q122))),
        "",
        MAX(
            1,
            IF(
                NETWORKDAYS(IF(NOT(ISBLANK(Q122)), Q122, P122), R122, Holiday_Dates) &lt;= 0,
                1,
                NETWORKDAYS(IF(NOT(ISBLANK(Q122)), Q122, P122), R122, Holiday_Dates)
                - IF(IF(NOT(ISBLANK(Q122)), Q122, P122) = R122, 0, 1)
            )
        )
    ),
    ""
)</f>
        <v/>
      </c>
      <c r="W122" s="259" t="str">
        <f>IFERROR(
    IF(
        OR(ISBLANK(R122), ISBLANK(S122)),
        "",
        MAX(
            1,
            IF(
                NETWORKDAYS(R122, S122, Holiday_Dates) &lt;= 0,
                1,
                NETWORKDAYS(R122, S122, Holiday_Dates) - IF(R122 = S122, 0, 1)
            )
        )
    ),
    ""
)</f>
        <v/>
      </c>
      <c r="X122" s="250"/>
      <c r="Y122" s="250"/>
      <c r="Z122" s="250"/>
      <c r="AA122" s="250"/>
      <c r="AB122" s="250"/>
      <c r="AC122" s="250"/>
      <c r="AD122" s="250"/>
      <c r="AE122" s="250"/>
      <c r="AF122" s="250"/>
      <c r="AG122" s="250"/>
    </row>
    <row r="123" spans="1:33" ht="30">
      <c r="A123" s="6" t="s">
        <v>1086</v>
      </c>
      <c r="B123" s="6" t="s">
        <v>412</v>
      </c>
      <c r="C123" s="37" t="s">
        <v>1053</v>
      </c>
      <c r="D123" s="6" t="s">
        <v>88</v>
      </c>
      <c r="E123" s="6" t="s">
        <v>271</v>
      </c>
      <c r="F123" s="6" t="s">
        <v>993</v>
      </c>
      <c r="G123" s="42">
        <v>15.74173</v>
      </c>
      <c r="H123" s="42">
        <v>120.94629999999999</v>
      </c>
      <c r="I123" s="6" t="str">
        <f t="shared" si="4"/>
        <v>15.74173, 120.9463</v>
      </c>
      <c r="J123" s="6"/>
      <c r="K123" s="6" t="s">
        <v>29</v>
      </c>
      <c r="L123" s="6"/>
      <c r="M123" s="6" t="s">
        <v>130</v>
      </c>
      <c r="N123" s="6"/>
      <c r="O123" s="21"/>
      <c r="P123" s="21"/>
      <c r="Q123" s="21"/>
      <c r="R123" s="21"/>
      <c r="S123" s="21"/>
      <c r="T123" s="259" t="str">
        <f>IFERROR(
    IF(
        OR(ISBLANK(O123), ISBLANK(P123)),
        "",
        MAX(
            1,
            IF(
                NETWORKDAYS(O123, P123, Holiday_Dates) &lt;= 0,
                1,
                NETWORKDAYS(O123, P123, Holiday_Dates) - IF(O123 = P123, 0, 1)
            )
        )
    ),
    ""
)</f>
        <v/>
      </c>
      <c r="U123" s="259" t="str">
        <f>IF(
    OR(ISBLANK(P123), ISBLANK(Q123)),
    "",
    MAX(
        1,
        IF(
            NETWORKDAYS(P123, Q123, Holiday_Dates) &lt;= 0,
            1,
            NETWORKDAYS(P123, Q123, Holiday_Dates) - IF(P123 = Q123, 0, 1)
        )
    )
)</f>
        <v/>
      </c>
      <c r="V123" s="259" t="str">
        <f>IFERROR(
    IF(
        OR(ISBLANK(R123), AND(ISBLANK(P123), ISBLANK(Q123))),
        "",
        MAX(
            1,
            IF(
                NETWORKDAYS(IF(NOT(ISBLANK(Q123)), Q123, P123), R123, Holiday_Dates) &lt;= 0,
                1,
                NETWORKDAYS(IF(NOT(ISBLANK(Q123)), Q123, P123), R123, Holiday_Dates)
                - IF(IF(NOT(ISBLANK(Q123)), Q123, P123) = R123, 0, 1)
            )
        )
    ),
    ""
)</f>
        <v/>
      </c>
      <c r="W123" s="259" t="str">
        <f>IFERROR(
    IF(
        OR(ISBLANK(R123), ISBLANK(S123)),
        "",
        MAX(
            1,
            IF(
                NETWORKDAYS(R123, S123, Holiday_Dates) &lt;= 0,
                1,
                NETWORKDAYS(R123, S123, Holiday_Dates) - IF(R123 = S123, 0, 1)
            )
        )
    ),
    ""
)</f>
        <v/>
      </c>
      <c r="X123" s="6"/>
      <c r="Y123" s="6"/>
      <c r="Z123" s="6"/>
      <c r="AA123" s="6"/>
      <c r="AB123" s="6"/>
      <c r="AC123" s="6"/>
      <c r="AD123" s="6"/>
      <c r="AE123" s="6"/>
      <c r="AF123" s="6"/>
      <c r="AG123" s="6"/>
    </row>
    <row r="124" spans="1:33">
      <c r="A124" s="307" t="s">
        <v>52</v>
      </c>
      <c r="B124" s="307" t="s">
        <v>460</v>
      </c>
      <c r="C124" s="307" t="s">
        <v>660</v>
      </c>
      <c r="D124" s="307" t="s">
        <v>88</v>
      </c>
      <c r="E124" s="320" t="s">
        <v>213</v>
      </c>
      <c r="F124" s="307" t="s">
        <v>927</v>
      </c>
      <c r="G124" s="307">
        <v>15.320499999999999</v>
      </c>
      <c r="H124" s="307">
        <v>120.58929999999999</v>
      </c>
      <c r="I124" s="307" t="str">
        <f t="shared" si="4"/>
        <v>15.3205, 120.5893</v>
      </c>
      <c r="J124" s="307"/>
      <c r="K124" s="301" t="s">
        <v>39</v>
      </c>
      <c r="M124" s="307" t="s">
        <v>28</v>
      </c>
      <c r="N124" s="307"/>
      <c r="O124" s="309"/>
      <c r="P124" s="309"/>
      <c r="Q124" s="309"/>
      <c r="R124" s="309"/>
      <c r="S124" s="309"/>
      <c r="T124" s="259" t="str">
        <f>IFERROR(
    IF(
        OR(ISBLANK(O124), ISBLANK(P124)),
        "",
        MAX(
            1,
            IF(
                NETWORKDAYS(O124, P124, Holiday_Dates) &lt;= 0,
                1,
                NETWORKDAYS(O124, P124, Holiday_Dates) - IF(O124 = P124, 0, 1)
            )
        )
    ),
    ""
)</f>
        <v/>
      </c>
      <c r="U124" s="259" t="str">
        <f>IF(
    OR(ISBLANK(P124), ISBLANK(Q124)),
    "",
    MAX(
        1,
        IF(
            NETWORKDAYS(P124, Q124, Holiday_Dates) &lt;= 0,
            1,
            NETWORKDAYS(P124, Q124, Holiday_Dates) - IF(P124 = Q124, 0, 1)
        )
    )
)</f>
        <v/>
      </c>
      <c r="V124" s="259" t="str">
        <f>IFERROR(
    IF(
        OR(ISBLANK(R124), AND(ISBLANK(P124), ISBLANK(Q124))),
        "",
        MAX(
            1,
            IF(
                NETWORKDAYS(IF(NOT(ISBLANK(Q124)), Q124, P124), R124, Holiday_Dates) &lt;= 0,
                1,
                NETWORKDAYS(IF(NOT(ISBLANK(Q124)), Q124, P124), R124, Holiday_Dates)
                - IF(IF(NOT(ISBLANK(Q124)), Q124, P124) = R124, 0, 1)
            )
        )
    ),
    ""
)</f>
        <v/>
      </c>
      <c r="W124" s="259" t="str">
        <f>IFERROR(
    IF(
        OR(ISBLANK(R124), ISBLANK(S124)),
        "",
        MAX(
            1,
            IF(
                NETWORKDAYS(R124, S124, Holiday_Dates) &lt;= 0,
                1,
                NETWORKDAYS(R124, S124, Holiday_Dates) - IF(R124 = S124, 0, 1)
            )
        )
    ),
    ""
)</f>
        <v/>
      </c>
      <c r="X124" s="6"/>
      <c r="Y124" s="307"/>
      <c r="Z124" s="307"/>
      <c r="AA124" s="307"/>
      <c r="AB124" s="307"/>
      <c r="AC124" s="307"/>
      <c r="AD124" s="307"/>
      <c r="AE124" s="307"/>
      <c r="AF124" s="307"/>
      <c r="AG124" s="307"/>
    </row>
    <row r="125" spans="1:33">
      <c r="A125" s="6" t="s">
        <v>52</v>
      </c>
      <c r="B125" s="6" t="s">
        <v>462</v>
      </c>
      <c r="C125" s="6" t="s">
        <v>664</v>
      </c>
      <c r="D125" s="6" t="s">
        <v>88</v>
      </c>
      <c r="E125" s="61" t="s">
        <v>271</v>
      </c>
      <c r="F125" s="6" t="s">
        <v>927</v>
      </c>
      <c r="G125" s="6">
        <v>15.48678</v>
      </c>
      <c r="H125" s="6">
        <v>120.57129</v>
      </c>
      <c r="I125" s="6" t="str">
        <f t="shared" si="4"/>
        <v>15.48678, 120.57129</v>
      </c>
      <c r="J125" s="6"/>
      <c r="K125" s="6" t="s">
        <v>37</v>
      </c>
      <c r="L125" s="6"/>
      <c r="M125" s="6" t="s">
        <v>28</v>
      </c>
      <c r="N125" s="6"/>
      <c r="O125" s="21"/>
      <c r="P125" s="21"/>
      <c r="Q125" s="21"/>
      <c r="R125" s="21"/>
      <c r="S125" s="21"/>
      <c r="T125" s="259" t="str">
        <f>IFERROR(
    IF(
        OR(ISBLANK(O125), ISBLANK(P125)),
        "",
        MAX(
            1,
            IF(
                NETWORKDAYS(O125, P125, Holiday_Dates) &lt;= 0,
                1,
                NETWORKDAYS(O125, P125, Holiday_Dates) - IF(O125 = P125, 0, 1)
            )
        )
    ),
    ""
)</f>
        <v/>
      </c>
      <c r="U125" s="259" t="str">
        <f>IF(
    OR(ISBLANK(P125), ISBLANK(Q125)),
    "",
    MAX(
        1,
        IF(
            NETWORKDAYS(P125, Q125, Holiday_Dates) &lt;= 0,
            1,
            NETWORKDAYS(P125, Q125, Holiday_Dates) - IF(P125 = Q125, 0, 1)
        )
    )
)</f>
        <v/>
      </c>
      <c r="V125" s="259" t="str">
        <f>IFERROR(
    IF(
        OR(ISBLANK(R125), AND(ISBLANK(P125), ISBLANK(Q125))),
        "",
        MAX(
            1,
            IF(
                NETWORKDAYS(IF(NOT(ISBLANK(Q125)), Q125, P125), R125, Holiday_Dates) &lt;= 0,
                1,
                NETWORKDAYS(IF(NOT(ISBLANK(Q125)), Q125, P125), R125, Holiday_Dates)
                - IF(IF(NOT(ISBLANK(Q125)), Q125, P125) = R125, 0, 1)
            )
        )
    ),
    ""
)</f>
        <v/>
      </c>
      <c r="W125" s="259" t="str">
        <f>IFERROR(
    IF(
        OR(ISBLANK(R125), ISBLANK(S125)),
        "",
        MAX(
            1,
            IF(
                NETWORKDAYS(R125, S125, Holiday_Dates) &lt;= 0,
                1,
                NETWORKDAYS(R125, S125, Holiday_Dates) - IF(R125 = S125, 0, 1)
            )
        )
    ),
    ""
)</f>
        <v/>
      </c>
      <c r="X125" s="6"/>
      <c r="Y125" s="6"/>
      <c r="Z125" s="6"/>
      <c r="AA125" s="6"/>
      <c r="AB125" s="6"/>
      <c r="AC125" s="6"/>
      <c r="AD125" s="6"/>
      <c r="AE125" s="6"/>
      <c r="AF125" s="6"/>
      <c r="AG125" s="6"/>
    </row>
    <row r="126" spans="1:33">
      <c r="A126" s="73" t="s">
        <v>52</v>
      </c>
      <c r="B126" s="73" t="s">
        <v>250</v>
      </c>
      <c r="C126" s="73" t="s">
        <v>791</v>
      </c>
      <c r="D126" s="73" t="s">
        <v>88</v>
      </c>
      <c r="E126" s="311" t="s">
        <v>213</v>
      </c>
      <c r="F126" s="73" t="s">
        <v>927</v>
      </c>
      <c r="G126" s="73">
        <v>15.3027</v>
      </c>
      <c r="H126" s="73">
        <v>120.652</v>
      </c>
      <c r="I126" s="73" t="str">
        <f t="shared" si="4"/>
        <v>15.3027, 120.652</v>
      </c>
      <c r="J126" s="73"/>
      <c r="K126" s="62" t="s">
        <v>39</v>
      </c>
      <c r="M126" s="73" t="s">
        <v>28</v>
      </c>
      <c r="N126" s="73"/>
      <c r="O126" s="305"/>
      <c r="P126" s="305"/>
      <c r="Q126" s="305"/>
      <c r="R126" s="305"/>
      <c r="S126" s="305"/>
      <c r="T126" s="259" t="str">
        <f>IFERROR(
    IF(
        OR(ISBLANK(O126), ISBLANK(P126)),
        "",
        MAX(
            1,
            IF(
                NETWORKDAYS(O126, P126, Holiday_Dates) &lt;= 0,
                1,
                NETWORKDAYS(O126, P126, Holiday_Dates) - IF(O126 = P126, 0, 1)
            )
        )
    ),
    ""
)</f>
        <v/>
      </c>
      <c r="U126" s="259" t="str">
        <f>IF(
    OR(ISBLANK(P126), ISBLANK(Q126)),
    "",
    MAX(
        1,
        IF(
            NETWORKDAYS(P126, Q126, Holiday_Dates) &lt;= 0,
            1,
            NETWORKDAYS(P126, Q126, Holiday_Dates) - IF(P126 = Q126, 0, 1)
        )
    )
)</f>
        <v/>
      </c>
      <c r="V126" s="259" t="str">
        <f>IFERROR(
    IF(
        OR(ISBLANK(R126), AND(ISBLANK(P126), ISBLANK(Q126))),
        "",
        MAX(
            1,
            IF(
                NETWORKDAYS(IF(NOT(ISBLANK(Q126)), Q126, P126), R126, Holiday_Dates) &lt;= 0,
                1,
                NETWORKDAYS(IF(NOT(ISBLANK(Q126)), Q126, P126), R126, Holiday_Dates)
                - IF(IF(NOT(ISBLANK(Q126)), Q126, P126) = R126, 0, 1)
            )
        )
    ),
    ""
)</f>
        <v/>
      </c>
      <c r="W126" s="259" t="str">
        <f>IFERROR(
    IF(
        OR(ISBLANK(R126), ISBLANK(S126)),
        "",
        MAX(
            1,
            IF(
                NETWORKDAYS(R126, S126, Holiday_Dates) &lt;= 0,
                1,
                NETWORKDAYS(R126, S126, Holiday_Dates) - IF(R126 = S126, 0, 1)
            )
        )
    ),
    ""
)</f>
        <v/>
      </c>
      <c r="X126" s="73"/>
      <c r="Y126" s="73"/>
      <c r="Z126" s="73"/>
      <c r="AA126" s="73"/>
      <c r="AB126" s="73"/>
      <c r="AC126" s="73"/>
      <c r="AD126" s="73"/>
      <c r="AE126" s="73"/>
      <c r="AF126" s="73"/>
      <c r="AG126" s="73"/>
    </row>
    <row r="127" spans="1:33">
      <c r="A127" s="6" t="s">
        <v>52</v>
      </c>
      <c r="B127" s="6" t="s">
        <v>318</v>
      </c>
      <c r="C127" s="6" t="s">
        <v>690</v>
      </c>
      <c r="D127" s="6" t="s">
        <v>88</v>
      </c>
      <c r="E127" s="61" t="s">
        <v>213</v>
      </c>
      <c r="F127" s="6" t="s">
        <v>927</v>
      </c>
      <c r="G127" s="6">
        <v>15.422700000000001</v>
      </c>
      <c r="H127" s="6">
        <v>120.70820000000001</v>
      </c>
      <c r="I127" s="6" t="str">
        <f t="shared" si="4"/>
        <v>15.4227, 120.7082</v>
      </c>
      <c r="J127" s="6"/>
      <c r="K127" s="62" t="s">
        <v>39</v>
      </c>
      <c r="M127" s="6" t="s">
        <v>28</v>
      </c>
      <c r="N127" s="6"/>
      <c r="O127" s="21"/>
      <c r="P127" s="21"/>
      <c r="Q127" s="21"/>
      <c r="R127" s="21"/>
      <c r="S127" s="21"/>
      <c r="T127" s="259" t="str">
        <f>IFERROR(
    IF(
        OR(ISBLANK(O127), ISBLANK(P127)),
        "",
        MAX(
            1,
            IF(
                NETWORKDAYS(O127, P127, Holiday_Dates) &lt;= 0,
                1,
                NETWORKDAYS(O127, P127, Holiday_Dates) - IF(O127 = P127, 0, 1)
            )
        )
    ),
    ""
)</f>
        <v/>
      </c>
      <c r="U127" s="259" t="str">
        <f>IF(
    OR(ISBLANK(P127), ISBLANK(Q127)),
    "",
    MAX(
        1,
        IF(
            NETWORKDAYS(P127, Q127, Holiday_Dates) &lt;= 0,
            1,
            NETWORKDAYS(P127, Q127, Holiday_Dates) - IF(P127 = Q127, 0, 1)
        )
    )
)</f>
        <v/>
      </c>
      <c r="V127" s="259" t="str">
        <f>IFERROR(
    IF(
        OR(ISBLANK(R127), AND(ISBLANK(P127), ISBLANK(Q127))),
        "",
        MAX(
            1,
            IF(
                NETWORKDAYS(IF(NOT(ISBLANK(Q127)), Q127, P127), R127, Holiday_Dates) &lt;= 0,
                1,
                NETWORKDAYS(IF(NOT(ISBLANK(Q127)), Q127, P127), R127, Holiday_Dates)
                - IF(IF(NOT(ISBLANK(Q127)), Q127, P127) = R127, 0, 1)
            )
        )
    ),
    ""
)</f>
        <v/>
      </c>
      <c r="W127" s="259" t="str">
        <f>IFERROR(
    IF(
        OR(ISBLANK(R127), ISBLANK(S127)),
        "",
        MAX(
            1,
            IF(
                NETWORKDAYS(R127, S127, Holiday_Dates) &lt;= 0,
                1,
                NETWORKDAYS(R127, S127, Holiday_Dates) - IF(R127 = S127, 0, 1)
            )
        )
    ),
    ""
)</f>
        <v/>
      </c>
      <c r="X127" s="6"/>
      <c r="Y127" s="6"/>
      <c r="Z127" s="6"/>
      <c r="AA127" s="6"/>
      <c r="AB127" s="6"/>
      <c r="AC127" s="6"/>
      <c r="AD127" s="6"/>
      <c r="AE127" s="252"/>
      <c r="AF127" s="6"/>
      <c r="AG127" s="6"/>
    </row>
    <row r="128" spans="1:33" ht="30">
      <c r="A128" s="6" t="s">
        <v>52</v>
      </c>
      <c r="B128" s="6" t="s">
        <v>420</v>
      </c>
      <c r="C128" s="6" t="s">
        <v>1087</v>
      </c>
      <c r="D128" s="6" t="s">
        <v>89</v>
      </c>
      <c r="E128" s="61" t="s">
        <v>243</v>
      </c>
      <c r="F128" s="6" t="s">
        <v>959</v>
      </c>
      <c r="G128" s="6">
        <v>15.62434</v>
      </c>
      <c r="H128" s="6">
        <v>120.37879</v>
      </c>
      <c r="I128" s="6" t="str">
        <f t="shared" si="4"/>
        <v>15.62434, 120.37879</v>
      </c>
      <c r="J128" s="6"/>
      <c r="K128" s="62" t="s">
        <v>38</v>
      </c>
      <c r="M128" s="6" t="s">
        <v>28</v>
      </c>
      <c r="N128" s="6"/>
      <c r="O128" s="21"/>
      <c r="P128" s="21"/>
      <c r="Q128" s="21"/>
      <c r="R128" s="21"/>
      <c r="S128" s="21"/>
      <c r="T128" s="259" t="str">
        <f>IFERROR(
    IF(
        OR(ISBLANK(O128), ISBLANK(P128)),
        "",
        MAX(
            1,
            IF(
                NETWORKDAYS(O128, P128, Holiday_Dates) &lt;= 0,
                1,
                NETWORKDAYS(O128, P128, Holiday_Dates) - IF(O128 = P128, 0, 1)
            )
        )
    ),
    ""
)</f>
        <v/>
      </c>
      <c r="U128" s="259" t="str">
        <f>IF(
    OR(ISBLANK(P128), ISBLANK(Q128)),
    "",
    MAX(
        1,
        IF(
            NETWORKDAYS(P128, Q128, Holiday_Dates) &lt;= 0,
            1,
            NETWORKDAYS(P128, Q128, Holiday_Dates) - IF(P128 = Q128, 0, 1)
        )
    )
)</f>
        <v/>
      </c>
      <c r="V128" s="259" t="str">
        <f>IFERROR(
    IF(
        OR(ISBLANK(R128), AND(ISBLANK(P128), ISBLANK(Q128))),
        "",
        MAX(
            1,
            IF(
                NETWORKDAYS(IF(NOT(ISBLANK(Q128)), Q128, P128), R128, Holiday_Dates) &lt;= 0,
                1,
                NETWORKDAYS(IF(NOT(ISBLANK(Q128)), Q128, P128), R128, Holiday_Dates)
                - IF(IF(NOT(ISBLANK(Q128)), Q128, P128) = R128, 0, 1)
            )
        )
    ),
    ""
)</f>
        <v/>
      </c>
      <c r="W128" s="259" t="str">
        <f>IFERROR(
    IF(
        OR(ISBLANK(R128), ISBLANK(S128)),
        "",
        MAX(
            1,
            IF(
                NETWORKDAYS(R128, S128, Holiday_Dates) &lt;= 0,
                1,
                NETWORKDAYS(R128, S128, Holiday_Dates) - IF(R128 = S128, 0, 1)
            )
        )
    ),
    ""
)</f>
        <v/>
      </c>
      <c r="X128" s="6"/>
      <c r="Y128" s="6"/>
      <c r="Z128" s="6"/>
      <c r="AA128" s="6"/>
      <c r="AB128" s="6"/>
      <c r="AC128" s="6"/>
      <c r="AD128" s="6"/>
      <c r="AE128" s="252"/>
      <c r="AF128" s="6"/>
      <c r="AG128" s="6"/>
    </row>
    <row r="129" spans="1:33">
      <c r="A129" s="6" t="s">
        <v>52</v>
      </c>
      <c r="B129" s="6" t="s">
        <v>424</v>
      </c>
      <c r="C129" s="6" t="s">
        <v>950</v>
      </c>
      <c r="D129" s="6" t="s">
        <v>89</v>
      </c>
      <c r="E129" s="61" t="s">
        <v>243</v>
      </c>
      <c r="F129" s="6" t="s">
        <v>927</v>
      </c>
      <c r="G129" s="6">
        <v>15.64289</v>
      </c>
      <c r="H129" s="6">
        <v>120.56054</v>
      </c>
      <c r="I129" s="6" t="str">
        <f t="shared" si="4"/>
        <v>15.64289, 120.56054</v>
      </c>
      <c r="J129" s="6"/>
      <c r="K129" s="62" t="s">
        <v>37</v>
      </c>
      <c r="M129" s="6" t="s">
        <v>28</v>
      </c>
      <c r="N129" s="6"/>
      <c r="O129" s="21"/>
      <c r="P129" s="21"/>
      <c r="Q129" s="21"/>
      <c r="R129" s="21"/>
      <c r="S129" s="21"/>
      <c r="T129" s="259" t="str">
        <f>IFERROR(
    IF(
        OR(ISBLANK(O129), ISBLANK(P129)),
        "",
        MAX(
            1,
            IF(
                NETWORKDAYS(O129, P129, Holiday_Dates) &lt;= 0,
                1,
                NETWORKDAYS(O129, P129, Holiday_Dates) - IF(O129 = P129, 0, 1)
            )
        )
    ),
    ""
)</f>
        <v/>
      </c>
      <c r="U129" s="259" t="str">
        <f>IF(
    OR(ISBLANK(P129), ISBLANK(Q129)),
    "",
    MAX(
        1,
        IF(
            NETWORKDAYS(P129, Q129, Holiday_Dates) &lt;= 0,
            1,
            NETWORKDAYS(P129, Q129, Holiday_Dates) - IF(P129 = Q129, 0, 1)
        )
    )
)</f>
        <v/>
      </c>
      <c r="V129" s="259" t="str">
        <f>IFERROR(
    IF(
        OR(ISBLANK(R129), AND(ISBLANK(P129), ISBLANK(Q129))),
        "",
        MAX(
            1,
            IF(
                NETWORKDAYS(IF(NOT(ISBLANK(Q129)), Q129, P129), R129, Holiday_Dates) &lt;= 0,
                1,
                NETWORKDAYS(IF(NOT(ISBLANK(Q129)), Q129, P129), R129, Holiday_Dates)
                - IF(IF(NOT(ISBLANK(Q129)), Q129, P129) = R129, 0, 1)
            )
        )
    ),
    ""
)</f>
        <v/>
      </c>
      <c r="W129" s="259" t="str">
        <f>IFERROR(
    IF(
        OR(ISBLANK(R129), ISBLANK(S129)),
        "",
        MAX(
            1,
            IF(
                NETWORKDAYS(R129, S129, Holiday_Dates) &lt;= 0,
                1,
                NETWORKDAYS(R129, S129, Holiday_Dates) - IF(R129 = S129, 0, 1)
            )
        )
    ),
    ""
)</f>
        <v/>
      </c>
      <c r="X129" s="6"/>
      <c r="Y129" s="6"/>
      <c r="Z129" s="6"/>
      <c r="AA129" s="6"/>
      <c r="AB129" s="6"/>
      <c r="AC129" s="6"/>
      <c r="AD129" s="6"/>
      <c r="AE129" s="6"/>
      <c r="AF129" s="6"/>
      <c r="AG129" s="6"/>
    </row>
    <row r="130" spans="1:33" ht="30">
      <c r="A130" s="6" t="s">
        <v>52</v>
      </c>
      <c r="B130" s="6" t="s">
        <v>427</v>
      </c>
      <c r="C130" s="326" t="s">
        <v>789</v>
      </c>
      <c r="D130" s="6" t="s">
        <v>89</v>
      </c>
      <c r="E130" s="61" t="s">
        <v>271</v>
      </c>
      <c r="F130" s="6" t="s">
        <v>959</v>
      </c>
      <c r="G130" s="6">
        <v>15.5009</v>
      </c>
      <c r="H130" s="6">
        <v>120.4768</v>
      </c>
      <c r="I130" s="6" t="str">
        <f t="shared" si="4"/>
        <v>15.5009, 120.4768</v>
      </c>
      <c r="J130" s="6"/>
      <c r="K130" s="62" t="s">
        <v>39</v>
      </c>
      <c r="M130" s="6" t="s">
        <v>28</v>
      </c>
      <c r="N130" s="6"/>
      <c r="O130" s="21"/>
      <c r="P130" s="21"/>
      <c r="Q130" s="21"/>
      <c r="R130" s="21"/>
      <c r="S130" s="21"/>
      <c r="T130" s="259" t="str">
        <f>IFERROR(
    IF(
        OR(ISBLANK(O130), ISBLANK(P130)),
        "",
        MAX(
            1,
            IF(
                NETWORKDAYS(O130, P130, Holiday_Dates) &lt;= 0,
                1,
                NETWORKDAYS(O130, P130, Holiday_Dates) - IF(O130 = P130, 0, 1)
            )
        )
    ),
    ""
)</f>
        <v/>
      </c>
      <c r="U130" s="259" t="str">
        <f>IF(
    OR(ISBLANK(P130), ISBLANK(Q130)),
    "",
    MAX(
        1,
        IF(
            NETWORKDAYS(P130, Q130, Holiday_Dates) &lt;= 0,
            1,
            NETWORKDAYS(P130, Q130, Holiday_Dates) - IF(P130 = Q130, 0, 1)
        )
    )
)</f>
        <v/>
      </c>
      <c r="V130" s="259" t="str">
        <f>IFERROR(
    IF(
        OR(ISBLANK(R130), AND(ISBLANK(P130), ISBLANK(Q130))),
        "",
        MAX(
            1,
            IF(
                NETWORKDAYS(IF(NOT(ISBLANK(Q130)), Q130, P130), R130, Holiday_Dates) &lt;= 0,
                1,
                NETWORKDAYS(IF(NOT(ISBLANK(Q130)), Q130, P130), R130, Holiday_Dates)
                - IF(IF(NOT(ISBLANK(Q130)), Q130, P130) = R130, 0, 1)
            )
        )
    ),
    ""
)</f>
        <v/>
      </c>
      <c r="W130" s="259" t="str">
        <f>IFERROR(
    IF(
        OR(ISBLANK(R130), ISBLANK(S130)),
        "",
        MAX(
            1,
            IF(
                NETWORKDAYS(R130, S130, Holiday_Dates) &lt;= 0,
                1,
                NETWORKDAYS(R130, S130, Holiday_Dates) - IF(R130 = S130, 0, 1)
            )
        )
    ),
    ""
)</f>
        <v/>
      </c>
      <c r="X130" s="6"/>
      <c r="Y130" s="6"/>
      <c r="Z130" s="6"/>
      <c r="AA130" s="6"/>
      <c r="AB130" s="6"/>
      <c r="AC130" s="6"/>
      <c r="AD130" s="6"/>
      <c r="AE130" s="6"/>
      <c r="AF130" s="6"/>
      <c r="AG130" s="6"/>
    </row>
    <row r="131" spans="1:33">
      <c r="A131" s="6" t="s">
        <v>52</v>
      </c>
      <c r="B131" s="6" t="s">
        <v>458</v>
      </c>
      <c r="C131" s="73" t="s">
        <v>1088</v>
      </c>
      <c r="D131" s="6" t="s">
        <v>89</v>
      </c>
      <c r="E131" s="61" t="s">
        <v>243</v>
      </c>
      <c r="F131" s="6" t="s">
        <v>927</v>
      </c>
      <c r="G131" s="6">
        <v>15.56831</v>
      </c>
      <c r="H131" s="6">
        <v>120.42989</v>
      </c>
      <c r="I131" s="6" t="str">
        <f t="shared" si="4"/>
        <v>15.56831, 120.42989</v>
      </c>
      <c r="J131" s="6"/>
      <c r="K131" s="62" t="s">
        <v>37</v>
      </c>
      <c r="M131" s="6" t="s">
        <v>28</v>
      </c>
      <c r="N131" s="6"/>
      <c r="O131" s="21"/>
      <c r="P131" s="21"/>
      <c r="Q131" s="21"/>
      <c r="R131" s="21"/>
      <c r="S131" s="21"/>
      <c r="T131" s="259" t="str">
        <f>IFERROR(
    IF(
        OR(ISBLANK(O131), ISBLANK(P131)),
        "",
        MAX(
            1,
            IF(
                NETWORKDAYS(O131, P131, Holiday_Dates) &lt;= 0,
                1,
                NETWORKDAYS(O131, P131, Holiday_Dates) - IF(O131 = P131, 0, 1)
            )
        )
    ),
    ""
)</f>
        <v/>
      </c>
      <c r="U131" s="259" t="str">
        <f>IF(
    OR(ISBLANK(P131), ISBLANK(Q131)),
    "",
    MAX(
        1,
        IF(
            NETWORKDAYS(P131, Q131, Holiday_Dates) &lt;= 0,
            1,
            NETWORKDAYS(P131, Q131, Holiday_Dates) - IF(P131 = Q131, 0, 1)
        )
    )
)</f>
        <v/>
      </c>
      <c r="V131" s="259" t="str">
        <f>IFERROR(
    IF(
        OR(ISBLANK(R131), AND(ISBLANK(P131), ISBLANK(Q131))),
        "",
        MAX(
            1,
            IF(
                NETWORKDAYS(IF(NOT(ISBLANK(Q131)), Q131, P131), R131, Holiday_Dates) &lt;= 0,
                1,
                NETWORKDAYS(IF(NOT(ISBLANK(Q131)), Q131, P131), R131, Holiday_Dates)
                - IF(IF(NOT(ISBLANK(Q131)), Q131, P131) = R131, 0, 1)
            )
        )
    ),
    ""
)</f>
        <v/>
      </c>
      <c r="W131" s="259" t="str">
        <f>IFERROR(
    IF(
        OR(ISBLANK(R131), ISBLANK(S131)),
        "",
        MAX(
            1,
            IF(
                NETWORKDAYS(R131, S131, Holiday_Dates) &lt;= 0,
                1,
                NETWORKDAYS(R131, S131, Holiday_Dates) - IF(R131 = S131, 0, 1)
            )
        )
    ),
    ""
)</f>
        <v/>
      </c>
      <c r="X131" s="6"/>
      <c r="Y131" s="6"/>
      <c r="Z131" s="6"/>
      <c r="AA131" s="6"/>
      <c r="AB131" s="6"/>
      <c r="AC131" s="6"/>
      <c r="AD131" s="6"/>
      <c r="AE131" s="6"/>
      <c r="AF131" s="6"/>
      <c r="AG131" s="6"/>
    </row>
    <row r="132" spans="1:33">
      <c r="A132" s="6" t="s">
        <v>53</v>
      </c>
      <c r="B132" s="6" t="s">
        <v>397</v>
      </c>
      <c r="C132" s="6" t="s">
        <v>747</v>
      </c>
      <c r="D132" s="6" t="s">
        <v>89</v>
      </c>
      <c r="E132" s="59" t="s">
        <v>243</v>
      </c>
      <c r="F132" s="6" t="s">
        <v>927</v>
      </c>
      <c r="G132" s="6">
        <v>14.9231</v>
      </c>
      <c r="H132" s="6">
        <v>120.1478</v>
      </c>
      <c r="I132" s="6" t="str">
        <f t="shared" si="4"/>
        <v>14.9231, 120.1478</v>
      </c>
      <c r="J132" s="6"/>
      <c r="K132" s="62" t="s">
        <v>42</v>
      </c>
      <c r="M132" s="6" t="s">
        <v>133</v>
      </c>
      <c r="N132" s="6"/>
      <c r="O132" s="21"/>
      <c r="P132" s="21"/>
      <c r="Q132" s="21"/>
      <c r="R132" s="21"/>
      <c r="S132" s="21"/>
      <c r="T132" s="259" t="str">
        <f>IFERROR(
    IF(
        OR(ISBLANK(O132), ISBLANK(P132)),
        "",
        MAX(
            1,
            IF(
                NETWORKDAYS(O132, P132, Holiday_Dates) &lt;= 0,
                1,
                NETWORKDAYS(O132, P132, Holiday_Dates) - IF(O132 = P132, 0, 1)
            )
        )
    ),
    ""
)</f>
        <v/>
      </c>
      <c r="U132" s="259" t="str">
        <f>IF(
    OR(ISBLANK(P132), ISBLANK(Q132)),
    "",
    MAX(
        1,
        IF(
            NETWORKDAYS(P132, Q132, Holiday_Dates) &lt;= 0,
            1,
            NETWORKDAYS(P132, Q132, Holiday_Dates) - IF(P132 = Q132, 0, 1)
        )
    )
)</f>
        <v/>
      </c>
      <c r="V132" s="259" t="str">
        <f>IFERROR(
    IF(
        OR(ISBLANK(R132), AND(ISBLANK(P132), ISBLANK(Q132))),
        "",
        MAX(
            1,
            IF(
                NETWORKDAYS(IF(NOT(ISBLANK(Q132)), Q132, P132), R132, Holiday_Dates) &lt;= 0,
                1,
                NETWORKDAYS(IF(NOT(ISBLANK(Q132)), Q132, P132), R132, Holiday_Dates)
                - IF(IF(NOT(ISBLANK(Q132)), Q132, P132) = R132, 0, 1)
            )
        )
    ),
    ""
)</f>
        <v/>
      </c>
      <c r="W132" s="259" t="str">
        <f>IFERROR(
    IF(
        OR(ISBLANK(R132), ISBLANK(S132)),
        "",
        MAX(
            1,
            IF(
                NETWORKDAYS(R132, S132, Holiday_Dates) &lt;= 0,
                1,
                NETWORKDAYS(R132, S132, Holiday_Dates) - IF(R132 = S132, 0, 1)
            )
        )
    ),
    ""
)</f>
        <v/>
      </c>
      <c r="X132" s="6"/>
      <c r="Y132" s="6"/>
      <c r="Z132" s="6"/>
      <c r="AA132" s="6"/>
      <c r="AB132" s="6"/>
      <c r="AC132" s="6"/>
      <c r="AD132" s="6"/>
      <c r="AE132" s="6"/>
      <c r="AF132" s="6"/>
      <c r="AG132" s="6"/>
    </row>
    <row r="133" spans="1:33">
      <c r="A133" s="6" t="s">
        <v>53</v>
      </c>
      <c r="B133" s="6" t="s">
        <v>242</v>
      </c>
      <c r="C133" s="6" t="s">
        <v>831</v>
      </c>
      <c r="D133" s="6" t="s">
        <v>89</v>
      </c>
      <c r="E133" s="59" t="s">
        <v>243</v>
      </c>
      <c r="F133" s="6" t="s">
        <v>927</v>
      </c>
      <c r="G133" s="6">
        <v>14.8459</v>
      </c>
      <c r="H133" s="6">
        <v>120.3293348</v>
      </c>
      <c r="I133" s="6" t="str">
        <f t="shared" si="4"/>
        <v>14.8459, 120.3293348</v>
      </c>
      <c r="J133" s="6"/>
      <c r="K133" s="62" t="s">
        <v>246</v>
      </c>
      <c r="M133" s="6" t="s">
        <v>133</v>
      </c>
      <c r="N133" s="6"/>
      <c r="O133" s="21"/>
      <c r="P133" s="21"/>
      <c r="Q133" s="21"/>
      <c r="R133" s="21"/>
      <c r="S133" s="21"/>
      <c r="T133" s="259" t="str">
        <f>IFERROR(
    IF(
        OR(ISBLANK(O133), ISBLANK(P133)),
        "",
        MAX(
            1,
            IF(
                NETWORKDAYS(O133, P133, Holiday_Dates) &lt;= 0,
                1,
                NETWORKDAYS(O133, P133, Holiday_Dates) - IF(O133 = P133, 0, 1)
            )
        )
    ),
    ""
)</f>
        <v/>
      </c>
      <c r="U133" s="259" t="str">
        <f>IF(
    OR(ISBLANK(P133), ISBLANK(Q133)),
    "",
    MAX(
        1,
        IF(
            NETWORKDAYS(P133, Q133, Holiday_Dates) &lt;= 0,
            1,
            NETWORKDAYS(P133, Q133, Holiday_Dates) - IF(P133 = Q133, 0, 1)
        )
    )
)</f>
        <v/>
      </c>
      <c r="V133" s="259" t="str">
        <f>IFERROR(
    IF(
        OR(ISBLANK(R133), AND(ISBLANK(P133), ISBLANK(Q133))),
        "",
        MAX(
            1,
            IF(
                NETWORKDAYS(IF(NOT(ISBLANK(Q133)), Q133, P133), R133, Holiday_Dates) &lt;= 0,
                1,
                NETWORKDAYS(IF(NOT(ISBLANK(Q133)), Q133, P133), R133, Holiday_Dates)
                - IF(IF(NOT(ISBLANK(Q133)), Q133, P133) = R133, 0, 1)
            )
        )
    ),
    ""
)</f>
        <v/>
      </c>
      <c r="W133" s="259" t="str">
        <f>IFERROR(
    IF(
        OR(ISBLANK(R133), ISBLANK(S133)),
        "",
        MAX(
            1,
            IF(
                NETWORKDAYS(R133, S133, Holiday_Dates) &lt;= 0,
                1,
                NETWORKDAYS(R133, S133, Holiday_Dates) - IF(R133 = S133, 0, 1)
            )
        )
    ),
    ""
)</f>
        <v/>
      </c>
      <c r="X133" s="6"/>
      <c r="Y133" s="6"/>
      <c r="Z133" s="6"/>
      <c r="AA133" s="6"/>
      <c r="AB133" s="6"/>
      <c r="AC133" s="6"/>
      <c r="AD133" s="6"/>
      <c r="AE133" s="6"/>
      <c r="AF133" s="6"/>
      <c r="AG133" s="6"/>
    </row>
    <row r="134" spans="1:33">
      <c r="A134" s="6" t="s">
        <v>53</v>
      </c>
      <c r="B134" s="6" t="s">
        <v>714</v>
      </c>
      <c r="C134" s="6" t="s">
        <v>1089</v>
      </c>
      <c r="D134" s="6" t="s">
        <v>89</v>
      </c>
      <c r="E134" s="59" t="s">
        <v>271</v>
      </c>
      <c r="F134" s="6" t="s">
        <v>927</v>
      </c>
      <c r="G134" s="6">
        <v>14.93018934</v>
      </c>
      <c r="H134" s="6">
        <v>120.07476672</v>
      </c>
      <c r="I134" s="6" t="str">
        <f t="shared" si="4"/>
        <v>14.93018934, 120.07476672</v>
      </c>
      <c r="J134" s="6"/>
      <c r="K134" s="62" t="s">
        <v>42</v>
      </c>
      <c r="M134" s="6" t="s">
        <v>133</v>
      </c>
      <c r="N134" s="6"/>
      <c r="O134" s="21"/>
      <c r="P134" s="21"/>
      <c r="Q134" s="21"/>
      <c r="R134" s="21"/>
      <c r="S134" s="21"/>
      <c r="T134" s="259" t="str">
        <f>IFERROR(
    IF(
        OR(ISBLANK(O134), ISBLANK(P134)),
        "",
        MAX(
            1,
            IF(
                NETWORKDAYS(O134, P134, Holiday_Dates) &lt;= 0,
                1,
                NETWORKDAYS(O134, P134, Holiday_Dates) - IF(O134 = P134, 0, 1)
            )
        )
    ),
    ""
)</f>
        <v/>
      </c>
      <c r="U134" s="259" t="str">
        <f>IF(
    OR(ISBLANK(P134), ISBLANK(Q134)),
    "",
    MAX(
        1,
        IF(
            NETWORKDAYS(P134, Q134, Holiday_Dates) &lt;= 0,
            1,
            NETWORKDAYS(P134, Q134, Holiday_Dates) - IF(P134 = Q134, 0, 1)
        )
    )
)</f>
        <v/>
      </c>
      <c r="V134" s="259" t="str">
        <f>IFERROR(
    IF(
        OR(ISBLANK(R134), AND(ISBLANK(P134), ISBLANK(Q134))),
        "",
        MAX(
            1,
            IF(
                NETWORKDAYS(IF(NOT(ISBLANK(Q134)), Q134, P134), R134, Holiday_Dates) &lt;= 0,
                1,
                NETWORKDAYS(IF(NOT(ISBLANK(Q134)), Q134, P134), R134, Holiday_Dates)
                - IF(IF(NOT(ISBLANK(Q134)), Q134, P134) = R134, 0, 1)
            )
        )
    ),
    ""
)</f>
        <v/>
      </c>
      <c r="W134" s="259" t="str">
        <f>IFERROR(
    IF(
        OR(ISBLANK(R134), ISBLANK(S134)),
        "",
        MAX(
            1,
            IF(
                NETWORKDAYS(R134, S134, Holiday_Dates) &lt;= 0,
                1,
                NETWORKDAYS(R134, S134, Holiday_Dates) - IF(R134 = S134, 0, 1)
            )
        )
    ),
    ""
)</f>
        <v/>
      </c>
      <c r="X134" s="6"/>
      <c r="Y134" s="6"/>
      <c r="Z134" s="6"/>
      <c r="AA134" s="6"/>
      <c r="AB134" s="6"/>
      <c r="AC134" s="6"/>
      <c r="AD134" s="6"/>
      <c r="AE134" s="6"/>
      <c r="AF134" s="6"/>
      <c r="AG134" s="6"/>
    </row>
    <row r="135" spans="1:33">
      <c r="A135" s="6" t="s">
        <v>53</v>
      </c>
      <c r="B135" s="6" t="s">
        <v>355</v>
      </c>
      <c r="C135" s="6" t="s">
        <v>1090</v>
      </c>
      <c r="D135" s="6" t="s">
        <v>89</v>
      </c>
      <c r="E135" s="59" t="s">
        <v>243</v>
      </c>
      <c r="F135" s="6" t="s">
        <v>927</v>
      </c>
      <c r="G135" s="6">
        <v>14.9694</v>
      </c>
      <c r="H135" s="6">
        <v>120.1332</v>
      </c>
      <c r="I135" s="6" t="str">
        <f t="shared" si="4"/>
        <v>14.9694, 120.1332</v>
      </c>
      <c r="J135" s="6"/>
      <c r="K135" s="62" t="s">
        <v>42</v>
      </c>
      <c r="M135" s="6" t="s">
        <v>133</v>
      </c>
      <c r="N135" s="6"/>
      <c r="O135" s="21"/>
      <c r="P135" s="21"/>
      <c r="Q135" s="21"/>
      <c r="R135" s="21"/>
      <c r="S135" s="21"/>
      <c r="T135" s="259" t="str">
        <f>IFERROR(
    IF(
        OR(ISBLANK(O135), ISBLANK(P135)),
        "",
        MAX(
            1,
            IF(
                NETWORKDAYS(O135, P135, Holiday_Dates) &lt;= 0,
                1,
                NETWORKDAYS(O135, P135, Holiday_Dates) - IF(O135 = P135, 0, 1)
            )
        )
    ),
    ""
)</f>
        <v/>
      </c>
      <c r="U135" s="259" t="str">
        <f>IF(
    OR(ISBLANK(P135), ISBLANK(Q135)),
    "",
    MAX(
        1,
        IF(
            NETWORKDAYS(P135, Q135, Holiday_Dates) &lt;= 0,
            1,
            NETWORKDAYS(P135, Q135, Holiday_Dates) - IF(P135 = Q135, 0, 1)
        )
    )
)</f>
        <v/>
      </c>
      <c r="V135" s="259" t="str">
        <f>IFERROR(
    IF(
        OR(ISBLANK(R135), AND(ISBLANK(P135), ISBLANK(Q135))),
        "",
        MAX(
            1,
            IF(
                NETWORKDAYS(IF(NOT(ISBLANK(Q135)), Q135, P135), R135, Holiday_Dates) &lt;= 0,
                1,
                NETWORKDAYS(IF(NOT(ISBLANK(Q135)), Q135, P135), R135, Holiday_Dates)
                - IF(IF(NOT(ISBLANK(Q135)), Q135, P135) = R135, 0, 1)
            )
        )
    ),
    ""
)</f>
        <v/>
      </c>
      <c r="W135" s="259" t="str">
        <f>IFERROR(
    IF(
        OR(ISBLANK(R135), ISBLANK(S135)),
        "",
        MAX(
            1,
            IF(
                NETWORKDAYS(R135, S135, Holiday_Dates) &lt;= 0,
                1,
                NETWORKDAYS(R135, S135, Holiday_Dates) - IF(R135 = S135, 0, 1)
            )
        )
    ),
    ""
)</f>
        <v/>
      </c>
      <c r="X135" s="6"/>
      <c r="Y135" s="6"/>
      <c r="Z135" s="6"/>
      <c r="AA135" s="6"/>
      <c r="AB135" s="6"/>
      <c r="AC135" s="6"/>
      <c r="AD135" s="6"/>
      <c r="AE135" s="6"/>
      <c r="AF135" s="6"/>
      <c r="AG135" s="6"/>
    </row>
    <row r="136" spans="1:33" ht="30">
      <c r="A136" s="6" t="s">
        <v>53</v>
      </c>
      <c r="B136" s="6" t="s">
        <v>554</v>
      </c>
      <c r="C136" s="6" t="s">
        <v>1091</v>
      </c>
      <c r="D136" s="6" t="s">
        <v>89</v>
      </c>
      <c r="E136" s="59" t="s">
        <v>271</v>
      </c>
      <c r="F136" s="6" t="s">
        <v>927</v>
      </c>
      <c r="G136" s="6">
        <v>15.7621</v>
      </c>
      <c r="H136" s="6">
        <v>119.9091</v>
      </c>
      <c r="I136" s="6" t="str">
        <f t="shared" si="4"/>
        <v>15.7621, 119.9091</v>
      </c>
      <c r="J136" s="6"/>
      <c r="K136" s="62" t="s">
        <v>42</v>
      </c>
      <c r="M136" s="6" t="s">
        <v>133</v>
      </c>
      <c r="N136" s="6"/>
      <c r="O136" s="21"/>
      <c r="P136" s="21"/>
      <c r="Q136" s="21"/>
      <c r="R136" s="21"/>
      <c r="S136" s="21"/>
      <c r="T136" s="259" t="str">
        <f>IFERROR(
    IF(
        OR(ISBLANK(O136), ISBLANK(P136)),
        "",
        MAX(
            1,
            IF(
                NETWORKDAYS(O136, P136, Holiday_Dates) &lt;= 0,
                1,
                NETWORKDAYS(O136, P136, Holiday_Dates) - IF(O136 = P136, 0, 1)
            )
        )
    ),
    ""
)</f>
        <v/>
      </c>
      <c r="U136" s="259" t="str">
        <f>IF(
    OR(ISBLANK(P136), ISBLANK(Q136)),
    "",
    MAX(
        1,
        IF(
            NETWORKDAYS(P136, Q136, Holiday_Dates) &lt;= 0,
            1,
            NETWORKDAYS(P136, Q136, Holiday_Dates) - IF(P136 = Q136, 0, 1)
        )
    )
)</f>
        <v/>
      </c>
      <c r="V136" s="259" t="str">
        <f>IFERROR(
    IF(
        OR(ISBLANK(R136), AND(ISBLANK(P136), ISBLANK(Q136))),
        "",
        MAX(
            1,
            IF(
                NETWORKDAYS(IF(NOT(ISBLANK(Q136)), Q136, P136), R136, Holiday_Dates) &lt;= 0,
                1,
                NETWORKDAYS(IF(NOT(ISBLANK(Q136)), Q136, P136), R136, Holiday_Dates)
                - IF(IF(NOT(ISBLANK(Q136)), Q136, P136) = R136, 0, 1)
            )
        )
    ),
    ""
)</f>
        <v/>
      </c>
      <c r="W136" s="259" t="str">
        <f>IFERROR(
    IF(
        OR(ISBLANK(R136), ISBLANK(S136)),
        "",
        MAX(
            1,
            IF(
                NETWORKDAYS(R136, S136, Holiday_Dates) &lt;= 0,
                1,
                NETWORKDAYS(R136, S136, Holiday_Dates) - IF(R136 = S136, 0, 1)
            )
        )
    ),
    ""
)</f>
        <v/>
      </c>
      <c r="X136" s="6"/>
      <c r="Y136" s="6"/>
      <c r="Z136" s="6"/>
      <c r="AA136" s="6"/>
      <c r="AB136" s="6"/>
      <c r="AC136" s="6"/>
      <c r="AD136" s="6"/>
      <c r="AE136" s="6"/>
      <c r="AF136" s="6"/>
      <c r="AG136" s="6"/>
    </row>
    <row r="138" spans="1:33" ht="15" customHeight="1">
      <c r="N138" s="43" t="s">
        <v>1054</v>
      </c>
    </row>
  </sheetData>
  <sheetProtection formatCells="0" formatColumns="0" formatRows="0" deleteColumns="0" deleteRows="0" sort="0" autoFilter="0"/>
  <protectedRanges>
    <protectedRange algorithmName="SHA-512" hashValue="WqSgjWttib98CNXtMkz3WONx4jF8rFQhgLUegl2gGcDA+Jnzjd+7rokkh40UzRnlcpxwfU7tjUHMNzfzChWEcA==" saltValue="0Bk1nwNODycoKBybbKZbcA==" spinCount="100000" sqref="J1:J1048576" name="TARGET_MONTH"/>
    <protectedRange sqref="Y2:AG200" name="swm_data_1"/>
    <protectedRange sqref="K2:S200" name="enmo_assigned"/>
    <protectedRange algorithmName="SHA-512" hashValue="ekQYFHrkQkyuyZT28TfuQbspkebu5sJf5JznyWIerFt/9o4kdEATiRvxmSN7taL77hS25CziFhT2RUYE1+fruA==" saltValue="BQCLay/61mRoTrBHpO11WQ==" spinCount="100000" sqref="X2:X199" name="reports"/>
  </protectedRanges>
  <autoFilter ref="A1:AH136" xr:uid="{2FE25976-BF3E-4021-B876-9A8F4518AD7E}"/>
  <conditionalFormatting sqref="B1:D1">
    <cfRule type="duplicateValues" dxfId="9" priority="1"/>
  </conditionalFormatting>
  <dataValidations count="2">
    <dataValidation type="list" allowBlank="1" showInputMessage="1" showErrorMessage="1" sqref="K2:L1048576" xr:uid="{95855BE1-EDA1-44BE-AC67-1A397B25CF20}">
      <formula1>ENMO</formula1>
    </dataValidation>
    <dataValidation type="list" allowBlank="1" showInputMessage="1" showErrorMessage="1" sqref="M2:M1048576" xr:uid="{785BD3F7-DFE8-4939-B7C9-9C689EEB3FB2}">
      <formula1>ESWM_FOCAL</formula1>
    </dataValidation>
  </dataValidations>
  <hyperlinks>
    <hyperlink ref="AH2" r:id="rId1" xr:uid="{94ECC567-8BD6-4557-B0C2-71815E0BD222}"/>
    <hyperlink ref="AH3" r:id="rId2" xr:uid="{F10B5CC4-D1D0-40A4-8E42-6391BB5C298C}"/>
    <hyperlink ref="AH4" r:id="rId3" xr:uid="{99217D71-7D0D-4BD7-ACDD-ECE7C4E3ECA3}"/>
    <hyperlink ref="AH5" r:id="rId4" xr:uid="{8A31D143-49B7-494E-8AD9-69EE340458F7}"/>
    <hyperlink ref="AH6" r:id="rId5" xr:uid="{4F9AC790-197D-476E-8BFC-539420D31CD3}"/>
    <hyperlink ref="AH7" r:id="rId6" xr:uid="{C32C4310-AA75-439E-AE46-A988BA5FADEF}"/>
    <hyperlink ref="AH8" r:id="rId7" xr:uid="{3F3AF5F1-54E6-4181-A63B-2AAFDCC41FB7}"/>
    <hyperlink ref="AH9" r:id="rId8" xr:uid="{2D369400-2FEE-461A-8542-C551A9CC7723}"/>
    <hyperlink ref="AH14" r:id="rId9" xr:uid="{7BA2768C-C70E-44CC-9E4D-54D24DBF8986}"/>
    <hyperlink ref="AH20" r:id="rId10" xr:uid="{7B46E529-EA3D-4604-9B3D-19CDB09B4B81}"/>
    <hyperlink ref="AH10" r:id="rId11" xr:uid="{B8C1A4DD-8481-4345-8329-25FCD9129504}"/>
    <hyperlink ref="AH13" r:id="rId12" xr:uid="{B889E94A-8174-4B90-8911-4941B6574798}"/>
    <hyperlink ref="AH17" r:id="rId13" xr:uid="{745B48E5-9614-4D76-BA92-D2BC8CECD0B5}"/>
    <hyperlink ref="AH21" r:id="rId14" xr:uid="{E4E91CEE-4007-4978-AEC9-DF3AA3822612}"/>
    <hyperlink ref="AH15" r:id="rId15" xr:uid="{EE6C7723-DC73-49F4-B2E7-381832174A8B}"/>
    <hyperlink ref="AH16" r:id="rId16" xr:uid="{F9AAC64F-3E5C-49F3-8752-2E38204B5EE8}"/>
    <hyperlink ref="AH11" r:id="rId17" xr:uid="{F43D84AF-6256-4895-826C-93B6E46A89AC}"/>
    <hyperlink ref="AH12" r:id="rId18" xr:uid="{218059E5-A110-4D26-8194-EF15DBCD91BC}"/>
    <hyperlink ref="AH18" r:id="rId19" xr:uid="{E7C026F7-E830-4EBC-B049-9268E7CB9B0C}"/>
    <hyperlink ref="AH19" r:id="rId20" xr:uid="{151EA8CE-91CD-4496-A3E4-14D65A2F5148}"/>
  </hyperlinks>
  <pageMargins left="0.7" right="0.7" top="0.75" bottom="0.75" header="0.3" footer="0.3"/>
  <legacyDrawing r:id="rId21"/>
  <extLst>
    <ext xmlns:x14="http://schemas.microsoft.com/office/spreadsheetml/2009/9/main" uri="{CCE6A557-97BC-4b89-ADB6-D9C93CAAB3DF}">
      <x14:dataValidations xmlns:xm="http://schemas.microsoft.com/office/excel/2006/main" count="2">
        <x14:dataValidation type="list" allowBlank="1" showInputMessage="1" showErrorMessage="1" xr:uid="{47259A95-FF99-4C63-ABE3-477516590F4C}">
          <x14:formula1>
            <xm:f>'Data Validation'!$K$2:$K$5</xm:f>
          </x14:formula1>
          <xm:sqref>AB90:AC92 AB62:AC62 AB68:AC68 AB27:AC27 AB83:AC83 Y40:Z71 AB130:AC133 Y104:Z134 AB48:AC50 AB101 AB22:AC23 AB78:AC81 Y2:Z38 AB123:AC128 AB107:AB108 AB104:AB105 AB110:AC113 AB64:AC66 AB20:AC20 AB96:AB99 AB15:AC17 AB33:AC33 AC106:AC108 AB30:AC30 Y96:Z99 AB85:AC88 Y136:Z136 AB12:AC13 AB71:AC75 Y101:Z101 AB7:AC7 AB94:AC94 AB119:AC120 AC96:AC104 Y73:Z94 AB52:AC59 AC116 AB40:AC46 AB35:AC38 AB116:AB117 AB3:AC4</xm:sqref>
        </x14:dataValidation>
        <x14:dataValidation type="list" allowBlank="1" showInputMessage="1" showErrorMessage="1" xr:uid="{0BFED77F-9EA9-4814-9393-6CEB30B1268A}">
          <x14:formula1>
            <xm:f>'Data Validation'!$A$13:$A$24</xm:f>
          </x14:formula1>
          <xm:sqref>J136 J2:J134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1DE2-73B7-4D9C-BFD0-8534722AB3CB}">
  <sheetPr codeName="Sheet9"/>
  <dimension ref="A1:AH22"/>
  <sheetViews>
    <sheetView workbookViewId="0">
      <pane xSplit="2" ySplit="2" topLeftCell="C3" activePane="bottomRight" state="frozen"/>
      <selection pane="topRight"/>
      <selection pane="bottomLeft"/>
      <selection pane="bottomRight"/>
    </sheetView>
  </sheetViews>
  <sheetFormatPr defaultColWidth="9.140625" defaultRowHeight="15"/>
  <cols>
    <col min="1" max="1" width="15" style="11" customWidth="1"/>
    <col min="2" max="2" width="39.7109375" style="11" bestFit="1" customWidth="1"/>
    <col min="3" max="3" width="48" style="11" customWidth="1"/>
    <col min="4" max="4" width="30" style="11" customWidth="1"/>
    <col min="5" max="6" width="17.85546875" style="11" customWidth="1"/>
    <col min="7" max="7" width="13.7109375" style="11" customWidth="1"/>
    <col min="8" max="8" width="28.140625" style="11" customWidth="1"/>
    <col min="9" max="9" width="26.5703125" style="11" customWidth="1"/>
    <col min="10" max="10" width="16.140625" style="11" customWidth="1"/>
    <col min="11" max="14" width="29.28515625" style="11" customWidth="1"/>
    <col min="15" max="15" width="17.42578125" style="11" customWidth="1"/>
    <col min="16" max="16" width="23" style="11" customWidth="1"/>
    <col min="17" max="17" width="23.85546875" style="11" customWidth="1"/>
    <col min="18" max="18" width="23.85546875" style="11" bestFit="1" customWidth="1"/>
    <col min="19" max="19" width="21.42578125" style="11" customWidth="1"/>
    <col min="20" max="24" width="21" style="11" customWidth="1"/>
    <col min="25" max="28" width="18" style="11" customWidth="1"/>
    <col min="29" max="29" width="21.5703125" style="11" customWidth="1"/>
    <col min="30" max="30" width="22" style="11" customWidth="1"/>
    <col min="31" max="31" width="34.42578125" style="11" customWidth="1"/>
    <col min="32" max="32" width="29.140625" style="11" customWidth="1"/>
    <col min="33" max="33" width="17" style="11" customWidth="1"/>
    <col min="34" max="34" width="20.42578125" style="11" customWidth="1"/>
    <col min="35" max="35" width="9.140625" style="11" bestFit="1" customWidth="1"/>
    <col min="36" max="16384" width="9.140625" style="11"/>
  </cols>
  <sheetData>
    <row r="1" spans="1:34" ht="57">
      <c r="A1" s="17" t="s">
        <v>44</v>
      </c>
      <c r="B1" s="17" t="s">
        <v>158</v>
      </c>
      <c r="C1" s="17" t="s">
        <v>1092</v>
      </c>
      <c r="D1" s="17" t="s">
        <v>1093</v>
      </c>
      <c r="E1" s="17" t="s">
        <v>160</v>
      </c>
      <c r="F1" s="18" t="s">
        <v>557</v>
      </c>
      <c r="G1" s="18" t="s">
        <v>558</v>
      </c>
      <c r="H1" s="18" t="s">
        <v>559</v>
      </c>
      <c r="I1" s="18" t="s">
        <v>1094</v>
      </c>
      <c r="J1" s="18" t="s">
        <v>1095</v>
      </c>
      <c r="K1" s="18" t="s">
        <v>1096</v>
      </c>
      <c r="L1" s="18" t="s">
        <v>1097</v>
      </c>
      <c r="M1" s="18" t="s">
        <v>1098</v>
      </c>
      <c r="N1" s="18" t="s">
        <v>1099</v>
      </c>
      <c r="O1" s="359" t="s">
        <v>67</v>
      </c>
      <c r="P1" s="359" t="s">
        <v>171</v>
      </c>
      <c r="Q1" s="359" t="s">
        <v>172</v>
      </c>
      <c r="R1" s="359" t="s">
        <v>173</v>
      </c>
      <c r="S1" s="359" t="s">
        <v>174</v>
      </c>
      <c r="T1" s="359" t="s">
        <v>175</v>
      </c>
      <c r="U1" s="359" t="s">
        <v>176</v>
      </c>
      <c r="V1" s="359" t="s">
        <v>177</v>
      </c>
      <c r="W1" s="359" t="s">
        <v>178</v>
      </c>
      <c r="X1" s="359" t="s">
        <v>179</v>
      </c>
      <c r="Y1" s="359" t="s">
        <v>180</v>
      </c>
      <c r="Z1" s="359" t="s">
        <v>181</v>
      </c>
      <c r="AA1" s="359" t="s">
        <v>182</v>
      </c>
      <c r="AB1" s="359" t="s">
        <v>183</v>
      </c>
      <c r="AC1" s="359" t="s">
        <v>1100</v>
      </c>
      <c r="AD1" s="19" t="s">
        <v>1101</v>
      </c>
      <c r="AE1" s="19" t="s">
        <v>1102</v>
      </c>
      <c r="AF1" s="19" t="s">
        <v>198</v>
      </c>
      <c r="AG1" s="20" t="s">
        <v>1103</v>
      </c>
      <c r="AH1" s="20" t="s">
        <v>573</v>
      </c>
    </row>
    <row r="2" spans="1:34" ht="28.5">
      <c r="A2" s="67" t="s">
        <v>47</v>
      </c>
      <c r="B2" s="67" t="s">
        <v>1104</v>
      </c>
      <c r="C2" s="69" t="s">
        <v>1105</v>
      </c>
      <c r="D2" s="74">
        <v>44986</v>
      </c>
      <c r="E2" s="67" t="s">
        <v>89</v>
      </c>
      <c r="F2" s="75">
        <v>15.806566999999999</v>
      </c>
      <c r="G2" s="67">
        <v>121.54037599999999</v>
      </c>
      <c r="H2" s="76" t="s">
        <v>1106</v>
      </c>
      <c r="I2" s="78" t="s">
        <v>1107</v>
      </c>
      <c r="J2" s="78">
        <v>65</v>
      </c>
      <c r="K2" s="76" t="s">
        <v>1108</v>
      </c>
      <c r="L2" s="76" t="s">
        <v>120</v>
      </c>
      <c r="M2" s="76" t="s">
        <v>120</v>
      </c>
      <c r="N2" s="76" t="s">
        <v>120</v>
      </c>
      <c r="O2" s="67" t="s">
        <v>45</v>
      </c>
      <c r="P2" s="67" t="s">
        <v>13</v>
      </c>
      <c r="Q2" s="67"/>
      <c r="R2" s="67" t="s">
        <v>1109</v>
      </c>
      <c r="S2" s="67" t="s">
        <v>1110</v>
      </c>
      <c r="T2" s="79">
        <v>45723</v>
      </c>
      <c r="U2" s="79">
        <v>45725</v>
      </c>
      <c r="V2" s="79"/>
      <c r="W2" s="79">
        <v>45728</v>
      </c>
      <c r="X2" s="79">
        <v>45728</v>
      </c>
      <c r="Y2" s="80">
        <f>IF(
    OR(ISBLANK(T2), ISBLANK(U2)),
    "",
    MAX(1, IF(
        NETWORKDAYS(T2, U2) &lt;= 0,
        1,
        NETWORKDAYS(T2, U2) - IF(T2 = U2, 0, 1)
    ))
)</f>
        <v>1</v>
      </c>
      <c r="Z2" s="80" t="str">
        <f>IF(
    OR(ISBLANK(U2), ISBLANK(V2)),
    "",
    MAX(1, IF(
        NETWORKDAYS(U2, V2) &lt;= 0,
        1,
        NETWORKDAYS(U2, V2) - IF(U2 = V2, 0, 1)
    ))
)</f>
        <v/>
      </c>
      <c r="AA2" s="80">
        <f>IF(
  OR(A2 = "Nueva_Ecija", A2 = "Zambales"),
  IF(
    OR(ISBLANK(V2), ISBLANK(W2)),
    "",
    MAX(1, IF(
      NETWORKDAYS(V2, W2) &lt;= 0,
      1,
      NETWORKDAYS(V2, W2) - IF(V2 = W2, 0, 1)
    ))
  ),
  IF(
    OR(ISBLANK(U2), ISBLANK(W2)),
    "",
    MAX(1, IF(
      NETWORKDAYS(U2, W2) &lt;= 0,
      1,
      NETWORKDAYS(U2, W2) - IF(U2 = W2, 0, 1)
    ))
  )
)</f>
        <v>2</v>
      </c>
      <c r="AB2" s="80">
        <f>IF(
    OR(ISBLANK(W2), ISBLANK(X2)),
    "",
    MAX(1, IF(
        NETWORKDAYS(W2, X2) &lt;= 0,
        1,
        NETWORKDAYS(W2, X2) - IF(W2 = X2, 0, 1)
    ))
)</f>
        <v>1</v>
      </c>
      <c r="AC2" s="76" t="s">
        <v>929</v>
      </c>
      <c r="AD2" s="67" t="s">
        <v>101</v>
      </c>
      <c r="AE2" s="67" t="s">
        <v>1111</v>
      </c>
      <c r="AF2" s="67" t="s">
        <v>1112</v>
      </c>
      <c r="AG2" s="67"/>
      <c r="AH2" s="67"/>
    </row>
    <row r="3" spans="1:34" ht="28.5">
      <c r="A3" s="67" t="s">
        <v>47</v>
      </c>
      <c r="B3" s="67" t="s">
        <v>1113</v>
      </c>
      <c r="C3" s="69" t="s">
        <v>1114</v>
      </c>
      <c r="D3" s="74">
        <v>44979</v>
      </c>
      <c r="E3" s="67" t="s">
        <v>89</v>
      </c>
      <c r="F3" s="77">
        <v>16.288014</v>
      </c>
      <c r="G3" s="67">
        <v>122.122124</v>
      </c>
      <c r="H3" s="76" t="s">
        <v>1115</v>
      </c>
      <c r="I3" s="76" t="s">
        <v>120</v>
      </c>
      <c r="J3" s="78">
        <v>63</v>
      </c>
      <c r="K3" s="76" t="s">
        <v>1116</v>
      </c>
      <c r="L3" s="76" t="s">
        <v>120</v>
      </c>
      <c r="M3" s="76" t="s">
        <v>120</v>
      </c>
      <c r="N3" s="76" t="s">
        <v>120</v>
      </c>
      <c r="O3" s="67" t="s">
        <v>63</v>
      </c>
      <c r="P3" s="67" t="s">
        <v>15</v>
      </c>
      <c r="Q3" s="67"/>
      <c r="R3" s="67" t="s">
        <v>1109</v>
      </c>
      <c r="S3" s="67" t="s">
        <v>1117</v>
      </c>
      <c r="T3" s="79">
        <v>45790</v>
      </c>
      <c r="U3" s="79">
        <v>45790</v>
      </c>
      <c r="V3" s="79"/>
      <c r="W3" s="79">
        <v>45791</v>
      </c>
      <c r="X3" s="79">
        <v>45791</v>
      </c>
      <c r="Y3" s="80">
        <f t="shared" ref="Y3:Y22" si="0">IF(
    OR(ISBLANK(T3), ISBLANK(U3)),
    "",
    MAX(1, IF(
        NETWORKDAYS(T3, U3) &lt;= 0,
        1,
        NETWORKDAYS(T3, U3) - IF(T3 = U3, 0, 1)
    ))
)</f>
        <v>1</v>
      </c>
      <c r="Z3" s="80" t="str">
        <f t="shared" ref="Z3:Z22" si="1">IF(
    OR(ISBLANK(U3), ISBLANK(V3)),
    "",
    MAX(1, IF(
        NETWORKDAYS(U3, V3) &lt;= 0,
        1,
        NETWORKDAYS(U3, V3) - IF(U3 = V3, 0, 1)
    ))
)</f>
        <v/>
      </c>
      <c r="AA3" s="80">
        <f t="shared" ref="AA3:AA20" si="2">IF(
  OR(A3 = "Nueva_Ecija", A3 = "Zambales"),
  IF(
    OR(ISBLANK(V3), ISBLANK(W3)),
    "",
    MAX(1, IF(
      NETWORKDAYS(V3, W3) &lt;= 0,
      1,
      NETWORKDAYS(V3, W3) - IF(V3 = W3, 0, 1)
    ))
  ),
  IF(
    OR(ISBLANK(U3), ISBLANK(W3)),
    "",
    MAX(1, IF(
      NETWORKDAYS(U3, W3) &lt;= 0,
      1,
      NETWORKDAYS(U3, W3) - IF(U3 = W3, 0, 1)
    ))
  )
)</f>
        <v>1</v>
      </c>
      <c r="AB3" s="80">
        <f t="shared" ref="AB3:AB22" si="3">IF(
    OR(ISBLANK(W3), ISBLANK(X3)),
    "",
    MAX(1, IF(
        NETWORKDAYS(W3, X3) &lt;= 0,
        1,
        NETWORKDAYS(W3, X3) - IF(W3 = X3, 0, 1)
    ))
)</f>
        <v>1</v>
      </c>
      <c r="AC3" s="76" t="s">
        <v>929</v>
      </c>
      <c r="AD3" s="67" t="s">
        <v>101</v>
      </c>
      <c r="AE3" s="67" t="s">
        <v>1118</v>
      </c>
      <c r="AF3" s="67" t="s">
        <v>1112</v>
      </c>
      <c r="AG3" s="67"/>
      <c r="AH3" s="67"/>
    </row>
    <row r="4" spans="1:34">
      <c r="A4" s="67" t="s">
        <v>47</v>
      </c>
      <c r="B4" s="67" t="s">
        <v>1119</v>
      </c>
      <c r="C4" s="69" t="s">
        <v>1120</v>
      </c>
      <c r="D4" s="74">
        <v>44896</v>
      </c>
      <c r="E4" s="67" t="s">
        <v>89</v>
      </c>
      <c r="F4" s="77">
        <v>15.382</v>
      </c>
      <c r="G4" s="67">
        <v>121.38057999999999</v>
      </c>
      <c r="H4" s="76" t="s">
        <v>1121</v>
      </c>
      <c r="I4" s="76" t="s">
        <v>120</v>
      </c>
      <c r="J4" s="78">
        <v>63</v>
      </c>
      <c r="K4" s="76" t="s">
        <v>1122</v>
      </c>
      <c r="L4" s="76" t="s">
        <v>120</v>
      </c>
      <c r="M4" s="76" t="s">
        <v>120</v>
      </c>
      <c r="N4" s="76" t="s">
        <v>120</v>
      </c>
      <c r="O4" s="67" t="s">
        <v>64</v>
      </c>
      <c r="P4" s="67" t="s">
        <v>14</v>
      </c>
      <c r="Q4" s="67"/>
      <c r="R4" s="67" t="s">
        <v>1109</v>
      </c>
      <c r="S4" s="67" t="s">
        <v>1123</v>
      </c>
      <c r="T4" s="79">
        <v>45819</v>
      </c>
      <c r="U4" s="79">
        <v>45824</v>
      </c>
      <c r="V4" s="79"/>
      <c r="W4" s="79">
        <v>45825</v>
      </c>
      <c r="X4" s="79">
        <v>45825</v>
      </c>
      <c r="Y4" s="80">
        <f t="shared" si="0"/>
        <v>3</v>
      </c>
      <c r="Z4" s="80" t="str">
        <f t="shared" si="1"/>
        <v/>
      </c>
      <c r="AA4" s="80">
        <f t="shared" si="2"/>
        <v>1</v>
      </c>
      <c r="AB4" s="80">
        <f t="shared" si="3"/>
        <v>1</v>
      </c>
      <c r="AC4" s="76" t="s">
        <v>929</v>
      </c>
      <c r="AD4" s="67" t="s">
        <v>101</v>
      </c>
      <c r="AE4" s="67" t="s">
        <v>1111</v>
      </c>
      <c r="AF4" s="67" t="s">
        <v>1112</v>
      </c>
      <c r="AG4" s="67"/>
      <c r="AH4" s="67"/>
    </row>
    <row r="5" spans="1:34" ht="42.75">
      <c r="A5" s="67" t="s">
        <v>48</v>
      </c>
      <c r="B5" s="67" t="s">
        <v>1124</v>
      </c>
      <c r="C5" s="69" t="s">
        <v>1125</v>
      </c>
      <c r="D5" s="74" t="s">
        <v>1126</v>
      </c>
      <c r="E5" s="67" t="s">
        <v>88</v>
      </c>
      <c r="F5" s="77">
        <v>14.7895</v>
      </c>
      <c r="G5" s="67">
        <v>120.53570000000001</v>
      </c>
      <c r="H5" s="76" t="s">
        <v>1127</v>
      </c>
      <c r="I5" s="76" t="s">
        <v>1128</v>
      </c>
      <c r="J5" s="78">
        <v>63</v>
      </c>
      <c r="K5" s="76" t="s">
        <v>1129</v>
      </c>
      <c r="L5" s="76" t="s">
        <v>1130</v>
      </c>
      <c r="M5" s="76" t="s">
        <v>120</v>
      </c>
      <c r="N5" s="76" t="s">
        <v>1131</v>
      </c>
      <c r="O5" s="67" t="s">
        <v>57</v>
      </c>
      <c r="P5" s="67" t="s">
        <v>18</v>
      </c>
      <c r="Q5" s="67"/>
      <c r="R5" s="67" t="s">
        <v>1132</v>
      </c>
      <c r="S5" s="67" t="s">
        <v>1133</v>
      </c>
      <c r="T5" s="79">
        <v>45742</v>
      </c>
      <c r="U5" s="79">
        <v>45747</v>
      </c>
      <c r="V5" s="79"/>
      <c r="W5" s="79">
        <v>45747</v>
      </c>
      <c r="X5" s="79">
        <v>45747</v>
      </c>
      <c r="Y5" s="80">
        <f t="shared" si="0"/>
        <v>3</v>
      </c>
      <c r="Z5" s="80" t="str">
        <f t="shared" si="1"/>
        <v/>
      </c>
      <c r="AA5" s="80">
        <f t="shared" si="2"/>
        <v>1</v>
      </c>
      <c r="AB5" s="80">
        <f t="shared" si="3"/>
        <v>1</v>
      </c>
      <c r="AC5" s="76" t="s">
        <v>929</v>
      </c>
      <c r="AD5" s="67" t="s">
        <v>101</v>
      </c>
      <c r="AE5" s="69" t="s">
        <v>1134</v>
      </c>
      <c r="AF5" s="67" t="s">
        <v>1112</v>
      </c>
      <c r="AG5" s="67"/>
      <c r="AH5" s="67"/>
    </row>
    <row r="6" spans="1:34" ht="42.75">
      <c r="A6" s="67" t="s">
        <v>48</v>
      </c>
      <c r="B6" s="67" t="s">
        <v>1135</v>
      </c>
      <c r="C6" s="69" t="s">
        <v>1136</v>
      </c>
      <c r="D6" s="74" t="s">
        <v>120</v>
      </c>
      <c r="E6" s="67" t="s">
        <v>88</v>
      </c>
      <c r="F6" s="77">
        <v>14.671222999999999</v>
      </c>
      <c r="G6" s="67">
        <v>120.494659</v>
      </c>
      <c r="H6" s="76" t="s">
        <v>1137</v>
      </c>
      <c r="I6" s="78" t="s">
        <v>1138</v>
      </c>
      <c r="J6" s="78">
        <v>63</v>
      </c>
      <c r="K6" s="76" t="s">
        <v>1139</v>
      </c>
      <c r="L6" s="76" t="s">
        <v>1140</v>
      </c>
      <c r="M6" s="76" t="s">
        <v>120</v>
      </c>
      <c r="N6" s="76" t="s">
        <v>120</v>
      </c>
      <c r="O6" s="67" t="s">
        <v>45</v>
      </c>
      <c r="P6" s="67" t="s">
        <v>273</v>
      </c>
      <c r="Q6" s="67"/>
      <c r="R6" s="67" t="s">
        <v>1132</v>
      </c>
      <c r="S6" s="67" t="s">
        <v>1141</v>
      </c>
      <c r="T6" s="79">
        <v>45715</v>
      </c>
      <c r="U6" s="79">
        <v>45718</v>
      </c>
      <c r="V6" s="79"/>
      <c r="W6" s="79">
        <v>45719</v>
      </c>
      <c r="X6" s="79">
        <v>45719</v>
      </c>
      <c r="Y6" s="80">
        <f t="shared" si="0"/>
        <v>1</v>
      </c>
      <c r="Z6" s="80" t="str">
        <f t="shared" si="1"/>
        <v/>
      </c>
      <c r="AA6" s="80">
        <f t="shared" si="2"/>
        <v>1</v>
      </c>
      <c r="AB6" s="80">
        <f t="shared" si="3"/>
        <v>1</v>
      </c>
      <c r="AC6" s="76" t="s">
        <v>929</v>
      </c>
      <c r="AD6" s="67" t="s">
        <v>101</v>
      </c>
      <c r="AE6" s="67" t="s">
        <v>1111</v>
      </c>
      <c r="AF6" s="67" t="s">
        <v>1112</v>
      </c>
      <c r="AG6" s="67"/>
      <c r="AH6" s="67"/>
    </row>
    <row r="7" spans="1:34" ht="57">
      <c r="A7" s="67" t="s">
        <v>49</v>
      </c>
      <c r="B7" s="67" t="s">
        <v>1142</v>
      </c>
      <c r="C7" s="69" t="s">
        <v>1143</v>
      </c>
      <c r="D7" s="74">
        <v>44917</v>
      </c>
      <c r="E7" s="67" t="s">
        <v>88</v>
      </c>
      <c r="F7" s="77">
        <v>14.8079</v>
      </c>
      <c r="G7" s="67">
        <v>120.8445</v>
      </c>
      <c r="H7" s="76" t="s">
        <v>1144</v>
      </c>
      <c r="I7" s="78" t="s">
        <v>1145</v>
      </c>
      <c r="J7" s="78" t="s">
        <v>1146</v>
      </c>
      <c r="K7" s="76" t="s">
        <v>120</v>
      </c>
      <c r="L7" s="76" t="s">
        <v>120</v>
      </c>
      <c r="M7" s="76" t="s">
        <v>120</v>
      </c>
      <c r="N7" s="76" t="s">
        <v>120</v>
      </c>
      <c r="O7" s="67" t="s">
        <v>62</v>
      </c>
      <c r="P7" s="67" t="s">
        <v>1147</v>
      </c>
      <c r="Q7" s="67" t="s">
        <v>1148</v>
      </c>
      <c r="R7" s="67" t="s">
        <v>128</v>
      </c>
      <c r="S7" s="67" t="s">
        <v>1149</v>
      </c>
      <c r="T7" s="79">
        <v>45692</v>
      </c>
      <c r="U7" s="79">
        <v>45694</v>
      </c>
      <c r="V7" s="79">
        <v>45698</v>
      </c>
      <c r="W7" s="79">
        <v>45698</v>
      </c>
      <c r="X7" s="79">
        <v>45701</v>
      </c>
      <c r="Y7" s="80">
        <f t="shared" si="0"/>
        <v>2</v>
      </c>
      <c r="Z7" s="80">
        <f t="shared" si="1"/>
        <v>2</v>
      </c>
      <c r="AA7" s="80">
        <f t="shared" si="2"/>
        <v>2</v>
      </c>
      <c r="AB7" s="80">
        <f t="shared" si="3"/>
        <v>3</v>
      </c>
      <c r="AC7" s="76" t="s">
        <v>929</v>
      </c>
      <c r="AD7" s="67" t="s">
        <v>101</v>
      </c>
      <c r="AE7" s="67">
        <v>0.26</v>
      </c>
      <c r="AF7" s="67" t="s">
        <v>1112</v>
      </c>
      <c r="AG7" s="67"/>
      <c r="AH7" s="67"/>
    </row>
    <row r="8" spans="1:34" ht="28.5">
      <c r="A8" s="67" t="s">
        <v>49</v>
      </c>
      <c r="B8" s="67" t="s">
        <v>1150</v>
      </c>
      <c r="C8" s="69" t="s">
        <v>1151</v>
      </c>
      <c r="D8" s="74">
        <v>44896</v>
      </c>
      <c r="E8" s="67" t="s">
        <v>88</v>
      </c>
      <c r="F8" s="77">
        <v>14.8078</v>
      </c>
      <c r="G8" s="67">
        <v>120.8445</v>
      </c>
      <c r="H8" s="76" t="s">
        <v>1152</v>
      </c>
      <c r="I8" s="76" t="s">
        <v>1153</v>
      </c>
      <c r="J8" s="78" t="s">
        <v>1154</v>
      </c>
      <c r="K8" s="76" t="s">
        <v>120</v>
      </c>
      <c r="L8" s="76" t="s">
        <v>120</v>
      </c>
      <c r="M8" s="76" t="s">
        <v>120</v>
      </c>
      <c r="N8" s="76" t="s">
        <v>120</v>
      </c>
      <c r="O8" s="67" t="s">
        <v>64</v>
      </c>
      <c r="P8" s="67" t="s">
        <v>136</v>
      </c>
      <c r="Q8" s="67"/>
      <c r="R8" s="67" t="s">
        <v>128</v>
      </c>
      <c r="S8" s="67" t="s">
        <v>1155</v>
      </c>
      <c r="T8" s="79">
        <v>45807</v>
      </c>
      <c r="U8" s="79">
        <v>45808</v>
      </c>
      <c r="V8" s="79"/>
      <c r="W8" s="79">
        <v>45811</v>
      </c>
      <c r="X8" s="79">
        <v>45813</v>
      </c>
      <c r="Y8" s="80">
        <f t="shared" si="0"/>
        <v>1</v>
      </c>
      <c r="Z8" s="80" t="str">
        <f t="shared" si="1"/>
        <v/>
      </c>
      <c r="AA8" s="80">
        <f t="shared" si="2"/>
        <v>1</v>
      </c>
      <c r="AB8" s="80">
        <f t="shared" si="3"/>
        <v>2</v>
      </c>
      <c r="AC8" s="76" t="s">
        <v>929</v>
      </c>
      <c r="AD8" s="67" t="s">
        <v>101</v>
      </c>
      <c r="AE8" s="67">
        <v>3.5000000000000003E-2</v>
      </c>
      <c r="AF8" s="67" t="s">
        <v>1112</v>
      </c>
      <c r="AG8" s="67"/>
      <c r="AH8" s="67"/>
    </row>
    <row r="9" spans="1:34" ht="42.75">
      <c r="A9" s="67" t="s">
        <v>49</v>
      </c>
      <c r="B9" s="67" t="s">
        <v>1156</v>
      </c>
      <c r="C9" s="69" t="s">
        <v>1157</v>
      </c>
      <c r="D9" s="74">
        <v>44986</v>
      </c>
      <c r="E9" s="67" t="s">
        <v>88</v>
      </c>
      <c r="F9" s="77">
        <v>14.783899999999999</v>
      </c>
      <c r="G9" s="67">
        <v>120.07250000000001</v>
      </c>
      <c r="H9" s="76" t="s">
        <v>1158</v>
      </c>
      <c r="I9" s="76" t="s">
        <v>1153</v>
      </c>
      <c r="J9" s="78">
        <v>62</v>
      </c>
      <c r="K9" s="76" t="s">
        <v>120</v>
      </c>
      <c r="L9" s="76" t="s">
        <v>120</v>
      </c>
      <c r="M9" s="76" t="s">
        <v>120</v>
      </c>
      <c r="N9" s="76" t="s">
        <v>120</v>
      </c>
      <c r="O9" s="67" t="s">
        <v>57</v>
      </c>
      <c r="P9" s="67" t="s">
        <v>1147</v>
      </c>
      <c r="Q9" s="67"/>
      <c r="R9" s="67" t="s">
        <v>128</v>
      </c>
      <c r="S9" s="67" t="s">
        <v>1159</v>
      </c>
      <c r="T9" s="79">
        <v>45769</v>
      </c>
      <c r="U9" s="79">
        <v>45771</v>
      </c>
      <c r="V9" s="79"/>
      <c r="W9" s="79">
        <v>45775</v>
      </c>
      <c r="X9" s="79">
        <v>45782</v>
      </c>
      <c r="Y9" s="80">
        <f t="shared" si="0"/>
        <v>2</v>
      </c>
      <c r="Z9" s="80" t="str">
        <f t="shared" si="1"/>
        <v/>
      </c>
      <c r="AA9" s="80">
        <f t="shared" si="2"/>
        <v>2</v>
      </c>
      <c r="AB9" s="80">
        <f t="shared" si="3"/>
        <v>5</v>
      </c>
      <c r="AC9" s="76" t="s">
        <v>929</v>
      </c>
      <c r="AD9" s="67" t="s">
        <v>108</v>
      </c>
      <c r="AE9" s="67" t="s">
        <v>1111</v>
      </c>
      <c r="AF9" s="67" t="s">
        <v>1112</v>
      </c>
      <c r="AG9" s="67"/>
      <c r="AH9" s="67"/>
    </row>
    <row r="10" spans="1:34" ht="28.5">
      <c r="A10" s="67" t="s">
        <v>65</v>
      </c>
      <c r="B10" s="67" t="s">
        <v>1160</v>
      </c>
      <c r="C10" s="69" t="s">
        <v>1161</v>
      </c>
      <c r="D10" s="74">
        <v>44927</v>
      </c>
      <c r="E10" s="67" t="s">
        <v>88</v>
      </c>
      <c r="F10" s="77">
        <v>15.489800000000001</v>
      </c>
      <c r="G10" s="67">
        <v>120.9936</v>
      </c>
      <c r="H10" s="76" t="s">
        <v>1162</v>
      </c>
      <c r="I10" s="76"/>
      <c r="J10" s="78" t="s">
        <v>1163</v>
      </c>
      <c r="K10" s="76" t="s">
        <v>1164</v>
      </c>
      <c r="L10" s="76" t="s">
        <v>120</v>
      </c>
      <c r="M10" s="76" t="s">
        <v>120</v>
      </c>
      <c r="N10" s="76" t="s">
        <v>120</v>
      </c>
      <c r="O10" s="67" t="s">
        <v>57</v>
      </c>
      <c r="P10" s="67" t="s">
        <v>141</v>
      </c>
      <c r="Q10" s="67" t="s">
        <v>1165</v>
      </c>
      <c r="R10" s="67" t="s">
        <v>130</v>
      </c>
      <c r="S10" s="67" t="s">
        <v>1166</v>
      </c>
      <c r="T10" s="79">
        <v>45751</v>
      </c>
      <c r="U10" s="79">
        <v>45754</v>
      </c>
      <c r="V10" s="79">
        <v>45755</v>
      </c>
      <c r="W10" s="79">
        <v>45755</v>
      </c>
      <c r="X10" s="79">
        <v>45757</v>
      </c>
      <c r="Y10" s="80">
        <f t="shared" si="0"/>
        <v>1</v>
      </c>
      <c r="Z10" s="80">
        <f t="shared" si="1"/>
        <v>1</v>
      </c>
      <c r="AA10" s="80">
        <f t="shared" si="2"/>
        <v>1</v>
      </c>
      <c r="AB10" s="80">
        <f t="shared" si="3"/>
        <v>2</v>
      </c>
      <c r="AC10" s="76" t="s">
        <v>929</v>
      </c>
      <c r="AD10" s="67" t="s">
        <v>101</v>
      </c>
      <c r="AE10" s="67" t="s">
        <v>1167</v>
      </c>
      <c r="AF10" s="67" t="s">
        <v>1112</v>
      </c>
      <c r="AG10" s="67"/>
      <c r="AH10" s="67"/>
    </row>
    <row r="11" spans="1:34" ht="28.5">
      <c r="A11" s="67" t="s">
        <v>65</v>
      </c>
      <c r="B11" s="67" t="s">
        <v>1168</v>
      </c>
      <c r="C11" s="69" t="s">
        <v>1169</v>
      </c>
      <c r="D11" s="74">
        <v>44927</v>
      </c>
      <c r="E11" s="67" t="s">
        <v>88</v>
      </c>
      <c r="F11" s="77">
        <v>15.562150000000001</v>
      </c>
      <c r="G11" s="67">
        <v>121.09815</v>
      </c>
      <c r="H11" s="76" t="s">
        <v>1170</v>
      </c>
      <c r="I11" s="76" t="s">
        <v>1171</v>
      </c>
      <c r="J11" s="78">
        <v>63</v>
      </c>
      <c r="K11" s="76" t="s">
        <v>1172</v>
      </c>
      <c r="L11" s="78" t="s">
        <v>1173</v>
      </c>
      <c r="M11" s="76" t="s">
        <v>120</v>
      </c>
      <c r="N11" s="76" t="s">
        <v>120</v>
      </c>
      <c r="O11" s="67" t="s">
        <v>57</v>
      </c>
      <c r="P11" s="67" t="s">
        <v>26</v>
      </c>
      <c r="Q11" s="67" t="s">
        <v>1165</v>
      </c>
      <c r="R11" s="67" t="s">
        <v>130</v>
      </c>
      <c r="S11" s="67" t="s">
        <v>1174</v>
      </c>
      <c r="T11" s="79">
        <v>45744</v>
      </c>
      <c r="U11" s="79">
        <v>45757</v>
      </c>
      <c r="V11" s="79">
        <v>45761</v>
      </c>
      <c r="W11" s="79">
        <v>45761</v>
      </c>
      <c r="X11" s="79">
        <v>45762</v>
      </c>
      <c r="Y11" s="80">
        <f t="shared" si="0"/>
        <v>9</v>
      </c>
      <c r="Z11" s="80">
        <f t="shared" si="1"/>
        <v>2</v>
      </c>
      <c r="AA11" s="80">
        <f t="shared" si="2"/>
        <v>1</v>
      </c>
      <c r="AB11" s="80">
        <f t="shared" si="3"/>
        <v>1</v>
      </c>
      <c r="AC11" s="76" t="s">
        <v>929</v>
      </c>
      <c r="AD11" s="67" t="s">
        <v>101</v>
      </c>
      <c r="AE11" s="67" t="s">
        <v>1175</v>
      </c>
      <c r="AF11" s="67" t="s">
        <v>1112</v>
      </c>
      <c r="AG11" s="67"/>
      <c r="AH11" s="67"/>
    </row>
    <row r="12" spans="1:34" ht="99.75">
      <c r="A12" s="67" t="s">
        <v>65</v>
      </c>
      <c r="B12" s="67" t="s">
        <v>1176</v>
      </c>
      <c r="C12" s="69" t="s">
        <v>1177</v>
      </c>
      <c r="D12" s="74">
        <v>44896</v>
      </c>
      <c r="E12" s="67" t="s">
        <v>88</v>
      </c>
      <c r="F12" s="77">
        <v>15.76052</v>
      </c>
      <c r="G12" s="67">
        <v>120.95547999999999</v>
      </c>
      <c r="H12" s="76" t="s">
        <v>1178</v>
      </c>
      <c r="I12" s="76" t="s">
        <v>120</v>
      </c>
      <c r="J12" s="78">
        <v>63</v>
      </c>
      <c r="K12" s="76" t="s">
        <v>1179</v>
      </c>
      <c r="L12" s="76" t="s">
        <v>1180</v>
      </c>
      <c r="M12" s="76" t="s">
        <v>120</v>
      </c>
      <c r="N12" s="76" t="s">
        <v>120</v>
      </c>
      <c r="O12" s="67" t="s">
        <v>63</v>
      </c>
      <c r="P12" s="67" t="s">
        <v>26</v>
      </c>
      <c r="Q12" s="67" t="s">
        <v>1165</v>
      </c>
      <c r="R12" s="67" t="s">
        <v>130</v>
      </c>
      <c r="S12" s="67" t="s">
        <v>1181</v>
      </c>
      <c r="T12" s="79">
        <v>45792</v>
      </c>
      <c r="U12" s="79">
        <v>45796</v>
      </c>
      <c r="V12" s="79">
        <v>45796</v>
      </c>
      <c r="W12" s="79">
        <v>45796</v>
      </c>
      <c r="X12" s="79">
        <v>45797</v>
      </c>
      <c r="Y12" s="80">
        <f t="shared" si="0"/>
        <v>2</v>
      </c>
      <c r="Z12" s="80">
        <f t="shared" si="1"/>
        <v>1</v>
      </c>
      <c r="AA12" s="80">
        <f t="shared" si="2"/>
        <v>1</v>
      </c>
      <c r="AB12" s="80">
        <f t="shared" si="3"/>
        <v>1</v>
      </c>
      <c r="AC12" s="76" t="s">
        <v>929</v>
      </c>
      <c r="AD12" s="67" t="s">
        <v>101</v>
      </c>
      <c r="AE12" s="67">
        <v>0</v>
      </c>
      <c r="AF12" s="69" t="s">
        <v>1182</v>
      </c>
      <c r="AG12" s="67"/>
      <c r="AH12" s="67"/>
    </row>
    <row r="13" spans="1:34" ht="28.5">
      <c r="A13" s="67" t="s">
        <v>65</v>
      </c>
      <c r="B13" s="67" t="s">
        <v>1183</v>
      </c>
      <c r="C13" s="69" t="s">
        <v>1184</v>
      </c>
      <c r="D13" s="74">
        <v>45054</v>
      </c>
      <c r="E13" s="67" t="s">
        <v>88</v>
      </c>
      <c r="F13" s="77">
        <v>15.76113</v>
      </c>
      <c r="G13" s="67">
        <v>120.89765199999999</v>
      </c>
      <c r="H13" s="76" t="s">
        <v>1185</v>
      </c>
      <c r="I13" s="76" t="s">
        <v>1186</v>
      </c>
      <c r="J13" s="78">
        <v>63</v>
      </c>
      <c r="K13" s="76" t="s">
        <v>1187</v>
      </c>
      <c r="L13" s="76" t="s">
        <v>1188</v>
      </c>
      <c r="M13" s="76" t="s">
        <v>1188</v>
      </c>
      <c r="N13" s="76" t="s">
        <v>1188</v>
      </c>
      <c r="O13" s="67" t="s">
        <v>63</v>
      </c>
      <c r="P13" s="67" t="s">
        <v>29</v>
      </c>
      <c r="Q13" s="67" t="s">
        <v>1165</v>
      </c>
      <c r="R13" s="67" t="s">
        <v>130</v>
      </c>
      <c r="S13" s="67" t="s">
        <v>1189</v>
      </c>
      <c r="T13" s="79">
        <v>45793</v>
      </c>
      <c r="U13" s="79">
        <v>45796</v>
      </c>
      <c r="V13" s="79">
        <v>45796</v>
      </c>
      <c r="W13" s="79">
        <v>45796</v>
      </c>
      <c r="X13" s="79">
        <v>45797</v>
      </c>
      <c r="Y13" s="80">
        <f t="shared" si="0"/>
        <v>1</v>
      </c>
      <c r="Z13" s="80">
        <f t="shared" si="1"/>
        <v>1</v>
      </c>
      <c r="AA13" s="80">
        <f>IF(
  OR(A13 = "Nueva_Ecija", A13 = "Zambales"),
  IF(
    OR(ISBLANK(V13), ISBLANK(W13)),
    "",
    MAX(1, IF(
      NETWORKDAYS(V13, W13) &lt;= 0,
      1,
      NETWORKDAYS(V13, W13) - IF(V13 = W13, 0, 1)
    ))
  ),
  IF(
    OR(ISBLANK(U13), ISBLANK(W13)),
    "",
    MAX(1, IF(
      NETWORKDAYS(U13, W13) &lt;= 0,
      1,
      NETWORKDAYS(U13, W13) - IF(U13 = W13, 0, 1)
    ))
  )
)</f>
        <v>1</v>
      </c>
      <c r="AB13" s="80">
        <f t="shared" si="3"/>
        <v>1</v>
      </c>
      <c r="AC13" s="76" t="s">
        <v>929</v>
      </c>
      <c r="AD13" s="67" t="s">
        <v>101</v>
      </c>
      <c r="AE13" s="67">
        <v>2</v>
      </c>
      <c r="AF13" s="69" t="s">
        <v>1190</v>
      </c>
      <c r="AG13" s="67"/>
      <c r="AH13" s="67"/>
    </row>
    <row r="14" spans="1:34" ht="28.5">
      <c r="A14" s="67" t="s">
        <v>51</v>
      </c>
      <c r="B14" s="67" t="s">
        <v>1191</v>
      </c>
      <c r="C14" s="69" t="s">
        <v>1192</v>
      </c>
      <c r="D14" s="74">
        <v>45283</v>
      </c>
      <c r="E14" s="67" t="s">
        <v>88</v>
      </c>
      <c r="F14" s="77"/>
      <c r="G14" s="67">
        <v>120.61186499999999</v>
      </c>
      <c r="H14" s="76" t="s">
        <v>1193</v>
      </c>
      <c r="I14" s="78" t="s">
        <v>1194</v>
      </c>
      <c r="J14" s="78"/>
      <c r="K14" s="76" t="s">
        <v>120</v>
      </c>
      <c r="L14" s="76" t="s">
        <v>1188</v>
      </c>
      <c r="M14" s="76" t="s">
        <v>1188</v>
      </c>
      <c r="N14" s="76"/>
      <c r="O14" s="67" t="s">
        <v>92</v>
      </c>
      <c r="P14" s="67" t="s">
        <v>33</v>
      </c>
      <c r="Q14" s="67"/>
      <c r="R14" s="67" t="s">
        <v>1195</v>
      </c>
      <c r="S14" s="67" t="s">
        <v>1196</v>
      </c>
      <c r="T14" s="79">
        <v>45678</v>
      </c>
      <c r="U14" s="79">
        <v>45679</v>
      </c>
      <c r="V14" s="79"/>
      <c r="W14" s="79">
        <v>45681</v>
      </c>
      <c r="X14" s="79">
        <v>45681</v>
      </c>
      <c r="Y14" s="80">
        <f t="shared" si="0"/>
        <v>1</v>
      </c>
      <c r="Z14" s="80" t="str">
        <f t="shared" si="1"/>
        <v/>
      </c>
      <c r="AA14" s="80">
        <f t="shared" si="2"/>
        <v>2</v>
      </c>
      <c r="AB14" s="80">
        <f t="shared" si="3"/>
        <v>1</v>
      </c>
      <c r="AC14" s="76" t="s">
        <v>929</v>
      </c>
      <c r="AD14" s="67" t="s">
        <v>108</v>
      </c>
      <c r="AE14" s="67" t="s">
        <v>1111</v>
      </c>
      <c r="AF14" s="67"/>
      <c r="AG14" s="67"/>
      <c r="AH14" s="67"/>
    </row>
    <row r="15" spans="1:34" ht="28.5">
      <c r="A15" s="67" t="s">
        <v>51</v>
      </c>
      <c r="B15" s="67" t="s">
        <v>1197</v>
      </c>
      <c r="C15" s="69" t="s">
        <v>1192</v>
      </c>
      <c r="D15" s="74">
        <v>45283</v>
      </c>
      <c r="E15" s="67" t="s">
        <v>88</v>
      </c>
      <c r="F15" s="77">
        <v>15.081951999999999</v>
      </c>
      <c r="G15" s="67">
        <v>120.61186499999999</v>
      </c>
      <c r="H15" s="76" t="s">
        <v>1193</v>
      </c>
      <c r="I15" s="78" t="s">
        <v>1194</v>
      </c>
      <c r="J15" s="78"/>
      <c r="K15" s="76" t="s">
        <v>120</v>
      </c>
      <c r="L15" s="76" t="s">
        <v>1188</v>
      </c>
      <c r="M15" s="76" t="s">
        <v>1188</v>
      </c>
      <c r="N15" s="76"/>
      <c r="O15" s="67" t="s">
        <v>92</v>
      </c>
      <c r="P15" s="67" t="s">
        <v>33</v>
      </c>
      <c r="Q15" s="67"/>
      <c r="R15" s="67" t="s">
        <v>1195</v>
      </c>
      <c r="S15" s="67" t="s">
        <v>1196</v>
      </c>
      <c r="T15" s="79">
        <v>45678</v>
      </c>
      <c r="U15" s="79">
        <v>45679</v>
      </c>
      <c r="V15" s="79"/>
      <c r="W15" s="79">
        <v>45681</v>
      </c>
      <c r="X15" s="79">
        <v>45681</v>
      </c>
      <c r="Y15" s="80">
        <f t="shared" si="0"/>
        <v>1</v>
      </c>
      <c r="Z15" s="80" t="str">
        <f t="shared" si="1"/>
        <v/>
      </c>
      <c r="AA15" s="80">
        <f t="shared" si="2"/>
        <v>2</v>
      </c>
      <c r="AB15" s="80">
        <f t="shared" si="3"/>
        <v>1</v>
      </c>
      <c r="AC15" s="76" t="s">
        <v>929</v>
      </c>
      <c r="AD15" s="67" t="s">
        <v>108</v>
      </c>
      <c r="AE15" s="67" t="s">
        <v>1111</v>
      </c>
      <c r="AF15" s="67"/>
      <c r="AG15" s="67"/>
      <c r="AH15" s="67"/>
    </row>
    <row r="16" spans="1:34" ht="28.5">
      <c r="A16" s="67" t="s">
        <v>51</v>
      </c>
      <c r="B16" s="67" t="s">
        <v>1198</v>
      </c>
      <c r="C16" s="69" t="s">
        <v>1199</v>
      </c>
      <c r="D16" s="74" t="s">
        <v>120</v>
      </c>
      <c r="E16" s="67" t="s">
        <v>88</v>
      </c>
      <c r="F16" s="77">
        <v>15.14598</v>
      </c>
      <c r="G16" s="67">
        <v>120.58114</v>
      </c>
      <c r="H16" s="76" t="s">
        <v>1200</v>
      </c>
      <c r="I16" s="76"/>
      <c r="J16" s="78">
        <v>63</v>
      </c>
      <c r="K16" s="76" t="s">
        <v>1201</v>
      </c>
      <c r="L16" s="76" t="s">
        <v>1202</v>
      </c>
      <c r="M16" s="76" t="s">
        <v>1203</v>
      </c>
      <c r="N16" s="78" t="s">
        <v>1204</v>
      </c>
      <c r="O16" s="67" t="s">
        <v>45</v>
      </c>
      <c r="P16" s="67" t="s">
        <v>33</v>
      </c>
      <c r="Q16" s="67"/>
      <c r="R16" s="67" t="s">
        <v>1195</v>
      </c>
      <c r="S16" s="67" t="s">
        <v>1205</v>
      </c>
      <c r="T16" s="79">
        <v>45729</v>
      </c>
      <c r="U16" s="79">
        <v>45731</v>
      </c>
      <c r="V16" s="79"/>
      <c r="W16" s="79">
        <v>45733</v>
      </c>
      <c r="X16" s="79">
        <v>45733</v>
      </c>
      <c r="Y16" s="80">
        <f t="shared" si="0"/>
        <v>1</v>
      </c>
      <c r="Z16" s="80" t="str">
        <f t="shared" si="1"/>
        <v/>
      </c>
      <c r="AA16" s="80">
        <f t="shared" si="2"/>
        <v>1</v>
      </c>
      <c r="AB16" s="80">
        <f t="shared" si="3"/>
        <v>1</v>
      </c>
      <c r="AC16" s="76" t="s">
        <v>929</v>
      </c>
      <c r="AD16" s="67" t="s">
        <v>101</v>
      </c>
      <c r="AE16" s="67" t="s">
        <v>1111</v>
      </c>
      <c r="AF16" s="67" t="s">
        <v>1112</v>
      </c>
      <c r="AG16" s="67"/>
      <c r="AH16" s="67"/>
    </row>
    <row r="17" spans="1:34" ht="28.5">
      <c r="A17" s="67" t="s">
        <v>51</v>
      </c>
      <c r="B17" s="67" t="s">
        <v>1206</v>
      </c>
      <c r="C17" s="69" t="s">
        <v>1207</v>
      </c>
      <c r="D17" s="74">
        <v>45283</v>
      </c>
      <c r="E17" s="67" t="s">
        <v>88</v>
      </c>
      <c r="F17" s="77">
        <v>15.06912</v>
      </c>
      <c r="G17" s="67">
        <v>120.57165999999999</v>
      </c>
      <c r="H17" s="76" t="s">
        <v>1208</v>
      </c>
      <c r="I17" s="76" t="s">
        <v>1209</v>
      </c>
      <c r="J17" s="78">
        <v>63</v>
      </c>
      <c r="K17" s="76" t="s">
        <v>120</v>
      </c>
      <c r="L17" s="76" t="s">
        <v>120</v>
      </c>
      <c r="M17" s="76" t="s">
        <v>120</v>
      </c>
      <c r="N17" s="76" t="s">
        <v>120</v>
      </c>
      <c r="O17" s="67" t="s">
        <v>63</v>
      </c>
      <c r="P17" s="67" t="s">
        <v>33</v>
      </c>
      <c r="Q17" s="67"/>
      <c r="R17" s="67" t="s">
        <v>1195</v>
      </c>
      <c r="S17" s="67" t="s">
        <v>1210</v>
      </c>
      <c r="T17" s="79">
        <v>45783</v>
      </c>
      <c r="U17" s="79">
        <v>45784</v>
      </c>
      <c r="V17" s="79"/>
      <c r="W17" s="79">
        <v>45796</v>
      </c>
      <c r="X17" s="79">
        <v>45796</v>
      </c>
      <c r="Y17" s="80">
        <f t="shared" si="0"/>
        <v>1</v>
      </c>
      <c r="Z17" s="80" t="str">
        <f t="shared" si="1"/>
        <v/>
      </c>
      <c r="AA17" s="80">
        <f t="shared" si="2"/>
        <v>8</v>
      </c>
      <c r="AB17" s="80">
        <f t="shared" si="3"/>
        <v>1</v>
      </c>
      <c r="AC17" s="76" t="s">
        <v>929</v>
      </c>
      <c r="AD17" s="67" t="s">
        <v>101</v>
      </c>
      <c r="AE17" s="67" t="s">
        <v>1111</v>
      </c>
      <c r="AF17" s="67" t="s">
        <v>1112</v>
      </c>
      <c r="AG17" s="67"/>
      <c r="AH17" s="67"/>
    </row>
    <row r="18" spans="1:34" ht="285">
      <c r="A18" s="67" t="s">
        <v>52</v>
      </c>
      <c r="B18" s="67" t="s">
        <v>1211</v>
      </c>
      <c r="C18" s="69" t="s">
        <v>1212</v>
      </c>
      <c r="D18" s="74">
        <v>44924</v>
      </c>
      <c r="E18" s="67" t="s">
        <v>88</v>
      </c>
      <c r="F18" s="77">
        <v>15.471690000000001</v>
      </c>
      <c r="G18" s="67">
        <v>120.58632</v>
      </c>
      <c r="H18" s="76" t="s">
        <v>1213</v>
      </c>
      <c r="I18" s="76"/>
      <c r="J18" s="78" t="s">
        <v>1214</v>
      </c>
      <c r="K18" s="76" t="s">
        <v>1215</v>
      </c>
      <c r="L18" s="76" t="s">
        <v>1216</v>
      </c>
      <c r="M18" s="76" t="s">
        <v>1217</v>
      </c>
      <c r="N18" s="76" t="s">
        <v>1218</v>
      </c>
      <c r="O18" s="67" t="s">
        <v>62</v>
      </c>
      <c r="P18" s="81" t="s">
        <v>37</v>
      </c>
      <c r="Q18" s="67" t="s">
        <v>1109</v>
      </c>
      <c r="R18" s="67" t="s">
        <v>1148</v>
      </c>
      <c r="S18" s="67" t="s">
        <v>1219</v>
      </c>
      <c r="T18" s="79">
        <v>45707</v>
      </c>
      <c r="U18" s="79">
        <v>45707</v>
      </c>
      <c r="V18" s="79"/>
      <c r="W18" s="79">
        <v>45707</v>
      </c>
      <c r="X18" s="79">
        <v>45707</v>
      </c>
      <c r="Y18" s="80">
        <f t="shared" si="0"/>
        <v>1</v>
      </c>
      <c r="Z18" s="80" t="str">
        <f t="shared" si="1"/>
        <v/>
      </c>
      <c r="AA18" s="80">
        <f t="shared" si="2"/>
        <v>1</v>
      </c>
      <c r="AB18" s="80">
        <f t="shared" si="3"/>
        <v>1</v>
      </c>
      <c r="AC18" s="76" t="s">
        <v>929</v>
      </c>
      <c r="AD18" s="67" t="s">
        <v>101</v>
      </c>
      <c r="AE18" s="67" t="s">
        <v>1111</v>
      </c>
      <c r="AF18" s="69" t="s">
        <v>1220</v>
      </c>
      <c r="AG18" s="67"/>
      <c r="AH18" s="67"/>
    </row>
    <row r="19" spans="1:34" ht="270.75">
      <c r="A19" s="67" t="s">
        <v>52</v>
      </c>
      <c r="B19" s="67" t="s">
        <v>1211</v>
      </c>
      <c r="C19" s="69" t="s">
        <v>1212</v>
      </c>
      <c r="D19" s="74">
        <v>44924</v>
      </c>
      <c r="E19" s="67" t="s">
        <v>88</v>
      </c>
      <c r="F19" s="77">
        <v>15.471690000000001</v>
      </c>
      <c r="G19" s="67">
        <v>120.58632</v>
      </c>
      <c r="H19" s="76" t="s">
        <v>1213</v>
      </c>
      <c r="I19" s="76"/>
      <c r="J19" s="78" t="s">
        <v>1221</v>
      </c>
      <c r="K19" s="76" t="s">
        <v>1215</v>
      </c>
      <c r="L19" s="76" t="s">
        <v>1216</v>
      </c>
      <c r="M19" s="76" t="s">
        <v>1217</v>
      </c>
      <c r="N19" s="76" t="s">
        <v>1218</v>
      </c>
      <c r="O19" s="67" t="s">
        <v>62</v>
      </c>
      <c r="P19" s="81" t="s">
        <v>37</v>
      </c>
      <c r="Q19" s="67" t="s">
        <v>1109</v>
      </c>
      <c r="R19" s="67" t="s">
        <v>1148</v>
      </c>
      <c r="S19" s="67" t="s">
        <v>1222</v>
      </c>
      <c r="T19" s="79">
        <v>45707</v>
      </c>
      <c r="U19" s="79">
        <v>45707</v>
      </c>
      <c r="V19" s="79"/>
      <c r="W19" s="79">
        <v>45707</v>
      </c>
      <c r="X19" s="79">
        <v>45707</v>
      </c>
      <c r="Y19" s="80">
        <f t="shared" si="0"/>
        <v>1</v>
      </c>
      <c r="Z19" s="80" t="str">
        <f t="shared" si="1"/>
        <v/>
      </c>
      <c r="AA19" s="80">
        <f t="shared" si="2"/>
        <v>1</v>
      </c>
      <c r="AB19" s="80">
        <f t="shared" si="3"/>
        <v>1</v>
      </c>
      <c r="AC19" s="76" t="s">
        <v>929</v>
      </c>
      <c r="AD19" s="67" t="s">
        <v>101</v>
      </c>
      <c r="AE19" s="67" t="s">
        <v>1111</v>
      </c>
      <c r="AF19" s="69" t="s">
        <v>1223</v>
      </c>
      <c r="AG19" s="67"/>
      <c r="AH19" s="67"/>
    </row>
    <row r="20" spans="1:34" ht="28.5">
      <c r="A20" s="67" t="s">
        <v>53</v>
      </c>
      <c r="B20" s="67" t="s">
        <v>1224</v>
      </c>
      <c r="C20" s="69" t="s">
        <v>1225</v>
      </c>
      <c r="D20" s="74">
        <v>44927</v>
      </c>
      <c r="E20" s="67" t="s">
        <v>89</v>
      </c>
      <c r="F20" s="77">
        <v>15.3133</v>
      </c>
      <c r="G20" s="67">
        <v>119.99890000000001</v>
      </c>
      <c r="H20" s="76" t="s">
        <v>1226</v>
      </c>
      <c r="I20" s="76"/>
      <c r="J20" s="78">
        <v>63</v>
      </c>
      <c r="K20" s="76" t="s">
        <v>120</v>
      </c>
      <c r="L20" s="76" t="s">
        <v>120</v>
      </c>
      <c r="M20" s="76" t="s">
        <v>120</v>
      </c>
      <c r="N20" s="76" t="s">
        <v>120</v>
      </c>
      <c r="O20" s="67" t="s">
        <v>57</v>
      </c>
      <c r="P20" s="67" t="s">
        <v>1227</v>
      </c>
      <c r="Q20" s="67" t="s">
        <v>1109</v>
      </c>
      <c r="R20" s="67" t="s">
        <v>1228</v>
      </c>
      <c r="S20" s="67" t="s">
        <v>1229</v>
      </c>
      <c r="T20" s="79">
        <v>45751</v>
      </c>
      <c r="U20" s="79">
        <v>45754</v>
      </c>
      <c r="V20" s="79">
        <v>45755</v>
      </c>
      <c r="W20" s="79">
        <v>45755</v>
      </c>
      <c r="X20" s="79">
        <v>45755</v>
      </c>
      <c r="Y20" s="80">
        <f t="shared" si="0"/>
        <v>1</v>
      </c>
      <c r="Z20" s="80">
        <f t="shared" si="1"/>
        <v>1</v>
      </c>
      <c r="AA20" s="80">
        <f t="shared" si="2"/>
        <v>1</v>
      </c>
      <c r="AB20" s="80">
        <f t="shared" si="3"/>
        <v>1</v>
      </c>
      <c r="AC20" s="76" t="s">
        <v>929</v>
      </c>
      <c r="AD20" s="67" t="s">
        <v>101</v>
      </c>
      <c r="AE20" s="67" t="s">
        <v>1111</v>
      </c>
      <c r="AF20" s="67" t="s">
        <v>1112</v>
      </c>
      <c r="AG20" s="67"/>
      <c r="AH20" s="67"/>
    </row>
    <row r="21" spans="1:34" ht="28.5">
      <c r="A21" s="67" t="s">
        <v>53</v>
      </c>
      <c r="B21" s="67" t="s">
        <v>1224</v>
      </c>
      <c r="C21" s="69" t="s">
        <v>1225</v>
      </c>
      <c r="D21" s="74">
        <v>44927</v>
      </c>
      <c r="E21" s="67" t="s">
        <v>89</v>
      </c>
      <c r="F21" s="77">
        <v>15.3133</v>
      </c>
      <c r="G21" s="67">
        <v>119.99890000000001</v>
      </c>
      <c r="H21" s="76" t="s">
        <v>1226</v>
      </c>
      <c r="I21" s="76"/>
      <c r="J21" s="78">
        <v>63</v>
      </c>
      <c r="K21" s="76" t="s">
        <v>120</v>
      </c>
      <c r="L21" s="76" t="s">
        <v>120</v>
      </c>
      <c r="M21" s="76" t="s">
        <v>120</v>
      </c>
      <c r="N21" s="76" t="s">
        <v>120</v>
      </c>
      <c r="O21" s="67" t="s">
        <v>57</v>
      </c>
      <c r="P21" s="67" t="s">
        <v>1227</v>
      </c>
      <c r="Q21" s="67" t="s">
        <v>1109</v>
      </c>
      <c r="R21" s="67" t="s">
        <v>1228</v>
      </c>
      <c r="S21" s="67" t="s">
        <v>1230</v>
      </c>
      <c r="T21" s="79">
        <v>45751</v>
      </c>
      <c r="U21" s="79">
        <v>45754</v>
      </c>
      <c r="V21" s="79">
        <v>45755</v>
      </c>
      <c r="W21" s="79">
        <v>45755</v>
      </c>
      <c r="X21" s="79">
        <v>45755</v>
      </c>
      <c r="Y21" s="80">
        <f t="shared" si="0"/>
        <v>1</v>
      </c>
      <c r="Z21" s="80">
        <f t="shared" si="1"/>
        <v>1</v>
      </c>
      <c r="AA21" s="80">
        <f>IF(
  OR(A21 = "Nueva_Ecija", A21 = "Zambales"),
  IF(
    OR(ISBLANK(V21), ISBLANK(W21)),
    "",
    MAX(1, IF(
      NETWORKDAYS(V21, W21) &lt;= 0,
      1,
      NETWORKDAYS(V21, W21) - IF(V21 = W21, 0, 1)
    ))
  ),
  IF(
    OR(ISBLANK(U21), ISBLANK(W21)),
    "",
    MAX(1, IF(
      NETWORKDAYS(U21, W21) &lt;= 0,
      1,
      NETWORKDAYS(U21, W21) - IF(U21 = W21, 0, 1)
    ))
  )
)</f>
        <v>1</v>
      </c>
      <c r="AB21" s="80">
        <f t="shared" si="3"/>
        <v>1</v>
      </c>
      <c r="AC21" s="76" t="s">
        <v>929</v>
      </c>
      <c r="AD21" s="67" t="s">
        <v>101</v>
      </c>
      <c r="AE21" s="67" t="s">
        <v>1111</v>
      </c>
      <c r="AF21" s="67" t="s">
        <v>1112</v>
      </c>
      <c r="AG21" s="67"/>
      <c r="AH21" s="67"/>
    </row>
    <row r="22" spans="1:34" ht="28.5">
      <c r="A22" s="67" t="s">
        <v>53</v>
      </c>
      <c r="B22" s="67" t="s">
        <v>1231</v>
      </c>
      <c r="C22" s="69" t="s">
        <v>1232</v>
      </c>
      <c r="D22" s="74">
        <v>44927</v>
      </c>
      <c r="E22" s="67" t="s">
        <v>89</v>
      </c>
      <c r="F22" s="77">
        <v>14.845599999999999</v>
      </c>
      <c r="G22" s="67">
        <v>120.3292</v>
      </c>
      <c r="H22" s="76" t="s">
        <v>1233</v>
      </c>
      <c r="I22" s="76" t="s">
        <v>1194</v>
      </c>
      <c r="J22" s="78" t="s">
        <v>1234</v>
      </c>
      <c r="K22" s="76" t="s">
        <v>835</v>
      </c>
      <c r="L22" s="76" t="s">
        <v>1235</v>
      </c>
      <c r="M22" s="76" t="s">
        <v>1235</v>
      </c>
      <c r="N22" s="76" t="s">
        <v>1235</v>
      </c>
      <c r="O22" s="67" t="s">
        <v>45</v>
      </c>
      <c r="P22" s="67" t="s">
        <v>1227</v>
      </c>
      <c r="Q22" s="67" t="s">
        <v>1109</v>
      </c>
      <c r="R22" s="67" t="s">
        <v>1228</v>
      </c>
      <c r="S22" s="67" t="s">
        <v>1236</v>
      </c>
      <c r="T22" s="79">
        <v>45721</v>
      </c>
      <c r="U22" s="79">
        <v>45726</v>
      </c>
      <c r="V22" s="79">
        <v>45728</v>
      </c>
      <c r="W22" s="79">
        <v>45729</v>
      </c>
      <c r="X22" s="79">
        <v>45729</v>
      </c>
      <c r="Y22" s="80">
        <f t="shared" si="0"/>
        <v>3</v>
      </c>
      <c r="Z22" s="80">
        <f t="shared" si="1"/>
        <v>2</v>
      </c>
      <c r="AA22" s="80">
        <f>IF(
  OR(A22 = "Nueva_Ecija", A22 = "Zambales"),
  IF(
    OR(ISBLANK(V22), ISBLANK(W22)),
    "",
    MAX(1, IF(
      NETWORKDAYS(V22, W22) &lt;= 0,
      1,
      NETWORKDAYS(V22, W22) - IF(V22 = W22, 0, 1)
    ))
  ),
  IF(
    OR(ISBLANK(U22), ISBLANK(W22)),
    "",
    MAX(1, IF(
      NETWORKDAYS(U22, W22) &lt;= 0,
      1,
      NETWORKDAYS(U22, W22) - IF(U22 = W22, 0, 1)
    ))
  )
)</f>
        <v>1</v>
      </c>
      <c r="AB22" s="80">
        <f t="shared" si="3"/>
        <v>1</v>
      </c>
      <c r="AC22" s="76" t="s">
        <v>929</v>
      </c>
      <c r="AD22" s="67" t="s">
        <v>101</v>
      </c>
      <c r="AE22" s="67" t="s">
        <v>1111</v>
      </c>
      <c r="AF22" s="67" t="s">
        <v>1112</v>
      </c>
      <c r="AG22" s="67"/>
      <c r="AH22" s="67"/>
    </row>
  </sheetData>
  <autoFilter ref="A1:AH22" xr:uid="{77821DE2-73B7-4D9C-BFD0-8534722AB3CB}"/>
  <conditionalFormatting sqref="C1:D1">
    <cfRule type="duplicateValues" dxfId="8" priority="1"/>
  </conditionalFormatting>
  <dataValidations count="2">
    <dataValidation allowBlank="1" showInputMessage="1" showErrorMessage="1" sqref="P18:P19 P5 K1:AC1 A1:H1 R10:R22" xr:uid="{876E7D06-BF81-4266-83DC-2BC2EDD3E649}"/>
    <dataValidation type="list" allowBlank="1" showInputMessage="1" showErrorMessage="1" sqref="A2:A1048576" xr:uid="{0096C5F7-11A4-457F-8307-1A2967C02F8F}">
      <formula1>"Aurora, Bataan, Bulacan, Nueva_Ecija, Pampanga, Tarlac, Zambales"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242CD7B-A921-47C1-81DF-6595B5924214}">
          <x14:formula1>
            <xm:f>'Data Validation'!$Q$2:$Q$5</xm:f>
          </x14:formula1>
          <xm:sqref>AD2:AD22</xm:sqref>
        </x14:dataValidation>
        <x14:dataValidation type="list" allowBlank="1" showInputMessage="1" showErrorMessage="1" xr:uid="{7F70DFB6-62EF-4D64-8E68-C5C83C1EC153}">
          <x14:formula1>
            <xm:f>'Data Validation'!$A$13:$A$24</xm:f>
          </x14:formula1>
          <xm:sqref>O2:O22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B040-7C18-41BB-B9D4-64798A493DCF}">
  <sheetPr codeName="Sheet6"/>
  <dimension ref="A1:AQ66"/>
  <sheetViews>
    <sheetView workbookViewId="0">
      <pane xSplit="3" ySplit="1" topLeftCell="D2" activePane="bottomRight" state="frozen"/>
      <selection pane="topRight"/>
      <selection pane="bottomLeft"/>
      <selection pane="bottomRight"/>
    </sheetView>
  </sheetViews>
  <sheetFormatPr defaultColWidth="9.140625" defaultRowHeight="15" customHeight="1"/>
  <cols>
    <col min="1" max="1" width="13.85546875" style="41" customWidth="1"/>
    <col min="2" max="3" width="18.28515625" style="43" customWidth="1"/>
    <col min="4" max="4" width="23" style="41" customWidth="1"/>
    <col min="5" max="5" width="13.85546875" style="43" customWidth="1"/>
    <col min="6" max="7" width="13.85546875" style="41" customWidth="1"/>
    <col min="8" max="8" width="24.85546875" style="41" customWidth="1"/>
    <col min="9" max="12" width="13.85546875" style="41" customWidth="1"/>
    <col min="13" max="13" width="24.5703125" style="41" bestFit="1" customWidth="1"/>
    <col min="14" max="14" width="13.85546875" style="41" customWidth="1"/>
    <col min="15" max="15" width="23.5703125" style="41" bestFit="1" customWidth="1"/>
    <col min="16" max="16" width="22.85546875" style="41" bestFit="1" customWidth="1"/>
    <col min="17" max="17" width="26.85546875" style="41" customWidth="1"/>
    <col min="18" max="18" width="17" style="41" bestFit="1" customWidth="1"/>
    <col min="19" max="19" width="23.5703125" style="41" customWidth="1"/>
    <col min="20" max="20" width="21.5703125" style="41" customWidth="1"/>
    <col min="21" max="21" width="19" style="41" bestFit="1" customWidth="1"/>
    <col min="22" max="22" width="17.28515625" style="41" customWidth="1"/>
    <col min="23" max="23" width="19" style="41" bestFit="1" customWidth="1"/>
    <col min="24" max="24" width="16.7109375" style="41" customWidth="1"/>
    <col min="25" max="28" width="19.85546875" style="41" customWidth="1"/>
    <col min="29" max="29" width="36" style="43" customWidth="1"/>
    <col min="30" max="38" width="16.7109375" style="43" customWidth="1"/>
    <col min="39" max="39" width="79.42578125" style="43" customWidth="1"/>
    <col min="40" max="40" width="20.7109375" style="41" customWidth="1"/>
    <col min="41" max="43" width="18.140625" style="41" customWidth="1"/>
    <col min="44" max="16384" width="9.140625" style="41"/>
  </cols>
  <sheetData>
    <row r="1" spans="1:43" ht="57">
      <c r="A1" s="50" t="s">
        <v>44</v>
      </c>
      <c r="B1" s="51" t="s">
        <v>158</v>
      </c>
      <c r="C1" s="51" t="s">
        <v>556</v>
      </c>
      <c r="D1" s="50" t="s">
        <v>160</v>
      </c>
      <c r="E1" s="51" t="s">
        <v>161</v>
      </c>
      <c r="F1" s="51" t="s">
        <v>163</v>
      </c>
      <c r="G1" s="51" t="s">
        <v>162</v>
      </c>
      <c r="H1" s="51" t="s">
        <v>559</v>
      </c>
      <c r="I1" s="51" t="s">
        <v>798</v>
      </c>
      <c r="J1" s="51" t="s">
        <v>1237</v>
      </c>
      <c r="K1" s="51" t="s">
        <v>1238</v>
      </c>
      <c r="L1" s="51" t="s">
        <v>561</v>
      </c>
      <c r="M1" s="51" t="s">
        <v>562</v>
      </c>
      <c r="N1" s="63" t="s">
        <v>43</v>
      </c>
      <c r="O1" s="63" t="s">
        <v>2</v>
      </c>
      <c r="P1" s="63" t="s">
        <v>1239</v>
      </c>
      <c r="Q1" s="63" t="s">
        <v>173</v>
      </c>
      <c r="R1" s="63" t="s">
        <v>174</v>
      </c>
      <c r="S1" s="63" t="s">
        <v>175</v>
      </c>
      <c r="T1" s="63" t="s">
        <v>176</v>
      </c>
      <c r="U1" s="63" t="s">
        <v>177</v>
      </c>
      <c r="V1" s="63" t="s">
        <v>178</v>
      </c>
      <c r="W1" s="63" t="s">
        <v>179</v>
      </c>
      <c r="X1" s="63" t="s">
        <v>180</v>
      </c>
      <c r="Y1" s="63" t="s">
        <v>806</v>
      </c>
      <c r="Z1" s="63" t="s">
        <v>182</v>
      </c>
      <c r="AA1" s="63" t="s">
        <v>183</v>
      </c>
      <c r="AB1" s="63" t="s">
        <v>1240</v>
      </c>
      <c r="AC1" s="23" t="s">
        <v>1241</v>
      </c>
      <c r="AD1" s="23" t="s">
        <v>1242</v>
      </c>
      <c r="AE1" s="23" t="s">
        <v>1243</v>
      </c>
      <c r="AF1" s="23" t="s">
        <v>1244</v>
      </c>
      <c r="AG1" s="23" t="s">
        <v>1245</v>
      </c>
      <c r="AH1" s="23" t="s">
        <v>1246</v>
      </c>
      <c r="AI1" s="23" t="s">
        <v>1247</v>
      </c>
      <c r="AJ1" s="23" t="s">
        <v>1248</v>
      </c>
      <c r="AK1" s="23" t="s">
        <v>1249</v>
      </c>
      <c r="AL1" s="23" t="s">
        <v>1250</v>
      </c>
      <c r="AM1" s="23" t="s">
        <v>1251</v>
      </c>
      <c r="AN1" s="2" t="s">
        <v>574</v>
      </c>
      <c r="AO1" s="2" t="s">
        <v>576</v>
      </c>
      <c r="AP1" s="2" t="s">
        <v>577</v>
      </c>
      <c r="AQ1" s="2" t="s">
        <v>578</v>
      </c>
    </row>
    <row r="2" spans="1:43" ht="30">
      <c r="A2" s="9" t="s">
        <v>1252</v>
      </c>
      <c r="B2" s="3" t="s">
        <v>474</v>
      </c>
      <c r="C2" s="3" t="s">
        <v>753</v>
      </c>
      <c r="D2" s="9" t="s">
        <v>89</v>
      </c>
      <c r="E2" s="6" t="s">
        <v>259</v>
      </c>
      <c r="F2" s="7">
        <v>15.875389999999999</v>
      </c>
      <c r="G2" s="7">
        <v>121.52549999999999</v>
      </c>
      <c r="H2" s="9" t="s">
        <v>1253</v>
      </c>
      <c r="I2" s="9">
        <v>2000</v>
      </c>
      <c r="J2" s="9">
        <v>2021</v>
      </c>
      <c r="K2" s="9"/>
      <c r="L2" s="9" t="s">
        <v>120</v>
      </c>
      <c r="M2" s="9" t="s">
        <v>120</v>
      </c>
      <c r="N2" s="10" t="s">
        <v>64</v>
      </c>
      <c r="O2" s="9" t="s">
        <v>13</v>
      </c>
      <c r="P2" s="9"/>
      <c r="Q2" s="9" t="s">
        <v>1109</v>
      </c>
      <c r="R2" s="9" t="s">
        <v>1254</v>
      </c>
      <c r="S2" s="22">
        <v>45819</v>
      </c>
      <c r="T2" s="22">
        <v>45821</v>
      </c>
      <c r="U2" s="22">
        <v>45821</v>
      </c>
      <c r="V2" s="22">
        <v>45825</v>
      </c>
      <c r="W2" s="22">
        <v>45825</v>
      </c>
      <c r="X2" s="24">
        <f>IF(
    OR(ISBLANK(S2), ISBLANK(T2)),
    "",
    MAX(1, IF(
        NETWORKDAYS(S2, T2) &lt;= 0,
        1,
        NETWORKDAYS(S2, T2) - IF(S2 = T2, 0, 1)
    ))
)</f>
        <v>2</v>
      </c>
      <c r="Y2" s="24">
        <f>IF(
    OR(ISBLANK(T2), ISBLANK(U2)),
    "",
    MAX(1, IF(
        NETWORKDAYS(T2, U2) &lt;= 0,
        1,
        NETWORKDAYS(T2, U2) - IF(T2 = U2, 0, 1)
    ))
)</f>
        <v>1</v>
      </c>
      <c r="Z2" s="24">
        <f>IF(
    OR(ISBLANK(U2), ISBLANK(V2)),
    "",
    MAX(1, IF(
        NETWORKDAYS(U2, V2) &lt;= 0,
        1,
        NETWORKDAYS(U2, V2) - IF(U2 = V2, 0, 1)
    ))
)</f>
        <v>2</v>
      </c>
      <c r="AA2" s="24">
        <f>IF(
    OR(ISBLANK(V2), ISBLANK(W2)),
    "",
    MAX(1, IF(
        NETWORKDAYS(V2, W2) &lt;= 0,
        1,
        NETWORKDAYS(V2, W2) - IF(V2 = W2, 0, 1)
    ))
)</f>
        <v>1</v>
      </c>
      <c r="AB2" s="6" t="s">
        <v>1255</v>
      </c>
      <c r="AC2" s="6" t="s">
        <v>102</v>
      </c>
      <c r="AD2" s="6" t="s">
        <v>103</v>
      </c>
      <c r="AE2" s="6" t="s">
        <v>103</v>
      </c>
      <c r="AF2" s="6" t="s">
        <v>103</v>
      </c>
      <c r="AG2" s="6" t="s">
        <v>103</v>
      </c>
      <c r="AH2" s="6" t="s">
        <v>103</v>
      </c>
      <c r="AI2" s="6" t="s">
        <v>103</v>
      </c>
      <c r="AJ2" s="6" t="s">
        <v>103</v>
      </c>
      <c r="AK2" s="6" t="s">
        <v>110</v>
      </c>
      <c r="AL2" s="6" t="s">
        <v>103</v>
      </c>
      <c r="AM2" s="6" t="s">
        <v>1256</v>
      </c>
      <c r="AN2" s="9"/>
      <c r="AO2" s="9"/>
      <c r="AP2" s="9"/>
      <c r="AQ2" s="9"/>
    </row>
    <row r="3" spans="1:43">
      <c r="A3" s="9" t="s">
        <v>48</v>
      </c>
      <c r="B3" s="6" t="s">
        <v>212</v>
      </c>
      <c r="C3" s="6" t="s">
        <v>963</v>
      </c>
      <c r="D3" s="9" t="s">
        <v>88</v>
      </c>
      <c r="E3" s="32" t="s">
        <v>213</v>
      </c>
      <c r="F3" s="9">
        <v>14.915929</v>
      </c>
      <c r="G3" s="9">
        <v>120.451488</v>
      </c>
      <c r="H3" s="9" t="s">
        <v>1257</v>
      </c>
      <c r="I3" s="9">
        <v>2015</v>
      </c>
      <c r="J3" s="9">
        <v>2015</v>
      </c>
      <c r="K3" s="9">
        <v>2018</v>
      </c>
      <c r="L3" s="9">
        <v>2018</v>
      </c>
      <c r="M3" s="44">
        <v>1705208.82</v>
      </c>
      <c r="N3" s="357" t="s">
        <v>70</v>
      </c>
      <c r="O3" s="9" t="s">
        <v>18</v>
      </c>
      <c r="P3" s="9"/>
      <c r="Q3" s="9" t="s">
        <v>129</v>
      </c>
      <c r="R3" s="9" t="s">
        <v>1258</v>
      </c>
      <c r="S3" s="22">
        <v>45882</v>
      </c>
      <c r="T3" s="22">
        <v>45887</v>
      </c>
      <c r="U3" s="22"/>
      <c r="V3" s="22">
        <v>45887</v>
      </c>
      <c r="W3" s="22">
        <v>45887</v>
      </c>
      <c r="X3" s="24">
        <f t="shared" ref="X3:X55" si="0">IF(
    OR(ISBLANK(S3), ISBLANK(T3)),
    "",
    MAX(1, IF(
        NETWORKDAYS(S3, T3) &lt;= 0,
        1,
        NETWORKDAYS(S3, T3) - IF(S3 = T3, 0, 1)
    ))
)</f>
        <v>3</v>
      </c>
      <c r="Y3" s="24" t="str">
        <f t="shared" ref="Y3:Y34" si="1">IF(
    OR(ISBLANK(T3), ISBLANK(U3)),
    "",
    MAX(1, IF(
        NETWORKDAYS(T3, U3) &lt;= 0,
        1,
        NETWORKDAYS(T3, U3) - IF(T3 = U3, 0, 1)
    ))
)</f>
        <v/>
      </c>
      <c r="Z3" s="24" t="str">
        <f t="shared" ref="Z3:Z34" si="2">IF(
    OR(ISBLANK(U3), ISBLANK(V3)),
    "",
    MAX(1, IF(
        NETWORKDAYS(U3, V3) &lt;= 0,
        1,
        NETWORKDAYS(U3, V3) - IF(U3 = V3, 0, 1)
    ))
)</f>
        <v/>
      </c>
      <c r="AA3" s="24">
        <f t="shared" ref="AA3:AA55" si="3">IF(
    OR(ISBLANK(V3), ISBLANK(W3)),
    "",
    MAX(1, IF(
        NETWORKDAYS(V3, W3) &lt;= 0,
        1,
        NETWORKDAYS(V3, W3) - IF(V3 = W3, 0, 1)
    ))
)</f>
        <v>1</v>
      </c>
      <c r="AB3" s="9" t="s">
        <v>1255</v>
      </c>
      <c r="AC3" s="6" t="s">
        <v>102</v>
      </c>
      <c r="AD3" s="6" t="s">
        <v>103</v>
      </c>
      <c r="AE3" s="6" t="s">
        <v>103</v>
      </c>
      <c r="AF3" s="6" t="s">
        <v>103</v>
      </c>
      <c r="AG3" s="6" t="s">
        <v>103</v>
      </c>
      <c r="AH3" s="6" t="s">
        <v>103</v>
      </c>
      <c r="AI3" s="6" t="s">
        <v>103</v>
      </c>
      <c r="AJ3" s="6" t="s">
        <v>103</v>
      </c>
      <c r="AK3" s="6" t="s">
        <v>103</v>
      </c>
      <c r="AL3" s="6" t="s">
        <v>103</v>
      </c>
      <c r="AM3" s="6" t="s">
        <v>1259</v>
      </c>
      <c r="AN3" s="9"/>
      <c r="AO3" s="9"/>
      <c r="AP3" s="9"/>
      <c r="AQ3" s="9"/>
    </row>
    <row r="4" spans="1:43" ht="30">
      <c r="A4" s="9" t="s">
        <v>48</v>
      </c>
      <c r="B4" s="6" t="s">
        <v>480</v>
      </c>
      <c r="C4" s="6" t="s">
        <v>1029</v>
      </c>
      <c r="D4" s="9" t="s">
        <v>88</v>
      </c>
      <c r="E4" s="32" t="s">
        <v>243</v>
      </c>
      <c r="F4" s="9">
        <v>14.815472</v>
      </c>
      <c r="G4" s="9">
        <v>120.479834</v>
      </c>
      <c r="H4" s="9" t="s">
        <v>1260</v>
      </c>
      <c r="I4" s="9">
        <v>2016</v>
      </c>
      <c r="J4" s="9">
        <v>2017</v>
      </c>
      <c r="K4" s="9">
        <v>2017</v>
      </c>
      <c r="L4" s="9">
        <v>2017</v>
      </c>
      <c r="M4" s="44">
        <v>799316.63</v>
      </c>
      <c r="N4" s="357" t="s">
        <v>62</v>
      </c>
      <c r="O4" s="9" t="s">
        <v>18</v>
      </c>
      <c r="P4" s="9"/>
      <c r="Q4" s="9" t="s">
        <v>129</v>
      </c>
      <c r="R4" s="6" t="s">
        <v>1261</v>
      </c>
      <c r="S4" s="22">
        <v>45688</v>
      </c>
      <c r="T4" s="22">
        <v>45689</v>
      </c>
      <c r="U4" s="22">
        <v>45689</v>
      </c>
      <c r="V4" s="22">
        <v>45691</v>
      </c>
      <c r="W4" s="22">
        <v>45692</v>
      </c>
      <c r="X4" s="24">
        <f t="shared" si="0"/>
        <v>1</v>
      </c>
      <c r="Y4" s="24">
        <f t="shared" si="1"/>
        <v>1</v>
      </c>
      <c r="Z4" s="24">
        <f t="shared" si="2"/>
        <v>1</v>
      </c>
      <c r="AA4" s="24">
        <f t="shared" si="3"/>
        <v>1</v>
      </c>
      <c r="AB4" s="9" t="s">
        <v>929</v>
      </c>
      <c r="AC4" s="6" t="s">
        <v>109</v>
      </c>
      <c r="AD4" s="6" t="s">
        <v>110</v>
      </c>
      <c r="AE4" s="6" t="s">
        <v>103</v>
      </c>
      <c r="AF4" s="6" t="s">
        <v>103</v>
      </c>
      <c r="AG4" s="6" t="s">
        <v>110</v>
      </c>
      <c r="AH4" s="6" t="s">
        <v>103</v>
      </c>
      <c r="AI4" s="6" t="s">
        <v>103</v>
      </c>
      <c r="AJ4" s="6" t="s">
        <v>103</v>
      </c>
      <c r="AK4" s="6" t="s">
        <v>110</v>
      </c>
      <c r="AL4" s="6" t="s">
        <v>110</v>
      </c>
      <c r="AM4" s="6" t="s">
        <v>1262</v>
      </c>
      <c r="AN4" s="9"/>
      <c r="AO4" s="9"/>
      <c r="AP4" s="9"/>
      <c r="AQ4" s="9"/>
    </row>
    <row r="5" spans="1:43" ht="30">
      <c r="A5" s="9" t="s">
        <v>48</v>
      </c>
      <c r="B5" s="6" t="s">
        <v>482</v>
      </c>
      <c r="C5" s="6" t="s">
        <v>1062</v>
      </c>
      <c r="D5" s="9" t="s">
        <v>88</v>
      </c>
      <c r="E5" s="32" t="s">
        <v>271</v>
      </c>
      <c r="F5" s="9">
        <v>14.569827780000001</v>
      </c>
      <c r="G5" s="9">
        <v>120.5517167</v>
      </c>
      <c r="H5" s="9" t="s">
        <v>1263</v>
      </c>
      <c r="I5" s="9">
        <v>2005</v>
      </c>
      <c r="J5" s="9">
        <v>2015</v>
      </c>
      <c r="K5" s="9">
        <v>2015</v>
      </c>
      <c r="L5" s="9">
        <v>2018</v>
      </c>
      <c r="M5" s="44">
        <v>1086828.54</v>
      </c>
      <c r="N5" s="357" t="s">
        <v>71</v>
      </c>
      <c r="O5" s="9" t="s">
        <v>17</v>
      </c>
      <c r="P5" s="9"/>
      <c r="Q5" s="9" t="s">
        <v>129</v>
      </c>
      <c r="R5" s="9" t="s">
        <v>1264</v>
      </c>
      <c r="S5" s="22">
        <v>45917</v>
      </c>
      <c r="T5" s="22">
        <v>45917</v>
      </c>
      <c r="U5" s="22"/>
      <c r="V5" s="22">
        <v>45917</v>
      </c>
      <c r="W5" s="22">
        <v>45918</v>
      </c>
      <c r="X5" s="24">
        <f t="shared" si="0"/>
        <v>1</v>
      </c>
      <c r="Y5" s="24" t="str">
        <f t="shared" si="1"/>
        <v/>
      </c>
      <c r="Z5" s="24" t="str">
        <f t="shared" si="2"/>
        <v/>
      </c>
      <c r="AA5" s="24">
        <f t="shared" si="3"/>
        <v>1</v>
      </c>
      <c r="AB5" s="9" t="s">
        <v>929</v>
      </c>
      <c r="AC5" s="6" t="s">
        <v>115</v>
      </c>
      <c r="AD5" s="6" t="s">
        <v>110</v>
      </c>
      <c r="AE5" s="6" t="s">
        <v>110</v>
      </c>
      <c r="AF5" s="6" t="s">
        <v>110</v>
      </c>
      <c r="AG5" s="6" t="s">
        <v>110</v>
      </c>
      <c r="AH5" s="6" t="s">
        <v>110</v>
      </c>
      <c r="AI5" s="6" t="s">
        <v>110</v>
      </c>
      <c r="AJ5" s="6" t="s">
        <v>110</v>
      </c>
      <c r="AK5" s="6" t="s">
        <v>110</v>
      </c>
      <c r="AL5" s="6" t="s">
        <v>103</v>
      </c>
      <c r="AM5" s="6"/>
      <c r="AN5" s="9"/>
      <c r="AO5" s="9"/>
      <c r="AP5" s="9"/>
      <c r="AQ5" s="9"/>
    </row>
    <row r="6" spans="1:43">
      <c r="A6" s="9" t="s">
        <v>48</v>
      </c>
      <c r="B6" s="6" t="s">
        <v>336</v>
      </c>
      <c r="C6" s="6" t="s">
        <v>1265</v>
      </c>
      <c r="D6" s="9" t="s">
        <v>88</v>
      </c>
      <c r="E6" s="32" t="s">
        <v>213</v>
      </c>
      <c r="F6" s="9">
        <v>14.424244</v>
      </c>
      <c r="G6" s="9">
        <v>120.47919899999999</v>
      </c>
      <c r="H6" s="9" t="s">
        <v>1266</v>
      </c>
      <c r="I6" s="9">
        <v>1990</v>
      </c>
      <c r="J6" s="9">
        <v>2015</v>
      </c>
      <c r="K6" s="9">
        <v>2016</v>
      </c>
      <c r="L6" s="9">
        <v>2016</v>
      </c>
      <c r="M6" s="44">
        <v>7067828.4800000004</v>
      </c>
      <c r="N6" s="258" t="s">
        <v>72</v>
      </c>
      <c r="O6" s="9" t="s">
        <v>19</v>
      </c>
      <c r="P6" s="9"/>
      <c r="Q6" s="9" t="s">
        <v>129</v>
      </c>
      <c r="R6" s="9" t="s">
        <v>1267</v>
      </c>
      <c r="S6" s="22">
        <v>45944</v>
      </c>
      <c r="T6" s="22">
        <v>45945</v>
      </c>
      <c r="U6" s="22"/>
      <c r="V6" s="22">
        <v>45945</v>
      </c>
      <c r="W6" s="22">
        <v>45945</v>
      </c>
      <c r="X6" s="24">
        <f t="shared" si="0"/>
        <v>1</v>
      </c>
      <c r="Y6" s="24" t="str">
        <f t="shared" si="1"/>
        <v/>
      </c>
      <c r="Z6" s="24" t="str">
        <f t="shared" si="2"/>
        <v/>
      </c>
      <c r="AA6" s="24">
        <f t="shared" si="3"/>
        <v>1</v>
      </c>
      <c r="AB6" s="9"/>
      <c r="AC6" s="6" t="s">
        <v>102</v>
      </c>
      <c r="AD6" s="6" t="s">
        <v>103</v>
      </c>
      <c r="AE6" s="6" t="s">
        <v>103</v>
      </c>
      <c r="AF6" s="6" t="s">
        <v>103</v>
      </c>
      <c r="AG6" s="6" t="s">
        <v>103</v>
      </c>
      <c r="AH6" s="6" t="s">
        <v>103</v>
      </c>
      <c r="AI6" s="6" t="s">
        <v>103</v>
      </c>
      <c r="AJ6" s="6" t="s">
        <v>103</v>
      </c>
      <c r="AK6" s="6" t="s">
        <v>103</v>
      </c>
      <c r="AL6" s="6" t="s">
        <v>103</v>
      </c>
      <c r="AM6" s="6"/>
      <c r="AN6" s="9"/>
      <c r="AO6" s="9"/>
      <c r="AP6" s="9"/>
      <c r="AQ6" s="9"/>
    </row>
    <row r="7" spans="1:43" ht="30">
      <c r="A7" s="9" t="s">
        <v>48</v>
      </c>
      <c r="B7" s="6" t="s">
        <v>484</v>
      </c>
      <c r="C7" s="6" t="s">
        <v>1268</v>
      </c>
      <c r="D7" s="9" t="s">
        <v>88</v>
      </c>
      <c r="E7" s="32" t="s">
        <v>213</v>
      </c>
      <c r="F7" s="9">
        <v>14.73439722</v>
      </c>
      <c r="G7" s="9">
        <v>120.316425</v>
      </c>
      <c r="H7" s="9" t="s">
        <v>1269</v>
      </c>
      <c r="I7" s="9">
        <v>2007</v>
      </c>
      <c r="J7" s="9">
        <v>2015</v>
      </c>
      <c r="K7" s="9">
        <v>2016</v>
      </c>
      <c r="L7" s="9">
        <v>2016</v>
      </c>
      <c r="M7" s="44">
        <v>7222145.2199999997</v>
      </c>
      <c r="N7" s="357" t="s">
        <v>63</v>
      </c>
      <c r="O7" s="9" t="s">
        <v>19</v>
      </c>
      <c r="P7" s="9"/>
      <c r="Q7" s="9" t="s">
        <v>129</v>
      </c>
      <c r="R7" s="9" t="s">
        <v>1270</v>
      </c>
      <c r="S7" s="22">
        <v>45793</v>
      </c>
      <c r="T7" s="22">
        <v>45794</v>
      </c>
      <c r="U7" s="22">
        <v>45794</v>
      </c>
      <c r="V7" s="22">
        <v>45796</v>
      </c>
      <c r="W7" s="22">
        <v>45796</v>
      </c>
      <c r="X7" s="24">
        <f t="shared" si="0"/>
        <v>1</v>
      </c>
      <c r="Y7" s="24">
        <f t="shared" si="1"/>
        <v>1</v>
      </c>
      <c r="Z7" s="24">
        <f t="shared" si="2"/>
        <v>1</v>
      </c>
      <c r="AA7" s="24">
        <f t="shared" si="3"/>
        <v>1</v>
      </c>
      <c r="AB7" s="6" t="s">
        <v>1255</v>
      </c>
      <c r="AC7" s="6" t="s">
        <v>102</v>
      </c>
      <c r="AD7" s="6" t="s">
        <v>103</v>
      </c>
      <c r="AE7" s="6" t="s">
        <v>103</v>
      </c>
      <c r="AF7" s="6" t="s">
        <v>103</v>
      </c>
      <c r="AG7" s="6" t="s">
        <v>103</v>
      </c>
      <c r="AH7" s="6" t="s">
        <v>103</v>
      </c>
      <c r="AI7" s="6" t="s">
        <v>103</v>
      </c>
      <c r="AJ7" s="6" t="s">
        <v>103</v>
      </c>
      <c r="AK7" s="6" t="s">
        <v>103</v>
      </c>
      <c r="AL7" s="6" t="s">
        <v>103</v>
      </c>
      <c r="AM7" s="6"/>
      <c r="AN7" s="9"/>
      <c r="AO7" s="9"/>
      <c r="AP7" s="9"/>
      <c r="AQ7" s="9"/>
    </row>
    <row r="8" spans="1:43" ht="30">
      <c r="A8" s="9" t="s">
        <v>48</v>
      </c>
      <c r="B8" s="6" t="s">
        <v>486</v>
      </c>
      <c r="C8" s="6" t="s">
        <v>1013</v>
      </c>
      <c r="D8" s="9" t="s">
        <v>88</v>
      </c>
      <c r="E8" s="32" t="s">
        <v>243</v>
      </c>
      <c r="F8" s="9">
        <v>14.78626667</v>
      </c>
      <c r="G8" s="9">
        <v>120.47525280000001</v>
      </c>
      <c r="H8" s="9" t="s">
        <v>1271</v>
      </c>
      <c r="I8" s="9">
        <v>2006</v>
      </c>
      <c r="J8" s="9">
        <v>2017</v>
      </c>
      <c r="K8" s="9">
        <v>2016</v>
      </c>
      <c r="L8" s="9">
        <v>2016</v>
      </c>
      <c r="M8" s="44">
        <v>6408481.4800000004</v>
      </c>
      <c r="N8" s="357" t="s">
        <v>57</v>
      </c>
      <c r="O8" s="9" t="s">
        <v>18</v>
      </c>
      <c r="P8" s="9"/>
      <c r="Q8" s="9" t="s">
        <v>129</v>
      </c>
      <c r="R8" s="9" t="s">
        <v>1272</v>
      </c>
      <c r="S8" s="22">
        <v>45757</v>
      </c>
      <c r="T8" s="22">
        <v>45758</v>
      </c>
      <c r="U8" s="22">
        <v>45758</v>
      </c>
      <c r="V8" s="22">
        <v>45760</v>
      </c>
      <c r="W8" s="22">
        <v>45761</v>
      </c>
      <c r="X8" s="24">
        <f t="shared" si="0"/>
        <v>1</v>
      </c>
      <c r="Y8" s="24">
        <f t="shared" si="1"/>
        <v>1</v>
      </c>
      <c r="Z8" s="24">
        <f t="shared" si="2"/>
        <v>1</v>
      </c>
      <c r="AA8" s="24">
        <f t="shared" si="3"/>
        <v>1</v>
      </c>
      <c r="AB8" s="6" t="s">
        <v>1255</v>
      </c>
      <c r="AC8" s="6" t="s">
        <v>102</v>
      </c>
      <c r="AD8" s="6" t="s">
        <v>103</v>
      </c>
      <c r="AE8" s="6" t="s">
        <v>103</v>
      </c>
      <c r="AF8" s="6" t="s">
        <v>103</v>
      </c>
      <c r="AG8" s="6" t="s">
        <v>103</v>
      </c>
      <c r="AH8" s="6" t="s">
        <v>103</v>
      </c>
      <c r="AI8" s="6" t="s">
        <v>103</v>
      </c>
      <c r="AJ8" s="6" t="s">
        <v>103</v>
      </c>
      <c r="AK8" s="6" t="s">
        <v>103</v>
      </c>
      <c r="AL8" s="6" t="s">
        <v>103</v>
      </c>
      <c r="AM8" s="6" t="s">
        <v>1259</v>
      </c>
      <c r="AN8" s="9"/>
      <c r="AO8" s="9"/>
      <c r="AP8" s="9"/>
      <c r="AQ8" s="9"/>
    </row>
    <row r="9" spans="1:43" ht="15" customHeight="1">
      <c r="A9" s="9" t="s">
        <v>48</v>
      </c>
      <c r="B9" s="6" t="s">
        <v>373</v>
      </c>
      <c r="C9" s="6" t="s">
        <v>1273</v>
      </c>
      <c r="D9" s="9" t="s">
        <v>88</v>
      </c>
      <c r="E9" s="32" t="s">
        <v>271</v>
      </c>
      <c r="F9" s="9">
        <v>14.58803056</v>
      </c>
      <c r="G9" s="9">
        <v>120.5265667</v>
      </c>
      <c r="H9" s="9" t="s">
        <v>1274</v>
      </c>
      <c r="I9" s="9">
        <v>2003</v>
      </c>
      <c r="J9" s="9">
        <v>2020</v>
      </c>
      <c r="K9" s="9">
        <v>2018</v>
      </c>
      <c r="L9" s="9">
        <v>2018</v>
      </c>
      <c r="M9" s="44">
        <v>1746823.05</v>
      </c>
      <c r="N9" s="357" t="s">
        <v>69</v>
      </c>
      <c r="O9" s="9" t="s">
        <v>17</v>
      </c>
      <c r="P9" s="9"/>
      <c r="Q9" s="9" t="s">
        <v>129</v>
      </c>
      <c r="R9" s="9" t="s">
        <v>1275</v>
      </c>
      <c r="S9" s="22">
        <v>45848</v>
      </c>
      <c r="T9" s="22">
        <v>45852</v>
      </c>
      <c r="U9" s="22"/>
      <c r="V9" s="22">
        <v>45853</v>
      </c>
      <c r="W9" s="22">
        <v>45854</v>
      </c>
      <c r="X9" s="24">
        <f t="shared" si="0"/>
        <v>2</v>
      </c>
      <c r="Y9" s="24" t="str">
        <f t="shared" si="1"/>
        <v/>
      </c>
      <c r="Z9" s="24" t="str">
        <f>IF(
    OR(ISBLANK(U9), ISBLANK(V9)),
    "",
    MAX(1, IF(
        NETWORKDAYS(U9, V9) &lt;= 0,
        1,
        NETWORKDAYS(U9, V9) - IF(U9 = V9, 0, 1)
    ))
)</f>
        <v/>
      </c>
      <c r="AA9" s="24">
        <f t="shared" si="3"/>
        <v>1</v>
      </c>
      <c r="AB9" s="6" t="s">
        <v>1255</v>
      </c>
      <c r="AC9" s="6" t="s">
        <v>102</v>
      </c>
      <c r="AD9" s="6" t="s">
        <v>103</v>
      </c>
      <c r="AE9" s="6" t="s">
        <v>103</v>
      </c>
      <c r="AF9" s="6" t="s">
        <v>103</v>
      </c>
      <c r="AG9" s="6" t="s">
        <v>103</v>
      </c>
      <c r="AH9" s="6" t="s">
        <v>103</v>
      </c>
      <c r="AI9" s="6" t="s">
        <v>103</v>
      </c>
      <c r="AJ9" s="6" t="s">
        <v>103</v>
      </c>
      <c r="AK9" s="6" t="s">
        <v>103</v>
      </c>
      <c r="AL9" s="6" t="s">
        <v>103</v>
      </c>
      <c r="AM9" s="6" t="s">
        <v>1276</v>
      </c>
      <c r="AN9" s="9"/>
      <c r="AO9" s="9"/>
      <c r="AP9" s="9"/>
      <c r="AQ9" s="9"/>
    </row>
    <row r="10" spans="1:43" ht="15" customHeight="1">
      <c r="A10" s="9" t="s">
        <v>48</v>
      </c>
      <c r="B10" s="6" t="s">
        <v>432</v>
      </c>
      <c r="C10" s="6" t="s">
        <v>764</v>
      </c>
      <c r="D10" s="9" t="s">
        <v>88</v>
      </c>
      <c r="E10" s="7" t="s">
        <v>243</v>
      </c>
      <c r="F10" s="9">
        <v>14.77468333</v>
      </c>
      <c r="G10" s="9">
        <v>120.50823889999999</v>
      </c>
      <c r="H10" s="9" t="s">
        <v>1277</v>
      </c>
      <c r="I10" s="9">
        <v>2005</v>
      </c>
      <c r="J10" s="9">
        <v>2015</v>
      </c>
      <c r="K10" s="9">
        <v>2018</v>
      </c>
      <c r="L10" s="9">
        <v>2018</v>
      </c>
      <c r="M10" s="44">
        <v>1060394.8999999999</v>
      </c>
      <c r="N10" s="357" t="s">
        <v>45</v>
      </c>
      <c r="O10" s="9" t="s">
        <v>18</v>
      </c>
      <c r="P10" s="9"/>
      <c r="Q10" s="9" t="s">
        <v>129</v>
      </c>
      <c r="R10" s="9" t="s">
        <v>1278</v>
      </c>
      <c r="S10" s="22">
        <v>45728</v>
      </c>
      <c r="T10" s="22">
        <v>45732</v>
      </c>
      <c r="U10" s="22">
        <v>45732</v>
      </c>
      <c r="V10" s="22">
        <v>45732</v>
      </c>
      <c r="W10" s="22">
        <v>45733</v>
      </c>
      <c r="X10" s="24">
        <f t="shared" si="0"/>
        <v>2</v>
      </c>
      <c r="Y10" s="24">
        <f t="shared" si="1"/>
        <v>1</v>
      </c>
      <c r="Z10" s="24">
        <f t="shared" si="2"/>
        <v>1</v>
      </c>
      <c r="AA10" s="24">
        <f t="shared" si="3"/>
        <v>1</v>
      </c>
      <c r="AB10" s="6" t="s">
        <v>1255</v>
      </c>
      <c r="AC10" s="6" t="s">
        <v>102</v>
      </c>
      <c r="AD10" s="6" t="s">
        <v>103</v>
      </c>
      <c r="AE10" s="6" t="s">
        <v>103</v>
      </c>
      <c r="AF10" s="6" t="s">
        <v>103</v>
      </c>
      <c r="AG10" s="6" t="s">
        <v>103</v>
      </c>
      <c r="AH10" s="6" t="s">
        <v>103</v>
      </c>
      <c r="AI10" s="6" t="s">
        <v>103</v>
      </c>
      <c r="AJ10" s="6" t="s">
        <v>103</v>
      </c>
      <c r="AK10" s="6" t="s">
        <v>103</v>
      </c>
      <c r="AL10" s="6" t="s">
        <v>103</v>
      </c>
      <c r="AM10" s="6" t="s">
        <v>1259</v>
      </c>
      <c r="AN10" s="9"/>
      <c r="AO10" s="9"/>
      <c r="AP10" s="9"/>
      <c r="AQ10" s="9"/>
    </row>
    <row r="11" spans="1:43" ht="15" customHeight="1">
      <c r="A11" s="7" t="s">
        <v>49</v>
      </c>
      <c r="B11" s="3" t="s">
        <v>1279</v>
      </c>
      <c r="C11" s="3" t="s">
        <v>1029</v>
      </c>
      <c r="D11" s="9" t="s">
        <v>88</v>
      </c>
      <c r="E11" s="32" t="s">
        <v>243</v>
      </c>
      <c r="F11" s="9">
        <v>14.8070755</v>
      </c>
      <c r="G11" s="9">
        <v>120.8471741</v>
      </c>
      <c r="H11" s="9" t="s">
        <v>1280</v>
      </c>
      <c r="I11" s="9"/>
      <c r="J11" s="9">
        <v>2021</v>
      </c>
      <c r="K11" s="9"/>
      <c r="L11" s="9" t="s">
        <v>120</v>
      </c>
      <c r="M11" s="9" t="s">
        <v>120</v>
      </c>
      <c r="N11" s="357" t="s">
        <v>69</v>
      </c>
      <c r="O11" s="9" t="s">
        <v>22</v>
      </c>
      <c r="P11" s="9"/>
      <c r="Q11" s="9" t="s">
        <v>128</v>
      </c>
      <c r="R11" s="9" t="s">
        <v>1281</v>
      </c>
      <c r="S11" s="22">
        <v>45848</v>
      </c>
      <c r="T11" s="22">
        <v>45849</v>
      </c>
      <c r="U11" s="22">
        <v>45854</v>
      </c>
      <c r="V11" s="22">
        <v>45855</v>
      </c>
      <c r="W11" s="22">
        <v>45856</v>
      </c>
      <c r="X11" s="24">
        <f t="shared" si="0"/>
        <v>1</v>
      </c>
      <c r="Y11" s="24">
        <f t="shared" si="1"/>
        <v>3</v>
      </c>
      <c r="Z11" s="24">
        <f t="shared" si="2"/>
        <v>1</v>
      </c>
      <c r="AA11" s="24">
        <f t="shared" si="3"/>
        <v>1</v>
      </c>
      <c r="AB11" s="9" t="s">
        <v>1255</v>
      </c>
      <c r="AC11" s="6" t="s">
        <v>102</v>
      </c>
      <c r="AD11" s="6" t="s">
        <v>103</v>
      </c>
      <c r="AE11" s="6" t="s">
        <v>103</v>
      </c>
      <c r="AF11" s="6" t="s">
        <v>103</v>
      </c>
      <c r="AG11" s="6" t="s">
        <v>103</v>
      </c>
      <c r="AH11" s="6" t="s">
        <v>103</v>
      </c>
      <c r="AI11" s="6" t="s">
        <v>103</v>
      </c>
      <c r="AJ11" s="6" t="s">
        <v>103</v>
      </c>
      <c r="AK11" s="6" t="s">
        <v>103</v>
      </c>
      <c r="AL11" s="6" t="s">
        <v>103</v>
      </c>
      <c r="AM11" s="6" t="s">
        <v>1259</v>
      </c>
      <c r="AN11" s="9"/>
      <c r="AO11" s="9"/>
      <c r="AP11" s="9"/>
      <c r="AQ11" s="9"/>
    </row>
    <row r="12" spans="1:43" ht="15" customHeight="1">
      <c r="A12" s="9" t="s">
        <v>49</v>
      </c>
      <c r="B12" s="6" t="s">
        <v>488</v>
      </c>
      <c r="C12" s="6" t="s">
        <v>1282</v>
      </c>
      <c r="D12" s="9" t="s">
        <v>88</v>
      </c>
      <c r="E12" s="32" t="s">
        <v>381</v>
      </c>
      <c r="F12" s="9">
        <v>14.932413889999999</v>
      </c>
      <c r="G12" s="9">
        <v>121.043125</v>
      </c>
      <c r="H12" s="9" t="s">
        <v>1283</v>
      </c>
      <c r="I12" s="9">
        <v>2013</v>
      </c>
      <c r="J12" s="9">
        <v>2017</v>
      </c>
      <c r="K12" s="9">
        <v>2018</v>
      </c>
      <c r="L12" s="9">
        <v>2018</v>
      </c>
      <c r="M12" s="44">
        <v>843614.43</v>
      </c>
      <c r="N12" s="357" t="s">
        <v>70</v>
      </c>
      <c r="O12" s="9" t="s">
        <v>134</v>
      </c>
      <c r="P12" s="9"/>
      <c r="Q12" s="9" t="s">
        <v>128</v>
      </c>
      <c r="R12" s="31" t="s">
        <v>1284</v>
      </c>
      <c r="S12" s="22">
        <v>45881</v>
      </c>
      <c r="T12" s="22">
        <v>45886</v>
      </c>
      <c r="U12" s="22"/>
      <c r="V12" s="22">
        <v>45887</v>
      </c>
      <c r="W12" s="22">
        <v>45888</v>
      </c>
      <c r="X12" s="24">
        <f t="shared" si="0"/>
        <v>3</v>
      </c>
      <c r="Y12" s="24" t="str">
        <f t="shared" si="1"/>
        <v/>
      </c>
      <c r="Z12" s="24" t="str">
        <f t="shared" si="2"/>
        <v/>
      </c>
      <c r="AA12" s="24">
        <f t="shared" si="3"/>
        <v>1</v>
      </c>
      <c r="AB12" s="9" t="s">
        <v>1255</v>
      </c>
      <c r="AC12" s="6" t="s">
        <v>102</v>
      </c>
      <c r="AD12" s="6" t="s">
        <v>103</v>
      </c>
      <c r="AE12" s="6" t="s">
        <v>103</v>
      </c>
      <c r="AF12" s="6" t="s">
        <v>103</v>
      </c>
      <c r="AG12" s="6" t="s">
        <v>110</v>
      </c>
      <c r="AH12" s="6" t="s">
        <v>103</v>
      </c>
      <c r="AI12" s="6" t="s">
        <v>110</v>
      </c>
      <c r="AJ12" s="6" t="s">
        <v>103</v>
      </c>
      <c r="AK12" s="6" t="s">
        <v>110</v>
      </c>
      <c r="AL12" s="6" t="s">
        <v>103</v>
      </c>
      <c r="AM12" s="6" t="s">
        <v>1259</v>
      </c>
      <c r="AN12" s="9"/>
      <c r="AO12" s="9"/>
      <c r="AP12" s="9"/>
      <c r="AQ12" s="9"/>
    </row>
    <row r="13" spans="1:43" ht="15" customHeight="1">
      <c r="A13" s="9" t="s">
        <v>49</v>
      </c>
      <c r="B13" s="6" t="s">
        <v>490</v>
      </c>
      <c r="C13" s="6" t="s">
        <v>1285</v>
      </c>
      <c r="D13" s="9" t="s">
        <v>88</v>
      </c>
      <c r="E13" s="32" t="s">
        <v>271</v>
      </c>
      <c r="F13" s="9">
        <v>14.95895833</v>
      </c>
      <c r="G13" s="9">
        <v>120.93370830000001</v>
      </c>
      <c r="H13" s="9" t="s">
        <v>1286</v>
      </c>
      <c r="I13" s="9"/>
      <c r="J13" s="9">
        <v>2017</v>
      </c>
      <c r="K13" s="9">
        <v>2019</v>
      </c>
      <c r="L13" s="9">
        <v>2018</v>
      </c>
      <c r="M13" s="44">
        <v>299446.61</v>
      </c>
      <c r="N13" s="357" t="s">
        <v>57</v>
      </c>
      <c r="O13" s="9" t="s">
        <v>22</v>
      </c>
      <c r="P13" s="9"/>
      <c r="Q13" s="9" t="s">
        <v>128</v>
      </c>
      <c r="R13" s="9" t="s">
        <v>1287</v>
      </c>
      <c r="S13" s="22">
        <v>45755</v>
      </c>
      <c r="T13" s="22">
        <v>45759</v>
      </c>
      <c r="U13" s="22">
        <v>45762</v>
      </c>
      <c r="V13" s="22">
        <v>45762</v>
      </c>
      <c r="W13" s="22">
        <v>45762</v>
      </c>
      <c r="X13" s="24">
        <f t="shared" si="0"/>
        <v>3</v>
      </c>
      <c r="Y13" s="24">
        <f t="shared" si="1"/>
        <v>1</v>
      </c>
      <c r="Z13" s="24">
        <f t="shared" si="2"/>
        <v>1</v>
      </c>
      <c r="AA13" s="24">
        <f t="shared" si="3"/>
        <v>1</v>
      </c>
      <c r="AB13" s="6" t="s">
        <v>1255</v>
      </c>
      <c r="AC13" s="6" t="s">
        <v>102</v>
      </c>
      <c r="AD13" s="6" t="s">
        <v>103</v>
      </c>
      <c r="AE13" s="6" t="s">
        <v>103</v>
      </c>
      <c r="AF13" s="6" t="s">
        <v>103</v>
      </c>
      <c r="AG13" s="6" t="s">
        <v>103</v>
      </c>
      <c r="AH13" s="6" t="s">
        <v>103</v>
      </c>
      <c r="AI13" s="6" t="s">
        <v>103</v>
      </c>
      <c r="AJ13" s="6" t="s">
        <v>103</v>
      </c>
      <c r="AK13" s="6" t="s">
        <v>103</v>
      </c>
      <c r="AL13" s="6" t="s">
        <v>103</v>
      </c>
      <c r="AM13" s="6" t="s">
        <v>1259</v>
      </c>
      <c r="AN13" s="9"/>
      <c r="AO13" s="9"/>
      <c r="AP13" s="9"/>
      <c r="AQ13" s="9"/>
    </row>
    <row r="14" spans="1:43" ht="15" customHeight="1">
      <c r="A14" s="9" t="s">
        <v>49</v>
      </c>
      <c r="B14" s="6" t="s">
        <v>492</v>
      </c>
      <c r="C14" s="6" t="s">
        <v>1288</v>
      </c>
      <c r="D14" s="9" t="s">
        <v>88</v>
      </c>
      <c r="E14" s="32" t="s">
        <v>243</v>
      </c>
      <c r="F14" s="9">
        <v>14.927519</v>
      </c>
      <c r="G14" s="9">
        <v>120.78780999999999</v>
      </c>
      <c r="H14" s="9" t="s">
        <v>1289</v>
      </c>
      <c r="I14" s="9">
        <v>2005</v>
      </c>
      <c r="J14" s="9">
        <v>2017</v>
      </c>
      <c r="K14" s="9">
        <v>2019</v>
      </c>
      <c r="L14" s="9">
        <v>2018</v>
      </c>
      <c r="M14" s="44">
        <v>593191.76</v>
      </c>
      <c r="N14" s="357" t="s">
        <v>62</v>
      </c>
      <c r="O14" s="9" t="s">
        <v>22</v>
      </c>
      <c r="P14" s="9" t="s">
        <v>1290</v>
      </c>
      <c r="Q14" s="9" t="s">
        <v>128</v>
      </c>
      <c r="R14" s="9" t="s">
        <v>1291</v>
      </c>
      <c r="S14" s="22">
        <v>45702</v>
      </c>
      <c r="T14" s="22">
        <v>45704</v>
      </c>
      <c r="U14" s="22">
        <v>45705</v>
      </c>
      <c r="V14" s="22">
        <v>45705</v>
      </c>
      <c r="W14" s="22">
        <v>45706</v>
      </c>
      <c r="X14" s="24">
        <f t="shared" si="0"/>
        <v>1</v>
      </c>
      <c r="Y14" s="24">
        <f t="shared" si="1"/>
        <v>1</v>
      </c>
      <c r="Z14" s="24">
        <f t="shared" si="2"/>
        <v>1</v>
      </c>
      <c r="AA14" s="24">
        <f t="shared" si="3"/>
        <v>1</v>
      </c>
      <c r="AB14" s="6" t="s">
        <v>1255</v>
      </c>
      <c r="AC14" s="6" t="s">
        <v>102</v>
      </c>
      <c r="AD14" s="6" t="s">
        <v>103</v>
      </c>
      <c r="AE14" s="6" t="s">
        <v>103</v>
      </c>
      <c r="AF14" s="6" t="s">
        <v>103</v>
      </c>
      <c r="AG14" s="6" t="s">
        <v>110</v>
      </c>
      <c r="AH14" s="6" t="s">
        <v>110</v>
      </c>
      <c r="AI14" s="6" t="s">
        <v>103</v>
      </c>
      <c r="AJ14" s="6" t="s">
        <v>103</v>
      </c>
      <c r="AK14" s="6" t="s">
        <v>103</v>
      </c>
      <c r="AL14" s="6" t="s">
        <v>103</v>
      </c>
      <c r="AM14" s="6" t="s">
        <v>1259</v>
      </c>
      <c r="AN14" s="9"/>
      <c r="AO14" s="9"/>
      <c r="AP14" s="9"/>
      <c r="AQ14" s="9"/>
    </row>
    <row r="15" spans="1:43" ht="15" customHeight="1">
      <c r="A15" s="9" t="s">
        <v>49</v>
      </c>
      <c r="B15" s="6" t="s">
        <v>342</v>
      </c>
      <c r="C15" s="6" t="s">
        <v>1068</v>
      </c>
      <c r="D15" s="9" t="s">
        <v>88</v>
      </c>
      <c r="E15" s="32" t="s">
        <v>243</v>
      </c>
      <c r="F15" s="9">
        <v>14.85065556</v>
      </c>
      <c r="G15" s="9">
        <v>120.764675</v>
      </c>
      <c r="H15" s="9" t="s">
        <v>1292</v>
      </c>
      <c r="I15" s="9">
        <v>1990</v>
      </c>
      <c r="J15" s="9">
        <v>2016</v>
      </c>
      <c r="K15" s="9">
        <v>2016</v>
      </c>
      <c r="L15" s="9">
        <v>2017</v>
      </c>
      <c r="M15" s="44">
        <v>5130000</v>
      </c>
      <c r="N15" s="357" t="s">
        <v>45</v>
      </c>
      <c r="O15" s="9" t="s">
        <v>22</v>
      </c>
      <c r="P15" s="9" t="s">
        <v>1290</v>
      </c>
      <c r="Q15" s="9" t="s">
        <v>128</v>
      </c>
      <c r="R15" s="9" t="s">
        <v>1293</v>
      </c>
      <c r="S15" s="22">
        <v>45722</v>
      </c>
      <c r="T15" s="22">
        <v>45726</v>
      </c>
      <c r="U15" s="22">
        <v>45727</v>
      </c>
      <c r="V15" s="22">
        <v>45727</v>
      </c>
      <c r="W15" s="22">
        <v>45735</v>
      </c>
      <c r="X15" s="24">
        <f t="shared" si="0"/>
        <v>2</v>
      </c>
      <c r="Y15" s="24">
        <f t="shared" si="1"/>
        <v>1</v>
      </c>
      <c r="Z15" s="24">
        <f t="shared" si="2"/>
        <v>1</v>
      </c>
      <c r="AA15" s="24">
        <f t="shared" si="3"/>
        <v>6</v>
      </c>
      <c r="AB15" s="6" t="s">
        <v>1255</v>
      </c>
      <c r="AC15" s="6" t="s">
        <v>102</v>
      </c>
      <c r="AD15" s="6" t="s">
        <v>103</v>
      </c>
      <c r="AE15" s="6" t="s">
        <v>103</v>
      </c>
      <c r="AF15" s="6" t="s">
        <v>103</v>
      </c>
      <c r="AG15" s="6" t="s">
        <v>103</v>
      </c>
      <c r="AH15" s="6" t="s">
        <v>103</v>
      </c>
      <c r="AI15" s="6" t="s">
        <v>103</v>
      </c>
      <c r="AJ15" s="6" t="s">
        <v>103</v>
      </c>
      <c r="AK15" s="6" t="s">
        <v>103</v>
      </c>
      <c r="AL15" s="6" t="s">
        <v>103</v>
      </c>
      <c r="AM15" s="6" t="s">
        <v>1259</v>
      </c>
      <c r="AN15" s="9"/>
      <c r="AO15" s="9"/>
      <c r="AP15" s="9"/>
      <c r="AQ15" s="9"/>
    </row>
    <row r="16" spans="1:43" ht="15" customHeight="1">
      <c r="A16" s="9" t="s">
        <v>49</v>
      </c>
      <c r="B16" s="6" t="s">
        <v>1279</v>
      </c>
      <c r="C16" s="6" t="s">
        <v>1029</v>
      </c>
      <c r="D16" s="9" t="s">
        <v>88</v>
      </c>
      <c r="E16" s="32" t="s">
        <v>243</v>
      </c>
      <c r="F16" s="9">
        <v>14.808448</v>
      </c>
      <c r="G16" s="9">
        <v>120.84390500000001</v>
      </c>
      <c r="H16" s="9" t="s">
        <v>1294</v>
      </c>
      <c r="I16" s="9"/>
      <c r="J16" s="9"/>
      <c r="K16" s="9">
        <v>2016</v>
      </c>
      <c r="L16" s="9">
        <v>2016</v>
      </c>
      <c r="M16" s="44">
        <v>6456787.4800000004</v>
      </c>
      <c r="N16" s="357" t="s">
        <v>64</v>
      </c>
      <c r="O16" s="9" t="s">
        <v>1295</v>
      </c>
      <c r="P16" s="9"/>
      <c r="Q16" s="9" t="s">
        <v>128</v>
      </c>
      <c r="R16" s="9" t="s">
        <v>1296</v>
      </c>
      <c r="S16" s="22">
        <v>45818</v>
      </c>
      <c r="T16" s="22">
        <v>45822</v>
      </c>
      <c r="U16" s="22">
        <v>45822</v>
      </c>
      <c r="V16" s="22">
        <v>45825</v>
      </c>
      <c r="W16" s="22">
        <v>45825</v>
      </c>
      <c r="X16" s="24">
        <f t="shared" si="0"/>
        <v>3</v>
      </c>
      <c r="Y16" s="24">
        <f t="shared" si="1"/>
        <v>1</v>
      </c>
      <c r="Z16" s="24">
        <f t="shared" si="2"/>
        <v>1</v>
      </c>
      <c r="AA16" s="24">
        <f t="shared" si="3"/>
        <v>1</v>
      </c>
      <c r="AB16" s="6" t="s">
        <v>1255</v>
      </c>
      <c r="AC16" s="6" t="s">
        <v>102</v>
      </c>
      <c r="AD16" s="6" t="s">
        <v>103</v>
      </c>
      <c r="AE16" s="6" t="s">
        <v>103</v>
      </c>
      <c r="AF16" s="6" t="s">
        <v>103</v>
      </c>
      <c r="AG16" s="6" t="s">
        <v>103</v>
      </c>
      <c r="AH16" s="6"/>
      <c r="AI16" s="6" t="s">
        <v>110</v>
      </c>
      <c r="AJ16" s="6" t="s">
        <v>103</v>
      </c>
      <c r="AK16" s="6" t="s">
        <v>110</v>
      </c>
      <c r="AL16" s="6" t="s">
        <v>103</v>
      </c>
      <c r="AM16" s="6" t="s">
        <v>1256</v>
      </c>
      <c r="AN16" s="9"/>
      <c r="AO16" s="9"/>
      <c r="AP16" s="9"/>
      <c r="AQ16" s="9"/>
    </row>
    <row r="17" spans="1:43" ht="60">
      <c r="A17" s="9" t="s">
        <v>49</v>
      </c>
      <c r="B17" s="6" t="s">
        <v>223</v>
      </c>
      <c r="C17" s="6" t="s">
        <v>1297</v>
      </c>
      <c r="D17" s="9" t="s">
        <v>88</v>
      </c>
      <c r="E17" s="32" t="s">
        <v>224</v>
      </c>
      <c r="F17" s="9">
        <v>15.447848</v>
      </c>
      <c r="G17" s="9">
        <v>121.08678500000001</v>
      </c>
      <c r="H17" s="9" t="s">
        <v>1298</v>
      </c>
      <c r="I17" s="9">
        <v>2007</v>
      </c>
      <c r="J17" s="9">
        <v>2015</v>
      </c>
      <c r="K17" s="9">
        <v>2016</v>
      </c>
      <c r="L17" s="9">
        <v>2016</v>
      </c>
      <c r="M17" s="44">
        <v>8492135.6500000004</v>
      </c>
      <c r="N17" s="357" t="s">
        <v>63</v>
      </c>
      <c r="O17" s="9" t="s">
        <v>24</v>
      </c>
      <c r="P17" s="9" t="s">
        <v>1290</v>
      </c>
      <c r="Q17" s="9" t="s">
        <v>128</v>
      </c>
      <c r="R17" s="9" t="s">
        <v>1299</v>
      </c>
      <c r="S17" s="22">
        <v>45792</v>
      </c>
      <c r="T17" s="22">
        <v>45796</v>
      </c>
      <c r="V17" s="22"/>
      <c r="W17" s="22"/>
      <c r="X17" s="24">
        <f t="shared" si="0"/>
        <v>2</v>
      </c>
      <c r="Y17" s="24" t="str">
        <f t="shared" si="1"/>
        <v/>
      </c>
      <c r="Z17" s="24" t="str">
        <f t="shared" si="2"/>
        <v/>
      </c>
      <c r="AA17" s="24" t="str">
        <f t="shared" si="3"/>
        <v/>
      </c>
      <c r="AB17" s="9" t="s">
        <v>929</v>
      </c>
      <c r="AC17" s="6" t="s">
        <v>116</v>
      </c>
      <c r="AD17" s="6" t="s">
        <v>110</v>
      </c>
      <c r="AE17" s="6" t="s">
        <v>110</v>
      </c>
      <c r="AF17" s="6" t="s">
        <v>110</v>
      </c>
      <c r="AG17" s="6" t="s">
        <v>110</v>
      </c>
      <c r="AH17" s="6" t="s">
        <v>110</v>
      </c>
      <c r="AI17" s="6" t="s">
        <v>110</v>
      </c>
      <c r="AJ17" s="6" t="s">
        <v>110</v>
      </c>
      <c r="AK17" s="6" t="s">
        <v>110</v>
      </c>
      <c r="AL17" s="6"/>
      <c r="AM17" s="6" t="s">
        <v>1300</v>
      </c>
      <c r="AN17" s="9"/>
      <c r="AO17" s="9"/>
      <c r="AP17" s="9"/>
      <c r="AQ17" s="9"/>
    </row>
    <row r="18" spans="1:43" ht="15" customHeight="1">
      <c r="A18" s="9" t="s">
        <v>49</v>
      </c>
      <c r="B18" s="6" t="s">
        <v>501</v>
      </c>
      <c r="C18" s="6" t="s">
        <v>774</v>
      </c>
      <c r="D18" s="9" t="s">
        <v>88</v>
      </c>
      <c r="E18" s="32" t="s">
        <v>243</v>
      </c>
      <c r="F18" s="9">
        <v>14.827323</v>
      </c>
      <c r="G18" s="9">
        <v>120.763233</v>
      </c>
      <c r="H18" s="9" t="s">
        <v>1301</v>
      </c>
      <c r="I18" s="9">
        <v>2008</v>
      </c>
      <c r="J18" s="9">
        <v>2016</v>
      </c>
      <c r="K18" s="9">
        <v>2017</v>
      </c>
      <c r="L18" s="9">
        <v>2017</v>
      </c>
      <c r="M18" s="44">
        <v>1332850</v>
      </c>
      <c r="N18" s="357" t="s">
        <v>45</v>
      </c>
      <c r="O18" s="9" t="s">
        <v>22</v>
      </c>
      <c r="P18" s="9" t="s">
        <v>1290</v>
      </c>
      <c r="Q18" s="9" t="s">
        <v>128</v>
      </c>
      <c r="R18" s="9" t="s">
        <v>1302</v>
      </c>
      <c r="S18" s="22">
        <v>45727</v>
      </c>
      <c r="T18" s="22">
        <v>45734</v>
      </c>
      <c r="U18" s="22">
        <v>45734</v>
      </c>
      <c r="V18" s="22">
        <v>45734</v>
      </c>
      <c r="W18" s="22">
        <v>45735</v>
      </c>
      <c r="X18" s="24">
        <f t="shared" si="0"/>
        <v>5</v>
      </c>
      <c r="Y18" s="24">
        <f t="shared" si="1"/>
        <v>1</v>
      </c>
      <c r="Z18" s="24">
        <f t="shared" si="2"/>
        <v>1</v>
      </c>
      <c r="AA18" s="24">
        <f t="shared" si="3"/>
        <v>1</v>
      </c>
      <c r="AB18" s="6" t="s">
        <v>1255</v>
      </c>
      <c r="AC18" s="6" t="s">
        <v>102</v>
      </c>
      <c r="AD18" s="6" t="s">
        <v>103</v>
      </c>
      <c r="AE18" s="6" t="s">
        <v>103</v>
      </c>
      <c r="AF18" s="6" t="s">
        <v>103</v>
      </c>
      <c r="AG18" s="6" t="s">
        <v>103</v>
      </c>
      <c r="AH18" s="6" t="s">
        <v>103</v>
      </c>
      <c r="AI18" s="6" t="s">
        <v>103</v>
      </c>
      <c r="AJ18" s="6" t="s">
        <v>103</v>
      </c>
      <c r="AK18" s="6" t="s">
        <v>103</v>
      </c>
      <c r="AL18" s="6" t="s">
        <v>103</v>
      </c>
      <c r="AM18" s="6" t="s">
        <v>1259</v>
      </c>
      <c r="AN18" s="9"/>
      <c r="AO18" s="9"/>
      <c r="AP18" s="9"/>
      <c r="AQ18" s="9"/>
    </row>
    <row r="19" spans="1:43" ht="15" customHeight="1">
      <c r="A19" s="9" t="s">
        <v>49</v>
      </c>
      <c r="B19" s="6" t="s">
        <v>439</v>
      </c>
      <c r="C19" s="6" t="s">
        <v>1303</v>
      </c>
      <c r="D19" s="9" t="s">
        <v>88</v>
      </c>
      <c r="E19" s="32" t="s">
        <v>213</v>
      </c>
      <c r="F19" s="9">
        <v>15.042716670000001</v>
      </c>
      <c r="G19" s="9">
        <v>121.0575139</v>
      </c>
      <c r="H19" s="9" t="s">
        <v>1304</v>
      </c>
      <c r="I19" s="9">
        <v>1996</v>
      </c>
      <c r="J19" s="9">
        <v>2015</v>
      </c>
      <c r="K19" s="9">
        <v>2018</v>
      </c>
      <c r="L19" s="9">
        <v>2018</v>
      </c>
      <c r="M19" s="44">
        <v>1410492.15</v>
      </c>
      <c r="N19" s="258" t="s">
        <v>72</v>
      </c>
      <c r="O19" s="9" t="s">
        <v>22</v>
      </c>
      <c r="P19" s="9" t="s">
        <v>127</v>
      </c>
      <c r="Q19" s="9" t="s">
        <v>128</v>
      </c>
      <c r="R19" s="9" t="s">
        <v>1305</v>
      </c>
      <c r="S19" s="22">
        <v>45944</v>
      </c>
      <c r="T19" s="22">
        <v>45945</v>
      </c>
      <c r="U19" s="22">
        <v>45946</v>
      </c>
      <c r="V19" s="22">
        <v>45946</v>
      </c>
      <c r="W19" s="22">
        <v>45950</v>
      </c>
      <c r="X19" s="24">
        <f t="shared" si="0"/>
        <v>1</v>
      </c>
      <c r="Y19" s="24">
        <f t="shared" si="1"/>
        <v>1</v>
      </c>
      <c r="Z19" s="24">
        <f t="shared" si="2"/>
        <v>1</v>
      </c>
      <c r="AA19" s="24">
        <f t="shared" si="3"/>
        <v>2</v>
      </c>
      <c r="AB19" s="9"/>
      <c r="AC19" s="6" t="s">
        <v>102</v>
      </c>
      <c r="AD19" s="6" t="s">
        <v>103</v>
      </c>
      <c r="AE19" s="6" t="s">
        <v>103</v>
      </c>
      <c r="AF19" s="6" t="s">
        <v>103</v>
      </c>
      <c r="AG19" s="6" t="s">
        <v>103</v>
      </c>
      <c r="AH19" s="6" t="s">
        <v>103</v>
      </c>
      <c r="AI19" s="6" t="s">
        <v>103</v>
      </c>
      <c r="AJ19" s="6" t="s">
        <v>103</v>
      </c>
      <c r="AK19" s="6" t="s">
        <v>103</v>
      </c>
      <c r="AL19" s="6" t="s">
        <v>103</v>
      </c>
      <c r="AM19" s="6"/>
      <c r="AN19" s="9"/>
      <c r="AO19" s="9"/>
      <c r="AP19" s="9"/>
      <c r="AQ19" s="9"/>
    </row>
    <row r="20" spans="1:43" ht="15" customHeight="1">
      <c r="A20" s="9" t="s">
        <v>49</v>
      </c>
      <c r="B20" s="6" t="s">
        <v>440</v>
      </c>
      <c r="C20" s="6" t="s">
        <v>1306</v>
      </c>
      <c r="D20" s="9" t="s">
        <v>88</v>
      </c>
      <c r="E20" s="32" t="s">
        <v>213</v>
      </c>
      <c r="F20" s="9">
        <v>15.13490833</v>
      </c>
      <c r="G20" s="9">
        <v>121.0599028</v>
      </c>
      <c r="H20" s="9" t="s">
        <v>1307</v>
      </c>
      <c r="I20" s="9">
        <v>2017</v>
      </c>
      <c r="J20" s="9">
        <v>2018</v>
      </c>
      <c r="K20" s="9">
        <v>2018</v>
      </c>
      <c r="L20" s="9">
        <v>2018</v>
      </c>
      <c r="M20" s="44">
        <v>427290.43</v>
      </c>
      <c r="N20" s="357" t="s">
        <v>71</v>
      </c>
      <c r="O20" s="9" t="s">
        <v>22</v>
      </c>
      <c r="P20" s="9" t="s">
        <v>127</v>
      </c>
      <c r="Q20" s="9" t="s">
        <v>128</v>
      </c>
      <c r="R20" s="9" t="s">
        <v>1308</v>
      </c>
      <c r="S20" s="22">
        <v>45903</v>
      </c>
      <c r="T20" s="22">
        <v>45909</v>
      </c>
      <c r="U20" s="22">
        <v>45909</v>
      </c>
      <c r="V20" s="22">
        <v>45910</v>
      </c>
      <c r="W20" s="22">
        <v>45910</v>
      </c>
      <c r="X20" s="24">
        <f t="shared" si="0"/>
        <v>4</v>
      </c>
      <c r="Y20" s="24">
        <f t="shared" si="1"/>
        <v>1</v>
      </c>
      <c r="Z20" s="24">
        <f t="shared" si="2"/>
        <v>1</v>
      </c>
      <c r="AA20" s="24">
        <f t="shared" si="3"/>
        <v>1</v>
      </c>
      <c r="AB20" s="9" t="s">
        <v>929</v>
      </c>
      <c r="AC20" s="6" t="s">
        <v>102</v>
      </c>
      <c r="AD20" s="6" t="s">
        <v>103</v>
      </c>
      <c r="AE20" s="6" t="s">
        <v>103</v>
      </c>
      <c r="AF20" s="6" t="s">
        <v>103</v>
      </c>
      <c r="AG20" s="6" t="s">
        <v>103</v>
      </c>
      <c r="AH20" s="6" t="s">
        <v>103</v>
      </c>
      <c r="AI20" s="6" t="s">
        <v>103</v>
      </c>
      <c r="AJ20" s="6" t="s">
        <v>103</v>
      </c>
      <c r="AK20" s="6" t="s">
        <v>103</v>
      </c>
      <c r="AL20" s="6" t="s">
        <v>103</v>
      </c>
      <c r="AM20" s="6"/>
      <c r="AN20" s="9"/>
      <c r="AO20" s="9"/>
      <c r="AP20" s="9"/>
      <c r="AQ20" s="9"/>
    </row>
    <row r="21" spans="1:43" s="290" customFormat="1" ht="15" customHeight="1">
      <c r="A21" s="275" t="s">
        <v>49</v>
      </c>
      <c r="B21" s="285" t="s">
        <v>1309</v>
      </c>
      <c r="C21" s="285" t="s">
        <v>782</v>
      </c>
      <c r="D21" s="275" t="s">
        <v>88</v>
      </c>
      <c r="E21" s="316" t="s">
        <v>381</v>
      </c>
      <c r="F21" s="275">
        <v>14.871143999999999</v>
      </c>
      <c r="G21" s="275">
        <v>120.972808</v>
      </c>
      <c r="H21" s="275" t="s">
        <v>1310</v>
      </c>
      <c r="I21" s="275">
        <v>2008</v>
      </c>
      <c r="J21" s="275">
        <v>2010</v>
      </c>
      <c r="K21" s="275">
        <v>2018</v>
      </c>
      <c r="L21" s="275">
        <v>2018</v>
      </c>
      <c r="M21" s="287">
        <v>1061965.01</v>
      </c>
      <c r="N21" s="361" t="s">
        <v>137</v>
      </c>
      <c r="O21" s="275" t="s">
        <v>24</v>
      </c>
      <c r="P21" s="275" t="s">
        <v>1290</v>
      </c>
      <c r="Q21" s="275" t="s">
        <v>128</v>
      </c>
      <c r="R21" s="275"/>
      <c r="S21" s="288"/>
      <c r="T21" s="288"/>
      <c r="U21" s="288"/>
      <c r="V21" s="288"/>
      <c r="W21" s="288"/>
      <c r="X21" s="289" t="str">
        <f t="shared" si="0"/>
        <v/>
      </c>
      <c r="Y21" s="289" t="str">
        <f t="shared" si="1"/>
        <v/>
      </c>
      <c r="Z21" s="289" t="str">
        <f t="shared" si="2"/>
        <v/>
      </c>
      <c r="AA21" s="289" t="str">
        <f t="shared" si="3"/>
        <v/>
      </c>
      <c r="AB21" s="275"/>
      <c r="AC21" s="285"/>
      <c r="AD21" s="285"/>
      <c r="AE21" s="285"/>
      <c r="AF21" s="285"/>
      <c r="AG21" s="285"/>
      <c r="AH21" s="285"/>
      <c r="AI21" s="285"/>
      <c r="AJ21" s="285"/>
      <c r="AK21" s="285"/>
      <c r="AL21" s="285"/>
      <c r="AM21" s="285"/>
      <c r="AN21" s="275"/>
      <c r="AO21" s="275"/>
      <c r="AP21" s="275"/>
      <c r="AQ21" s="275"/>
    </row>
    <row r="22" spans="1:43" ht="15" customHeight="1">
      <c r="A22" s="9" t="s">
        <v>50</v>
      </c>
      <c r="B22" s="6" t="s">
        <v>383</v>
      </c>
      <c r="C22" s="6" t="s">
        <v>1020</v>
      </c>
      <c r="D22" s="9" t="s">
        <v>88</v>
      </c>
      <c r="E22" s="32" t="s">
        <v>243</v>
      </c>
      <c r="F22" s="9">
        <v>15.479856</v>
      </c>
      <c r="G22" s="9">
        <v>120.818611</v>
      </c>
      <c r="H22" s="9" t="s">
        <v>1311</v>
      </c>
      <c r="I22" s="9">
        <v>2001</v>
      </c>
      <c r="J22" s="9">
        <v>2015</v>
      </c>
      <c r="K22" s="9">
        <v>2017</v>
      </c>
      <c r="L22" s="9">
        <v>2017</v>
      </c>
      <c r="M22" s="44">
        <v>531789.1</v>
      </c>
      <c r="N22" s="357" t="s">
        <v>71</v>
      </c>
      <c r="O22" s="9" t="s">
        <v>27</v>
      </c>
      <c r="P22" s="9" t="s">
        <v>1312</v>
      </c>
      <c r="Q22" s="9" t="s">
        <v>130</v>
      </c>
      <c r="R22" s="9" t="s">
        <v>1313</v>
      </c>
      <c r="S22" s="22">
        <v>45916</v>
      </c>
      <c r="T22" s="22">
        <v>45919</v>
      </c>
      <c r="U22" s="22">
        <v>45919</v>
      </c>
      <c r="V22" s="22">
        <v>45919</v>
      </c>
      <c r="W22" s="22">
        <v>45919</v>
      </c>
      <c r="X22" s="24">
        <f t="shared" si="0"/>
        <v>3</v>
      </c>
      <c r="Y22" s="24">
        <f t="shared" si="1"/>
        <v>1</v>
      </c>
      <c r="Z22" s="24">
        <f t="shared" si="2"/>
        <v>1</v>
      </c>
      <c r="AA22" s="24">
        <f t="shared" si="3"/>
        <v>1</v>
      </c>
      <c r="AB22" s="9" t="s">
        <v>929</v>
      </c>
      <c r="AC22" s="6" t="s">
        <v>102</v>
      </c>
      <c r="AD22" s="6" t="s">
        <v>103</v>
      </c>
      <c r="AE22" s="6" t="s">
        <v>103</v>
      </c>
      <c r="AF22" s="6" t="s">
        <v>103</v>
      </c>
      <c r="AG22" s="6" t="s">
        <v>103</v>
      </c>
      <c r="AH22" s="6" t="s">
        <v>103</v>
      </c>
      <c r="AI22" s="6" t="s">
        <v>103</v>
      </c>
      <c r="AJ22" s="6" t="s">
        <v>103</v>
      </c>
      <c r="AK22" s="6" t="s">
        <v>103</v>
      </c>
      <c r="AL22" s="6" t="s">
        <v>103</v>
      </c>
      <c r="AM22" s="6" t="s">
        <v>1259</v>
      </c>
      <c r="AN22" s="9"/>
      <c r="AO22" s="9"/>
      <c r="AP22" s="9"/>
      <c r="AQ22" s="9"/>
    </row>
    <row r="23" spans="1:43" ht="15" customHeight="1">
      <c r="A23" s="9" t="s">
        <v>50</v>
      </c>
      <c r="B23" s="6" t="s">
        <v>1314</v>
      </c>
      <c r="C23" s="6" t="s">
        <v>1315</v>
      </c>
      <c r="D23" s="9" t="s">
        <v>88</v>
      </c>
      <c r="E23" s="32" t="s">
        <v>213</v>
      </c>
      <c r="F23" s="9">
        <v>15.489001999999999</v>
      </c>
      <c r="G23" s="9">
        <v>120.99226299999999</v>
      </c>
      <c r="H23" s="9" t="s">
        <v>1316</v>
      </c>
      <c r="I23" s="9"/>
      <c r="J23" s="9">
        <v>2020</v>
      </c>
      <c r="K23" s="9">
        <v>2020</v>
      </c>
      <c r="L23" s="9">
        <v>2019</v>
      </c>
      <c r="M23" s="44">
        <v>9000000</v>
      </c>
      <c r="N23" s="357" t="s">
        <v>57</v>
      </c>
      <c r="O23" s="9" t="s">
        <v>1317</v>
      </c>
      <c r="P23" s="9" t="s">
        <v>28</v>
      </c>
      <c r="Q23" s="9" t="s">
        <v>130</v>
      </c>
      <c r="R23" s="251" t="s">
        <v>1318</v>
      </c>
      <c r="S23" s="22">
        <v>45757</v>
      </c>
      <c r="T23" s="22">
        <v>45757</v>
      </c>
      <c r="U23" s="22">
        <v>45761</v>
      </c>
      <c r="V23" s="22">
        <v>45761</v>
      </c>
      <c r="W23" s="22">
        <v>45762</v>
      </c>
      <c r="X23" s="24">
        <f t="shared" si="0"/>
        <v>1</v>
      </c>
      <c r="Y23" s="24">
        <f t="shared" si="1"/>
        <v>2</v>
      </c>
      <c r="Z23" s="24">
        <f t="shared" si="2"/>
        <v>1</v>
      </c>
      <c r="AA23" s="24">
        <f t="shared" si="3"/>
        <v>1</v>
      </c>
      <c r="AB23" s="6" t="s">
        <v>1255</v>
      </c>
      <c r="AC23" s="6" t="s">
        <v>102</v>
      </c>
      <c r="AD23" s="6" t="s">
        <v>103</v>
      </c>
      <c r="AE23" s="6" t="s">
        <v>103</v>
      </c>
      <c r="AF23" s="6" t="s">
        <v>103</v>
      </c>
      <c r="AG23" s="6" t="s">
        <v>110</v>
      </c>
      <c r="AH23" s="6" t="s">
        <v>110</v>
      </c>
      <c r="AI23" s="6" t="s">
        <v>103</v>
      </c>
      <c r="AJ23" s="6" t="s">
        <v>110</v>
      </c>
      <c r="AK23" s="6" t="s">
        <v>103</v>
      </c>
      <c r="AL23" s="6" t="s">
        <v>103</v>
      </c>
      <c r="AM23" s="6" t="s">
        <v>1319</v>
      </c>
      <c r="AN23" s="9"/>
      <c r="AO23" s="9"/>
      <c r="AP23" s="9"/>
      <c r="AQ23" s="9"/>
    </row>
    <row r="24" spans="1:43" ht="15" customHeight="1">
      <c r="A24" s="9" t="s">
        <v>50</v>
      </c>
      <c r="B24" s="6" t="s">
        <v>407</v>
      </c>
      <c r="C24" s="6" t="s">
        <v>250</v>
      </c>
      <c r="D24" s="9" t="s">
        <v>88</v>
      </c>
      <c r="E24" s="32" t="s">
        <v>224</v>
      </c>
      <c r="F24" s="9">
        <v>15.204658</v>
      </c>
      <c r="G24" s="9">
        <v>120.836305</v>
      </c>
      <c r="H24" s="9" t="s">
        <v>1320</v>
      </c>
      <c r="I24" s="9">
        <v>1984</v>
      </c>
      <c r="J24" s="9">
        <v>2018</v>
      </c>
      <c r="K24" s="9">
        <v>2018</v>
      </c>
      <c r="L24" s="9">
        <v>2018</v>
      </c>
      <c r="M24" s="44">
        <v>204865.69</v>
      </c>
      <c r="N24" s="357" t="s">
        <v>62</v>
      </c>
      <c r="O24" s="9" t="s">
        <v>30</v>
      </c>
      <c r="P24" s="9" t="s">
        <v>1312</v>
      </c>
      <c r="Q24" s="9" t="s">
        <v>130</v>
      </c>
      <c r="R24" s="31" t="s">
        <v>1321</v>
      </c>
      <c r="S24" s="22">
        <v>45692</v>
      </c>
      <c r="T24" s="22">
        <v>45693</v>
      </c>
      <c r="U24" s="22">
        <v>45694</v>
      </c>
      <c r="V24" s="22">
        <v>45698</v>
      </c>
      <c r="W24" s="22">
        <v>45699</v>
      </c>
      <c r="X24" s="24">
        <f t="shared" si="0"/>
        <v>1</v>
      </c>
      <c r="Y24" s="24">
        <f t="shared" si="1"/>
        <v>1</v>
      </c>
      <c r="Z24" s="24">
        <f t="shared" si="2"/>
        <v>2</v>
      </c>
      <c r="AA24" s="24">
        <f t="shared" si="3"/>
        <v>1</v>
      </c>
      <c r="AB24" s="9" t="s">
        <v>929</v>
      </c>
      <c r="AC24" s="6" t="s">
        <v>102</v>
      </c>
      <c r="AD24" s="6" t="s">
        <v>103</v>
      </c>
      <c r="AE24" s="6" t="s">
        <v>103</v>
      </c>
      <c r="AF24" s="6" t="s">
        <v>103</v>
      </c>
      <c r="AG24" s="6" t="s">
        <v>103</v>
      </c>
      <c r="AH24" s="6" t="s">
        <v>103</v>
      </c>
      <c r="AI24" s="6" t="s">
        <v>103</v>
      </c>
      <c r="AJ24" s="6" t="s">
        <v>103</v>
      </c>
      <c r="AK24" s="6" t="s">
        <v>103</v>
      </c>
      <c r="AL24" s="6" t="s">
        <v>103</v>
      </c>
      <c r="AM24" s="6" t="s">
        <v>1259</v>
      </c>
      <c r="AN24" s="9"/>
      <c r="AO24" s="9"/>
      <c r="AP24" s="9"/>
      <c r="AQ24" s="9"/>
    </row>
    <row r="25" spans="1:43" s="290" customFormat="1" ht="29.25" customHeight="1">
      <c r="A25" s="275" t="s">
        <v>50</v>
      </c>
      <c r="B25" s="285" t="s">
        <v>1322</v>
      </c>
      <c r="C25" s="285" t="s">
        <v>1323</v>
      </c>
      <c r="D25" s="275" t="s">
        <v>88</v>
      </c>
      <c r="E25" s="316" t="s">
        <v>224</v>
      </c>
      <c r="F25" s="275">
        <v>15.291963000000001</v>
      </c>
      <c r="G25" s="275">
        <v>121.037785</v>
      </c>
      <c r="H25" s="275" t="s">
        <v>1324</v>
      </c>
      <c r="I25" s="275">
        <v>2007</v>
      </c>
      <c r="J25" s="275">
        <v>2018</v>
      </c>
      <c r="K25" s="275">
        <v>2018</v>
      </c>
      <c r="L25" s="275">
        <v>2018</v>
      </c>
      <c r="M25" s="287">
        <v>476437.69</v>
      </c>
      <c r="N25" s="361" t="s">
        <v>62</v>
      </c>
      <c r="O25" s="275" t="s">
        <v>30</v>
      </c>
      <c r="P25" s="275" t="s">
        <v>1312</v>
      </c>
      <c r="Q25" s="275" t="s">
        <v>130</v>
      </c>
      <c r="R25" s="275" t="s">
        <v>1325</v>
      </c>
      <c r="S25" s="288">
        <v>45693</v>
      </c>
      <c r="T25" s="288">
        <v>45698</v>
      </c>
      <c r="U25" s="288">
        <v>45701</v>
      </c>
      <c r="V25" s="288">
        <v>45704</v>
      </c>
      <c r="W25" s="288">
        <v>45705</v>
      </c>
      <c r="X25" s="289">
        <f t="shared" si="0"/>
        <v>3</v>
      </c>
      <c r="Y25" s="289">
        <f t="shared" si="1"/>
        <v>3</v>
      </c>
      <c r="Z25" s="289">
        <f t="shared" si="2"/>
        <v>1</v>
      </c>
      <c r="AA25" s="289">
        <f t="shared" si="3"/>
        <v>1</v>
      </c>
      <c r="AB25" s="285" t="s">
        <v>1255</v>
      </c>
      <c r="AC25" s="285" t="s">
        <v>109</v>
      </c>
      <c r="AD25" s="285" t="s">
        <v>110</v>
      </c>
      <c r="AE25" s="285" t="s">
        <v>110</v>
      </c>
      <c r="AF25" s="285" t="s">
        <v>103</v>
      </c>
      <c r="AG25" s="285" t="s">
        <v>103</v>
      </c>
      <c r="AH25" s="285" t="s">
        <v>103</v>
      </c>
      <c r="AI25" s="285" t="s">
        <v>110</v>
      </c>
      <c r="AJ25" s="285" t="s">
        <v>103</v>
      </c>
      <c r="AK25" s="285" t="s">
        <v>103</v>
      </c>
      <c r="AL25" s="285" t="s">
        <v>110</v>
      </c>
      <c r="AM25" s="285" t="s">
        <v>1326</v>
      </c>
      <c r="AN25" s="275"/>
      <c r="AO25" s="275"/>
      <c r="AP25" s="275"/>
      <c r="AQ25" s="275"/>
    </row>
    <row r="26" spans="1:43" ht="15" customHeight="1">
      <c r="A26" s="9" t="s">
        <v>50</v>
      </c>
      <c r="B26" s="6" t="s">
        <v>1327</v>
      </c>
      <c r="C26" s="6" t="s">
        <v>638</v>
      </c>
      <c r="D26" s="9" t="s">
        <v>88</v>
      </c>
      <c r="E26" s="32" t="s">
        <v>213</v>
      </c>
      <c r="F26" s="9">
        <v>15.606367000000001</v>
      </c>
      <c r="G26" s="9">
        <v>121.110737</v>
      </c>
      <c r="H26" s="9" t="s">
        <v>1328</v>
      </c>
      <c r="I26" s="9">
        <v>1999</v>
      </c>
      <c r="J26" s="9">
        <v>2015</v>
      </c>
      <c r="K26" s="9">
        <v>2018</v>
      </c>
      <c r="L26" s="9">
        <v>2018</v>
      </c>
      <c r="M26" s="44">
        <v>799316.63</v>
      </c>
      <c r="N26" s="357" t="s">
        <v>69</v>
      </c>
      <c r="O26" s="9" t="s">
        <v>26</v>
      </c>
      <c r="P26" s="9" t="s">
        <v>1312</v>
      </c>
      <c r="Q26" s="9" t="s">
        <v>130</v>
      </c>
      <c r="R26" s="9" t="s">
        <v>1329</v>
      </c>
      <c r="S26" s="22">
        <v>45849</v>
      </c>
      <c r="T26" s="22">
        <v>45852</v>
      </c>
      <c r="U26" s="22">
        <v>45853</v>
      </c>
      <c r="V26" s="22">
        <v>45854</v>
      </c>
      <c r="W26" s="22">
        <v>45855</v>
      </c>
      <c r="X26" s="24">
        <f t="shared" si="0"/>
        <v>1</v>
      </c>
      <c r="Y26" s="24">
        <f t="shared" si="1"/>
        <v>1</v>
      </c>
      <c r="Z26" s="24">
        <f t="shared" si="2"/>
        <v>1</v>
      </c>
      <c r="AA26" s="24">
        <f t="shared" si="3"/>
        <v>1</v>
      </c>
      <c r="AB26" s="6" t="s">
        <v>1255</v>
      </c>
      <c r="AC26" s="6" t="s">
        <v>102</v>
      </c>
      <c r="AD26" s="6" t="s">
        <v>103</v>
      </c>
      <c r="AE26" s="6" t="s">
        <v>103</v>
      </c>
      <c r="AF26" s="6" t="s">
        <v>103</v>
      </c>
      <c r="AG26" s="6" t="s">
        <v>103</v>
      </c>
      <c r="AH26" s="6" t="s">
        <v>103</v>
      </c>
      <c r="AI26" s="6" t="s">
        <v>103</v>
      </c>
      <c r="AJ26" s="6" t="s">
        <v>103</v>
      </c>
      <c r="AK26" s="6" t="s">
        <v>103</v>
      </c>
      <c r="AL26" s="6" t="s">
        <v>103</v>
      </c>
      <c r="AM26" s="6"/>
      <c r="AN26" s="9"/>
      <c r="AO26" s="9"/>
      <c r="AP26" s="9"/>
      <c r="AQ26" s="9"/>
    </row>
    <row r="27" spans="1:43" ht="15" customHeight="1">
      <c r="A27" s="9" t="s">
        <v>50</v>
      </c>
      <c r="B27" s="6" t="s">
        <v>511</v>
      </c>
      <c r="C27" s="6" t="s">
        <v>1330</v>
      </c>
      <c r="D27" s="9" t="s">
        <v>88</v>
      </c>
      <c r="E27" s="32" t="s">
        <v>243</v>
      </c>
      <c r="F27" s="9">
        <v>15.656574000000001</v>
      </c>
      <c r="G27" s="9">
        <v>120.84767600000001</v>
      </c>
      <c r="H27" s="9" t="s">
        <v>1331</v>
      </c>
      <c r="I27" s="9">
        <v>1998</v>
      </c>
      <c r="J27" s="9">
        <v>2017</v>
      </c>
      <c r="K27" s="9">
        <v>2018</v>
      </c>
      <c r="L27" s="9">
        <v>2018</v>
      </c>
      <c r="M27" s="44">
        <v>1034688.27</v>
      </c>
      <c r="N27" s="357" t="s">
        <v>63</v>
      </c>
      <c r="O27" s="9" t="s">
        <v>29</v>
      </c>
      <c r="P27" s="9" t="s">
        <v>1312</v>
      </c>
      <c r="Q27" s="9" t="s">
        <v>130</v>
      </c>
      <c r="R27" s="9" t="s">
        <v>1332</v>
      </c>
      <c r="S27" s="22">
        <v>45792</v>
      </c>
      <c r="T27" s="22">
        <v>45793</v>
      </c>
      <c r="U27" s="22">
        <v>45793</v>
      </c>
      <c r="V27" s="22">
        <v>45793</v>
      </c>
      <c r="W27" s="22">
        <v>45793</v>
      </c>
      <c r="X27" s="24">
        <f t="shared" si="0"/>
        <v>1</v>
      </c>
      <c r="Y27" s="24">
        <f t="shared" si="1"/>
        <v>1</v>
      </c>
      <c r="Z27" s="24">
        <f t="shared" si="2"/>
        <v>1</v>
      </c>
      <c r="AA27" s="24">
        <f t="shared" si="3"/>
        <v>1</v>
      </c>
      <c r="AB27" s="6" t="s">
        <v>1255</v>
      </c>
      <c r="AC27" s="6" t="s">
        <v>102</v>
      </c>
      <c r="AD27" s="6" t="s">
        <v>103</v>
      </c>
      <c r="AE27" s="6" t="s">
        <v>103</v>
      </c>
      <c r="AF27" s="6" t="s">
        <v>103</v>
      </c>
      <c r="AG27" s="6" t="s">
        <v>103</v>
      </c>
      <c r="AH27" s="6" t="s">
        <v>103</v>
      </c>
      <c r="AI27" s="6" t="s">
        <v>103</v>
      </c>
      <c r="AJ27" s="6" t="s">
        <v>103</v>
      </c>
      <c r="AK27" s="6" t="s">
        <v>103</v>
      </c>
      <c r="AL27" s="6" t="s">
        <v>103</v>
      </c>
      <c r="AM27" s="6"/>
      <c r="AN27" s="9"/>
      <c r="AO27" s="9"/>
      <c r="AP27" s="9"/>
      <c r="AQ27" s="9"/>
    </row>
    <row r="28" spans="1:43" ht="15" customHeight="1">
      <c r="A28" s="9" t="s">
        <v>50</v>
      </c>
      <c r="B28" s="6" t="s">
        <v>514</v>
      </c>
      <c r="C28" s="6" t="s">
        <v>550</v>
      </c>
      <c r="D28" s="9" t="s">
        <v>88</v>
      </c>
      <c r="E28" s="32" t="s">
        <v>271</v>
      </c>
      <c r="F28" s="9">
        <v>15.704369</v>
      </c>
      <c r="G28" s="9">
        <v>121.047128</v>
      </c>
      <c r="H28" s="9" t="s">
        <v>1333</v>
      </c>
      <c r="I28" s="9">
        <v>2016</v>
      </c>
      <c r="J28" s="9">
        <v>2017</v>
      </c>
      <c r="K28" s="9">
        <v>2018</v>
      </c>
      <c r="L28" s="9">
        <v>2018</v>
      </c>
      <c r="M28" s="44">
        <v>1404666.05</v>
      </c>
      <c r="N28" s="357" t="s">
        <v>64</v>
      </c>
      <c r="O28" s="9" t="s">
        <v>26</v>
      </c>
      <c r="P28" s="9" t="s">
        <v>1312</v>
      </c>
      <c r="Q28" s="9" t="s">
        <v>130</v>
      </c>
      <c r="R28" s="9" t="s">
        <v>1334</v>
      </c>
      <c r="S28" s="22">
        <v>45825</v>
      </c>
      <c r="T28" s="22">
        <v>45826</v>
      </c>
      <c r="U28" s="22">
        <v>45826</v>
      </c>
      <c r="V28" s="22">
        <v>45826</v>
      </c>
      <c r="W28" s="22">
        <v>45827</v>
      </c>
      <c r="X28" s="24">
        <f t="shared" si="0"/>
        <v>1</v>
      </c>
      <c r="Y28" s="24">
        <f t="shared" si="1"/>
        <v>1</v>
      </c>
      <c r="Z28" s="24">
        <f t="shared" si="2"/>
        <v>1</v>
      </c>
      <c r="AA28" s="24">
        <f t="shared" si="3"/>
        <v>1</v>
      </c>
      <c r="AB28" s="6" t="s">
        <v>1255</v>
      </c>
      <c r="AC28" s="6" t="s">
        <v>102</v>
      </c>
      <c r="AD28" s="6" t="s">
        <v>103</v>
      </c>
      <c r="AE28" s="6" t="s">
        <v>103</v>
      </c>
      <c r="AF28" s="6" t="s">
        <v>103</v>
      </c>
      <c r="AG28" s="6" t="s">
        <v>103</v>
      </c>
      <c r="AH28" s="6" t="s">
        <v>103</v>
      </c>
      <c r="AI28" s="6" t="s">
        <v>103</v>
      </c>
      <c r="AJ28" s="6" t="s">
        <v>103</v>
      </c>
      <c r="AK28" s="6" t="s">
        <v>110</v>
      </c>
      <c r="AL28" s="6" t="s">
        <v>103</v>
      </c>
      <c r="AM28" s="6" t="s">
        <v>1256</v>
      </c>
      <c r="AN28" s="9"/>
      <c r="AO28" s="9"/>
      <c r="AP28" s="9"/>
      <c r="AQ28" s="9"/>
    </row>
    <row r="29" spans="1:43" ht="15" customHeight="1">
      <c r="A29" s="9" t="s">
        <v>50</v>
      </c>
      <c r="B29" s="6" t="s">
        <v>1335</v>
      </c>
      <c r="C29" s="6" t="s">
        <v>1336</v>
      </c>
      <c r="D29" s="9" t="s">
        <v>88</v>
      </c>
      <c r="E29" s="32" t="s">
        <v>213</v>
      </c>
      <c r="F29" s="9">
        <v>15.564444440000001</v>
      </c>
      <c r="G29" s="9">
        <v>121.11450000000001</v>
      </c>
      <c r="H29" s="9" t="s">
        <v>1337</v>
      </c>
      <c r="I29" s="9">
        <v>1997</v>
      </c>
      <c r="J29" s="9">
        <v>2016</v>
      </c>
      <c r="K29" s="9">
        <v>2018</v>
      </c>
      <c r="L29" s="9">
        <v>2018</v>
      </c>
      <c r="M29" s="44">
        <v>563511.97</v>
      </c>
      <c r="N29" s="357" t="s">
        <v>63</v>
      </c>
      <c r="O29" s="9" t="s">
        <v>26</v>
      </c>
      <c r="P29" s="9" t="s">
        <v>1312</v>
      </c>
      <c r="Q29" s="9" t="s">
        <v>130</v>
      </c>
      <c r="R29" s="9" t="s">
        <v>1338</v>
      </c>
      <c r="S29" s="22">
        <v>45792</v>
      </c>
      <c r="T29" s="22">
        <v>45796</v>
      </c>
      <c r="U29" s="22">
        <v>45796</v>
      </c>
      <c r="V29" s="22">
        <v>45796</v>
      </c>
      <c r="W29" s="22">
        <v>45797</v>
      </c>
      <c r="X29" s="24">
        <f t="shared" si="0"/>
        <v>2</v>
      </c>
      <c r="Y29" s="24">
        <f t="shared" si="1"/>
        <v>1</v>
      </c>
      <c r="Z29" s="24">
        <f t="shared" si="2"/>
        <v>1</v>
      </c>
      <c r="AA29" s="24">
        <f t="shared" si="3"/>
        <v>1</v>
      </c>
      <c r="AB29" s="6" t="s">
        <v>1255</v>
      </c>
      <c r="AC29" s="6" t="s">
        <v>102</v>
      </c>
      <c r="AD29" s="6" t="s">
        <v>103</v>
      </c>
      <c r="AE29" s="6" t="s">
        <v>103</v>
      </c>
      <c r="AF29" s="6" t="s">
        <v>103</v>
      </c>
      <c r="AG29" s="6" t="s">
        <v>103</v>
      </c>
      <c r="AH29" s="6" t="s">
        <v>103</v>
      </c>
      <c r="AI29" s="6" t="s">
        <v>103</v>
      </c>
      <c r="AJ29" s="6" t="s">
        <v>103</v>
      </c>
      <c r="AK29" s="6" t="s">
        <v>103</v>
      </c>
      <c r="AL29" s="6" t="s">
        <v>103</v>
      </c>
      <c r="AM29" s="6" t="s">
        <v>1339</v>
      </c>
      <c r="AN29" s="9"/>
      <c r="AO29" s="9"/>
      <c r="AP29" s="9"/>
      <c r="AQ29" s="9"/>
    </row>
    <row r="30" spans="1:43" ht="15" customHeight="1">
      <c r="A30" s="9" t="s">
        <v>50</v>
      </c>
      <c r="B30" s="6" t="s">
        <v>348</v>
      </c>
      <c r="C30" s="6" t="s">
        <v>1340</v>
      </c>
      <c r="D30" s="9" t="s">
        <v>88</v>
      </c>
      <c r="E30" s="32" t="s">
        <v>224</v>
      </c>
      <c r="F30" s="9">
        <v>15.37093056</v>
      </c>
      <c r="G30" s="9">
        <v>121.024525</v>
      </c>
      <c r="H30" s="9" t="s">
        <v>1341</v>
      </c>
      <c r="I30" s="9">
        <v>2012</v>
      </c>
      <c r="J30" s="9">
        <v>2016</v>
      </c>
      <c r="K30" s="9">
        <v>2016</v>
      </c>
      <c r="L30" s="9">
        <v>2016</v>
      </c>
      <c r="M30" s="44">
        <v>7226815.3499999996</v>
      </c>
      <c r="N30" s="357" t="s">
        <v>57</v>
      </c>
      <c r="O30" s="9" t="s">
        <v>30</v>
      </c>
      <c r="P30" s="9" t="s">
        <v>28</v>
      </c>
      <c r="Q30" s="9" t="s">
        <v>130</v>
      </c>
      <c r="R30" s="9" t="s">
        <v>1342</v>
      </c>
      <c r="S30" s="22">
        <v>45757</v>
      </c>
      <c r="T30" s="22">
        <v>45759</v>
      </c>
      <c r="U30" s="22">
        <v>45762</v>
      </c>
      <c r="V30" s="22">
        <v>45762</v>
      </c>
      <c r="W30" s="22">
        <v>45768</v>
      </c>
      <c r="X30" s="24">
        <f t="shared" si="0"/>
        <v>1</v>
      </c>
      <c r="Y30" s="24">
        <f t="shared" si="1"/>
        <v>1</v>
      </c>
      <c r="Z30" s="24">
        <f t="shared" si="2"/>
        <v>1</v>
      </c>
      <c r="AA30" s="24">
        <f t="shared" si="3"/>
        <v>4</v>
      </c>
      <c r="AB30" s="6" t="s">
        <v>1255</v>
      </c>
      <c r="AC30" s="6" t="s">
        <v>102</v>
      </c>
      <c r="AD30" s="6" t="s">
        <v>103</v>
      </c>
      <c r="AE30" s="6" t="s">
        <v>103</v>
      </c>
      <c r="AF30" s="6" t="s">
        <v>103</v>
      </c>
      <c r="AG30" s="6" t="s">
        <v>103</v>
      </c>
      <c r="AH30" s="6" t="s">
        <v>103</v>
      </c>
      <c r="AI30" s="6" t="s">
        <v>103</v>
      </c>
      <c r="AJ30" s="6" t="s">
        <v>103</v>
      </c>
      <c r="AK30" s="6" t="s">
        <v>103</v>
      </c>
      <c r="AL30" s="6" t="s">
        <v>103</v>
      </c>
      <c r="AM30" s="6" t="s">
        <v>1343</v>
      </c>
      <c r="AN30" s="9"/>
      <c r="AO30" s="9"/>
      <c r="AP30" s="9"/>
      <c r="AQ30" s="9"/>
    </row>
    <row r="31" spans="1:43" ht="15" customHeight="1">
      <c r="A31" s="9" t="s">
        <v>50</v>
      </c>
      <c r="B31" s="6" t="s">
        <v>410</v>
      </c>
      <c r="C31" s="6" t="s">
        <v>1344</v>
      </c>
      <c r="D31" s="9" t="s">
        <v>88</v>
      </c>
      <c r="E31" s="32" t="s">
        <v>243</v>
      </c>
      <c r="F31" s="9">
        <v>15.544650000000001</v>
      </c>
      <c r="G31" s="9">
        <v>120.808993</v>
      </c>
      <c r="H31" s="9" t="s">
        <v>1345</v>
      </c>
      <c r="I31" s="9">
        <v>2016</v>
      </c>
      <c r="J31" s="9">
        <v>2019</v>
      </c>
      <c r="K31" s="9">
        <v>2018</v>
      </c>
      <c r="L31" s="9">
        <v>2018</v>
      </c>
      <c r="M31" s="44">
        <v>785553.37</v>
      </c>
      <c r="N31" s="357" t="s">
        <v>71</v>
      </c>
      <c r="O31" s="9" t="s">
        <v>27</v>
      </c>
      <c r="P31" s="9" t="s">
        <v>1312</v>
      </c>
      <c r="Q31" s="9" t="s">
        <v>130</v>
      </c>
      <c r="R31" s="9" t="s">
        <v>1346</v>
      </c>
      <c r="S31" s="22">
        <v>45916</v>
      </c>
      <c r="T31" s="22">
        <v>45919</v>
      </c>
      <c r="U31" s="22">
        <v>45919</v>
      </c>
      <c r="V31" s="22">
        <v>45919</v>
      </c>
      <c r="W31" s="22">
        <v>45919</v>
      </c>
      <c r="X31" s="24">
        <f t="shared" si="0"/>
        <v>3</v>
      </c>
      <c r="Y31" s="24">
        <f t="shared" si="1"/>
        <v>1</v>
      </c>
      <c r="Z31" s="24">
        <f t="shared" si="2"/>
        <v>1</v>
      </c>
      <c r="AA31" s="24">
        <f t="shared" si="3"/>
        <v>1</v>
      </c>
      <c r="AB31" s="9" t="s">
        <v>929</v>
      </c>
      <c r="AC31" s="6" t="s">
        <v>102</v>
      </c>
      <c r="AD31" s="6" t="s">
        <v>103</v>
      </c>
      <c r="AE31" s="6" t="s">
        <v>103</v>
      </c>
      <c r="AF31" s="6" t="s">
        <v>103</v>
      </c>
      <c r="AG31" s="6" t="s">
        <v>103</v>
      </c>
      <c r="AH31" s="6" t="s">
        <v>103</v>
      </c>
      <c r="AI31" s="6" t="s">
        <v>103</v>
      </c>
      <c r="AJ31" s="6" t="s">
        <v>103</v>
      </c>
      <c r="AK31" s="6" t="s">
        <v>103</v>
      </c>
      <c r="AL31" s="6" t="s">
        <v>103</v>
      </c>
      <c r="AM31" s="6"/>
      <c r="AN31" s="9"/>
      <c r="AO31" s="9"/>
      <c r="AP31" s="9"/>
      <c r="AQ31" s="9"/>
    </row>
    <row r="32" spans="1:43" ht="15" customHeight="1">
      <c r="A32" s="9" t="s">
        <v>50</v>
      </c>
      <c r="B32" s="6" t="s">
        <v>444</v>
      </c>
      <c r="C32" s="6" t="s">
        <v>741</v>
      </c>
      <c r="D32" s="9" t="s">
        <v>88</v>
      </c>
      <c r="E32" s="32" t="s">
        <v>271</v>
      </c>
      <c r="F32" s="9">
        <v>15.709440000000001</v>
      </c>
      <c r="G32" s="9">
        <v>121.12451</v>
      </c>
      <c r="H32" s="9" t="s">
        <v>1347</v>
      </c>
      <c r="I32" s="9"/>
      <c r="J32" s="9">
        <v>2018</v>
      </c>
      <c r="K32" s="9">
        <v>2018</v>
      </c>
      <c r="L32" s="9">
        <v>2018</v>
      </c>
      <c r="M32" s="44">
        <v>532877.76</v>
      </c>
      <c r="N32" s="357" t="s">
        <v>71</v>
      </c>
      <c r="O32" s="9" t="s">
        <v>26</v>
      </c>
      <c r="P32" s="9" t="s">
        <v>1312</v>
      </c>
      <c r="Q32" s="9" t="s">
        <v>130</v>
      </c>
      <c r="R32" s="9" t="s">
        <v>1348</v>
      </c>
      <c r="S32" s="22">
        <v>45910</v>
      </c>
      <c r="T32" s="22">
        <v>45917</v>
      </c>
      <c r="U32" s="22"/>
      <c r="V32" s="22">
        <v>45918</v>
      </c>
      <c r="W32" s="22">
        <v>45918</v>
      </c>
      <c r="X32" s="24">
        <f t="shared" si="0"/>
        <v>5</v>
      </c>
      <c r="Y32" s="24" t="str">
        <f t="shared" si="1"/>
        <v/>
      </c>
      <c r="Z32" s="24" t="str">
        <f t="shared" si="2"/>
        <v/>
      </c>
      <c r="AA32" s="24">
        <f t="shared" si="3"/>
        <v>1</v>
      </c>
      <c r="AB32" s="9" t="s">
        <v>1255</v>
      </c>
      <c r="AC32" s="6" t="s">
        <v>102</v>
      </c>
      <c r="AD32" s="6" t="s">
        <v>103</v>
      </c>
      <c r="AE32" s="6" t="s">
        <v>103</v>
      </c>
      <c r="AF32" s="6" t="s">
        <v>103</v>
      </c>
      <c r="AG32" s="6" t="s">
        <v>103</v>
      </c>
      <c r="AH32" s="6" t="s">
        <v>103</v>
      </c>
      <c r="AI32" s="6" t="s">
        <v>103</v>
      </c>
      <c r="AJ32" s="6" t="s">
        <v>103</v>
      </c>
      <c r="AK32" s="6" t="s">
        <v>103</v>
      </c>
      <c r="AL32" s="6" t="s">
        <v>103</v>
      </c>
      <c r="AM32" s="6" t="s">
        <v>1349</v>
      </c>
      <c r="AN32" s="9"/>
      <c r="AO32" s="9"/>
      <c r="AP32" s="9"/>
      <c r="AQ32" s="9"/>
    </row>
    <row r="33" spans="1:43" ht="15" customHeight="1">
      <c r="A33" s="9" t="s">
        <v>50</v>
      </c>
      <c r="B33" s="6" t="s">
        <v>714</v>
      </c>
      <c r="C33" s="6" t="s">
        <v>1350</v>
      </c>
      <c r="D33" s="9" t="s">
        <v>88</v>
      </c>
      <c r="E33" s="32" t="s">
        <v>224</v>
      </c>
      <c r="F33" s="9">
        <v>15.27068611</v>
      </c>
      <c r="G33" s="9">
        <v>120.8432</v>
      </c>
      <c r="H33" s="9" t="s">
        <v>1351</v>
      </c>
      <c r="I33" s="9">
        <v>1997</v>
      </c>
      <c r="J33" s="9">
        <v>2016</v>
      </c>
      <c r="K33" s="9">
        <v>2016</v>
      </c>
      <c r="L33" s="9">
        <v>2016</v>
      </c>
      <c r="M33" s="44">
        <v>4197308.76</v>
      </c>
      <c r="N33" s="357" t="s">
        <v>70</v>
      </c>
      <c r="O33" s="9" t="s">
        <v>30</v>
      </c>
      <c r="P33" s="9" t="s">
        <v>28</v>
      </c>
      <c r="Q33" s="9" t="s">
        <v>130</v>
      </c>
      <c r="R33" s="9" t="s">
        <v>1352</v>
      </c>
      <c r="S33" s="22">
        <v>45867</v>
      </c>
      <c r="T33" s="22">
        <v>45872</v>
      </c>
      <c r="U33" s="22">
        <v>45874</v>
      </c>
      <c r="V33" s="22">
        <v>45888</v>
      </c>
      <c r="W33" s="22">
        <v>45888</v>
      </c>
      <c r="X33" s="24">
        <f t="shared" si="0"/>
        <v>3</v>
      </c>
      <c r="Y33" s="24">
        <f t="shared" si="1"/>
        <v>1</v>
      </c>
      <c r="Z33" s="24">
        <f t="shared" si="2"/>
        <v>10</v>
      </c>
      <c r="AA33" s="24">
        <f t="shared" si="3"/>
        <v>1</v>
      </c>
      <c r="AB33" s="9" t="s">
        <v>1255</v>
      </c>
      <c r="AC33" s="6" t="s">
        <v>102</v>
      </c>
      <c r="AD33" s="6" t="s">
        <v>103</v>
      </c>
      <c r="AE33" s="6" t="s">
        <v>103</v>
      </c>
      <c r="AF33" s="6" t="s">
        <v>103</v>
      </c>
      <c r="AG33" s="6" t="s">
        <v>103</v>
      </c>
      <c r="AH33" s="6" t="s">
        <v>103</v>
      </c>
      <c r="AI33" s="6" t="s">
        <v>103</v>
      </c>
      <c r="AJ33" s="6" t="s">
        <v>103</v>
      </c>
      <c r="AK33" s="6" t="s">
        <v>103</v>
      </c>
      <c r="AL33" s="6" t="s">
        <v>103</v>
      </c>
      <c r="AM33" s="6" t="s">
        <v>1259</v>
      </c>
      <c r="AN33" s="9"/>
      <c r="AO33" s="9"/>
      <c r="AP33" s="9"/>
      <c r="AQ33" s="9"/>
    </row>
    <row r="34" spans="1:43" ht="15" customHeight="1">
      <c r="A34" s="9" t="s">
        <v>50</v>
      </c>
      <c r="B34" s="6" t="s">
        <v>522</v>
      </c>
      <c r="C34" s="6" t="s">
        <v>1030</v>
      </c>
      <c r="D34" s="9" t="s">
        <v>88</v>
      </c>
      <c r="E34" s="32" t="s">
        <v>224</v>
      </c>
      <c r="F34" s="9">
        <v>15.39692222</v>
      </c>
      <c r="G34" s="9">
        <v>120.9704722</v>
      </c>
      <c r="H34" s="9" t="s">
        <v>1353</v>
      </c>
      <c r="I34" s="9">
        <v>2021</v>
      </c>
      <c r="J34" s="9">
        <v>2021</v>
      </c>
      <c r="K34" s="9">
        <v>2021</v>
      </c>
      <c r="L34" s="9">
        <v>2016</v>
      </c>
      <c r="M34" s="44">
        <v>3831970.4</v>
      </c>
      <c r="N34" s="357" t="s">
        <v>45</v>
      </c>
      <c r="O34" s="9" t="s">
        <v>28</v>
      </c>
      <c r="P34" s="9" t="s">
        <v>1312</v>
      </c>
      <c r="Q34" s="9" t="s">
        <v>130</v>
      </c>
      <c r="R34" s="9" t="s">
        <v>1354</v>
      </c>
      <c r="S34" s="22">
        <v>45730</v>
      </c>
      <c r="T34" s="22">
        <v>45734</v>
      </c>
      <c r="U34" s="22">
        <v>45734</v>
      </c>
      <c r="V34" s="22">
        <v>45734</v>
      </c>
      <c r="W34" s="22">
        <v>45735</v>
      </c>
      <c r="X34" s="24">
        <f t="shared" si="0"/>
        <v>2</v>
      </c>
      <c r="Y34" s="24">
        <f t="shared" si="1"/>
        <v>1</v>
      </c>
      <c r="Z34" s="24">
        <f t="shared" si="2"/>
        <v>1</v>
      </c>
      <c r="AA34" s="24">
        <f t="shared" si="3"/>
        <v>1</v>
      </c>
      <c r="AB34" s="6" t="s">
        <v>1255</v>
      </c>
      <c r="AC34" s="6" t="s">
        <v>102</v>
      </c>
      <c r="AD34" s="6" t="s">
        <v>103</v>
      </c>
      <c r="AE34" s="6" t="s">
        <v>103</v>
      </c>
      <c r="AF34" s="6" t="s">
        <v>103</v>
      </c>
      <c r="AG34" s="6" t="s">
        <v>103</v>
      </c>
      <c r="AH34" s="6" t="s">
        <v>103</v>
      </c>
      <c r="AI34" s="6" t="s">
        <v>103</v>
      </c>
      <c r="AJ34" s="6" t="s">
        <v>103</v>
      </c>
      <c r="AK34" s="6" t="s">
        <v>103</v>
      </c>
      <c r="AL34" s="6" t="s">
        <v>103</v>
      </c>
      <c r="AM34" s="6" t="s">
        <v>1259</v>
      </c>
      <c r="AN34" s="9"/>
      <c r="AO34" s="9"/>
      <c r="AP34" s="9"/>
      <c r="AQ34" s="9"/>
    </row>
    <row r="35" spans="1:43" ht="15" customHeight="1">
      <c r="A35" s="9" t="s">
        <v>50</v>
      </c>
      <c r="B35" s="6" t="s">
        <v>1355</v>
      </c>
      <c r="C35" s="6" t="s">
        <v>694</v>
      </c>
      <c r="D35" s="9" t="s">
        <v>88</v>
      </c>
      <c r="E35" s="32" t="s">
        <v>243</v>
      </c>
      <c r="F35" s="9">
        <v>15.589195</v>
      </c>
      <c r="G35" s="9">
        <v>120.869075</v>
      </c>
      <c r="H35" s="9" t="s">
        <v>1356</v>
      </c>
      <c r="I35" s="9"/>
      <c r="J35" s="9">
        <v>2015</v>
      </c>
      <c r="K35" s="9">
        <v>2016</v>
      </c>
      <c r="L35" s="9">
        <v>2016</v>
      </c>
      <c r="M35" s="44">
        <v>3838815.58</v>
      </c>
      <c r="N35" s="258" t="s">
        <v>72</v>
      </c>
      <c r="O35" s="9" t="s">
        <v>27</v>
      </c>
      <c r="P35" s="9" t="s">
        <v>1312</v>
      </c>
      <c r="Q35" s="9" t="s">
        <v>130</v>
      </c>
      <c r="R35" s="9" t="s">
        <v>1357</v>
      </c>
      <c r="S35" s="22">
        <v>45945</v>
      </c>
      <c r="T35" s="22">
        <v>45946</v>
      </c>
      <c r="U35" s="22">
        <v>45947</v>
      </c>
      <c r="V35" s="22">
        <v>45947</v>
      </c>
      <c r="W35" s="22">
        <v>45950</v>
      </c>
      <c r="X35" s="24">
        <f t="shared" si="0"/>
        <v>1</v>
      </c>
      <c r="Y35" s="24">
        <f t="shared" ref="Y35:Y55" si="4">IF(
    OR(ISBLANK(T35), ISBLANK(U35)),
    "",
    MAX(1, IF(
        NETWORKDAYS(T35, U35) &lt;= 0,
        1,
        NETWORKDAYS(T35, U35) - IF(T35 = U35, 0, 1)
    ))
)</f>
        <v>1</v>
      </c>
      <c r="Z35" s="24">
        <f t="shared" ref="Z35:Z55" si="5">IF(
    OR(ISBLANK(U35), ISBLANK(V35)),
    "",
    MAX(1, IF(
        NETWORKDAYS(U35, V35) &lt;= 0,
        1,
        NETWORKDAYS(U35, V35) - IF(U35 = V35, 0, 1)
    ))
)</f>
        <v>1</v>
      </c>
      <c r="AA35" s="24">
        <f t="shared" si="3"/>
        <v>1</v>
      </c>
      <c r="AB35" s="9"/>
      <c r="AC35" s="6" t="s">
        <v>102</v>
      </c>
      <c r="AD35" s="6" t="s">
        <v>103</v>
      </c>
      <c r="AE35" s="6" t="s">
        <v>103</v>
      </c>
      <c r="AF35" s="6" t="s">
        <v>103</v>
      </c>
      <c r="AG35" s="6" t="s">
        <v>103</v>
      </c>
      <c r="AH35" s="6" t="s">
        <v>103</v>
      </c>
      <c r="AI35" s="6" t="s">
        <v>103</v>
      </c>
      <c r="AJ35" s="6" t="s">
        <v>103</v>
      </c>
      <c r="AK35" s="6" t="s">
        <v>103</v>
      </c>
      <c r="AL35" s="6" t="s">
        <v>103</v>
      </c>
      <c r="AM35" s="6"/>
      <c r="AN35" s="9"/>
      <c r="AO35" s="9"/>
      <c r="AP35" s="9"/>
      <c r="AQ35" s="9"/>
    </row>
    <row r="36" spans="1:43" ht="15" customHeight="1">
      <c r="A36" s="9" t="s">
        <v>50</v>
      </c>
      <c r="B36" s="6" t="s">
        <v>446</v>
      </c>
      <c r="C36" s="6" t="s">
        <v>985</v>
      </c>
      <c r="D36" s="9" t="s">
        <v>88</v>
      </c>
      <c r="E36" s="32" t="s">
        <v>243</v>
      </c>
      <c r="F36" s="9">
        <v>15.644071</v>
      </c>
      <c r="G36" s="9">
        <v>120.90362</v>
      </c>
      <c r="H36" s="9" t="s">
        <v>1358</v>
      </c>
      <c r="I36" s="9"/>
      <c r="J36" s="9">
        <v>2017</v>
      </c>
      <c r="K36" s="9">
        <v>2017</v>
      </c>
      <c r="L36" s="9">
        <v>2017</v>
      </c>
      <c r="M36" s="44">
        <v>3710638.03</v>
      </c>
      <c r="N36" s="357" t="s">
        <v>137</v>
      </c>
      <c r="O36" s="9" t="s">
        <v>27</v>
      </c>
      <c r="P36" s="9" t="s">
        <v>1312</v>
      </c>
      <c r="Q36" s="9" t="s">
        <v>130</v>
      </c>
      <c r="R36" s="9"/>
      <c r="S36" s="22"/>
      <c r="T36" s="22"/>
      <c r="U36" s="22"/>
      <c r="V36" s="22"/>
      <c r="W36" s="22"/>
      <c r="X36" s="24" t="str">
        <f t="shared" si="0"/>
        <v/>
      </c>
      <c r="Y36" s="24" t="str">
        <f t="shared" si="4"/>
        <v/>
      </c>
      <c r="Z36" s="24" t="str">
        <f t="shared" si="5"/>
        <v/>
      </c>
      <c r="AA36" s="24" t="str">
        <f t="shared" si="3"/>
        <v/>
      </c>
      <c r="AB36" s="9"/>
      <c r="AC36" s="6"/>
      <c r="AD36" s="6"/>
      <c r="AE36" s="6"/>
      <c r="AF36" s="6"/>
      <c r="AG36" s="6"/>
      <c r="AH36" s="6"/>
      <c r="AI36" s="6"/>
      <c r="AJ36" s="6"/>
      <c r="AK36" s="6"/>
      <c r="AL36" s="6"/>
      <c r="AM36" s="6"/>
      <c r="AN36" s="9"/>
      <c r="AO36" s="9"/>
      <c r="AP36" s="9"/>
      <c r="AQ36" s="9"/>
    </row>
    <row r="37" spans="1:43" ht="15" customHeight="1">
      <c r="A37" s="7" t="s">
        <v>50</v>
      </c>
      <c r="B37" s="3" t="s">
        <v>446</v>
      </c>
      <c r="C37" s="3" t="s">
        <v>1359</v>
      </c>
      <c r="D37" s="9" t="s">
        <v>88</v>
      </c>
      <c r="E37" s="32" t="s">
        <v>243</v>
      </c>
      <c r="F37" s="7">
        <v>15.538690000000001</v>
      </c>
      <c r="G37" s="7">
        <v>120.9434</v>
      </c>
      <c r="H37" s="7" t="s">
        <v>1360</v>
      </c>
      <c r="I37" s="9"/>
      <c r="J37" s="9">
        <v>2021</v>
      </c>
      <c r="K37" s="9"/>
      <c r="L37" s="9" t="s">
        <v>120</v>
      </c>
      <c r="M37" s="9" t="s">
        <v>120</v>
      </c>
      <c r="N37" s="357" t="s">
        <v>137</v>
      </c>
      <c r="O37" s="9" t="s">
        <v>27</v>
      </c>
      <c r="P37" s="9" t="s">
        <v>1312</v>
      </c>
      <c r="Q37" s="9" t="s">
        <v>130</v>
      </c>
      <c r="R37" s="9"/>
      <c r="S37" s="22"/>
      <c r="T37" s="22"/>
      <c r="U37" s="22"/>
      <c r="V37" s="22"/>
      <c r="W37" s="22"/>
      <c r="X37" s="24" t="str">
        <f t="shared" si="0"/>
        <v/>
      </c>
      <c r="Y37" s="24" t="str">
        <f t="shared" si="4"/>
        <v/>
      </c>
      <c r="Z37" s="24" t="str">
        <f t="shared" si="5"/>
        <v/>
      </c>
      <c r="AA37" s="24" t="str">
        <f t="shared" si="3"/>
        <v/>
      </c>
      <c r="AB37" s="9"/>
      <c r="AC37" s="6"/>
      <c r="AD37" s="6"/>
      <c r="AE37" s="6"/>
      <c r="AF37" s="6"/>
      <c r="AG37" s="6"/>
      <c r="AH37" s="6"/>
      <c r="AI37" s="6"/>
      <c r="AJ37" s="6"/>
      <c r="AK37" s="6"/>
      <c r="AL37" s="6"/>
      <c r="AM37" s="6"/>
      <c r="AN37" s="9"/>
      <c r="AO37" s="9"/>
      <c r="AP37" s="9"/>
      <c r="AQ37" s="9"/>
    </row>
    <row r="38" spans="1:43" ht="15" customHeight="1">
      <c r="A38" s="7" t="s">
        <v>51</v>
      </c>
      <c r="B38" s="3" t="s">
        <v>1361</v>
      </c>
      <c r="C38" s="3" t="s">
        <v>717</v>
      </c>
      <c r="D38" s="9" t="s">
        <v>88</v>
      </c>
      <c r="E38" s="7" t="s">
        <v>213</v>
      </c>
      <c r="F38" s="9">
        <v>15.100111</v>
      </c>
      <c r="G38" s="9">
        <v>120.777356</v>
      </c>
      <c r="H38" s="9" t="s">
        <v>1362</v>
      </c>
      <c r="I38" s="9"/>
      <c r="J38" s="9">
        <v>2021</v>
      </c>
      <c r="K38" s="9"/>
      <c r="L38" s="9" t="s">
        <v>120</v>
      </c>
      <c r="M38" s="9" t="s">
        <v>120</v>
      </c>
      <c r="N38" s="357" t="s">
        <v>69</v>
      </c>
      <c r="O38" s="9" t="s">
        <v>32</v>
      </c>
      <c r="P38" s="9" t="s">
        <v>28</v>
      </c>
      <c r="Q38" s="9" t="s">
        <v>1195</v>
      </c>
      <c r="R38" s="9" t="s">
        <v>1363</v>
      </c>
      <c r="S38" s="22">
        <v>45848</v>
      </c>
      <c r="T38" s="22">
        <v>45849</v>
      </c>
      <c r="U38" s="22">
        <v>45856</v>
      </c>
      <c r="V38" s="22">
        <v>45856</v>
      </c>
      <c r="W38" s="22">
        <v>45856</v>
      </c>
      <c r="X38" s="24">
        <f t="shared" si="0"/>
        <v>1</v>
      </c>
      <c r="Y38" s="24">
        <f t="shared" si="4"/>
        <v>5</v>
      </c>
      <c r="Z38" s="24">
        <f t="shared" si="5"/>
        <v>1</v>
      </c>
      <c r="AA38" s="24">
        <f t="shared" si="3"/>
        <v>1</v>
      </c>
      <c r="AB38" s="9" t="s">
        <v>929</v>
      </c>
      <c r="AC38" s="6" t="s">
        <v>102</v>
      </c>
      <c r="AD38" s="6" t="s">
        <v>103</v>
      </c>
      <c r="AE38" s="6" t="s">
        <v>103</v>
      </c>
      <c r="AF38" s="6" t="s">
        <v>103</v>
      </c>
      <c r="AG38" s="6" t="s">
        <v>103</v>
      </c>
      <c r="AH38" s="6" t="s">
        <v>103</v>
      </c>
      <c r="AI38" s="6" t="s">
        <v>103</v>
      </c>
      <c r="AJ38" s="6" t="s">
        <v>103</v>
      </c>
      <c r="AK38" s="6" t="s">
        <v>103</v>
      </c>
      <c r="AL38" s="6" t="s">
        <v>103</v>
      </c>
      <c r="AM38" s="6" t="s">
        <v>1259</v>
      </c>
      <c r="AN38" s="9"/>
      <c r="AO38" s="9"/>
      <c r="AP38" s="9"/>
      <c r="AQ38" s="9"/>
    </row>
    <row r="39" spans="1:43" ht="15" customHeight="1">
      <c r="A39" s="7" t="s">
        <v>51</v>
      </c>
      <c r="B39" s="3" t="s">
        <v>1364</v>
      </c>
      <c r="C39" s="3" t="s">
        <v>1365</v>
      </c>
      <c r="D39" s="9" t="s">
        <v>88</v>
      </c>
      <c r="E39" s="7" t="s">
        <v>243</v>
      </c>
      <c r="F39" s="9">
        <v>15.148899999999999</v>
      </c>
      <c r="G39" s="9">
        <v>120.5831562</v>
      </c>
      <c r="H39" s="41" t="s">
        <v>1366</v>
      </c>
      <c r="I39" s="9"/>
      <c r="J39" s="9">
        <v>2021</v>
      </c>
      <c r="K39" s="9"/>
      <c r="L39" s="9" t="s">
        <v>120</v>
      </c>
      <c r="M39" s="9" t="s">
        <v>120</v>
      </c>
      <c r="N39" s="357" t="s">
        <v>57</v>
      </c>
      <c r="O39" s="9" t="s">
        <v>33</v>
      </c>
      <c r="P39" s="9"/>
      <c r="Q39" s="9" t="s">
        <v>1195</v>
      </c>
      <c r="R39" s="9" t="s">
        <v>1367</v>
      </c>
      <c r="S39" s="22">
        <v>45762</v>
      </c>
      <c r="T39" s="22">
        <v>45769</v>
      </c>
      <c r="U39" s="22">
        <v>45769</v>
      </c>
      <c r="V39" s="22">
        <v>45769</v>
      </c>
      <c r="W39" s="22">
        <v>45769</v>
      </c>
      <c r="X39" s="24">
        <f t="shared" si="0"/>
        <v>5</v>
      </c>
      <c r="Y39" s="24">
        <f t="shared" si="4"/>
        <v>1</v>
      </c>
      <c r="Z39" s="24">
        <f t="shared" si="5"/>
        <v>1</v>
      </c>
      <c r="AA39" s="24">
        <f t="shared" si="3"/>
        <v>1</v>
      </c>
      <c r="AB39" s="6" t="s">
        <v>1255</v>
      </c>
      <c r="AC39" s="6" t="s">
        <v>102</v>
      </c>
      <c r="AD39" s="6" t="s">
        <v>103</v>
      </c>
      <c r="AE39" s="6" t="s">
        <v>103</v>
      </c>
      <c r="AF39" s="6" t="s">
        <v>103</v>
      </c>
      <c r="AG39" s="6" t="s">
        <v>103</v>
      </c>
      <c r="AH39" s="6" t="s">
        <v>103</v>
      </c>
      <c r="AI39" s="6" t="s">
        <v>103</v>
      </c>
      <c r="AJ39" s="6" t="s">
        <v>103</v>
      </c>
      <c r="AK39" s="6" t="s">
        <v>103</v>
      </c>
      <c r="AL39" s="6" t="s">
        <v>103</v>
      </c>
      <c r="AM39" s="6" t="s">
        <v>1368</v>
      </c>
      <c r="AN39" s="9"/>
      <c r="AO39" s="9"/>
      <c r="AP39" s="9"/>
      <c r="AQ39" s="9"/>
    </row>
    <row r="40" spans="1:43" ht="15" customHeight="1">
      <c r="A40" s="9" t="s">
        <v>51</v>
      </c>
      <c r="B40" s="6" t="s">
        <v>351</v>
      </c>
      <c r="C40" s="6" t="s">
        <v>1369</v>
      </c>
      <c r="D40" s="9" t="s">
        <v>88</v>
      </c>
      <c r="E40" s="32" t="s">
        <v>224</v>
      </c>
      <c r="F40" s="9">
        <v>14.928211109999999</v>
      </c>
      <c r="G40" s="9">
        <v>120.7636167</v>
      </c>
      <c r="H40" s="9" t="s">
        <v>1370</v>
      </c>
      <c r="I40" s="9">
        <v>2016</v>
      </c>
      <c r="J40" s="9">
        <v>2017</v>
      </c>
      <c r="K40" s="9">
        <v>2017</v>
      </c>
      <c r="L40" s="9">
        <v>2018</v>
      </c>
      <c r="M40" s="44">
        <v>240992.41</v>
      </c>
      <c r="N40" s="357" t="s">
        <v>137</v>
      </c>
      <c r="O40" s="9" t="s">
        <v>34</v>
      </c>
      <c r="P40" s="9" t="s">
        <v>127</v>
      </c>
      <c r="Q40" s="9" t="s">
        <v>1195</v>
      </c>
      <c r="R40" s="9"/>
      <c r="S40" s="22"/>
      <c r="T40" s="22"/>
      <c r="U40" s="22"/>
      <c r="V40" s="22"/>
      <c r="W40" s="22"/>
      <c r="X40" s="24" t="str">
        <f t="shared" si="0"/>
        <v/>
      </c>
      <c r="Y40" s="24" t="str">
        <f t="shared" si="4"/>
        <v/>
      </c>
      <c r="Z40" s="24" t="str">
        <f t="shared" si="5"/>
        <v/>
      </c>
      <c r="AA40" s="24" t="str">
        <f t="shared" si="3"/>
        <v/>
      </c>
      <c r="AB40" s="9"/>
      <c r="AC40" s="6"/>
      <c r="AD40" s="6"/>
      <c r="AE40" s="6"/>
      <c r="AF40" s="6"/>
      <c r="AG40" s="6"/>
      <c r="AH40" s="6"/>
      <c r="AI40" s="6"/>
      <c r="AJ40" s="6"/>
      <c r="AK40" s="6"/>
      <c r="AL40" s="6"/>
      <c r="AM40" s="6"/>
      <c r="AN40" s="9"/>
      <c r="AO40" s="9"/>
      <c r="AP40" s="9"/>
      <c r="AQ40" s="9"/>
    </row>
    <row r="41" spans="1:43" ht="15" customHeight="1">
      <c r="A41" s="9" t="s">
        <v>51</v>
      </c>
      <c r="B41" s="6" t="s">
        <v>414</v>
      </c>
      <c r="C41" s="6" t="s">
        <v>1371</v>
      </c>
      <c r="D41" s="9" t="s">
        <v>88</v>
      </c>
      <c r="E41" s="32" t="s">
        <v>213</v>
      </c>
      <c r="F41" s="9">
        <v>15.08459167</v>
      </c>
      <c r="G41" s="9">
        <v>120.60569169999999</v>
      </c>
      <c r="H41" s="9" t="s">
        <v>1372</v>
      </c>
      <c r="I41" s="9">
        <v>2014</v>
      </c>
      <c r="J41" s="9">
        <v>2019</v>
      </c>
      <c r="K41" s="9">
        <v>2019</v>
      </c>
      <c r="L41" s="9">
        <v>2018</v>
      </c>
      <c r="M41" s="44">
        <v>455221</v>
      </c>
      <c r="N41" s="357" t="s">
        <v>63</v>
      </c>
      <c r="O41" s="9" t="s">
        <v>35</v>
      </c>
      <c r="P41" s="9"/>
      <c r="Q41" s="9" t="s">
        <v>1195</v>
      </c>
      <c r="R41" s="31" t="s">
        <v>1373</v>
      </c>
      <c r="S41" s="22">
        <v>45793</v>
      </c>
      <c r="T41" s="22">
        <v>45796</v>
      </c>
      <c r="U41" s="22">
        <v>45796</v>
      </c>
      <c r="V41" s="22">
        <v>45796</v>
      </c>
      <c r="W41" s="22">
        <v>45797</v>
      </c>
      <c r="X41" s="24">
        <f t="shared" si="0"/>
        <v>1</v>
      </c>
      <c r="Y41" s="24">
        <f t="shared" si="4"/>
        <v>1</v>
      </c>
      <c r="Z41" s="24">
        <f t="shared" si="5"/>
        <v>1</v>
      </c>
      <c r="AA41" s="24">
        <f t="shared" si="3"/>
        <v>1</v>
      </c>
      <c r="AB41" s="6" t="s">
        <v>1255</v>
      </c>
      <c r="AC41" s="6" t="s">
        <v>102</v>
      </c>
      <c r="AD41" s="6" t="s">
        <v>103</v>
      </c>
      <c r="AE41" s="6" t="s">
        <v>103</v>
      </c>
      <c r="AF41" s="6" t="s">
        <v>103</v>
      </c>
      <c r="AG41" s="6" t="s">
        <v>103</v>
      </c>
      <c r="AH41" s="6" t="s">
        <v>103</v>
      </c>
      <c r="AI41" s="6" t="s">
        <v>103</v>
      </c>
      <c r="AJ41" s="6" t="s">
        <v>103</v>
      </c>
      <c r="AK41" s="6" t="s">
        <v>103</v>
      </c>
      <c r="AL41" s="6" t="s">
        <v>103</v>
      </c>
      <c r="AM41" s="6" t="s">
        <v>1339</v>
      </c>
      <c r="AN41" s="9"/>
      <c r="AO41" s="9"/>
      <c r="AP41" s="9"/>
      <c r="AQ41" s="9"/>
    </row>
    <row r="42" spans="1:43" ht="15" customHeight="1">
      <c r="A42" s="9" t="s">
        <v>51</v>
      </c>
      <c r="B42" s="6" t="s">
        <v>352</v>
      </c>
      <c r="C42" s="6" t="s">
        <v>1374</v>
      </c>
      <c r="D42" s="9" t="s">
        <v>88</v>
      </c>
      <c r="E42" s="32" t="s">
        <v>224</v>
      </c>
      <c r="F42" s="9">
        <v>15.01660833</v>
      </c>
      <c r="G42" s="9">
        <v>120.88668610000001</v>
      </c>
      <c r="H42" s="9" t="s">
        <v>1375</v>
      </c>
      <c r="I42" s="9"/>
      <c r="J42" s="9">
        <v>2015</v>
      </c>
      <c r="K42" s="9">
        <v>2015</v>
      </c>
      <c r="L42" s="9">
        <v>2018</v>
      </c>
      <c r="M42" s="44">
        <v>426302.2</v>
      </c>
      <c r="N42" s="258" t="s">
        <v>72</v>
      </c>
      <c r="O42" s="9" t="s">
        <v>32</v>
      </c>
      <c r="P42" s="9" t="s">
        <v>127</v>
      </c>
      <c r="Q42" s="9" t="s">
        <v>1195</v>
      </c>
      <c r="R42" s="9" t="s">
        <v>1376</v>
      </c>
      <c r="S42" s="22">
        <v>45946</v>
      </c>
      <c r="T42" s="22">
        <v>45946</v>
      </c>
      <c r="U42" s="22"/>
      <c r="V42" s="22">
        <v>45947</v>
      </c>
      <c r="W42" s="22">
        <v>45950</v>
      </c>
      <c r="X42" s="24">
        <f t="shared" si="0"/>
        <v>1</v>
      </c>
      <c r="Y42" s="24" t="str">
        <f t="shared" si="4"/>
        <v/>
      </c>
      <c r="Z42" s="24" t="str">
        <f t="shared" si="5"/>
        <v/>
      </c>
      <c r="AA42" s="24">
        <f t="shared" si="3"/>
        <v>1</v>
      </c>
      <c r="AB42" s="9"/>
      <c r="AC42" s="6"/>
      <c r="AD42" s="6"/>
      <c r="AE42" s="6"/>
      <c r="AF42" s="6"/>
      <c r="AG42" s="6"/>
      <c r="AH42" s="6"/>
      <c r="AI42" s="6"/>
      <c r="AJ42" s="6"/>
      <c r="AK42" s="6"/>
      <c r="AL42" s="6"/>
      <c r="AM42" s="6"/>
      <c r="AN42" s="9"/>
      <c r="AO42" s="9"/>
      <c r="AP42" s="9"/>
      <c r="AQ42" s="9"/>
    </row>
    <row r="43" spans="1:43" ht="23.25" customHeight="1">
      <c r="A43" s="9" t="s">
        <v>51</v>
      </c>
      <c r="B43" s="6" t="s">
        <v>1377</v>
      </c>
      <c r="C43" s="6" t="s">
        <v>946</v>
      </c>
      <c r="D43" s="9" t="s">
        <v>88</v>
      </c>
      <c r="E43" s="32" t="s">
        <v>213</v>
      </c>
      <c r="F43" s="9">
        <v>15.08325278</v>
      </c>
      <c r="G43" s="9">
        <v>120.6193694</v>
      </c>
      <c r="H43" s="9" t="s">
        <v>1378</v>
      </c>
      <c r="I43" s="9"/>
      <c r="J43" s="9">
        <v>2019</v>
      </c>
      <c r="K43" s="9">
        <v>2018</v>
      </c>
      <c r="L43" s="9" t="s">
        <v>1379</v>
      </c>
      <c r="M43" s="44" t="s">
        <v>1380</v>
      </c>
      <c r="N43" s="357" t="s">
        <v>92</v>
      </c>
      <c r="O43" s="9" t="s">
        <v>33</v>
      </c>
      <c r="P43" s="9" t="s">
        <v>127</v>
      </c>
      <c r="Q43" s="9" t="s">
        <v>1195</v>
      </c>
      <c r="R43" s="41" t="s">
        <v>1381</v>
      </c>
      <c r="S43" s="22">
        <v>45678</v>
      </c>
      <c r="T43" s="22">
        <v>45681</v>
      </c>
      <c r="U43" s="22"/>
      <c r="V43" s="22">
        <v>45684</v>
      </c>
      <c r="W43" s="22">
        <v>45685</v>
      </c>
      <c r="X43" s="24">
        <f t="shared" si="0"/>
        <v>3</v>
      </c>
      <c r="Y43" s="24" t="str">
        <f t="shared" si="4"/>
        <v/>
      </c>
      <c r="Z43" s="24" t="str">
        <f t="shared" si="5"/>
        <v/>
      </c>
      <c r="AA43" s="24">
        <f t="shared" si="3"/>
        <v>1</v>
      </c>
      <c r="AB43" s="9" t="s">
        <v>929</v>
      </c>
      <c r="AC43" s="6" t="s">
        <v>102</v>
      </c>
      <c r="AD43" s="6" t="s">
        <v>103</v>
      </c>
      <c r="AE43" s="6" t="s">
        <v>103</v>
      </c>
      <c r="AF43" s="6" t="s">
        <v>103</v>
      </c>
      <c r="AG43" s="6" t="s">
        <v>103</v>
      </c>
      <c r="AH43" s="6" t="s">
        <v>103</v>
      </c>
      <c r="AI43" s="6" t="s">
        <v>103</v>
      </c>
      <c r="AJ43" s="6" t="s">
        <v>103</v>
      </c>
      <c r="AK43" s="6" t="s">
        <v>103</v>
      </c>
      <c r="AL43" s="6" t="s">
        <v>103</v>
      </c>
      <c r="AM43" s="6" t="s">
        <v>1339</v>
      </c>
      <c r="AN43" s="9"/>
      <c r="AO43" s="9"/>
      <c r="AP43" s="9"/>
      <c r="AQ43" s="9"/>
    </row>
    <row r="44" spans="1:43" ht="15" customHeight="1">
      <c r="A44" s="9" t="s">
        <v>51</v>
      </c>
      <c r="B44" s="6" t="s">
        <v>1080</v>
      </c>
      <c r="C44" s="6" t="s">
        <v>653</v>
      </c>
      <c r="D44" s="9" t="s">
        <v>88</v>
      </c>
      <c r="E44" s="32" t="s">
        <v>224</v>
      </c>
      <c r="F44" s="6">
        <v>14.8955</v>
      </c>
      <c r="G44" s="9">
        <v>120.724323</v>
      </c>
      <c r="H44" s="7" t="s">
        <v>1382</v>
      </c>
      <c r="I44" s="9">
        <v>2007</v>
      </c>
      <c r="J44" s="9">
        <v>2017</v>
      </c>
      <c r="K44" s="9">
        <v>2018</v>
      </c>
      <c r="L44" s="9">
        <v>2018</v>
      </c>
      <c r="M44" s="44"/>
      <c r="N44" s="357" t="s">
        <v>71</v>
      </c>
      <c r="O44" s="9" t="s">
        <v>34</v>
      </c>
      <c r="P44" s="9" t="s">
        <v>28</v>
      </c>
      <c r="Q44" s="9" t="s">
        <v>1195</v>
      </c>
      <c r="R44" s="9" t="s">
        <v>1383</v>
      </c>
      <c r="S44" s="22">
        <v>45904</v>
      </c>
      <c r="T44" s="22">
        <v>45916</v>
      </c>
      <c r="U44" s="22">
        <v>45917</v>
      </c>
      <c r="V44" s="22">
        <v>45917</v>
      </c>
      <c r="W44" s="22">
        <v>45918</v>
      </c>
      <c r="X44" s="24">
        <f t="shared" si="0"/>
        <v>8</v>
      </c>
      <c r="Y44" s="24">
        <f t="shared" si="4"/>
        <v>1</v>
      </c>
      <c r="Z44" s="24">
        <f t="shared" si="5"/>
        <v>1</v>
      </c>
      <c r="AA44" s="24">
        <f t="shared" si="3"/>
        <v>1</v>
      </c>
      <c r="AB44" s="9"/>
      <c r="AC44" s="6" t="s">
        <v>102</v>
      </c>
      <c r="AD44" s="6" t="s">
        <v>110</v>
      </c>
      <c r="AE44" s="6" t="s">
        <v>103</v>
      </c>
      <c r="AF44" s="6" t="s">
        <v>103</v>
      </c>
      <c r="AG44" s="6" t="s">
        <v>103</v>
      </c>
      <c r="AH44" s="6" t="s">
        <v>103</v>
      </c>
      <c r="AI44" s="6" t="s">
        <v>103</v>
      </c>
      <c r="AJ44" s="6" t="s">
        <v>103</v>
      </c>
      <c r="AK44" s="6" t="s">
        <v>103</v>
      </c>
      <c r="AL44" s="6" t="s">
        <v>103</v>
      </c>
      <c r="AM44" s="6" t="s">
        <v>1384</v>
      </c>
      <c r="AN44" s="9"/>
      <c r="AO44" s="9"/>
      <c r="AP44" s="9"/>
      <c r="AQ44" s="9"/>
    </row>
    <row r="45" spans="1:43" ht="15" customHeight="1">
      <c r="A45" s="9" t="s">
        <v>51</v>
      </c>
      <c r="B45" s="6" t="s">
        <v>312</v>
      </c>
      <c r="C45" s="6" t="s">
        <v>1385</v>
      </c>
      <c r="D45" s="9" t="s">
        <v>88</v>
      </c>
      <c r="E45" s="7" t="s">
        <v>224</v>
      </c>
      <c r="F45" s="9">
        <v>14.88279722</v>
      </c>
      <c r="G45" s="9">
        <v>120.7110806</v>
      </c>
      <c r="H45" s="9" t="s">
        <v>1386</v>
      </c>
      <c r="I45" s="9">
        <v>1988</v>
      </c>
      <c r="J45" s="9">
        <v>2016</v>
      </c>
      <c r="K45" s="9">
        <v>2016</v>
      </c>
      <c r="L45" s="9">
        <v>2016</v>
      </c>
      <c r="M45" s="44">
        <v>5535751.2300000004</v>
      </c>
      <c r="N45" s="357" t="s">
        <v>64</v>
      </c>
      <c r="O45" s="9" t="s">
        <v>34</v>
      </c>
      <c r="P45" s="9" t="s">
        <v>127</v>
      </c>
      <c r="Q45" s="9" t="s">
        <v>1195</v>
      </c>
      <c r="R45" s="9" t="s">
        <v>1387</v>
      </c>
      <c r="S45" s="22">
        <v>45818</v>
      </c>
      <c r="T45" s="22">
        <v>45824</v>
      </c>
      <c r="U45" s="22">
        <v>45826</v>
      </c>
      <c r="V45" s="22">
        <v>45826</v>
      </c>
      <c r="W45" s="22">
        <v>45826</v>
      </c>
      <c r="X45" s="24">
        <f t="shared" si="0"/>
        <v>4</v>
      </c>
      <c r="Y45" s="24">
        <f t="shared" si="4"/>
        <v>2</v>
      </c>
      <c r="Z45" s="24">
        <f t="shared" si="5"/>
        <v>1</v>
      </c>
      <c r="AA45" s="24">
        <f t="shared" si="3"/>
        <v>1</v>
      </c>
      <c r="AB45" s="6" t="s">
        <v>1255</v>
      </c>
      <c r="AC45" s="6" t="s">
        <v>102</v>
      </c>
      <c r="AD45" s="6" t="s">
        <v>103</v>
      </c>
      <c r="AE45" s="6" t="s">
        <v>103</v>
      </c>
      <c r="AF45" s="6" t="s">
        <v>103</v>
      </c>
      <c r="AG45" s="6"/>
      <c r="AH45" s="6"/>
      <c r="AI45" s="6"/>
      <c r="AJ45" s="6" t="s">
        <v>103</v>
      </c>
      <c r="AK45" s="6"/>
      <c r="AL45" s="6" t="s">
        <v>103</v>
      </c>
      <c r="AM45" s="6" t="s">
        <v>1256</v>
      </c>
      <c r="AN45" s="9"/>
      <c r="AO45" s="9"/>
      <c r="AP45" s="9"/>
      <c r="AQ45" s="9"/>
    </row>
    <row r="46" spans="1:43" ht="15" customHeight="1">
      <c r="A46" s="9" t="s">
        <v>51</v>
      </c>
      <c r="B46" s="6" t="s">
        <v>392</v>
      </c>
      <c r="C46" s="6" t="s">
        <v>1388</v>
      </c>
      <c r="D46" s="9" t="s">
        <v>88</v>
      </c>
      <c r="E46" s="7" t="s">
        <v>224</v>
      </c>
      <c r="F46" s="9">
        <v>14.963733</v>
      </c>
      <c r="G46" s="9">
        <v>120.663186</v>
      </c>
      <c r="H46" s="9" t="s">
        <v>1389</v>
      </c>
      <c r="I46" s="9">
        <v>2007</v>
      </c>
      <c r="J46" s="9">
        <v>2017</v>
      </c>
      <c r="K46" s="9">
        <v>2018</v>
      </c>
      <c r="L46" s="9">
        <v>2018</v>
      </c>
      <c r="M46" s="44">
        <v>908320.52</v>
      </c>
      <c r="N46" s="357" t="s">
        <v>62</v>
      </c>
      <c r="O46" s="9" t="s">
        <v>34</v>
      </c>
      <c r="P46" s="9" t="s">
        <v>127</v>
      </c>
      <c r="Q46" s="9" t="s">
        <v>1195</v>
      </c>
      <c r="R46" s="9" t="s">
        <v>1390</v>
      </c>
      <c r="S46" s="22">
        <v>45699</v>
      </c>
      <c r="T46" s="22">
        <v>45701</v>
      </c>
      <c r="U46" s="22">
        <v>45705</v>
      </c>
      <c r="V46" s="22">
        <v>45705</v>
      </c>
      <c r="W46" s="22">
        <v>45706</v>
      </c>
      <c r="X46" s="24">
        <f t="shared" si="0"/>
        <v>2</v>
      </c>
      <c r="Y46" s="24">
        <f t="shared" si="4"/>
        <v>2</v>
      </c>
      <c r="Z46" s="24">
        <f t="shared" si="5"/>
        <v>1</v>
      </c>
      <c r="AA46" s="24">
        <f t="shared" si="3"/>
        <v>1</v>
      </c>
      <c r="AB46" s="6" t="s">
        <v>1255</v>
      </c>
      <c r="AC46" s="6" t="s">
        <v>109</v>
      </c>
      <c r="AD46" s="6" t="s">
        <v>103</v>
      </c>
      <c r="AE46" s="6" t="s">
        <v>103</v>
      </c>
      <c r="AF46" s="6" t="s">
        <v>103</v>
      </c>
      <c r="AG46" s="6" t="s">
        <v>103</v>
      </c>
      <c r="AH46" s="6" t="s">
        <v>103</v>
      </c>
      <c r="AI46" s="6" t="s">
        <v>103</v>
      </c>
      <c r="AJ46" s="6" t="s">
        <v>103</v>
      </c>
      <c r="AK46" s="6" t="s">
        <v>103</v>
      </c>
      <c r="AL46" s="6" t="s">
        <v>103</v>
      </c>
      <c r="AM46" s="236" t="s">
        <v>1339</v>
      </c>
      <c r="AN46" s="9"/>
      <c r="AO46" s="9"/>
      <c r="AP46" s="9"/>
      <c r="AQ46" s="9"/>
    </row>
    <row r="47" spans="1:43" ht="15" customHeight="1">
      <c r="A47" s="9" t="s">
        <v>51</v>
      </c>
      <c r="B47" s="6" t="s">
        <v>394</v>
      </c>
      <c r="C47" s="6" t="s">
        <v>1391</v>
      </c>
      <c r="D47" s="9" t="s">
        <v>88</v>
      </c>
      <c r="E47" s="7" t="s">
        <v>271</v>
      </c>
      <c r="F47" s="9">
        <v>14.93701667</v>
      </c>
      <c r="G47" s="9">
        <v>120.61741670000001</v>
      </c>
      <c r="H47" s="9" t="s">
        <v>1392</v>
      </c>
      <c r="I47" s="9">
        <v>2018</v>
      </c>
      <c r="J47" s="9">
        <v>2019</v>
      </c>
      <c r="K47" s="9">
        <v>2019</v>
      </c>
      <c r="L47" s="9">
        <v>2018</v>
      </c>
      <c r="M47" s="44">
        <v>549937.18000000005</v>
      </c>
      <c r="N47" s="357" t="s">
        <v>45</v>
      </c>
      <c r="O47" s="9" t="s">
        <v>35</v>
      </c>
      <c r="P47" s="9" t="s">
        <v>127</v>
      </c>
      <c r="Q47" s="9" t="s">
        <v>1195</v>
      </c>
      <c r="R47" s="9" t="s">
        <v>1393</v>
      </c>
      <c r="S47" s="22">
        <v>45730</v>
      </c>
      <c r="T47" s="22">
        <v>45733</v>
      </c>
      <c r="U47" s="22">
        <v>45733</v>
      </c>
      <c r="V47" s="22">
        <v>45733</v>
      </c>
      <c r="W47" s="22">
        <v>45733</v>
      </c>
      <c r="X47" s="24">
        <f t="shared" si="0"/>
        <v>1</v>
      </c>
      <c r="Y47" s="24">
        <f t="shared" si="4"/>
        <v>1</v>
      </c>
      <c r="Z47" s="24">
        <f t="shared" si="5"/>
        <v>1</v>
      </c>
      <c r="AA47" s="24">
        <f t="shared" si="3"/>
        <v>1</v>
      </c>
      <c r="AB47" s="6" t="s">
        <v>1255</v>
      </c>
      <c r="AC47" s="6" t="s">
        <v>102</v>
      </c>
      <c r="AD47" s="6" t="s">
        <v>103</v>
      </c>
      <c r="AE47" s="6" t="s">
        <v>103</v>
      </c>
      <c r="AF47" s="6" t="s">
        <v>103</v>
      </c>
      <c r="AG47" s="6" t="s">
        <v>103</v>
      </c>
      <c r="AH47" s="6" t="s">
        <v>103</v>
      </c>
      <c r="AI47" s="6" t="s">
        <v>103</v>
      </c>
      <c r="AJ47" s="6" t="s">
        <v>103</v>
      </c>
      <c r="AK47" s="6" t="s">
        <v>103</v>
      </c>
      <c r="AL47" s="6" t="s">
        <v>103</v>
      </c>
      <c r="AM47" s="6" t="s">
        <v>1259</v>
      </c>
      <c r="AN47" s="9"/>
      <c r="AO47" s="9"/>
      <c r="AP47" s="9"/>
      <c r="AQ47" s="9"/>
    </row>
    <row r="48" spans="1:43" s="290" customFormat="1" ht="15" customHeight="1">
      <c r="A48" s="275" t="s">
        <v>51</v>
      </c>
      <c r="B48" s="285" t="s">
        <v>541</v>
      </c>
      <c r="C48" s="285" t="s">
        <v>653</v>
      </c>
      <c r="D48" s="275" t="s">
        <v>88</v>
      </c>
      <c r="E48" s="286" t="s">
        <v>224</v>
      </c>
      <c r="F48" s="275">
        <v>15.003648</v>
      </c>
      <c r="G48" s="275">
        <v>120.697344</v>
      </c>
      <c r="H48" s="275" t="s">
        <v>1394</v>
      </c>
      <c r="I48" s="275">
        <v>2013</v>
      </c>
      <c r="J48" s="275">
        <v>2017</v>
      </c>
      <c r="K48" s="275">
        <v>2016</v>
      </c>
      <c r="L48" s="275">
        <v>2016</v>
      </c>
      <c r="M48" s="287">
        <v>4137180.13</v>
      </c>
      <c r="N48" s="361" t="s">
        <v>70</v>
      </c>
      <c r="O48" s="275" t="s">
        <v>33</v>
      </c>
      <c r="P48" s="275" t="s">
        <v>28</v>
      </c>
      <c r="Q48" s="275" t="s">
        <v>1195</v>
      </c>
      <c r="R48" s="275" t="s">
        <v>1395</v>
      </c>
      <c r="S48" s="288">
        <v>45881</v>
      </c>
      <c r="T48" s="288">
        <v>45884</v>
      </c>
      <c r="U48" s="288">
        <v>45884</v>
      </c>
      <c r="V48" s="288">
        <v>45884</v>
      </c>
      <c r="W48" s="288">
        <v>45888</v>
      </c>
      <c r="X48" s="289">
        <f t="shared" si="0"/>
        <v>3</v>
      </c>
      <c r="Y48" s="289">
        <f t="shared" si="4"/>
        <v>1</v>
      </c>
      <c r="Z48" s="289">
        <f t="shared" si="5"/>
        <v>1</v>
      </c>
      <c r="AA48" s="289">
        <f t="shared" si="3"/>
        <v>2</v>
      </c>
      <c r="AB48" s="275" t="s">
        <v>1255</v>
      </c>
      <c r="AC48" s="285" t="s">
        <v>102</v>
      </c>
      <c r="AD48" s="285" t="s">
        <v>103</v>
      </c>
      <c r="AE48" s="285" t="s">
        <v>103</v>
      </c>
      <c r="AF48" s="285" t="s">
        <v>103</v>
      </c>
      <c r="AG48" s="285" t="s">
        <v>103</v>
      </c>
      <c r="AH48" s="285" t="s">
        <v>103</v>
      </c>
      <c r="AI48" s="285" t="s">
        <v>103</v>
      </c>
      <c r="AJ48" s="285" t="s">
        <v>103</v>
      </c>
      <c r="AK48" s="285" t="s">
        <v>110</v>
      </c>
      <c r="AL48" s="285" t="s">
        <v>103</v>
      </c>
      <c r="AM48" s="285" t="s">
        <v>1259</v>
      </c>
      <c r="AN48" s="275"/>
      <c r="AO48" s="275"/>
      <c r="AP48" s="275"/>
      <c r="AQ48" s="275"/>
    </row>
    <row r="49" spans="1:43" ht="15" customHeight="1">
      <c r="A49" s="9" t="s">
        <v>52</v>
      </c>
      <c r="B49" s="6" t="s">
        <v>368</v>
      </c>
      <c r="C49" s="6" t="s">
        <v>1047</v>
      </c>
      <c r="D49" s="9" t="s">
        <v>89</v>
      </c>
      <c r="E49" s="7" t="s">
        <v>243</v>
      </c>
      <c r="F49" s="9">
        <v>15.63233333</v>
      </c>
      <c r="G49" s="9">
        <v>120.3527611</v>
      </c>
      <c r="H49" s="9" t="s">
        <v>1396</v>
      </c>
      <c r="I49" s="9">
        <v>2015</v>
      </c>
      <c r="J49" s="9">
        <v>2017</v>
      </c>
      <c r="K49" s="9">
        <v>2018</v>
      </c>
      <c r="L49" s="9">
        <v>2018</v>
      </c>
      <c r="M49" s="44">
        <v>270750</v>
      </c>
      <c r="N49" s="357" t="s">
        <v>70</v>
      </c>
      <c r="O49" s="9" t="s">
        <v>38</v>
      </c>
      <c r="P49" s="9" t="s">
        <v>1109</v>
      </c>
      <c r="Q49" s="9" t="s">
        <v>1148</v>
      </c>
      <c r="R49" s="9" t="s">
        <v>1397</v>
      </c>
      <c r="S49" s="22">
        <v>45874</v>
      </c>
      <c r="T49" s="22">
        <v>45880</v>
      </c>
      <c r="U49" s="22"/>
      <c r="V49" s="22">
        <v>45881</v>
      </c>
      <c r="W49" s="22">
        <v>45881</v>
      </c>
      <c r="X49" s="24">
        <f t="shared" si="0"/>
        <v>4</v>
      </c>
      <c r="Y49" s="24" t="str">
        <f t="shared" si="4"/>
        <v/>
      </c>
      <c r="Z49" s="24" t="str">
        <f t="shared" si="5"/>
        <v/>
      </c>
      <c r="AA49" s="24">
        <f t="shared" si="3"/>
        <v>1</v>
      </c>
      <c r="AB49" s="9" t="s">
        <v>1255</v>
      </c>
      <c r="AC49" s="6" t="s">
        <v>116</v>
      </c>
      <c r="AD49" s="6" t="s">
        <v>110</v>
      </c>
      <c r="AE49" s="6" t="s">
        <v>103</v>
      </c>
      <c r="AF49" s="6" t="s">
        <v>110</v>
      </c>
      <c r="AG49" s="6" t="s">
        <v>110</v>
      </c>
      <c r="AH49" s="6" t="s">
        <v>110</v>
      </c>
      <c r="AI49" s="6" t="s">
        <v>110</v>
      </c>
      <c r="AJ49" s="6" t="s">
        <v>103</v>
      </c>
      <c r="AK49" s="6" t="s">
        <v>110</v>
      </c>
      <c r="AL49" s="6" t="s">
        <v>103</v>
      </c>
      <c r="AM49" s="6" t="s">
        <v>1398</v>
      </c>
      <c r="AN49" s="9"/>
      <c r="AO49" s="9"/>
      <c r="AP49" s="8">
        <v>45909</v>
      </c>
      <c r="AQ49" s="9"/>
    </row>
    <row r="50" spans="1:43" ht="15" customHeight="1">
      <c r="A50" s="9" t="s">
        <v>52</v>
      </c>
      <c r="B50" s="6" t="s">
        <v>1399</v>
      </c>
      <c r="C50" s="6" t="s">
        <v>950</v>
      </c>
      <c r="D50" s="9" t="s">
        <v>89</v>
      </c>
      <c r="E50" s="7" t="s">
        <v>243</v>
      </c>
      <c r="F50" s="9">
        <v>15.643311110000001</v>
      </c>
      <c r="G50" s="9">
        <v>120.5605056</v>
      </c>
      <c r="H50" s="9" t="s">
        <v>1400</v>
      </c>
      <c r="I50" s="9">
        <v>2000</v>
      </c>
      <c r="J50" s="9">
        <v>2017</v>
      </c>
      <c r="K50" s="9">
        <v>2017</v>
      </c>
      <c r="L50" s="9">
        <v>2017</v>
      </c>
      <c r="M50" s="44">
        <v>3689551.76</v>
      </c>
      <c r="N50" s="357" t="s">
        <v>64</v>
      </c>
      <c r="O50" s="9" t="s">
        <v>37</v>
      </c>
      <c r="P50" s="9" t="s">
        <v>1109</v>
      </c>
      <c r="Q50" s="9" t="s">
        <v>1148</v>
      </c>
      <c r="R50" s="9" t="s">
        <v>1401</v>
      </c>
      <c r="S50" s="22">
        <v>45825</v>
      </c>
      <c r="T50" s="22">
        <v>45826</v>
      </c>
      <c r="U50" s="22">
        <v>45826</v>
      </c>
      <c r="V50" s="22">
        <v>45827</v>
      </c>
      <c r="W50" s="22">
        <v>45827</v>
      </c>
      <c r="X50" s="244">
        <f t="shared" si="0"/>
        <v>1</v>
      </c>
      <c r="Y50" s="244">
        <f t="shared" si="4"/>
        <v>1</v>
      </c>
      <c r="Z50" s="244">
        <f t="shared" si="5"/>
        <v>1</v>
      </c>
      <c r="AA50" s="244">
        <f t="shared" si="3"/>
        <v>1</v>
      </c>
      <c r="AB50" s="9" t="s">
        <v>1402</v>
      </c>
      <c r="AC50" s="6" t="s">
        <v>102</v>
      </c>
      <c r="AD50" s="6" t="s">
        <v>103</v>
      </c>
      <c r="AE50" s="6" t="s">
        <v>103</v>
      </c>
      <c r="AF50" s="6" t="s">
        <v>103</v>
      </c>
      <c r="AG50" s="6" t="s">
        <v>103</v>
      </c>
      <c r="AH50" s="6" t="s">
        <v>103</v>
      </c>
      <c r="AI50" s="6" t="s">
        <v>103</v>
      </c>
      <c r="AJ50" s="6" t="s">
        <v>103</v>
      </c>
      <c r="AK50" s="6" t="s">
        <v>103</v>
      </c>
      <c r="AL50" s="6" t="s">
        <v>103</v>
      </c>
      <c r="AM50" s="6" t="s">
        <v>1256</v>
      </c>
      <c r="AN50" s="9"/>
      <c r="AO50" s="9"/>
      <c r="AP50" s="9"/>
      <c r="AQ50" s="9"/>
    </row>
    <row r="51" spans="1:43" ht="15" customHeight="1">
      <c r="A51" s="9" t="s">
        <v>53</v>
      </c>
      <c r="B51" s="6" t="s">
        <v>544</v>
      </c>
      <c r="C51" s="6" t="s">
        <v>764</v>
      </c>
      <c r="D51" s="9" t="s">
        <v>89</v>
      </c>
      <c r="E51" s="32" t="s">
        <v>271</v>
      </c>
      <c r="F51" s="9">
        <v>15.16056</v>
      </c>
      <c r="G51" s="9">
        <v>120.07454</v>
      </c>
      <c r="H51" s="9" t="s">
        <v>1403</v>
      </c>
      <c r="I51" s="9">
        <v>2015</v>
      </c>
      <c r="J51" s="9">
        <v>2019</v>
      </c>
      <c r="K51" s="9">
        <v>2019</v>
      </c>
      <c r="L51" s="9">
        <v>2019</v>
      </c>
      <c r="M51" s="44">
        <v>1683493.46</v>
      </c>
      <c r="N51" s="258" t="s">
        <v>72</v>
      </c>
      <c r="O51" s="9" t="s">
        <v>1404</v>
      </c>
      <c r="P51" s="9" t="s">
        <v>1109</v>
      </c>
      <c r="Q51" s="9" t="s">
        <v>133</v>
      </c>
      <c r="R51" s="9" t="s">
        <v>1405</v>
      </c>
      <c r="S51" s="22">
        <v>45944</v>
      </c>
      <c r="T51" s="22">
        <v>45946</v>
      </c>
      <c r="U51" s="22">
        <v>45946</v>
      </c>
      <c r="V51" s="22">
        <v>45946</v>
      </c>
      <c r="W51" s="22">
        <v>45947</v>
      </c>
      <c r="X51" s="24">
        <f t="shared" si="0"/>
        <v>2</v>
      </c>
      <c r="Y51" s="24">
        <f t="shared" si="4"/>
        <v>1</v>
      </c>
      <c r="Z51" s="24">
        <f t="shared" si="5"/>
        <v>1</v>
      </c>
      <c r="AA51" s="24">
        <f t="shared" si="3"/>
        <v>1</v>
      </c>
      <c r="AB51" s="9"/>
      <c r="AC51" s="6" t="s">
        <v>102</v>
      </c>
      <c r="AD51" s="6" t="s">
        <v>103</v>
      </c>
      <c r="AE51" s="6" t="s">
        <v>103</v>
      </c>
      <c r="AF51" s="6" t="s">
        <v>103</v>
      </c>
      <c r="AG51" s="6" t="s">
        <v>103</v>
      </c>
      <c r="AH51" s="6" t="s">
        <v>103</v>
      </c>
      <c r="AI51" s="6" t="s">
        <v>103</v>
      </c>
      <c r="AJ51" s="6" t="s">
        <v>103</v>
      </c>
      <c r="AK51" s="6" t="s">
        <v>103</v>
      </c>
      <c r="AL51" s="6" t="s">
        <v>103</v>
      </c>
      <c r="AM51" s="6"/>
      <c r="AN51" s="9"/>
      <c r="AO51" s="9"/>
      <c r="AP51" s="9"/>
      <c r="AQ51" s="9"/>
    </row>
    <row r="52" spans="1:43" ht="15" customHeight="1">
      <c r="A52" s="9" t="s">
        <v>53</v>
      </c>
      <c r="B52" s="6" t="s">
        <v>422</v>
      </c>
      <c r="C52" s="6" t="s">
        <v>1406</v>
      </c>
      <c r="D52" s="9" t="s">
        <v>89</v>
      </c>
      <c r="E52" s="32" t="s">
        <v>271</v>
      </c>
      <c r="F52" s="9">
        <v>15.343745999999999</v>
      </c>
      <c r="G52" s="9">
        <v>119.981228</v>
      </c>
      <c r="H52" s="9" t="s">
        <v>1407</v>
      </c>
      <c r="I52" s="9">
        <v>2000</v>
      </c>
      <c r="J52" s="9">
        <v>2015</v>
      </c>
      <c r="K52" s="9">
        <v>2019</v>
      </c>
      <c r="L52" s="9">
        <v>2019</v>
      </c>
      <c r="M52" s="44">
        <v>5753297.3899999997</v>
      </c>
      <c r="N52" s="357" t="s">
        <v>57</v>
      </c>
      <c r="O52" s="9" t="s">
        <v>41</v>
      </c>
      <c r="P52" s="9" t="s">
        <v>1109</v>
      </c>
      <c r="Q52" s="9" t="s">
        <v>133</v>
      </c>
      <c r="R52" s="9" t="s">
        <v>1408</v>
      </c>
      <c r="S52" s="22">
        <v>45749</v>
      </c>
      <c r="T52" s="22">
        <v>45754</v>
      </c>
      <c r="U52" s="22">
        <v>45754</v>
      </c>
      <c r="V52" s="22">
        <v>45755</v>
      </c>
      <c r="W52" s="22">
        <v>45755</v>
      </c>
      <c r="X52" s="24">
        <f t="shared" si="0"/>
        <v>3</v>
      </c>
      <c r="Y52" s="24">
        <f t="shared" si="4"/>
        <v>1</v>
      </c>
      <c r="Z52" s="24">
        <f t="shared" si="5"/>
        <v>1</v>
      </c>
      <c r="AA52" s="24">
        <f t="shared" si="3"/>
        <v>1</v>
      </c>
      <c r="AB52" s="6" t="s">
        <v>1255</v>
      </c>
      <c r="AC52" s="6" t="s">
        <v>102</v>
      </c>
      <c r="AD52" s="6" t="s">
        <v>103</v>
      </c>
      <c r="AE52" s="6" t="s">
        <v>103</v>
      </c>
      <c r="AF52" s="6" t="s">
        <v>103</v>
      </c>
      <c r="AG52" s="6" t="s">
        <v>103</v>
      </c>
      <c r="AH52" s="6" t="s">
        <v>103</v>
      </c>
      <c r="AI52" s="6" t="s">
        <v>103</v>
      </c>
      <c r="AJ52" s="6" t="s">
        <v>103</v>
      </c>
      <c r="AK52" s="6" t="s">
        <v>103</v>
      </c>
      <c r="AL52" s="6" t="s">
        <v>103</v>
      </c>
      <c r="AM52" s="6" t="s">
        <v>1339</v>
      </c>
      <c r="AN52" s="9"/>
      <c r="AO52" s="9"/>
      <c r="AP52" s="9"/>
      <c r="AQ52" s="9"/>
    </row>
    <row r="53" spans="1:43" s="290" customFormat="1" ht="15" customHeight="1">
      <c r="A53" s="275" t="s">
        <v>53</v>
      </c>
      <c r="B53" s="285" t="s">
        <v>733</v>
      </c>
      <c r="C53" s="285" t="s">
        <v>734</v>
      </c>
      <c r="D53" s="275" t="s">
        <v>89</v>
      </c>
      <c r="E53" s="316" t="s">
        <v>271</v>
      </c>
      <c r="F53" s="275">
        <v>15.44514167</v>
      </c>
      <c r="G53" s="275">
        <v>120.01627499999999</v>
      </c>
      <c r="H53" s="275" t="s">
        <v>1409</v>
      </c>
      <c r="I53" s="275">
        <v>2015</v>
      </c>
      <c r="J53" s="275"/>
      <c r="K53" s="275" t="s">
        <v>1410</v>
      </c>
      <c r="L53" s="275">
        <v>2019</v>
      </c>
      <c r="M53" s="287">
        <v>925569.64</v>
      </c>
      <c r="N53" s="361" t="s">
        <v>69</v>
      </c>
      <c r="O53" s="275" t="s">
        <v>42</v>
      </c>
      <c r="P53" s="275" t="s">
        <v>1109</v>
      </c>
      <c r="Q53" s="275" t="s">
        <v>133</v>
      </c>
      <c r="R53" s="275" t="s">
        <v>1411</v>
      </c>
      <c r="S53" s="288">
        <v>45839</v>
      </c>
      <c r="T53" s="288">
        <v>45854</v>
      </c>
      <c r="U53" s="288">
        <v>45855</v>
      </c>
      <c r="V53" s="288">
        <v>45855</v>
      </c>
      <c r="W53" s="288">
        <v>45855</v>
      </c>
      <c r="X53" s="289">
        <f t="shared" si="0"/>
        <v>11</v>
      </c>
      <c r="Y53" s="289">
        <f t="shared" si="4"/>
        <v>1</v>
      </c>
      <c r="Z53" s="289">
        <f t="shared" si="5"/>
        <v>1</v>
      </c>
      <c r="AA53" s="289">
        <f t="shared" si="3"/>
        <v>1</v>
      </c>
      <c r="AB53" s="285" t="s">
        <v>1255</v>
      </c>
      <c r="AC53" s="285" t="s">
        <v>116</v>
      </c>
      <c r="AD53" s="285"/>
      <c r="AE53" s="285"/>
      <c r="AF53" s="285"/>
      <c r="AG53" s="285"/>
      <c r="AH53" s="285"/>
      <c r="AI53" s="285"/>
      <c r="AJ53" s="285"/>
      <c r="AK53" s="285"/>
      <c r="AL53" s="285"/>
      <c r="AM53" s="285" t="s">
        <v>1412</v>
      </c>
      <c r="AN53" s="275"/>
      <c r="AO53" s="275"/>
      <c r="AP53" s="275"/>
      <c r="AQ53" s="275"/>
    </row>
    <row r="54" spans="1:43" ht="15" customHeight="1">
      <c r="A54" s="9" t="s">
        <v>53</v>
      </c>
      <c r="B54" s="6" t="s">
        <v>1413</v>
      </c>
      <c r="C54" s="6" t="s">
        <v>1090</v>
      </c>
      <c r="D54" s="9" t="s">
        <v>89</v>
      </c>
      <c r="E54" s="32" t="s">
        <v>243</v>
      </c>
      <c r="F54" s="9">
        <v>14.969268</v>
      </c>
      <c r="G54" s="9">
        <v>120.132488</v>
      </c>
      <c r="H54" s="9" t="s">
        <v>1414</v>
      </c>
      <c r="I54" s="9">
        <v>2009</v>
      </c>
      <c r="J54" s="9">
        <v>2021</v>
      </c>
      <c r="K54" s="9">
        <v>2019</v>
      </c>
      <c r="L54" s="9">
        <v>2019</v>
      </c>
      <c r="M54" s="44">
        <v>1046687.94</v>
      </c>
      <c r="N54" s="357" t="s">
        <v>62</v>
      </c>
      <c r="O54" s="9" t="s">
        <v>41</v>
      </c>
      <c r="P54" s="9" t="s">
        <v>1109</v>
      </c>
      <c r="Q54" s="9" t="s">
        <v>133</v>
      </c>
      <c r="R54" s="9" t="s">
        <v>1415</v>
      </c>
      <c r="S54" s="22">
        <v>45700</v>
      </c>
      <c r="T54" s="22">
        <v>45705</v>
      </c>
      <c r="U54" s="22">
        <v>45705</v>
      </c>
      <c r="V54" s="22">
        <v>45705</v>
      </c>
      <c r="W54" s="22">
        <v>45705</v>
      </c>
      <c r="X54" s="24">
        <f t="shared" si="0"/>
        <v>3</v>
      </c>
      <c r="Y54" s="24">
        <f t="shared" si="4"/>
        <v>1</v>
      </c>
      <c r="Z54" s="24">
        <f t="shared" si="5"/>
        <v>1</v>
      </c>
      <c r="AA54" s="24">
        <f t="shared" si="3"/>
        <v>1</v>
      </c>
      <c r="AB54" s="6" t="s">
        <v>1255</v>
      </c>
      <c r="AC54" s="6" t="s">
        <v>102</v>
      </c>
      <c r="AD54" s="6" t="s">
        <v>103</v>
      </c>
      <c r="AE54" s="6" t="s">
        <v>103</v>
      </c>
      <c r="AF54" s="6" t="s">
        <v>103</v>
      </c>
      <c r="AG54" s="6" t="s">
        <v>103</v>
      </c>
      <c r="AH54" s="6" t="s">
        <v>103</v>
      </c>
      <c r="AI54" s="6" t="s">
        <v>103</v>
      </c>
      <c r="AJ54" s="6" t="s">
        <v>103</v>
      </c>
      <c r="AK54" s="6" t="s">
        <v>103</v>
      </c>
      <c r="AL54" s="6" t="s">
        <v>103</v>
      </c>
      <c r="AM54" s="6" t="s">
        <v>1339</v>
      </c>
      <c r="AN54" s="9"/>
      <c r="AO54" s="9"/>
      <c r="AP54" s="9"/>
      <c r="AQ54" s="9"/>
    </row>
    <row r="55" spans="1:43" ht="15" customHeight="1">
      <c r="A55" s="9" t="s">
        <v>53</v>
      </c>
      <c r="B55" s="6" t="s">
        <v>1049</v>
      </c>
      <c r="C55" s="6" t="s">
        <v>1416</v>
      </c>
      <c r="D55" s="9" t="s">
        <v>89</v>
      </c>
      <c r="E55" s="32" t="s">
        <v>243</v>
      </c>
      <c r="F55" s="9">
        <v>14.878166670000001</v>
      </c>
      <c r="G55" s="9">
        <v>120.2512972</v>
      </c>
      <c r="H55" s="9" t="s">
        <v>1417</v>
      </c>
      <c r="I55" s="9">
        <v>1997</v>
      </c>
      <c r="J55" s="9">
        <v>2018</v>
      </c>
      <c r="K55" s="9">
        <v>2019</v>
      </c>
      <c r="L55" s="9">
        <v>2019</v>
      </c>
      <c r="M55" s="44">
        <v>3040094.77</v>
      </c>
      <c r="N55" s="357" t="s">
        <v>137</v>
      </c>
      <c r="O55" s="9"/>
      <c r="P55" s="9" t="s">
        <v>1109</v>
      </c>
      <c r="Q55" s="9" t="s">
        <v>133</v>
      </c>
      <c r="R55" s="9"/>
      <c r="S55" s="22"/>
      <c r="T55" s="22"/>
      <c r="U55" s="22"/>
      <c r="V55" s="22"/>
      <c r="W55" s="22"/>
      <c r="X55" s="24" t="str">
        <f t="shared" si="0"/>
        <v/>
      </c>
      <c r="Y55" s="24" t="str">
        <f t="shared" si="4"/>
        <v/>
      </c>
      <c r="Z55" s="24" t="str">
        <f t="shared" si="5"/>
        <v/>
      </c>
      <c r="AA55" s="24" t="str">
        <f t="shared" si="3"/>
        <v/>
      </c>
      <c r="AB55" s="9"/>
      <c r="AC55" s="6"/>
      <c r="AD55" s="6"/>
      <c r="AE55" s="6"/>
      <c r="AF55" s="6"/>
      <c r="AG55" s="6"/>
      <c r="AH55" s="6"/>
      <c r="AI55" s="6"/>
      <c r="AJ55" s="6"/>
      <c r="AK55" s="6"/>
      <c r="AL55" s="6"/>
      <c r="AM55" s="6"/>
      <c r="AN55" s="9"/>
      <c r="AO55" s="9"/>
      <c r="AP55" s="9"/>
      <c r="AQ55" s="9"/>
    </row>
    <row r="56" spans="1:43" ht="15" customHeight="1">
      <c r="E56" s="291"/>
      <c r="M56" s="255"/>
      <c r="N56" s="327"/>
      <c r="S56" s="292"/>
      <c r="T56" s="292"/>
      <c r="U56" s="292"/>
      <c r="V56" s="292"/>
      <c r="W56" s="292"/>
      <c r="X56" s="293"/>
      <c r="Y56" s="293"/>
      <c r="Z56" s="293"/>
      <c r="AA56" s="293"/>
    </row>
    <row r="57" spans="1:43" ht="15" customHeight="1">
      <c r="B57" s="41"/>
      <c r="C57" s="41"/>
    </row>
    <row r="58" spans="1:43" ht="15" customHeight="1">
      <c r="B58" s="41"/>
      <c r="C58" s="41"/>
    </row>
    <row r="65" spans="13:13" ht="15" customHeight="1">
      <c r="M65" s="327"/>
    </row>
    <row r="66" spans="13:13" ht="15" customHeight="1">
      <c r="M66" s="327"/>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52AB1DF-FC0F-4790-A7BE-1B2ED284A156}">
          <x14:formula1>
            <xm:f>'Data Validation'!$M$2:$M$5</xm:f>
          </x14:formula1>
          <xm:sqref>AC2:AC56</xm:sqref>
        </x14:dataValidation>
        <x14:dataValidation type="list" allowBlank="1" showInputMessage="1" showErrorMessage="1" xr:uid="{C6E99830-8A9B-4DC8-9953-543DF7631ECB}">
          <x14:formula1>
            <xm:f>'Data Validation'!$N$2:$N$3</xm:f>
          </x14:formula1>
          <xm:sqref>AD2:AL56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7B82-C509-4AFF-9A62-1C88540437BB}">
  <sheetPr codeName="Sheet18"/>
  <dimension ref="A1:S3105"/>
  <sheetViews>
    <sheetView workbookViewId="0">
      <selection activeCell="M1" sqref="M1"/>
    </sheetView>
  </sheetViews>
  <sheetFormatPr defaultColWidth="16" defaultRowHeight="15"/>
  <cols>
    <col min="3" max="3" width="30.28515625" customWidth="1"/>
  </cols>
  <sheetData>
    <row r="1" spans="1:19" ht="57">
      <c r="A1" s="82" t="s">
        <v>44</v>
      </c>
      <c r="B1" s="83" t="s">
        <v>158</v>
      </c>
      <c r="C1" s="362" t="s">
        <v>556</v>
      </c>
      <c r="D1" s="82" t="s">
        <v>1418</v>
      </c>
      <c r="E1" s="82" t="s">
        <v>1419</v>
      </c>
      <c r="F1" s="82" t="s">
        <v>1420</v>
      </c>
      <c r="G1" s="82" t="s">
        <v>1421</v>
      </c>
      <c r="H1" s="84" t="s">
        <v>1422</v>
      </c>
      <c r="I1" s="85" t="s">
        <v>1423</v>
      </c>
      <c r="J1" s="86" t="s">
        <v>1424</v>
      </c>
      <c r="K1" s="363" t="s">
        <v>1425</v>
      </c>
      <c r="L1" s="82" t="s">
        <v>1426</v>
      </c>
      <c r="M1" s="87" t="s">
        <v>1427</v>
      </c>
      <c r="N1" s="87" t="s">
        <v>1428</v>
      </c>
      <c r="O1" s="87" t="s">
        <v>1429</v>
      </c>
      <c r="P1" s="87" t="s">
        <v>1430</v>
      </c>
      <c r="Q1" s="364" t="s">
        <v>1431</v>
      </c>
      <c r="R1" s="88" t="s">
        <v>198</v>
      </c>
      <c r="S1" s="89"/>
    </row>
    <row r="2" spans="1:19" ht="42.75">
      <c r="A2" s="90" t="s">
        <v>47</v>
      </c>
      <c r="B2" s="91" t="s">
        <v>1432</v>
      </c>
      <c r="C2" s="91" t="s">
        <v>1433</v>
      </c>
      <c r="D2" s="90">
        <v>587</v>
      </c>
      <c r="E2" s="90">
        <v>514</v>
      </c>
      <c r="F2" s="90" t="s">
        <v>1434</v>
      </c>
      <c r="G2" s="90">
        <v>2024</v>
      </c>
      <c r="H2" s="92">
        <v>45352</v>
      </c>
      <c r="I2" s="93"/>
      <c r="J2" s="94" t="s">
        <v>1435</v>
      </c>
      <c r="K2" s="95"/>
      <c r="L2" s="69" t="s">
        <v>76</v>
      </c>
      <c r="M2" s="69" t="s">
        <v>4</v>
      </c>
      <c r="N2" s="69"/>
      <c r="O2" s="69" t="s">
        <v>1436</v>
      </c>
      <c r="P2" s="78"/>
      <c r="Q2" s="96"/>
      <c r="R2" s="97"/>
      <c r="S2" s="98"/>
    </row>
    <row r="3" spans="1:19" ht="42.75">
      <c r="A3" s="90" t="s">
        <v>47</v>
      </c>
      <c r="B3" s="91" t="s">
        <v>1432</v>
      </c>
      <c r="C3" s="91" t="s">
        <v>1437</v>
      </c>
      <c r="D3" s="90">
        <v>312</v>
      </c>
      <c r="E3" s="90">
        <v>346</v>
      </c>
      <c r="F3" s="90" t="s">
        <v>1434</v>
      </c>
      <c r="G3" s="90">
        <v>2024</v>
      </c>
      <c r="H3" s="92">
        <v>45420</v>
      </c>
      <c r="I3" s="99">
        <v>45425</v>
      </c>
      <c r="J3" s="94" t="s">
        <v>1438</v>
      </c>
      <c r="K3" s="100">
        <v>45427</v>
      </c>
      <c r="L3" s="69" t="s">
        <v>78</v>
      </c>
      <c r="M3" s="69" t="s">
        <v>672</v>
      </c>
      <c r="N3" s="69"/>
      <c r="O3" s="69" t="s">
        <v>1436</v>
      </c>
      <c r="P3" s="78"/>
      <c r="Q3" s="96"/>
      <c r="R3" s="97"/>
      <c r="S3" s="98"/>
    </row>
    <row r="4" spans="1:19" ht="42.75">
      <c r="A4" s="90" t="s">
        <v>47</v>
      </c>
      <c r="B4" s="91" t="s">
        <v>1432</v>
      </c>
      <c r="C4" s="91" t="s">
        <v>1439</v>
      </c>
      <c r="D4" s="90">
        <v>357</v>
      </c>
      <c r="E4" s="90">
        <v>375</v>
      </c>
      <c r="F4" s="90" t="s">
        <v>1434</v>
      </c>
      <c r="G4" s="90">
        <v>2024</v>
      </c>
      <c r="H4" s="101">
        <v>45392</v>
      </c>
      <c r="I4" s="101">
        <v>45399</v>
      </c>
      <c r="J4" s="94" t="s">
        <v>1440</v>
      </c>
      <c r="K4" s="100">
        <v>45407</v>
      </c>
      <c r="L4" s="69" t="s">
        <v>78</v>
      </c>
      <c r="M4" s="69"/>
      <c r="N4" s="69"/>
      <c r="O4" s="69" t="s">
        <v>1436</v>
      </c>
      <c r="P4" s="78"/>
      <c r="Q4" s="96"/>
      <c r="R4" s="97"/>
      <c r="S4" s="98"/>
    </row>
    <row r="5" spans="1:19" ht="42.75">
      <c r="A5" s="90" t="s">
        <v>47</v>
      </c>
      <c r="B5" s="91" t="s">
        <v>1432</v>
      </c>
      <c r="C5" s="91" t="s">
        <v>1441</v>
      </c>
      <c r="D5" s="90">
        <v>363</v>
      </c>
      <c r="E5" s="90">
        <v>324</v>
      </c>
      <c r="F5" s="90" t="s">
        <v>1434</v>
      </c>
      <c r="G5" s="90">
        <v>2024</v>
      </c>
      <c r="H5" s="101">
        <v>45405</v>
      </c>
      <c r="I5" s="101">
        <v>45405</v>
      </c>
      <c r="J5" s="94" t="s">
        <v>1442</v>
      </c>
      <c r="K5" s="100">
        <v>45407</v>
      </c>
      <c r="L5" s="69" t="s">
        <v>78</v>
      </c>
      <c r="M5" s="69"/>
      <c r="N5" s="69"/>
      <c r="O5" s="69" t="s">
        <v>1436</v>
      </c>
      <c r="P5" s="78"/>
      <c r="Q5" s="96"/>
      <c r="R5" s="97"/>
      <c r="S5" s="98"/>
    </row>
    <row r="6" spans="1:19" ht="42.75">
      <c r="A6" s="90" t="s">
        <v>47</v>
      </c>
      <c r="B6" s="91" t="s">
        <v>1432</v>
      </c>
      <c r="C6" s="102" t="s">
        <v>1443</v>
      </c>
      <c r="D6" s="90">
        <v>1718</v>
      </c>
      <c r="E6" s="90">
        <v>1647</v>
      </c>
      <c r="F6" s="90" t="s">
        <v>1434</v>
      </c>
      <c r="G6" s="90">
        <v>2024</v>
      </c>
      <c r="H6" s="92">
        <v>45482</v>
      </c>
      <c r="I6" s="92">
        <v>45488</v>
      </c>
      <c r="J6" s="94" t="s">
        <v>1444</v>
      </c>
      <c r="K6" s="100">
        <v>45490</v>
      </c>
      <c r="L6" s="69" t="s">
        <v>80</v>
      </c>
      <c r="M6" s="69" t="s">
        <v>4</v>
      </c>
      <c r="N6" s="69" t="s">
        <v>101</v>
      </c>
      <c r="O6" s="69" t="s">
        <v>1436</v>
      </c>
      <c r="P6" s="78"/>
      <c r="Q6" s="96">
        <v>45491</v>
      </c>
      <c r="R6" s="97"/>
      <c r="S6" s="98"/>
    </row>
    <row r="7" spans="1:19" ht="42.75">
      <c r="A7" s="90" t="s">
        <v>47</v>
      </c>
      <c r="B7" s="91" t="s">
        <v>1432</v>
      </c>
      <c r="C7" s="102" t="s">
        <v>702</v>
      </c>
      <c r="D7" s="90">
        <v>5310</v>
      </c>
      <c r="E7" s="90">
        <v>5985</v>
      </c>
      <c r="F7" s="90" t="s">
        <v>1434</v>
      </c>
      <c r="G7" s="90">
        <v>2024</v>
      </c>
      <c r="H7" s="92">
        <v>45478</v>
      </c>
      <c r="I7" s="92">
        <v>45481</v>
      </c>
      <c r="J7" s="94" t="s">
        <v>1445</v>
      </c>
      <c r="K7" s="100">
        <v>45488</v>
      </c>
      <c r="L7" s="69" t="s">
        <v>80</v>
      </c>
      <c r="M7" s="69" t="s">
        <v>4</v>
      </c>
      <c r="N7" s="69" t="s">
        <v>101</v>
      </c>
      <c r="O7" s="69" t="s">
        <v>1436</v>
      </c>
      <c r="P7" s="78"/>
      <c r="Q7" s="96">
        <v>45489</v>
      </c>
      <c r="R7" s="97"/>
      <c r="S7" s="98"/>
    </row>
    <row r="8" spans="1:19" ht="42.75">
      <c r="A8" s="90" t="s">
        <v>47</v>
      </c>
      <c r="B8" s="91" t="s">
        <v>1432</v>
      </c>
      <c r="C8" s="91" t="s">
        <v>1083</v>
      </c>
      <c r="D8" s="90">
        <v>3895</v>
      </c>
      <c r="E8" s="90">
        <v>5536</v>
      </c>
      <c r="F8" s="90" t="s">
        <v>1434</v>
      </c>
      <c r="G8" s="90">
        <v>2024</v>
      </c>
      <c r="H8" s="92">
        <v>45420</v>
      </c>
      <c r="I8" s="99">
        <v>45425</v>
      </c>
      <c r="J8" s="94" t="s">
        <v>1446</v>
      </c>
      <c r="K8" s="100">
        <v>45427</v>
      </c>
      <c r="L8" s="69" t="s">
        <v>78</v>
      </c>
      <c r="M8" s="69"/>
      <c r="N8" s="69"/>
      <c r="O8" s="69" t="s">
        <v>1436</v>
      </c>
      <c r="P8" s="78"/>
      <c r="Q8" s="96"/>
      <c r="R8" s="97"/>
      <c r="S8" s="98"/>
    </row>
    <row r="9" spans="1:19" ht="42.75">
      <c r="A9" s="90" t="s">
        <v>47</v>
      </c>
      <c r="B9" s="91" t="s">
        <v>1432</v>
      </c>
      <c r="C9" s="102" t="s">
        <v>1447</v>
      </c>
      <c r="D9" s="90">
        <v>1215</v>
      </c>
      <c r="E9" s="90">
        <v>1392</v>
      </c>
      <c r="F9" s="90" t="s">
        <v>1434</v>
      </c>
      <c r="G9" s="90">
        <v>2024</v>
      </c>
      <c r="H9" s="92">
        <v>45478</v>
      </c>
      <c r="I9" s="92">
        <v>45481</v>
      </c>
      <c r="J9" s="94" t="s">
        <v>1448</v>
      </c>
      <c r="K9" s="100">
        <v>45488</v>
      </c>
      <c r="L9" s="69" t="s">
        <v>80</v>
      </c>
      <c r="M9" s="69" t="s">
        <v>4</v>
      </c>
      <c r="N9" s="69" t="s">
        <v>101</v>
      </c>
      <c r="O9" s="69" t="s">
        <v>1436</v>
      </c>
      <c r="P9" s="78"/>
      <c r="Q9" s="96">
        <v>45489</v>
      </c>
      <c r="R9" s="97"/>
      <c r="S9" s="98"/>
    </row>
    <row r="10" spans="1:19" ht="42.75">
      <c r="A10" s="90" t="s">
        <v>47</v>
      </c>
      <c r="B10" s="91" t="s">
        <v>1432</v>
      </c>
      <c r="C10" s="102" t="s">
        <v>579</v>
      </c>
      <c r="D10" s="90">
        <v>5913</v>
      </c>
      <c r="E10" s="90">
        <v>6563</v>
      </c>
      <c r="F10" s="90" t="s">
        <v>1434</v>
      </c>
      <c r="G10" s="90">
        <v>2024</v>
      </c>
      <c r="H10" s="92">
        <v>45488</v>
      </c>
      <c r="I10" s="92">
        <v>45475</v>
      </c>
      <c r="J10" s="94" t="s">
        <v>1449</v>
      </c>
      <c r="K10" s="100">
        <v>45489</v>
      </c>
      <c r="L10" s="69" t="s">
        <v>80</v>
      </c>
      <c r="M10" s="69" t="s">
        <v>4</v>
      </c>
      <c r="N10" s="69" t="s">
        <v>101</v>
      </c>
      <c r="O10" s="69" t="s">
        <v>1436</v>
      </c>
      <c r="P10" s="78"/>
      <c r="Q10" s="96">
        <v>45490</v>
      </c>
      <c r="R10" s="97"/>
      <c r="S10" s="98"/>
    </row>
    <row r="11" spans="1:19" ht="42.75">
      <c r="A11" s="90" t="s">
        <v>47</v>
      </c>
      <c r="B11" s="91" t="s">
        <v>1432</v>
      </c>
      <c r="C11" s="91" t="s">
        <v>1450</v>
      </c>
      <c r="D11" s="90">
        <v>4580</v>
      </c>
      <c r="E11" s="90">
        <v>5158</v>
      </c>
      <c r="F11" s="90" t="s">
        <v>1434</v>
      </c>
      <c r="G11" s="90">
        <v>2024</v>
      </c>
      <c r="H11" s="92">
        <v>45328</v>
      </c>
      <c r="I11" s="93"/>
      <c r="J11" s="94" t="s">
        <v>1451</v>
      </c>
      <c r="K11" s="95"/>
      <c r="L11" s="69" t="s">
        <v>75</v>
      </c>
      <c r="M11" s="69"/>
      <c r="N11" s="69"/>
      <c r="O11" s="69" t="s">
        <v>1436</v>
      </c>
      <c r="P11" s="78"/>
      <c r="Q11" s="96"/>
      <c r="R11" s="97"/>
      <c r="S11" s="98"/>
    </row>
    <row r="12" spans="1:19" ht="42.75">
      <c r="A12" s="90" t="s">
        <v>47</v>
      </c>
      <c r="B12" s="91" t="s">
        <v>1432</v>
      </c>
      <c r="C12" s="91" t="s">
        <v>794</v>
      </c>
      <c r="D12" s="90">
        <v>4833</v>
      </c>
      <c r="E12" s="90">
        <v>4423</v>
      </c>
      <c r="F12" s="90" t="s">
        <v>1434</v>
      </c>
      <c r="G12" s="90">
        <v>2024</v>
      </c>
      <c r="H12" s="101">
        <v>45420</v>
      </c>
      <c r="I12" s="101">
        <v>45425</v>
      </c>
      <c r="J12" s="94" t="s">
        <v>1452</v>
      </c>
      <c r="K12" s="100">
        <v>45427</v>
      </c>
      <c r="L12" s="69" t="s">
        <v>78</v>
      </c>
      <c r="M12" s="69"/>
      <c r="N12" s="69"/>
      <c r="O12" s="69" t="s">
        <v>1436</v>
      </c>
      <c r="P12" s="78"/>
      <c r="Q12" s="96"/>
      <c r="R12" s="97"/>
      <c r="S12" s="98"/>
    </row>
    <row r="13" spans="1:19" ht="42.75">
      <c r="A13" s="90" t="s">
        <v>47</v>
      </c>
      <c r="B13" s="91" t="s">
        <v>1432</v>
      </c>
      <c r="C13" s="91" t="s">
        <v>1453</v>
      </c>
      <c r="D13" s="90">
        <v>6341</v>
      </c>
      <c r="E13" s="90">
        <v>6573</v>
      </c>
      <c r="F13" s="90" t="s">
        <v>1454</v>
      </c>
      <c r="G13" s="90">
        <v>2025</v>
      </c>
      <c r="H13" s="92"/>
      <c r="I13" s="93"/>
      <c r="J13" s="93"/>
      <c r="K13" s="95"/>
      <c r="L13" s="69" t="s">
        <v>74</v>
      </c>
      <c r="M13" s="69"/>
      <c r="N13" s="69"/>
      <c r="O13" s="69"/>
      <c r="P13" s="78"/>
      <c r="Q13" s="96"/>
      <c r="R13" s="97"/>
      <c r="S13" s="98"/>
    </row>
    <row r="14" spans="1:19" ht="42.75">
      <c r="A14" s="90" t="s">
        <v>47</v>
      </c>
      <c r="B14" s="91" t="s">
        <v>1432</v>
      </c>
      <c r="C14" s="102" t="s">
        <v>735</v>
      </c>
      <c r="D14" s="90">
        <v>4138</v>
      </c>
      <c r="E14" s="90">
        <v>4949</v>
      </c>
      <c r="F14" s="90" t="s">
        <v>1434</v>
      </c>
      <c r="G14" s="90">
        <v>2024</v>
      </c>
      <c r="H14" s="92">
        <v>45482</v>
      </c>
      <c r="I14" s="92">
        <v>45488</v>
      </c>
      <c r="J14" s="94" t="s">
        <v>1455</v>
      </c>
      <c r="K14" s="100">
        <v>45490</v>
      </c>
      <c r="L14" s="69" t="s">
        <v>80</v>
      </c>
      <c r="M14" s="69" t="s">
        <v>4</v>
      </c>
      <c r="N14" s="69" t="s">
        <v>101</v>
      </c>
      <c r="O14" s="69" t="s">
        <v>1436</v>
      </c>
      <c r="P14" s="78"/>
      <c r="Q14" s="96">
        <v>45493</v>
      </c>
      <c r="R14" s="97"/>
      <c r="S14" s="98"/>
    </row>
    <row r="15" spans="1:19" ht="42.75">
      <c r="A15" s="90" t="s">
        <v>47</v>
      </c>
      <c r="B15" s="91" t="s">
        <v>334</v>
      </c>
      <c r="C15" s="91" t="s">
        <v>1456</v>
      </c>
      <c r="D15" s="90">
        <v>790</v>
      </c>
      <c r="E15" s="90">
        <v>808</v>
      </c>
      <c r="F15" s="90" t="s">
        <v>1434</v>
      </c>
      <c r="G15" s="90">
        <v>2024</v>
      </c>
      <c r="H15" s="92">
        <v>45329</v>
      </c>
      <c r="I15" s="93"/>
      <c r="J15" s="94" t="s">
        <v>1457</v>
      </c>
      <c r="K15" s="95"/>
      <c r="L15" s="69" t="s">
        <v>75</v>
      </c>
      <c r="M15" s="69"/>
      <c r="N15" s="69" t="s">
        <v>101</v>
      </c>
      <c r="O15" s="69" t="s">
        <v>1436</v>
      </c>
      <c r="P15" s="78"/>
      <c r="Q15" s="96"/>
      <c r="R15" s="97"/>
      <c r="S15" s="98"/>
    </row>
    <row r="16" spans="1:19" ht="42.75">
      <c r="A16" s="90" t="s">
        <v>47</v>
      </c>
      <c r="B16" s="91" t="s">
        <v>334</v>
      </c>
      <c r="C16" s="91" t="s">
        <v>1458</v>
      </c>
      <c r="D16" s="90">
        <v>665</v>
      </c>
      <c r="E16" s="90">
        <v>655</v>
      </c>
      <c r="F16" s="90" t="s">
        <v>1434</v>
      </c>
      <c r="G16" s="90">
        <v>2024</v>
      </c>
      <c r="H16" s="92">
        <v>45329</v>
      </c>
      <c r="I16" s="93"/>
      <c r="J16" s="94" t="s">
        <v>1459</v>
      </c>
      <c r="K16" s="95"/>
      <c r="L16" s="69" t="s">
        <v>75</v>
      </c>
      <c r="M16" s="69"/>
      <c r="N16" s="69" t="s">
        <v>101</v>
      </c>
      <c r="O16" s="69" t="s">
        <v>1436</v>
      </c>
      <c r="P16" s="78"/>
      <c r="Q16" s="96"/>
      <c r="R16" s="97"/>
      <c r="S16" s="98"/>
    </row>
    <row r="17" spans="1:19" ht="42.75">
      <c r="A17" s="90" t="s">
        <v>47</v>
      </c>
      <c r="B17" s="91" t="s">
        <v>334</v>
      </c>
      <c r="C17" s="91" t="s">
        <v>1460</v>
      </c>
      <c r="D17" s="90">
        <v>235</v>
      </c>
      <c r="E17" s="90">
        <v>239</v>
      </c>
      <c r="F17" s="90" t="s">
        <v>1434</v>
      </c>
      <c r="G17" s="90">
        <v>2024</v>
      </c>
      <c r="H17" s="92">
        <v>45338</v>
      </c>
      <c r="I17" s="93"/>
      <c r="J17" s="94" t="s">
        <v>1461</v>
      </c>
      <c r="K17" s="95"/>
      <c r="L17" s="69" t="s">
        <v>75</v>
      </c>
      <c r="M17" s="69"/>
      <c r="N17" s="69" t="s">
        <v>101</v>
      </c>
      <c r="O17" s="69" t="s">
        <v>1436</v>
      </c>
      <c r="P17" s="78"/>
      <c r="Q17" s="96"/>
      <c r="R17" s="97"/>
      <c r="S17" s="98"/>
    </row>
    <row r="18" spans="1:19" ht="42.75">
      <c r="A18" s="90" t="s">
        <v>47</v>
      </c>
      <c r="B18" s="91" t="s">
        <v>334</v>
      </c>
      <c r="C18" s="91" t="s">
        <v>1462</v>
      </c>
      <c r="D18" s="90">
        <v>307</v>
      </c>
      <c r="E18" s="90">
        <v>313</v>
      </c>
      <c r="F18" s="90" t="s">
        <v>1434</v>
      </c>
      <c r="G18" s="90">
        <v>2024</v>
      </c>
      <c r="H18" s="92">
        <v>45338</v>
      </c>
      <c r="I18" s="93"/>
      <c r="J18" s="94" t="s">
        <v>1463</v>
      </c>
      <c r="K18" s="95"/>
      <c r="L18" s="69" t="s">
        <v>75</v>
      </c>
      <c r="M18" s="69"/>
      <c r="N18" s="69" t="s">
        <v>101</v>
      </c>
      <c r="O18" s="69" t="s">
        <v>1436</v>
      </c>
      <c r="P18" s="78"/>
      <c r="Q18" s="96"/>
      <c r="R18" s="97"/>
      <c r="S18" s="98"/>
    </row>
    <row r="19" spans="1:19" ht="42.75">
      <c r="A19" s="90" t="s">
        <v>47</v>
      </c>
      <c r="B19" s="91" t="s">
        <v>334</v>
      </c>
      <c r="C19" s="91" t="s">
        <v>1464</v>
      </c>
      <c r="D19" s="90">
        <v>439</v>
      </c>
      <c r="E19" s="90">
        <v>438</v>
      </c>
      <c r="F19" s="90" t="s">
        <v>1434</v>
      </c>
      <c r="G19" s="90">
        <v>2024</v>
      </c>
      <c r="H19" s="101">
        <v>45414</v>
      </c>
      <c r="I19" s="101">
        <v>45419</v>
      </c>
      <c r="J19" s="94" t="s">
        <v>1465</v>
      </c>
      <c r="K19" s="100">
        <v>45427</v>
      </c>
      <c r="L19" s="69" t="s">
        <v>78</v>
      </c>
      <c r="M19" s="69"/>
      <c r="N19" s="69" t="s">
        <v>101</v>
      </c>
      <c r="O19" s="69" t="s">
        <v>1436</v>
      </c>
      <c r="P19" s="78"/>
      <c r="Q19" s="96"/>
      <c r="R19" s="97"/>
      <c r="S19" s="98"/>
    </row>
    <row r="20" spans="1:19" ht="42.75">
      <c r="A20" s="90" t="s">
        <v>47</v>
      </c>
      <c r="B20" s="91" t="s">
        <v>334</v>
      </c>
      <c r="C20" s="91" t="s">
        <v>1466</v>
      </c>
      <c r="D20" s="90">
        <v>325</v>
      </c>
      <c r="E20" s="90">
        <v>254</v>
      </c>
      <c r="F20" s="90" t="s">
        <v>1434</v>
      </c>
      <c r="G20" s="90">
        <v>2024</v>
      </c>
      <c r="H20" s="101">
        <v>45414</v>
      </c>
      <c r="I20" s="101">
        <v>45419</v>
      </c>
      <c r="J20" s="94" t="s">
        <v>1467</v>
      </c>
      <c r="K20" s="100">
        <v>45427</v>
      </c>
      <c r="L20" s="69" t="s">
        <v>78</v>
      </c>
      <c r="M20" s="69"/>
      <c r="N20" s="69" t="s">
        <v>101</v>
      </c>
      <c r="O20" s="69" t="s">
        <v>1436</v>
      </c>
      <c r="P20" s="78"/>
      <c r="Q20" s="96"/>
      <c r="R20" s="97"/>
      <c r="S20" s="98"/>
    </row>
    <row r="21" spans="1:19" ht="42.75">
      <c r="A21" s="90" t="s">
        <v>47</v>
      </c>
      <c r="B21" s="91" t="s">
        <v>334</v>
      </c>
      <c r="C21" s="91" t="s">
        <v>1468</v>
      </c>
      <c r="D21" s="90">
        <v>288</v>
      </c>
      <c r="E21" s="90">
        <v>438</v>
      </c>
      <c r="F21" s="90" t="s">
        <v>1434</v>
      </c>
      <c r="G21" s="90">
        <v>2024</v>
      </c>
      <c r="H21" s="101">
        <v>45415</v>
      </c>
      <c r="I21" s="101">
        <v>45419</v>
      </c>
      <c r="J21" s="94" t="s">
        <v>1469</v>
      </c>
      <c r="K21" s="100">
        <v>45420</v>
      </c>
      <c r="L21" s="69" t="s">
        <v>78</v>
      </c>
      <c r="M21" s="69"/>
      <c r="N21" s="69" t="s">
        <v>101</v>
      </c>
      <c r="O21" s="69" t="s">
        <v>1436</v>
      </c>
      <c r="P21" s="78"/>
      <c r="Q21" s="96"/>
      <c r="R21" s="97"/>
      <c r="S21" s="98"/>
    </row>
    <row r="22" spans="1:19" ht="42.75">
      <c r="A22" s="90" t="s">
        <v>47</v>
      </c>
      <c r="B22" s="91" t="s">
        <v>334</v>
      </c>
      <c r="C22" s="91" t="s">
        <v>1470</v>
      </c>
      <c r="D22" s="90">
        <v>612</v>
      </c>
      <c r="E22" s="90">
        <v>600</v>
      </c>
      <c r="F22" s="90" t="s">
        <v>1434</v>
      </c>
      <c r="G22" s="90">
        <v>2024</v>
      </c>
      <c r="H22" s="101">
        <v>45415</v>
      </c>
      <c r="I22" s="92">
        <v>45364</v>
      </c>
      <c r="J22" s="94" t="s">
        <v>1471</v>
      </c>
      <c r="K22" s="100">
        <v>45427</v>
      </c>
      <c r="L22" s="69" t="s">
        <v>78</v>
      </c>
      <c r="M22" s="69"/>
      <c r="N22" s="69" t="s">
        <v>101</v>
      </c>
      <c r="O22" s="69" t="s">
        <v>1436</v>
      </c>
      <c r="P22" s="78"/>
      <c r="Q22" s="96"/>
      <c r="R22" s="97"/>
      <c r="S22" s="98"/>
    </row>
    <row r="23" spans="1:19" ht="42.75">
      <c r="A23" s="90" t="s">
        <v>47</v>
      </c>
      <c r="B23" s="91" t="s">
        <v>334</v>
      </c>
      <c r="C23" s="91" t="s">
        <v>1472</v>
      </c>
      <c r="D23" s="90">
        <v>652</v>
      </c>
      <c r="E23" s="90">
        <v>736</v>
      </c>
      <c r="F23" s="90" t="s">
        <v>1434</v>
      </c>
      <c r="G23" s="90">
        <v>2024</v>
      </c>
      <c r="H23" s="92">
        <v>45363</v>
      </c>
      <c r="I23" s="93"/>
      <c r="J23" s="94" t="s">
        <v>1473</v>
      </c>
      <c r="K23" s="95"/>
      <c r="L23" s="69" t="s">
        <v>76</v>
      </c>
      <c r="M23" s="69"/>
      <c r="N23" s="69" t="s">
        <v>101</v>
      </c>
      <c r="O23" s="69" t="s">
        <v>1436</v>
      </c>
      <c r="P23" s="78"/>
      <c r="Q23" s="96"/>
      <c r="R23" s="97"/>
      <c r="S23" s="98"/>
    </row>
    <row r="24" spans="1:19" ht="42.75">
      <c r="A24" s="90" t="s">
        <v>47</v>
      </c>
      <c r="B24" s="91" t="s">
        <v>334</v>
      </c>
      <c r="C24" s="91" t="s">
        <v>1474</v>
      </c>
      <c r="D24" s="90">
        <v>1104</v>
      </c>
      <c r="E24" s="90">
        <v>1150</v>
      </c>
      <c r="F24" s="90" t="s">
        <v>1434</v>
      </c>
      <c r="G24" s="90">
        <v>2024</v>
      </c>
      <c r="H24" s="101">
        <v>45448</v>
      </c>
      <c r="I24" s="101">
        <v>45452</v>
      </c>
      <c r="J24" s="94" t="s">
        <v>1475</v>
      </c>
      <c r="K24" s="100">
        <v>45461</v>
      </c>
      <c r="L24" s="69" t="s">
        <v>79</v>
      </c>
      <c r="M24" s="69"/>
      <c r="N24" s="69" t="s">
        <v>101</v>
      </c>
      <c r="O24" s="69" t="s">
        <v>1436</v>
      </c>
      <c r="P24" s="78"/>
      <c r="Q24" s="96">
        <v>45462</v>
      </c>
      <c r="R24" s="97"/>
      <c r="S24" s="98"/>
    </row>
    <row r="25" spans="1:19" ht="42.75">
      <c r="A25" s="90" t="s">
        <v>47</v>
      </c>
      <c r="B25" s="91" t="s">
        <v>334</v>
      </c>
      <c r="C25" s="91" t="s">
        <v>703</v>
      </c>
      <c r="D25" s="90">
        <v>1916</v>
      </c>
      <c r="E25" s="90">
        <v>1982</v>
      </c>
      <c r="F25" s="90" t="s">
        <v>1434</v>
      </c>
      <c r="G25" s="90">
        <v>2024</v>
      </c>
      <c r="H25" s="101">
        <v>45398</v>
      </c>
      <c r="I25" s="101">
        <v>45398</v>
      </c>
      <c r="J25" s="94" t="s">
        <v>1476</v>
      </c>
      <c r="K25" s="100">
        <v>45399</v>
      </c>
      <c r="L25" s="69" t="s">
        <v>77</v>
      </c>
      <c r="M25" s="69"/>
      <c r="N25" s="69" t="s">
        <v>101</v>
      </c>
      <c r="O25" s="69" t="s">
        <v>1436</v>
      </c>
      <c r="P25" s="78"/>
      <c r="Q25" s="96"/>
      <c r="R25" s="97"/>
      <c r="S25" s="98"/>
    </row>
    <row r="26" spans="1:19" ht="42.75">
      <c r="A26" s="90" t="s">
        <v>47</v>
      </c>
      <c r="B26" s="91" t="s">
        <v>334</v>
      </c>
      <c r="C26" s="91" t="s">
        <v>1477</v>
      </c>
      <c r="D26" s="90">
        <v>776</v>
      </c>
      <c r="E26" s="90">
        <v>1074</v>
      </c>
      <c r="F26" s="90" t="s">
        <v>1434</v>
      </c>
      <c r="G26" s="90">
        <v>2024</v>
      </c>
      <c r="H26" s="101">
        <v>45454</v>
      </c>
      <c r="I26" s="101">
        <v>45460</v>
      </c>
      <c r="J26" s="94" t="s">
        <v>1478</v>
      </c>
      <c r="K26" s="100">
        <v>45463</v>
      </c>
      <c r="L26" s="69" t="s">
        <v>79</v>
      </c>
      <c r="M26" s="69"/>
      <c r="N26" s="69" t="s">
        <v>101</v>
      </c>
      <c r="O26" s="69" t="s">
        <v>1436</v>
      </c>
      <c r="P26" s="78"/>
      <c r="Q26" s="96">
        <v>45464</v>
      </c>
      <c r="R26" s="97"/>
      <c r="S26" s="98"/>
    </row>
    <row r="27" spans="1:19" ht="42.75">
      <c r="A27" s="90" t="s">
        <v>47</v>
      </c>
      <c r="B27" s="91" t="s">
        <v>334</v>
      </c>
      <c r="C27" s="91" t="s">
        <v>1479</v>
      </c>
      <c r="D27" s="90">
        <v>973</v>
      </c>
      <c r="E27" s="90">
        <v>1147</v>
      </c>
      <c r="F27" s="90" t="s">
        <v>1434</v>
      </c>
      <c r="G27" s="90">
        <v>2024</v>
      </c>
      <c r="H27" s="101">
        <v>45574</v>
      </c>
      <c r="I27" s="101">
        <v>45574</v>
      </c>
      <c r="J27" s="94" t="s">
        <v>1480</v>
      </c>
      <c r="K27" s="100">
        <v>45580</v>
      </c>
      <c r="L27" s="69" t="s">
        <v>83</v>
      </c>
      <c r="M27" s="69" t="s">
        <v>4</v>
      </c>
      <c r="N27" s="69" t="s">
        <v>101</v>
      </c>
      <c r="O27" s="69" t="s">
        <v>1436</v>
      </c>
      <c r="P27" s="78"/>
      <c r="Q27" s="96">
        <v>45580</v>
      </c>
      <c r="R27" s="97" t="s">
        <v>1481</v>
      </c>
      <c r="S27" s="98"/>
    </row>
    <row r="28" spans="1:19" ht="42.75">
      <c r="A28" s="90" t="s">
        <v>47</v>
      </c>
      <c r="B28" s="91" t="s">
        <v>334</v>
      </c>
      <c r="C28" s="91" t="s">
        <v>1482</v>
      </c>
      <c r="D28" s="90">
        <v>502</v>
      </c>
      <c r="E28" s="90">
        <v>594</v>
      </c>
      <c r="F28" s="90" t="s">
        <v>1434</v>
      </c>
      <c r="G28" s="90">
        <v>2024</v>
      </c>
      <c r="H28" s="101">
        <v>45604</v>
      </c>
      <c r="I28" s="101">
        <v>45608</v>
      </c>
      <c r="J28" s="94" t="s">
        <v>1483</v>
      </c>
      <c r="K28" s="100">
        <v>45613</v>
      </c>
      <c r="L28" s="69" t="s">
        <v>84</v>
      </c>
      <c r="M28" s="69" t="s">
        <v>4</v>
      </c>
      <c r="N28" s="69" t="s">
        <v>101</v>
      </c>
      <c r="O28" s="69" t="s">
        <v>1436</v>
      </c>
      <c r="P28" s="78"/>
      <c r="Q28" s="96">
        <v>45614</v>
      </c>
      <c r="R28" s="97" t="s">
        <v>1481</v>
      </c>
      <c r="S28" s="98"/>
    </row>
    <row r="29" spans="1:19" ht="42.75">
      <c r="A29" s="90" t="s">
        <v>47</v>
      </c>
      <c r="B29" s="91" t="s">
        <v>334</v>
      </c>
      <c r="C29" s="91" t="s">
        <v>1484</v>
      </c>
      <c r="D29" s="90">
        <v>1588</v>
      </c>
      <c r="E29" s="90">
        <v>1661</v>
      </c>
      <c r="F29" s="90" t="s">
        <v>1434</v>
      </c>
      <c r="G29" s="90">
        <v>2024</v>
      </c>
      <c r="H29" s="101">
        <v>45398</v>
      </c>
      <c r="I29" s="101">
        <v>45398</v>
      </c>
      <c r="J29" s="94" t="s">
        <v>1485</v>
      </c>
      <c r="K29" s="100">
        <v>45399</v>
      </c>
      <c r="L29" s="69" t="s">
        <v>77</v>
      </c>
      <c r="M29" s="69"/>
      <c r="N29" s="69" t="s">
        <v>101</v>
      </c>
      <c r="O29" s="69" t="s">
        <v>1436</v>
      </c>
      <c r="P29" s="78"/>
      <c r="Q29" s="96"/>
      <c r="R29" s="97"/>
      <c r="S29" s="98"/>
    </row>
    <row r="30" spans="1:19" ht="42.75">
      <c r="A30" s="90" t="s">
        <v>47</v>
      </c>
      <c r="B30" s="91" t="s">
        <v>334</v>
      </c>
      <c r="C30" s="91" t="s">
        <v>1486</v>
      </c>
      <c r="D30" s="90">
        <v>735</v>
      </c>
      <c r="E30" s="90">
        <v>964</v>
      </c>
      <c r="F30" s="90" t="s">
        <v>1434</v>
      </c>
      <c r="G30" s="90">
        <v>2024</v>
      </c>
      <c r="H30" s="101">
        <v>45581</v>
      </c>
      <c r="I30" s="101">
        <v>45581</v>
      </c>
      <c r="J30" s="94" t="s">
        <v>1487</v>
      </c>
      <c r="K30" s="100">
        <v>45584</v>
      </c>
      <c r="L30" s="69" t="s">
        <v>83</v>
      </c>
      <c r="M30" s="69" t="s">
        <v>4</v>
      </c>
      <c r="N30" s="69" t="s">
        <v>101</v>
      </c>
      <c r="O30" s="69" t="s">
        <v>1436</v>
      </c>
      <c r="P30" s="78"/>
      <c r="Q30" s="96">
        <v>45586</v>
      </c>
      <c r="R30" s="97" t="s">
        <v>1481</v>
      </c>
      <c r="S30" s="98"/>
    </row>
    <row r="31" spans="1:19" ht="42.75">
      <c r="A31" s="90" t="s">
        <v>47</v>
      </c>
      <c r="B31" s="91" t="s">
        <v>334</v>
      </c>
      <c r="C31" s="91" t="s">
        <v>1488</v>
      </c>
      <c r="D31" s="90">
        <v>1043</v>
      </c>
      <c r="E31" s="90">
        <v>1199</v>
      </c>
      <c r="F31" s="90" t="s">
        <v>1434</v>
      </c>
      <c r="G31" s="90">
        <v>2024</v>
      </c>
      <c r="H31" s="101">
        <v>45604</v>
      </c>
      <c r="I31" s="101">
        <v>45608</v>
      </c>
      <c r="J31" s="94" t="s">
        <v>1489</v>
      </c>
      <c r="K31" s="100">
        <v>45613</v>
      </c>
      <c r="L31" s="69" t="s">
        <v>84</v>
      </c>
      <c r="M31" s="69" t="s">
        <v>4</v>
      </c>
      <c r="N31" s="69" t="s">
        <v>101</v>
      </c>
      <c r="O31" s="69" t="s">
        <v>1436</v>
      </c>
      <c r="P31" s="78"/>
      <c r="Q31" s="96">
        <v>45614</v>
      </c>
      <c r="R31" s="97" t="s">
        <v>1481</v>
      </c>
      <c r="S31" s="98"/>
    </row>
    <row r="32" spans="1:19" ht="42.75">
      <c r="A32" s="90" t="s">
        <v>47</v>
      </c>
      <c r="B32" s="91" t="s">
        <v>334</v>
      </c>
      <c r="C32" s="91" t="s">
        <v>1490</v>
      </c>
      <c r="D32" s="90">
        <v>830</v>
      </c>
      <c r="E32" s="90">
        <v>862</v>
      </c>
      <c r="F32" s="90" t="s">
        <v>1434</v>
      </c>
      <c r="G32" s="90">
        <v>2024</v>
      </c>
      <c r="H32" s="101">
        <v>45581</v>
      </c>
      <c r="I32" s="101">
        <v>45581</v>
      </c>
      <c r="J32" s="94" t="s">
        <v>1491</v>
      </c>
      <c r="K32" s="100">
        <v>45584</v>
      </c>
      <c r="L32" s="69" t="s">
        <v>83</v>
      </c>
      <c r="M32" s="69" t="s">
        <v>4</v>
      </c>
      <c r="N32" s="69" t="s">
        <v>101</v>
      </c>
      <c r="O32" s="69" t="s">
        <v>1436</v>
      </c>
      <c r="P32" s="78"/>
      <c r="Q32" s="96">
        <v>45586</v>
      </c>
      <c r="R32" s="97" t="s">
        <v>1481</v>
      </c>
      <c r="S32" s="98"/>
    </row>
    <row r="33" spans="1:19" ht="42.75">
      <c r="A33" s="90" t="s">
        <v>47</v>
      </c>
      <c r="B33" s="91" t="s">
        <v>334</v>
      </c>
      <c r="C33" s="91" t="s">
        <v>1492</v>
      </c>
      <c r="D33" s="90">
        <v>3443</v>
      </c>
      <c r="E33" s="90">
        <v>3770</v>
      </c>
      <c r="F33" s="90" t="s">
        <v>1434</v>
      </c>
      <c r="G33" s="90">
        <v>2024</v>
      </c>
      <c r="H33" s="101">
        <v>45545</v>
      </c>
      <c r="I33" s="101">
        <v>45545</v>
      </c>
      <c r="J33" s="94" t="s">
        <v>1493</v>
      </c>
      <c r="K33" s="100">
        <v>45552</v>
      </c>
      <c r="L33" s="69" t="s">
        <v>82</v>
      </c>
      <c r="M33" s="69" t="s">
        <v>4</v>
      </c>
      <c r="N33" s="69" t="s">
        <v>101</v>
      </c>
      <c r="O33" s="69" t="s">
        <v>1436</v>
      </c>
      <c r="P33" s="78"/>
      <c r="Q33" s="96">
        <v>45552</v>
      </c>
      <c r="R33" s="97" t="s">
        <v>1481</v>
      </c>
      <c r="S33" s="98"/>
    </row>
    <row r="34" spans="1:19" ht="42.75">
      <c r="A34" s="90" t="s">
        <v>47</v>
      </c>
      <c r="B34" s="91" t="s">
        <v>334</v>
      </c>
      <c r="C34" s="91" t="s">
        <v>1494</v>
      </c>
      <c r="D34" s="90">
        <v>1637</v>
      </c>
      <c r="E34" s="90">
        <v>1929</v>
      </c>
      <c r="F34" s="90" t="s">
        <v>1434</v>
      </c>
      <c r="G34" s="90">
        <v>2024</v>
      </c>
      <c r="H34" s="101">
        <v>45611</v>
      </c>
      <c r="I34" s="101">
        <v>45628</v>
      </c>
      <c r="J34" s="94" t="s">
        <v>1495</v>
      </c>
      <c r="K34" s="100">
        <v>45635</v>
      </c>
      <c r="L34" s="69" t="s">
        <v>84</v>
      </c>
      <c r="M34" s="69" t="s">
        <v>4</v>
      </c>
      <c r="N34" s="69" t="s">
        <v>101</v>
      </c>
      <c r="O34" s="69" t="s">
        <v>1436</v>
      </c>
      <c r="P34" s="78"/>
      <c r="Q34" s="96">
        <v>45636</v>
      </c>
      <c r="R34" s="97" t="s">
        <v>1481</v>
      </c>
      <c r="S34" s="98"/>
    </row>
    <row r="35" spans="1:19" ht="42.75">
      <c r="A35" s="90" t="s">
        <v>47</v>
      </c>
      <c r="B35" s="91" t="s">
        <v>334</v>
      </c>
      <c r="C35" s="91" t="s">
        <v>1496</v>
      </c>
      <c r="D35" s="90">
        <v>1954</v>
      </c>
      <c r="E35" s="90">
        <v>2192</v>
      </c>
      <c r="F35" s="90" t="s">
        <v>1434</v>
      </c>
      <c r="G35" s="90">
        <v>2024</v>
      </c>
      <c r="H35" s="101">
        <v>45545</v>
      </c>
      <c r="I35" s="101">
        <v>45545</v>
      </c>
      <c r="J35" s="94" t="s">
        <v>1497</v>
      </c>
      <c r="K35" s="100">
        <v>45552</v>
      </c>
      <c r="L35" s="69" t="s">
        <v>82</v>
      </c>
      <c r="M35" s="69" t="s">
        <v>4</v>
      </c>
      <c r="N35" s="69" t="s">
        <v>101</v>
      </c>
      <c r="O35" s="69"/>
      <c r="P35" s="78"/>
      <c r="Q35" s="96">
        <v>45552</v>
      </c>
      <c r="R35" s="97" t="s">
        <v>1481</v>
      </c>
      <c r="S35" s="98"/>
    </row>
    <row r="36" spans="1:19" ht="42.75">
      <c r="A36" s="90" t="s">
        <v>47</v>
      </c>
      <c r="B36" s="91" t="s">
        <v>334</v>
      </c>
      <c r="C36" s="91" t="s">
        <v>1498</v>
      </c>
      <c r="D36" s="90">
        <v>591</v>
      </c>
      <c r="E36" s="90">
        <v>546</v>
      </c>
      <c r="F36" s="90" t="s">
        <v>1434</v>
      </c>
      <c r="G36" s="90">
        <v>2024</v>
      </c>
      <c r="H36" s="101">
        <v>45574</v>
      </c>
      <c r="I36" s="101">
        <v>45574</v>
      </c>
      <c r="J36" s="94" t="s">
        <v>1499</v>
      </c>
      <c r="K36" s="100">
        <v>45580</v>
      </c>
      <c r="L36" s="69" t="s">
        <v>83</v>
      </c>
      <c r="M36" s="69" t="s">
        <v>4</v>
      </c>
      <c r="N36" s="69" t="s">
        <v>101</v>
      </c>
      <c r="O36" s="69" t="s">
        <v>1436</v>
      </c>
      <c r="P36" s="78"/>
      <c r="Q36" s="96">
        <v>45580</v>
      </c>
      <c r="R36" s="97" t="s">
        <v>1481</v>
      </c>
      <c r="S36" s="98"/>
    </row>
    <row r="37" spans="1:19" ht="42.75">
      <c r="A37" s="90" t="s">
        <v>47</v>
      </c>
      <c r="B37" s="91" t="s">
        <v>334</v>
      </c>
      <c r="C37" s="91" t="s">
        <v>1500</v>
      </c>
      <c r="D37" s="90">
        <v>1793</v>
      </c>
      <c r="E37" s="90">
        <v>1895</v>
      </c>
      <c r="F37" s="90" t="s">
        <v>1434</v>
      </c>
      <c r="G37" s="90">
        <v>2024</v>
      </c>
      <c r="H37" s="92">
        <v>45352</v>
      </c>
      <c r="I37" s="93"/>
      <c r="J37" s="94" t="s">
        <v>1501</v>
      </c>
      <c r="K37" s="95"/>
      <c r="L37" s="69" t="s">
        <v>76</v>
      </c>
      <c r="M37" s="69"/>
      <c r="N37" s="69" t="s">
        <v>101</v>
      </c>
      <c r="O37" s="69" t="s">
        <v>1436</v>
      </c>
      <c r="P37" s="78"/>
      <c r="Q37" s="96"/>
      <c r="R37" s="97"/>
      <c r="S37" s="98"/>
    </row>
    <row r="38" spans="1:19" ht="42.75">
      <c r="A38" s="90" t="s">
        <v>47</v>
      </c>
      <c r="B38" s="91" t="s">
        <v>334</v>
      </c>
      <c r="C38" s="91" t="s">
        <v>439</v>
      </c>
      <c r="D38" s="90">
        <v>1115</v>
      </c>
      <c r="E38" s="90">
        <v>1118</v>
      </c>
      <c r="F38" s="90" t="s">
        <v>1434</v>
      </c>
      <c r="G38" s="90">
        <v>2024</v>
      </c>
      <c r="H38" s="101">
        <v>45611</v>
      </c>
      <c r="I38" s="101">
        <v>45628</v>
      </c>
      <c r="J38" s="94" t="s">
        <v>1502</v>
      </c>
      <c r="K38" s="100">
        <v>45635</v>
      </c>
      <c r="L38" s="69" t="s">
        <v>84</v>
      </c>
      <c r="M38" s="69" t="s">
        <v>4</v>
      </c>
      <c r="N38" s="69" t="s">
        <v>101</v>
      </c>
      <c r="O38" s="69" t="s">
        <v>1436</v>
      </c>
      <c r="P38" s="78"/>
      <c r="Q38" s="96">
        <v>45636</v>
      </c>
      <c r="R38" s="97" t="s">
        <v>1481</v>
      </c>
      <c r="S38" s="98"/>
    </row>
    <row r="39" spans="1:19" ht="42.75">
      <c r="A39" s="90" t="s">
        <v>47</v>
      </c>
      <c r="B39" s="91" t="s">
        <v>468</v>
      </c>
      <c r="C39" s="102" t="s">
        <v>1503</v>
      </c>
      <c r="D39" s="90">
        <v>2418</v>
      </c>
      <c r="E39" s="90">
        <v>2579</v>
      </c>
      <c r="F39" s="90" t="s">
        <v>1454</v>
      </c>
      <c r="G39" s="90"/>
      <c r="H39" s="93"/>
      <c r="I39" s="93"/>
      <c r="J39" s="93"/>
      <c r="K39" s="95"/>
      <c r="L39" s="69"/>
      <c r="M39" s="69"/>
      <c r="N39" s="69"/>
      <c r="O39" s="69"/>
      <c r="P39" s="78"/>
      <c r="Q39" s="96"/>
      <c r="R39" s="97"/>
      <c r="S39" s="98"/>
    </row>
    <row r="40" spans="1:19" ht="42.75">
      <c r="A40" s="90" t="s">
        <v>47</v>
      </c>
      <c r="B40" s="91" t="s">
        <v>468</v>
      </c>
      <c r="C40" s="91" t="s">
        <v>1504</v>
      </c>
      <c r="D40" s="90">
        <v>734</v>
      </c>
      <c r="E40" s="90">
        <v>776</v>
      </c>
      <c r="F40" s="90" t="s">
        <v>1434</v>
      </c>
      <c r="G40" s="90">
        <v>2024</v>
      </c>
      <c r="H40" s="101">
        <v>45602</v>
      </c>
      <c r="I40" s="101">
        <v>45602</v>
      </c>
      <c r="J40" s="94" t="s">
        <v>1505</v>
      </c>
      <c r="K40" s="100">
        <v>45612</v>
      </c>
      <c r="L40" s="69" t="s">
        <v>84</v>
      </c>
      <c r="M40" s="69" t="s">
        <v>4</v>
      </c>
      <c r="N40" s="69" t="s">
        <v>101</v>
      </c>
      <c r="O40" s="69" t="s">
        <v>1436</v>
      </c>
      <c r="P40" s="78"/>
      <c r="Q40" s="96">
        <v>45614</v>
      </c>
      <c r="R40" s="97" t="s">
        <v>1481</v>
      </c>
      <c r="S40" s="98"/>
    </row>
    <row r="41" spans="1:19" ht="42.75">
      <c r="A41" s="90" t="s">
        <v>47</v>
      </c>
      <c r="B41" s="91" t="s">
        <v>468</v>
      </c>
      <c r="C41" s="91" t="s">
        <v>1506</v>
      </c>
      <c r="D41" s="90">
        <v>915</v>
      </c>
      <c r="E41" s="90">
        <v>920</v>
      </c>
      <c r="F41" s="90" t="s">
        <v>1434</v>
      </c>
      <c r="G41" s="90">
        <v>2024</v>
      </c>
      <c r="H41" s="101">
        <v>45602</v>
      </c>
      <c r="I41" s="101">
        <v>45602</v>
      </c>
      <c r="J41" s="94" t="s">
        <v>1507</v>
      </c>
      <c r="K41" s="100">
        <v>45612</v>
      </c>
      <c r="L41" s="69" t="s">
        <v>84</v>
      </c>
      <c r="M41" s="69" t="s">
        <v>4</v>
      </c>
      <c r="N41" s="69" t="s">
        <v>101</v>
      </c>
      <c r="O41" s="69" t="s">
        <v>1436</v>
      </c>
      <c r="P41" s="78"/>
      <c r="Q41" s="96">
        <v>45614</v>
      </c>
      <c r="R41" s="97" t="s">
        <v>1481</v>
      </c>
      <c r="S41" s="98"/>
    </row>
    <row r="42" spans="1:19" ht="42.75">
      <c r="A42" s="90" t="s">
        <v>47</v>
      </c>
      <c r="B42" s="91" t="s">
        <v>468</v>
      </c>
      <c r="C42" s="91" t="s">
        <v>1508</v>
      </c>
      <c r="D42" s="90">
        <v>1420</v>
      </c>
      <c r="E42" s="90">
        <v>1466</v>
      </c>
      <c r="F42" s="90" t="s">
        <v>1434</v>
      </c>
      <c r="G42" s="90">
        <v>2024</v>
      </c>
      <c r="H42" s="101">
        <v>45552</v>
      </c>
      <c r="I42" s="101">
        <v>45552</v>
      </c>
      <c r="J42" s="94" t="s">
        <v>1509</v>
      </c>
      <c r="K42" s="100">
        <v>45553</v>
      </c>
      <c r="L42" s="69" t="s">
        <v>82</v>
      </c>
      <c r="M42" s="69" t="s">
        <v>4</v>
      </c>
      <c r="N42" s="69" t="s">
        <v>101</v>
      </c>
      <c r="O42" s="69"/>
      <c r="P42" s="78"/>
      <c r="Q42" s="96">
        <v>45553</v>
      </c>
      <c r="R42" s="97" t="s">
        <v>1481</v>
      </c>
      <c r="S42" s="98"/>
    </row>
    <row r="43" spans="1:19" ht="42.75">
      <c r="A43" s="90" t="s">
        <v>47</v>
      </c>
      <c r="B43" s="91" t="s">
        <v>468</v>
      </c>
      <c r="C43" s="91" t="s">
        <v>1510</v>
      </c>
      <c r="D43" s="90">
        <v>2485</v>
      </c>
      <c r="E43" s="90">
        <v>2726</v>
      </c>
      <c r="F43" s="90" t="s">
        <v>1434</v>
      </c>
      <c r="G43" s="90">
        <v>2024</v>
      </c>
      <c r="H43" s="101">
        <v>45601</v>
      </c>
      <c r="I43" s="101">
        <v>45601</v>
      </c>
      <c r="J43" s="94" t="s">
        <v>1511</v>
      </c>
      <c r="K43" s="100">
        <v>45612</v>
      </c>
      <c r="L43" s="69" t="s">
        <v>84</v>
      </c>
      <c r="M43" s="69" t="s">
        <v>4</v>
      </c>
      <c r="N43" s="69" t="s">
        <v>101</v>
      </c>
      <c r="O43" s="69" t="s">
        <v>1436</v>
      </c>
      <c r="P43" s="78"/>
      <c r="Q43" s="96">
        <v>45614</v>
      </c>
      <c r="R43" s="97" t="s">
        <v>1481</v>
      </c>
      <c r="S43" s="98"/>
    </row>
    <row r="44" spans="1:19" ht="42.75">
      <c r="A44" s="90" t="s">
        <v>47</v>
      </c>
      <c r="B44" s="91" t="s">
        <v>468</v>
      </c>
      <c r="C44" s="102" t="s">
        <v>1512</v>
      </c>
      <c r="D44" s="90">
        <v>511</v>
      </c>
      <c r="E44" s="90">
        <v>473</v>
      </c>
      <c r="F44" s="90" t="s">
        <v>1454</v>
      </c>
      <c r="G44" s="90"/>
      <c r="H44" s="93"/>
      <c r="I44" s="93"/>
      <c r="J44" s="93"/>
      <c r="K44" s="95"/>
      <c r="L44" s="69"/>
      <c r="M44" s="69"/>
      <c r="N44" s="69"/>
      <c r="O44" s="69"/>
      <c r="P44" s="78"/>
      <c r="Q44" s="96"/>
      <c r="R44" s="97"/>
      <c r="S44" s="98"/>
    </row>
    <row r="45" spans="1:19" ht="42.75">
      <c r="A45" s="90" t="s">
        <v>47</v>
      </c>
      <c r="B45" s="91" t="s">
        <v>468</v>
      </c>
      <c r="C45" s="91" t="s">
        <v>1513</v>
      </c>
      <c r="D45" s="90">
        <v>1869</v>
      </c>
      <c r="E45" s="90">
        <v>1915</v>
      </c>
      <c r="F45" s="90" t="s">
        <v>1434</v>
      </c>
      <c r="G45" s="90">
        <v>2024</v>
      </c>
      <c r="H45" s="101">
        <v>45580</v>
      </c>
      <c r="I45" s="101">
        <v>45580</v>
      </c>
      <c r="J45" s="94" t="s">
        <v>1514</v>
      </c>
      <c r="K45" s="100">
        <v>45581</v>
      </c>
      <c r="L45" s="69" t="s">
        <v>83</v>
      </c>
      <c r="M45" s="69" t="s">
        <v>4</v>
      </c>
      <c r="N45" s="69" t="s">
        <v>101</v>
      </c>
      <c r="O45" s="69" t="s">
        <v>1436</v>
      </c>
      <c r="P45" s="78"/>
      <c r="Q45" s="96">
        <v>45582</v>
      </c>
      <c r="R45" s="97" t="s">
        <v>1481</v>
      </c>
      <c r="S45" s="98"/>
    </row>
    <row r="46" spans="1:19" ht="42.75">
      <c r="A46" s="90" t="s">
        <v>47</v>
      </c>
      <c r="B46" s="91" t="s">
        <v>468</v>
      </c>
      <c r="C46" s="91" t="s">
        <v>1515</v>
      </c>
      <c r="D46" s="90">
        <v>1742</v>
      </c>
      <c r="E46" s="90">
        <v>1841</v>
      </c>
      <c r="F46" s="90" t="s">
        <v>1434</v>
      </c>
      <c r="G46" s="90">
        <v>2024</v>
      </c>
      <c r="H46" s="101">
        <v>45552</v>
      </c>
      <c r="I46" s="101">
        <v>45552</v>
      </c>
      <c r="J46" s="94" t="s">
        <v>1516</v>
      </c>
      <c r="K46" s="100">
        <v>45553</v>
      </c>
      <c r="L46" s="69" t="s">
        <v>82</v>
      </c>
      <c r="M46" s="69" t="s">
        <v>4</v>
      </c>
      <c r="N46" s="69" t="s">
        <v>101</v>
      </c>
      <c r="O46" s="69" t="s">
        <v>1436</v>
      </c>
      <c r="P46" s="78"/>
      <c r="Q46" s="96">
        <v>45553</v>
      </c>
      <c r="R46" s="97" t="s">
        <v>1481</v>
      </c>
      <c r="S46" s="98"/>
    </row>
    <row r="47" spans="1:19" ht="42.75">
      <c r="A47" s="90" t="s">
        <v>47</v>
      </c>
      <c r="B47" s="91" t="s">
        <v>468</v>
      </c>
      <c r="C47" s="91" t="s">
        <v>1517</v>
      </c>
      <c r="D47" s="90">
        <v>1841</v>
      </c>
      <c r="E47" s="90">
        <v>2280</v>
      </c>
      <c r="F47" s="90" t="s">
        <v>1434</v>
      </c>
      <c r="G47" s="90">
        <v>2024</v>
      </c>
      <c r="H47" s="101">
        <v>45580</v>
      </c>
      <c r="I47" s="101">
        <v>45580</v>
      </c>
      <c r="J47" s="94" t="s">
        <v>1518</v>
      </c>
      <c r="K47" s="100">
        <v>45581</v>
      </c>
      <c r="L47" s="69" t="s">
        <v>83</v>
      </c>
      <c r="M47" s="69" t="s">
        <v>4</v>
      </c>
      <c r="N47" s="69" t="s">
        <v>101</v>
      </c>
      <c r="O47" s="69" t="s">
        <v>1436</v>
      </c>
      <c r="P47" s="78"/>
      <c r="Q47" s="96">
        <v>45582</v>
      </c>
      <c r="R47" s="97" t="s">
        <v>1481</v>
      </c>
      <c r="S47" s="98"/>
    </row>
    <row r="48" spans="1:19" ht="42.75">
      <c r="A48" s="90" t="s">
        <v>47</v>
      </c>
      <c r="B48" s="91" t="s">
        <v>468</v>
      </c>
      <c r="C48" s="102" t="s">
        <v>1519</v>
      </c>
      <c r="D48" s="90">
        <v>634</v>
      </c>
      <c r="E48" s="90">
        <v>719</v>
      </c>
      <c r="F48" s="90" t="s">
        <v>1454</v>
      </c>
      <c r="G48" s="90"/>
      <c r="H48" s="93"/>
      <c r="I48" s="93"/>
      <c r="J48" s="93"/>
      <c r="K48" s="95"/>
      <c r="L48" s="69"/>
      <c r="M48" s="69"/>
      <c r="N48" s="69"/>
      <c r="O48" s="69"/>
      <c r="P48" s="78"/>
      <c r="Q48" s="96"/>
      <c r="R48" s="97"/>
      <c r="S48" s="98"/>
    </row>
    <row r="49" spans="1:19" ht="42.75">
      <c r="A49" s="90" t="s">
        <v>47</v>
      </c>
      <c r="B49" s="91" t="s">
        <v>468</v>
      </c>
      <c r="C49" s="91" t="s">
        <v>1482</v>
      </c>
      <c r="D49" s="90">
        <v>1266</v>
      </c>
      <c r="E49" s="90">
        <v>1407</v>
      </c>
      <c r="F49" s="90" t="s">
        <v>1434</v>
      </c>
      <c r="G49" s="90">
        <v>2024</v>
      </c>
      <c r="H49" s="101">
        <v>45610</v>
      </c>
      <c r="I49" s="101">
        <v>45610</v>
      </c>
      <c r="J49" s="94" t="s">
        <v>1520</v>
      </c>
      <c r="K49" s="100">
        <v>45616</v>
      </c>
      <c r="L49" s="69" t="s">
        <v>84</v>
      </c>
      <c r="M49" s="69" t="s">
        <v>4</v>
      </c>
      <c r="N49" s="69" t="s">
        <v>101</v>
      </c>
      <c r="O49" s="69" t="s">
        <v>1436</v>
      </c>
      <c r="P49" s="78"/>
      <c r="Q49" s="96">
        <v>45616</v>
      </c>
      <c r="R49" s="97" t="s">
        <v>1481</v>
      </c>
      <c r="S49" s="98"/>
    </row>
    <row r="50" spans="1:19" ht="42.75">
      <c r="A50" s="90" t="s">
        <v>47</v>
      </c>
      <c r="B50" s="91" t="s">
        <v>470</v>
      </c>
      <c r="C50" s="91" t="s">
        <v>1521</v>
      </c>
      <c r="D50" s="90">
        <v>1236</v>
      </c>
      <c r="E50" s="90">
        <v>1293</v>
      </c>
      <c r="F50" s="90" t="s">
        <v>1434</v>
      </c>
      <c r="G50" s="90">
        <v>2024</v>
      </c>
      <c r="H50" s="101">
        <v>45546</v>
      </c>
      <c r="I50" s="101">
        <v>45546</v>
      </c>
      <c r="J50" s="94" t="s">
        <v>1522</v>
      </c>
      <c r="K50" s="100">
        <v>45552</v>
      </c>
      <c r="L50" s="69" t="s">
        <v>82</v>
      </c>
      <c r="M50" s="69"/>
      <c r="N50" s="69" t="s">
        <v>101</v>
      </c>
      <c r="O50" s="69" t="s">
        <v>1436</v>
      </c>
      <c r="P50" s="78"/>
      <c r="Q50" s="96">
        <v>45552</v>
      </c>
      <c r="R50" s="97" t="s">
        <v>1481</v>
      </c>
      <c r="S50" s="98"/>
    </row>
    <row r="51" spans="1:19" ht="42.75">
      <c r="A51" s="90" t="s">
        <v>47</v>
      </c>
      <c r="B51" s="91" t="s">
        <v>470</v>
      </c>
      <c r="C51" s="91" t="s">
        <v>1523</v>
      </c>
      <c r="D51" s="90">
        <v>1881</v>
      </c>
      <c r="E51" s="90">
        <v>1553</v>
      </c>
      <c r="F51" s="90" t="s">
        <v>1434</v>
      </c>
      <c r="G51" s="90">
        <v>2024</v>
      </c>
      <c r="H51" s="92">
        <v>45357</v>
      </c>
      <c r="I51" s="93"/>
      <c r="J51" s="94" t="s">
        <v>1524</v>
      </c>
      <c r="K51" s="95"/>
      <c r="L51" s="69" t="s">
        <v>76</v>
      </c>
      <c r="M51" s="69"/>
      <c r="N51" s="69"/>
      <c r="O51" s="69" t="s">
        <v>1436</v>
      </c>
      <c r="P51" s="78"/>
      <c r="Q51" s="96"/>
      <c r="R51" s="97"/>
      <c r="S51" s="98"/>
    </row>
    <row r="52" spans="1:19" ht="42.75">
      <c r="A52" s="90" t="s">
        <v>47</v>
      </c>
      <c r="B52" s="91" t="s">
        <v>470</v>
      </c>
      <c r="C52" s="91" t="s">
        <v>1525</v>
      </c>
      <c r="D52" s="90">
        <v>1666</v>
      </c>
      <c r="E52" s="90">
        <v>1848</v>
      </c>
      <c r="F52" s="90" t="s">
        <v>1434</v>
      </c>
      <c r="G52" s="90">
        <v>2024</v>
      </c>
      <c r="H52" s="92">
        <v>45357</v>
      </c>
      <c r="I52" s="93"/>
      <c r="J52" s="94" t="s">
        <v>1526</v>
      </c>
      <c r="K52" s="95"/>
      <c r="L52" s="69" t="s">
        <v>76</v>
      </c>
      <c r="M52" s="69"/>
      <c r="N52" s="69"/>
      <c r="O52" s="69" t="s">
        <v>1436</v>
      </c>
      <c r="P52" s="78"/>
      <c r="Q52" s="96"/>
      <c r="R52" s="97"/>
      <c r="S52" s="98"/>
    </row>
    <row r="53" spans="1:19" ht="42.75">
      <c r="A53" s="90" t="s">
        <v>47</v>
      </c>
      <c r="B53" s="91" t="s">
        <v>470</v>
      </c>
      <c r="C53" s="91" t="s">
        <v>1527</v>
      </c>
      <c r="D53" s="90">
        <v>905</v>
      </c>
      <c r="E53" s="90">
        <v>1355</v>
      </c>
      <c r="F53" s="90" t="s">
        <v>1434</v>
      </c>
      <c r="G53" s="90">
        <v>2024</v>
      </c>
      <c r="H53" s="101">
        <v>45575</v>
      </c>
      <c r="I53" s="101">
        <v>45575</v>
      </c>
      <c r="J53" s="94" t="s">
        <v>1528</v>
      </c>
      <c r="K53" s="100">
        <v>45580</v>
      </c>
      <c r="L53" s="69" t="s">
        <v>83</v>
      </c>
      <c r="M53" s="69" t="s">
        <v>4</v>
      </c>
      <c r="N53" s="69" t="s">
        <v>101</v>
      </c>
      <c r="O53" s="69" t="s">
        <v>1436</v>
      </c>
      <c r="P53" s="78"/>
      <c r="Q53" s="96">
        <v>45580</v>
      </c>
      <c r="R53" s="97" t="s">
        <v>1481</v>
      </c>
      <c r="S53" s="98"/>
    </row>
    <row r="54" spans="1:19" ht="42.75">
      <c r="A54" s="90" t="s">
        <v>47</v>
      </c>
      <c r="B54" s="91" t="s">
        <v>470</v>
      </c>
      <c r="C54" s="91" t="s">
        <v>1038</v>
      </c>
      <c r="D54" s="90">
        <v>1292</v>
      </c>
      <c r="E54" s="90">
        <v>1682</v>
      </c>
      <c r="F54" s="90" t="s">
        <v>1434</v>
      </c>
      <c r="G54" s="90">
        <v>2024</v>
      </c>
      <c r="H54" s="101">
        <v>45393</v>
      </c>
      <c r="I54" s="101">
        <v>45397</v>
      </c>
      <c r="J54" s="94" t="s">
        <v>1529</v>
      </c>
      <c r="K54" s="100">
        <v>45398</v>
      </c>
      <c r="L54" s="69" t="s">
        <v>77</v>
      </c>
      <c r="M54" s="69"/>
      <c r="N54" s="69"/>
      <c r="O54" s="69" t="s">
        <v>1436</v>
      </c>
      <c r="P54" s="78"/>
      <c r="Q54" s="96"/>
      <c r="R54" s="97"/>
      <c r="S54" s="98"/>
    </row>
    <row r="55" spans="1:19" ht="42.75">
      <c r="A55" s="90" t="s">
        <v>47</v>
      </c>
      <c r="B55" s="91" t="s">
        <v>470</v>
      </c>
      <c r="C55" s="91" t="s">
        <v>1530</v>
      </c>
      <c r="D55" s="90">
        <v>659</v>
      </c>
      <c r="E55" s="90">
        <v>777</v>
      </c>
      <c r="F55" s="90" t="s">
        <v>1434</v>
      </c>
      <c r="G55" s="90">
        <v>2024</v>
      </c>
      <c r="H55" s="101">
        <v>45546</v>
      </c>
      <c r="I55" s="101">
        <v>45546</v>
      </c>
      <c r="J55" s="94" t="s">
        <v>1531</v>
      </c>
      <c r="K55" s="100">
        <v>45552</v>
      </c>
      <c r="L55" s="69" t="s">
        <v>82</v>
      </c>
      <c r="M55" s="69" t="s">
        <v>4</v>
      </c>
      <c r="N55" s="69" t="s">
        <v>101</v>
      </c>
      <c r="O55" s="69" t="s">
        <v>1436</v>
      </c>
      <c r="P55" s="78"/>
      <c r="Q55" s="96">
        <v>45552</v>
      </c>
      <c r="R55" s="97" t="s">
        <v>1481</v>
      </c>
      <c r="S55" s="98"/>
    </row>
    <row r="56" spans="1:19" ht="42.75">
      <c r="A56" s="90" t="s">
        <v>47</v>
      </c>
      <c r="B56" s="91" t="s">
        <v>470</v>
      </c>
      <c r="C56" s="91" t="s">
        <v>1532</v>
      </c>
      <c r="D56" s="90">
        <v>763</v>
      </c>
      <c r="E56" s="90">
        <v>952</v>
      </c>
      <c r="F56" s="90" t="s">
        <v>1434</v>
      </c>
      <c r="G56" s="90">
        <v>2024</v>
      </c>
      <c r="H56" s="101">
        <v>45449</v>
      </c>
      <c r="I56" s="101">
        <v>45452</v>
      </c>
      <c r="J56" s="94" t="s">
        <v>1533</v>
      </c>
      <c r="K56" s="100">
        <v>45461</v>
      </c>
      <c r="L56" s="69" t="s">
        <v>79</v>
      </c>
      <c r="M56" s="69"/>
      <c r="N56" s="69"/>
      <c r="O56" s="69" t="s">
        <v>1436</v>
      </c>
      <c r="P56" s="78"/>
      <c r="Q56" s="70">
        <v>45462</v>
      </c>
      <c r="R56" s="97"/>
      <c r="S56" s="98"/>
    </row>
    <row r="57" spans="1:19" ht="42.75">
      <c r="A57" s="90" t="s">
        <v>47</v>
      </c>
      <c r="B57" s="91" t="s">
        <v>470</v>
      </c>
      <c r="C57" s="91" t="s">
        <v>1534</v>
      </c>
      <c r="D57" s="90">
        <v>1203</v>
      </c>
      <c r="E57" s="90">
        <v>1298</v>
      </c>
      <c r="F57" s="90" t="s">
        <v>1434</v>
      </c>
      <c r="G57" s="90">
        <v>2024</v>
      </c>
      <c r="H57" s="101">
        <v>45394</v>
      </c>
      <c r="I57" s="101">
        <v>45397</v>
      </c>
      <c r="J57" s="94" t="s">
        <v>1535</v>
      </c>
      <c r="K57" s="100">
        <v>45398</v>
      </c>
      <c r="L57" s="69" t="s">
        <v>77</v>
      </c>
      <c r="M57" s="69"/>
      <c r="N57" s="69"/>
      <c r="O57" s="69" t="s">
        <v>1436</v>
      </c>
      <c r="P57" s="78"/>
      <c r="Q57" s="96"/>
      <c r="R57" s="97"/>
      <c r="S57" s="98"/>
    </row>
    <row r="58" spans="1:19" ht="42.75">
      <c r="A58" s="90" t="s">
        <v>47</v>
      </c>
      <c r="B58" s="91" t="s">
        <v>470</v>
      </c>
      <c r="C58" s="91" t="s">
        <v>1536</v>
      </c>
      <c r="D58" s="90">
        <v>1717</v>
      </c>
      <c r="E58" s="90">
        <v>1750</v>
      </c>
      <c r="F58" s="90" t="s">
        <v>1434</v>
      </c>
      <c r="G58" s="90">
        <v>2024</v>
      </c>
      <c r="H58" s="101">
        <v>45450</v>
      </c>
      <c r="I58" s="101">
        <v>45452</v>
      </c>
      <c r="J58" s="94" t="s">
        <v>1537</v>
      </c>
      <c r="K58" s="100">
        <v>45462</v>
      </c>
      <c r="L58" s="69" t="s">
        <v>79</v>
      </c>
      <c r="M58" s="69"/>
      <c r="N58" s="69"/>
      <c r="O58" s="69" t="s">
        <v>1436</v>
      </c>
      <c r="P58" s="78"/>
      <c r="Q58" s="70">
        <v>45462</v>
      </c>
      <c r="R58" s="97"/>
      <c r="S58" s="98"/>
    </row>
    <row r="59" spans="1:19" ht="42.75">
      <c r="A59" s="90" t="s">
        <v>47</v>
      </c>
      <c r="B59" s="91" t="s">
        <v>472</v>
      </c>
      <c r="C59" s="91" t="s">
        <v>1538</v>
      </c>
      <c r="D59" s="90">
        <v>1802</v>
      </c>
      <c r="E59" s="90">
        <v>2148</v>
      </c>
      <c r="F59" s="90" t="s">
        <v>1434</v>
      </c>
      <c r="G59" s="90">
        <v>2024</v>
      </c>
      <c r="H59" s="99">
        <v>45611</v>
      </c>
      <c r="I59" s="99">
        <v>45611</v>
      </c>
      <c r="J59" s="94" t="s">
        <v>1539</v>
      </c>
      <c r="K59" s="100">
        <v>45616</v>
      </c>
      <c r="L59" s="69" t="s">
        <v>84</v>
      </c>
      <c r="M59" s="69" t="s">
        <v>4</v>
      </c>
      <c r="N59" s="69" t="s">
        <v>101</v>
      </c>
      <c r="O59" s="69" t="s">
        <v>1436</v>
      </c>
      <c r="P59" s="78"/>
      <c r="Q59" s="96">
        <v>45616</v>
      </c>
      <c r="R59" s="97" t="s">
        <v>1481</v>
      </c>
      <c r="S59" s="98"/>
    </row>
    <row r="60" spans="1:19" ht="42.75">
      <c r="A60" s="90" t="s">
        <v>47</v>
      </c>
      <c r="B60" s="91" t="s">
        <v>472</v>
      </c>
      <c r="C60" s="91" t="s">
        <v>1540</v>
      </c>
      <c r="D60" s="90">
        <v>909</v>
      </c>
      <c r="E60" s="90">
        <v>996</v>
      </c>
      <c r="F60" s="90" t="s">
        <v>1434</v>
      </c>
      <c r="G60" s="90">
        <v>2024</v>
      </c>
      <c r="H60" s="101">
        <v>45611</v>
      </c>
      <c r="I60" s="101">
        <v>45611</v>
      </c>
      <c r="J60" s="94" t="s">
        <v>1541</v>
      </c>
      <c r="K60" s="100">
        <v>45616</v>
      </c>
      <c r="L60" s="69" t="s">
        <v>84</v>
      </c>
      <c r="M60" s="69" t="s">
        <v>4</v>
      </c>
      <c r="N60" s="69" t="s">
        <v>101</v>
      </c>
      <c r="O60" s="69" t="s">
        <v>1436</v>
      </c>
      <c r="P60" s="78"/>
      <c r="Q60" s="96">
        <v>45616</v>
      </c>
      <c r="R60" s="97" t="s">
        <v>1481</v>
      </c>
      <c r="S60" s="98"/>
    </row>
    <row r="61" spans="1:19" ht="42.75">
      <c r="A61" s="90" t="s">
        <v>47</v>
      </c>
      <c r="B61" s="91" t="s">
        <v>472</v>
      </c>
      <c r="C61" s="91" t="s">
        <v>1542</v>
      </c>
      <c r="D61" s="90">
        <v>3356</v>
      </c>
      <c r="E61" s="90">
        <v>3502</v>
      </c>
      <c r="F61" s="90" t="s">
        <v>1434</v>
      </c>
      <c r="G61" s="90">
        <v>2024</v>
      </c>
      <c r="H61" s="101">
        <v>45610</v>
      </c>
      <c r="I61" s="101">
        <v>45611</v>
      </c>
      <c r="J61" s="94" t="s">
        <v>1543</v>
      </c>
      <c r="K61" s="100">
        <v>45616</v>
      </c>
      <c r="L61" s="69" t="s">
        <v>84</v>
      </c>
      <c r="M61" s="69" t="s">
        <v>4</v>
      </c>
      <c r="N61" s="69" t="s">
        <v>101</v>
      </c>
      <c r="O61" s="69" t="s">
        <v>1436</v>
      </c>
      <c r="P61" s="78"/>
      <c r="Q61" s="96">
        <v>45616</v>
      </c>
      <c r="R61" s="97" t="s">
        <v>1481</v>
      </c>
      <c r="S61" s="98"/>
    </row>
    <row r="62" spans="1:19" ht="42.75">
      <c r="A62" s="90" t="s">
        <v>47</v>
      </c>
      <c r="B62" s="91" t="s">
        <v>472</v>
      </c>
      <c r="C62" s="91" t="s">
        <v>875</v>
      </c>
      <c r="D62" s="90">
        <v>2992</v>
      </c>
      <c r="E62" s="90">
        <v>3502</v>
      </c>
      <c r="F62" s="90" t="s">
        <v>1434</v>
      </c>
      <c r="G62" s="90">
        <v>2024</v>
      </c>
      <c r="H62" s="101">
        <v>45545</v>
      </c>
      <c r="I62" s="101">
        <v>45545</v>
      </c>
      <c r="J62" s="94" t="s">
        <v>1544</v>
      </c>
      <c r="K62" s="100">
        <v>45552</v>
      </c>
      <c r="L62" s="69" t="s">
        <v>82</v>
      </c>
      <c r="M62" s="69" t="s">
        <v>4</v>
      </c>
      <c r="N62" s="69" t="s">
        <v>101</v>
      </c>
      <c r="O62" s="69"/>
      <c r="P62" s="78"/>
      <c r="Q62" s="96">
        <v>45552</v>
      </c>
      <c r="R62" s="97" t="s">
        <v>1481</v>
      </c>
      <c r="S62" s="98"/>
    </row>
    <row r="63" spans="1:19" ht="42.75">
      <c r="A63" s="90" t="s">
        <v>47</v>
      </c>
      <c r="B63" s="91" t="s">
        <v>472</v>
      </c>
      <c r="C63" s="91" t="s">
        <v>1545</v>
      </c>
      <c r="D63" s="90">
        <v>1036</v>
      </c>
      <c r="E63" s="90">
        <v>1064</v>
      </c>
      <c r="F63" s="90" t="s">
        <v>1434</v>
      </c>
      <c r="G63" s="90">
        <v>2024</v>
      </c>
      <c r="H63" s="92">
        <v>45365</v>
      </c>
      <c r="I63" s="93"/>
      <c r="J63" s="94" t="s">
        <v>1546</v>
      </c>
      <c r="K63" s="95"/>
      <c r="L63" s="69" t="s">
        <v>76</v>
      </c>
      <c r="M63" s="69"/>
      <c r="N63" s="69"/>
      <c r="O63" s="69"/>
      <c r="P63" s="78"/>
      <c r="Q63" s="96"/>
      <c r="R63" s="97"/>
      <c r="S63" s="98"/>
    </row>
    <row r="64" spans="1:19" ht="42.75">
      <c r="A64" s="90" t="s">
        <v>47</v>
      </c>
      <c r="B64" s="91" t="s">
        <v>472</v>
      </c>
      <c r="C64" s="102" t="s">
        <v>1547</v>
      </c>
      <c r="D64" s="90">
        <v>404</v>
      </c>
      <c r="E64" s="90">
        <v>414</v>
      </c>
      <c r="F64" s="90" t="s">
        <v>1454</v>
      </c>
      <c r="G64" s="90"/>
      <c r="H64" s="93"/>
      <c r="I64" s="93"/>
      <c r="J64" s="93"/>
      <c r="K64" s="95"/>
      <c r="L64" s="69"/>
      <c r="M64" s="69"/>
      <c r="N64" s="69"/>
      <c r="O64" s="69"/>
      <c r="P64" s="78"/>
      <c r="Q64" s="96"/>
      <c r="R64" s="97"/>
      <c r="S64" s="98"/>
    </row>
    <row r="65" spans="1:19" ht="42.75">
      <c r="A65" s="90" t="s">
        <v>47</v>
      </c>
      <c r="B65" s="91" t="s">
        <v>472</v>
      </c>
      <c r="C65" s="91" t="s">
        <v>1548</v>
      </c>
      <c r="D65" s="90">
        <v>3624</v>
      </c>
      <c r="E65" s="90">
        <v>3814</v>
      </c>
      <c r="F65" s="90" t="s">
        <v>1434</v>
      </c>
      <c r="G65" s="90">
        <v>2024</v>
      </c>
      <c r="H65" s="101">
        <v>45421</v>
      </c>
      <c r="I65" s="101">
        <v>45425</v>
      </c>
      <c r="J65" s="94" t="s">
        <v>1549</v>
      </c>
      <c r="K65" s="100">
        <v>45427</v>
      </c>
      <c r="L65" s="69" t="s">
        <v>78</v>
      </c>
      <c r="M65" s="69"/>
      <c r="N65" s="69"/>
      <c r="O65" s="69" t="s">
        <v>1436</v>
      </c>
      <c r="P65" s="78"/>
      <c r="Q65" s="96"/>
      <c r="R65" s="97"/>
      <c r="S65" s="98"/>
    </row>
    <row r="66" spans="1:19" ht="42.75">
      <c r="A66" s="90" t="s">
        <v>47</v>
      </c>
      <c r="B66" s="91" t="s">
        <v>472</v>
      </c>
      <c r="C66" s="91" t="s">
        <v>1550</v>
      </c>
      <c r="D66" s="90">
        <v>5075</v>
      </c>
      <c r="E66" s="90">
        <v>5754</v>
      </c>
      <c r="F66" s="90" t="s">
        <v>1434</v>
      </c>
      <c r="G66" s="90">
        <v>2024</v>
      </c>
      <c r="H66" s="101">
        <v>45610</v>
      </c>
      <c r="I66" s="101">
        <v>45611</v>
      </c>
      <c r="J66" s="94" t="s">
        <v>1551</v>
      </c>
      <c r="K66" s="100">
        <v>45616</v>
      </c>
      <c r="L66" s="69" t="s">
        <v>84</v>
      </c>
      <c r="M66" s="69" t="s">
        <v>4</v>
      </c>
      <c r="N66" s="69" t="s">
        <v>101</v>
      </c>
      <c r="O66" s="69" t="s">
        <v>1436</v>
      </c>
      <c r="P66" s="78"/>
      <c r="Q66" s="96">
        <v>45616</v>
      </c>
      <c r="R66" s="97" t="s">
        <v>1481</v>
      </c>
      <c r="S66" s="98"/>
    </row>
    <row r="67" spans="1:19" ht="42.75">
      <c r="A67" s="90" t="s">
        <v>47</v>
      </c>
      <c r="B67" s="91" t="s">
        <v>472</v>
      </c>
      <c r="C67" s="91" t="s">
        <v>926</v>
      </c>
      <c r="D67" s="90">
        <v>1084</v>
      </c>
      <c r="E67" s="90">
        <v>1092</v>
      </c>
      <c r="F67" s="90" t="s">
        <v>1434</v>
      </c>
      <c r="G67" s="90">
        <v>2024</v>
      </c>
      <c r="H67" s="92">
        <v>45352</v>
      </c>
      <c r="I67" s="93"/>
      <c r="J67" s="94" t="s">
        <v>1552</v>
      </c>
      <c r="K67" s="95"/>
      <c r="L67" s="69" t="s">
        <v>76</v>
      </c>
      <c r="M67" s="69"/>
      <c r="N67" s="69"/>
      <c r="O67" s="69" t="s">
        <v>1436</v>
      </c>
      <c r="P67" s="78"/>
      <c r="Q67" s="96"/>
      <c r="R67" s="97"/>
      <c r="S67" s="98"/>
    </row>
    <row r="68" spans="1:19" ht="42.75">
      <c r="A68" s="90" t="s">
        <v>47</v>
      </c>
      <c r="B68" s="91" t="s">
        <v>472</v>
      </c>
      <c r="C68" s="91" t="s">
        <v>1065</v>
      </c>
      <c r="D68" s="90">
        <v>820</v>
      </c>
      <c r="E68" s="90">
        <v>1039</v>
      </c>
      <c r="F68" s="90" t="s">
        <v>1434</v>
      </c>
      <c r="G68" s="90">
        <v>2024</v>
      </c>
      <c r="H68" s="101">
        <v>45422</v>
      </c>
      <c r="I68" s="101">
        <v>45425</v>
      </c>
      <c r="J68" s="94" t="s">
        <v>1553</v>
      </c>
      <c r="K68" s="100">
        <v>45427</v>
      </c>
      <c r="L68" s="69" t="s">
        <v>78</v>
      </c>
      <c r="M68" s="69"/>
      <c r="N68" s="69"/>
      <c r="O68" s="69" t="s">
        <v>1436</v>
      </c>
      <c r="P68" s="78"/>
      <c r="Q68" s="96"/>
      <c r="R68" s="97"/>
      <c r="S68" s="98"/>
    </row>
    <row r="69" spans="1:19" ht="42.75">
      <c r="A69" s="90" t="s">
        <v>47</v>
      </c>
      <c r="B69" s="91" t="s">
        <v>472</v>
      </c>
      <c r="C69" s="91" t="s">
        <v>722</v>
      </c>
      <c r="D69" s="90">
        <v>4380</v>
      </c>
      <c r="E69" s="90">
        <v>4553</v>
      </c>
      <c r="F69" s="90" t="s">
        <v>1434</v>
      </c>
      <c r="G69" s="90">
        <v>2024</v>
      </c>
      <c r="H69" s="101">
        <v>45610</v>
      </c>
      <c r="I69" s="101">
        <v>45611</v>
      </c>
      <c r="J69" s="94" t="s">
        <v>1554</v>
      </c>
      <c r="K69" s="100">
        <v>45616</v>
      </c>
      <c r="L69" s="69" t="s">
        <v>84</v>
      </c>
      <c r="M69" s="69" t="s">
        <v>4</v>
      </c>
      <c r="N69" s="69" t="s">
        <v>101</v>
      </c>
      <c r="O69" s="69" t="s">
        <v>1436</v>
      </c>
      <c r="P69" s="78"/>
      <c r="Q69" s="96">
        <v>45616</v>
      </c>
      <c r="R69" s="97" t="s">
        <v>1481</v>
      </c>
      <c r="S69" s="98"/>
    </row>
    <row r="70" spans="1:19" ht="42.75">
      <c r="A70" s="90" t="s">
        <v>47</v>
      </c>
      <c r="B70" s="91" t="s">
        <v>474</v>
      </c>
      <c r="C70" s="91" t="s">
        <v>1555</v>
      </c>
      <c r="D70" s="90">
        <v>915</v>
      </c>
      <c r="E70" s="90">
        <v>929</v>
      </c>
      <c r="F70" s="90" t="s">
        <v>1434</v>
      </c>
      <c r="G70" s="90">
        <v>2024</v>
      </c>
      <c r="H70" s="101">
        <v>45568</v>
      </c>
      <c r="I70" s="101">
        <v>45573</v>
      </c>
      <c r="J70" s="94" t="s">
        <v>1556</v>
      </c>
      <c r="K70" s="100">
        <v>45580</v>
      </c>
      <c r="L70" s="69" t="s">
        <v>83</v>
      </c>
      <c r="M70" s="69" t="s">
        <v>4</v>
      </c>
      <c r="N70" s="69" t="s">
        <v>101</v>
      </c>
      <c r="O70" s="69" t="s">
        <v>1436</v>
      </c>
      <c r="P70" s="78"/>
      <c r="Q70" s="96">
        <v>45580</v>
      </c>
      <c r="R70" s="97" t="s">
        <v>1481</v>
      </c>
      <c r="S70" s="98"/>
    </row>
    <row r="71" spans="1:19" ht="42.75">
      <c r="A71" s="90" t="s">
        <v>47</v>
      </c>
      <c r="B71" s="91" t="s">
        <v>474</v>
      </c>
      <c r="C71" s="91" t="s">
        <v>1557</v>
      </c>
      <c r="D71" s="90">
        <v>569</v>
      </c>
      <c r="E71" s="90">
        <v>736</v>
      </c>
      <c r="F71" s="90" t="s">
        <v>1434</v>
      </c>
      <c r="G71" s="90">
        <v>2024</v>
      </c>
      <c r="H71" s="101">
        <v>45449</v>
      </c>
      <c r="I71" s="101">
        <v>45460</v>
      </c>
      <c r="J71" s="94" t="s">
        <v>1558</v>
      </c>
      <c r="K71" s="100">
        <v>45460</v>
      </c>
      <c r="L71" s="69" t="s">
        <v>79</v>
      </c>
      <c r="M71" s="69"/>
      <c r="N71" s="69"/>
      <c r="O71" s="69" t="s">
        <v>1436</v>
      </c>
      <c r="P71" s="78"/>
      <c r="Q71" s="96">
        <v>45464</v>
      </c>
      <c r="R71" s="97"/>
      <c r="S71" s="98"/>
    </row>
    <row r="72" spans="1:19" ht="42.75">
      <c r="A72" s="90" t="s">
        <v>47</v>
      </c>
      <c r="B72" s="91" t="s">
        <v>474</v>
      </c>
      <c r="C72" s="91" t="s">
        <v>1559</v>
      </c>
      <c r="D72" s="90">
        <v>2416</v>
      </c>
      <c r="E72" s="90">
        <v>2756</v>
      </c>
      <c r="F72" s="90" t="s">
        <v>1434</v>
      </c>
      <c r="G72" s="90">
        <v>2024</v>
      </c>
      <c r="H72" s="101">
        <v>45609</v>
      </c>
      <c r="I72" s="101">
        <v>45610</v>
      </c>
      <c r="J72" s="94" t="s">
        <v>1560</v>
      </c>
      <c r="K72" s="100">
        <v>45613</v>
      </c>
      <c r="L72" s="69" t="s">
        <v>84</v>
      </c>
      <c r="M72" s="69" t="s">
        <v>4</v>
      </c>
      <c r="N72" s="69" t="s">
        <v>101</v>
      </c>
      <c r="O72" s="69"/>
      <c r="P72" s="78"/>
      <c r="Q72" s="96">
        <v>45614</v>
      </c>
      <c r="R72" s="97" t="s">
        <v>1481</v>
      </c>
      <c r="S72" s="98"/>
    </row>
    <row r="73" spans="1:19" ht="42.75">
      <c r="A73" s="90" t="s">
        <v>47</v>
      </c>
      <c r="B73" s="91" t="s">
        <v>474</v>
      </c>
      <c r="C73" s="102" t="s">
        <v>1561</v>
      </c>
      <c r="D73" s="90">
        <v>816</v>
      </c>
      <c r="E73" s="90">
        <v>838</v>
      </c>
      <c r="F73" s="90" t="s">
        <v>1434</v>
      </c>
      <c r="G73" s="90">
        <v>2024</v>
      </c>
      <c r="H73" s="101">
        <v>45608</v>
      </c>
      <c r="I73" s="101">
        <v>45609</v>
      </c>
      <c r="J73" s="94" t="s">
        <v>1562</v>
      </c>
      <c r="K73" s="100">
        <v>45613</v>
      </c>
      <c r="L73" s="69" t="s">
        <v>84</v>
      </c>
      <c r="M73" s="69" t="s">
        <v>4</v>
      </c>
      <c r="N73" s="69" t="s">
        <v>101</v>
      </c>
      <c r="O73" s="69" t="s">
        <v>1436</v>
      </c>
      <c r="P73" s="78"/>
      <c r="Q73" s="96">
        <v>45622</v>
      </c>
      <c r="R73" s="97" t="s">
        <v>1481</v>
      </c>
      <c r="S73" s="98"/>
    </row>
    <row r="74" spans="1:19" ht="42.75">
      <c r="A74" s="90" t="s">
        <v>47</v>
      </c>
      <c r="B74" s="91" t="s">
        <v>474</v>
      </c>
      <c r="C74" s="91" t="s">
        <v>1563</v>
      </c>
      <c r="D74" s="90">
        <v>722</v>
      </c>
      <c r="E74" s="90">
        <v>780</v>
      </c>
      <c r="F74" s="90" t="s">
        <v>1434</v>
      </c>
      <c r="G74" s="90">
        <v>2024</v>
      </c>
      <c r="H74" s="101">
        <v>45608</v>
      </c>
      <c r="I74" s="101">
        <v>45609</v>
      </c>
      <c r="J74" s="94" t="s">
        <v>1564</v>
      </c>
      <c r="K74" s="100">
        <v>45613</v>
      </c>
      <c r="L74" s="69" t="s">
        <v>84</v>
      </c>
      <c r="M74" s="69" t="s">
        <v>4</v>
      </c>
      <c r="N74" s="69" t="s">
        <v>101</v>
      </c>
      <c r="O74" s="69"/>
      <c r="P74" s="78"/>
      <c r="Q74" s="96">
        <v>45614</v>
      </c>
      <c r="R74" s="97" t="s">
        <v>1481</v>
      </c>
      <c r="S74" s="98"/>
    </row>
    <row r="75" spans="1:19" ht="42.75">
      <c r="A75" s="90" t="s">
        <v>47</v>
      </c>
      <c r="B75" s="91" t="s">
        <v>474</v>
      </c>
      <c r="C75" s="91" t="s">
        <v>1565</v>
      </c>
      <c r="D75" s="90">
        <v>1730</v>
      </c>
      <c r="E75" s="90">
        <v>1801</v>
      </c>
      <c r="F75" s="90" t="s">
        <v>1434</v>
      </c>
      <c r="G75" s="90">
        <v>2024</v>
      </c>
      <c r="H75" s="101">
        <v>45609</v>
      </c>
      <c r="I75" s="101">
        <v>45610</v>
      </c>
      <c r="J75" s="94" t="s">
        <v>1566</v>
      </c>
      <c r="K75" s="100">
        <v>45613</v>
      </c>
      <c r="L75" s="69" t="s">
        <v>84</v>
      </c>
      <c r="M75" s="69" t="s">
        <v>4</v>
      </c>
      <c r="N75" s="69" t="s">
        <v>101</v>
      </c>
      <c r="O75" s="69"/>
      <c r="P75" s="78"/>
      <c r="Q75" s="96">
        <v>45614</v>
      </c>
      <c r="R75" s="97" t="s">
        <v>1481</v>
      </c>
      <c r="S75" s="98"/>
    </row>
    <row r="76" spans="1:19" ht="42.75">
      <c r="A76" s="90" t="s">
        <v>47</v>
      </c>
      <c r="B76" s="91" t="s">
        <v>474</v>
      </c>
      <c r="C76" s="91" t="s">
        <v>1567</v>
      </c>
      <c r="D76" s="90">
        <v>860</v>
      </c>
      <c r="E76" s="90">
        <v>878</v>
      </c>
      <c r="F76" s="90" t="s">
        <v>1434</v>
      </c>
      <c r="G76" s="90">
        <v>2024</v>
      </c>
      <c r="H76" s="101">
        <v>45519</v>
      </c>
      <c r="I76" s="101">
        <v>45523</v>
      </c>
      <c r="J76" s="94" t="s">
        <v>1568</v>
      </c>
      <c r="K76" s="100">
        <v>45523</v>
      </c>
      <c r="L76" s="69" t="s">
        <v>81</v>
      </c>
      <c r="M76" s="69" t="s">
        <v>4</v>
      </c>
      <c r="N76" s="69" t="s">
        <v>101</v>
      </c>
      <c r="O76" s="69" t="s">
        <v>1436</v>
      </c>
      <c r="P76" s="78"/>
      <c r="Q76" s="96">
        <v>45531</v>
      </c>
      <c r="R76" s="97" t="s">
        <v>1481</v>
      </c>
      <c r="S76" s="98"/>
    </row>
    <row r="77" spans="1:19" ht="42.75">
      <c r="A77" s="90" t="s">
        <v>47</v>
      </c>
      <c r="B77" s="91" t="s">
        <v>474</v>
      </c>
      <c r="C77" s="102" t="s">
        <v>1569</v>
      </c>
      <c r="D77" s="90">
        <v>1195</v>
      </c>
      <c r="E77" s="90">
        <v>1378</v>
      </c>
      <c r="F77" s="90" t="s">
        <v>1434</v>
      </c>
      <c r="G77" s="90">
        <v>2024</v>
      </c>
      <c r="H77" s="101">
        <v>45520</v>
      </c>
      <c r="I77" s="101">
        <v>45523</v>
      </c>
      <c r="J77" s="94" t="s">
        <v>1570</v>
      </c>
      <c r="K77" s="100">
        <v>45523</v>
      </c>
      <c r="L77" s="69" t="s">
        <v>81</v>
      </c>
      <c r="M77" s="69" t="s">
        <v>4</v>
      </c>
      <c r="N77" s="69" t="s">
        <v>101</v>
      </c>
      <c r="O77" s="69" t="s">
        <v>1436</v>
      </c>
      <c r="P77" s="78"/>
      <c r="Q77" s="96">
        <v>45531</v>
      </c>
      <c r="R77" s="97" t="s">
        <v>1481</v>
      </c>
      <c r="S77" s="98"/>
    </row>
    <row r="78" spans="1:19" ht="42.75">
      <c r="A78" s="90" t="s">
        <v>47</v>
      </c>
      <c r="B78" s="91" t="s">
        <v>474</v>
      </c>
      <c r="C78" s="91" t="s">
        <v>750</v>
      </c>
      <c r="D78" s="90">
        <v>3733</v>
      </c>
      <c r="E78" s="90">
        <v>4344</v>
      </c>
      <c r="F78" s="90" t="s">
        <v>1434</v>
      </c>
      <c r="G78" s="90">
        <v>2024</v>
      </c>
      <c r="H78" s="101">
        <v>45520</v>
      </c>
      <c r="I78" s="101">
        <v>45523</v>
      </c>
      <c r="J78" s="94" t="s">
        <v>1571</v>
      </c>
      <c r="K78" s="100">
        <v>45523</v>
      </c>
      <c r="L78" s="69" t="s">
        <v>81</v>
      </c>
      <c r="M78" s="69" t="s">
        <v>4</v>
      </c>
      <c r="N78" s="69" t="s">
        <v>101</v>
      </c>
      <c r="O78" s="69" t="s">
        <v>1436</v>
      </c>
      <c r="P78" s="78"/>
      <c r="Q78" s="96">
        <v>45531</v>
      </c>
      <c r="R78" s="97" t="s">
        <v>1481</v>
      </c>
      <c r="S78" s="98"/>
    </row>
    <row r="79" spans="1:19" ht="42.75">
      <c r="A79" s="90" t="s">
        <v>47</v>
      </c>
      <c r="B79" s="91" t="s">
        <v>474</v>
      </c>
      <c r="C79" s="91" t="s">
        <v>1572</v>
      </c>
      <c r="D79" s="90">
        <v>1398</v>
      </c>
      <c r="E79" s="90">
        <v>1651</v>
      </c>
      <c r="F79" s="90" t="s">
        <v>1434</v>
      </c>
      <c r="G79" s="90">
        <v>2024</v>
      </c>
      <c r="H79" s="101">
        <v>45519</v>
      </c>
      <c r="I79" s="101">
        <v>45523</v>
      </c>
      <c r="J79" s="103" t="s">
        <v>1573</v>
      </c>
      <c r="K79" s="100">
        <v>45523</v>
      </c>
      <c r="L79" s="69" t="s">
        <v>81</v>
      </c>
      <c r="M79" s="69" t="s">
        <v>672</v>
      </c>
      <c r="N79" s="69" t="s">
        <v>101</v>
      </c>
      <c r="O79" s="69" t="s">
        <v>1436</v>
      </c>
      <c r="P79" s="78"/>
      <c r="Q79" s="96">
        <v>45531</v>
      </c>
      <c r="R79" s="97" t="s">
        <v>1481</v>
      </c>
      <c r="S79" s="98"/>
    </row>
    <row r="80" spans="1:19" ht="42.75">
      <c r="A80" s="90" t="s">
        <v>47</v>
      </c>
      <c r="B80" s="91" t="s">
        <v>474</v>
      </c>
      <c r="C80" s="91" t="s">
        <v>751</v>
      </c>
      <c r="D80" s="90">
        <v>1037</v>
      </c>
      <c r="E80" s="90">
        <v>1114</v>
      </c>
      <c r="F80" s="90" t="s">
        <v>1434</v>
      </c>
      <c r="G80" s="90">
        <v>2024</v>
      </c>
      <c r="H80" s="101">
        <v>45512</v>
      </c>
      <c r="I80" s="101">
        <v>45513</v>
      </c>
      <c r="J80" s="94" t="s">
        <v>1574</v>
      </c>
      <c r="K80" s="100">
        <v>45517</v>
      </c>
      <c r="L80" s="69" t="s">
        <v>81</v>
      </c>
      <c r="M80" s="69" t="s">
        <v>4</v>
      </c>
      <c r="N80" s="69" t="s">
        <v>101</v>
      </c>
      <c r="O80" s="69" t="s">
        <v>1436</v>
      </c>
      <c r="P80" s="78"/>
      <c r="Q80" s="96">
        <v>45517</v>
      </c>
      <c r="R80" s="97" t="s">
        <v>1481</v>
      </c>
      <c r="S80" s="98"/>
    </row>
    <row r="81" spans="1:19" ht="42.75">
      <c r="A81" s="90" t="s">
        <v>47</v>
      </c>
      <c r="B81" s="91" t="s">
        <v>474</v>
      </c>
      <c r="C81" s="91" t="s">
        <v>1575</v>
      </c>
      <c r="D81" s="90">
        <v>1154</v>
      </c>
      <c r="E81" s="90">
        <v>1272</v>
      </c>
      <c r="F81" s="90" t="s">
        <v>1434</v>
      </c>
      <c r="G81" s="90">
        <v>2024</v>
      </c>
      <c r="H81" s="92">
        <v>45366</v>
      </c>
      <c r="I81" s="93"/>
      <c r="J81" s="94" t="s">
        <v>1576</v>
      </c>
      <c r="K81" s="95"/>
      <c r="L81" s="69" t="s">
        <v>76</v>
      </c>
      <c r="M81" s="69"/>
      <c r="N81" s="69"/>
      <c r="O81" s="69"/>
      <c r="P81" s="78"/>
      <c r="Q81" s="96"/>
      <c r="R81" s="97"/>
      <c r="S81" s="98"/>
    </row>
    <row r="82" spans="1:19" ht="42.75">
      <c r="A82" s="90" t="s">
        <v>47</v>
      </c>
      <c r="B82" s="91" t="s">
        <v>474</v>
      </c>
      <c r="C82" s="91" t="s">
        <v>1577</v>
      </c>
      <c r="D82" s="90">
        <v>454</v>
      </c>
      <c r="E82" s="90">
        <v>515</v>
      </c>
      <c r="F82" s="90" t="s">
        <v>1434</v>
      </c>
      <c r="G82" s="90">
        <v>2024</v>
      </c>
      <c r="H82" s="101">
        <v>45568</v>
      </c>
      <c r="I82" s="101">
        <v>45573</v>
      </c>
      <c r="J82" s="94" t="s">
        <v>1578</v>
      </c>
      <c r="K82" s="100">
        <v>45580</v>
      </c>
      <c r="L82" s="69" t="s">
        <v>83</v>
      </c>
      <c r="M82" s="69" t="s">
        <v>4</v>
      </c>
      <c r="N82" s="69" t="s">
        <v>101</v>
      </c>
      <c r="O82" s="69" t="s">
        <v>1436</v>
      </c>
      <c r="P82" s="78"/>
      <c r="Q82" s="96">
        <v>45580</v>
      </c>
      <c r="R82" s="97" t="s">
        <v>1481</v>
      </c>
      <c r="S82" s="98"/>
    </row>
    <row r="83" spans="1:19" ht="42.75">
      <c r="A83" s="90" t="s">
        <v>47</v>
      </c>
      <c r="B83" s="91" t="s">
        <v>474</v>
      </c>
      <c r="C83" s="91" t="s">
        <v>1579</v>
      </c>
      <c r="D83" s="90">
        <v>968</v>
      </c>
      <c r="E83" s="90">
        <v>1073</v>
      </c>
      <c r="F83" s="90" t="s">
        <v>1434</v>
      </c>
      <c r="G83" s="90">
        <v>2024</v>
      </c>
      <c r="H83" s="101">
        <v>45552</v>
      </c>
      <c r="I83" s="101">
        <v>45554</v>
      </c>
      <c r="J83" s="94" t="s">
        <v>1580</v>
      </c>
      <c r="K83" s="100">
        <v>45554</v>
      </c>
      <c r="L83" s="69" t="s">
        <v>82</v>
      </c>
      <c r="M83" s="69" t="s">
        <v>4</v>
      </c>
      <c r="N83" s="69" t="s">
        <v>101</v>
      </c>
      <c r="O83" s="69" t="s">
        <v>1436</v>
      </c>
      <c r="P83" s="78"/>
      <c r="Q83" s="96">
        <v>45555</v>
      </c>
      <c r="R83" s="97" t="s">
        <v>1481</v>
      </c>
      <c r="S83" s="98"/>
    </row>
    <row r="84" spans="1:19" ht="42.75">
      <c r="A84" s="90" t="s">
        <v>47</v>
      </c>
      <c r="B84" s="91" t="s">
        <v>474</v>
      </c>
      <c r="C84" s="91" t="s">
        <v>1581</v>
      </c>
      <c r="D84" s="90">
        <v>580</v>
      </c>
      <c r="E84" s="90">
        <v>622</v>
      </c>
      <c r="F84" s="90" t="s">
        <v>1434</v>
      </c>
      <c r="G84" s="90">
        <v>2024</v>
      </c>
      <c r="H84" s="101">
        <v>45575</v>
      </c>
      <c r="I84" s="101">
        <v>45575</v>
      </c>
      <c r="J84" s="94" t="s">
        <v>1582</v>
      </c>
      <c r="K84" s="100">
        <v>45580</v>
      </c>
      <c r="L84" s="69" t="s">
        <v>83</v>
      </c>
      <c r="M84" s="69" t="s">
        <v>4</v>
      </c>
      <c r="N84" s="69" t="s">
        <v>101</v>
      </c>
      <c r="O84" s="69" t="s">
        <v>1436</v>
      </c>
      <c r="P84" s="78"/>
      <c r="Q84" s="96">
        <v>45580</v>
      </c>
      <c r="R84" s="97" t="s">
        <v>1481</v>
      </c>
      <c r="S84" s="98"/>
    </row>
    <row r="85" spans="1:19" ht="42.75">
      <c r="A85" s="90" t="s">
        <v>47</v>
      </c>
      <c r="B85" s="91" t="s">
        <v>474</v>
      </c>
      <c r="C85" s="91" t="s">
        <v>1059</v>
      </c>
      <c r="D85" s="90">
        <v>665</v>
      </c>
      <c r="E85" s="90">
        <v>822</v>
      </c>
      <c r="F85" s="90" t="s">
        <v>1434</v>
      </c>
      <c r="G85" s="90">
        <v>2024</v>
      </c>
      <c r="H85" s="101">
        <v>45552</v>
      </c>
      <c r="I85" s="101">
        <v>45554</v>
      </c>
      <c r="J85" s="94" t="s">
        <v>1583</v>
      </c>
      <c r="K85" s="100">
        <v>45554</v>
      </c>
      <c r="L85" s="69" t="s">
        <v>82</v>
      </c>
      <c r="M85" s="69" t="s">
        <v>4</v>
      </c>
      <c r="N85" s="69" t="s">
        <v>101</v>
      </c>
      <c r="O85" s="69" t="s">
        <v>1436</v>
      </c>
      <c r="P85" s="78"/>
      <c r="Q85" s="96">
        <v>45555</v>
      </c>
      <c r="R85" s="97" t="s">
        <v>1481</v>
      </c>
      <c r="S85" s="98"/>
    </row>
    <row r="86" spans="1:19" ht="42.75">
      <c r="A86" s="90" t="s">
        <v>47</v>
      </c>
      <c r="B86" s="91" t="s">
        <v>474</v>
      </c>
      <c r="C86" s="91" t="s">
        <v>1584</v>
      </c>
      <c r="D86" s="90">
        <v>1134</v>
      </c>
      <c r="E86" s="90">
        <v>1240</v>
      </c>
      <c r="F86" s="90" t="s">
        <v>1434</v>
      </c>
      <c r="G86" s="90">
        <v>2024</v>
      </c>
      <c r="H86" s="101">
        <v>45516</v>
      </c>
      <c r="I86" s="101">
        <v>45513</v>
      </c>
      <c r="J86" s="94" t="s">
        <v>1585</v>
      </c>
      <c r="K86" s="100">
        <v>45517</v>
      </c>
      <c r="L86" s="69" t="s">
        <v>81</v>
      </c>
      <c r="M86" s="69" t="s">
        <v>4</v>
      </c>
      <c r="N86" s="69" t="s">
        <v>101</v>
      </c>
      <c r="O86" s="69" t="s">
        <v>1436</v>
      </c>
      <c r="P86" s="78"/>
      <c r="Q86" s="70">
        <v>45517</v>
      </c>
      <c r="R86" s="97" t="s">
        <v>1481</v>
      </c>
      <c r="S86" s="98"/>
    </row>
    <row r="87" spans="1:19" ht="42.75">
      <c r="A87" s="90" t="s">
        <v>47</v>
      </c>
      <c r="B87" s="91" t="s">
        <v>474</v>
      </c>
      <c r="C87" s="91" t="s">
        <v>1586</v>
      </c>
      <c r="D87" s="90">
        <v>1479</v>
      </c>
      <c r="E87" s="90">
        <v>1497</v>
      </c>
      <c r="F87" s="90" t="s">
        <v>1434</v>
      </c>
      <c r="G87" s="90">
        <v>2024</v>
      </c>
      <c r="H87" s="101">
        <v>45546</v>
      </c>
      <c r="I87" s="101">
        <v>45551</v>
      </c>
      <c r="J87" s="94" t="s">
        <v>1587</v>
      </c>
      <c r="K87" s="100">
        <v>45552</v>
      </c>
      <c r="L87" s="69" t="s">
        <v>82</v>
      </c>
      <c r="M87" s="69" t="s">
        <v>4</v>
      </c>
      <c r="N87" s="69" t="s">
        <v>101</v>
      </c>
      <c r="O87" s="69" t="s">
        <v>1436</v>
      </c>
      <c r="P87" s="78"/>
      <c r="Q87" s="96">
        <v>45553</v>
      </c>
      <c r="R87" s="97" t="s">
        <v>1481</v>
      </c>
      <c r="S87" s="98"/>
    </row>
    <row r="88" spans="1:19" ht="42.75">
      <c r="A88" s="90" t="s">
        <v>47</v>
      </c>
      <c r="B88" s="91" t="s">
        <v>474</v>
      </c>
      <c r="C88" s="91" t="s">
        <v>603</v>
      </c>
      <c r="D88" s="90">
        <v>2059</v>
      </c>
      <c r="E88" s="90">
        <v>2181</v>
      </c>
      <c r="F88" s="90" t="s">
        <v>1434</v>
      </c>
      <c r="G88" s="90">
        <v>2024</v>
      </c>
      <c r="H88" s="101">
        <v>45546</v>
      </c>
      <c r="I88" s="101">
        <v>45551</v>
      </c>
      <c r="J88" s="94" t="s">
        <v>1588</v>
      </c>
      <c r="K88" s="100">
        <v>45552</v>
      </c>
      <c r="L88" s="69" t="s">
        <v>82</v>
      </c>
      <c r="M88" s="69" t="s">
        <v>1589</v>
      </c>
      <c r="N88" s="69"/>
      <c r="O88" s="69" t="s">
        <v>1436</v>
      </c>
      <c r="P88" s="78"/>
      <c r="Q88" s="96">
        <v>45553</v>
      </c>
      <c r="R88" s="97" t="s">
        <v>1481</v>
      </c>
      <c r="S88" s="98"/>
    </row>
    <row r="89" spans="1:19" ht="42.75">
      <c r="A89" s="90" t="s">
        <v>47</v>
      </c>
      <c r="B89" s="91" t="s">
        <v>474</v>
      </c>
      <c r="C89" s="91" t="s">
        <v>1590</v>
      </c>
      <c r="D89" s="90">
        <v>1430</v>
      </c>
      <c r="E89" s="90">
        <v>1789</v>
      </c>
      <c r="F89" s="90" t="s">
        <v>1434</v>
      </c>
      <c r="G89" s="90">
        <v>2024</v>
      </c>
      <c r="H89" s="101">
        <v>45450</v>
      </c>
      <c r="I89" s="101">
        <v>45460</v>
      </c>
      <c r="J89" s="94" t="s">
        <v>1591</v>
      </c>
      <c r="K89" s="100">
        <v>45463</v>
      </c>
      <c r="L89" s="69" t="s">
        <v>79</v>
      </c>
      <c r="M89" s="69" t="s">
        <v>4</v>
      </c>
      <c r="N89" s="69"/>
      <c r="O89" s="69" t="s">
        <v>1436</v>
      </c>
      <c r="P89" s="78"/>
      <c r="Q89" s="96">
        <v>45464</v>
      </c>
      <c r="R89" s="97"/>
      <c r="S89" s="98"/>
    </row>
    <row r="90" spans="1:19" ht="42.75">
      <c r="A90" s="90" t="s">
        <v>47</v>
      </c>
      <c r="B90" s="91" t="s">
        <v>474</v>
      </c>
      <c r="C90" s="91" t="s">
        <v>1592</v>
      </c>
      <c r="D90" s="90">
        <v>1417</v>
      </c>
      <c r="E90" s="90">
        <v>1440</v>
      </c>
      <c r="F90" s="90" t="s">
        <v>1434</v>
      </c>
      <c r="G90" s="90">
        <v>2024</v>
      </c>
      <c r="H90" s="101">
        <v>45604</v>
      </c>
      <c r="I90" s="101">
        <v>45607</v>
      </c>
      <c r="J90" s="94" t="s">
        <v>1593</v>
      </c>
      <c r="K90" s="100">
        <v>45612</v>
      </c>
      <c r="L90" s="69" t="s">
        <v>84</v>
      </c>
      <c r="M90" s="69" t="s">
        <v>4</v>
      </c>
      <c r="N90" s="69"/>
      <c r="O90" s="69" t="s">
        <v>1436</v>
      </c>
      <c r="P90" s="78"/>
      <c r="Q90" s="96">
        <v>45614</v>
      </c>
      <c r="R90" s="97" t="s">
        <v>1481</v>
      </c>
      <c r="S90" s="98"/>
    </row>
    <row r="91" spans="1:19" ht="42.75">
      <c r="A91" s="90" t="s">
        <v>47</v>
      </c>
      <c r="B91" s="91" t="s">
        <v>474</v>
      </c>
      <c r="C91" s="102" t="s">
        <v>1594</v>
      </c>
      <c r="D91" s="90">
        <v>405</v>
      </c>
      <c r="E91" s="90">
        <v>442</v>
      </c>
      <c r="F91" s="90" t="s">
        <v>1454</v>
      </c>
      <c r="G91" s="90"/>
      <c r="H91" s="93"/>
      <c r="I91" s="93"/>
      <c r="J91" s="93"/>
      <c r="K91" s="95"/>
      <c r="L91" s="69"/>
      <c r="M91" s="69"/>
      <c r="N91" s="69"/>
      <c r="O91" s="69"/>
      <c r="P91" s="78"/>
      <c r="Q91" s="96"/>
      <c r="R91" s="97"/>
      <c r="S91" s="98"/>
    </row>
    <row r="92" spans="1:19" ht="42.75">
      <c r="A92" s="90" t="s">
        <v>47</v>
      </c>
      <c r="B92" s="91" t="s">
        <v>474</v>
      </c>
      <c r="C92" s="91" t="s">
        <v>607</v>
      </c>
      <c r="D92" s="90">
        <v>1693</v>
      </c>
      <c r="E92" s="90">
        <v>1924</v>
      </c>
      <c r="F92" s="90" t="s">
        <v>1434</v>
      </c>
      <c r="G92" s="90">
        <v>2024</v>
      </c>
      <c r="H92" s="101">
        <v>45575</v>
      </c>
      <c r="I92" s="101">
        <v>45575</v>
      </c>
      <c r="J92" s="94" t="s">
        <v>1595</v>
      </c>
      <c r="K92" s="100">
        <v>45580</v>
      </c>
      <c r="L92" s="69" t="s">
        <v>83</v>
      </c>
      <c r="M92" s="69" t="s">
        <v>1589</v>
      </c>
      <c r="N92" s="69"/>
      <c r="O92" s="69" t="s">
        <v>1436</v>
      </c>
      <c r="P92" s="78"/>
      <c r="Q92" s="96">
        <v>45580</v>
      </c>
      <c r="R92" s="97" t="s">
        <v>1481</v>
      </c>
      <c r="S92" s="98"/>
    </row>
    <row r="93" spans="1:19" ht="42.75">
      <c r="A93" s="90" t="s">
        <v>47</v>
      </c>
      <c r="B93" s="91" t="s">
        <v>474</v>
      </c>
      <c r="C93" s="91" t="s">
        <v>753</v>
      </c>
      <c r="D93" s="90">
        <v>576</v>
      </c>
      <c r="E93" s="90">
        <v>706</v>
      </c>
      <c r="F93" s="90" t="s">
        <v>1434</v>
      </c>
      <c r="G93" s="90">
        <v>2024</v>
      </c>
      <c r="H93" s="101">
        <v>45576</v>
      </c>
      <c r="I93" s="101">
        <v>45576</v>
      </c>
      <c r="J93" s="94" t="s">
        <v>1596</v>
      </c>
      <c r="K93" s="100">
        <v>45580</v>
      </c>
      <c r="L93" s="69" t="s">
        <v>83</v>
      </c>
      <c r="M93" s="69" t="s">
        <v>4</v>
      </c>
      <c r="N93" s="69" t="s">
        <v>101</v>
      </c>
      <c r="O93" s="69" t="s">
        <v>1436</v>
      </c>
      <c r="P93" s="78"/>
      <c r="Q93" s="96">
        <v>45580</v>
      </c>
      <c r="R93" s="97" t="s">
        <v>1481</v>
      </c>
      <c r="S93" s="98"/>
    </row>
    <row r="94" spans="1:19" ht="42.75">
      <c r="A94" s="90" t="s">
        <v>47</v>
      </c>
      <c r="B94" s="91" t="s">
        <v>474</v>
      </c>
      <c r="C94" s="102" t="s">
        <v>1597</v>
      </c>
      <c r="D94" s="90">
        <v>331</v>
      </c>
      <c r="E94" s="90">
        <v>403</v>
      </c>
      <c r="F94" s="90" t="s">
        <v>1454</v>
      </c>
      <c r="G94" s="90"/>
      <c r="H94" s="93"/>
      <c r="I94" s="93"/>
      <c r="J94" s="93"/>
      <c r="K94" s="95"/>
      <c r="L94" s="69"/>
      <c r="M94" s="69"/>
      <c r="N94" s="69"/>
      <c r="O94" s="69"/>
      <c r="P94" s="78"/>
      <c r="Q94" s="96"/>
      <c r="R94" s="97"/>
      <c r="S94" s="98"/>
    </row>
    <row r="95" spans="1:19" ht="42.75">
      <c r="A95" s="90" t="s">
        <v>47</v>
      </c>
      <c r="B95" s="91" t="s">
        <v>258</v>
      </c>
      <c r="C95" s="91" t="s">
        <v>1598</v>
      </c>
      <c r="D95" s="90">
        <v>553</v>
      </c>
      <c r="E95" s="90">
        <v>613</v>
      </c>
      <c r="F95" s="90" t="s">
        <v>1434</v>
      </c>
      <c r="G95" s="90">
        <v>2024</v>
      </c>
      <c r="H95" s="101">
        <v>45448</v>
      </c>
      <c r="I95" s="101">
        <v>45448</v>
      </c>
      <c r="J95" s="94" t="s">
        <v>1599</v>
      </c>
      <c r="K95" s="100">
        <v>45461</v>
      </c>
      <c r="L95" s="69" t="s">
        <v>79</v>
      </c>
      <c r="M95" s="69"/>
      <c r="N95" s="69"/>
      <c r="O95" s="69" t="s">
        <v>1436</v>
      </c>
      <c r="P95" s="78"/>
      <c r="Q95" s="70">
        <v>45462</v>
      </c>
      <c r="R95" s="97"/>
      <c r="S95" s="98"/>
    </row>
    <row r="96" spans="1:19" ht="42.75">
      <c r="A96" s="90" t="s">
        <v>47</v>
      </c>
      <c r="B96" s="91" t="s">
        <v>258</v>
      </c>
      <c r="C96" s="91" t="s">
        <v>1600</v>
      </c>
      <c r="D96" s="90">
        <v>779</v>
      </c>
      <c r="E96" s="90">
        <v>849</v>
      </c>
      <c r="F96" s="90" t="s">
        <v>1434</v>
      </c>
      <c r="G96" s="90">
        <v>2024</v>
      </c>
      <c r="H96" s="101">
        <v>45482</v>
      </c>
      <c r="I96" s="101">
        <v>45484</v>
      </c>
      <c r="J96" s="94" t="s">
        <v>1601</v>
      </c>
      <c r="K96" s="100">
        <v>45489</v>
      </c>
      <c r="L96" s="69" t="s">
        <v>80</v>
      </c>
      <c r="M96" s="68" t="s">
        <v>4</v>
      </c>
      <c r="N96" s="68" t="s">
        <v>101</v>
      </c>
      <c r="O96" s="98" t="s">
        <v>1436</v>
      </c>
      <c r="P96" s="78"/>
      <c r="Q96" s="96">
        <v>45490</v>
      </c>
      <c r="R96" s="97"/>
      <c r="S96" s="98"/>
    </row>
    <row r="97" spans="1:19" ht="42.75">
      <c r="A97" s="90" t="s">
        <v>47</v>
      </c>
      <c r="B97" s="91" t="s">
        <v>258</v>
      </c>
      <c r="C97" s="91" t="s">
        <v>1602</v>
      </c>
      <c r="D97" s="90">
        <v>676</v>
      </c>
      <c r="E97" s="90">
        <v>766</v>
      </c>
      <c r="F97" s="90" t="s">
        <v>1434</v>
      </c>
      <c r="G97" s="90">
        <v>2024</v>
      </c>
      <c r="H97" s="101">
        <v>45454</v>
      </c>
      <c r="I97" s="101">
        <v>45454</v>
      </c>
      <c r="J97" s="94" t="s">
        <v>1603</v>
      </c>
      <c r="K97" s="100">
        <v>45462</v>
      </c>
      <c r="L97" s="69" t="s">
        <v>79</v>
      </c>
      <c r="M97" s="69"/>
      <c r="N97" s="69"/>
      <c r="O97" s="69" t="s">
        <v>1436</v>
      </c>
      <c r="P97" s="78"/>
      <c r="Q97" s="70">
        <v>45462</v>
      </c>
      <c r="R97" s="97"/>
      <c r="S97" s="98"/>
    </row>
    <row r="98" spans="1:19" ht="42.75">
      <c r="A98" s="90" t="s">
        <v>47</v>
      </c>
      <c r="B98" s="91" t="s">
        <v>258</v>
      </c>
      <c r="C98" s="91" t="s">
        <v>704</v>
      </c>
      <c r="D98" s="90">
        <v>496</v>
      </c>
      <c r="E98" s="90">
        <v>603</v>
      </c>
      <c r="F98" s="90" t="s">
        <v>1434</v>
      </c>
      <c r="G98" s="90">
        <v>2024</v>
      </c>
      <c r="H98" s="101">
        <v>45552</v>
      </c>
      <c r="I98" s="101">
        <v>45552</v>
      </c>
      <c r="J98" s="94" t="s">
        <v>1604</v>
      </c>
      <c r="K98" s="100">
        <v>45552</v>
      </c>
      <c r="L98" s="69" t="s">
        <v>82</v>
      </c>
      <c r="M98" s="69" t="s">
        <v>4</v>
      </c>
      <c r="N98" s="69" t="s">
        <v>101</v>
      </c>
      <c r="O98" s="69" t="s">
        <v>1436</v>
      </c>
      <c r="P98" s="78"/>
      <c r="Q98" s="96">
        <v>45553</v>
      </c>
      <c r="R98" s="97" t="s">
        <v>1481</v>
      </c>
      <c r="S98" s="98"/>
    </row>
    <row r="99" spans="1:19" ht="42.75">
      <c r="A99" s="90" t="s">
        <v>47</v>
      </c>
      <c r="B99" s="91" t="s">
        <v>258</v>
      </c>
      <c r="C99" s="91" t="s">
        <v>1433</v>
      </c>
      <c r="D99" s="90">
        <v>1356</v>
      </c>
      <c r="E99" s="90">
        <v>1327</v>
      </c>
      <c r="F99" s="90" t="s">
        <v>1434</v>
      </c>
      <c r="G99" s="90">
        <v>2024</v>
      </c>
      <c r="H99" s="92">
        <v>45393</v>
      </c>
      <c r="I99" s="101">
        <v>45393</v>
      </c>
      <c r="J99" s="94" t="s">
        <v>1605</v>
      </c>
      <c r="K99" s="100">
        <v>45394</v>
      </c>
      <c r="L99" s="69" t="s">
        <v>77</v>
      </c>
      <c r="M99" s="69"/>
      <c r="N99" s="69"/>
      <c r="O99" s="69" t="s">
        <v>1436</v>
      </c>
      <c r="P99" s="78"/>
      <c r="Q99" s="96"/>
      <c r="R99" s="97"/>
      <c r="S99" s="98"/>
    </row>
    <row r="100" spans="1:19" ht="42.75">
      <c r="A100" s="90" t="s">
        <v>47</v>
      </c>
      <c r="B100" s="91" t="s">
        <v>258</v>
      </c>
      <c r="C100" s="91" t="s">
        <v>1437</v>
      </c>
      <c r="D100" s="90">
        <v>1930</v>
      </c>
      <c r="E100" s="90">
        <v>2317</v>
      </c>
      <c r="F100" s="90" t="s">
        <v>1434</v>
      </c>
      <c r="G100" s="90">
        <v>2024</v>
      </c>
      <c r="H100" s="92">
        <v>45398</v>
      </c>
      <c r="I100" s="92">
        <v>45398</v>
      </c>
      <c r="J100" s="94" t="s">
        <v>1606</v>
      </c>
      <c r="K100" s="100">
        <v>45398</v>
      </c>
      <c r="L100" s="69" t="s">
        <v>77</v>
      </c>
      <c r="M100" s="69"/>
      <c r="N100" s="69"/>
      <c r="O100" s="69" t="s">
        <v>1436</v>
      </c>
      <c r="P100" s="78"/>
      <c r="Q100" s="96"/>
      <c r="R100" s="97"/>
      <c r="S100" s="98"/>
    </row>
    <row r="101" spans="1:19" ht="42.75">
      <c r="A101" s="90" t="s">
        <v>47</v>
      </c>
      <c r="B101" s="91" t="s">
        <v>258</v>
      </c>
      <c r="C101" s="91" t="s">
        <v>1439</v>
      </c>
      <c r="D101" s="90">
        <v>894</v>
      </c>
      <c r="E101" s="90">
        <v>1052</v>
      </c>
      <c r="F101" s="90" t="s">
        <v>1434</v>
      </c>
      <c r="G101" s="90">
        <v>2024</v>
      </c>
      <c r="H101" s="92">
        <v>45328</v>
      </c>
      <c r="I101" s="93"/>
      <c r="J101" s="94" t="s">
        <v>1607</v>
      </c>
      <c r="K101" s="95"/>
      <c r="L101" s="69" t="s">
        <v>75</v>
      </c>
      <c r="M101" s="69"/>
      <c r="N101" s="69"/>
      <c r="O101" s="69"/>
      <c r="P101" s="78"/>
      <c r="Q101" s="96"/>
      <c r="R101" s="97"/>
      <c r="S101" s="98"/>
    </row>
    <row r="102" spans="1:19" ht="42.75">
      <c r="A102" s="90" t="s">
        <v>47</v>
      </c>
      <c r="B102" s="91" t="s">
        <v>258</v>
      </c>
      <c r="C102" s="91" t="s">
        <v>1441</v>
      </c>
      <c r="D102" s="90">
        <v>2458</v>
      </c>
      <c r="E102" s="90">
        <v>2535</v>
      </c>
      <c r="F102" s="90" t="s">
        <v>1434</v>
      </c>
      <c r="G102" s="90">
        <v>2024</v>
      </c>
      <c r="H102" s="101">
        <v>45511</v>
      </c>
      <c r="I102" s="101">
        <v>45511</v>
      </c>
      <c r="J102" s="94" t="s">
        <v>1608</v>
      </c>
      <c r="K102" s="100">
        <v>45516</v>
      </c>
      <c r="L102" s="69" t="s">
        <v>81</v>
      </c>
      <c r="M102" s="69" t="s">
        <v>4</v>
      </c>
      <c r="N102" s="69" t="s">
        <v>101</v>
      </c>
      <c r="O102" s="69" t="s">
        <v>1436</v>
      </c>
      <c r="P102" s="78"/>
      <c r="Q102" s="96">
        <v>45517</v>
      </c>
      <c r="R102" s="97" t="s">
        <v>1481</v>
      </c>
      <c r="S102" s="98"/>
    </row>
    <row r="103" spans="1:19" ht="42.75">
      <c r="A103" s="90" t="s">
        <v>47</v>
      </c>
      <c r="B103" s="91" t="s">
        <v>258</v>
      </c>
      <c r="C103" s="91" t="s">
        <v>1609</v>
      </c>
      <c r="D103" s="90">
        <v>642</v>
      </c>
      <c r="E103" s="90">
        <v>683</v>
      </c>
      <c r="F103" s="90" t="s">
        <v>1434</v>
      </c>
      <c r="G103" s="90">
        <v>2024</v>
      </c>
      <c r="H103" s="101">
        <v>45510</v>
      </c>
      <c r="I103" s="101">
        <v>45511</v>
      </c>
      <c r="J103" s="94" t="s">
        <v>1610</v>
      </c>
      <c r="K103" s="100">
        <v>45516</v>
      </c>
      <c r="L103" s="69" t="s">
        <v>81</v>
      </c>
      <c r="M103" s="69" t="s">
        <v>4</v>
      </c>
      <c r="N103" s="69" t="s">
        <v>101</v>
      </c>
      <c r="O103" s="69" t="s">
        <v>1436</v>
      </c>
      <c r="P103" s="78"/>
      <c r="Q103" s="96">
        <v>45517</v>
      </c>
      <c r="R103" s="97" t="s">
        <v>1481</v>
      </c>
      <c r="S103" s="98"/>
    </row>
    <row r="104" spans="1:19" ht="42.75">
      <c r="A104" s="90" t="s">
        <v>47</v>
      </c>
      <c r="B104" s="91" t="s">
        <v>258</v>
      </c>
      <c r="C104" s="91" t="s">
        <v>1611</v>
      </c>
      <c r="D104" s="90">
        <v>1425</v>
      </c>
      <c r="E104" s="90">
        <v>1418</v>
      </c>
      <c r="F104" s="90" t="s">
        <v>1434</v>
      </c>
      <c r="G104" s="90">
        <v>2024</v>
      </c>
      <c r="H104" s="101">
        <v>45552</v>
      </c>
      <c r="I104" s="101">
        <v>45552</v>
      </c>
      <c r="J104" s="94" t="s">
        <v>1612</v>
      </c>
      <c r="K104" s="101">
        <v>45552</v>
      </c>
      <c r="L104" s="69" t="s">
        <v>82</v>
      </c>
      <c r="M104" s="69" t="s">
        <v>4</v>
      </c>
      <c r="N104" s="69" t="s">
        <v>101</v>
      </c>
      <c r="O104" s="69" t="s">
        <v>1436</v>
      </c>
      <c r="P104" s="78"/>
      <c r="Q104" s="96">
        <v>45553</v>
      </c>
      <c r="R104" s="97" t="s">
        <v>1481</v>
      </c>
      <c r="S104" s="98"/>
    </row>
    <row r="105" spans="1:19" ht="42.75">
      <c r="A105" s="90" t="s">
        <v>47</v>
      </c>
      <c r="B105" s="91" t="s">
        <v>258</v>
      </c>
      <c r="C105" s="91" t="s">
        <v>1613</v>
      </c>
      <c r="D105" s="90">
        <v>1368</v>
      </c>
      <c r="E105" s="90">
        <v>1538</v>
      </c>
      <c r="F105" s="90" t="s">
        <v>1434</v>
      </c>
      <c r="G105" s="90">
        <v>2024</v>
      </c>
      <c r="H105" s="92">
        <v>45329</v>
      </c>
      <c r="I105" s="93"/>
      <c r="J105" s="94" t="s">
        <v>1614</v>
      </c>
      <c r="K105" s="95"/>
      <c r="L105" s="69" t="s">
        <v>75</v>
      </c>
      <c r="M105" s="69"/>
      <c r="N105" s="69"/>
      <c r="O105" s="69"/>
      <c r="P105" s="78"/>
      <c r="Q105" s="96"/>
      <c r="R105" s="97"/>
      <c r="S105" s="98"/>
    </row>
    <row r="106" spans="1:19" ht="42.75">
      <c r="A106" s="90" t="s">
        <v>47</v>
      </c>
      <c r="B106" s="91" t="s">
        <v>258</v>
      </c>
      <c r="C106" s="91" t="s">
        <v>1615</v>
      </c>
      <c r="D106" s="90">
        <v>676</v>
      </c>
      <c r="E106" s="90">
        <v>679</v>
      </c>
      <c r="F106" s="90" t="s">
        <v>1434</v>
      </c>
      <c r="G106" s="90">
        <v>2024</v>
      </c>
      <c r="H106" s="101">
        <v>45540</v>
      </c>
      <c r="I106" s="101">
        <v>45544</v>
      </c>
      <c r="J106" s="94" t="s">
        <v>1616</v>
      </c>
      <c r="K106" s="100">
        <v>45552</v>
      </c>
      <c r="L106" s="69" t="s">
        <v>82</v>
      </c>
      <c r="M106" s="69" t="s">
        <v>4</v>
      </c>
      <c r="N106" s="69" t="s">
        <v>101</v>
      </c>
      <c r="O106" s="69" t="s">
        <v>1436</v>
      </c>
      <c r="P106" s="78"/>
      <c r="Q106" s="96">
        <v>45552</v>
      </c>
      <c r="R106" s="97" t="s">
        <v>1481</v>
      </c>
      <c r="S106" s="98"/>
    </row>
    <row r="107" spans="1:19" ht="42.75">
      <c r="A107" s="90" t="s">
        <v>47</v>
      </c>
      <c r="B107" s="91" t="s">
        <v>258</v>
      </c>
      <c r="C107" s="91" t="s">
        <v>1617</v>
      </c>
      <c r="D107" s="90">
        <v>534</v>
      </c>
      <c r="E107" s="90">
        <v>604</v>
      </c>
      <c r="F107" s="90" t="s">
        <v>1434</v>
      </c>
      <c r="G107" s="90">
        <v>2024</v>
      </c>
      <c r="H107" s="92">
        <v>45363</v>
      </c>
      <c r="I107" s="93"/>
      <c r="J107" s="94" t="s">
        <v>1618</v>
      </c>
      <c r="K107" s="95"/>
      <c r="L107" s="69" t="s">
        <v>76</v>
      </c>
      <c r="M107" s="69"/>
      <c r="N107" s="69"/>
      <c r="O107" s="69"/>
      <c r="P107" s="78"/>
      <c r="Q107" s="96"/>
      <c r="R107" s="97"/>
      <c r="S107" s="98"/>
    </row>
    <row r="108" spans="1:19" ht="42.75">
      <c r="A108" s="90" t="s">
        <v>47</v>
      </c>
      <c r="B108" s="91" t="s">
        <v>258</v>
      </c>
      <c r="C108" s="91" t="s">
        <v>1619</v>
      </c>
      <c r="D108" s="90">
        <v>1385</v>
      </c>
      <c r="E108" s="90">
        <v>1479</v>
      </c>
      <c r="F108" s="90" t="s">
        <v>1434</v>
      </c>
      <c r="G108" s="90">
        <v>2024</v>
      </c>
      <c r="H108" s="101">
        <v>45483</v>
      </c>
      <c r="I108" s="101">
        <v>45484</v>
      </c>
      <c r="J108" s="94" t="s">
        <v>1620</v>
      </c>
      <c r="K108" s="100">
        <v>45489</v>
      </c>
      <c r="L108" s="69" t="s">
        <v>80</v>
      </c>
      <c r="M108" s="69" t="s">
        <v>4</v>
      </c>
      <c r="N108" s="69" t="s">
        <v>101</v>
      </c>
      <c r="O108" s="69" t="s">
        <v>1436</v>
      </c>
      <c r="P108" s="78"/>
      <c r="Q108" s="96">
        <v>45490</v>
      </c>
      <c r="R108" s="97"/>
      <c r="S108" s="98"/>
    </row>
    <row r="109" spans="1:19" ht="42.75">
      <c r="A109" s="90" t="s">
        <v>47</v>
      </c>
      <c r="B109" s="91" t="s">
        <v>258</v>
      </c>
      <c r="C109" s="91" t="s">
        <v>1621</v>
      </c>
      <c r="D109" s="90">
        <v>472</v>
      </c>
      <c r="E109" s="90">
        <v>486</v>
      </c>
      <c r="F109" s="90" t="s">
        <v>1434</v>
      </c>
      <c r="G109" s="90">
        <v>2024</v>
      </c>
      <c r="H109" s="101">
        <v>45573</v>
      </c>
      <c r="I109" s="101">
        <v>45574</v>
      </c>
      <c r="J109" s="94" t="s">
        <v>1622</v>
      </c>
      <c r="K109" s="100">
        <v>45580</v>
      </c>
      <c r="L109" s="69" t="s">
        <v>83</v>
      </c>
      <c r="M109" s="69" t="s">
        <v>4</v>
      </c>
      <c r="N109" s="69" t="s">
        <v>101</v>
      </c>
      <c r="O109" s="69" t="s">
        <v>1436</v>
      </c>
      <c r="P109" s="78"/>
      <c r="Q109" s="96">
        <v>45580</v>
      </c>
      <c r="R109" s="97" t="s">
        <v>1481</v>
      </c>
      <c r="S109" s="98"/>
    </row>
    <row r="110" spans="1:19" ht="42.75">
      <c r="A110" s="90" t="s">
        <v>47</v>
      </c>
      <c r="B110" s="91" t="s">
        <v>258</v>
      </c>
      <c r="C110" s="91" t="s">
        <v>1623</v>
      </c>
      <c r="D110" s="90">
        <v>879</v>
      </c>
      <c r="E110" s="90">
        <v>989</v>
      </c>
      <c r="F110" s="90" t="s">
        <v>1434</v>
      </c>
      <c r="G110" s="90">
        <v>2024</v>
      </c>
      <c r="H110" s="101">
        <v>45419</v>
      </c>
      <c r="I110" s="101">
        <v>45420</v>
      </c>
      <c r="J110" s="94" t="s">
        <v>1624</v>
      </c>
      <c r="K110" s="100">
        <v>45421</v>
      </c>
      <c r="L110" s="69" t="s">
        <v>78</v>
      </c>
      <c r="M110" s="69"/>
      <c r="N110" s="69"/>
      <c r="O110" s="69" t="s">
        <v>1436</v>
      </c>
      <c r="P110" s="78"/>
      <c r="Q110" s="96"/>
      <c r="R110" s="97"/>
      <c r="S110" s="98"/>
    </row>
    <row r="111" spans="1:19" ht="42.75">
      <c r="A111" s="90" t="s">
        <v>47</v>
      </c>
      <c r="B111" s="91" t="s">
        <v>258</v>
      </c>
      <c r="C111" s="91" t="s">
        <v>1625</v>
      </c>
      <c r="D111" s="90">
        <v>1528</v>
      </c>
      <c r="E111" s="90">
        <v>1576</v>
      </c>
      <c r="F111" s="90" t="s">
        <v>1434</v>
      </c>
      <c r="G111" s="90">
        <v>2024</v>
      </c>
      <c r="H111" s="101">
        <v>45517</v>
      </c>
      <c r="I111" s="101">
        <v>45518</v>
      </c>
      <c r="J111" s="94" t="s">
        <v>1626</v>
      </c>
      <c r="K111" s="100">
        <v>45523</v>
      </c>
      <c r="L111" s="69" t="s">
        <v>81</v>
      </c>
      <c r="M111" s="69" t="s">
        <v>4</v>
      </c>
      <c r="N111" s="69" t="s">
        <v>101</v>
      </c>
      <c r="O111" s="69" t="s">
        <v>1436</v>
      </c>
      <c r="P111" s="78"/>
      <c r="Q111" s="96">
        <v>45531</v>
      </c>
      <c r="R111" s="97" t="s">
        <v>1481</v>
      </c>
      <c r="S111" s="98"/>
    </row>
    <row r="112" spans="1:19" ht="42.75">
      <c r="A112" s="90" t="s">
        <v>47</v>
      </c>
      <c r="B112" s="91" t="s">
        <v>258</v>
      </c>
      <c r="C112" s="91" t="s">
        <v>1627</v>
      </c>
      <c r="D112" s="90">
        <v>198</v>
      </c>
      <c r="E112" s="90">
        <v>229</v>
      </c>
      <c r="F112" s="90" t="s">
        <v>1434</v>
      </c>
      <c r="G112" s="90">
        <v>2024</v>
      </c>
      <c r="H112" s="101">
        <v>45580</v>
      </c>
      <c r="I112" s="101">
        <v>45581</v>
      </c>
      <c r="J112" s="94" t="s">
        <v>1628</v>
      </c>
      <c r="K112" s="100">
        <v>45523</v>
      </c>
      <c r="L112" s="69" t="s">
        <v>83</v>
      </c>
      <c r="M112" s="69" t="s">
        <v>4</v>
      </c>
      <c r="N112" s="69" t="s">
        <v>101</v>
      </c>
      <c r="O112" s="69" t="s">
        <v>1436</v>
      </c>
      <c r="P112" s="78"/>
      <c r="Q112" s="96">
        <v>45586</v>
      </c>
      <c r="R112" s="97" t="s">
        <v>1481</v>
      </c>
      <c r="S112" s="98"/>
    </row>
    <row r="113" spans="1:19" ht="42.75">
      <c r="A113" s="90" t="s">
        <v>47</v>
      </c>
      <c r="B113" s="91" t="s">
        <v>258</v>
      </c>
      <c r="C113" s="91" t="s">
        <v>1629</v>
      </c>
      <c r="D113" s="90">
        <v>257</v>
      </c>
      <c r="E113" s="90">
        <v>252</v>
      </c>
      <c r="F113" s="90" t="s">
        <v>1434</v>
      </c>
      <c r="G113" s="90">
        <v>2024</v>
      </c>
      <c r="H113" s="101">
        <v>45580</v>
      </c>
      <c r="I113" s="101">
        <v>45581</v>
      </c>
      <c r="J113" s="94" t="s">
        <v>1630</v>
      </c>
      <c r="K113" s="100">
        <v>45584</v>
      </c>
      <c r="L113" s="69" t="s">
        <v>83</v>
      </c>
      <c r="M113" s="69" t="s">
        <v>4</v>
      </c>
      <c r="N113" s="69" t="s">
        <v>101</v>
      </c>
      <c r="O113" s="69" t="s">
        <v>1436</v>
      </c>
      <c r="P113" s="78"/>
      <c r="Q113" s="96">
        <v>45586</v>
      </c>
      <c r="R113" s="97" t="s">
        <v>1481</v>
      </c>
      <c r="S113" s="98"/>
    </row>
    <row r="114" spans="1:19" ht="42.75">
      <c r="A114" s="90" t="s">
        <v>47</v>
      </c>
      <c r="B114" s="91" t="s">
        <v>258</v>
      </c>
      <c r="C114" s="91" t="s">
        <v>1631</v>
      </c>
      <c r="D114" s="90">
        <v>1191</v>
      </c>
      <c r="E114" s="90">
        <v>1343</v>
      </c>
      <c r="F114" s="90" t="s">
        <v>1434</v>
      </c>
      <c r="G114" s="90">
        <v>2024</v>
      </c>
      <c r="H114" s="101">
        <v>45576</v>
      </c>
      <c r="I114" s="101">
        <v>45576</v>
      </c>
      <c r="J114" s="94" t="s">
        <v>1632</v>
      </c>
      <c r="K114" s="100">
        <v>45580</v>
      </c>
      <c r="L114" s="69" t="s">
        <v>83</v>
      </c>
      <c r="M114" s="69" t="s">
        <v>4</v>
      </c>
      <c r="N114" s="69" t="s">
        <v>101</v>
      </c>
      <c r="O114" s="69" t="s">
        <v>1436</v>
      </c>
      <c r="P114" s="78"/>
      <c r="Q114" s="96">
        <v>45580</v>
      </c>
      <c r="R114" s="97" t="s">
        <v>1481</v>
      </c>
      <c r="S114" s="98"/>
    </row>
    <row r="115" spans="1:19" ht="42.75">
      <c r="A115" s="90" t="s">
        <v>47</v>
      </c>
      <c r="B115" s="91" t="s">
        <v>258</v>
      </c>
      <c r="C115" s="91" t="s">
        <v>1633</v>
      </c>
      <c r="D115" s="90">
        <v>1019</v>
      </c>
      <c r="E115" s="90">
        <v>1208</v>
      </c>
      <c r="F115" s="90" t="s">
        <v>1434</v>
      </c>
      <c r="G115" s="90">
        <v>2024</v>
      </c>
      <c r="H115" s="92">
        <v>45329</v>
      </c>
      <c r="I115" s="93"/>
      <c r="J115" s="94" t="s">
        <v>1634</v>
      </c>
      <c r="K115" s="95"/>
      <c r="L115" s="69" t="s">
        <v>75</v>
      </c>
      <c r="M115" s="69"/>
      <c r="N115" s="69"/>
      <c r="O115" s="69"/>
      <c r="P115" s="78"/>
      <c r="Q115" s="96"/>
      <c r="R115" s="97"/>
      <c r="S115" s="98"/>
    </row>
    <row r="116" spans="1:19" ht="42.75">
      <c r="A116" s="90" t="s">
        <v>47</v>
      </c>
      <c r="B116" s="91" t="s">
        <v>258</v>
      </c>
      <c r="C116" s="91" t="s">
        <v>1635</v>
      </c>
      <c r="D116" s="90">
        <v>1353</v>
      </c>
      <c r="E116" s="90">
        <v>1440</v>
      </c>
      <c r="F116" s="90" t="s">
        <v>1434</v>
      </c>
      <c r="G116" s="90">
        <v>2024</v>
      </c>
      <c r="H116" s="92">
        <v>45363</v>
      </c>
      <c r="I116" s="93"/>
      <c r="J116" s="94" t="s">
        <v>1636</v>
      </c>
      <c r="K116" s="95"/>
      <c r="L116" s="69" t="s">
        <v>76</v>
      </c>
      <c r="M116" s="69"/>
      <c r="N116" s="69"/>
      <c r="O116" s="69"/>
      <c r="P116" s="78"/>
      <c r="Q116" s="96"/>
      <c r="R116" s="97"/>
      <c r="S116" s="98"/>
    </row>
    <row r="117" spans="1:19" ht="42.75">
      <c r="A117" s="90" t="s">
        <v>47</v>
      </c>
      <c r="B117" s="91" t="s">
        <v>258</v>
      </c>
      <c r="C117" s="91" t="s">
        <v>1637</v>
      </c>
      <c r="D117" s="90">
        <v>857</v>
      </c>
      <c r="E117" s="90">
        <v>872</v>
      </c>
      <c r="F117" s="90" t="s">
        <v>1434</v>
      </c>
      <c r="G117" s="90">
        <v>2024</v>
      </c>
      <c r="H117" s="101">
        <v>45517</v>
      </c>
      <c r="I117" s="101">
        <v>45518</v>
      </c>
      <c r="J117" s="94" t="s">
        <v>1638</v>
      </c>
      <c r="K117" s="100">
        <v>45523</v>
      </c>
      <c r="L117" s="69" t="s">
        <v>81</v>
      </c>
      <c r="M117" s="69" t="s">
        <v>4</v>
      </c>
      <c r="N117" s="69" t="s">
        <v>101</v>
      </c>
      <c r="O117" s="69" t="s">
        <v>1436</v>
      </c>
      <c r="P117" s="78"/>
      <c r="Q117" s="96">
        <v>45531</v>
      </c>
      <c r="R117" s="97" t="s">
        <v>1481</v>
      </c>
      <c r="S117" s="98"/>
    </row>
    <row r="118" spans="1:19" ht="42.75">
      <c r="A118" s="90" t="s">
        <v>47</v>
      </c>
      <c r="B118" s="91" t="s">
        <v>258</v>
      </c>
      <c r="C118" s="91" t="s">
        <v>1639</v>
      </c>
      <c r="D118" s="90">
        <v>784</v>
      </c>
      <c r="E118" s="90">
        <v>900</v>
      </c>
      <c r="F118" s="90" t="s">
        <v>1434</v>
      </c>
      <c r="G118" s="90">
        <v>2024</v>
      </c>
      <c r="H118" s="104">
        <v>45544</v>
      </c>
      <c r="I118" s="104">
        <v>45541</v>
      </c>
      <c r="J118" s="94" t="s">
        <v>1640</v>
      </c>
      <c r="K118" s="100">
        <v>45523</v>
      </c>
      <c r="L118" s="69" t="s">
        <v>82</v>
      </c>
      <c r="M118" s="69" t="s">
        <v>4</v>
      </c>
      <c r="N118" s="69" t="s">
        <v>108</v>
      </c>
      <c r="O118" s="69" t="s">
        <v>1436</v>
      </c>
      <c r="P118" s="78"/>
      <c r="Q118" s="96">
        <v>45552</v>
      </c>
      <c r="R118" s="97" t="s">
        <v>1481</v>
      </c>
      <c r="S118" s="98"/>
    </row>
    <row r="119" spans="1:19" ht="42.75">
      <c r="A119" s="90" t="s">
        <v>47</v>
      </c>
      <c r="B119" s="91" t="s">
        <v>258</v>
      </c>
      <c r="C119" s="91" t="s">
        <v>1641</v>
      </c>
      <c r="D119" s="90">
        <v>1825</v>
      </c>
      <c r="E119" s="90">
        <v>2210</v>
      </c>
      <c r="F119" s="90" t="s">
        <v>1434</v>
      </c>
      <c r="G119" s="90">
        <v>2024</v>
      </c>
      <c r="H119" s="101">
        <v>45608</v>
      </c>
      <c r="I119" s="101">
        <v>45608</v>
      </c>
      <c r="J119" s="105" t="s">
        <v>1642</v>
      </c>
      <c r="K119" s="100">
        <v>45613</v>
      </c>
      <c r="L119" s="69" t="s">
        <v>84</v>
      </c>
      <c r="M119" s="69" t="s">
        <v>4</v>
      </c>
      <c r="N119" s="69" t="s">
        <v>101</v>
      </c>
      <c r="O119" s="69" t="s">
        <v>1436</v>
      </c>
      <c r="P119" s="78"/>
      <c r="Q119" s="96">
        <v>45614</v>
      </c>
      <c r="R119" s="97" t="s">
        <v>1481</v>
      </c>
      <c r="S119" s="98"/>
    </row>
    <row r="120" spans="1:19" ht="42.75">
      <c r="A120" s="90" t="s">
        <v>47</v>
      </c>
      <c r="B120" s="91" t="s">
        <v>258</v>
      </c>
      <c r="C120" s="91" t="s">
        <v>1643</v>
      </c>
      <c r="D120" s="90">
        <v>729</v>
      </c>
      <c r="E120" s="90">
        <v>974</v>
      </c>
      <c r="F120" s="90" t="s">
        <v>1434</v>
      </c>
      <c r="G120" s="90">
        <v>2024</v>
      </c>
      <c r="H120" s="101">
        <v>45576</v>
      </c>
      <c r="I120" s="101">
        <v>45575</v>
      </c>
      <c r="J120" s="94" t="s">
        <v>1644</v>
      </c>
      <c r="K120" s="100">
        <v>45580</v>
      </c>
      <c r="L120" s="69" t="s">
        <v>83</v>
      </c>
      <c r="M120" s="69" t="s">
        <v>4</v>
      </c>
      <c r="N120" s="69" t="s">
        <v>101</v>
      </c>
      <c r="O120" s="69" t="s">
        <v>1436</v>
      </c>
      <c r="P120" s="78"/>
      <c r="Q120" s="96">
        <v>45580</v>
      </c>
      <c r="R120" s="97" t="s">
        <v>1481</v>
      </c>
      <c r="S120" s="98"/>
    </row>
    <row r="121" spans="1:19" ht="42.75">
      <c r="A121" s="90" t="s">
        <v>47</v>
      </c>
      <c r="B121" s="91" t="s">
        <v>258</v>
      </c>
      <c r="C121" s="91" t="s">
        <v>1645</v>
      </c>
      <c r="D121" s="90">
        <v>1357</v>
      </c>
      <c r="E121" s="90">
        <v>1531</v>
      </c>
      <c r="F121" s="90" t="s">
        <v>1434</v>
      </c>
      <c r="G121" s="90">
        <v>2024</v>
      </c>
      <c r="H121" s="101">
        <v>45483</v>
      </c>
      <c r="I121" s="101">
        <v>45484</v>
      </c>
      <c r="J121" s="94" t="s">
        <v>1646</v>
      </c>
      <c r="K121" s="100">
        <v>45489</v>
      </c>
      <c r="L121" s="69" t="s">
        <v>80</v>
      </c>
      <c r="M121" s="69" t="s">
        <v>4</v>
      </c>
      <c r="N121" s="69" t="s">
        <v>101</v>
      </c>
      <c r="O121" s="69" t="s">
        <v>1436</v>
      </c>
      <c r="P121" s="78"/>
      <c r="Q121" s="96">
        <v>45490</v>
      </c>
      <c r="R121" s="97"/>
      <c r="S121" s="98"/>
    </row>
    <row r="122" spans="1:19" ht="42.75">
      <c r="A122" s="90" t="s">
        <v>47</v>
      </c>
      <c r="B122" s="91" t="s">
        <v>258</v>
      </c>
      <c r="C122" s="91" t="s">
        <v>939</v>
      </c>
      <c r="D122" s="90">
        <v>654</v>
      </c>
      <c r="E122" s="90">
        <v>788</v>
      </c>
      <c r="F122" s="90" t="s">
        <v>1434</v>
      </c>
      <c r="G122" s="90">
        <v>2024</v>
      </c>
      <c r="H122" s="101">
        <v>45420</v>
      </c>
      <c r="I122" s="101">
        <v>45420</v>
      </c>
      <c r="J122" s="94" t="s">
        <v>1647</v>
      </c>
      <c r="K122" s="100">
        <v>45427</v>
      </c>
      <c r="L122" s="69" t="s">
        <v>78</v>
      </c>
      <c r="M122" s="69"/>
      <c r="N122" s="69"/>
      <c r="O122" s="69" t="s">
        <v>1436</v>
      </c>
      <c r="P122" s="78"/>
      <c r="Q122" s="96"/>
      <c r="R122" s="97"/>
      <c r="S122" s="98"/>
    </row>
    <row r="123" spans="1:19" ht="42.75">
      <c r="A123" s="90" t="s">
        <v>47</v>
      </c>
      <c r="B123" s="91" t="s">
        <v>258</v>
      </c>
      <c r="C123" s="102" t="s">
        <v>1648</v>
      </c>
      <c r="D123" s="90">
        <v>466</v>
      </c>
      <c r="E123" s="90">
        <v>448</v>
      </c>
      <c r="F123" s="90" t="s">
        <v>1454</v>
      </c>
      <c r="G123" s="90"/>
      <c r="H123" s="93"/>
      <c r="I123" s="93"/>
      <c r="J123" s="93"/>
      <c r="K123" s="95"/>
      <c r="L123" s="69"/>
      <c r="M123" s="69"/>
      <c r="N123" s="69"/>
      <c r="O123" s="69"/>
      <c r="P123" s="78"/>
      <c r="Q123" s="96"/>
      <c r="R123" s="97"/>
      <c r="S123" s="98"/>
    </row>
    <row r="124" spans="1:19" ht="42.75">
      <c r="A124" s="90" t="s">
        <v>47</v>
      </c>
      <c r="B124" s="91" t="s">
        <v>258</v>
      </c>
      <c r="C124" s="91" t="s">
        <v>1649</v>
      </c>
      <c r="D124" s="90">
        <v>1843</v>
      </c>
      <c r="E124" s="90">
        <v>1913</v>
      </c>
      <c r="F124" s="90" t="s">
        <v>1434</v>
      </c>
      <c r="G124" s="90">
        <v>2024</v>
      </c>
      <c r="H124" s="101">
        <v>45552</v>
      </c>
      <c r="I124" s="101">
        <v>45552</v>
      </c>
      <c r="J124" s="94" t="s">
        <v>1650</v>
      </c>
      <c r="K124" s="100">
        <v>45553</v>
      </c>
      <c r="L124" s="69" t="s">
        <v>82</v>
      </c>
      <c r="M124" s="69" t="s">
        <v>4</v>
      </c>
      <c r="N124" s="69" t="s">
        <v>101</v>
      </c>
      <c r="O124" s="69" t="s">
        <v>1436</v>
      </c>
      <c r="P124" s="78"/>
      <c r="Q124" s="96">
        <v>45553</v>
      </c>
      <c r="R124" s="97" t="s">
        <v>1481</v>
      </c>
      <c r="S124" s="98"/>
    </row>
    <row r="125" spans="1:19" ht="42.75">
      <c r="A125" s="90" t="s">
        <v>47</v>
      </c>
      <c r="B125" s="91" t="s">
        <v>258</v>
      </c>
      <c r="C125" s="91" t="s">
        <v>1651</v>
      </c>
      <c r="D125" s="90">
        <v>1843</v>
      </c>
      <c r="E125" s="90">
        <v>1382</v>
      </c>
      <c r="F125" s="90" t="s">
        <v>1434</v>
      </c>
      <c r="G125" s="90">
        <v>2024</v>
      </c>
      <c r="H125" s="101">
        <v>45399</v>
      </c>
      <c r="I125" s="101">
        <v>45399</v>
      </c>
      <c r="J125" s="94" t="s">
        <v>1652</v>
      </c>
      <c r="K125" s="100">
        <v>45399</v>
      </c>
      <c r="L125" s="69" t="s">
        <v>77</v>
      </c>
      <c r="M125" s="69"/>
      <c r="N125" s="69"/>
      <c r="O125" s="69" t="s">
        <v>1436</v>
      </c>
      <c r="P125" s="78"/>
      <c r="Q125" s="96"/>
      <c r="R125" s="97"/>
      <c r="S125" s="98"/>
    </row>
    <row r="126" spans="1:19" ht="42.75">
      <c r="A126" s="90" t="s">
        <v>47</v>
      </c>
      <c r="B126" s="91" t="s">
        <v>258</v>
      </c>
      <c r="C126" s="91" t="s">
        <v>610</v>
      </c>
      <c r="D126" s="90">
        <v>1714</v>
      </c>
      <c r="E126" s="90">
        <v>2086</v>
      </c>
      <c r="F126" s="90" t="s">
        <v>1434</v>
      </c>
      <c r="G126" s="90">
        <v>2024</v>
      </c>
      <c r="H126" s="92">
        <v>45328</v>
      </c>
      <c r="I126" s="93"/>
      <c r="J126" s="94" t="s">
        <v>1653</v>
      </c>
      <c r="K126" s="95"/>
      <c r="L126" s="69" t="s">
        <v>75</v>
      </c>
      <c r="M126" s="69"/>
      <c r="N126" s="69"/>
      <c r="O126" s="69"/>
      <c r="P126" s="78"/>
      <c r="Q126" s="96"/>
      <c r="R126" s="97"/>
      <c r="S126" s="98"/>
    </row>
    <row r="127" spans="1:19" ht="42.75">
      <c r="A127" s="90" t="s">
        <v>47</v>
      </c>
      <c r="B127" s="91" t="s">
        <v>258</v>
      </c>
      <c r="C127" s="91" t="s">
        <v>427</v>
      </c>
      <c r="D127" s="90">
        <v>1677</v>
      </c>
      <c r="E127" s="90">
        <v>1773</v>
      </c>
      <c r="F127" s="90" t="s">
        <v>1434</v>
      </c>
      <c r="G127" s="90">
        <v>2024</v>
      </c>
      <c r="H127" s="92">
        <v>45385</v>
      </c>
      <c r="I127" s="92">
        <v>45385</v>
      </c>
      <c r="J127" s="94" t="s">
        <v>1654</v>
      </c>
      <c r="K127" s="100">
        <v>45393</v>
      </c>
      <c r="L127" s="69" t="s">
        <v>77</v>
      </c>
      <c r="M127" s="69"/>
      <c r="N127" s="69"/>
      <c r="O127" s="69" t="s">
        <v>1436</v>
      </c>
      <c r="P127" s="78"/>
      <c r="Q127" s="96"/>
      <c r="R127" s="97"/>
      <c r="S127" s="98"/>
    </row>
    <row r="128" spans="1:19" ht="42.75">
      <c r="A128" s="90" t="s">
        <v>47</v>
      </c>
      <c r="B128" s="91" t="s">
        <v>258</v>
      </c>
      <c r="C128" s="91" t="s">
        <v>522</v>
      </c>
      <c r="D128" s="90">
        <v>455</v>
      </c>
      <c r="E128" s="90">
        <v>595</v>
      </c>
      <c r="F128" s="90" t="s">
        <v>1434</v>
      </c>
      <c r="G128" s="90">
        <v>2024</v>
      </c>
      <c r="H128" s="101">
        <v>45449</v>
      </c>
      <c r="I128" s="101">
        <v>45449</v>
      </c>
      <c r="J128" s="94" t="s">
        <v>1655</v>
      </c>
      <c r="K128" s="100">
        <v>45461</v>
      </c>
      <c r="L128" s="69" t="s">
        <v>79</v>
      </c>
      <c r="M128" s="69"/>
      <c r="N128" s="69"/>
      <c r="O128" s="69" t="s">
        <v>1436</v>
      </c>
      <c r="P128" s="78"/>
      <c r="Q128" s="96">
        <v>45462</v>
      </c>
      <c r="R128" s="97"/>
      <c r="S128" s="98"/>
    </row>
    <row r="129" spans="1:19" ht="42.75">
      <c r="A129" s="90" t="s">
        <v>47</v>
      </c>
      <c r="B129" s="91" t="s">
        <v>258</v>
      </c>
      <c r="C129" s="91" t="s">
        <v>1656</v>
      </c>
      <c r="D129" s="90">
        <v>578</v>
      </c>
      <c r="E129" s="90">
        <v>566</v>
      </c>
      <c r="F129" s="90" t="s">
        <v>1434</v>
      </c>
      <c r="G129" s="90">
        <v>2024</v>
      </c>
      <c r="H129" s="101">
        <v>45454</v>
      </c>
      <c r="I129" s="101">
        <v>45454</v>
      </c>
      <c r="J129" s="94" t="s">
        <v>1657</v>
      </c>
      <c r="K129" s="100">
        <v>45462</v>
      </c>
      <c r="L129" s="69" t="s">
        <v>79</v>
      </c>
      <c r="M129" s="69"/>
      <c r="N129" s="69"/>
      <c r="O129" s="69" t="s">
        <v>1436</v>
      </c>
      <c r="P129" s="78"/>
      <c r="Q129" s="96">
        <v>45462</v>
      </c>
      <c r="R129" s="97"/>
      <c r="S129" s="98"/>
    </row>
    <row r="130" spans="1:19" ht="42.75">
      <c r="A130" s="90" t="s">
        <v>47</v>
      </c>
      <c r="B130" s="91" t="s">
        <v>258</v>
      </c>
      <c r="C130" s="91" t="s">
        <v>1658</v>
      </c>
      <c r="D130" s="90">
        <v>697</v>
      </c>
      <c r="E130" s="90">
        <v>776</v>
      </c>
      <c r="F130" s="90" t="s">
        <v>1434</v>
      </c>
      <c r="G130" s="90">
        <v>2024</v>
      </c>
      <c r="H130" s="101">
        <v>45510</v>
      </c>
      <c r="I130" s="101">
        <v>45511</v>
      </c>
      <c r="J130" s="94" t="s">
        <v>1659</v>
      </c>
      <c r="K130" s="100">
        <v>45516</v>
      </c>
      <c r="L130" s="69" t="s">
        <v>81</v>
      </c>
      <c r="M130" s="69" t="s">
        <v>4</v>
      </c>
      <c r="N130" s="69" t="s">
        <v>101</v>
      </c>
      <c r="O130" s="69" t="s">
        <v>1436</v>
      </c>
      <c r="P130" s="78"/>
      <c r="Q130" s="96">
        <v>45517</v>
      </c>
      <c r="R130" s="97" t="s">
        <v>1481</v>
      </c>
      <c r="S130" s="98"/>
    </row>
    <row r="131" spans="1:19" ht="42.75">
      <c r="A131" s="90" t="s">
        <v>47</v>
      </c>
      <c r="B131" s="91" t="s">
        <v>258</v>
      </c>
      <c r="C131" s="91" t="s">
        <v>1660</v>
      </c>
      <c r="D131" s="90">
        <v>604</v>
      </c>
      <c r="E131" s="90">
        <v>608</v>
      </c>
      <c r="F131" s="90" t="s">
        <v>1434</v>
      </c>
      <c r="G131" s="90">
        <v>2024</v>
      </c>
      <c r="H131" s="101">
        <v>45581</v>
      </c>
      <c r="I131" s="101">
        <v>45582</v>
      </c>
      <c r="J131" s="94" t="s">
        <v>1661</v>
      </c>
      <c r="K131" s="100">
        <v>45584</v>
      </c>
      <c r="L131" s="69" t="s">
        <v>83</v>
      </c>
      <c r="M131" s="69" t="s">
        <v>4</v>
      </c>
      <c r="N131" s="69" t="s">
        <v>101</v>
      </c>
      <c r="O131" s="69" t="s">
        <v>1436</v>
      </c>
      <c r="P131" s="78"/>
      <c r="Q131" s="96">
        <v>45586</v>
      </c>
      <c r="R131" s="97" t="s">
        <v>1481</v>
      </c>
      <c r="S131" s="98"/>
    </row>
    <row r="132" spans="1:19" ht="42.75">
      <c r="A132" s="90" t="s">
        <v>47</v>
      </c>
      <c r="B132" s="91" t="s">
        <v>258</v>
      </c>
      <c r="C132" s="91" t="s">
        <v>1662</v>
      </c>
      <c r="D132" s="90">
        <v>878</v>
      </c>
      <c r="E132" s="90">
        <v>845</v>
      </c>
      <c r="F132" s="90" t="s">
        <v>1434</v>
      </c>
      <c r="G132" s="90">
        <v>2024</v>
      </c>
      <c r="H132" s="101">
        <v>45609</v>
      </c>
      <c r="I132" s="101">
        <v>45610</v>
      </c>
      <c r="J132" s="94" t="s">
        <v>1663</v>
      </c>
      <c r="K132" s="100">
        <v>45616</v>
      </c>
      <c r="L132" s="69" t="s">
        <v>84</v>
      </c>
      <c r="M132" s="69" t="s">
        <v>4</v>
      </c>
      <c r="N132" s="69" t="s">
        <v>101</v>
      </c>
      <c r="O132" s="69" t="s">
        <v>1436</v>
      </c>
      <c r="P132" s="78"/>
      <c r="Q132" s="96">
        <v>45616</v>
      </c>
      <c r="R132" s="97" t="s">
        <v>1481</v>
      </c>
      <c r="S132" s="98"/>
    </row>
    <row r="133" spans="1:19" ht="42.75">
      <c r="A133" s="90" t="s">
        <v>47</v>
      </c>
      <c r="B133" s="91" t="s">
        <v>258</v>
      </c>
      <c r="C133" s="91" t="s">
        <v>1664</v>
      </c>
      <c r="D133" s="90">
        <v>1499</v>
      </c>
      <c r="E133" s="90">
        <v>1657</v>
      </c>
      <c r="F133" s="90" t="s">
        <v>1434</v>
      </c>
      <c r="G133" s="90">
        <v>2024</v>
      </c>
      <c r="H133" s="101">
        <v>45482</v>
      </c>
      <c r="I133" s="101">
        <v>45484</v>
      </c>
      <c r="J133" s="94" t="s">
        <v>1665</v>
      </c>
      <c r="K133" s="100">
        <v>45489</v>
      </c>
      <c r="L133" s="69" t="s">
        <v>80</v>
      </c>
      <c r="M133" s="69" t="s">
        <v>4</v>
      </c>
      <c r="N133" s="69" t="s">
        <v>101</v>
      </c>
      <c r="O133" s="69" t="s">
        <v>1436</v>
      </c>
      <c r="P133" s="78"/>
      <c r="Q133" s="96">
        <v>45490</v>
      </c>
      <c r="R133" s="97"/>
      <c r="S133" s="98"/>
    </row>
    <row r="134" spans="1:19" ht="42.75">
      <c r="A134" s="90" t="s">
        <v>47</v>
      </c>
      <c r="B134" s="91" t="s">
        <v>258</v>
      </c>
      <c r="C134" s="91" t="s">
        <v>764</v>
      </c>
      <c r="D134" s="90">
        <v>876</v>
      </c>
      <c r="E134" s="90">
        <v>1048</v>
      </c>
      <c r="F134" s="90" t="s">
        <v>1434</v>
      </c>
      <c r="G134" s="90">
        <v>2024</v>
      </c>
      <c r="H134" s="101">
        <v>45574</v>
      </c>
      <c r="I134" s="101">
        <v>45574</v>
      </c>
      <c r="J134" s="94" t="s">
        <v>1666</v>
      </c>
      <c r="K134" s="100">
        <v>45580</v>
      </c>
      <c r="L134" s="69" t="s">
        <v>83</v>
      </c>
      <c r="M134" s="69" t="s">
        <v>4</v>
      </c>
      <c r="N134" s="69" t="s">
        <v>101</v>
      </c>
      <c r="O134" s="69" t="s">
        <v>1436</v>
      </c>
      <c r="P134" s="78"/>
      <c r="Q134" s="96">
        <v>45580</v>
      </c>
      <c r="R134" s="97" t="s">
        <v>1481</v>
      </c>
      <c r="S134" s="98"/>
    </row>
    <row r="135" spans="1:19" ht="42.75">
      <c r="A135" s="90" t="s">
        <v>47</v>
      </c>
      <c r="B135" s="91" t="s">
        <v>418</v>
      </c>
      <c r="C135" s="91" t="s">
        <v>1667</v>
      </c>
      <c r="D135" s="90">
        <v>1773</v>
      </c>
      <c r="E135" s="90">
        <v>2026</v>
      </c>
      <c r="F135" s="90" t="s">
        <v>1434</v>
      </c>
      <c r="G135" s="90">
        <v>2024</v>
      </c>
      <c r="H135" s="101">
        <v>45385</v>
      </c>
      <c r="I135" s="101">
        <v>45399</v>
      </c>
      <c r="J135" s="94" t="s">
        <v>1668</v>
      </c>
      <c r="K135" s="100">
        <v>45407</v>
      </c>
      <c r="L135" s="69" t="s">
        <v>78</v>
      </c>
      <c r="M135" s="69"/>
      <c r="N135" s="69"/>
      <c r="O135" s="69" t="s">
        <v>1436</v>
      </c>
      <c r="P135" s="78"/>
      <c r="Q135" s="96"/>
      <c r="R135" s="97"/>
      <c r="S135" s="98"/>
    </row>
    <row r="136" spans="1:19" ht="42.75">
      <c r="A136" s="90" t="s">
        <v>47</v>
      </c>
      <c r="B136" s="91" t="s">
        <v>418</v>
      </c>
      <c r="C136" s="91" t="s">
        <v>1433</v>
      </c>
      <c r="D136" s="90">
        <v>368</v>
      </c>
      <c r="E136" s="90">
        <v>449</v>
      </c>
      <c r="F136" s="90" t="s">
        <v>1434</v>
      </c>
      <c r="G136" s="90">
        <v>2024</v>
      </c>
      <c r="H136" s="92">
        <v>45357</v>
      </c>
      <c r="I136" s="93"/>
      <c r="J136" s="94" t="s">
        <v>1669</v>
      </c>
      <c r="K136" s="95"/>
      <c r="L136" s="69" t="s">
        <v>76</v>
      </c>
      <c r="M136" s="69"/>
      <c r="N136" s="69"/>
      <c r="O136" s="69"/>
      <c r="P136" s="78"/>
      <c r="Q136" s="96"/>
      <c r="R136" s="97"/>
      <c r="S136" s="98"/>
    </row>
    <row r="137" spans="1:19" ht="42.75">
      <c r="A137" s="90" t="s">
        <v>47</v>
      </c>
      <c r="B137" s="91" t="s">
        <v>418</v>
      </c>
      <c r="C137" s="91" t="s">
        <v>1437</v>
      </c>
      <c r="D137" s="90">
        <v>756</v>
      </c>
      <c r="E137" s="90">
        <v>737</v>
      </c>
      <c r="F137" s="90" t="s">
        <v>1434</v>
      </c>
      <c r="G137" s="90">
        <v>2024</v>
      </c>
      <c r="H137" s="93" t="s">
        <v>1670</v>
      </c>
      <c r="I137" s="93"/>
      <c r="J137" s="94" t="s">
        <v>1671</v>
      </c>
      <c r="K137" s="95"/>
      <c r="L137" s="69" t="s">
        <v>75</v>
      </c>
      <c r="M137" s="69"/>
      <c r="N137" s="69"/>
      <c r="O137" s="69"/>
      <c r="P137" s="78"/>
      <c r="Q137" s="96"/>
      <c r="R137" s="97"/>
      <c r="S137" s="98"/>
    </row>
    <row r="138" spans="1:19" ht="42.75">
      <c r="A138" s="90" t="s">
        <v>47</v>
      </c>
      <c r="B138" s="91" t="s">
        <v>418</v>
      </c>
      <c r="C138" s="91" t="s">
        <v>1439</v>
      </c>
      <c r="D138" s="90">
        <v>730</v>
      </c>
      <c r="E138" s="90">
        <v>842</v>
      </c>
      <c r="F138" s="90" t="s">
        <v>1434</v>
      </c>
      <c r="G138" s="90">
        <v>2024</v>
      </c>
      <c r="H138" s="93" t="s">
        <v>1670</v>
      </c>
      <c r="I138" s="93"/>
      <c r="J138" s="94" t="s">
        <v>1672</v>
      </c>
      <c r="K138" s="95"/>
      <c r="L138" s="69" t="s">
        <v>75</v>
      </c>
      <c r="M138" s="69"/>
      <c r="N138" s="69"/>
      <c r="O138" s="69"/>
      <c r="P138" s="78"/>
      <c r="Q138" s="96"/>
      <c r="R138" s="97"/>
      <c r="S138" s="98"/>
    </row>
    <row r="139" spans="1:19" ht="42.75">
      <c r="A139" s="90" t="s">
        <v>47</v>
      </c>
      <c r="B139" s="91" t="s">
        <v>418</v>
      </c>
      <c r="C139" s="91" t="s">
        <v>1441</v>
      </c>
      <c r="D139" s="90">
        <v>1301</v>
      </c>
      <c r="E139" s="90">
        <v>1214</v>
      </c>
      <c r="F139" s="90" t="s">
        <v>1434</v>
      </c>
      <c r="G139" s="90">
        <v>2024</v>
      </c>
      <c r="H139" s="101">
        <v>45569</v>
      </c>
      <c r="I139" s="101">
        <v>45573</v>
      </c>
      <c r="J139" s="94" t="s">
        <v>1673</v>
      </c>
      <c r="K139" s="100">
        <v>45580</v>
      </c>
      <c r="L139" s="69" t="s">
        <v>83</v>
      </c>
      <c r="M139" s="69" t="s">
        <v>4</v>
      </c>
      <c r="N139" s="69" t="s">
        <v>101</v>
      </c>
      <c r="O139" s="69" t="s">
        <v>1436</v>
      </c>
      <c r="P139" s="78"/>
      <c r="Q139" s="96">
        <v>45580</v>
      </c>
      <c r="R139" s="97" t="s">
        <v>1481</v>
      </c>
      <c r="S139" s="98"/>
    </row>
    <row r="140" spans="1:19" ht="42.75">
      <c r="A140" s="90" t="s">
        <v>47</v>
      </c>
      <c r="B140" s="91" t="s">
        <v>418</v>
      </c>
      <c r="C140" s="102" t="s">
        <v>1674</v>
      </c>
      <c r="D140" s="90">
        <v>137</v>
      </c>
      <c r="E140" s="90">
        <v>182</v>
      </c>
      <c r="F140" s="90" t="s">
        <v>1434</v>
      </c>
      <c r="G140" s="90">
        <v>2024</v>
      </c>
      <c r="H140" s="101">
        <v>45603</v>
      </c>
      <c r="I140" s="101">
        <v>45611</v>
      </c>
      <c r="J140" s="94" t="s">
        <v>1675</v>
      </c>
      <c r="K140" s="100">
        <v>45616</v>
      </c>
      <c r="L140" s="69" t="s">
        <v>84</v>
      </c>
      <c r="M140" s="69" t="s">
        <v>1589</v>
      </c>
      <c r="N140" s="69" t="s">
        <v>1676</v>
      </c>
      <c r="O140" s="69" t="s">
        <v>1436</v>
      </c>
      <c r="P140" s="78"/>
      <c r="Q140" s="96">
        <v>45616</v>
      </c>
      <c r="R140" s="97" t="s">
        <v>1481</v>
      </c>
      <c r="S140" s="98"/>
    </row>
    <row r="141" spans="1:19" ht="42.75">
      <c r="A141" s="90" t="s">
        <v>47</v>
      </c>
      <c r="B141" s="91" t="s">
        <v>418</v>
      </c>
      <c r="C141" s="102" t="s">
        <v>1677</v>
      </c>
      <c r="D141" s="90">
        <v>1177</v>
      </c>
      <c r="E141" s="90">
        <v>1008</v>
      </c>
      <c r="F141" s="90" t="s">
        <v>1454</v>
      </c>
      <c r="G141" s="90"/>
      <c r="H141" s="93"/>
      <c r="I141" s="93"/>
      <c r="J141" s="93"/>
      <c r="K141" s="95"/>
      <c r="L141" s="69"/>
      <c r="M141" s="69"/>
      <c r="N141" s="69"/>
      <c r="O141" s="69"/>
      <c r="P141" s="78"/>
      <c r="Q141" s="96"/>
      <c r="R141" s="97"/>
      <c r="S141" s="98"/>
    </row>
    <row r="142" spans="1:19" ht="42.75">
      <c r="A142" s="90" t="s">
        <v>47</v>
      </c>
      <c r="B142" s="91" t="s">
        <v>418</v>
      </c>
      <c r="C142" s="102" t="s">
        <v>1678</v>
      </c>
      <c r="D142" s="90">
        <v>909</v>
      </c>
      <c r="E142" s="90">
        <v>779</v>
      </c>
      <c r="F142" s="90" t="s">
        <v>1454</v>
      </c>
      <c r="G142" s="90"/>
      <c r="H142" s="93"/>
      <c r="I142" s="93"/>
      <c r="J142" s="93"/>
      <c r="K142" s="95"/>
      <c r="L142" s="69"/>
      <c r="M142" s="69"/>
      <c r="N142" s="69"/>
      <c r="O142" s="69"/>
      <c r="P142" s="78"/>
      <c r="Q142" s="96"/>
      <c r="R142" s="97"/>
      <c r="S142" s="98"/>
    </row>
    <row r="143" spans="1:19" ht="42.75">
      <c r="A143" s="90" t="s">
        <v>47</v>
      </c>
      <c r="B143" s="91" t="s">
        <v>418</v>
      </c>
      <c r="C143" s="102" t="s">
        <v>1679</v>
      </c>
      <c r="D143" s="90">
        <v>2159</v>
      </c>
      <c r="E143" s="90">
        <v>1836</v>
      </c>
      <c r="F143" s="90" t="s">
        <v>1454</v>
      </c>
      <c r="G143" s="90"/>
      <c r="H143" s="93"/>
      <c r="I143" s="93"/>
      <c r="J143" s="93"/>
      <c r="K143" s="95"/>
      <c r="L143" s="69"/>
      <c r="M143" s="69"/>
      <c r="N143" s="69"/>
      <c r="O143" s="69"/>
      <c r="P143" s="78"/>
      <c r="Q143" s="96"/>
      <c r="R143" s="97"/>
      <c r="S143" s="98"/>
    </row>
    <row r="144" spans="1:19" ht="42.75">
      <c r="A144" s="90" t="s">
        <v>47</v>
      </c>
      <c r="B144" s="91" t="s">
        <v>418</v>
      </c>
      <c r="C144" s="102" t="s">
        <v>1680</v>
      </c>
      <c r="D144" s="90">
        <v>1243</v>
      </c>
      <c r="E144" s="90">
        <v>1322</v>
      </c>
      <c r="F144" s="90" t="s">
        <v>1454</v>
      </c>
      <c r="G144" s="90"/>
      <c r="H144" s="93"/>
      <c r="I144" s="93"/>
      <c r="J144" s="93"/>
      <c r="K144" s="95"/>
      <c r="L144" s="69"/>
      <c r="M144" s="69"/>
      <c r="N144" s="69"/>
      <c r="O144" s="69"/>
      <c r="P144" s="78"/>
      <c r="Q144" s="96"/>
      <c r="R144" s="97"/>
      <c r="S144" s="98"/>
    </row>
    <row r="145" spans="1:19" ht="42.75">
      <c r="A145" s="90" t="s">
        <v>47</v>
      </c>
      <c r="B145" s="91" t="s">
        <v>418</v>
      </c>
      <c r="C145" s="91" t="s">
        <v>1681</v>
      </c>
      <c r="D145" s="90">
        <v>1573</v>
      </c>
      <c r="E145" s="90">
        <v>1784</v>
      </c>
      <c r="F145" s="90" t="s">
        <v>1434</v>
      </c>
      <c r="G145" s="90">
        <v>2024</v>
      </c>
      <c r="H145" s="92">
        <v>45357</v>
      </c>
      <c r="I145" s="93"/>
      <c r="J145" s="94" t="s">
        <v>1682</v>
      </c>
      <c r="K145" s="95"/>
      <c r="L145" s="69" t="s">
        <v>76</v>
      </c>
      <c r="M145" s="69"/>
      <c r="N145" s="69"/>
      <c r="O145" s="69"/>
      <c r="P145" s="78"/>
      <c r="Q145" s="96"/>
      <c r="R145" s="97"/>
      <c r="S145" s="98"/>
    </row>
    <row r="146" spans="1:19" ht="42.75">
      <c r="A146" s="90" t="s">
        <v>47</v>
      </c>
      <c r="B146" s="91" t="s">
        <v>418</v>
      </c>
      <c r="C146" s="91" t="s">
        <v>1683</v>
      </c>
      <c r="D146" s="90">
        <v>3485</v>
      </c>
      <c r="E146" s="90">
        <v>3888</v>
      </c>
      <c r="F146" s="90" t="s">
        <v>1434</v>
      </c>
      <c r="G146" s="90">
        <v>2024</v>
      </c>
      <c r="H146" s="101">
        <v>45454</v>
      </c>
      <c r="I146" s="101">
        <v>45460</v>
      </c>
      <c r="J146" s="94" t="s">
        <v>1684</v>
      </c>
      <c r="K146" s="100">
        <v>45463</v>
      </c>
      <c r="L146" s="69" t="s">
        <v>79</v>
      </c>
      <c r="M146" s="69"/>
      <c r="N146" s="69"/>
      <c r="O146" s="69" t="s">
        <v>1436</v>
      </c>
      <c r="P146" s="78"/>
      <c r="Q146" s="96">
        <v>45464</v>
      </c>
      <c r="R146" s="97"/>
      <c r="S146" s="98"/>
    </row>
    <row r="147" spans="1:19" ht="42.75">
      <c r="A147" s="90" t="s">
        <v>47</v>
      </c>
      <c r="B147" s="91" t="s">
        <v>418</v>
      </c>
      <c r="C147" s="91" t="s">
        <v>736</v>
      </c>
      <c r="D147" s="90">
        <v>1074</v>
      </c>
      <c r="E147" s="90">
        <v>1220</v>
      </c>
      <c r="F147" s="90" t="s">
        <v>1434</v>
      </c>
      <c r="G147" s="90">
        <v>2024</v>
      </c>
      <c r="H147" s="101">
        <v>45545</v>
      </c>
      <c r="I147" s="101">
        <v>45545</v>
      </c>
      <c r="J147" s="94" t="s">
        <v>1685</v>
      </c>
      <c r="K147" s="100">
        <v>45552</v>
      </c>
      <c r="L147" s="69" t="s">
        <v>82</v>
      </c>
      <c r="M147" s="69" t="s">
        <v>4</v>
      </c>
      <c r="N147" s="69" t="s">
        <v>101</v>
      </c>
      <c r="O147" s="69" t="s">
        <v>1436</v>
      </c>
      <c r="P147" s="78"/>
      <c r="Q147" s="96">
        <v>45552</v>
      </c>
      <c r="R147" s="97" t="s">
        <v>1481</v>
      </c>
      <c r="S147" s="98"/>
    </row>
    <row r="148" spans="1:19" ht="42.75">
      <c r="A148" s="90" t="s">
        <v>47</v>
      </c>
      <c r="B148" s="91" t="s">
        <v>418</v>
      </c>
      <c r="C148" s="91" t="s">
        <v>1686</v>
      </c>
      <c r="D148" s="90">
        <v>4278</v>
      </c>
      <c r="E148" s="90">
        <v>5206</v>
      </c>
      <c r="F148" s="90" t="s">
        <v>1434</v>
      </c>
      <c r="G148" s="90">
        <v>2024</v>
      </c>
      <c r="H148" s="101">
        <v>45393</v>
      </c>
      <c r="I148" s="101">
        <v>45399</v>
      </c>
      <c r="J148" s="94" t="s">
        <v>1687</v>
      </c>
      <c r="K148" s="100">
        <v>45399</v>
      </c>
      <c r="L148" s="69" t="s">
        <v>77</v>
      </c>
      <c r="M148" s="69"/>
      <c r="N148" s="69"/>
      <c r="O148" s="69" t="s">
        <v>1436</v>
      </c>
      <c r="P148" s="78"/>
      <c r="Q148" s="96"/>
      <c r="R148" s="97"/>
      <c r="S148" s="98"/>
    </row>
    <row r="149" spans="1:19" ht="42.75">
      <c r="A149" s="90" t="s">
        <v>47</v>
      </c>
      <c r="B149" s="91" t="s">
        <v>418</v>
      </c>
      <c r="C149" s="91" t="s">
        <v>1688</v>
      </c>
      <c r="D149" s="90">
        <v>1228</v>
      </c>
      <c r="E149" s="90">
        <v>1300</v>
      </c>
      <c r="F149" s="90" t="s">
        <v>1434</v>
      </c>
      <c r="G149" s="90">
        <v>2024</v>
      </c>
      <c r="H149" s="92">
        <v>45335</v>
      </c>
      <c r="I149" s="93"/>
      <c r="J149" s="94" t="s">
        <v>1689</v>
      </c>
      <c r="K149" s="95"/>
      <c r="L149" s="69" t="s">
        <v>75</v>
      </c>
      <c r="M149" s="69"/>
      <c r="N149" s="69"/>
      <c r="O149" s="69"/>
      <c r="P149" s="78"/>
      <c r="Q149" s="96"/>
      <c r="R149" s="97"/>
      <c r="S149" s="98"/>
    </row>
    <row r="150" spans="1:19" ht="42.75">
      <c r="A150" s="90" t="s">
        <v>47</v>
      </c>
      <c r="B150" s="91" t="s">
        <v>418</v>
      </c>
      <c r="C150" s="91" t="s">
        <v>520</v>
      </c>
      <c r="D150" s="90">
        <v>2171</v>
      </c>
      <c r="E150" s="90">
        <v>2596</v>
      </c>
      <c r="F150" s="90" t="s">
        <v>1434</v>
      </c>
      <c r="G150" s="90">
        <v>2024</v>
      </c>
      <c r="H150" s="101">
        <v>45461</v>
      </c>
      <c r="I150" s="101">
        <v>45454</v>
      </c>
      <c r="J150" s="94" t="s">
        <v>1690</v>
      </c>
      <c r="K150" s="100">
        <v>45463</v>
      </c>
      <c r="L150" s="69" t="s">
        <v>79</v>
      </c>
      <c r="M150" s="69"/>
      <c r="N150" s="69"/>
      <c r="O150" s="69" t="s">
        <v>1436</v>
      </c>
      <c r="P150" s="78"/>
      <c r="Q150" s="96">
        <v>45464</v>
      </c>
      <c r="R150" s="97"/>
      <c r="S150" s="98"/>
    </row>
    <row r="151" spans="1:19" ht="42.75">
      <c r="A151" s="90" t="s">
        <v>47</v>
      </c>
      <c r="B151" s="91" t="s">
        <v>418</v>
      </c>
      <c r="C151" s="91" t="s">
        <v>427</v>
      </c>
      <c r="D151" s="90">
        <v>541</v>
      </c>
      <c r="E151" s="90">
        <v>547</v>
      </c>
      <c r="F151" s="90" t="s">
        <v>1434</v>
      </c>
      <c r="G151" s="90">
        <v>2024</v>
      </c>
      <c r="H151" s="101">
        <v>45545</v>
      </c>
      <c r="I151" s="101">
        <v>45545</v>
      </c>
      <c r="J151" s="94" t="s">
        <v>1691</v>
      </c>
      <c r="K151" s="100">
        <v>45552</v>
      </c>
      <c r="L151" s="69" t="s">
        <v>82</v>
      </c>
      <c r="M151" s="69" t="s">
        <v>4</v>
      </c>
      <c r="N151" s="69" t="s">
        <v>101</v>
      </c>
      <c r="O151" s="69" t="s">
        <v>1436</v>
      </c>
      <c r="P151" s="78"/>
      <c r="Q151" s="96">
        <v>45552</v>
      </c>
      <c r="R151" s="97" t="s">
        <v>1481</v>
      </c>
      <c r="S151" s="98"/>
    </row>
    <row r="152" spans="1:19" ht="42.75">
      <c r="A152" s="90" t="s">
        <v>47</v>
      </c>
      <c r="B152" s="91" t="s">
        <v>418</v>
      </c>
      <c r="C152" s="91" t="s">
        <v>1692</v>
      </c>
      <c r="D152" s="90">
        <v>2449</v>
      </c>
      <c r="E152" s="90">
        <v>2888</v>
      </c>
      <c r="F152" s="90" t="s">
        <v>1434</v>
      </c>
      <c r="G152" s="90">
        <v>2024</v>
      </c>
      <c r="H152" s="101">
        <v>45428</v>
      </c>
      <c r="I152" s="101">
        <v>45429</v>
      </c>
      <c r="J152" s="94" t="s">
        <v>1693</v>
      </c>
      <c r="K152" s="100">
        <v>45429</v>
      </c>
      <c r="L152" s="69" t="s">
        <v>78</v>
      </c>
      <c r="M152" s="69"/>
      <c r="N152" s="69"/>
      <c r="O152" s="69" t="s">
        <v>1436</v>
      </c>
      <c r="P152" s="78"/>
      <c r="Q152" s="96">
        <v>45432</v>
      </c>
      <c r="R152" s="97"/>
      <c r="S152" s="98"/>
    </row>
    <row r="153" spans="1:19" ht="42.75">
      <c r="A153" s="90" t="s">
        <v>48</v>
      </c>
      <c r="B153" s="91" t="s">
        <v>477</v>
      </c>
      <c r="C153" s="91" t="s">
        <v>1694</v>
      </c>
      <c r="D153" s="90">
        <v>695</v>
      </c>
      <c r="E153" s="90">
        <v>843</v>
      </c>
      <c r="F153" s="90" t="s">
        <v>1434</v>
      </c>
      <c r="G153" s="90">
        <v>2024</v>
      </c>
      <c r="H153" s="106" t="s">
        <v>1695</v>
      </c>
      <c r="I153" s="106" t="s">
        <v>1696</v>
      </c>
      <c r="J153" s="107" t="s">
        <v>1697</v>
      </c>
      <c r="K153" s="100">
        <v>45446</v>
      </c>
      <c r="L153" s="69" t="s">
        <v>79</v>
      </c>
      <c r="M153" s="69" t="s">
        <v>672</v>
      </c>
      <c r="N153" s="69" t="s">
        <v>101</v>
      </c>
      <c r="O153" s="69" t="s">
        <v>1436</v>
      </c>
      <c r="P153" s="78"/>
      <c r="Q153" s="96">
        <v>45447</v>
      </c>
      <c r="R153" s="97"/>
      <c r="S153" s="98"/>
    </row>
    <row r="154" spans="1:19" ht="42.75">
      <c r="A154" s="90" t="s">
        <v>48</v>
      </c>
      <c r="B154" s="91" t="s">
        <v>477</v>
      </c>
      <c r="C154" s="91" t="s">
        <v>1698</v>
      </c>
      <c r="D154" s="90">
        <v>4833</v>
      </c>
      <c r="E154" s="90">
        <v>5627</v>
      </c>
      <c r="F154" s="90" t="s">
        <v>1434</v>
      </c>
      <c r="G154" s="90">
        <v>2024</v>
      </c>
      <c r="H154" s="108">
        <v>45343</v>
      </c>
      <c r="I154" s="108">
        <v>45344</v>
      </c>
      <c r="J154" s="107" t="s">
        <v>1699</v>
      </c>
      <c r="K154" s="108">
        <v>45349</v>
      </c>
      <c r="L154" s="69" t="s">
        <v>75</v>
      </c>
      <c r="M154" s="69" t="s">
        <v>4</v>
      </c>
      <c r="N154" s="69" t="s">
        <v>101</v>
      </c>
      <c r="O154" s="69" t="s">
        <v>1436</v>
      </c>
      <c r="P154" s="78"/>
      <c r="Q154" s="96"/>
      <c r="R154" s="97"/>
      <c r="S154" s="98"/>
    </row>
    <row r="155" spans="1:19" ht="42.75">
      <c r="A155" s="90" t="s">
        <v>48</v>
      </c>
      <c r="B155" s="91" t="s">
        <v>477</v>
      </c>
      <c r="C155" s="109" t="s">
        <v>817</v>
      </c>
      <c r="D155" s="90">
        <v>6742</v>
      </c>
      <c r="E155" s="90">
        <v>7280</v>
      </c>
      <c r="F155" s="90" t="s">
        <v>1434</v>
      </c>
      <c r="G155" s="90">
        <v>2024</v>
      </c>
      <c r="H155" s="110" t="s">
        <v>1700</v>
      </c>
      <c r="I155" s="110" t="s">
        <v>1701</v>
      </c>
      <c r="J155" s="94" t="s">
        <v>1702</v>
      </c>
      <c r="K155" s="106" t="s">
        <v>1703</v>
      </c>
      <c r="L155" s="69" t="s">
        <v>78</v>
      </c>
      <c r="M155" s="69" t="s">
        <v>1589</v>
      </c>
      <c r="N155" s="69" t="s">
        <v>1676</v>
      </c>
      <c r="O155" s="69" t="s">
        <v>1436</v>
      </c>
      <c r="P155" s="78"/>
      <c r="Q155" s="96"/>
      <c r="R155" s="97"/>
      <c r="S155" s="98"/>
    </row>
    <row r="156" spans="1:19" ht="42.75">
      <c r="A156" s="90" t="s">
        <v>48</v>
      </c>
      <c r="B156" s="91" t="s">
        <v>477</v>
      </c>
      <c r="C156" s="109" t="s">
        <v>1704</v>
      </c>
      <c r="D156" s="90">
        <v>5405</v>
      </c>
      <c r="E156" s="90">
        <v>5707</v>
      </c>
      <c r="F156" s="90" t="s">
        <v>1434</v>
      </c>
      <c r="G156" s="90">
        <v>2024</v>
      </c>
      <c r="H156" s="92">
        <v>45373</v>
      </c>
      <c r="I156" s="92">
        <v>45376</v>
      </c>
      <c r="J156" s="94" t="s">
        <v>1705</v>
      </c>
      <c r="K156" s="108">
        <v>45377</v>
      </c>
      <c r="L156" s="69" t="s">
        <v>77</v>
      </c>
      <c r="M156" s="69" t="s">
        <v>672</v>
      </c>
      <c r="N156" s="69" t="s">
        <v>101</v>
      </c>
      <c r="O156" s="69" t="s">
        <v>1436</v>
      </c>
      <c r="P156" s="78"/>
      <c r="Q156" s="96"/>
      <c r="R156" s="97"/>
      <c r="S156" s="98"/>
    </row>
    <row r="157" spans="1:19" ht="42.75">
      <c r="A157" s="90" t="s">
        <v>48</v>
      </c>
      <c r="B157" s="91" t="s">
        <v>477</v>
      </c>
      <c r="C157" s="109" t="s">
        <v>1706</v>
      </c>
      <c r="D157" s="90">
        <v>2303</v>
      </c>
      <c r="E157" s="90">
        <v>2415</v>
      </c>
      <c r="F157" s="90" t="s">
        <v>1434</v>
      </c>
      <c r="G157" s="90">
        <v>2024</v>
      </c>
      <c r="H157" s="110" t="s">
        <v>1707</v>
      </c>
      <c r="I157" s="110" t="s">
        <v>1708</v>
      </c>
      <c r="J157" s="94" t="s">
        <v>1709</v>
      </c>
      <c r="K157" s="106" t="s">
        <v>1710</v>
      </c>
      <c r="L157" s="69" t="s">
        <v>78</v>
      </c>
      <c r="M157" s="69" t="s">
        <v>672</v>
      </c>
      <c r="N157" s="69" t="s">
        <v>101</v>
      </c>
      <c r="O157" s="69" t="s">
        <v>1436</v>
      </c>
      <c r="P157" s="78"/>
      <c r="Q157" s="96"/>
      <c r="R157" s="97"/>
      <c r="S157" s="98"/>
    </row>
    <row r="158" spans="1:19" ht="42.75">
      <c r="A158" s="90" t="s">
        <v>48</v>
      </c>
      <c r="B158" s="91" t="s">
        <v>477</v>
      </c>
      <c r="C158" s="111" t="s">
        <v>1711</v>
      </c>
      <c r="D158" s="90">
        <v>9165</v>
      </c>
      <c r="E158" s="90">
        <v>9650</v>
      </c>
      <c r="F158" s="90" t="s">
        <v>1434</v>
      </c>
      <c r="G158" s="90">
        <v>2024</v>
      </c>
      <c r="H158" s="92">
        <v>45379</v>
      </c>
      <c r="I158" s="112">
        <v>45383</v>
      </c>
      <c r="J158" s="94" t="s">
        <v>1712</v>
      </c>
      <c r="K158" s="113">
        <v>45384</v>
      </c>
      <c r="L158" s="69" t="s">
        <v>77</v>
      </c>
      <c r="M158" s="69" t="s">
        <v>672</v>
      </c>
      <c r="N158" s="69" t="s">
        <v>101</v>
      </c>
      <c r="O158" s="69" t="s">
        <v>1436</v>
      </c>
      <c r="P158" s="78"/>
      <c r="Q158" s="96"/>
      <c r="R158" s="97"/>
      <c r="S158" s="98"/>
    </row>
    <row r="159" spans="1:19" ht="42.75">
      <c r="A159" s="90" t="s">
        <v>48</v>
      </c>
      <c r="B159" s="91" t="s">
        <v>477</v>
      </c>
      <c r="C159" s="111" t="s">
        <v>1713</v>
      </c>
      <c r="D159" s="90">
        <v>3149</v>
      </c>
      <c r="E159" s="90">
        <v>3387</v>
      </c>
      <c r="F159" s="90" t="s">
        <v>1434</v>
      </c>
      <c r="G159" s="90">
        <v>2024</v>
      </c>
      <c r="H159" s="92">
        <v>45379</v>
      </c>
      <c r="I159" s="112">
        <v>45383</v>
      </c>
      <c r="J159" s="94" t="s">
        <v>1714</v>
      </c>
      <c r="K159" s="113">
        <v>45384</v>
      </c>
      <c r="L159" s="69" t="s">
        <v>77</v>
      </c>
      <c r="M159" s="69" t="s">
        <v>672</v>
      </c>
      <c r="N159" s="69" t="s">
        <v>101</v>
      </c>
      <c r="O159" s="69" t="s">
        <v>1436</v>
      </c>
      <c r="P159" s="78"/>
      <c r="Q159" s="96"/>
      <c r="R159" s="97"/>
      <c r="S159" s="98"/>
    </row>
    <row r="160" spans="1:19" ht="42.75">
      <c r="A160" s="90" t="s">
        <v>48</v>
      </c>
      <c r="B160" s="91" t="s">
        <v>477</v>
      </c>
      <c r="C160" s="91" t="s">
        <v>1715</v>
      </c>
      <c r="D160" s="90">
        <v>3199</v>
      </c>
      <c r="E160" s="90">
        <v>3832</v>
      </c>
      <c r="F160" s="90" t="s">
        <v>1434</v>
      </c>
      <c r="G160" s="90">
        <v>2024</v>
      </c>
      <c r="H160" s="110" t="s">
        <v>1716</v>
      </c>
      <c r="I160" s="110" t="s">
        <v>1717</v>
      </c>
      <c r="J160" s="94" t="s">
        <v>1718</v>
      </c>
      <c r="K160" s="100">
        <v>45488</v>
      </c>
      <c r="L160" s="69" t="s">
        <v>80</v>
      </c>
      <c r="M160" s="69" t="s">
        <v>672</v>
      </c>
      <c r="N160" s="69" t="s">
        <v>101</v>
      </c>
      <c r="O160" s="69" t="s">
        <v>1436</v>
      </c>
      <c r="P160" s="78"/>
      <c r="Q160" s="96">
        <v>45489</v>
      </c>
      <c r="R160" s="97"/>
      <c r="S160" s="98"/>
    </row>
    <row r="161" spans="1:19" ht="42.75">
      <c r="A161" s="90" t="s">
        <v>48</v>
      </c>
      <c r="B161" s="91" t="s">
        <v>477</v>
      </c>
      <c r="C161" s="109" t="s">
        <v>1719</v>
      </c>
      <c r="D161" s="90">
        <v>4389</v>
      </c>
      <c r="E161" s="90">
        <v>4243</v>
      </c>
      <c r="F161" s="90" t="s">
        <v>1434</v>
      </c>
      <c r="G161" s="90">
        <v>2024</v>
      </c>
      <c r="H161" s="114" t="s">
        <v>1720</v>
      </c>
      <c r="I161" s="114" t="s">
        <v>1721</v>
      </c>
      <c r="J161" s="94" t="s">
        <v>1722</v>
      </c>
      <c r="K161" s="106" t="s">
        <v>1723</v>
      </c>
      <c r="L161" s="69" t="s">
        <v>78</v>
      </c>
      <c r="M161" s="69" t="s">
        <v>672</v>
      </c>
      <c r="N161" s="69" t="s">
        <v>101</v>
      </c>
      <c r="O161" s="69" t="s">
        <v>1436</v>
      </c>
      <c r="P161" s="78"/>
      <c r="Q161" s="96"/>
      <c r="R161" s="97"/>
      <c r="S161" s="98"/>
    </row>
    <row r="162" spans="1:19" ht="42.75">
      <c r="A162" s="90" t="s">
        <v>48</v>
      </c>
      <c r="B162" s="91" t="s">
        <v>265</v>
      </c>
      <c r="C162" s="91" t="s">
        <v>1724</v>
      </c>
      <c r="D162" s="90">
        <v>1978</v>
      </c>
      <c r="E162" s="90">
        <v>2135</v>
      </c>
      <c r="F162" s="90" t="s">
        <v>1434</v>
      </c>
      <c r="G162" s="90">
        <v>2024</v>
      </c>
      <c r="H162" s="110" t="s">
        <v>1725</v>
      </c>
      <c r="I162" s="110" t="s">
        <v>1726</v>
      </c>
      <c r="J162" s="94" t="s">
        <v>1727</v>
      </c>
      <c r="K162" s="100">
        <v>45572</v>
      </c>
      <c r="L162" s="69" t="s">
        <v>83</v>
      </c>
      <c r="M162" s="69" t="s">
        <v>4</v>
      </c>
      <c r="N162" s="69" t="s">
        <v>101</v>
      </c>
      <c r="O162" s="69" t="s">
        <v>1436</v>
      </c>
      <c r="P162" s="78"/>
      <c r="Q162" s="115">
        <v>45573</v>
      </c>
      <c r="R162" s="65" t="s">
        <v>1481</v>
      </c>
      <c r="S162" s="89"/>
    </row>
    <row r="163" spans="1:19" ht="42.75">
      <c r="A163" s="90" t="s">
        <v>48</v>
      </c>
      <c r="B163" s="91" t="s">
        <v>265</v>
      </c>
      <c r="C163" s="91" t="s">
        <v>756</v>
      </c>
      <c r="D163" s="90">
        <v>2784</v>
      </c>
      <c r="E163" s="90">
        <v>3460</v>
      </c>
      <c r="F163" s="90" t="s">
        <v>1434</v>
      </c>
      <c r="G163" s="90">
        <v>2024</v>
      </c>
      <c r="H163" s="110" t="s">
        <v>1728</v>
      </c>
      <c r="I163" s="110" t="s">
        <v>1729</v>
      </c>
      <c r="J163" s="94" t="s">
        <v>1730</v>
      </c>
      <c r="K163" s="100">
        <v>45574</v>
      </c>
      <c r="L163" s="69" t="s">
        <v>83</v>
      </c>
      <c r="M163" s="69" t="s">
        <v>4</v>
      </c>
      <c r="N163" s="69" t="s">
        <v>101</v>
      </c>
      <c r="O163" s="69" t="s">
        <v>1436</v>
      </c>
      <c r="P163" s="78"/>
      <c r="Q163" s="115">
        <v>45575</v>
      </c>
      <c r="R163" s="65" t="s">
        <v>1481</v>
      </c>
      <c r="S163" s="89"/>
    </row>
    <row r="164" spans="1:19" ht="42.75">
      <c r="A164" s="90" t="s">
        <v>48</v>
      </c>
      <c r="B164" s="91" t="s">
        <v>265</v>
      </c>
      <c r="C164" s="91" t="s">
        <v>669</v>
      </c>
      <c r="D164" s="90">
        <v>613</v>
      </c>
      <c r="E164" s="90">
        <v>752</v>
      </c>
      <c r="F164" s="90" t="s">
        <v>1434</v>
      </c>
      <c r="G164" s="90">
        <v>2024</v>
      </c>
      <c r="H164" s="101">
        <v>45601</v>
      </c>
      <c r="I164" s="101">
        <v>45607</v>
      </c>
      <c r="J164" s="94" t="s">
        <v>1731</v>
      </c>
      <c r="K164" s="100">
        <v>45612</v>
      </c>
      <c r="L164" s="69" t="s">
        <v>84</v>
      </c>
      <c r="M164" s="69" t="s">
        <v>4</v>
      </c>
      <c r="N164" s="69" t="s">
        <v>101</v>
      </c>
      <c r="O164" s="69" t="s">
        <v>1436</v>
      </c>
      <c r="P164" s="78"/>
      <c r="Q164" s="96">
        <v>45614</v>
      </c>
      <c r="R164" s="97" t="s">
        <v>1481</v>
      </c>
      <c r="S164" s="98"/>
    </row>
    <row r="165" spans="1:19" ht="42.75">
      <c r="A165" s="90" t="s">
        <v>48</v>
      </c>
      <c r="B165" s="91" t="s">
        <v>265</v>
      </c>
      <c r="C165" s="91" t="s">
        <v>1732</v>
      </c>
      <c r="D165" s="90">
        <v>2356</v>
      </c>
      <c r="E165" s="90">
        <v>2814</v>
      </c>
      <c r="F165" s="90" t="s">
        <v>1434</v>
      </c>
      <c r="G165" s="90">
        <v>2024</v>
      </c>
      <c r="H165" s="110" t="s">
        <v>1733</v>
      </c>
      <c r="I165" s="110" t="s">
        <v>1734</v>
      </c>
      <c r="J165" s="94" t="s">
        <v>1735</v>
      </c>
      <c r="K165" s="100">
        <v>45565</v>
      </c>
      <c r="L165" s="69" t="s">
        <v>83</v>
      </c>
      <c r="M165" s="69" t="s">
        <v>4</v>
      </c>
      <c r="N165" s="69" t="s">
        <v>101</v>
      </c>
      <c r="O165" s="69" t="s">
        <v>1436</v>
      </c>
      <c r="P165" s="78"/>
      <c r="Q165" s="115">
        <v>45565</v>
      </c>
      <c r="R165" s="65" t="s">
        <v>1481</v>
      </c>
      <c r="S165" s="89"/>
    </row>
    <row r="166" spans="1:19" ht="42.75">
      <c r="A166" s="90" t="s">
        <v>48</v>
      </c>
      <c r="B166" s="91" t="s">
        <v>265</v>
      </c>
      <c r="C166" s="102" t="s">
        <v>1736</v>
      </c>
      <c r="D166" s="90">
        <v>1689</v>
      </c>
      <c r="E166" s="90">
        <v>1920</v>
      </c>
      <c r="F166" s="90" t="s">
        <v>1454</v>
      </c>
      <c r="G166" s="90"/>
      <c r="H166" s="93"/>
      <c r="I166" s="93"/>
      <c r="J166" s="93"/>
      <c r="K166" s="95"/>
      <c r="L166" s="69"/>
      <c r="M166" s="69"/>
      <c r="N166" s="69"/>
      <c r="O166" s="69"/>
      <c r="P166" s="78"/>
      <c r="Q166" s="96"/>
      <c r="R166" s="97"/>
      <c r="S166" s="98"/>
    </row>
    <row r="167" spans="1:19" ht="42.75">
      <c r="A167" s="90" t="s">
        <v>48</v>
      </c>
      <c r="B167" s="91" t="s">
        <v>265</v>
      </c>
      <c r="C167" s="91" t="s">
        <v>1737</v>
      </c>
      <c r="D167" s="90">
        <v>1660</v>
      </c>
      <c r="E167" s="90">
        <v>1884</v>
      </c>
      <c r="F167" s="90" t="s">
        <v>1434</v>
      </c>
      <c r="G167" s="90">
        <v>2024</v>
      </c>
      <c r="H167" s="101">
        <v>45594</v>
      </c>
      <c r="I167" s="101">
        <v>45600</v>
      </c>
      <c r="J167" s="94" t="s">
        <v>1738</v>
      </c>
      <c r="K167" s="100">
        <v>45601</v>
      </c>
      <c r="L167" s="69" t="s">
        <v>84</v>
      </c>
      <c r="M167" s="69" t="s">
        <v>4</v>
      </c>
      <c r="N167" s="69" t="s">
        <v>101</v>
      </c>
      <c r="O167" s="69" t="s">
        <v>1436</v>
      </c>
      <c r="P167" s="78"/>
      <c r="Q167" s="96">
        <v>45602</v>
      </c>
      <c r="R167" s="97" t="s">
        <v>1481</v>
      </c>
      <c r="S167" s="98"/>
    </row>
    <row r="168" spans="1:19" ht="42.75">
      <c r="A168" s="90" t="s">
        <v>48</v>
      </c>
      <c r="B168" s="91" t="s">
        <v>265</v>
      </c>
      <c r="C168" s="91" t="s">
        <v>1013</v>
      </c>
      <c r="D168" s="90">
        <v>3271</v>
      </c>
      <c r="E168" s="90">
        <v>3729</v>
      </c>
      <c r="F168" s="90" t="s">
        <v>1434</v>
      </c>
      <c r="G168" s="90">
        <v>2024</v>
      </c>
      <c r="H168" s="101">
        <v>45587</v>
      </c>
      <c r="I168" s="101">
        <v>45593</v>
      </c>
      <c r="J168" s="94" t="s">
        <v>1739</v>
      </c>
      <c r="K168" s="100">
        <v>45601</v>
      </c>
      <c r="L168" s="69" t="s">
        <v>84</v>
      </c>
      <c r="M168" s="69" t="s">
        <v>4</v>
      </c>
      <c r="N168" s="69" t="s">
        <v>101</v>
      </c>
      <c r="O168" s="69" t="s">
        <v>1436</v>
      </c>
      <c r="P168" s="78"/>
      <c r="Q168" s="96">
        <v>45602</v>
      </c>
      <c r="R168" s="97" t="s">
        <v>1481</v>
      </c>
      <c r="S168" s="98"/>
    </row>
    <row r="169" spans="1:19" ht="42.75">
      <c r="A169" s="90" t="s">
        <v>48</v>
      </c>
      <c r="B169" s="91" t="s">
        <v>265</v>
      </c>
      <c r="C169" s="91" t="s">
        <v>1740</v>
      </c>
      <c r="D169" s="90">
        <v>3248</v>
      </c>
      <c r="E169" s="90">
        <v>3480</v>
      </c>
      <c r="F169" s="90" t="s">
        <v>1434</v>
      </c>
      <c r="G169" s="90">
        <v>2024</v>
      </c>
      <c r="H169" s="110" t="s">
        <v>1741</v>
      </c>
      <c r="I169" s="110" t="s">
        <v>1742</v>
      </c>
      <c r="J169" s="94" t="s">
        <v>1743</v>
      </c>
      <c r="K169" s="100">
        <v>45552</v>
      </c>
      <c r="L169" s="69" t="s">
        <v>82</v>
      </c>
      <c r="M169" s="69" t="s">
        <v>4</v>
      </c>
      <c r="N169" s="69" t="s">
        <v>101</v>
      </c>
      <c r="O169" s="69" t="s">
        <v>1436</v>
      </c>
      <c r="P169" s="78"/>
      <c r="Q169" s="96">
        <v>45552</v>
      </c>
      <c r="R169" s="97" t="s">
        <v>1481</v>
      </c>
      <c r="S169" s="98"/>
    </row>
    <row r="170" spans="1:19" ht="42.75">
      <c r="A170" s="90" t="s">
        <v>48</v>
      </c>
      <c r="B170" s="91" t="s">
        <v>265</v>
      </c>
      <c r="C170" s="91" t="s">
        <v>1744</v>
      </c>
      <c r="D170" s="90">
        <v>731</v>
      </c>
      <c r="E170" s="90">
        <v>862</v>
      </c>
      <c r="F170" s="90" t="s">
        <v>1434</v>
      </c>
      <c r="G170" s="90">
        <v>2024</v>
      </c>
      <c r="H170" s="101">
        <v>45601</v>
      </c>
      <c r="I170" s="101">
        <v>45607</v>
      </c>
      <c r="J170" s="94" t="s">
        <v>1745</v>
      </c>
      <c r="K170" s="100">
        <v>45612</v>
      </c>
      <c r="L170" s="69" t="s">
        <v>84</v>
      </c>
      <c r="M170" s="69" t="s">
        <v>4</v>
      </c>
      <c r="N170" s="69" t="s">
        <v>101</v>
      </c>
      <c r="O170" s="69" t="s">
        <v>1436</v>
      </c>
      <c r="P170" s="78"/>
      <c r="Q170" s="96">
        <v>45614</v>
      </c>
      <c r="R170" s="97" t="s">
        <v>1481</v>
      </c>
      <c r="S170" s="98"/>
    </row>
    <row r="171" spans="1:19" ht="42.75">
      <c r="A171" s="90" t="s">
        <v>48</v>
      </c>
      <c r="B171" s="91" t="s">
        <v>265</v>
      </c>
      <c r="C171" s="91" t="s">
        <v>757</v>
      </c>
      <c r="D171" s="90">
        <v>574</v>
      </c>
      <c r="E171" s="90">
        <v>710</v>
      </c>
      <c r="F171" s="90" t="s">
        <v>1434</v>
      </c>
      <c r="G171" s="90">
        <v>2024</v>
      </c>
      <c r="H171" s="101">
        <v>45604</v>
      </c>
      <c r="I171" s="101">
        <v>45607</v>
      </c>
      <c r="J171" s="94" t="s">
        <v>1746</v>
      </c>
      <c r="K171" s="100">
        <v>45612</v>
      </c>
      <c r="L171" s="69" t="s">
        <v>84</v>
      </c>
      <c r="M171" s="69" t="s">
        <v>4</v>
      </c>
      <c r="N171" s="69" t="s">
        <v>101</v>
      </c>
      <c r="O171" s="69" t="s">
        <v>1436</v>
      </c>
      <c r="P171" s="78"/>
      <c r="Q171" s="96">
        <v>45614</v>
      </c>
      <c r="R171" s="97" t="s">
        <v>1481</v>
      </c>
      <c r="S171" s="98"/>
    </row>
    <row r="172" spans="1:19" ht="42.75">
      <c r="A172" s="90" t="s">
        <v>48</v>
      </c>
      <c r="B172" s="91" t="s">
        <v>265</v>
      </c>
      <c r="C172" s="91" t="s">
        <v>714</v>
      </c>
      <c r="D172" s="90">
        <v>1445</v>
      </c>
      <c r="E172" s="90">
        <v>1511</v>
      </c>
      <c r="F172" s="90" t="s">
        <v>1434</v>
      </c>
      <c r="G172" s="90">
        <v>2024</v>
      </c>
      <c r="H172" s="110" t="s">
        <v>1747</v>
      </c>
      <c r="I172" s="101">
        <v>45561</v>
      </c>
      <c r="J172" s="94" t="s">
        <v>1748</v>
      </c>
      <c r="K172" s="100">
        <v>45569</v>
      </c>
      <c r="L172" s="69" t="s">
        <v>83</v>
      </c>
      <c r="M172" s="69" t="s">
        <v>4</v>
      </c>
      <c r="N172" s="69" t="s">
        <v>101</v>
      </c>
      <c r="O172" s="69" t="s">
        <v>1436</v>
      </c>
      <c r="P172" s="78"/>
      <c r="Q172" s="115">
        <v>45569</v>
      </c>
      <c r="R172" s="65" t="s">
        <v>1481</v>
      </c>
      <c r="S172" s="89"/>
    </row>
    <row r="173" spans="1:19" ht="42.75">
      <c r="A173" s="90" t="s">
        <v>48</v>
      </c>
      <c r="B173" s="91" t="s">
        <v>265</v>
      </c>
      <c r="C173" s="91" t="s">
        <v>1749</v>
      </c>
      <c r="D173" s="90">
        <v>2859</v>
      </c>
      <c r="E173" s="90">
        <v>3468</v>
      </c>
      <c r="F173" s="90" t="s">
        <v>1434</v>
      </c>
      <c r="G173" s="90">
        <v>2024</v>
      </c>
      <c r="H173" s="101">
        <v>45596</v>
      </c>
      <c r="I173" s="101">
        <v>45600</v>
      </c>
      <c r="J173" s="94" t="s">
        <v>1750</v>
      </c>
      <c r="K173" s="100">
        <v>45601</v>
      </c>
      <c r="L173" s="69" t="s">
        <v>84</v>
      </c>
      <c r="M173" s="69" t="s">
        <v>4</v>
      </c>
      <c r="N173" s="69" t="s">
        <v>101</v>
      </c>
      <c r="O173" s="69" t="s">
        <v>1436</v>
      </c>
      <c r="P173" s="78"/>
      <c r="Q173" s="96">
        <v>45601</v>
      </c>
      <c r="R173" s="97" t="s">
        <v>1481</v>
      </c>
      <c r="S173" s="98"/>
    </row>
    <row r="174" spans="1:19" ht="42.75">
      <c r="A174" s="90" t="s">
        <v>48</v>
      </c>
      <c r="B174" s="91" t="s">
        <v>265</v>
      </c>
      <c r="C174" s="91" t="s">
        <v>1751</v>
      </c>
      <c r="D174" s="90">
        <v>1281</v>
      </c>
      <c r="E174" s="90">
        <v>1321</v>
      </c>
      <c r="F174" s="90" t="s">
        <v>1434</v>
      </c>
      <c r="G174" s="90">
        <v>2024</v>
      </c>
      <c r="H174" s="101">
        <v>45583</v>
      </c>
      <c r="I174" s="101">
        <v>45587</v>
      </c>
      <c r="J174" s="94" t="s">
        <v>1752</v>
      </c>
      <c r="K174" s="100">
        <v>45593</v>
      </c>
      <c r="L174" s="69" t="s">
        <v>84</v>
      </c>
      <c r="M174" s="69" t="s">
        <v>4</v>
      </c>
      <c r="N174" s="69" t="s">
        <v>101</v>
      </c>
      <c r="O174" s="69" t="s">
        <v>1436</v>
      </c>
      <c r="P174" s="78"/>
      <c r="Q174" s="96">
        <v>45593</v>
      </c>
      <c r="R174" s="97" t="s">
        <v>1481</v>
      </c>
      <c r="S174" s="98"/>
    </row>
    <row r="175" spans="1:19" ht="42.75">
      <c r="A175" s="90" t="s">
        <v>48</v>
      </c>
      <c r="B175" s="91" t="s">
        <v>265</v>
      </c>
      <c r="C175" s="91" t="s">
        <v>1753</v>
      </c>
      <c r="D175" s="90">
        <v>2447</v>
      </c>
      <c r="E175" s="90">
        <v>3319</v>
      </c>
      <c r="F175" s="90" t="s">
        <v>1434</v>
      </c>
      <c r="G175" s="90">
        <v>2024</v>
      </c>
      <c r="H175" s="101">
        <v>45580</v>
      </c>
      <c r="I175" s="101">
        <v>45580</v>
      </c>
      <c r="J175" s="94" t="s">
        <v>1754</v>
      </c>
      <c r="K175" s="100">
        <v>45581</v>
      </c>
      <c r="L175" s="69" t="s">
        <v>83</v>
      </c>
      <c r="M175" s="69" t="s">
        <v>4</v>
      </c>
      <c r="N175" s="69" t="s">
        <v>101</v>
      </c>
      <c r="O175" s="69" t="s">
        <v>1436</v>
      </c>
      <c r="P175" s="78"/>
      <c r="Q175" s="96">
        <v>45582</v>
      </c>
      <c r="R175" s="97" t="s">
        <v>1481</v>
      </c>
      <c r="S175" s="98"/>
    </row>
    <row r="176" spans="1:19" ht="42.75">
      <c r="A176" s="90" t="s">
        <v>48</v>
      </c>
      <c r="B176" s="91" t="s">
        <v>1755</v>
      </c>
      <c r="C176" s="91" t="s">
        <v>1023</v>
      </c>
      <c r="D176" s="90">
        <v>2074</v>
      </c>
      <c r="E176" s="90">
        <v>2067</v>
      </c>
      <c r="F176" s="90" t="s">
        <v>1434</v>
      </c>
      <c r="G176" s="90">
        <v>2024</v>
      </c>
      <c r="H176" s="92">
        <v>45370</v>
      </c>
      <c r="I176" s="92">
        <v>45372</v>
      </c>
      <c r="J176" s="94" t="s">
        <v>1756</v>
      </c>
      <c r="K176" s="108">
        <v>45377</v>
      </c>
      <c r="L176" s="69" t="s">
        <v>77</v>
      </c>
      <c r="M176" s="69" t="s">
        <v>4</v>
      </c>
      <c r="N176" s="69" t="s">
        <v>101</v>
      </c>
      <c r="O176" s="69" t="s">
        <v>1436</v>
      </c>
      <c r="P176" s="78"/>
      <c r="Q176" s="96"/>
      <c r="R176" s="97"/>
      <c r="S176" s="98"/>
    </row>
    <row r="177" spans="1:19" ht="42.75">
      <c r="A177" s="90" t="s">
        <v>48</v>
      </c>
      <c r="B177" s="91" t="s">
        <v>1755</v>
      </c>
      <c r="C177" s="91" t="s">
        <v>1757</v>
      </c>
      <c r="D177" s="90">
        <v>2046</v>
      </c>
      <c r="E177" s="90">
        <v>2211</v>
      </c>
      <c r="F177" s="90" t="s">
        <v>1434</v>
      </c>
      <c r="G177" s="90">
        <v>2024</v>
      </c>
      <c r="H177" s="110" t="s">
        <v>1758</v>
      </c>
      <c r="I177" s="110" t="s">
        <v>1759</v>
      </c>
      <c r="J177" s="94" t="s">
        <v>1760</v>
      </c>
      <c r="K177" s="100">
        <v>45463</v>
      </c>
      <c r="L177" s="69" t="s">
        <v>79</v>
      </c>
      <c r="M177" s="69" t="s">
        <v>4</v>
      </c>
      <c r="N177" s="69" t="s">
        <v>101</v>
      </c>
      <c r="O177" s="69" t="s">
        <v>1436</v>
      </c>
      <c r="P177" s="78"/>
      <c r="Q177" s="96">
        <v>45464</v>
      </c>
      <c r="R177" s="97"/>
      <c r="S177" s="98"/>
    </row>
    <row r="178" spans="1:19" ht="42.75">
      <c r="A178" s="90" t="s">
        <v>48</v>
      </c>
      <c r="B178" s="91" t="s">
        <v>1755</v>
      </c>
      <c r="C178" s="91" t="s">
        <v>1061</v>
      </c>
      <c r="D178" s="90">
        <v>2755</v>
      </c>
      <c r="E178" s="90">
        <v>3320</v>
      </c>
      <c r="F178" s="90" t="s">
        <v>1434</v>
      </c>
      <c r="G178" s="90">
        <v>2024</v>
      </c>
      <c r="H178" s="92">
        <v>45350</v>
      </c>
      <c r="I178" s="112">
        <v>45355</v>
      </c>
      <c r="J178" s="94" t="s">
        <v>1761</v>
      </c>
      <c r="K178" s="113">
        <v>45357</v>
      </c>
      <c r="L178" s="69" t="s">
        <v>76</v>
      </c>
      <c r="M178" s="69" t="s">
        <v>4</v>
      </c>
      <c r="N178" s="69" t="s">
        <v>101</v>
      </c>
      <c r="O178" s="69" t="s">
        <v>1436</v>
      </c>
      <c r="P178" s="78"/>
      <c r="Q178" s="96"/>
      <c r="R178" s="97"/>
      <c r="S178" s="98"/>
    </row>
    <row r="179" spans="1:19" ht="42.75">
      <c r="A179" s="90" t="s">
        <v>48</v>
      </c>
      <c r="B179" s="91" t="s">
        <v>1755</v>
      </c>
      <c r="C179" s="91" t="s">
        <v>1762</v>
      </c>
      <c r="D179" s="90">
        <v>8137</v>
      </c>
      <c r="E179" s="90">
        <v>9775</v>
      </c>
      <c r="F179" s="90" t="s">
        <v>1434</v>
      </c>
      <c r="G179" s="90">
        <v>2024</v>
      </c>
      <c r="H179" s="110" t="s">
        <v>1763</v>
      </c>
      <c r="I179" s="110" t="s">
        <v>1764</v>
      </c>
      <c r="J179" s="94" t="s">
        <v>1765</v>
      </c>
      <c r="K179" s="100">
        <v>45462</v>
      </c>
      <c r="L179" s="69" t="s">
        <v>79</v>
      </c>
      <c r="M179" s="69" t="s">
        <v>4</v>
      </c>
      <c r="N179" s="69" t="s">
        <v>101</v>
      </c>
      <c r="O179" s="69" t="s">
        <v>1436</v>
      </c>
      <c r="P179" s="78"/>
      <c r="Q179" s="96">
        <v>45462</v>
      </c>
      <c r="R179" s="97"/>
      <c r="S179" s="98"/>
    </row>
    <row r="180" spans="1:19" ht="42.75">
      <c r="A180" s="90" t="s">
        <v>48</v>
      </c>
      <c r="B180" s="91" t="s">
        <v>1755</v>
      </c>
      <c r="C180" s="102" t="s">
        <v>1766</v>
      </c>
      <c r="D180" s="90">
        <v>5472</v>
      </c>
      <c r="E180" s="90">
        <v>7083</v>
      </c>
      <c r="F180" s="90" t="s">
        <v>1454</v>
      </c>
      <c r="G180" s="90"/>
      <c r="H180" s="93"/>
      <c r="I180" s="93"/>
      <c r="J180" s="93"/>
      <c r="K180" s="95"/>
      <c r="L180" s="69"/>
      <c r="M180" s="69"/>
      <c r="N180" s="69"/>
      <c r="O180" s="69"/>
      <c r="P180" s="78"/>
      <c r="Q180" s="96"/>
      <c r="R180" s="97"/>
      <c r="S180" s="98"/>
    </row>
    <row r="181" spans="1:19" ht="42.75">
      <c r="A181" s="90" t="s">
        <v>48</v>
      </c>
      <c r="B181" s="91" t="s">
        <v>1755</v>
      </c>
      <c r="C181" s="102" t="s">
        <v>1767</v>
      </c>
      <c r="D181" s="90">
        <v>9583</v>
      </c>
      <c r="E181" s="90">
        <v>11581</v>
      </c>
      <c r="F181" s="90" t="s">
        <v>1454</v>
      </c>
      <c r="G181" s="90"/>
      <c r="H181" s="93"/>
      <c r="I181" s="93"/>
      <c r="J181" s="93"/>
      <c r="K181" s="95"/>
      <c r="L181" s="69"/>
      <c r="M181" s="69"/>
      <c r="N181" s="69"/>
      <c r="O181" s="69"/>
      <c r="P181" s="78"/>
      <c r="Q181" s="96"/>
      <c r="R181" s="97"/>
      <c r="S181" s="98"/>
    </row>
    <row r="182" spans="1:19" ht="42.75">
      <c r="A182" s="90" t="s">
        <v>48</v>
      </c>
      <c r="B182" s="91" t="s">
        <v>1755</v>
      </c>
      <c r="C182" s="102" t="s">
        <v>1768</v>
      </c>
      <c r="D182" s="90">
        <v>1811</v>
      </c>
      <c r="E182" s="90">
        <v>2031</v>
      </c>
      <c r="F182" s="90" t="s">
        <v>1454</v>
      </c>
      <c r="G182" s="90">
        <v>2025</v>
      </c>
      <c r="H182" s="93"/>
      <c r="I182" s="93"/>
      <c r="J182" s="93"/>
      <c r="K182" s="95"/>
      <c r="L182" s="69" t="s">
        <v>74</v>
      </c>
      <c r="M182" s="69"/>
      <c r="N182" s="69"/>
      <c r="O182" s="69"/>
      <c r="P182" s="78"/>
      <c r="Q182" s="96"/>
      <c r="R182" s="97"/>
      <c r="S182" s="98"/>
    </row>
    <row r="183" spans="1:19" ht="42.75">
      <c r="A183" s="90" t="s">
        <v>48</v>
      </c>
      <c r="B183" s="91" t="s">
        <v>1755</v>
      </c>
      <c r="C183" s="102" t="s">
        <v>1769</v>
      </c>
      <c r="D183" s="90">
        <v>1784</v>
      </c>
      <c r="E183" s="90">
        <v>1776</v>
      </c>
      <c r="F183" s="90" t="s">
        <v>1454</v>
      </c>
      <c r="G183" s="90"/>
      <c r="H183" s="93"/>
      <c r="I183" s="93"/>
      <c r="J183" s="93"/>
      <c r="K183" s="95"/>
      <c r="L183" s="69"/>
      <c r="M183" s="69"/>
      <c r="N183" s="69"/>
      <c r="O183" s="69"/>
      <c r="P183" s="78"/>
      <c r="Q183" s="96"/>
      <c r="R183" s="97"/>
      <c r="S183" s="98"/>
    </row>
    <row r="184" spans="1:19" ht="42.75">
      <c r="A184" s="90" t="s">
        <v>48</v>
      </c>
      <c r="B184" s="91" t="s">
        <v>1755</v>
      </c>
      <c r="C184" s="91" t="s">
        <v>1770</v>
      </c>
      <c r="D184" s="90">
        <v>2570</v>
      </c>
      <c r="E184" s="90">
        <v>2277</v>
      </c>
      <c r="F184" s="90" t="s">
        <v>1434</v>
      </c>
      <c r="G184" s="90">
        <v>2024</v>
      </c>
      <c r="H184" s="92">
        <v>45349</v>
      </c>
      <c r="I184" s="112">
        <v>45355</v>
      </c>
      <c r="J184" s="94" t="s">
        <v>1771</v>
      </c>
      <c r="K184" s="113">
        <v>45356</v>
      </c>
      <c r="L184" s="69"/>
      <c r="M184" s="69" t="s">
        <v>4</v>
      </c>
      <c r="N184" s="69" t="s">
        <v>101</v>
      </c>
      <c r="O184" s="69" t="s">
        <v>1436</v>
      </c>
      <c r="P184" s="78"/>
      <c r="Q184" s="96"/>
      <c r="R184" s="97"/>
      <c r="S184" s="98"/>
    </row>
    <row r="185" spans="1:19" ht="42.75">
      <c r="A185" s="90" t="s">
        <v>48</v>
      </c>
      <c r="B185" s="91" t="s">
        <v>1755</v>
      </c>
      <c r="C185" s="91" t="s">
        <v>1772</v>
      </c>
      <c r="D185" s="90">
        <v>723</v>
      </c>
      <c r="E185" s="90">
        <v>725</v>
      </c>
      <c r="F185" s="90" t="s">
        <v>1434</v>
      </c>
      <c r="G185" s="90">
        <v>2024</v>
      </c>
      <c r="H185" s="92">
        <v>45345</v>
      </c>
      <c r="I185" s="92">
        <v>45348</v>
      </c>
      <c r="J185" s="94" t="s">
        <v>1773</v>
      </c>
      <c r="K185" s="108">
        <v>45349</v>
      </c>
      <c r="L185" s="69"/>
      <c r="M185" s="69" t="s">
        <v>4</v>
      </c>
      <c r="N185" s="69" t="s">
        <v>101</v>
      </c>
      <c r="O185" s="69" t="s">
        <v>1436</v>
      </c>
      <c r="P185" s="78"/>
      <c r="Q185" s="96"/>
      <c r="R185" s="97"/>
      <c r="S185" s="98"/>
    </row>
    <row r="186" spans="1:19" ht="42.75">
      <c r="A186" s="90" t="s">
        <v>48</v>
      </c>
      <c r="B186" s="91" t="s">
        <v>1755</v>
      </c>
      <c r="C186" s="91" t="s">
        <v>926</v>
      </c>
      <c r="D186" s="90">
        <v>799</v>
      </c>
      <c r="E186" s="90">
        <v>736</v>
      </c>
      <c r="F186" s="90" t="s">
        <v>1434</v>
      </c>
      <c r="G186" s="90">
        <v>2024</v>
      </c>
      <c r="H186" s="110" t="s">
        <v>1774</v>
      </c>
      <c r="I186" s="110" t="s">
        <v>1717</v>
      </c>
      <c r="J186" s="94" t="s">
        <v>1775</v>
      </c>
      <c r="K186" s="100">
        <v>45488</v>
      </c>
      <c r="L186" s="69" t="s">
        <v>80</v>
      </c>
      <c r="M186" s="69" t="s">
        <v>4</v>
      </c>
      <c r="N186" s="69" t="s">
        <v>101</v>
      </c>
      <c r="O186" s="69" t="s">
        <v>1436</v>
      </c>
      <c r="P186" s="78"/>
      <c r="Q186" s="96">
        <v>45489</v>
      </c>
      <c r="R186" s="97"/>
      <c r="S186" s="98"/>
    </row>
    <row r="187" spans="1:19" ht="42.75">
      <c r="A187" s="90" t="s">
        <v>48</v>
      </c>
      <c r="B187" s="91" t="s">
        <v>1755</v>
      </c>
      <c r="C187" s="111" t="s">
        <v>1776</v>
      </c>
      <c r="D187" s="90">
        <v>4315</v>
      </c>
      <c r="E187" s="90">
        <v>4287</v>
      </c>
      <c r="F187" s="90" t="s">
        <v>1434</v>
      </c>
      <c r="G187" s="90">
        <v>2024</v>
      </c>
      <c r="H187" s="92">
        <v>45378</v>
      </c>
      <c r="I187" s="112">
        <v>45383</v>
      </c>
      <c r="J187" s="94" t="s">
        <v>1777</v>
      </c>
      <c r="K187" s="106" t="s">
        <v>1778</v>
      </c>
      <c r="L187" s="69" t="s">
        <v>77</v>
      </c>
      <c r="M187" s="69" t="s">
        <v>4</v>
      </c>
      <c r="N187" s="69"/>
      <c r="O187" s="69" t="s">
        <v>1436</v>
      </c>
      <c r="P187" s="78"/>
      <c r="Q187" s="96"/>
      <c r="R187" s="97"/>
      <c r="S187" s="98"/>
    </row>
    <row r="188" spans="1:19" ht="42.75">
      <c r="A188" s="90" t="s">
        <v>48</v>
      </c>
      <c r="B188" s="91" t="s">
        <v>1755</v>
      </c>
      <c r="C188" s="111" t="s">
        <v>1779</v>
      </c>
      <c r="D188" s="90">
        <v>1816</v>
      </c>
      <c r="E188" s="90">
        <v>1822</v>
      </c>
      <c r="F188" s="90" t="s">
        <v>1434</v>
      </c>
      <c r="G188" s="90">
        <v>2024</v>
      </c>
      <c r="H188" s="92">
        <v>45378</v>
      </c>
      <c r="I188" s="112">
        <v>45383</v>
      </c>
      <c r="J188" s="94" t="s">
        <v>1780</v>
      </c>
      <c r="K188" s="113">
        <v>45384</v>
      </c>
      <c r="L188" s="69" t="s">
        <v>77</v>
      </c>
      <c r="M188" s="69" t="s">
        <v>4</v>
      </c>
      <c r="N188" s="69"/>
      <c r="O188" s="69" t="s">
        <v>1436</v>
      </c>
      <c r="P188" s="78"/>
      <c r="Q188" s="96"/>
      <c r="R188" s="97"/>
      <c r="S188" s="98"/>
    </row>
    <row r="189" spans="1:19" ht="42.75">
      <c r="A189" s="90" t="s">
        <v>48</v>
      </c>
      <c r="B189" s="91" t="s">
        <v>1755</v>
      </c>
      <c r="C189" s="111" t="s">
        <v>427</v>
      </c>
      <c r="D189" s="90">
        <v>6274</v>
      </c>
      <c r="E189" s="90">
        <v>6718</v>
      </c>
      <c r="F189" s="90" t="s">
        <v>1434</v>
      </c>
      <c r="G189" s="90">
        <v>2024</v>
      </c>
      <c r="H189" s="112">
        <v>45385</v>
      </c>
      <c r="I189" s="112">
        <v>45386</v>
      </c>
      <c r="J189" s="94" t="s">
        <v>1781</v>
      </c>
      <c r="K189" s="116" t="s">
        <v>1782</v>
      </c>
      <c r="L189" s="69" t="s">
        <v>77</v>
      </c>
      <c r="M189" s="69" t="s">
        <v>4</v>
      </c>
      <c r="N189" s="69" t="s">
        <v>101</v>
      </c>
      <c r="O189" s="69" t="s">
        <v>1436</v>
      </c>
      <c r="P189" s="78"/>
      <c r="Q189" s="96"/>
      <c r="R189" s="97"/>
      <c r="S189" s="98"/>
    </row>
    <row r="190" spans="1:19" ht="42.75">
      <c r="A190" s="90" t="s">
        <v>48</v>
      </c>
      <c r="B190" s="91" t="s">
        <v>1755</v>
      </c>
      <c r="C190" s="91" t="s">
        <v>1783</v>
      </c>
      <c r="D190" s="90">
        <v>2256</v>
      </c>
      <c r="E190" s="90">
        <v>2766</v>
      </c>
      <c r="F190" s="90" t="s">
        <v>1434</v>
      </c>
      <c r="G190" s="90">
        <v>2024</v>
      </c>
      <c r="H190" s="101">
        <v>45602</v>
      </c>
      <c r="I190" s="101">
        <v>45607</v>
      </c>
      <c r="J190" s="94" t="s">
        <v>1784</v>
      </c>
      <c r="K190" s="100">
        <v>45612</v>
      </c>
      <c r="L190" s="69" t="s">
        <v>84</v>
      </c>
      <c r="M190" s="69" t="s">
        <v>4</v>
      </c>
      <c r="N190" s="69" t="s">
        <v>101</v>
      </c>
      <c r="O190" s="69" t="s">
        <v>1436</v>
      </c>
      <c r="P190" s="78"/>
      <c r="Q190" s="96">
        <v>45614</v>
      </c>
      <c r="R190" s="97" t="s">
        <v>1481</v>
      </c>
      <c r="S190" s="98"/>
    </row>
    <row r="191" spans="1:19" ht="42.75">
      <c r="A191" s="90" t="s">
        <v>48</v>
      </c>
      <c r="B191" s="91" t="s">
        <v>1755</v>
      </c>
      <c r="C191" s="91" t="s">
        <v>1785</v>
      </c>
      <c r="D191" s="90">
        <v>4170</v>
      </c>
      <c r="E191" s="90">
        <v>3844</v>
      </c>
      <c r="F191" s="90" t="s">
        <v>1434</v>
      </c>
      <c r="G191" s="90">
        <v>2024</v>
      </c>
      <c r="H191" s="110" t="s">
        <v>1786</v>
      </c>
      <c r="I191" s="110" t="s">
        <v>1696</v>
      </c>
      <c r="J191" s="94" t="s">
        <v>1787</v>
      </c>
      <c r="K191" s="100">
        <v>45447</v>
      </c>
      <c r="L191" s="69" t="s">
        <v>79</v>
      </c>
      <c r="M191" s="69" t="s">
        <v>4</v>
      </c>
      <c r="N191" s="69" t="s">
        <v>101</v>
      </c>
      <c r="O191" s="69" t="s">
        <v>1436</v>
      </c>
      <c r="P191" s="78"/>
      <c r="Q191" s="96"/>
      <c r="R191" s="97"/>
      <c r="S191" s="98"/>
    </row>
    <row r="192" spans="1:19" ht="42.75">
      <c r="A192" s="90" t="s">
        <v>48</v>
      </c>
      <c r="B192" s="91" t="s">
        <v>1755</v>
      </c>
      <c r="C192" s="91" t="s">
        <v>1788</v>
      </c>
      <c r="D192" s="90">
        <v>1907</v>
      </c>
      <c r="E192" s="90">
        <v>2181</v>
      </c>
      <c r="F192" s="90" t="s">
        <v>1434</v>
      </c>
      <c r="G192" s="90">
        <v>2024</v>
      </c>
      <c r="H192" s="110" t="s">
        <v>1789</v>
      </c>
      <c r="I192" s="110" t="s">
        <v>1790</v>
      </c>
      <c r="J192" s="94" t="s">
        <v>1791</v>
      </c>
      <c r="K192" s="100">
        <v>45447</v>
      </c>
      <c r="L192" s="69" t="s">
        <v>79</v>
      </c>
      <c r="M192" s="69" t="s">
        <v>4</v>
      </c>
      <c r="N192" s="69" t="s">
        <v>108</v>
      </c>
      <c r="O192" s="69" t="s">
        <v>1436</v>
      </c>
      <c r="P192" s="78"/>
      <c r="Q192" s="70">
        <v>45447</v>
      </c>
      <c r="R192" s="97"/>
      <c r="S192" s="98"/>
    </row>
    <row r="193" spans="1:19" ht="42.75">
      <c r="A193" s="90" t="s">
        <v>48</v>
      </c>
      <c r="B193" s="91" t="s">
        <v>1755</v>
      </c>
      <c r="C193" s="102" t="s">
        <v>1792</v>
      </c>
      <c r="D193" s="90">
        <v>818</v>
      </c>
      <c r="E193" s="90">
        <v>914</v>
      </c>
      <c r="F193" s="90" t="s">
        <v>1454</v>
      </c>
      <c r="G193" s="90"/>
      <c r="H193" s="93"/>
      <c r="I193" s="93"/>
      <c r="J193" s="93"/>
      <c r="K193" s="95"/>
      <c r="L193" s="69"/>
      <c r="M193" s="69"/>
      <c r="N193" s="69"/>
      <c r="O193" s="69"/>
      <c r="P193" s="78"/>
      <c r="Q193" s="96"/>
      <c r="R193" s="97"/>
      <c r="S193" s="98"/>
    </row>
    <row r="194" spans="1:19" ht="42.75">
      <c r="A194" s="90" t="s">
        <v>48</v>
      </c>
      <c r="B194" s="91" t="s">
        <v>1755</v>
      </c>
      <c r="C194" s="109" t="s">
        <v>1793</v>
      </c>
      <c r="D194" s="90">
        <v>10964</v>
      </c>
      <c r="E194" s="90">
        <v>9227</v>
      </c>
      <c r="F194" s="90" t="s">
        <v>1434</v>
      </c>
      <c r="G194" s="90">
        <v>2024</v>
      </c>
      <c r="H194" s="110" t="s">
        <v>1794</v>
      </c>
      <c r="I194" s="110" t="s">
        <v>1701</v>
      </c>
      <c r="J194" s="94" t="s">
        <v>1795</v>
      </c>
      <c r="K194" s="106" t="s">
        <v>1703</v>
      </c>
      <c r="L194" s="69" t="s">
        <v>78</v>
      </c>
      <c r="M194" s="69" t="s">
        <v>4</v>
      </c>
      <c r="N194" s="69" t="s">
        <v>101</v>
      </c>
      <c r="O194" s="69" t="s">
        <v>1436</v>
      </c>
      <c r="P194" s="78"/>
      <c r="Q194" s="96"/>
      <c r="R194" s="97"/>
      <c r="S194" s="98"/>
    </row>
    <row r="195" spans="1:19" ht="42.75">
      <c r="A195" s="90" t="s">
        <v>48</v>
      </c>
      <c r="B195" s="91" t="s">
        <v>1755</v>
      </c>
      <c r="C195" s="91" t="s">
        <v>1796</v>
      </c>
      <c r="D195" s="90">
        <v>2971</v>
      </c>
      <c r="E195" s="90">
        <v>2852</v>
      </c>
      <c r="F195" s="90" t="s">
        <v>1434</v>
      </c>
      <c r="G195" s="90">
        <v>2024</v>
      </c>
      <c r="H195" s="110" t="s">
        <v>1726</v>
      </c>
      <c r="I195" s="110" t="s">
        <v>1729</v>
      </c>
      <c r="J195" s="94" t="s">
        <v>1797</v>
      </c>
      <c r="K195" s="100">
        <v>45574</v>
      </c>
      <c r="L195" s="69" t="s">
        <v>83</v>
      </c>
      <c r="M195" s="69" t="s">
        <v>4</v>
      </c>
      <c r="N195" s="69" t="s">
        <v>101</v>
      </c>
      <c r="O195" s="69" t="s">
        <v>1436</v>
      </c>
      <c r="P195" s="78"/>
      <c r="Q195" s="115">
        <v>45575</v>
      </c>
      <c r="R195" s="65" t="s">
        <v>1481</v>
      </c>
      <c r="S195" s="89"/>
    </row>
    <row r="196" spans="1:19" ht="42.75">
      <c r="A196" s="90" t="s">
        <v>48</v>
      </c>
      <c r="B196" s="91" t="s">
        <v>1755</v>
      </c>
      <c r="C196" s="109" t="s">
        <v>906</v>
      </c>
      <c r="D196" s="90">
        <v>10106</v>
      </c>
      <c r="E196" s="90">
        <v>12057</v>
      </c>
      <c r="F196" s="90" t="s">
        <v>1434</v>
      </c>
      <c r="G196" s="90">
        <v>2024</v>
      </c>
      <c r="H196" s="114" t="s">
        <v>1798</v>
      </c>
      <c r="I196" s="114" t="s">
        <v>1721</v>
      </c>
      <c r="J196" s="94" t="s">
        <v>1799</v>
      </c>
      <c r="K196" s="106" t="s">
        <v>1703</v>
      </c>
      <c r="L196" s="69" t="s">
        <v>78</v>
      </c>
      <c r="M196" s="69" t="s">
        <v>4</v>
      </c>
      <c r="N196" s="69" t="s">
        <v>108</v>
      </c>
      <c r="O196" s="69" t="s">
        <v>1436</v>
      </c>
      <c r="P196" s="78"/>
      <c r="Q196" s="96"/>
      <c r="R196" s="97"/>
      <c r="S196" s="98"/>
    </row>
    <row r="197" spans="1:19" ht="42.75">
      <c r="A197" s="90" t="s">
        <v>48</v>
      </c>
      <c r="B197" s="91" t="s">
        <v>1755</v>
      </c>
      <c r="C197" s="91" t="s">
        <v>985</v>
      </c>
      <c r="D197" s="90">
        <v>5472</v>
      </c>
      <c r="E197" s="90">
        <v>6388</v>
      </c>
      <c r="F197" s="90" t="s">
        <v>1434</v>
      </c>
      <c r="G197" s="90">
        <v>2024</v>
      </c>
      <c r="H197" s="110" t="s">
        <v>1733</v>
      </c>
      <c r="I197" s="110" t="s">
        <v>1734</v>
      </c>
      <c r="J197" s="94" t="s">
        <v>1800</v>
      </c>
      <c r="K197" s="100">
        <v>45565</v>
      </c>
      <c r="L197" s="69" t="s">
        <v>83</v>
      </c>
      <c r="M197" s="69" t="s">
        <v>4</v>
      </c>
      <c r="N197" s="69" t="s">
        <v>101</v>
      </c>
      <c r="O197" s="69" t="s">
        <v>1436</v>
      </c>
      <c r="P197" s="78"/>
      <c r="Q197" s="115">
        <v>45566</v>
      </c>
      <c r="R197" s="65" t="s">
        <v>1481</v>
      </c>
      <c r="S197" s="89"/>
    </row>
    <row r="198" spans="1:19" ht="42.75">
      <c r="A198" s="90" t="s">
        <v>48</v>
      </c>
      <c r="B198" s="91" t="s">
        <v>1755</v>
      </c>
      <c r="C198" s="109" t="s">
        <v>1801</v>
      </c>
      <c r="D198" s="90">
        <v>2536</v>
      </c>
      <c r="E198" s="90">
        <v>2543</v>
      </c>
      <c r="F198" s="90" t="s">
        <v>1434</v>
      </c>
      <c r="G198" s="90">
        <v>2024</v>
      </c>
      <c r="H198" s="110" t="s">
        <v>1802</v>
      </c>
      <c r="I198" s="110" t="s">
        <v>1803</v>
      </c>
      <c r="J198" s="94" t="s">
        <v>1804</v>
      </c>
      <c r="K198" s="106" t="s">
        <v>1805</v>
      </c>
      <c r="L198" s="69" t="s">
        <v>78</v>
      </c>
      <c r="M198" s="69" t="s">
        <v>4</v>
      </c>
      <c r="N198" s="69" t="s">
        <v>101</v>
      </c>
      <c r="O198" s="69" t="s">
        <v>1436</v>
      </c>
      <c r="P198" s="78"/>
      <c r="Q198" s="96"/>
      <c r="R198" s="97"/>
      <c r="S198" s="98"/>
    </row>
    <row r="199" spans="1:19" ht="42.75">
      <c r="A199" s="90" t="s">
        <v>48</v>
      </c>
      <c r="B199" s="91" t="s">
        <v>1755</v>
      </c>
      <c r="C199" s="91" t="s">
        <v>1806</v>
      </c>
      <c r="D199" s="90">
        <v>2219</v>
      </c>
      <c r="E199" s="90">
        <v>2322</v>
      </c>
      <c r="F199" s="90" t="s">
        <v>1434</v>
      </c>
      <c r="G199" s="90">
        <v>2024</v>
      </c>
      <c r="H199" s="92">
        <v>45370</v>
      </c>
      <c r="I199" s="92">
        <v>45372</v>
      </c>
      <c r="J199" s="94" t="s">
        <v>1807</v>
      </c>
      <c r="K199" s="108">
        <v>45377</v>
      </c>
      <c r="L199" s="69"/>
      <c r="M199" s="69" t="s">
        <v>4</v>
      </c>
      <c r="N199" s="69" t="s">
        <v>108</v>
      </c>
      <c r="O199" s="69" t="s">
        <v>1436</v>
      </c>
      <c r="P199" s="78"/>
      <c r="Q199" s="96"/>
      <c r="R199" s="97"/>
      <c r="S199" s="98"/>
    </row>
    <row r="200" spans="1:19" ht="42.75">
      <c r="A200" s="90" t="s">
        <v>48</v>
      </c>
      <c r="B200" s="91" t="s">
        <v>1755</v>
      </c>
      <c r="C200" s="91" t="s">
        <v>1808</v>
      </c>
      <c r="D200" s="90">
        <v>2483</v>
      </c>
      <c r="E200" s="90">
        <v>2670</v>
      </c>
      <c r="F200" s="90" t="s">
        <v>1434</v>
      </c>
      <c r="G200" s="90">
        <v>2024</v>
      </c>
      <c r="H200" s="110" t="s">
        <v>1759</v>
      </c>
      <c r="I200" s="110" t="s">
        <v>1759</v>
      </c>
      <c r="J200" s="94" t="s">
        <v>1809</v>
      </c>
      <c r="K200" s="100">
        <v>45463</v>
      </c>
      <c r="L200" s="69" t="s">
        <v>79</v>
      </c>
      <c r="M200" s="69" t="s">
        <v>4</v>
      </c>
      <c r="N200" s="69" t="s">
        <v>101</v>
      </c>
      <c r="O200" s="69" t="s">
        <v>1436</v>
      </c>
      <c r="P200" s="78"/>
      <c r="Q200" s="96">
        <v>45464</v>
      </c>
      <c r="R200" s="97"/>
      <c r="S200" s="98"/>
    </row>
    <row r="201" spans="1:19" ht="42.75">
      <c r="A201" s="90" t="s">
        <v>48</v>
      </c>
      <c r="B201" s="91" t="s">
        <v>212</v>
      </c>
      <c r="C201" s="91" t="s">
        <v>1810</v>
      </c>
      <c r="D201" s="90">
        <v>4774</v>
      </c>
      <c r="E201" s="90">
        <v>5053</v>
      </c>
      <c r="F201" s="90" t="s">
        <v>1434</v>
      </c>
      <c r="G201" s="90">
        <v>2024</v>
      </c>
      <c r="H201" s="110" t="s">
        <v>1811</v>
      </c>
      <c r="I201" s="110" t="s">
        <v>1786</v>
      </c>
      <c r="J201" s="117" t="s">
        <v>1812</v>
      </c>
      <c r="K201" s="106" t="s">
        <v>1790</v>
      </c>
      <c r="L201" s="69" t="s">
        <v>79</v>
      </c>
      <c r="M201" s="69" t="s">
        <v>4</v>
      </c>
      <c r="N201" s="69" t="s">
        <v>101</v>
      </c>
      <c r="O201" s="69" t="s">
        <v>1436</v>
      </c>
      <c r="P201" s="78"/>
      <c r="Q201" s="96">
        <v>45443</v>
      </c>
      <c r="R201" s="97"/>
      <c r="S201" s="98"/>
    </row>
    <row r="202" spans="1:19" ht="42.75">
      <c r="A202" s="90" t="s">
        <v>48</v>
      </c>
      <c r="B202" s="91" t="s">
        <v>212</v>
      </c>
      <c r="C202" s="91" t="s">
        <v>1813</v>
      </c>
      <c r="D202" s="90">
        <v>488</v>
      </c>
      <c r="E202" s="90">
        <v>366</v>
      </c>
      <c r="F202" s="90" t="s">
        <v>1434</v>
      </c>
      <c r="G202" s="90">
        <v>2024</v>
      </c>
      <c r="H202" s="110" t="s">
        <v>1814</v>
      </c>
      <c r="I202" s="118" t="s">
        <v>1815</v>
      </c>
      <c r="J202" s="107" t="s">
        <v>1816</v>
      </c>
      <c r="K202" s="119">
        <v>45569</v>
      </c>
      <c r="L202" s="69" t="s">
        <v>83</v>
      </c>
      <c r="M202" s="69" t="s">
        <v>4</v>
      </c>
      <c r="N202" s="69" t="s">
        <v>101</v>
      </c>
      <c r="O202" s="69" t="s">
        <v>1436</v>
      </c>
      <c r="P202" s="78"/>
      <c r="Q202" s="115">
        <v>45569</v>
      </c>
      <c r="R202" s="65" t="s">
        <v>1481</v>
      </c>
      <c r="S202" s="89"/>
    </row>
    <row r="203" spans="1:19" ht="42.75">
      <c r="A203" s="90" t="s">
        <v>48</v>
      </c>
      <c r="B203" s="91" t="s">
        <v>212</v>
      </c>
      <c r="C203" s="91" t="s">
        <v>1817</v>
      </c>
      <c r="D203" s="90">
        <v>411</v>
      </c>
      <c r="E203" s="90">
        <v>331</v>
      </c>
      <c r="F203" s="90" t="s">
        <v>1434</v>
      </c>
      <c r="G203" s="90">
        <v>2024</v>
      </c>
      <c r="H203" s="110" t="s">
        <v>1818</v>
      </c>
      <c r="I203" s="118" t="s">
        <v>1819</v>
      </c>
      <c r="J203" s="107" t="s">
        <v>1820</v>
      </c>
      <c r="K203" s="119">
        <v>45580</v>
      </c>
      <c r="L203" s="69" t="s">
        <v>83</v>
      </c>
      <c r="M203" s="69" t="s">
        <v>4</v>
      </c>
      <c r="N203" s="69" t="s">
        <v>108</v>
      </c>
      <c r="O203" s="69" t="s">
        <v>1436</v>
      </c>
      <c r="P203" s="78"/>
      <c r="Q203" s="96">
        <v>45580</v>
      </c>
      <c r="R203" s="97" t="s">
        <v>1481</v>
      </c>
      <c r="S203" s="98"/>
    </row>
    <row r="204" spans="1:19" ht="42.75">
      <c r="A204" s="90" t="s">
        <v>48</v>
      </c>
      <c r="B204" s="91" t="s">
        <v>212</v>
      </c>
      <c r="C204" s="91" t="s">
        <v>1821</v>
      </c>
      <c r="D204" s="90">
        <v>3135</v>
      </c>
      <c r="E204" s="90">
        <v>3651</v>
      </c>
      <c r="F204" s="90" t="s">
        <v>1434</v>
      </c>
      <c r="G204" s="90">
        <v>2024</v>
      </c>
      <c r="H204" s="92">
        <v>45349</v>
      </c>
      <c r="I204" s="120">
        <v>45349</v>
      </c>
      <c r="J204" s="107" t="s">
        <v>1822</v>
      </c>
      <c r="K204" s="121">
        <v>45350</v>
      </c>
      <c r="L204" s="69" t="s">
        <v>76</v>
      </c>
      <c r="M204" s="69" t="s">
        <v>4</v>
      </c>
      <c r="N204" s="69" t="s">
        <v>101</v>
      </c>
      <c r="O204" s="69" t="s">
        <v>1436</v>
      </c>
      <c r="P204" s="78"/>
      <c r="Q204" s="96"/>
      <c r="R204" s="97"/>
      <c r="S204" s="98"/>
    </row>
    <row r="205" spans="1:19" ht="42.75">
      <c r="A205" s="90" t="s">
        <v>48</v>
      </c>
      <c r="B205" s="91" t="s">
        <v>212</v>
      </c>
      <c r="C205" s="91" t="s">
        <v>1823</v>
      </c>
      <c r="D205" s="90">
        <v>2822</v>
      </c>
      <c r="E205" s="90">
        <v>3247</v>
      </c>
      <c r="F205" s="90" t="s">
        <v>1454</v>
      </c>
      <c r="G205" s="90"/>
      <c r="H205" s="93"/>
      <c r="I205" s="93"/>
      <c r="J205" s="122"/>
      <c r="K205" s="95"/>
      <c r="L205" s="69"/>
      <c r="M205" s="69"/>
      <c r="N205" s="69"/>
      <c r="O205" s="69"/>
      <c r="P205" s="78"/>
      <c r="Q205" s="96"/>
      <c r="R205" s="97"/>
      <c r="S205" s="98"/>
    </row>
    <row r="206" spans="1:19" ht="42.75">
      <c r="A206" s="90" t="s">
        <v>48</v>
      </c>
      <c r="B206" s="91" t="s">
        <v>212</v>
      </c>
      <c r="C206" s="91" t="s">
        <v>1824</v>
      </c>
      <c r="D206" s="90">
        <v>1573</v>
      </c>
      <c r="E206" s="90">
        <v>1830</v>
      </c>
      <c r="F206" s="90" t="s">
        <v>1434</v>
      </c>
      <c r="G206" s="90">
        <v>2024</v>
      </c>
      <c r="H206" s="92">
        <v>45370</v>
      </c>
      <c r="I206" s="120">
        <v>45372</v>
      </c>
      <c r="J206" s="107" t="s">
        <v>1825</v>
      </c>
      <c r="K206" s="121">
        <v>45377</v>
      </c>
      <c r="L206" s="69" t="s">
        <v>77</v>
      </c>
      <c r="M206" s="69" t="s">
        <v>4</v>
      </c>
      <c r="N206" s="69" t="s">
        <v>101</v>
      </c>
      <c r="O206" s="69" t="s">
        <v>1436</v>
      </c>
      <c r="P206" s="78"/>
      <c r="Q206" s="96"/>
      <c r="R206" s="97"/>
      <c r="S206" s="98"/>
    </row>
    <row r="207" spans="1:19" ht="42.75">
      <c r="A207" s="90" t="s">
        <v>48</v>
      </c>
      <c r="B207" s="91" t="s">
        <v>212</v>
      </c>
      <c r="C207" s="91" t="s">
        <v>1826</v>
      </c>
      <c r="D207" s="90">
        <v>291</v>
      </c>
      <c r="E207" s="90">
        <v>265</v>
      </c>
      <c r="F207" s="90" t="s">
        <v>1434</v>
      </c>
      <c r="G207" s="90">
        <v>2024</v>
      </c>
      <c r="H207" s="110" t="s">
        <v>1827</v>
      </c>
      <c r="I207" s="118" t="s">
        <v>1828</v>
      </c>
      <c r="J207" s="107" t="s">
        <v>1829</v>
      </c>
      <c r="K207" s="119">
        <v>45539</v>
      </c>
      <c r="L207" s="69" t="s">
        <v>82</v>
      </c>
      <c r="M207" s="69" t="s">
        <v>4</v>
      </c>
      <c r="N207" s="69" t="s">
        <v>101</v>
      </c>
      <c r="O207" s="69" t="s">
        <v>1436</v>
      </c>
      <c r="P207" s="78"/>
      <c r="Q207" s="96">
        <v>45539</v>
      </c>
      <c r="R207" s="97" t="s">
        <v>1481</v>
      </c>
      <c r="S207" s="98"/>
    </row>
    <row r="208" spans="1:19" ht="42.75">
      <c r="A208" s="90" t="s">
        <v>48</v>
      </c>
      <c r="B208" s="91" t="s">
        <v>212</v>
      </c>
      <c r="C208" s="91" t="s">
        <v>1830</v>
      </c>
      <c r="D208" s="90">
        <v>608</v>
      </c>
      <c r="E208" s="90">
        <v>528</v>
      </c>
      <c r="F208" s="90" t="s">
        <v>1454</v>
      </c>
      <c r="G208" s="90"/>
      <c r="H208" s="93"/>
      <c r="I208" s="93"/>
      <c r="J208" s="122"/>
      <c r="K208" s="95"/>
      <c r="L208" s="69"/>
      <c r="M208" s="69"/>
      <c r="N208" s="69"/>
      <c r="O208" s="69"/>
      <c r="P208" s="78"/>
      <c r="Q208" s="96"/>
      <c r="R208" s="97"/>
      <c r="S208" s="98"/>
    </row>
    <row r="209" spans="1:19" ht="42.75">
      <c r="A209" s="90" t="s">
        <v>48</v>
      </c>
      <c r="B209" s="91" t="s">
        <v>212</v>
      </c>
      <c r="C209" s="91" t="s">
        <v>1831</v>
      </c>
      <c r="D209" s="90">
        <v>292</v>
      </c>
      <c r="E209" s="90">
        <v>307</v>
      </c>
      <c r="F209" s="90" t="s">
        <v>1434</v>
      </c>
      <c r="G209" s="90">
        <v>2024</v>
      </c>
      <c r="H209" s="110" t="s">
        <v>1832</v>
      </c>
      <c r="I209" s="118" t="s">
        <v>1832</v>
      </c>
      <c r="J209" s="123" t="s">
        <v>1833</v>
      </c>
      <c r="K209" s="119">
        <v>45554</v>
      </c>
      <c r="L209" s="69" t="s">
        <v>82</v>
      </c>
      <c r="M209" s="69" t="s">
        <v>4</v>
      </c>
      <c r="N209" s="69" t="s">
        <v>101</v>
      </c>
      <c r="O209" s="69" t="s">
        <v>1436</v>
      </c>
      <c r="P209" s="78"/>
      <c r="Q209" s="96">
        <v>45555</v>
      </c>
      <c r="R209" s="97" t="s">
        <v>929</v>
      </c>
      <c r="S209" s="98"/>
    </row>
    <row r="210" spans="1:19" ht="42.75">
      <c r="A210" s="90" t="s">
        <v>48</v>
      </c>
      <c r="B210" s="91" t="s">
        <v>212</v>
      </c>
      <c r="C210" s="91" t="s">
        <v>1834</v>
      </c>
      <c r="D210" s="90">
        <v>1744</v>
      </c>
      <c r="E210" s="90">
        <v>1913</v>
      </c>
      <c r="F210" s="90" t="s">
        <v>1434</v>
      </c>
      <c r="G210" s="90">
        <v>2024</v>
      </c>
      <c r="H210" s="110" t="s">
        <v>1835</v>
      </c>
      <c r="I210" s="118" t="s">
        <v>1836</v>
      </c>
      <c r="J210" s="107" t="s">
        <v>1837</v>
      </c>
      <c r="K210" s="119">
        <v>45474</v>
      </c>
      <c r="L210" s="69" t="s">
        <v>80</v>
      </c>
      <c r="M210" s="69" t="s">
        <v>4</v>
      </c>
      <c r="N210" s="69" t="s">
        <v>108</v>
      </c>
      <c r="O210" s="69" t="s">
        <v>1436</v>
      </c>
      <c r="P210" s="78"/>
      <c r="Q210" s="96">
        <v>45474</v>
      </c>
      <c r="R210" s="97"/>
      <c r="S210" s="98"/>
    </row>
    <row r="211" spans="1:19" ht="42.75">
      <c r="A211" s="90" t="s">
        <v>48</v>
      </c>
      <c r="B211" s="91" t="s">
        <v>212</v>
      </c>
      <c r="C211" s="111" t="s">
        <v>1838</v>
      </c>
      <c r="D211" s="90">
        <v>2990</v>
      </c>
      <c r="E211" s="90">
        <v>3082</v>
      </c>
      <c r="F211" s="90" t="s">
        <v>1434</v>
      </c>
      <c r="G211" s="90">
        <v>2024</v>
      </c>
      <c r="H211" s="92">
        <v>45378</v>
      </c>
      <c r="I211" s="124">
        <v>45384</v>
      </c>
      <c r="J211" s="107" t="s">
        <v>1839</v>
      </c>
      <c r="K211" s="125" t="s">
        <v>1778</v>
      </c>
      <c r="L211" s="69" t="s">
        <v>77</v>
      </c>
      <c r="M211" s="69" t="s">
        <v>4</v>
      </c>
      <c r="N211" s="69" t="s">
        <v>101</v>
      </c>
      <c r="O211" s="69" t="s">
        <v>1436</v>
      </c>
      <c r="P211" s="78"/>
      <c r="Q211" s="96"/>
      <c r="R211" s="97"/>
      <c r="S211" s="98"/>
    </row>
    <row r="212" spans="1:19" ht="42.75">
      <c r="A212" s="90" t="s">
        <v>48</v>
      </c>
      <c r="B212" s="91" t="s">
        <v>212</v>
      </c>
      <c r="C212" s="91" t="s">
        <v>1840</v>
      </c>
      <c r="D212" s="90">
        <v>1416</v>
      </c>
      <c r="E212" s="90">
        <v>1363</v>
      </c>
      <c r="F212" s="90" t="s">
        <v>1434</v>
      </c>
      <c r="G212" s="90">
        <v>2024</v>
      </c>
      <c r="H212" s="101">
        <v>45604</v>
      </c>
      <c r="I212" s="101">
        <v>45607</v>
      </c>
      <c r="J212" s="94" t="s">
        <v>1841</v>
      </c>
      <c r="K212" s="100">
        <v>45612</v>
      </c>
      <c r="L212" s="69" t="s">
        <v>84</v>
      </c>
      <c r="M212" s="69" t="s">
        <v>4</v>
      </c>
      <c r="N212" s="69" t="s">
        <v>101</v>
      </c>
      <c r="O212" s="69" t="s">
        <v>1436</v>
      </c>
      <c r="P212" s="78"/>
      <c r="Q212" s="96">
        <v>45614</v>
      </c>
      <c r="R212" s="97" t="s">
        <v>1481</v>
      </c>
      <c r="S212" s="98"/>
    </row>
    <row r="213" spans="1:19" ht="42.75">
      <c r="A213" s="90" t="s">
        <v>48</v>
      </c>
      <c r="B213" s="91" t="s">
        <v>212</v>
      </c>
      <c r="C213" s="91" t="s">
        <v>1842</v>
      </c>
      <c r="D213" s="90">
        <v>6184</v>
      </c>
      <c r="E213" s="90">
        <v>5953</v>
      </c>
      <c r="F213" s="90" t="s">
        <v>1434</v>
      </c>
      <c r="G213" s="90">
        <v>2024</v>
      </c>
      <c r="H213" s="110" t="s">
        <v>1843</v>
      </c>
      <c r="I213" s="110" t="s">
        <v>1844</v>
      </c>
      <c r="J213" s="94" t="s">
        <v>1845</v>
      </c>
      <c r="K213" s="100">
        <v>45489</v>
      </c>
      <c r="L213" s="69" t="s">
        <v>80</v>
      </c>
      <c r="M213" s="69" t="s">
        <v>4</v>
      </c>
      <c r="N213" s="69" t="s">
        <v>101</v>
      </c>
      <c r="O213" s="69" t="s">
        <v>1436</v>
      </c>
      <c r="P213" s="78"/>
      <c r="Q213" s="96">
        <v>45490</v>
      </c>
      <c r="R213" s="97"/>
      <c r="S213" s="98"/>
    </row>
    <row r="214" spans="1:19" ht="42.75">
      <c r="A214" s="90" t="s">
        <v>48</v>
      </c>
      <c r="B214" s="91" t="s">
        <v>212</v>
      </c>
      <c r="C214" s="91" t="s">
        <v>1846</v>
      </c>
      <c r="D214" s="90">
        <v>324</v>
      </c>
      <c r="E214" s="90">
        <v>321</v>
      </c>
      <c r="F214" s="90" t="s">
        <v>1434</v>
      </c>
      <c r="G214" s="90">
        <v>2024</v>
      </c>
      <c r="H214" s="110" t="s">
        <v>1725</v>
      </c>
      <c r="I214" s="110" t="s">
        <v>1726</v>
      </c>
      <c r="J214" s="94" t="s">
        <v>1847</v>
      </c>
      <c r="K214" s="100">
        <v>45572</v>
      </c>
      <c r="L214" s="69" t="s">
        <v>83</v>
      </c>
      <c r="M214" s="69" t="s">
        <v>4</v>
      </c>
      <c r="N214" s="69" t="s">
        <v>101</v>
      </c>
      <c r="O214" s="69" t="s">
        <v>1436</v>
      </c>
      <c r="P214" s="78"/>
      <c r="Q214" s="115">
        <v>45573</v>
      </c>
      <c r="R214" s="65" t="s">
        <v>1481</v>
      </c>
      <c r="S214" s="89"/>
    </row>
    <row r="215" spans="1:19" ht="42.75">
      <c r="A215" s="90" t="s">
        <v>48</v>
      </c>
      <c r="B215" s="91" t="s">
        <v>212</v>
      </c>
      <c r="C215" s="91" t="s">
        <v>1848</v>
      </c>
      <c r="D215" s="90">
        <v>703</v>
      </c>
      <c r="E215" s="90">
        <v>726</v>
      </c>
      <c r="F215" s="90" t="s">
        <v>1434</v>
      </c>
      <c r="G215" s="90">
        <v>2024</v>
      </c>
      <c r="H215" s="110" t="s">
        <v>1725</v>
      </c>
      <c r="I215" s="110" t="s">
        <v>1726</v>
      </c>
      <c r="J215" s="94" t="s">
        <v>1849</v>
      </c>
      <c r="K215" s="100">
        <v>45572</v>
      </c>
      <c r="L215" s="69" t="s">
        <v>83</v>
      </c>
      <c r="M215" s="69" t="s">
        <v>4</v>
      </c>
      <c r="N215" s="69" t="s">
        <v>101</v>
      </c>
      <c r="O215" s="69" t="s">
        <v>1436</v>
      </c>
      <c r="P215" s="78"/>
      <c r="Q215" s="115">
        <v>45573</v>
      </c>
      <c r="R215" s="65" t="s">
        <v>1481</v>
      </c>
      <c r="S215" s="89"/>
    </row>
    <row r="216" spans="1:19" ht="42.75">
      <c r="A216" s="90" t="s">
        <v>48</v>
      </c>
      <c r="B216" s="91" t="s">
        <v>212</v>
      </c>
      <c r="C216" s="91" t="s">
        <v>1850</v>
      </c>
      <c r="D216" s="90">
        <v>1737</v>
      </c>
      <c r="E216" s="90">
        <v>2103</v>
      </c>
      <c r="F216" s="90" t="s">
        <v>1454</v>
      </c>
      <c r="G216" s="90"/>
      <c r="H216" s="93"/>
      <c r="I216" s="93"/>
      <c r="J216" s="93"/>
      <c r="K216" s="95"/>
      <c r="L216" s="69"/>
      <c r="M216" s="69"/>
      <c r="N216" s="69"/>
      <c r="O216" s="69"/>
      <c r="P216" s="78"/>
      <c r="Q216" s="96"/>
      <c r="R216" s="97"/>
      <c r="S216" s="98"/>
    </row>
    <row r="217" spans="1:19" ht="42.75">
      <c r="A217" s="90" t="s">
        <v>48</v>
      </c>
      <c r="B217" s="91" t="s">
        <v>212</v>
      </c>
      <c r="C217" s="109" t="s">
        <v>1851</v>
      </c>
      <c r="D217" s="90">
        <v>2705</v>
      </c>
      <c r="E217" s="90">
        <v>3105</v>
      </c>
      <c r="F217" s="90" t="s">
        <v>1434</v>
      </c>
      <c r="G217" s="90">
        <v>2024</v>
      </c>
      <c r="H217" s="114" t="s">
        <v>1798</v>
      </c>
      <c r="I217" s="114" t="s">
        <v>1721</v>
      </c>
      <c r="J217" s="94" t="s">
        <v>1852</v>
      </c>
      <c r="K217" s="106" t="s">
        <v>1703</v>
      </c>
      <c r="L217" s="69" t="s">
        <v>78</v>
      </c>
      <c r="M217" s="69" t="s">
        <v>4</v>
      </c>
      <c r="N217" s="69" t="s">
        <v>101</v>
      </c>
      <c r="O217" s="69" t="s">
        <v>1436</v>
      </c>
      <c r="P217" s="78"/>
      <c r="Q217" s="96"/>
      <c r="R217" s="97"/>
      <c r="S217" s="98"/>
    </row>
    <row r="218" spans="1:19" ht="42.75">
      <c r="A218" s="90" t="s">
        <v>48</v>
      </c>
      <c r="B218" s="91" t="s">
        <v>212</v>
      </c>
      <c r="C218" s="111" t="s">
        <v>1853</v>
      </c>
      <c r="D218" s="90">
        <v>6012</v>
      </c>
      <c r="E218" s="90">
        <v>6646</v>
      </c>
      <c r="F218" s="90" t="s">
        <v>1434</v>
      </c>
      <c r="G218" s="90">
        <v>2024</v>
      </c>
      <c r="H218" s="112">
        <v>45384</v>
      </c>
      <c r="I218" s="112">
        <v>45387</v>
      </c>
      <c r="J218" s="94" t="s">
        <v>1854</v>
      </c>
      <c r="K218" s="116" t="s">
        <v>1782</v>
      </c>
      <c r="L218" s="69" t="s">
        <v>77</v>
      </c>
      <c r="M218" s="69" t="s">
        <v>4</v>
      </c>
      <c r="N218" s="69" t="s">
        <v>108</v>
      </c>
      <c r="O218" s="69" t="s">
        <v>1436</v>
      </c>
      <c r="P218" s="78"/>
      <c r="Q218" s="96"/>
      <c r="R218" s="97"/>
      <c r="S218" s="98"/>
    </row>
    <row r="219" spans="1:19" ht="42.75">
      <c r="A219" s="90" t="s">
        <v>48</v>
      </c>
      <c r="B219" s="91" t="s">
        <v>212</v>
      </c>
      <c r="C219" s="91" t="s">
        <v>1855</v>
      </c>
      <c r="D219" s="90">
        <v>2421</v>
      </c>
      <c r="E219" s="90">
        <v>2485</v>
      </c>
      <c r="F219" s="90" t="s">
        <v>1454</v>
      </c>
      <c r="G219" s="90"/>
      <c r="H219" s="93"/>
      <c r="I219" s="93"/>
      <c r="J219" s="93"/>
      <c r="K219" s="95"/>
      <c r="L219" s="69"/>
      <c r="M219" s="69"/>
      <c r="N219" s="69"/>
      <c r="O219" s="69"/>
      <c r="P219" s="78"/>
      <c r="Q219" s="96"/>
      <c r="R219" s="97"/>
      <c r="S219" s="98"/>
    </row>
    <row r="220" spans="1:19" ht="42.75">
      <c r="A220" s="90" t="s">
        <v>48</v>
      </c>
      <c r="B220" s="91" t="s">
        <v>212</v>
      </c>
      <c r="C220" s="91" t="s">
        <v>1856</v>
      </c>
      <c r="D220" s="90">
        <v>159</v>
      </c>
      <c r="E220" s="90">
        <v>189</v>
      </c>
      <c r="F220" s="90" t="s">
        <v>1454</v>
      </c>
      <c r="G220" s="90"/>
      <c r="H220" s="93"/>
      <c r="I220" s="93"/>
      <c r="J220" s="93"/>
      <c r="K220" s="95"/>
      <c r="L220" s="69"/>
      <c r="M220" s="69"/>
      <c r="N220" s="69"/>
      <c r="O220" s="69"/>
      <c r="P220" s="78"/>
      <c r="Q220" s="96"/>
      <c r="R220" s="97"/>
      <c r="S220" s="98"/>
    </row>
    <row r="221" spans="1:19" ht="42.75">
      <c r="A221" s="90" t="s">
        <v>48</v>
      </c>
      <c r="B221" s="91" t="s">
        <v>212</v>
      </c>
      <c r="C221" s="91" t="s">
        <v>1013</v>
      </c>
      <c r="D221" s="90">
        <v>1981</v>
      </c>
      <c r="E221" s="90">
        <v>2466</v>
      </c>
      <c r="F221" s="90" t="s">
        <v>1434</v>
      </c>
      <c r="G221" s="90">
        <v>2024</v>
      </c>
      <c r="H221" s="92">
        <v>45349</v>
      </c>
      <c r="I221" s="92">
        <v>45349</v>
      </c>
      <c r="J221" s="94" t="s">
        <v>1857</v>
      </c>
      <c r="K221" s="108">
        <v>45350</v>
      </c>
      <c r="L221" s="69"/>
      <c r="M221" s="69" t="s">
        <v>4</v>
      </c>
      <c r="N221" s="69" t="s">
        <v>101</v>
      </c>
      <c r="O221" s="69" t="s">
        <v>1436</v>
      </c>
      <c r="P221" s="78"/>
      <c r="Q221" s="96"/>
      <c r="R221" s="97"/>
      <c r="S221" s="98"/>
    </row>
    <row r="222" spans="1:19" ht="42.75">
      <c r="A222" s="90" t="s">
        <v>48</v>
      </c>
      <c r="B222" s="91" t="s">
        <v>212</v>
      </c>
      <c r="C222" s="109" t="s">
        <v>963</v>
      </c>
      <c r="D222" s="90">
        <v>3931</v>
      </c>
      <c r="E222" s="90">
        <v>4214</v>
      </c>
      <c r="F222" s="90" t="s">
        <v>1434</v>
      </c>
      <c r="G222" s="90">
        <v>2024</v>
      </c>
      <c r="H222" s="114" t="s">
        <v>1708</v>
      </c>
      <c r="I222" s="110" t="s">
        <v>1720</v>
      </c>
      <c r="J222" s="94" t="s">
        <v>1858</v>
      </c>
      <c r="K222" s="106" t="s">
        <v>1710</v>
      </c>
      <c r="L222" s="69" t="s">
        <v>78</v>
      </c>
      <c r="M222" s="69" t="s">
        <v>4</v>
      </c>
      <c r="N222" s="69" t="s">
        <v>101</v>
      </c>
      <c r="O222" s="69" t="s">
        <v>1436</v>
      </c>
      <c r="P222" s="78"/>
      <c r="Q222" s="96"/>
      <c r="R222" s="97"/>
      <c r="S222" s="98"/>
    </row>
    <row r="223" spans="1:19" ht="42.75">
      <c r="A223" s="90" t="s">
        <v>48</v>
      </c>
      <c r="B223" s="91" t="s">
        <v>212</v>
      </c>
      <c r="C223" s="91" t="s">
        <v>1859</v>
      </c>
      <c r="D223" s="90">
        <v>4159</v>
      </c>
      <c r="E223" s="90">
        <v>4555</v>
      </c>
      <c r="F223" s="90" t="s">
        <v>1454</v>
      </c>
      <c r="G223" s="90"/>
      <c r="H223" s="93"/>
      <c r="I223" s="93"/>
      <c r="J223" s="93"/>
      <c r="K223" s="95"/>
      <c r="L223" s="69"/>
      <c r="M223" s="69"/>
      <c r="N223" s="69"/>
      <c r="O223" s="69"/>
      <c r="P223" s="78"/>
      <c r="Q223" s="96"/>
      <c r="R223" s="97"/>
      <c r="S223" s="98"/>
    </row>
    <row r="224" spans="1:19" ht="42.75">
      <c r="A224" s="90" t="s">
        <v>48</v>
      </c>
      <c r="B224" s="91" t="s">
        <v>212</v>
      </c>
      <c r="C224" s="91" t="s">
        <v>1860</v>
      </c>
      <c r="D224" s="90">
        <v>3578</v>
      </c>
      <c r="E224" s="90">
        <v>4080</v>
      </c>
      <c r="F224" s="90" t="s">
        <v>1434</v>
      </c>
      <c r="G224" s="90">
        <v>2024</v>
      </c>
      <c r="H224" s="92">
        <v>45365</v>
      </c>
      <c r="I224" s="92">
        <v>45369</v>
      </c>
      <c r="J224" s="94" t="s">
        <v>1861</v>
      </c>
      <c r="K224" s="108">
        <v>45377</v>
      </c>
      <c r="L224" s="69" t="s">
        <v>77</v>
      </c>
      <c r="M224" s="69" t="s">
        <v>4</v>
      </c>
      <c r="N224" s="69" t="s">
        <v>101</v>
      </c>
      <c r="O224" s="69" t="s">
        <v>1436</v>
      </c>
      <c r="P224" s="78"/>
      <c r="Q224" s="96"/>
      <c r="R224" s="97"/>
      <c r="S224" s="98"/>
    </row>
    <row r="225" spans="1:19" ht="42.75">
      <c r="A225" s="90" t="s">
        <v>48</v>
      </c>
      <c r="B225" s="91" t="s">
        <v>212</v>
      </c>
      <c r="C225" s="91" t="s">
        <v>1862</v>
      </c>
      <c r="D225" s="90">
        <v>249</v>
      </c>
      <c r="E225" s="90">
        <v>211</v>
      </c>
      <c r="F225" s="90" t="s">
        <v>1434</v>
      </c>
      <c r="G225" s="90">
        <v>2024</v>
      </c>
      <c r="H225" s="110" t="s">
        <v>1814</v>
      </c>
      <c r="I225" s="110" t="s">
        <v>1815</v>
      </c>
      <c r="J225" s="94" t="s">
        <v>1863</v>
      </c>
      <c r="K225" s="100">
        <v>45569</v>
      </c>
      <c r="L225" s="69" t="s">
        <v>83</v>
      </c>
      <c r="M225" s="69" t="s">
        <v>672</v>
      </c>
      <c r="N225" s="69" t="s">
        <v>101</v>
      </c>
      <c r="O225" s="69" t="s">
        <v>1436</v>
      </c>
      <c r="P225" s="78"/>
      <c r="Q225" s="115">
        <v>45569</v>
      </c>
      <c r="R225" s="65" t="s">
        <v>1481</v>
      </c>
      <c r="S225" s="89"/>
    </row>
    <row r="226" spans="1:19" ht="42.75">
      <c r="A226" s="90" t="s">
        <v>48</v>
      </c>
      <c r="B226" s="91" t="s">
        <v>212</v>
      </c>
      <c r="C226" s="109" t="s">
        <v>1864</v>
      </c>
      <c r="D226" s="90">
        <v>9032</v>
      </c>
      <c r="E226" s="90">
        <v>11011</v>
      </c>
      <c r="F226" s="90" t="s">
        <v>1434</v>
      </c>
      <c r="G226" s="90">
        <v>2024</v>
      </c>
      <c r="H226" s="110" t="s">
        <v>1802</v>
      </c>
      <c r="I226" s="110" t="s">
        <v>1803</v>
      </c>
      <c r="J226" s="94" t="s">
        <v>1865</v>
      </c>
      <c r="K226" s="106" t="s">
        <v>1805</v>
      </c>
      <c r="L226" s="69" t="s">
        <v>78</v>
      </c>
      <c r="M226" s="69" t="s">
        <v>4</v>
      </c>
      <c r="N226" s="69" t="s">
        <v>108</v>
      </c>
      <c r="O226" s="69" t="s">
        <v>1436</v>
      </c>
      <c r="P226" s="78"/>
      <c r="Q226" s="96"/>
      <c r="R226" s="97"/>
      <c r="S226" s="98"/>
    </row>
    <row r="227" spans="1:19" ht="42.75">
      <c r="A227" s="90" t="s">
        <v>48</v>
      </c>
      <c r="B227" s="91" t="s">
        <v>212</v>
      </c>
      <c r="C227" s="91" t="s">
        <v>1866</v>
      </c>
      <c r="D227" s="90">
        <v>293</v>
      </c>
      <c r="E227" s="90">
        <v>272</v>
      </c>
      <c r="F227" s="90" t="s">
        <v>1454</v>
      </c>
      <c r="G227" s="90"/>
      <c r="H227" s="93"/>
      <c r="I227" s="93"/>
      <c r="J227" s="93"/>
      <c r="K227" s="95"/>
      <c r="L227" s="69"/>
      <c r="M227" s="69"/>
      <c r="N227" s="69"/>
      <c r="O227" s="69"/>
      <c r="P227" s="78"/>
      <c r="Q227" s="96"/>
      <c r="R227" s="97"/>
      <c r="S227" s="98"/>
    </row>
    <row r="228" spans="1:19" ht="42.75">
      <c r="A228" s="90" t="s">
        <v>48</v>
      </c>
      <c r="B228" s="91" t="s">
        <v>212</v>
      </c>
      <c r="C228" s="91" t="s">
        <v>1867</v>
      </c>
      <c r="D228" s="90">
        <v>4455</v>
      </c>
      <c r="E228" s="90">
        <v>5192</v>
      </c>
      <c r="F228" s="90" t="s">
        <v>1454</v>
      </c>
      <c r="G228" s="90"/>
      <c r="H228" s="93"/>
      <c r="I228" s="93"/>
      <c r="J228" s="93"/>
      <c r="K228" s="95"/>
      <c r="L228" s="69"/>
      <c r="M228" s="69"/>
      <c r="N228" s="69"/>
      <c r="O228" s="69"/>
      <c r="P228" s="78"/>
      <c r="Q228" s="96"/>
      <c r="R228" s="97"/>
      <c r="S228" s="98"/>
    </row>
    <row r="229" spans="1:19" ht="42.75">
      <c r="A229" s="90" t="s">
        <v>48</v>
      </c>
      <c r="B229" s="91" t="s">
        <v>212</v>
      </c>
      <c r="C229" s="91" t="s">
        <v>1868</v>
      </c>
      <c r="D229" s="90">
        <v>2739</v>
      </c>
      <c r="E229" s="90">
        <v>2953</v>
      </c>
      <c r="F229" s="90" t="s">
        <v>1454</v>
      </c>
      <c r="G229" s="90"/>
      <c r="H229" s="93"/>
      <c r="I229" s="93"/>
      <c r="J229" s="93"/>
      <c r="K229" s="95"/>
      <c r="L229" s="69"/>
      <c r="M229" s="69"/>
      <c r="N229" s="69"/>
      <c r="O229" s="69"/>
      <c r="P229" s="78"/>
      <c r="Q229" s="96"/>
      <c r="R229" s="97"/>
      <c r="S229" s="98"/>
    </row>
    <row r="230" spans="1:19" ht="42.75">
      <c r="A230" s="90" t="s">
        <v>48</v>
      </c>
      <c r="B230" s="91" t="s">
        <v>212</v>
      </c>
      <c r="C230" s="91" t="s">
        <v>1869</v>
      </c>
      <c r="D230" s="90">
        <v>983</v>
      </c>
      <c r="E230" s="90">
        <v>899</v>
      </c>
      <c r="F230" s="90" t="s">
        <v>1434</v>
      </c>
      <c r="G230" s="90">
        <v>2024</v>
      </c>
      <c r="H230" s="110" t="s">
        <v>1870</v>
      </c>
      <c r="I230" s="110" t="s">
        <v>1871</v>
      </c>
      <c r="J230" s="94" t="s">
        <v>1872</v>
      </c>
      <c r="K230" s="100">
        <v>45539</v>
      </c>
      <c r="L230" s="69" t="s">
        <v>82</v>
      </c>
      <c r="M230" s="69" t="s">
        <v>4</v>
      </c>
      <c r="N230" s="69" t="s">
        <v>101</v>
      </c>
      <c r="O230" s="69" t="s">
        <v>1436</v>
      </c>
      <c r="P230" s="78"/>
      <c r="Q230" s="96">
        <v>45539</v>
      </c>
      <c r="R230" s="97" t="s">
        <v>1481</v>
      </c>
      <c r="S230" s="98"/>
    </row>
    <row r="231" spans="1:19" ht="42.75">
      <c r="A231" s="90" t="s">
        <v>48</v>
      </c>
      <c r="B231" s="91" t="s">
        <v>212</v>
      </c>
      <c r="C231" s="91" t="s">
        <v>1873</v>
      </c>
      <c r="D231" s="90">
        <v>5942</v>
      </c>
      <c r="E231" s="90">
        <v>7735</v>
      </c>
      <c r="F231" s="90" t="s">
        <v>1434</v>
      </c>
      <c r="G231" s="90">
        <v>2024</v>
      </c>
      <c r="H231" s="110" t="s">
        <v>1789</v>
      </c>
      <c r="I231" s="110" t="s">
        <v>1874</v>
      </c>
      <c r="J231" s="94" t="s">
        <v>1875</v>
      </c>
      <c r="K231" s="100">
        <v>45461</v>
      </c>
      <c r="L231" s="69" t="s">
        <v>79</v>
      </c>
      <c r="M231" s="69" t="s">
        <v>4</v>
      </c>
      <c r="N231" s="69" t="s">
        <v>101</v>
      </c>
      <c r="O231" s="69" t="s">
        <v>1436</v>
      </c>
      <c r="P231" s="78"/>
      <c r="Q231" s="96">
        <v>45462</v>
      </c>
      <c r="R231" s="97"/>
      <c r="S231" s="98"/>
    </row>
    <row r="232" spans="1:19" ht="42.75">
      <c r="A232" s="90" t="s">
        <v>48</v>
      </c>
      <c r="B232" s="91" t="s">
        <v>212</v>
      </c>
      <c r="C232" s="91" t="s">
        <v>1876</v>
      </c>
      <c r="D232" s="90">
        <v>3904</v>
      </c>
      <c r="E232" s="90">
        <v>3784</v>
      </c>
      <c r="F232" s="90" t="s">
        <v>1434</v>
      </c>
      <c r="G232" s="90">
        <v>2024</v>
      </c>
      <c r="H232" s="101">
        <v>45581</v>
      </c>
      <c r="I232" s="101">
        <v>45584</v>
      </c>
      <c r="J232" s="126" t="s">
        <v>1877</v>
      </c>
      <c r="K232" s="100">
        <v>45593</v>
      </c>
      <c r="L232" s="69" t="s">
        <v>84</v>
      </c>
      <c r="M232" s="69" t="s">
        <v>4</v>
      </c>
      <c r="N232" s="69" t="s">
        <v>101</v>
      </c>
      <c r="O232" s="69" t="s">
        <v>1436</v>
      </c>
      <c r="P232" s="78"/>
      <c r="Q232" s="96">
        <v>45593</v>
      </c>
      <c r="R232" s="97" t="s">
        <v>1481</v>
      </c>
      <c r="S232" s="98"/>
    </row>
    <row r="233" spans="1:19" ht="42.75">
      <c r="A233" s="90" t="s">
        <v>48</v>
      </c>
      <c r="B233" s="91" t="s">
        <v>212</v>
      </c>
      <c r="C233" s="109" t="s">
        <v>450</v>
      </c>
      <c r="D233" s="90">
        <v>1800</v>
      </c>
      <c r="E233" s="90">
        <v>1890</v>
      </c>
      <c r="F233" s="90" t="s">
        <v>1434</v>
      </c>
      <c r="G233" s="90">
        <v>2024</v>
      </c>
      <c r="H233" s="114" t="s">
        <v>1708</v>
      </c>
      <c r="I233" s="110" t="s">
        <v>1720</v>
      </c>
      <c r="J233" s="94" t="s">
        <v>1878</v>
      </c>
      <c r="K233" s="106" t="s">
        <v>1710</v>
      </c>
      <c r="L233" s="69" t="s">
        <v>78</v>
      </c>
      <c r="M233" s="69" t="s">
        <v>4</v>
      </c>
      <c r="N233" s="69" t="s">
        <v>108</v>
      </c>
      <c r="O233" s="69" t="s">
        <v>1436</v>
      </c>
      <c r="P233" s="78"/>
      <c r="Q233" s="96"/>
      <c r="R233" s="97"/>
      <c r="S233" s="98"/>
    </row>
    <row r="234" spans="1:19" ht="42.75">
      <c r="A234" s="90" t="s">
        <v>48</v>
      </c>
      <c r="B234" s="91" t="s">
        <v>212</v>
      </c>
      <c r="C234" s="111" t="s">
        <v>1879</v>
      </c>
      <c r="D234" s="90">
        <v>3190</v>
      </c>
      <c r="E234" s="90">
        <v>3478</v>
      </c>
      <c r="F234" s="90" t="s">
        <v>1434</v>
      </c>
      <c r="G234" s="90">
        <v>2024</v>
      </c>
      <c r="H234" s="92">
        <v>45378</v>
      </c>
      <c r="I234" s="112">
        <v>45384</v>
      </c>
      <c r="J234" s="94" t="s">
        <v>1880</v>
      </c>
      <c r="K234" s="116" t="s">
        <v>1778</v>
      </c>
      <c r="L234" s="69" t="s">
        <v>77</v>
      </c>
      <c r="M234" s="69" t="s">
        <v>4</v>
      </c>
      <c r="N234" s="69" t="s">
        <v>108</v>
      </c>
      <c r="O234" s="69" t="s">
        <v>1436</v>
      </c>
      <c r="P234" s="78"/>
      <c r="Q234" s="96"/>
      <c r="R234" s="97"/>
      <c r="S234" s="98"/>
    </row>
    <row r="235" spans="1:19" ht="42.75">
      <c r="A235" s="90" t="s">
        <v>48</v>
      </c>
      <c r="B235" s="91" t="s">
        <v>212</v>
      </c>
      <c r="C235" s="91" t="s">
        <v>1881</v>
      </c>
      <c r="D235" s="90">
        <v>1271</v>
      </c>
      <c r="E235" s="90">
        <v>1543</v>
      </c>
      <c r="F235" s="90" t="s">
        <v>1454</v>
      </c>
      <c r="G235" s="90"/>
      <c r="H235" s="93"/>
      <c r="I235" s="93"/>
      <c r="J235" s="93"/>
      <c r="K235" s="95"/>
      <c r="L235" s="69"/>
      <c r="M235" s="69"/>
      <c r="N235" s="69"/>
      <c r="O235" s="69"/>
      <c r="P235" s="78"/>
      <c r="Q235" s="96"/>
      <c r="R235" s="97"/>
      <c r="S235" s="98"/>
    </row>
    <row r="236" spans="1:19" ht="42.75">
      <c r="A236" s="90" t="s">
        <v>48</v>
      </c>
      <c r="B236" s="91" t="s">
        <v>212</v>
      </c>
      <c r="C236" s="91" t="s">
        <v>1882</v>
      </c>
      <c r="D236" s="90">
        <v>2412</v>
      </c>
      <c r="E236" s="90">
        <v>2699</v>
      </c>
      <c r="F236" s="90" t="s">
        <v>1454</v>
      </c>
      <c r="G236" s="90"/>
      <c r="H236" s="93"/>
      <c r="I236" s="93"/>
      <c r="J236" s="93"/>
      <c r="K236" s="95"/>
      <c r="L236" s="69"/>
      <c r="M236" s="69"/>
      <c r="N236" s="69"/>
      <c r="O236" s="69"/>
      <c r="P236" s="78"/>
      <c r="Q236" s="96"/>
      <c r="R236" s="97"/>
      <c r="S236" s="98"/>
    </row>
    <row r="237" spans="1:19" ht="42.75">
      <c r="A237" s="90" t="s">
        <v>48</v>
      </c>
      <c r="B237" s="91" t="s">
        <v>212</v>
      </c>
      <c r="C237" s="91" t="s">
        <v>1883</v>
      </c>
      <c r="D237" s="90">
        <v>915</v>
      </c>
      <c r="E237" s="90">
        <v>858</v>
      </c>
      <c r="F237" s="90" t="s">
        <v>1454</v>
      </c>
      <c r="G237" s="90"/>
      <c r="H237" s="93"/>
      <c r="I237" s="93"/>
      <c r="J237" s="93"/>
      <c r="K237" s="95"/>
      <c r="L237" s="69"/>
      <c r="M237" s="69"/>
      <c r="N237" s="69"/>
      <c r="O237" s="69"/>
      <c r="P237" s="78"/>
      <c r="Q237" s="96"/>
      <c r="R237" s="97"/>
      <c r="S237" s="98"/>
    </row>
    <row r="238" spans="1:19" ht="42.75">
      <c r="A238" s="90" t="s">
        <v>48</v>
      </c>
      <c r="B238" s="91" t="s">
        <v>212</v>
      </c>
      <c r="C238" s="91" t="s">
        <v>1884</v>
      </c>
      <c r="D238" s="90">
        <v>4284</v>
      </c>
      <c r="E238" s="90">
        <v>4580</v>
      </c>
      <c r="F238" s="90" t="s">
        <v>1434</v>
      </c>
      <c r="G238" s="90">
        <v>2024</v>
      </c>
      <c r="H238" s="112">
        <v>45358</v>
      </c>
      <c r="I238" s="112">
        <v>45359</v>
      </c>
      <c r="J238" s="94" t="s">
        <v>1885</v>
      </c>
      <c r="K238" s="108">
        <v>45377</v>
      </c>
      <c r="L238" s="69" t="s">
        <v>77</v>
      </c>
      <c r="M238" s="69" t="s">
        <v>4</v>
      </c>
      <c r="N238" s="69" t="s">
        <v>101</v>
      </c>
      <c r="O238" s="69" t="s">
        <v>1436</v>
      </c>
      <c r="P238" s="78"/>
      <c r="Q238" s="96"/>
      <c r="R238" s="97"/>
      <c r="S238" s="98"/>
    </row>
    <row r="239" spans="1:19" ht="42.75">
      <c r="A239" s="90" t="s">
        <v>48</v>
      </c>
      <c r="B239" s="91" t="s">
        <v>212</v>
      </c>
      <c r="C239" s="91" t="s">
        <v>1886</v>
      </c>
      <c r="D239" s="90">
        <v>356</v>
      </c>
      <c r="E239" s="90">
        <v>372</v>
      </c>
      <c r="F239" s="90" t="s">
        <v>1434</v>
      </c>
      <c r="G239" s="90">
        <v>2024</v>
      </c>
      <c r="H239" s="110" t="s">
        <v>1887</v>
      </c>
      <c r="I239" s="110" t="s">
        <v>1742</v>
      </c>
      <c r="J239" s="94" t="s">
        <v>1888</v>
      </c>
      <c r="K239" s="100">
        <v>45552</v>
      </c>
      <c r="L239" s="69" t="s">
        <v>82</v>
      </c>
      <c r="M239" s="69" t="s">
        <v>4</v>
      </c>
      <c r="N239" s="69" t="s">
        <v>108</v>
      </c>
      <c r="O239" s="69" t="s">
        <v>1436</v>
      </c>
      <c r="P239" s="78"/>
      <c r="Q239" s="96">
        <v>45552</v>
      </c>
      <c r="R239" s="97" t="s">
        <v>1481</v>
      </c>
      <c r="S239" s="98"/>
    </row>
    <row r="240" spans="1:19" ht="42.75">
      <c r="A240" s="90" t="s">
        <v>48</v>
      </c>
      <c r="B240" s="91" t="s">
        <v>212</v>
      </c>
      <c r="C240" s="91" t="s">
        <v>1889</v>
      </c>
      <c r="D240" s="90">
        <v>95</v>
      </c>
      <c r="E240" s="90">
        <v>114</v>
      </c>
      <c r="F240" s="90" t="s">
        <v>1434</v>
      </c>
      <c r="G240" s="90">
        <v>2024</v>
      </c>
      <c r="H240" s="101">
        <v>45596</v>
      </c>
      <c r="I240" s="101">
        <v>45600</v>
      </c>
      <c r="J240" s="94" t="s">
        <v>1890</v>
      </c>
      <c r="K240" s="100">
        <v>45601</v>
      </c>
      <c r="L240" s="69" t="s">
        <v>84</v>
      </c>
      <c r="M240" s="69" t="s">
        <v>4</v>
      </c>
      <c r="N240" s="69" t="s">
        <v>101</v>
      </c>
      <c r="O240" s="69" t="s">
        <v>1436</v>
      </c>
      <c r="P240" s="78"/>
      <c r="Q240" s="96">
        <v>45602</v>
      </c>
      <c r="R240" s="97" t="s">
        <v>1481</v>
      </c>
      <c r="S240" s="98"/>
    </row>
    <row r="241" spans="1:19" ht="42.75">
      <c r="A241" s="90" t="s">
        <v>48</v>
      </c>
      <c r="B241" s="91" t="s">
        <v>212</v>
      </c>
      <c r="C241" s="91" t="s">
        <v>1891</v>
      </c>
      <c r="D241" s="90">
        <v>728</v>
      </c>
      <c r="E241" s="90">
        <v>953</v>
      </c>
      <c r="F241" s="90" t="s">
        <v>1454</v>
      </c>
      <c r="G241" s="90"/>
      <c r="H241" s="93"/>
      <c r="I241" s="93"/>
      <c r="J241" s="93"/>
      <c r="K241" s="95"/>
      <c r="L241" s="69"/>
      <c r="M241" s="69"/>
      <c r="N241" s="69"/>
      <c r="O241" s="69"/>
      <c r="P241" s="78"/>
      <c r="Q241" s="96"/>
      <c r="R241" s="97"/>
      <c r="S241" s="98"/>
    </row>
    <row r="242" spans="1:19" ht="42.75">
      <c r="A242" s="90" t="s">
        <v>48</v>
      </c>
      <c r="B242" s="91" t="s">
        <v>212</v>
      </c>
      <c r="C242" s="91" t="s">
        <v>1059</v>
      </c>
      <c r="D242" s="90">
        <v>1565</v>
      </c>
      <c r="E242" s="90">
        <v>1953</v>
      </c>
      <c r="F242" s="90" t="s">
        <v>1454</v>
      </c>
      <c r="G242" s="90"/>
      <c r="H242" s="93"/>
      <c r="I242" s="93"/>
      <c r="J242" s="93"/>
      <c r="K242" s="95"/>
      <c r="L242" s="69"/>
      <c r="M242" s="69"/>
      <c r="N242" s="69"/>
      <c r="O242" s="69"/>
      <c r="P242" s="78"/>
      <c r="Q242" s="96"/>
      <c r="R242" s="97"/>
      <c r="S242" s="98"/>
    </row>
    <row r="243" spans="1:19" ht="42.75">
      <c r="A243" s="90" t="s">
        <v>48</v>
      </c>
      <c r="B243" s="91" t="s">
        <v>212</v>
      </c>
      <c r="C243" s="91" t="s">
        <v>1892</v>
      </c>
      <c r="D243" s="90">
        <v>770</v>
      </c>
      <c r="E243" s="90">
        <v>888</v>
      </c>
      <c r="F243" s="90" t="s">
        <v>1434</v>
      </c>
      <c r="G243" s="90">
        <v>2024</v>
      </c>
      <c r="H243" s="110" t="s">
        <v>1893</v>
      </c>
      <c r="I243" s="114" t="s">
        <v>1763</v>
      </c>
      <c r="J243" s="94" t="s">
        <v>1894</v>
      </c>
      <c r="K243" s="100">
        <v>45462</v>
      </c>
      <c r="L243" s="69" t="s">
        <v>79</v>
      </c>
      <c r="M243" s="69" t="s">
        <v>4</v>
      </c>
      <c r="N243" s="69" t="s">
        <v>108</v>
      </c>
      <c r="O243" s="69" t="s">
        <v>1436</v>
      </c>
      <c r="P243" s="78"/>
      <c r="Q243" s="96">
        <v>45462</v>
      </c>
      <c r="R243" s="97"/>
      <c r="S243" s="98"/>
    </row>
    <row r="244" spans="1:19" ht="42.75">
      <c r="A244" s="90" t="s">
        <v>48</v>
      </c>
      <c r="B244" s="91" t="s">
        <v>212</v>
      </c>
      <c r="C244" s="91" t="s">
        <v>1895</v>
      </c>
      <c r="D244" s="90">
        <v>3041</v>
      </c>
      <c r="E244" s="90">
        <v>3283</v>
      </c>
      <c r="F244" s="90" t="s">
        <v>1434</v>
      </c>
      <c r="G244" s="90">
        <v>2024</v>
      </c>
      <c r="H244" s="110" t="s">
        <v>1896</v>
      </c>
      <c r="I244" s="110" t="s">
        <v>1897</v>
      </c>
      <c r="J244" s="94" t="s">
        <v>1898</v>
      </c>
      <c r="K244" s="100">
        <v>45462</v>
      </c>
      <c r="L244" s="69" t="s">
        <v>81</v>
      </c>
      <c r="M244" s="69" t="s">
        <v>4</v>
      </c>
      <c r="N244" s="69" t="s">
        <v>101</v>
      </c>
      <c r="O244" s="69" t="s">
        <v>1436</v>
      </c>
      <c r="P244" s="78"/>
      <c r="Q244" s="96">
        <v>45531</v>
      </c>
      <c r="R244" s="97" t="s">
        <v>1481</v>
      </c>
      <c r="S244" s="98"/>
    </row>
    <row r="245" spans="1:19" ht="42.75">
      <c r="A245" s="90" t="s">
        <v>48</v>
      </c>
      <c r="B245" s="91" t="s">
        <v>212</v>
      </c>
      <c r="C245" s="91" t="s">
        <v>1899</v>
      </c>
      <c r="D245" s="90">
        <v>549</v>
      </c>
      <c r="E245" s="90">
        <v>856</v>
      </c>
      <c r="F245" s="90" t="s">
        <v>1434</v>
      </c>
      <c r="G245" s="90">
        <v>2024</v>
      </c>
      <c r="H245" s="114" t="s">
        <v>1900</v>
      </c>
      <c r="I245" s="114" t="s">
        <v>1901</v>
      </c>
      <c r="J245" s="94" t="s">
        <v>1902</v>
      </c>
      <c r="K245" s="100">
        <v>45483</v>
      </c>
      <c r="L245" s="69" t="s">
        <v>80</v>
      </c>
      <c r="M245" s="69" t="s">
        <v>4</v>
      </c>
      <c r="N245" s="69" t="s">
        <v>108</v>
      </c>
      <c r="O245" s="69" t="s">
        <v>1436</v>
      </c>
      <c r="P245" s="78"/>
      <c r="Q245" s="70">
        <v>45483</v>
      </c>
      <c r="R245" s="97"/>
      <c r="S245" s="98"/>
    </row>
    <row r="246" spans="1:19" ht="42.75">
      <c r="A246" s="90" t="s">
        <v>48</v>
      </c>
      <c r="B246" s="91" t="s">
        <v>212</v>
      </c>
      <c r="C246" s="91" t="s">
        <v>1903</v>
      </c>
      <c r="D246" s="90">
        <v>3360</v>
      </c>
      <c r="E246" s="90">
        <v>3906</v>
      </c>
      <c r="F246" s="90" t="s">
        <v>1454</v>
      </c>
      <c r="G246" s="90"/>
      <c r="H246" s="93"/>
      <c r="I246" s="93"/>
      <c r="J246" s="93"/>
      <c r="K246" s="95"/>
      <c r="L246" s="69"/>
      <c r="M246" s="69"/>
      <c r="N246" s="69"/>
      <c r="O246" s="69"/>
      <c r="P246" s="78"/>
      <c r="Q246" s="96"/>
      <c r="R246" s="97"/>
      <c r="S246" s="98"/>
    </row>
    <row r="247" spans="1:19" ht="42.75">
      <c r="A247" s="90" t="s">
        <v>48</v>
      </c>
      <c r="B247" s="91" t="s">
        <v>480</v>
      </c>
      <c r="C247" s="91" t="s">
        <v>1904</v>
      </c>
      <c r="D247" s="90">
        <v>1675</v>
      </c>
      <c r="E247" s="90">
        <v>1705</v>
      </c>
      <c r="F247" s="90" t="s">
        <v>1434</v>
      </c>
      <c r="G247" s="90">
        <v>2024</v>
      </c>
      <c r="H247" s="112">
        <v>45359</v>
      </c>
      <c r="I247" s="112">
        <v>45359</v>
      </c>
      <c r="J247" s="94" t="s">
        <v>1905</v>
      </c>
      <c r="K247" s="108">
        <v>45377</v>
      </c>
      <c r="L247" s="69" t="s">
        <v>77</v>
      </c>
      <c r="M247" s="69" t="s">
        <v>4</v>
      </c>
      <c r="N247" s="69" t="s">
        <v>101</v>
      </c>
      <c r="O247" s="69" t="s">
        <v>1436</v>
      </c>
      <c r="P247" s="78"/>
      <c r="Q247" s="96"/>
      <c r="R247" s="97"/>
      <c r="S247" s="98"/>
    </row>
    <row r="248" spans="1:19" ht="42.75">
      <c r="A248" s="90" t="s">
        <v>48</v>
      </c>
      <c r="B248" s="91" t="s">
        <v>480</v>
      </c>
      <c r="C248" s="109" t="s">
        <v>1906</v>
      </c>
      <c r="D248" s="90">
        <v>2175</v>
      </c>
      <c r="E248" s="90">
        <v>2176</v>
      </c>
      <c r="F248" s="90" t="s">
        <v>1434</v>
      </c>
      <c r="G248" s="90">
        <v>2024</v>
      </c>
      <c r="H248" s="110" t="s">
        <v>1907</v>
      </c>
      <c r="I248" s="110" t="s">
        <v>1907</v>
      </c>
      <c r="J248" s="94" t="s">
        <v>1908</v>
      </c>
      <c r="K248" s="106" t="s">
        <v>1708</v>
      </c>
      <c r="L248" s="69" t="s">
        <v>78</v>
      </c>
      <c r="M248" s="69" t="s">
        <v>4</v>
      </c>
      <c r="N248" s="69" t="s">
        <v>101</v>
      </c>
      <c r="O248" s="69" t="s">
        <v>1436</v>
      </c>
      <c r="P248" s="78"/>
      <c r="Q248" s="96"/>
      <c r="R248" s="97"/>
      <c r="S248" s="98"/>
    </row>
    <row r="249" spans="1:19" ht="42.75">
      <c r="A249" s="90" t="s">
        <v>48</v>
      </c>
      <c r="B249" s="91" t="s">
        <v>480</v>
      </c>
      <c r="C249" s="91" t="s">
        <v>1667</v>
      </c>
      <c r="D249" s="90">
        <v>2828</v>
      </c>
      <c r="E249" s="90">
        <v>3117</v>
      </c>
      <c r="F249" s="90" t="s">
        <v>1434</v>
      </c>
      <c r="G249" s="90">
        <v>2024</v>
      </c>
      <c r="H249" s="110" t="s">
        <v>1909</v>
      </c>
      <c r="I249" s="110" t="s">
        <v>1836</v>
      </c>
      <c r="J249" s="94" t="s">
        <v>1910</v>
      </c>
      <c r="K249" s="100">
        <v>45475</v>
      </c>
      <c r="L249" s="69" t="s">
        <v>80</v>
      </c>
      <c r="M249" s="69" t="s">
        <v>4</v>
      </c>
      <c r="N249" s="69" t="s">
        <v>101</v>
      </c>
      <c r="O249" s="69" t="s">
        <v>1436</v>
      </c>
      <c r="P249" s="78"/>
      <c r="Q249" s="70">
        <v>45475</v>
      </c>
      <c r="R249" s="97"/>
      <c r="S249" s="98"/>
    </row>
    <row r="250" spans="1:19" ht="42.75">
      <c r="A250" s="90" t="s">
        <v>48</v>
      </c>
      <c r="B250" s="91" t="s">
        <v>480</v>
      </c>
      <c r="C250" s="91" t="s">
        <v>1911</v>
      </c>
      <c r="D250" s="90">
        <v>6594</v>
      </c>
      <c r="E250" s="90">
        <v>7840</v>
      </c>
      <c r="F250" s="90" t="s">
        <v>1434</v>
      </c>
      <c r="G250" s="90">
        <v>2024</v>
      </c>
      <c r="H250" s="110" t="s">
        <v>1786</v>
      </c>
      <c r="I250" s="110" t="s">
        <v>1696</v>
      </c>
      <c r="J250" s="94" t="s">
        <v>1912</v>
      </c>
      <c r="K250" s="100">
        <v>45446</v>
      </c>
      <c r="L250" s="69" t="s">
        <v>79</v>
      </c>
      <c r="M250" s="69"/>
      <c r="N250" s="69"/>
      <c r="O250" s="69" t="s">
        <v>1436</v>
      </c>
      <c r="P250" s="78"/>
      <c r="Q250" s="96">
        <v>45447</v>
      </c>
      <c r="R250" s="97"/>
      <c r="S250" s="98"/>
    </row>
    <row r="251" spans="1:19" ht="42.75">
      <c r="A251" s="90" t="s">
        <v>48</v>
      </c>
      <c r="B251" s="91" t="s">
        <v>480</v>
      </c>
      <c r="C251" s="91" t="s">
        <v>366</v>
      </c>
      <c r="D251" s="90">
        <v>2379</v>
      </c>
      <c r="E251" s="90">
        <v>2613</v>
      </c>
      <c r="F251" s="90" t="s">
        <v>1434</v>
      </c>
      <c r="G251" s="90">
        <v>2024</v>
      </c>
      <c r="H251" s="110" t="s">
        <v>1913</v>
      </c>
      <c r="I251" s="110" t="s">
        <v>1874</v>
      </c>
      <c r="J251" s="94" t="s">
        <v>1914</v>
      </c>
      <c r="K251" s="100">
        <v>45461</v>
      </c>
      <c r="L251" s="69" t="s">
        <v>79</v>
      </c>
      <c r="M251" s="69" t="s">
        <v>4</v>
      </c>
      <c r="N251" s="69" t="s">
        <v>101</v>
      </c>
      <c r="O251" s="69" t="s">
        <v>1436</v>
      </c>
      <c r="P251" s="78"/>
      <c r="Q251" s="96">
        <v>45462</v>
      </c>
      <c r="R251" s="97"/>
      <c r="S251" s="98"/>
    </row>
    <row r="252" spans="1:19" ht="42.75">
      <c r="A252" s="90" t="s">
        <v>48</v>
      </c>
      <c r="B252" s="91" t="s">
        <v>480</v>
      </c>
      <c r="C252" s="91" t="s">
        <v>1915</v>
      </c>
      <c r="D252" s="90">
        <v>556</v>
      </c>
      <c r="E252" s="90">
        <v>437</v>
      </c>
      <c r="F252" s="90" t="s">
        <v>1434</v>
      </c>
      <c r="G252" s="90">
        <v>2024</v>
      </c>
      <c r="H252" s="92">
        <v>45364</v>
      </c>
      <c r="I252" s="92">
        <v>45369</v>
      </c>
      <c r="J252" s="94" t="s">
        <v>1916</v>
      </c>
      <c r="K252" s="108">
        <v>45377</v>
      </c>
      <c r="L252" s="69" t="s">
        <v>77</v>
      </c>
      <c r="M252" s="69" t="s">
        <v>4</v>
      </c>
      <c r="N252" s="69" t="s">
        <v>101</v>
      </c>
      <c r="O252" s="69" t="s">
        <v>1436</v>
      </c>
      <c r="P252" s="78"/>
      <c r="Q252" s="96"/>
      <c r="R252" s="97"/>
      <c r="S252" s="98"/>
    </row>
    <row r="253" spans="1:19" ht="42.75">
      <c r="A253" s="90" t="s">
        <v>48</v>
      </c>
      <c r="B253" s="91" t="s">
        <v>480</v>
      </c>
      <c r="C253" s="91" t="s">
        <v>1917</v>
      </c>
      <c r="D253" s="90">
        <v>3018</v>
      </c>
      <c r="E253" s="90">
        <v>3000</v>
      </c>
      <c r="F253" s="90" t="s">
        <v>1434</v>
      </c>
      <c r="G253" s="90">
        <v>2024</v>
      </c>
      <c r="H253" s="92">
        <v>45351</v>
      </c>
      <c r="I253" s="112">
        <v>45352</v>
      </c>
      <c r="J253" s="94" t="s">
        <v>1918</v>
      </c>
      <c r="K253" s="108">
        <v>45365</v>
      </c>
      <c r="L253" s="69" t="s">
        <v>76</v>
      </c>
      <c r="M253" s="69" t="s">
        <v>4</v>
      </c>
      <c r="N253" s="69" t="s">
        <v>101</v>
      </c>
      <c r="O253" s="69" t="s">
        <v>1436</v>
      </c>
      <c r="P253" s="78"/>
      <c r="Q253" s="96"/>
      <c r="R253" s="97"/>
      <c r="S253" s="98"/>
    </row>
    <row r="254" spans="1:19" ht="42.75">
      <c r="A254" s="90" t="s">
        <v>48</v>
      </c>
      <c r="B254" s="91" t="s">
        <v>480</v>
      </c>
      <c r="C254" s="91" t="s">
        <v>1919</v>
      </c>
      <c r="D254" s="90">
        <v>8610</v>
      </c>
      <c r="E254" s="127">
        <v>10322</v>
      </c>
      <c r="F254" s="90" t="s">
        <v>1434</v>
      </c>
      <c r="G254" s="90">
        <v>2024</v>
      </c>
      <c r="H254" s="92">
        <v>45345</v>
      </c>
      <c r="I254" s="92">
        <v>45346</v>
      </c>
      <c r="J254" s="117" t="s">
        <v>1920</v>
      </c>
      <c r="K254" s="108">
        <v>45349</v>
      </c>
      <c r="L254" s="69"/>
      <c r="M254" s="69" t="s">
        <v>4</v>
      </c>
      <c r="N254" s="69" t="s">
        <v>101</v>
      </c>
      <c r="O254" s="69" t="s">
        <v>1436</v>
      </c>
      <c r="P254" s="78"/>
      <c r="Q254" s="96"/>
      <c r="R254" s="97"/>
      <c r="S254" s="98"/>
    </row>
    <row r="255" spans="1:19" ht="42.75">
      <c r="A255" s="90" t="s">
        <v>48</v>
      </c>
      <c r="B255" s="91" t="s">
        <v>480</v>
      </c>
      <c r="C255" s="109" t="s">
        <v>1921</v>
      </c>
      <c r="D255" s="128">
        <v>962</v>
      </c>
      <c r="E255" s="69">
        <v>943</v>
      </c>
      <c r="F255" s="90" t="s">
        <v>1434</v>
      </c>
      <c r="G255" s="90">
        <v>2024</v>
      </c>
      <c r="H255" s="110" t="s">
        <v>1703</v>
      </c>
      <c r="I255" s="118" t="s">
        <v>1803</v>
      </c>
      <c r="J255" s="129" t="s">
        <v>1922</v>
      </c>
      <c r="K255" s="130" t="s">
        <v>1805</v>
      </c>
      <c r="L255" s="69" t="s">
        <v>78</v>
      </c>
      <c r="M255" s="69" t="s">
        <v>4</v>
      </c>
      <c r="N255" s="69" t="s">
        <v>101</v>
      </c>
      <c r="O255" s="69" t="s">
        <v>1436</v>
      </c>
      <c r="P255" s="78"/>
      <c r="Q255" s="96"/>
      <c r="R255" s="97"/>
      <c r="S255" s="98"/>
    </row>
    <row r="256" spans="1:19" ht="42.75">
      <c r="A256" s="90" t="s">
        <v>48</v>
      </c>
      <c r="B256" s="91" t="s">
        <v>480</v>
      </c>
      <c r="C256" s="91" t="s">
        <v>1923</v>
      </c>
      <c r="D256" s="128">
        <v>2902</v>
      </c>
      <c r="E256" s="69">
        <v>3287</v>
      </c>
      <c r="F256" s="90" t="s">
        <v>1434</v>
      </c>
      <c r="G256" s="90">
        <v>2024</v>
      </c>
      <c r="H256" s="110" t="s">
        <v>1924</v>
      </c>
      <c r="I256" s="110" t="s">
        <v>1901</v>
      </c>
      <c r="J256" s="94" t="s">
        <v>1925</v>
      </c>
      <c r="K256" s="100">
        <v>45483</v>
      </c>
      <c r="L256" s="69" t="s">
        <v>80</v>
      </c>
      <c r="M256" s="69" t="s">
        <v>4</v>
      </c>
      <c r="N256" s="69" t="s">
        <v>101</v>
      </c>
      <c r="O256" s="69" t="s">
        <v>1436</v>
      </c>
      <c r="P256" s="78"/>
      <c r="Q256" s="70">
        <v>45483</v>
      </c>
      <c r="R256" s="97"/>
      <c r="S256" s="98"/>
    </row>
    <row r="257" spans="1:19" ht="42.75">
      <c r="A257" s="90" t="s">
        <v>48</v>
      </c>
      <c r="B257" s="91" t="s">
        <v>480</v>
      </c>
      <c r="C257" s="111" t="s">
        <v>1926</v>
      </c>
      <c r="D257" s="128">
        <v>3238</v>
      </c>
      <c r="E257" s="69">
        <v>5496</v>
      </c>
      <c r="F257" s="90" t="s">
        <v>1434</v>
      </c>
      <c r="G257" s="90">
        <v>2024</v>
      </c>
      <c r="H257" s="131">
        <v>45373</v>
      </c>
      <c r="I257" s="131">
        <v>45376</v>
      </c>
      <c r="J257" s="117" t="s">
        <v>1927</v>
      </c>
      <c r="K257" s="132">
        <v>45377</v>
      </c>
      <c r="L257" s="133" t="s">
        <v>77</v>
      </c>
      <c r="M257" s="69" t="s">
        <v>4</v>
      </c>
      <c r="N257" s="69" t="s">
        <v>101</v>
      </c>
      <c r="O257" s="133" t="s">
        <v>1436</v>
      </c>
      <c r="P257" s="134"/>
      <c r="Q257" s="96"/>
      <c r="R257" s="97"/>
      <c r="S257" s="98"/>
    </row>
    <row r="258" spans="1:19" ht="42.75">
      <c r="A258" s="90" t="s">
        <v>48</v>
      </c>
      <c r="B258" s="91" t="s">
        <v>480</v>
      </c>
      <c r="C258" s="91" t="s">
        <v>1928</v>
      </c>
      <c r="D258" s="128">
        <v>1706</v>
      </c>
      <c r="E258" s="69">
        <v>2025</v>
      </c>
      <c r="F258" s="90" t="s">
        <v>1434</v>
      </c>
      <c r="G258" s="90">
        <v>2024</v>
      </c>
      <c r="H258" s="116" t="s">
        <v>1929</v>
      </c>
      <c r="I258" s="116" t="s">
        <v>1897</v>
      </c>
      <c r="J258" s="107" t="s">
        <v>1930</v>
      </c>
      <c r="K258" s="100">
        <v>45523</v>
      </c>
      <c r="L258" s="69" t="s">
        <v>81</v>
      </c>
      <c r="M258" s="69" t="s">
        <v>4</v>
      </c>
      <c r="N258" s="69" t="s">
        <v>101</v>
      </c>
      <c r="O258" s="69" t="s">
        <v>1436</v>
      </c>
      <c r="P258" s="78"/>
      <c r="Q258" s="96">
        <v>45531</v>
      </c>
      <c r="R258" s="97" t="s">
        <v>1481</v>
      </c>
      <c r="S258" s="98"/>
    </row>
    <row r="259" spans="1:19" ht="42.75">
      <c r="A259" s="90" t="s">
        <v>48</v>
      </c>
      <c r="B259" s="91" t="s">
        <v>480</v>
      </c>
      <c r="C259" s="91" t="s">
        <v>1931</v>
      </c>
      <c r="D259" s="128">
        <v>2922</v>
      </c>
      <c r="E259" s="69">
        <v>3699</v>
      </c>
      <c r="F259" s="90" t="s">
        <v>1434</v>
      </c>
      <c r="G259" s="90">
        <v>2024</v>
      </c>
      <c r="H259" s="135" t="s">
        <v>1932</v>
      </c>
      <c r="I259" s="135" t="s">
        <v>1933</v>
      </c>
      <c r="J259" s="129" t="s">
        <v>1934</v>
      </c>
      <c r="K259" s="136" t="s">
        <v>1935</v>
      </c>
      <c r="L259" s="30" t="s">
        <v>79</v>
      </c>
      <c r="M259" s="69" t="s">
        <v>4</v>
      </c>
      <c r="N259" s="69" t="s">
        <v>101</v>
      </c>
      <c r="O259" s="30" t="s">
        <v>1436</v>
      </c>
      <c r="P259" s="137"/>
      <c r="Q259" s="96">
        <v>45433</v>
      </c>
      <c r="R259" s="97"/>
      <c r="S259" s="98"/>
    </row>
    <row r="260" spans="1:19" ht="42.75">
      <c r="A260" s="90" t="s">
        <v>48</v>
      </c>
      <c r="B260" s="91" t="s">
        <v>480</v>
      </c>
      <c r="C260" s="91" t="s">
        <v>1936</v>
      </c>
      <c r="D260" s="128">
        <v>6129</v>
      </c>
      <c r="E260" s="69">
        <v>6556</v>
      </c>
      <c r="F260" s="90" t="s">
        <v>1434</v>
      </c>
      <c r="G260" s="90">
        <v>2024</v>
      </c>
      <c r="H260" s="108">
        <v>45345</v>
      </c>
      <c r="I260" s="108">
        <v>45346</v>
      </c>
      <c r="J260" s="107" t="s">
        <v>1937</v>
      </c>
      <c r="K260" s="108">
        <v>45349</v>
      </c>
      <c r="L260" s="69"/>
      <c r="M260" s="69" t="s">
        <v>4</v>
      </c>
      <c r="N260" s="69" t="s">
        <v>101</v>
      </c>
      <c r="O260" s="69" t="s">
        <v>1436</v>
      </c>
      <c r="P260" s="78"/>
      <c r="Q260" s="96"/>
      <c r="R260" s="97"/>
      <c r="S260" s="98"/>
    </row>
    <row r="261" spans="1:19" ht="42.75">
      <c r="A261" s="90" t="s">
        <v>48</v>
      </c>
      <c r="B261" s="91" t="s">
        <v>480</v>
      </c>
      <c r="C261" s="91" t="s">
        <v>1938</v>
      </c>
      <c r="D261" s="128">
        <v>2048</v>
      </c>
      <c r="E261" s="69">
        <v>2421</v>
      </c>
      <c r="F261" s="90" t="s">
        <v>1434</v>
      </c>
      <c r="G261" s="90">
        <v>2024</v>
      </c>
      <c r="H261" s="110" t="s">
        <v>1939</v>
      </c>
      <c r="I261" s="110" t="s">
        <v>1844</v>
      </c>
      <c r="J261" s="94" t="s">
        <v>1940</v>
      </c>
      <c r="K261" s="138">
        <v>45489</v>
      </c>
      <c r="L261" s="139" t="s">
        <v>80</v>
      </c>
      <c r="M261" s="139" t="s">
        <v>4</v>
      </c>
      <c r="N261" s="139" t="s">
        <v>101</v>
      </c>
      <c r="O261" s="139" t="s">
        <v>1436</v>
      </c>
      <c r="P261" s="140"/>
      <c r="Q261" s="96">
        <v>45490</v>
      </c>
      <c r="R261" s="97"/>
      <c r="S261" s="98"/>
    </row>
    <row r="262" spans="1:19" ht="42.75">
      <c r="A262" s="90" t="s">
        <v>48</v>
      </c>
      <c r="B262" s="91" t="s">
        <v>480</v>
      </c>
      <c r="C262" s="91" t="s">
        <v>1941</v>
      </c>
      <c r="D262" s="128">
        <v>579</v>
      </c>
      <c r="E262" s="69">
        <v>631</v>
      </c>
      <c r="F262" s="90" t="s">
        <v>1434</v>
      </c>
      <c r="G262" s="90">
        <v>2024</v>
      </c>
      <c r="H262" s="110" t="s">
        <v>1942</v>
      </c>
      <c r="I262" s="110" t="s">
        <v>1943</v>
      </c>
      <c r="J262" s="94" t="s">
        <v>1944</v>
      </c>
      <c r="K262" s="100">
        <v>45462</v>
      </c>
      <c r="L262" s="69" t="s">
        <v>79</v>
      </c>
      <c r="M262" s="69" t="s">
        <v>4</v>
      </c>
      <c r="N262" s="69" t="s">
        <v>101</v>
      </c>
      <c r="O262" s="69" t="s">
        <v>1436</v>
      </c>
      <c r="P262" s="78"/>
      <c r="Q262" s="70">
        <v>45462</v>
      </c>
      <c r="R262" s="97"/>
      <c r="S262" s="98"/>
    </row>
    <row r="263" spans="1:19" ht="42.75">
      <c r="A263" s="90" t="s">
        <v>48</v>
      </c>
      <c r="B263" s="91" t="s">
        <v>480</v>
      </c>
      <c r="C263" s="91" t="s">
        <v>1945</v>
      </c>
      <c r="D263" s="128">
        <v>1875</v>
      </c>
      <c r="E263" s="69">
        <v>2151</v>
      </c>
      <c r="F263" s="90" t="s">
        <v>1434</v>
      </c>
      <c r="G263" s="90">
        <v>2024</v>
      </c>
      <c r="H263" s="110" t="s">
        <v>1758</v>
      </c>
      <c r="I263" s="93" t="s">
        <v>1946</v>
      </c>
      <c r="J263" s="94" t="s">
        <v>1947</v>
      </c>
      <c r="K263" s="100">
        <v>45462</v>
      </c>
      <c r="L263" s="69" t="s">
        <v>79</v>
      </c>
      <c r="M263" s="69" t="s">
        <v>4</v>
      </c>
      <c r="N263" s="69" t="s">
        <v>101</v>
      </c>
      <c r="O263" s="69" t="s">
        <v>1436</v>
      </c>
      <c r="P263" s="78"/>
      <c r="Q263" s="96">
        <v>45464</v>
      </c>
      <c r="R263" s="97"/>
      <c r="S263" s="98"/>
    </row>
    <row r="264" spans="1:19" ht="42.75">
      <c r="A264" s="90" t="s">
        <v>48</v>
      </c>
      <c r="B264" s="91" t="s">
        <v>480</v>
      </c>
      <c r="C264" s="111" t="s">
        <v>1948</v>
      </c>
      <c r="D264" s="90">
        <v>2318</v>
      </c>
      <c r="E264" s="90">
        <v>2324</v>
      </c>
      <c r="F264" s="90" t="s">
        <v>1434</v>
      </c>
      <c r="G264" s="90">
        <v>2024</v>
      </c>
      <c r="H264" s="112">
        <v>45385</v>
      </c>
      <c r="I264" s="112">
        <v>45387</v>
      </c>
      <c r="J264" s="94" t="s">
        <v>1949</v>
      </c>
      <c r="K264" s="116" t="s">
        <v>1782</v>
      </c>
      <c r="L264" s="69" t="s">
        <v>77</v>
      </c>
      <c r="M264" s="69" t="s">
        <v>4</v>
      </c>
      <c r="N264" s="69" t="s">
        <v>101</v>
      </c>
      <c r="O264" s="69" t="s">
        <v>1436</v>
      </c>
      <c r="P264" s="78"/>
      <c r="Q264" s="96"/>
      <c r="R264" s="97"/>
      <c r="S264" s="98"/>
    </row>
    <row r="265" spans="1:19" ht="42.75">
      <c r="A265" s="90" t="s">
        <v>48</v>
      </c>
      <c r="B265" s="91" t="s">
        <v>480</v>
      </c>
      <c r="C265" s="109" t="s">
        <v>1950</v>
      </c>
      <c r="D265" s="90">
        <v>896</v>
      </c>
      <c r="E265" s="90">
        <v>896</v>
      </c>
      <c r="F265" s="90" t="s">
        <v>1434</v>
      </c>
      <c r="G265" s="90">
        <v>2024</v>
      </c>
      <c r="H265" s="110" t="s">
        <v>1951</v>
      </c>
      <c r="I265" s="114" t="s">
        <v>1710</v>
      </c>
      <c r="J265" s="94" t="s">
        <v>1952</v>
      </c>
      <c r="K265" s="106" t="s">
        <v>1721</v>
      </c>
      <c r="L265" s="69" t="s">
        <v>78</v>
      </c>
      <c r="M265" s="69"/>
      <c r="N265" s="69"/>
      <c r="O265" s="69" t="s">
        <v>1436</v>
      </c>
      <c r="P265" s="78"/>
      <c r="Q265" s="96"/>
      <c r="R265" s="97"/>
      <c r="S265" s="98"/>
    </row>
    <row r="266" spans="1:19" ht="42.75">
      <c r="A266" s="90" t="s">
        <v>48</v>
      </c>
      <c r="B266" s="91" t="s">
        <v>480</v>
      </c>
      <c r="C266" s="91" t="s">
        <v>1953</v>
      </c>
      <c r="D266" s="90">
        <v>1923</v>
      </c>
      <c r="E266" s="90">
        <v>2640</v>
      </c>
      <c r="F266" s="90" t="s">
        <v>1434</v>
      </c>
      <c r="G266" s="90">
        <v>2024</v>
      </c>
      <c r="H266" s="110" t="s">
        <v>1954</v>
      </c>
      <c r="I266" s="110" t="s">
        <v>1955</v>
      </c>
      <c r="J266" s="94" t="s">
        <v>1956</v>
      </c>
      <c r="K266" s="100">
        <v>45517</v>
      </c>
      <c r="L266" s="69" t="s">
        <v>81</v>
      </c>
      <c r="M266" s="69" t="s">
        <v>4</v>
      </c>
      <c r="N266" s="69" t="s">
        <v>101</v>
      </c>
      <c r="O266" s="69" t="s">
        <v>1436</v>
      </c>
      <c r="P266" s="78"/>
      <c r="Q266" s="70">
        <v>45517</v>
      </c>
      <c r="R266" s="97" t="s">
        <v>1481</v>
      </c>
      <c r="S266" s="98"/>
    </row>
    <row r="267" spans="1:19" ht="42.75">
      <c r="A267" s="90" t="s">
        <v>48</v>
      </c>
      <c r="B267" s="91" t="s">
        <v>480</v>
      </c>
      <c r="C267" s="91" t="s">
        <v>1957</v>
      </c>
      <c r="D267" s="90">
        <v>5465</v>
      </c>
      <c r="E267" s="90">
        <v>6874</v>
      </c>
      <c r="F267" s="90" t="s">
        <v>1434</v>
      </c>
      <c r="G267" s="90">
        <v>2024</v>
      </c>
      <c r="H267" s="110" t="s">
        <v>1929</v>
      </c>
      <c r="I267" s="110" t="s">
        <v>1897</v>
      </c>
      <c r="J267" s="94" t="s">
        <v>1958</v>
      </c>
      <c r="K267" s="100">
        <v>45523</v>
      </c>
      <c r="L267" s="69" t="s">
        <v>81</v>
      </c>
      <c r="M267" s="69" t="s">
        <v>4</v>
      </c>
      <c r="N267" s="69" t="s">
        <v>101</v>
      </c>
      <c r="O267" s="69" t="s">
        <v>1436</v>
      </c>
      <c r="P267" s="78"/>
      <c r="Q267" s="96">
        <v>45531</v>
      </c>
      <c r="R267" s="97" t="s">
        <v>1481</v>
      </c>
      <c r="S267" s="98"/>
    </row>
    <row r="268" spans="1:19" ht="42.75">
      <c r="A268" s="90" t="s">
        <v>48</v>
      </c>
      <c r="B268" s="91" t="s">
        <v>480</v>
      </c>
      <c r="C268" s="91" t="s">
        <v>1959</v>
      </c>
      <c r="D268" s="90">
        <v>3816</v>
      </c>
      <c r="E268" s="90">
        <v>4544</v>
      </c>
      <c r="F268" s="90" t="s">
        <v>1434</v>
      </c>
      <c r="G268" s="90">
        <v>2024</v>
      </c>
      <c r="H268" s="92">
        <v>45351</v>
      </c>
      <c r="I268" s="112">
        <v>45352</v>
      </c>
      <c r="J268" s="94" t="s">
        <v>1960</v>
      </c>
      <c r="K268" s="113">
        <v>45359</v>
      </c>
      <c r="L268" s="69"/>
      <c r="M268" s="69" t="s">
        <v>4</v>
      </c>
      <c r="N268" s="69" t="s">
        <v>101</v>
      </c>
      <c r="O268" s="69" t="s">
        <v>1436</v>
      </c>
      <c r="P268" s="78"/>
      <c r="Q268" s="96"/>
      <c r="R268" s="97"/>
      <c r="S268" s="98"/>
    </row>
    <row r="269" spans="1:19" ht="42.75">
      <c r="A269" s="90" t="s">
        <v>48</v>
      </c>
      <c r="B269" s="91" t="s">
        <v>480</v>
      </c>
      <c r="C269" s="91" t="s">
        <v>1961</v>
      </c>
      <c r="D269" s="90">
        <v>1248</v>
      </c>
      <c r="E269" s="90">
        <v>1746</v>
      </c>
      <c r="F269" s="90" t="s">
        <v>1434</v>
      </c>
      <c r="G269" s="90">
        <v>2024</v>
      </c>
      <c r="H269" s="110" t="s">
        <v>1774</v>
      </c>
      <c r="I269" s="110" t="s">
        <v>1962</v>
      </c>
      <c r="J269" s="141" t="s">
        <v>1963</v>
      </c>
      <c r="K269" s="100">
        <v>45488</v>
      </c>
      <c r="L269" s="69" t="s">
        <v>80</v>
      </c>
      <c r="M269" s="69" t="s">
        <v>4</v>
      </c>
      <c r="N269" s="69" t="s">
        <v>101</v>
      </c>
      <c r="O269" s="69" t="s">
        <v>1436</v>
      </c>
      <c r="P269" s="78"/>
      <c r="Q269" s="96">
        <v>45489</v>
      </c>
      <c r="R269" s="97"/>
      <c r="S269" s="98"/>
    </row>
    <row r="270" spans="1:19" ht="42.75">
      <c r="A270" s="90" t="s">
        <v>48</v>
      </c>
      <c r="B270" s="91" t="s">
        <v>482</v>
      </c>
      <c r="C270" s="91" t="s">
        <v>1062</v>
      </c>
      <c r="D270" s="90">
        <v>5803</v>
      </c>
      <c r="E270" s="90">
        <v>6869</v>
      </c>
      <c r="F270" s="90" t="s">
        <v>1434</v>
      </c>
      <c r="G270" s="90">
        <v>2024</v>
      </c>
      <c r="H270" s="112">
        <v>45358</v>
      </c>
      <c r="I270" s="92">
        <v>45362</v>
      </c>
      <c r="J270" s="94" t="s">
        <v>1964</v>
      </c>
      <c r="K270" s="108">
        <v>45377</v>
      </c>
      <c r="L270" s="69"/>
      <c r="M270" s="69" t="s">
        <v>4</v>
      </c>
      <c r="N270" s="69" t="s">
        <v>101</v>
      </c>
      <c r="O270" s="69" t="s">
        <v>1436</v>
      </c>
      <c r="P270" s="78"/>
      <c r="Q270" s="96"/>
      <c r="R270" s="97"/>
      <c r="S270" s="98"/>
    </row>
    <row r="271" spans="1:19" ht="42.75">
      <c r="A271" s="90" t="s">
        <v>48</v>
      </c>
      <c r="B271" s="91" t="s">
        <v>482</v>
      </c>
      <c r="C271" s="91" t="s">
        <v>1965</v>
      </c>
      <c r="D271" s="90">
        <v>1930</v>
      </c>
      <c r="E271" s="90">
        <v>2089</v>
      </c>
      <c r="F271" s="90" t="s">
        <v>1434</v>
      </c>
      <c r="G271" s="90">
        <v>2024</v>
      </c>
      <c r="H271" s="110" t="s">
        <v>1966</v>
      </c>
      <c r="I271" s="110" t="s">
        <v>1967</v>
      </c>
      <c r="J271" s="94" t="s">
        <v>1968</v>
      </c>
      <c r="K271" s="100">
        <v>45545</v>
      </c>
      <c r="L271" s="69" t="s">
        <v>82</v>
      </c>
      <c r="M271" s="69" t="s">
        <v>4</v>
      </c>
      <c r="N271" s="69" t="s">
        <v>101</v>
      </c>
      <c r="O271" s="69" t="s">
        <v>1436</v>
      </c>
      <c r="P271" s="78"/>
      <c r="Q271" s="96">
        <v>45545</v>
      </c>
      <c r="R271" s="97" t="s">
        <v>1481</v>
      </c>
      <c r="S271" s="98"/>
    </row>
    <row r="272" spans="1:19" ht="42.75">
      <c r="A272" s="90" t="s">
        <v>48</v>
      </c>
      <c r="B272" s="91" t="s">
        <v>482</v>
      </c>
      <c r="C272" s="111" t="s">
        <v>1969</v>
      </c>
      <c r="D272" s="90">
        <v>4777</v>
      </c>
      <c r="E272" s="90">
        <v>6141</v>
      </c>
      <c r="F272" s="90" t="s">
        <v>1434</v>
      </c>
      <c r="G272" s="90">
        <v>2024</v>
      </c>
      <c r="H272" s="112">
        <v>45387</v>
      </c>
      <c r="I272" s="112">
        <v>45390</v>
      </c>
      <c r="J272" s="94" t="s">
        <v>1970</v>
      </c>
      <c r="K272" s="106" t="s">
        <v>1971</v>
      </c>
      <c r="L272" s="69" t="s">
        <v>77</v>
      </c>
      <c r="M272" s="69" t="s">
        <v>4</v>
      </c>
      <c r="N272" s="69" t="s">
        <v>101</v>
      </c>
      <c r="O272" s="69" t="s">
        <v>1436</v>
      </c>
      <c r="P272" s="78"/>
      <c r="Q272" s="96"/>
      <c r="R272" s="97"/>
      <c r="S272" s="98"/>
    </row>
    <row r="273" spans="1:19" ht="42.75">
      <c r="A273" s="90" t="s">
        <v>48</v>
      </c>
      <c r="B273" s="91" t="s">
        <v>482</v>
      </c>
      <c r="C273" s="91" t="s">
        <v>1972</v>
      </c>
      <c r="D273" s="90">
        <v>19329</v>
      </c>
      <c r="E273" s="90">
        <v>19946</v>
      </c>
      <c r="F273" s="90" t="s">
        <v>1434</v>
      </c>
      <c r="G273" s="90">
        <v>2024</v>
      </c>
      <c r="H273" s="112">
        <v>45358</v>
      </c>
      <c r="I273" s="92">
        <v>45362</v>
      </c>
      <c r="J273" s="94" t="s">
        <v>1973</v>
      </c>
      <c r="K273" s="108">
        <v>45377</v>
      </c>
      <c r="L273" s="69"/>
      <c r="M273" s="69" t="s">
        <v>4</v>
      </c>
      <c r="N273" s="69" t="s">
        <v>101</v>
      </c>
      <c r="O273" s="69" t="s">
        <v>1436</v>
      </c>
      <c r="P273" s="78"/>
      <c r="Q273" s="96"/>
      <c r="R273" s="97"/>
      <c r="S273" s="98"/>
    </row>
    <row r="274" spans="1:19" ht="42.75">
      <c r="A274" s="90" t="s">
        <v>48</v>
      </c>
      <c r="B274" s="91" t="s">
        <v>482</v>
      </c>
      <c r="C274" s="91" t="s">
        <v>1974</v>
      </c>
      <c r="D274" s="90">
        <v>3209</v>
      </c>
      <c r="E274" s="90">
        <v>3191</v>
      </c>
      <c r="F274" s="90" t="s">
        <v>1434</v>
      </c>
      <c r="G274" s="90">
        <v>2024</v>
      </c>
      <c r="H274" s="110" t="s">
        <v>1975</v>
      </c>
      <c r="I274" s="110" t="s">
        <v>1955</v>
      </c>
      <c r="J274" s="117" t="s">
        <v>1976</v>
      </c>
      <c r="K274" s="100">
        <v>45516</v>
      </c>
      <c r="L274" s="69" t="s">
        <v>81</v>
      </c>
      <c r="M274" s="69" t="s">
        <v>4</v>
      </c>
      <c r="N274" s="69" t="s">
        <v>101</v>
      </c>
      <c r="O274" s="69" t="s">
        <v>1436</v>
      </c>
      <c r="P274" s="78"/>
      <c r="Q274" s="96">
        <v>45517</v>
      </c>
      <c r="R274" s="97" t="s">
        <v>1481</v>
      </c>
      <c r="S274" s="98"/>
    </row>
    <row r="275" spans="1:19" ht="42.75">
      <c r="A275" s="90" t="s">
        <v>48</v>
      </c>
      <c r="B275" s="91" t="s">
        <v>482</v>
      </c>
      <c r="C275" s="109" t="s">
        <v>926</v>
      </c>
      <c r="D275" s="90">
        <v>701</v>
      </c>
      <c r="E275" s="90">
        <v>653</v>
      </c>
      <c r="F275" s="90" t="s">
        <v>1434</v>
      </c>
      <c r="G275" s="90">
        <v>2024</v>
      </c>
      <c r="H275" s="110" t="s">
        <v>1907</v>
      </c>
      <c r="I275" s="118" t="s">
        <v>1708</v>
      </c>
      <c r="J275" s="129" t="s">
        <v>1977</v>
      </c>
      <c r="K275" s="130" t="s">
        <v>1710</v>
      </c>
      <c r="L275" s="69" t="s">
        <v>78</v>
      </c>
      <c r="M275" s="69" t="s">
        <v>4</v>
      </c>
      <c r="N275" s="69" t="s">
        <v>101</v>
      </c>
      <c r="O275" s="69" t="s">
        <v>1436</v>
      </c>
      <c r="P275" s="78"/>
      <c r="Q275" s="96"/>
      <c r="R275" s="97"/>
      <c r="S275" s="98"/>
    </row>
    <row r="276" spans="1:19" ht="42.75">
      <c r="A276" s="90" t="s">
        <v>48</v>
      </c>
      <c r="B276" s="91" t="s">
        <v>482</v>
      </c>
      <c r="C276" s="91" t="s">
        <v>1978</v>
      </c>
      <c r="D276" s="90">
        <v>4711</v>
      </c>
      <c r="E276" s="90">
        <v>5169</v>
      </c>
      <c r="F276" s="90" t="s">
        <v>1434</v>
      </c>
      <c r="G276" s="90">
        <v>2024</v>
      </c>
      <c r="H276" s="110" t="s">
        <v>1979</v>
      </c>
      <c r="I276" s="110" t="s">
        <v>1901</v>
      </c>
      <c r="J276" s="94" t="s">
        <v>1980</v>
      </c>
      <c r="K276" s="100">
        <v>45475</v>
      </c>
      <c r="L276" s="69" t="s">
        <v>80</v>
      </c>
      <c r="M276" s="69" t="s">
        <v>4</v>
      </c>
      <c r="N276" s="69" t="s">
        <v>101</v>
      </c>
      <c r="O276" s="69" t="s">
        <v>1436</v>
      </c>
      <c r="P276" s="78"/>
      <c r="Q276" s="96">
        <v>45475</v>
      </c>
      <c r="R276" s="97"/>
      <c r="S276" s="98"/>
    </row>
    <row r="277" spans="1:19" ht="42.75">
      <c r="A277" s="142" t="s">
        <v>48</v>
      </c>
      <c r="B277" s="91" t="s">
        <v>482</v>
      </c>
      <c r="C277" s="91" t="s">
        <v>1981</v>
      </c>
      <c r="D277" s="90">
        <v>5178</v>
      </c>
      <c r="E277" s="90">
        <v>5623</v>
      </c>
      <c r="F277" s="90" t="s">
        <v>1434</v>
      </c>
      <c r="G277" s="90">
        <v>2024</v>
      </c>
      <c r="H277" s="110" t="s">
        <v>1893</v>
      </c>
      <c r="I277" s="110" t="s">
        <v>1764</v>
      </c>
      <c r="J277" s="94" t="s">
        <v>1982</v>
      </c>
      <c r="K277" s="100">
        <v>45462</v>
      </c>
      <c r="L277" s="69" t="s">
        <v>79</v>
      </c>
      <c r="M277" s="69" t="s">
        <v>4</v>
      </c>
      <c r="N277" s="69" t="s">
        <v>101</v>
      </c>
      <c r="O277" s="69" t="s">
        <v>1436</v>
      </c>
      <c r="P277" s="78"/>
      <c r="Q277" s="70">
        <v>45462</v>
      </c>
      <c r="R277" s="97"/>
      <c r="S277" s="98"/>
    </row>
    <row r="278" spans="1:19" ht="42.75">
      <c r="A278" s="90" t="s">
        <v>48</v>
      </c>
      <c r="B278" s="91" t="s">
        <v>482</v>
      </c>
      <c r="C278" s="91" t="s">
        <v>1983</v>
      </c>
      <c r="D278" s="90">
        <v>560</v>
      </c>
      <c r="E278" s="90">
        <v>544</v>
      </c>
      <c r="F278" s="90" t="s">
        <v>1434</v>
      </c>
      <c r="G278" s="90">
        <v>2024</v>
      </c>
      <c r="H278" s="110" t="s">
        <v>1984</v>
      </c>
      <c r="I278" s="110" t="s">
        <v>1828</v>
      </c>
      <c r="J278" s="94" t="s">
        <v>1985</v>
      </c>
      <c r="K278" s="100">
        <v>45539</v>
      </c>
      <c r="L278" s="69" t="s">
        <v>82</v>
      </c>
      <c r="M278" s="69" t="s">
        <v>672</v>
      </c>
      <c r="N278" s="69" t="s">
        <v>101</v>
      </c>
      <c r="O278" s="69" t="s">
        <v>1436</v>
      </c>
      <c r="P278" s="78"/>
      <c r="Q278" s="96">
        <v>45539</v>
      </c>
      <c r="R278" s="97" t="s">
        <v>1481</v>
      </c>
      <c r="S278" s="98"/>
    </row>
    <row r="279" spans="1:19" ht="42.75">
      <c r="A279" s="90" t="s">
        <v>48</v>
      </c>
      <c r="B279" s="91" t="s">
        <v>482</v>
      </c>
      <c r="C279" s="91" t="s">
        <v>1986</v>
      </c>
      <c r="D279" s="90">
        <v>7358</v>
      </c>
      <c r="E279" s="90">
        <v>8905</v>
      </c>
      <c r="F279" s="90" t="s">
        <v>1434</v>
      </c>
      <c r="G279" s="90">
        <v>2024</v>
      </c>
      <c r="H279" s="112">
        <v>45358</v>
      </c>
      <c r="I279" s="92">
        <v>45362</v>
      </c>
      <c r="J279" s="94" t="s">
        <v>1987</v>
      </c>
      <c r="K279" s="108">
        <v>45377</v>
      </c>
      <c r="L279" s="69"/>
      <c r="M279" s="69" t="s">
        <v>4</v>
      </c>
      <c r="N279" s="69" t="s">
        <v>101</v>
      </c>
      <c r="O279" s="69" t="s">
        <v>1436</v>
      </c>
      <c r="P279" s="78"/>
      <c r="Q279" s="96"/>
      <c r="R279" s="97"/>
      <c r="S279" s="98"/>
    </row>
    <row r="280" spans="1:19" ht="42.75">
      <c r="A280" s="90" t="s">
        <v>48</v>
      </c>
      <c r="B280" s="91" t="s">
        <v>482</v>
      </c>
      <c r="C280" s="91" t="s">
        <v>1988</v>
      </c>
      <c r="D280" s="90">
        <v>5900</v>
      </c>
      <c r="E280" s="90">
        <v>6290</v>
      </c>
      <c r="F280" s="90" t="s">
        <v>1434</v>
      </c>
      <c r="G280" s="90">
        <v>2024</v>
      </c>
      <c r="H280" s="110" t="s">
        <v>1909</v>
      </c>
      <c r="I280" s="110" t="s">
        <v>1836</v>
      </c>
      <c r="J280" s="94" t="s">
        <v>1989</v>
      </c>
      <c r="K280" s="100">
        <v>45474</v>
      </c>
      <c r="L280" s="69" t="s">
        <v>80</v>
      </c>
      <c r="M280" s="69" t="s">
        <v>672</v>
      </c>
      <c r="N280" s="69" t="s">
        <v>101</v>
      </c>
      <c r="O280" s="69" t="s">
        <v>1436</v>
      </c>
      <c r="P280" s="78"/>
      <c r="Q280" s="70">
        <v>45474</v>
      </c>
      <c r="R280" s="97"/>
      <c r="S280" s="98"/>
    </row>
    <row r="281" spans="1:19" ht="42.75">
      <c r="A281" s="90" t="s">
        <v>48</v>
      </c>
      <c r="B281" s="91" t="s">
        <v>482</v>
      </c>
      <c r="C281" s="91" t="s">
        <v>1990</v>
      </c>
      <c r="D281" s="90">
        <v>8615</v>
      </c>
      <c r="E281" s="90">
        <v>12852</v>
      </c>
      <c r="F281" s="90" t="s">
        <v>1434</v>
      </c>
      <c r="G281" s="90">
        <v>2024</v>
      </c>
      <c r="H281" s="92">
        <v>45364</v>
      </c>
      <c r="I281" s="92">
        <v>45369</v>
      </c>
      <c r="J281" s="94" t="s">
        <v>1991</v>
      </c>
      <c r="K281" s="108">
        <v>45377</v>
      </c>
      <c r="L281" s="69"/>
      <c r="M281" s="69" t="s">
        <v>672</v>
      </c>
      <c r="N281" s="69" t="s">
        <v>101</v>
      </c>
      <c r="O281" s="69" t="s">
        <v>1436</v>
      </c>
      <c r="P281" s="78"/>
      <c r="Q281" s="96"/>
      <c r="R281" s="97"/>
      <c r="S281" s="98"/>
    </row>
    <row r="282" spans="1:19" ht="42.75">
      <c r="A282" s="90" t="s">
        <v>48</v>
      </c>
      <c r="B282" s="91" t="s">
        <v>336</v>
      </c>
      <c r="C282" s="91" t="s">
        <v>1992</v>
      </c>
      <c r="D282" s="90">
        <v>15047</v>
      </c>
      <c r="E282" s="90">
        <v>18868</v>
      </c>
      <c r="F282" s="90" t="s">
        <v>1454</v>
      </c>
      <c r="G282" s="90"/>
      <c r="H282" s="93"/>
      <c r="I282" s="93"/>
      <c r="J282" s="93"/>
      <c r="K282" s="95"/>
      <c r="L282" s="69"/>
      <c r="M282" s="69"/>
      <c r="N282" s="69"/>
      <c r="O282" s="69"/>
      <c r="P282" s="78"/>
      <c r="Q282" s="96"/>
      <c r="R282" s="97"/>
      <c r="S282" s="98"/>
    </row>
    <row r="283" spans="1:19" ht="42.75">
      <c r="A283" s="90" t="s">
        <v>48</v>
      </c>
      <c r="B283" s="91" t="s">
        <v>336</v>
      </c>
      <c r="C283" s="91" t="s">
        <v>724</v>
      </c>
      <c r="D283" s="90">
        <v>3264</v>
      </c>
      <c r="E283" s="90">
        <v>3389</v>
      </c>
      <c r="F283" s="90" t="s">
        <v>1454</v>
      </c>
      <c r="G283" s="90"/>
      <c r="H283" s="93"/>
      <c r="I283" s="93"/>
      <c r="J283" s="93"/>
      <c r="K283" s="95"/>
      <c r="L283" s="69"/>
      <c r="M283" s="69"/>
      <c r="N283" s="69"/>
      <c r="O283" s="69"/>
      <c r="P283" s="78"/>
      <c r="Q283" s="96"/>
      <c r="R283" s="97"/>
      <c r="S283" s="98"/>
    </row>
    <row r="284" spans="1:19" ht="42.75">
      <c r="A284" s="90" t="s">
        <v>48</v>
      </c>
      <c r="B284" s="91" t="s">
        <v>336</v>
      </c>
      <c r="C284" s="91" t="s">
        <v>1993</v>
      </c>
      <c r="D284" s="90">
        <v>5951</v>
      </c>
      <c r="E284" s="90">
        <v>5811</v>
      </c>
      <c r="F284" s="90" t="s">
        <v>1454</v>
      </c>
      <c r="G284" s="90"/>
      <c r="H284" s="93"/>
      <c r="I284" s="93"/>
      <c r="J284" s="93"/>
      <c r="K284" s="95"/>
      <c r="L284" s="69"/>
      <c r="M284" s="69"/>
      <c r="N284" s="69"/>
      <c r="O284" s="69"/>
      <c r="P284" s="78"/>
      <c r="Q284" s="96"/>
      <c r="R284" s="97"/>
      <c r="S284" s="98"/>
    </row>
    <row r="285" spans="1:19" ht="42.75">
      <c r="A285" s="90" t="s">
        <v>48</v>
      </c>
      <c r="B285" s="91" t="s">
        <v>336</v>
      </c>
      <c r="C285" s="91" t="s">
        <v>1994</v>
      </c>
      <c r="D285" s="90">
        <v>6427</v>
      </c>
      <c r="E285" s="90">
        <v>7665</v>
      </c>
      <c r="F285" s="90" t="s">
        <v>1434</v>
      </c>
      <c r="G285" s="90">
        <v>2024</v>
      </c>
      <c r="H285" s="101">
        <v>45575</v>
      </c>
      <c r="I285" s="101">
        <v>45580</v>
      </c>
      <c r="J285" s="94" t="s">
        <v>1995</v>
      </c>
      <c r="K285" s="100">
        <v>45581</v>
      </c>
      <c r="L285" s="69" t="s">
        <v>83</v>
      </c>
      <c r="M285" s="69" t="s">
        <v>4</v>
      </c>
      <c r="N285" s="69" t="s">
        <v>108</v>
      </c>
      <c r="O285" s="69" t="s">
        <v>1436</v>
      </c>
      <c r="P285" s="78"/>
      <c r="Q285" s="96">
        <v>45582</v>
      </c>
      <c r="R285" s="97" t="s">
        <v>1481</v>
      </c>
      <c r="S285" s="98"/>
    </row>
    <row r="286" spans="1:19" ht="42.75">
      <c r="A286" s="90" t="s">
        <v>48</v>
      </c>
      <c r="B286" s="91" t="s">
        <v>336</v>
      </c>
      <c r="C286" s="91" t="s">
        <v>1996</v>
      </c>
      <c r="D286" s="90">
        <v>5169</v>
      </c>
      <c r="E286" s="90">
        <v>7189</v>
      </c>
      <c r="F286" s="90" t="s">
        <v>1454</v>
      </c>
      <c r="G286" s="90"/>
      <c r="H286" s="93"/>
      <c r="I286" s="93"/>
      <c r="J286" s="93"/>
      <c r="K286" s="95"/>
      <c r="L286" s="69"/>
      <c r="M286" s="69"/>
      <c r="N286" s="69"/>
      <c r="O286" s="69"/>
      <c r="P286" s="78"/>
      <c r="Q286" s="96"/>
      <c r="R286" s="97"/>
      <c r="S286" s="98"/>
    </row>
    <row r="287" spans="1:19" ht="42.75">
      <c r="A287" s="90" t="s">
        <v>48</v>
      </c>
      <c r="B287" s="91" t="s">
        <v>336</v>
      </c>
      <c r="C287" s="91" t="s">
        <v>1997</v>
      </c>
      <c r="D287" s="90">
        <v>4581</v>
      </c>
      <c r="E287" s="90">
        <v>4781</v>
      </c>
      <c r="F287" s="90" t="s">
        <v>1454</v>
      </c>
      <c r="G287" s="90"/>
      <c r="H287" s="93"/>
      <c r="I287" s="93"/>
      <c r="J287" s="93"/>
      <c r="K287" s="95"/>
      <c r="L287" s="69"/>
      <c r="M287" s="69"/>
      <c r="N287" s="69"/>
      <c r="O287" s="69"/>
      <c r="P287" s="78"/>
      <c r="Q287" s="96"/>
      <c r="R287" s="97"/>
      <c r="S287" s="98"/>
    </row>
    <row r="288" spans="1:19" ht="42.75">
      <c r="A288" s="90" t="s">
        <v>48</v>
      </c>
      <c r="B288" s="91" t="s">
        <v>336</v>
      </c>
      <c r="C288" s="91" t="s">
        <v>926</v>
      </c>
      <c r="D288" s="90">
        <v>7938</v>
      </c>
      <c r="E288" s="90">
        <v>8458</v>
      </c>
      <c r="F288" s="90" t="s">
        <v>1454</v>
      </c>
      <c r="G288" s="90">
        <v>2025</v>
      </c>
      <c r="H288" s="93"/>
      <c r="I288" s="93"/>
      <c r="J288" s="93"/>
      <c r="K288" s="95"/>
      <c r="L288" s="69" t="s">
        <v>74</v>
      </c>
      <c r="M288" s="69"/>
      <c r="N288" s="69"/>
      <c r="O288" s="69"/>
      <c r="P288" s="78"/>
      <c r="Q288" s="96"/>
      <c r="R288" s="97"/>
      <c r="S288" s="98"/>
    </row>
    <row r="289" spans="1:19" ht="42.75">
      <c r="A289" s="90" t="s">
        <v>48</v>
      </c>
      <c r="B289" s="91" t="s">
        <v>336</v>
      </c>
      <c r="C289" s="91" t="s">
        <v>1998</v>
      </c>
      <c r="D289" s="90">
        <v>1517</v>
      </c>
      <c r="E289" s="90">
        <v>1481</v>
      </c>
      <c r="F289" s="90" t="s">
        <v>1434</v>
      </c>
      <c r="G289" s="90">
        <v>2024</v>
      </c>
      <c r="H289" s="101">
        <v>45595</v>
      </c>
      <c r="I289" s="101">
        <v>45600</v>
      </c>
      <c r="J289" s="94" t="s">
        <v>1999</v>
      </c>
      <c r="K289" s="100">
        <v>45601</v>
      </c>
      <c r="L289" s="69" t="s">
        <v>84</v>
      </c>
      <c r="M289" s="69" t="s">
        <v>672</v>
      </c>
      <c r="N289" s="69" t="s">
        <v>101</v>
      </c>
      <c r="O289" s="69" t="s">
        <v>1436</v>
      </c>
      <c r="P289" s="78"/>
      <c r="Q289" s="96">
        <v>45602</v>
      </c>
      <c r="R289" s="97" t="s">
        <v>1481</v>
      </c>
      <c r="S289" s="98"/>
    </row>
    <row r="290" spans="1:19" ht="42.75">
      <c r="A290" s="90" t="s">
        <v>48</v>
      </c>
      <c r="B290" s="91" t="s">
        <v>336</v>
      </c>
      <c r="C290" s="91" t="s">
        <v>520</v>
      </c>
      <c r="D290" s="90">
        <v>5761</v>
      </c>
      <c r="E290" s="90">
        <v>6515</v>
      </c>
      <c r="F290" s="90" t="s">
        <v>1454</v>
      </c>
      <c r="G290" s="90"/>
      <c r="H290" s="93"/>
      <c r="I290" s="93"/>
      <c r="J290" s="93"/>
      <c r="K290" s="95"/>
      <c r="L290" s="69"/>
      <c r="M290" s="69"/>
      <c r="N290" s="69"/>
      <c r="O290" s="69"/>
      <c r="P290" s="78"/>
      <c r="Q290" s="96"/>
      <c r="R290" s="97"/>
      <c r="S290" s="98"/>
    </row>
    <row r="291" spans="1:19" ht="42.75">
      <c r="A291" s="90" t="s">
        <v>48</v>
      </c>
      <c r="B291" s="91" t="s">
        <v>336</v>
      </c>
      <c r="C291" s="91" t="s">
        <v>2000</v>
      </c>
      <c r="D291" s="90">
        <v>6221</v>
      </c>
      <c r="E291" s="90">
        <v>7267</v>
      </c>
      <c r="F291" s="90" t="s">
        <v>1454</v>
      </c>
      <c r="G291" s="90"/>
      <c r="H291" s="93"/>
      <c r="I291" s="93"/>
      <c r="J291" s="93"/>
      <c r="K291" s="95"/>
      <c r="L291" s="69"/>
      <c r="M291" s="69"/>
      <c r="N291" s="69"/>
      <c r="O291" s="69"/>
      <c r="P291" s="78"/>
      <c r="Q291" s="96"/>
      <c r="R291" s="97"/>
      <c r="S291" s="98"/>
    </row>
    <row r="292" spans="1:19" ht="42.75">
      <c r="A292" s="90" t="s">
        <v>48</v>
      </c>
      <c r="B292" s="91" t="s">
        <v>336</v>
      </c>
      <c r="C292" s="91" t="s">
        <v>760</v>
      </c>
      <c r="D292" s="90">
        <v>12286</v>
      </c>
      <c r="E292" s="90">
        <v>15820</v>
      </c>
      <c r="F292" s="90" t="s">
        <v>1454</v>
      </c>
      <c r="G292" s="90"/>
      <c r="H292" s="93"/>
      <c r="I292" s="93"/>
      <c r="J292" s="93"/>
      <c r="K292" s="95"/>
      <c r="L292" s="69"/>
      <c r="M292" s="69"/>
      <c r="N292" s="69"/>
      <c r="O292" s="69"/>
      <c r="P292" s="78"/>
      <c r="Q292" s="96"/>
      <c r="R292" s="97"/>
      <c r="S292" s="98"/>
    </row>
    <row r="293" spans="1:19" ht="42.75">
      <c r="A293" s="90" t="s">
        <v>48</v>
      </c>
      <c r="B293" s="91" t="s">
        <v>336</v>
      </c>
      <c r="C293" s="91" t="s">
        <v>2001</v>
      </c>
      <c r="D293" s="90">
        <v>1837</v>
      </c>
      <c r="E293" s="90">
        <v>2663</v>
      </c>
      <c r="F293" s="90" t="s">
        <v>1434</v>
      </c>
      <c r="G293" s="90">
        <v>2024</v>
      </c>
      <c r="H293" s="101">
        <v>45581</v>
      </c>
      <c r="I293" s="101">
        <v>45586</v>
      </c>
      <c r="J293" s="126" t="s">
        <v>2002</v>
      </c>
      <c r="K293" s="100">
        <v>45593</v>
      </c>
      <c r="L293" s="69" t="s">
        <v>84</v>
      </c>
      <c r="M293" s="69" t="s">
        <v>4</v>
      </c>
      <c r="N293" s="69" t="s">
        <v>108</v>
      </c>
      <c r="O293" s="69" t="s">
        <v>1436</v>
      </c>
      <c r="P293" s="78"/>
      <c r="Q293" s="96">
        <v>45593</v>
      </c>
      <c r="R293" s="97" t="s">
        <v>1481</v>
      </c>
      <c r="S293" s="98"/>
    </row>
    <row r="294" spans="1:19" ht="42.75">
      <c r="A294" s="90" t="s">
        <v>48</v>
      </c>
      <c r="B294" s="91" t="s">
        <v>336</v>
      </c>
      <c r="C294" s="91" t="s">
        <v>2003</v>
      </c>
      <c r="D294" s="90">
        <v>14869</v>
      </c>
      <c r="E294" s="90">
        <v>18803</v>
      </c>
      <c r="F294" s="90" t="s">
        <v>1454</v>
      </c>
      <c r="G294" s="90"/>
      <c r="H294" s="93"/>
      <c r="I294" s="93"/>
      <c r="J294" s="93"/>
      <c r="K294" s="95"/>
      <c r="L294" s="69"/>
      <c r="M294" s="69"/>
      <c r="N294" s="69"/>
      <c r="O294" s="69"/>
      <c r="P294" s="78"/>
      <c r="Q294" s="96"/>
      <c r="R294" s="97"/>
      <c r="S294" s="98"/>
    </row>
    <row r="295" spans="1:19" ht="42.75">
      <c r="A295" s="90" t="s">
        <v>48</v>
      </c>
      <c r="B295" s="91" t="s">
        <v>336</v>
      </c>
      <c r="C295" s="91" t="s">
        <v>1265</v>
      </c>
      <c r="D295" s="90">
        <v>10010</v>
      </c>
      <c r="E295" s="90">
        <v>11503</v>
      </c>
      <c r="F295" s="90" t="s">
        <v>1454</v>
      </c>
      <c r="G295" s="90"/>
      <c r="H295" s="93"/>
      <c r="I295" s="93"/>
      <c r="J295" s="93"/>
      <c r="K295" s="95"/>
      <c r="L295" s="69"/>
      <c r="M295" s="69"/>
      <c r="N295" s="69"/>
      <c r="O295" s="69"/>
      <c r="P295" s="78"/>
      <c r="Q295" s="96"/>
      <c r="R295" s="97"/>
      <c r="S295" s="98"/>
    </row>
    <row r="296" spans="1:19" ht="42.75">
      <c r="A296" s="90" t="s">
        <v>48</v>
      </c>
      <c r="B296" s="91" t="s">
        <v>336</v>
      </c>
      <c r="C296" s="91" t="s">
        <v>762</v>
      </c>
      <c r="D296" s="90">
        <v>4910</v>
      </c>
      <c r="E296" s="90">
        <v>4939</v>
      </c>
      <c r="F296" s="90" t="s">
        <v>1454</v>
      </c>
      <c r="G296" s="90"/>
      <c r="H296" s="93"/>
      <c r="I296" s="93"/>
      <c r="J296" s="93"/>
      <c r="K296" s="95"/>
      <c r="L296" s="69"/>
      <c r="M296" s="69"/>
      <c r="N296" s="69"/>
      <c r="O296" s="69"/>
      <c r="P296" s="78"/>
      <c r="Q296" s="96"/>
      <c r="R296" s="97"/>
      <c r="S296" s="98"/>
    </row>
    <row r="297" spans="1:19" ht="42.75">
      <c r="A297" s="90" t="s">
        <v>48</v>
      </c>
      <c r="B297" s="91" t="s">
        <v>336</v>
      </c>
      <c r="C297" s="91" t="s">
        <v>1059</v>
      </c>
      <c r="D297" s="90">
        <v>4407</v>
      </c>
      <c r="E297" s="90">
        <v>4442</v>
      </c>
      <c r="F297" s="90" t="s">
        <v>1454</v>
      </c>
      <c r="G297" s="90"/>
      <c r="H297" s="93"/>
      <c r="I297" s="93"/>
      <c r="J297" s="93"/>
      <c r="K297" s="95"/>
      <c r="L297" s="69"/>
      <c r="M297" s="69"/>
      <c r="N297" s="69"/>
      <c r="O297" s="69"/>
      <c r="P297" s="78"/>
      <c r="Q297" s="96"/>
      <c r="R297" s="97"/>
      <c r="S297" s="98"/>
    </row>
    <row r="298" spans="1:19" ht="42.75">
      <c r="A298" s="90" t="s">
        <v>48</v>
      </c>
      <c r="B298" s="91" t="s">
        <v>336</v>
      </c>
      <c r="C298" s="91" t="s">
        <v>2004</v>
      </c>
      <c r="D298" s="90">
        <v>10461</v>
      </c>
      <c r="E298" s="90">
        <v>13082</v>
      </c>
      <c r="F298" s="90" t="s">
        <v>1434</v>
      </c>
      <c r="G298" s="90">
        <v>2024</v>
      </c>
      <c r="H298" s="110" t="s">
        <v>2005</v>
      </c>
      <c r="I298" s="110" t="s">
        <v>2006</v>
      </c>
      <c r="J298" s="94" t="s">
        <v>2007</v>
      </c>
      <c r="K298" s="100">
        <v>45581</v>
      </c>
      <c r="L298" s="69" t="s">
        <v>83</v>
      </c>
      <c r="M298" s="69" t="s">
        <v>672</v>
      </c>
      <c r="N298" s="69" t="s">
        <v>101</v>
      </c>
      <c r="O298" s="69" t="s">
        <v>1436</v>
      </c>
      <c r="P298" s="78"/>
      <c r="Q298" s="96">
        <v>45582</v>
      </c>
      <c r="R298" s="97" t="s">
        <v>1481</v>
      </c>
      <c r="S298" s="98"/>
    </row>
    <row r="299" spans="1:19" ht="42.75">
      <c r="A299" s="90" t="s">
        <v>48</v>
      </c>
      <c r="B299" s="91" t="s">
        <v>336</v>
      </c>
      <c r="C299" s="91" t="s">
        <v>1981</v>
      </c>
      <c r="D299" s="90">
        <v>6880</v>
      </c>
      <c r="E299" s="90">
        <v>7203</v>
      </c>
      <c r="F299" s="90" t="s">
        <v>1454</v>
      </c>
      <c r="G299" s="90"/>
      <c r="H299" s="93"/>
      <c r="I299" s="93"/>
      <c r="J299" s="93"/>
      <c r="K299" s="95"/>
      <c r="L299" s="69"/>
      <c r="M299" s="69"/>
      <c r="N299" s="69"/>
      <c r="O299" s="69"/>
      <c r="P299" s="78"/>
      <c r="Q299" s="96"/>
      <c r="R299" s="97"/>
      <c r="S299" s="98"/>
    </row>
    <row r="300" spans="1:19" ht="42.75">
      <c r="A300" s="90" t="s">
        <v>48</v>
      </c>
      <c r="B300" s="91" t="s">
        <v>484</v>
      </c>
      <c r="C300" s="91" t="s">
        <v>2008</v>
      </c>
      <c r="D300" s="90">
        <v>5966</v>
      </c>
      <c r="E300" s="90">
        <v>7122</v>
      </c>
      <c r="F300" s="90" t="s">
        <v>1454</v>
      </c>
      <c r="G300" s="90"/>
      <c r="H300" s="93"/>
      <c r="I300" s="93"/>
      <c r="J300" s="93"/>
      <c r="K300" s="95"/>
      <c r="L300" s="69"/>
      <c r="M300" s="69"/>
      <c r="N300" s="69"/>
      <c r="O300" s="69"/>
      <c r="P300" s="78"/>
      <c r="Q300" s="96"/>
      <c r="R300" s="97"/>
      <c r="S300" s="98"/>
    </row>
    <row r="301" spans="1:19" ht="42.75">
      <c r="A301" s="90" t="s">
        <v>48</v>
      </c>
      <c r="B301" s="91" t="s">
        <v>484</v>
      </c>
      <c r="C301" s="91" t="s">
        <v>1268</v>
      </c>
      <c r="D301" s="90">
        <v>4771</v>
      </c>
      <c r="E301" s="90">
        <v>6156</v>
      </c>
      <c r="F301" s="90" t="s">
        <v>1454</v>
      </c>
      <c r="G301" s="90"/>
      <c r="H301" s="93"/>
      <c r="I301" s="93"/>
      <c r="J301" s="93"/>
      <c r="K301" s="95"/>
      <c r="L301" s="69"/>
      <c r="M301" s="69"/>
      <c r="N301" s="69"/>
      <c r="O301" s="69"/>
      <c r="P301" s="78"/>
      <c r="Q301" s="96"/>
      <c r="R301" s="97"/>
      <c r="S301" s="98"/>
    </row>
    <row r="302" spans="1:19" ht="42.75">
      <c r="A302" s="90" t="s">
        <v>48</v>
      </c>
      <c r="B302" s="91" t="s">
        <v>484</v>
      </c>
      <c r="C302" s="91" t="s">
        <v>2009</v>
      </c>
      <c r="D302" s="90">
        <v>6207</v>
      </c>
      <c r="E302" s="90">
        <v>6756</v>
      </c>
      <c r="F302" s="90" t="s">
        <v>1434</v>
      </c>
      <c r="G302" s="90">
        <v>2024</v>
      </c>
      <c r="H302" s="110" t="s">
        <v>2010</v>
      </c>
      <c r="I302" s="110" t="s">
        <v>2011</v>
      </c>
      <c r="J302" s="94" t="s">
        <v>2012</v>
      </c>
      <c r="K302" s="100">
        <v>45569</v>
      </c>
      <c r="L302" s="69" t="s">
        <v>83</v>
      </c>
      <c r="M302" s="69" t="s">
        <v>4</v>
      </c>
      <c r="N302" s="69" t="s">
        <v>108</v>
      </c>
      <c r="O302" s="69" t="s">
        <v>1436</v>
      </c>
      <c r="P302" s="78"/>
      <c r="Q302" s="115">
        <v>45569</v>
      </c>
      <c r="R302" s="65" t="s">
        <v>1481</v>
      </c>
      <c r="S302" s="89"/>
    </row>
    <row r="303" spans="1:19" ht="42.75">
      <c r="A303" s="90" t="s">
        <v>48</v>
      </c>
      <c r="B303" s="91" t="s">
        <v>484</v>
      </c>
      <c r="C303" s="91" t="s">
        <v>926</v>
      </c>
      <c r="D303" s="90">
        <v>5511</v>
      </c>
      <c r="E303" s="90">
        <v>7329</v>
      </c>
      <c r="F303" s="90" t="s">
        <v>1434</v>
      </c>
      <c r="G303" s="90">
        <v>2024</v>
      </c>
      <c r="H303" s="110" t="s">
        <v>1887</v>
      </c>
      <c r="I303" s="110" t="s">
        <v>1742</v>
      </c>
      <c r="J303" s="94" t="s">
        <v>2013</v>
      </c>
      <c r="K303" s="100">
        <v>45552</v>
      </c>
      <c r="L303" s="69" t="s">
        <v>82</v>
      </c>
      <c r="M303" s="69" t="s">
        <v>4</v>
      </c>
      <c r="N303" s="69" t="s">
        <v>101</v>
      </c>
      <c r="O303" s="69" t="s">
        <v>1436</v>
      </c>
      <c r="P303" s="78"/>
      <c r="Q303" s="96">
        <v>45552</v>
      </c>
      <c r="R303" s="97" t="s">
        <v>1481</v>
      </c>
      <c r="S303" s="98"/>
    </row>
    <row r="304" spans="1:19" ht="42.75">
      <c r="A304" s="90" t="s">
        <v>48</v>
      </c>
      <c r="B304" s="91" t="s">
        <v>484</v>
      </c>
      <c r="C304" s="91" t="s">
        <v>794</v>
      </c>
      <c r="D304" s="90">
        <v>7446</v>
      </c>
      <c r="E304" s="90">
        <v>8031</v>
      </c>
      <c r="F304" s="90" t="s">
        <v>1434</v>
      </c>
      <c r="G304" s="90">
        <v>2024</v>
      </c>
      <c r="H304" s="101">
        <v>45582</v>
      </c>
      <c r="I304" s="101">
        <v>45587</v>
      </c>
      <c r="J304" s="94" t="s">
        <v>2014</v>
      </c>
      <c r="K304" s="100">
        <v>45593</v>
      </c>
      <c r="L304" s="69" t="s">
        <v>84</v>
      </c>
      <c r="M304" s="69" t="s">
        <v>1589</v>
      </c>
      <c r="N304" s="69" t="s">
        <v>1676</v>
      </c>
      <c r="O304" s="69" t="s">
        <v>1436</v>
      </c>
      <c r="P304" s="78"/>
      <c r="Q304" s="96">
        <v>45593</v>
      </c>
      <c r="R304" s="97" t="s">
        <v>1481</v>
      </c>
      <c r="S304" s="98"/>
    </row>
    <row r="305" spans="1:19" ht="42.75">
      <c r="A305" s="90" t="s">
        <v>48</v>
      </c>
      <c r="B305" s="91" t="s">
        <v>486</v>
      </c>
      <c r="C305" s="91" t="s">
        <v>2015</v>
      </c>
      <c r="D305" s="90">
        <v>2835</v>
      </c>
      <c r="E305" s="90">
        <v>3119</v>
      </c>
      <c r="F305" s="90" t="s">
        <v>1434</v>
      </c>
      <c r="G305" s="90">
        <v>2024</v>
      </c>
      <c r="H305" s="92">
        <v>45343</v>
      </c>
      <c r="I305" s="92">
        <v>45343</v>
      </c>
      <c r="J305" s="94" t="s">
        <v>2016</v>
      </c>
      <c r="K305" s="108">
        <v>45344</v>
      </c>
      <c r="L305" s="69"/>
      <c r="M305" s="69" t="s">
        <v>4</v>
      </c>
      <c r="N305" s="69" t="s">
        <v>101</v>
      </c>
      <c r="O305" s="69" t="s">
        <v>1436</v>
      </c>
      <c r="P305" s="78"/>
      <c r="Q305" s="96"/>
      <c r="R305" s="97"/>
      <c r="S305" s="98"/>
    </row>
    <row r="306" spans="1:19" ht="42.75">
      <c r="A306" s="90" t="s">
        <v>48</v>
      </c>
      <c r="B306" s="91" t="s">
        <v>486</v>
      </c>
      <c r="C306" s="91" t="s">
        <v>2017</v>
      </c>
      <c r="D306" s="90">
        <v>1355</v>
      </c>
      <c r="E306" s="90">
        <v>1263</v>
      </c>
      <c r="F306" s="90" t="s">
        <v>1434</v>
      </c>
      <c r="G306" s="90">
        <v>2024</v>
      </c>
      <c r="H306" s="110" t="s">
        <v>2018</v>
      </c>
      <c r="I306" s="110" t="s">
        <v>1696</v>
      </c>
      <c r="J306" s="94" t="s">
        <v>2019</v>
      </c>
      <c r="K306" s="100">
        <v>45446</v>
      </c>
      <c r="L306" s="69" t="s">
        <v>79</v>
      </c>
      <c r="M306" s="69" t="s">
        <v>4</v>
      </c>
      <c r="N306" s="69" t="s">
        <v>101</v>
      </c>
      <c r="O306" s="69" t="s">
        <v>1436</v>
      </c>
      <c r="P306" s="78"/>
      <c r="Q306" s="96">
        <v>45447</v>
      </c>
      <c r="R306" s="97"/>
      <c r="S306" s="98"/>
    </row>
    <row r="307" spans="1:19" ht="42.75">
      <c r="A307" s="90" t="s">
        <v>48</v>
      </c>
      <c r="B307" s="91" t="s">
        <v>486</v>
      </c>
      <c r="C307" s="91" t="s">
        <v>2020</v>
      </c>
      <c r="D307" s="90">
        <v>6018</v>
      </c>
      <c r="E307" s="90">
        <v>6378</v>
      </c>
      <c r="F307" s="90" t="s">
        <v>1434</v>
      </c>
      <c r="G307" s="90">
        <v>2024</v>
      </c>
      <c r="H307" s="101">
        <v>45602</v>
      </c>
      <c r="I307" s="101">
        <v>45606</v>
      </c>
      <c r="J307" s="94" t="s">
        <v>2021</v>
      </c>
      <c r="K307" s="100">
        <v>45612</v>
      </c>
      <c r="L307" s="69" t="s">
        <v>84</v>
      </c>
      <c r="M307" s="69" t="s">
        <v>4</v>
      </c>
      <c r="N307" s="69" t="s">
        <v>108</v>
      </c>
      <c r="O307" s="69" t="s">
        <v>1436</v>
      </c>
      <c r="P307" s="78"/>
      <c r="Q307" s="96">
        <v>45614</v>
      </c>
      <c r="R307" s="97" t="s">
        <v>1481</v>
      </c>
      <c r="S307" s="98"/>
    </row>
    <row r="308" spans="1:19" ht="42.75">
      <c r="A308" s="90" t="s">
        <v>48</v>
      </c>
      <c r="B308" s="91" t="s">
        <v>486</v>
      </c>
      <c r="C308" s="91" t="s">
        <v>2022</v>
      </c>
      <c r="D308" s="90">
        <v>1438</v>
      </c>
      <c r="E308" s="90">
        <v>1402</v>
      </c>
      <c r="F308" s="90" t="s">
        <v>1434</v>
      </c>
      <c r="G308" s="90">
        <v>2024</v>
      </c>
      <c r="H308" s="110" t="s">
        <v>1747</v>
      </c>
      <c r="I308" s="110" t="s">
        <v>2023</v>
      </c>
      <c r="J308" s="94" t="s">
        <v>2024</v>
      </c>
      <c r="K308" s="100">
        <v>45569</v>
      </c>
      <c r="L308" s="69" t="s">
        <v>83</v>
      </c>
      <c r="M308" s="69" t="s">
        <v>4</v>
      </c>
      <c r="N308" s="69" t="s">
        <v>101</v>
      </c>
      <c r="O308" s="69" t="s">
        <v>2025</v>
      </c>
      <c r="P308" s="78"/>
      <c r="Q308" s="115">
        <v>45569</v>
      </c>
      <c r="R308" s="65" t="s">
        <v>1481</v>
      </c>
      <c r="S308" s="89"/>
    </row>
    <row r="309" spans="1:19" ht="42.75">
      <c r="A309" s="90" t="s">
        <v>48</v>
      </c>
      <c r="B309" s="91" t="s">
        <v>486</v>
      </c>
      <c r="C309" s="91" t="s">
        <v>2026</v>
      </c>
      <c r="D309" s="90">
        <v>1164</v>
      </c>
      <c r="E309" s="90">
        <v>927</v>
      </c>
      <c r="F309" s="90" t="s">
        <v>1434</v>
      </c>
      <c r="G309" s="90">
        <v>2024</v>
      </c>
      <c r="H309" s="110" t="s">
        <v>2027</v>
      </c>
      <c r="I309" s="110" t="s">
        <v>1871</v>
      </c>
      <c r="J309" s="143" t="s">
        <v>2028</v>
      </c>
      <c r="K309" s="100">
        <v>45539</v>
      </c>
      <c r="L309" s="69" t="s">
        <v>82</v>
      </c>
      <c r="M309" s="69" t="s">
        <v>4</v>
      </c>
      <c r="N309" s="69" t="s">
        <v>108</v>
      </c>
      <c r="O309" s="69" t="s">
        <v>1436</v>
      </c>
      <c r="P309" s="78"/>
      <c r="Q309" s="96">
        <v>45539</v>
      </c>
      <c r="R309" s="97" t="s">
        <v>1481</v>
      </c>
      <c r="S309" s="98"/>
    </row>
    <row r="310" spans="1:19" ht="42.75">
      <c r="A310" s="90" t="s">
        <v>48</v>
      </c>
      <c r="B310" s="91" t="s">
        <v>486</v>
      </c>
      <c r="C310" s="91" t="s">
        <v>2029</v>
      </c>
      <c r="D310" s="90">
        <v>431</v>
      </c>
      <c r="E310" s="90">
        <v>434</v>
      </c>
      <c r="F310" s="90" t="s">
        <v>1434</v>
      </c>
      <c r="G310" s="90">
        <v>2024</v>
      </c>
      <c r="H310" s="110" t="s">
        <v>2030</v>
      </c>
      <c r="I310" s="118" t="s">
        <v>1901</v>
      </c>
      <c r="J310" s="144" t="s">
        <v>2031</v>
      </c>
      <c r="K310" s="119">
        <v>45483</v>
      </c>
      <c r="L310" s="69" t="s">
        <v>80</v>
      </c>
      <c r="M310" s="69" t="s">
        <v>4</v>
      </c>
      <c r="N310" s="69" t="s">
        <v>108</v>
      </c>
      <c r="O310" s="69" t="s">
        <v>1436</v>
      </c>
      <c r="P310" s="78"/>
      <c r="Q310" s="145">
        <v>45483</v>
      </c>
      <c r="R310" s="97"/>
      <c r="S310" s="98"/>
    </row>
    <row r="311" spans="1:19" ht="42.75">
      <c r="A311" s="90" t="s">
        <v>48</v>
      </c>
      <c r="B311" s="91" t="s">
        <v>486</v>
      </c>
      <c r="C311" s="91" t="s">
        <v>2032</v>
      </c>
      <c r="D311" s="90">
        <v>1249</v>
      </c>
      <c r="E311" s="90">
        <v>1788</v>
      </c>
      <c r="F311" s="90" t="s">
        <v>1434</v>
      </c>
      <c r="G311" s="90">
        <v>2024</v>
      </c>
      <c r="H311" s="110" t="s">
        <v>2033</v>
      </c>
      <c r="I311" s="110" t="s">
        <v>1962</v>
      </c>
      <c r="J311" s="94" t="s">
        <v>2034</v>
      </c>
      <c r="K311" s="100">
        <v>45488</v>
      </c>
      <c r="L311" s="69" t="s">
        <v>80</v>
      </c>
      <c r="M311" s="69" t="s">
        <v>4</v>
      </c>
      <c r="N311" s="69" t="s">
        <v>108</v>
      </c>
      <c r="O311" s="69" t="s">
        <v>1436</v>
      </c>
      <c r="P311" s="78"/>
      <c r="Q311" s="96">
        <v>45489</v>
      </c>
      <c r="R311" s="97"/>
      <c r="S311" s="98"/>
    </row>
    <row r="312" spans="1:19" ht="42.75">
      <c r="A312" s="90" t="s">
        <v>48</v>
      </c>
      <c r="B312" s="91" t="s">
        <v>486</v>
      </c>
      <c r="C312" s="91" t="s">
        <v>2035</v>
      </c>
      <c r="D312" s="90">
        <v>3021</v>
      </c>
      <c r="E312" s="90">
        <v>2975</v>
      </c>
      <c r="F312" s="90" t="s">
        <v>1434</v>
      </c>
      <c r="G312" s="90">
        <v>2024</v>
      </c>
      <c r="H312" s="110" t="s">
        <v>1733</v>
      </c>
      <c r="I312" s="110" t="s">
        <v>1734</v>
      </c>
      <c r="J312" s="94" t="s">
        <v>2036</v>
      </c>
      <c r="K312" s="100">
        <v>45565</v>
      </c>
      <c r="L312" s="69" t="s">
        <v>83</v>
      </c>
      <c r="M312" s="69" t="s">
        <v>4</v>
      </c>
      <c r="N312" s="69" t="s">
        <v>108</v>
      </c>
      <c r="O312" s="69" t="s">
        <v>2037</v>
      </c>
      <c r="P312" s="78"/>
      <c r="Q312" s="115">
        <v>45565</v>
      </c>
      <c r="R312" s="65" t="s">
        <v>1481</v>
      </c>
      <c r="S312" s="89"/>
    </row>
    <row r="313" spans="1:19" ht="42.75">
      <c r="A313" s="90" t="s">
        <v>48</v>
      </c>
      <c r="B313" s="91" t="s">
        <v>486</v>
      </c>
      <c r="C313" s="91" t="s">
        <v>312</v>
      </c>
      <c r="D313" s="90">
        <v>690</v>
      </c>
      <c r="E313" s="90">
        <v>530</v>
      </c>
      <c r="F313" s="90" t="s">
        <v>1434</v>
      </c>
      <c r="G313" s="90">
        <v>2024</v>
      </c>
      <c r="H313" s="110" t="s">
        <v>2038</v>
      </c>
      <c r="I313" s="110" t="s">
        <v>1844</v>
      </c>
      <c r="J313" s="94" t="s">
        <v>2039</v>
      </c>
      <c r="K313" s="100">
        <v>45489</v>
      </c>
      <c r="L313" s="69" t="s">
        <v>80</v>
      </c>
      <c r="M313" s="69" t="s">
        <v>672</v>
      </c>
      <c r="N313" s="69" t="s">
        <v>108</v>
      </c>
      <c r="O313" s="69" t="s">
        <v>1436</v>
      </c>
      <c r="P313" s="78"/>
      <c r="Q313" s="96">
        <v>45490</v>
      </c>
      <c r="R313" s="97"/>
      <c r="S313" s="98"/>
    </row>
    <row r="314" spans="1:19" ht="42.75">
      <c r="A314" s="90" t="s">
        <v>48</v>
      </c>
      <c r="B314" s="91" t="s">
        <v>486</v>
      </c>
      <c r="C314" s="91" t="s">
        <v>2040</v>
      </c>
      <c r="D314" s="90">
        <v>4380</v>
      </c>
      <c r="E314" s="90">
        <v>4746</v>
      </c>
      <c r="F314" s="90" t="s">
        <v>1434</v>
      </c>
      <c r="G314" s="90">
        <v>2024</v>
      </c>
      <c r="H314" s="92">
        <v>45344</v>
      </c>
      <c r="I314" s="92">
        <v>45344</v>
      </c>
      <c r="J314" s="94" t="s">
        <v>2041</v>
      </c>
      <c r="K314" s="108">
        <v>45344</v>
      </c>
      <c r="L314" s="69"/>
      <c r="M314" s="69" t="s">
        <v>4</v>
      </c>
      <c r="N314" s="69" t="s">
        <v>101</v>
      </c>
      <c r="O314" s="69" t="s">
        <v>1436</v>
      </c>
      <c r="P314" s="78"/>
      <c r="Q314" s="96"/>
      <c r="R314" s="97"/>
      <c r="S314" s="98"/>
    </row>
    <row r="315" spans="1:19" ht="42.75">
      <c r="A315" s="90" t="s">
        <v>48</v>
      </c>
      <c r="B315" s="91" t="s">
        <v>486</v>
      </c>
      <c r="C315" s="91" t="s">
        <v>1013</v>
      </c>
      <c r="D315" s="90">
        <v>2486</v>
      </c>
      <c r="E315" s="90">
        <v>2802</v>
      </c>
      <c r="F315" s="90" t="s">
        <v>1434</v>
      </c>
      <c r="G315" s="90">
        <v>2024</v>
      </c>
      <c r="H315" s="110" t="s">
        <v>2042</v>
      </c>
      <c r="I315" s="110" t="s">
        <v>2043</v>
      </c>
      <c r="J315" s="94" t="s">
        <v>2044</v>
      </c>
      <c r="K315" s="100">
        <v>45510</v>
      </c>
      <c r="L315" s="69" t="s">
        <v>81</v>
      </c>
      <c r="M315" s="69" t="s">
        <v>4</v>
      </c>
      <c r="N315" s="69" t="s">
        <v>101</v>
      </c>
      <c r="O315" s="69" t="s">
        <v>1436</v>
      </c>
      <c r="P315" s="78"/>
      <c r="Q315" s="70">
        <v>45510</v>
      </c>
      <c r="R315" s="97" t="s">
        <v>1481</v>
      </c>
      <c r="S315" s="98"/>
    </row>
    <row r="316" spans="1:19" ht="42.75">
      <c r="A316" s="90" t="s">
        <v>48</v>
      </c>
      <c r="B316" s="91" t="s">
        <v>486</v>
      </c>
      <c r="C316" s="91" t="s">
        <v>2045</v>
      </c>
      <c r="D316" s="90">
        <v>2581</v>
      </c>
      <c r="E316" s="90">
        <v>2521</v>
      </c>
      <c r="F316" s="90" t="s">
        <v>1434</v>
      </c>
      <c r="G316" s="90">
        <v>2024</v>
      </c>
      <c r="H316" s="92">
        <v>45350</v>
      </c>
      <c r="I316" s="92">
        <v>45350</v>
      </c>
      <c r="J316" s="94" t="s">
        <v>2046</v>
      </c>
      <c r="K316" s="113">
        <v>45352</v>
      </c>
      <c r="L316" s="69"/>
      <c r="M316" s="69" t="s">
        <v>4</v>
      </c>
      <c r="N316" s="69" t="s">
        <v>108</v>
      </c>
      <c r="O316" s="69" t="s">
        <v>1436</v>
      </c>
      <c r="P316" s="78"/>
      <c r="Q316" s="96"/>
      <c r="R316" s="97"/>
      <c r="S316" s="98"/>
    </row>
    <row r="317" spans="1:19" ht="42.75">
      <c r="A317" s="90" t="s">
        <v>48</v>
      </c>
      <c r="B317" s="91" t="s">
        <v>486</v>
      </c>
      <c r="C317" s="111" t="s">
        <v>2047</v>
      </c>
      <c r="D317" s="90">
        <v>2250</v>
      </c>
      <c r="E317" s="90">
        <v>2269</v>
      </c>
      <c r="F317" s="90" t="s">
        <v>1434</v>
      </c>
      <c r="G317" s="90">
        <v>2024</v>
      </c>
      <c r="H317" s="112">
        <v>45387</v>
      </c>
      <c r="I317" s="112">
        <v>45389</v>
      </c>
      <c r="J317" s="94" t="s">
        <v>2048</v>
      </c>
      <c r="K317" s="116" t="s">
        <v>1782</v>
      </c>
      <c r="L317" s="69" t="s">
        <v>77</v>
      </c>
      <c r="M317" s="69" t="s">
        <v>4</v>
      </c>
      <c r="N317" s="69" t="s">
        <v>101</v>
      </c>
      <c r="O317" s="69" t="s">
        <v>1436</v>
      </c>
      <c r="P317" s="78"/>
      <c r="Q317" s="96"/>
      <c r="R317" s="97"/>
      <c r="S317" s="98"/>
    </row>
    <row r="318" spans="1:19" ht="42.75">
      <c r="A318" s="90" t="s">
        <v>48</v>
      </c>
      <c r="B318" s="91" t="s">
        <v>486</v>
      </c>
      <c r="C318" s="109" t="s">
        <v>2049</v>
      </c>
      <c r="D318" s="90">
        <v>5563</v>
      </c>
      <c r="E318" s="90">
        <v>5612</v>
      </c>
      <c r="F318" s="90" t="s">
        <v>1434</v>
      </c>
      <c r="G318" s="90">
        <v>2024</v>
      </c>
      <c r="H318" s="114" t="s">
        <v>1700</v>
      </c>
      <c r="I318" s="93" t="s">
        <v>2050</v>
      </c>
      <c r="J318" s="94" t="s">
        <v>2051</v>
      </c>
      <c r="K318" s="106" t="s">
        <v>1703</v>
      </c>
      <c r="L318" s="69" t="s">
        <v>78</v>
      </c>
      <c r="M318" s="69" t="s">
        <v>4</v>
      </c>
      <c r="N318" s="69" t="s">
        <v>101</v>
      </c>
      <c r="O318" s="69" t="s">
        <v>1436</v>
      </c>
      <c r="P318" s="78"/>
      <c r="Q318" s="96"/>
      <c r="R318" s="97"/>
      <c r="S318" s="98"/>
    </row>
    <row r="319" spans="1:19" ht="42.75">
      <c r="A319" s="90" t="s">
        <v>48</v>
      </c>
      <c r="B319" s="91" t="s">
        <v>486</v>
      </c>
      <c r="C319" s="91" t="s">
        <v>2052</v>
      </c>
      <c r="D319" s="90">
        <v>1407</v>
      </c>
      <c r="E319" s="90">
        <v>1305</v>
      </c>
      <c r="F319" s="90" t="s">
        <v>1434</v>
      </c>
      <c r="G319" s="90">
        <v>2024</v>
      </c>
      <c r="H319" s="92">
        <v>45344</v>
      </c>
      <c r="I319" s="92">
        <v>45344</v>
      </c>
      <c r="J319" s="94" t="s">
        <v>2053</v>
      </c>
      <c r="K319" s="108">
        <v>45344</v>
      </c>
      <c r="L319" s="69"/>
      <c r="M319" s="69" t="s">
        <v>4</v>
      </c>
      <c r="N319" s="69" t="s">
        <v>108</v>
      </c>
      <c r="O319" s="69" t="s">
        <v>1436</v>
      </c>
      <c r="P319" s="78"/>
      <c r="Q319" s="96"/>
      <c r="R319" s="97"/>
      <c r="S319" s="98"/>
    </row>
    <row r="320" spans="1:19" ht="42.75">
      <c r="A320" s="90" t="s">
        <v>48</v>
      </c>
      <c r="B320" s="91" t="s">
        <v>486</v>
      </c>
      <c r="C320" s="91" t="s">
        <v>2054</v>
      </c>
      <c r="D320" s="90">
        <v>501</v>
      </c>
      <c r="E320" s="90">
        <v>491</v>
      </c>
      <c r="F320" s="90" t="s">
        <v>1434</v>
      </c>
      <c r="G320" s="90">
        <v>2024</v>
      </c>
      <c r="H320" s="110" t="s">
        <v>2055</v>
      </c>
      <c r="I320" s="110" t="s">
        <v>1932</v>
      </c>
      <c r="J320" s="94" t="s">
        <v>2056</v>
      </c>
      <c r="K320" s="106" t="s">
        <v>1933</v>
      </c>
      <c r="L320" s="69" t="s">
        <v>78</v>
      </c>
      <c r="M320" s="69" t="s">
        <v>4</v>
      </c>
      <c r="N320" s="69" t="s">
        <v>101</v>
      </c>
      <c r="O320" s="69" t="s">
        <v>1436</v>
      </c>
      <c r="P320" s="78"/>
      <c r="Q320" s="96">
        <v>45432</v>
      </c>
      <c r="R320" s="97"/>
      <c r="S320" s="98"/>
    </row>
    <row r="321" spans="1:19" ht="42.75">
      <c r="A321" s="90" t="s">
        <v>48</v>
      </c>
      <c r="B321" s="91" t="s">
        <v>486</v>
      </c>
      <c r="C321" s="91" t="s">
        <v>2057</v>
      </c>
      <c r="D321" s="90">
        <v>1283</v>
      </c>
      <c r="E321" s="90">
        <v>1366</v>
      </c>
      <c r="F321" s="90" t="s">
        <v>1434</v>
      </c>
      <c r="G321" s="90">
        <v>2024</v>
      </c>
      <c r="H321" s="101">
        <v>45595</v>
      </c>
      <c r="I321" s="101">
        <v>45596</v>
      </c>
      <c r="J321" s="94" t="s">
        <v>2058</v>
      </c>
      <c r="K321" s="100">
        <v>45601</v>
      </c>
      <c r="L321" s="69" t="s">
        <v>84</v>
      </c>
      <c r="M321" s="69" t="s">
        <v>4</v>
      </c>
      <c r="N321" s="69" t="s">
        <v>108</v>
      </c>
      <c r="O321" s="69" t="s">
        <v>1436</v>
      </c>
      <c r="P321" s="78"/>
      <c r="Q321" s="96">
        <v>45602</v>
      </c>
      <c r="R321" s="97" t="s">
        <v>1481</v>
      </c>
      <c r="S321" s="98"/>
    </row>
    <row r="322" spans="1:19" ht="42.75">
      <c r="A322" s="90" t="s">
        <v>48</v>
      </c>
      <c r="B322" s="91" t="s">
        <v>486</v>
      </c>
      <c r="C322" s="91" t="s">
        <v>2059</v>
      </c>
      <c r="D322" s="90">
        <v>510</v>
      </c>
      <c r="E322" s="90">
        <v>583</v>
      </c>
      <c r="F322" s="90" t="s">
        <v>1434</v>
      </c>
      <c r="G322" s="90">
        <v>2024</v>
      </c>
      <c r="H322" s="92">
        <v>45350</v>
      </c>
      <c r="I322" s="92">
        <v>45350</v>
      </c>
      <c r="J322" s="94" t="s">
        <v>2060</v>
      </c>
      <c r="K322" s="113">
        <v>45352</v>
      </c>
      <c r="L322" s="69"/>
      <c r="M322" s="69" t="s">
        <v>4</v>
      </c>
      <c r="N322" s="69" t="s">
        <v>101</v>
      </c>
      <c r="O322" s="69" t="s">
        <v>1436</v>
      </c>
      <c r="P322" s="78"/>
      <c r="Q322" s="96"/>
      <c r="R322" s="97"/>
      <c r="S322" s="98"/>
    </row>
    <row r="323" spans="1:19" ht="42.75">
      <c r="A323" s="90" t="s">
        <v>48</v>
      </c>
      <c r="B323" s="91" t="s">
        <v>486</v>
      </c>
      <c r="C323" s="109" t="s">
        <v>2061</v>
      </c>
      <c r="D323" s="90">
        <v>1467</v>
      </c>
      <c r="E323" s="90">
        <v>1632</v>
      </c>
      <c r="F323" s="90" t="s">
        <v>1434</v>
      </c>
      <c r="G323" s="90">
        <v>2024</v>
      </c>
      <c r="H323" s="114" t="s">
        <v>2062</v>
      </c>
      <c r="I323" s="110" t="s">
        <v>1907</v>
      </c>
      <c r="J323" s="94" t="s">
        <v>2063</v>
      </c>
      <c r="K323" s="106" t="s">
        <v>1708</v>
      </c>
      <c r="L323" s="69" t="s">
        <v>78</v>
      </c>
      <c r="M323" s="69" t="s">
        <v>4</v>
      </c>
      <c r="N323" s="69" t="s">
        <v>101</v>
      </c>
      <c r="O323" s="69" t="s">
        <v>1436</v>
      </c>
      <c r="P323" s="78"/>
      <c r="Q323" s="96"/>
      <c r="R323" s="97"/>
      <c r="S323" s="98"/>
    </row>
    <row r="324" spans="1:19" ht="42.75">
      <c r="A324" s="90" t="s">
        <v>48</v>
      </c>
      <c r="B324" s="91" t="s">
        <v>486</v>
      </c>
      <c r="C324" s="91" t="s">
        <v>2064</v>
      </c>
      <c r="D324" s="90">
        <v>2493</v>
      </c>
      <c r="E324" s="90">
        <v>2511</v>
      </c>
      <c r="F324" s="90" t="s">
        <v>1434</v>
      </c>
      <c r="G324" s="90">
        <v>2024</v>
      </c>
      <c r="H324" s="92">
        <v>45371</v>
      </c>
      <c r="I324" s="92">
        <v>45372</v>
      </c>
      <c r="J324" s="94" t="s">
        <v>2065</v>
      </c>
      <c r="K324" s="108">
        <v>45377</v>
      </c>
      <c r="L324" s="69"/>
      <c r="M324" s="69"/>
      <c r="N324" s="69"/>
      <c r="O324" s="69" t="s">
        <v>1436</v>
      </c>
      <c r="P324" s="78"/>
      <c r="Q324" s="96"/>
      <c r="R324" s="97"/>
      <c r="S324" s="98"/>
    </row>
    <row r="325" spans="1:19" ht="42.75">
      <c r="A325" s="90" t="s">
        <v>48</v>
      </c>
      <c r="B325" s="91" t="s">
        <v>486</v>
      </c>
      <c r="C325" s="91" t="s">
        <v>2066</v>
      </c>
      <c r="D325" s="90">
        <v>5023</v>
      </c>
      <c r="E325" s="90">
        <v>4928</v>
      </c>
      <c r="F325" s="90" t="s">
        <v>1434</v>
      </c>
      <c r="G325" s="90">
        <v>2024</v>
      </c>
      <c r="H325" s="92">
        <v>45363</v>
      </c>
      <c r="I325" s="92">
        <v>45363</v>
      </c>
      <c r="J325" s="94" t="s">
        <v>2067</v>
      </c>
      <c r="K325" s="108">
        <v>45377</v>
      </c>
      <c r="L325" s="69"/>
      <c r="M325" s="69" t="s">
        <v>4</v>
      </c>
      <c r="N325" s="69" t="s">
        <v>101</v>
      </c>
      <c r="O325" s="69" t="s">
        <v>1436</v>
      </c>
      <c r="P325" s="78"/>
      <c r="Q325" s="96"/>
      <c r="R325" s="97"/>
      <c r="S325" s="98"/>
    </row>
    <row r="326" spans="1:19" ht="42.75">
      <c r="A326" s="90" t="s">
        <v>48</v>
      </c>
      <c r="B326" s="91" t="s">
        <v>486</v>
      </c>
      <c r="C326" s="109" t="s">
        <v>2068</v>
      </c>
      <c r="D326" s="90">
        <v>1968</v>
      </c>
      <c r="E326" s="90">
        <v>1672</v>
      </c>
      <c r="F326" s="90" t="s">
        <v>1434</v>
      </c>
      <c r="G326" s="90">
        <v>2024</v>
      </c>
      <c r="H326" s="114" t="s">
        <v>2069</v>
      </c>
      <c r="I326" s="114" t="s">
        <v>2069</v>
      </c>
      <c r="J326" s="94" t="s">
        <v>2070</v>
      </c>
      <c r="K326" s="106" t="s">
        <v>1703</v>
      </c>
      <c r="L326" s="69" t="s">
        <v>78</v>
      </c>
      <c r="M326" s="69"/>
      <c r="N326" s="69"/>
      <c r="O326" s="69" t="s">
        <v>1436</v>
      </c>
      <c r="P326" s="78"/>
      <c r="Q326" s="96"/>
      <c r="R326" s="97"/>
      <c r="S326" s="98"/>
    </row>
    <row r="327" spans="1:19" ht="42.75">
      <c r="A327" s="90" t="s">
        <v>48</v>
      </c>
      <c r="B327" s="91" t="s">
        <v>486</v>
      </c>
      <c r="C327" s="91" t="s">
        <v>2071</v>
      </c>
      <c r="D327" s="90">
        <v>6856</v>
      </c>
      <c r="E327" s="90">
        <v>8138</v>
      </c>
      <c r="F327" s="90" t="s">
        <v>1434</v>
      </c>
      <c r="G327" s="90">
        <v>2024</v>
      </c>
      <c r="H327" s="101">
        <v>45595</v>
      </c>
      <c r="I327" s="101">
        <v>45600</v>
      </c>
      <c r="J327" s="94" t="s">
        <v>2072</v>
      </c>
      <c r="K327" s="100">
        <v>45601</v>
      </c>
      <c r="L327" s="69" t="s">
        <v>84</v>
      </c>
      <c r="M327" s="69" t="s">
        <v>4</v>
      </c>
      <c r="N327" s="69" t="s">
        <v>108</v>
      </c>
      <c r="O327" s="69" t="s">
        <v>1436</v>
      </c>
      <c r="P327" s="78"/>
      <c r="Q327" s="96">
        <v>45602</v>
      </c>
      <c r="R327" s="97" t="s">
        <v>1481</v>
      </c>
      <c r="S327" s="98"/>
    </row>
    <row r="328" spans="1:19" ht="42.75">
      <c r="A328" s="90" t="s">
        <v>48</v>
      </c>
      <c r="B328" s="91" t="s">
        <v>486</v>
      </c>
      <c r="C328" s="109" t="s">
        <v>1719</v>
      </c>
      <c r="D328" s="90">
        <v>729</v>
      </c>
      <c r="E328" s="90">
        <v>698</v>
      </c>
      <c r="F328" s="90" t="s">
        <v>1434</v>
      </c>
      <c r="G328" s="90">
        <v>2024</v>
      </c>
      <c r="H328" s="110" t="s">
        <v>2073</v>
      </c>
      <c r="I328" s="110" t="s">
        <v>1803</v>
      </c>
      <c r="J328" s="94" t="s">
        <v>2074</v>
      </c>
      <c r="K328" s="106" t="s">
        <v>1805</v>
      </c>
      <c r="L328" s="69" t="s">
        <v>78</v>
      </c>
      <c r="M328" s="69" t="s">
        <v>4</v>
      </c>
      <c r="N328" s="69" t="s">
        <v>101</v>
      </c>
      <c r="O328" s="69" t="s">
        <v>1436</v>
      </c>
      <c r="P328" s="78"/>
      <c r="Q328" s="96"/>
      <c r="R328" s="97"/>
      <c r="S328" s="98"/>
    </row>
    <row r="329" spans="1:19" ht="42.75">
      <c r="A329" s="90" t="s">
        <v>48</v>
      </c>
      <c r="B329" s="91" t="s">
        <v>486</v>
      </c>
      <c r="C329" s="109" t="s">
        <v>2075</v>
      </c>
      <c r="D329" s="90">
        <v>1955</v>
      </c>
      <c r="E329" s="90">
        <v>1865</v>
      </c>
      <c r="F329" s="90" t="s">
        <v>1434</v>
      </c>
      <c r="G329" s="90">
        <v>2024</v>
      </c>
      <c r="H329" s="110" t="s">
        <v>2076</v>
      </c>
      <c r="I329" s="110" t="s">
        <v>1710</v>
      </c>
      <c r="J329" s="94" t="s">
        <v>2077</v>
      </c>
      <c r="K329" s="106" t="s">
        <v>1721</v>
      </c>
      <c r="L329" s="69" t="s">
        <v>78</v>
      </c>
      <c r="M329" s="69"/>
      <c r="N329" s="69"/>
      <c r="O329" s="69" t="s">
        <v>1436</v>
      </c>
      <c r="P329" s="78"/>
      <c r="Q329" s="96"/>
      <c r="R329" s="97"/>
      <c r="S329" s="98"/>
    </row>
    <row r="330" spans="1:19" ht="42.75">
      <c r="A330" s="90" t="s">
        <v>48</v>
      </c>
      <c r="B330" s="91" t="s">
        <v>486</v>
      </c>
      <c r="C330" s="91" t="s">
        <v>2078</v>
      </c>
      <c r="D330" s="90">
        <v>2462</v>
      </c>
      <c r="E330" s="90">
        <v>3019</v>
      </c>
      <c r="F330" s="90" t="s">
        <v>1454</v>
      </c>
      <c r="G330" s="90">
        <v>2025</v>
      </c>
      <c r="H330" s="93"/>
      <c r="I330" s="93"/>
      <c r="J330" s="93"/>
      <c r="K330" s="95"/>
      <c r="L330" s="69" t="s">
        <v>74</v>
      </c>
      <c r="M330" s="69"/>
      <c r="N330" s="69"/>
      <c r="O330" s="69"/>
      <c r="P330" s="78"/>
      <c r="Q330" s="96"/>
      <c r="R330" s="97"/>
      <c r="S330" s="98"/>
    </row>
    <row r="331" spans="1:19" ht="42.75">
      <c r="A331" s="90" t="s">
        <v>48</v>
      </c>
      <c r="B331" s="91" t="s">
        <v>486</v>
      </c>
      <c r="C331" s="91" t="s">
        <v>2079</v>
      </c>
      <c r="D331" s="90">
        <v>2146</v>
      </c>
      <c r="E331" s="90">
        <v>2192</v>
      </c>
      <c r="F331" s="90" t="s">
        <v>1434</v>
      </c>
      <c r="G331" s="90">
        <v>2024</v>
      </c>
      <c r="H331" s="92">
        <v>45343</v>
      </c>
      <c r="I331" s="92">
        <v>45343</v>
      </c>
      <c r="J331" s="94" t="s">
        <v>2080</v>
      </c>
      <c r="K331" s="108">
        <v>45344</v>
      </c>
      <c r="L331" s="69"/>
      <c r="M331" s="69" t="s">
        <v>4</v>
      </c>
      <c r="N331" s="69" t="s">
        <v>101</v>
      </c>
      <c r="O331" s="69" t="s">
        <v>1436</v>
      </c>
      <c r="P331" s="78"/>
      <c r="Q331" s="96"/>
      <c r="R331" s="97"/>
      <c r="S331" s="98"/>
    </row>
    <row r="332" spans="1:19" ht="42.75">
      <c r="A332" s="90" t="s">
        <v>48</v>
      </c>
      <c r="B332" s="91" t="s">
        <v>486</v>
      </c>
      <c r="C332" s="91" t="s">
        <v>2081</v>
      </c>
      <c r="D332" s="90">
        <v>645</v>
      </c>
      <c r="E332" s="90">
        <v>625</v>
      </c>
      <c r="F332" s="90" t="s">
        <v>1434</v>
      </c>
      <c r="G332" s="90">
        <v>2024</v>
      </c>
      <c r="H332" s="110" t="s">
        <v>2082</v>
      </c>
      <c r="I332" s="110" t="s">
        <v>2083</v>
      </c>
      <c r="J332" s="94" t="s">
        <v>2084</v>
      </c>
      <c r="K332" s="100">
        <v>45462</v>
      </c>
      <c r="L332" s="69" t="s">
        <v>79</v>
      </c>
      <c r="M332" s="69" t="s">
        <v>4</v>
      </c>
      <c r="N332" s="69" t="s">
        <v>108</v>
      </c>
      <c r="O332" s="69" t="s">
        <v>1436</v>
      </c>
      <c r="P332" s="78"/>
      <c r="Q332" s="70">
        <v>45462</v>
      </c>
      <c r="R332" s="97"/>
      <c r="S332" s="98"/>
    </row>
    <row r="333" spans="1:19" ht="42.75">
      <c r="A333" s="90" t="s">
        <v>48</v>
      </c>
      <c r="B333" s="91" t="s">
        <v>486</v>
      </c>
      <c r="C333" s="91" t="s">
        <v>1030</v>
      </c>
      <c r="D333" s="90">
        <v>2003</v>
      </c>
      <c r="E333" s="90">
        <v>2551</v>
      </c>
      <c r="F333" s="90" t="s">
        <v>1434</v>
      </c>
      <c r="G333" s="90">
        <v>2024</v>
      </c>
      <c r="H333" s="110" t="s">
        <v>2085</v>
      </c>
      <c r="I333" s="110" t="s">
        <v>1967</v>
      </c>
      <c r="J333" s="94" t="s">
        <v>2086</v>
      </c>
      <c r="K333" s="100">
        <v>45544</v>
      </c>
      <c r="L333" s="69" t="s">
        <v>82</v>
      </c>
      <c r="M333" s="69" t="s">
        <v>4</v>
      </c>
      <c r="N333" s="69" t="s">
        <v>101</v>
      </c>
      <c r="O333" s="69" t="s">
        <v>1436</v>
      </c>
      <c r="P333" s="78"/>
      <c r="Q333" s="96">
        <v>45545</v>
      </c>
      <c r="R333" s="97" t="s">
        <v>1481</v>
      </c>
      <c r="S333" s="98"/>
    </row>
    <row r="334" spans="1:19" ht="42.75">
      <c r="A334" s="90" t="s">
        <v>48</v>
      </c>
      <c r="B334" s="91" t="s">
        <v>373</v>
      </c>
      <c r="C334" s="91" t="s">
        <v>2087</v>
      </c>
      <c r="D334" s="90">
        <v>644</v>
      </c>
      <c r="E334" s="90">
        <v>516</v>
      </c>
      <c r="F334" s="90" t="s">
        <v>1434</v>
      </c>
      <c r="G334" s="90">
        <v>2024</v>
      </c>
      <c r="H334" s="92">
        <v>45363</v>
      </c>
      <c r="I334" s="146">
        <v>45369</v>
      </c>
      <c r="J334" s="105" t="s">
        <v>2088</v>
      </c>
      <c r="K334" s="108">
        <v>45377</v>
      </c>
      <c r="L334" s="69"/>
      <c r="M334" s="69" t="s">
        <v>4</v>
      </c>
      <c r="N334" s="69" t="s">
        <v>101</v>
      </c>
      <c r="O334" s="69" t="s">
        <v>1436</v>
      </c>
      <c r="P334" s="78"/>
      <c r="Q334" s="96"/>
      <c r="R334" s="97"/>
      <c r="S334" s="98"/>
    </row>
    <row r="335" spans="1:19" ht="42.75">
      <c r="A335" s="90" t="s">
        <v>48</v>
      </c>
      <c r="B335" s="91" t="s">
        <v>373</v>
      </c>
      <c r="C335" s="91" t="s">
        <v>1724</v>
      </c>
      <c r="D335" s="90">
        <v>1309</v>
      </c>
      <c r="E335" s="90">
        <v>1146</v>
      </c>
      <c r="F335" s="90" t="s">
        <v>1434</v>
      </c>
      <c r="G335" s="90">
        <v>2024</v>
      </c>
      <c r="H335" s="110" t="s">
        <v>1815</v>
      </c>
      <c r="I335" s="110" t="s">
        <v>2089</v>
      </c>
      <c r="J335" s="94" t="s">
        <v>2090</v>
      </c>
      <c r="K335" s="100">
        <v>45569</v>
      </c>
      <c r="L335" s="69" t="s">
        <v>83</v>
      </c>
      <c r="M335" s="69" t="s">
        <v>4</v>
      </c>
      <c r="N335" s="69" t="s">
        <v>101</v>
      </c>
      <c r="O335" s="69" t="s">
        <v>1436</v>
      </c>
      <c r="P335" s="78"/>
      <c r="Q335" s="115">
        <v>45569</v>
      </c>
      <c r="R335" s="65" t="s">
        <v>1481</v>
      </c>
      <c r="S335" s="89"/>
    </row>
    <row r="336" spans="1:19" ht="42.75">
      <c r="A336" s="90" t="s">
        <v>48</v>
      </c>
      <c r="B336" s="91" t="s">
        <v>373</v>
      </c>
      <c r="C336" s="91" t="s">
        <v>2091</v>
      </c>
      <c r="D336" s="90">
        <v>1963</v>
      </c>
      <c r="E336" s="90">
        <v>1995</v>
      </c>
      <c r="F336" s="90" t="s">
        <v>1434</v>
      </c>
      <c r="G336" s="90">
        <v>2024</v>
      </c>
      <c r="H336" s="101">
        <v>45427</v>
      </c>
      <c r="I336" s="110" t="s">
        <v>1935</v>
      </c>
      <c r="J336" s="94" t="s">
        <v>2092</v>
      </c>
      <c r="K336" s="106" t="s">
        <v>1935</v>
      </c>
      <c r="L336" s="69" t="s">
        <v>79</v>
      </c>
      <c r="M336" s="69" t="s">
        <v>4</v>
      </c>
      <c r="N336" s="69" t="s">
        <v>101</v>
      </c>
      <c r="O336" s="69" t="s">
        <v>1436</v>
      </c>
      <c r="P336" s="78"/>
      <c r="Q336" s="96">
        <v>45433</v>
      </c>
      <c r="R336" s="97"/>
      <c r="S336" s="98"/>
    </row>
    <row r="337" spans="1:19" ht="42.75">
      <c r="A337" s="90" t="s">
        <v>48</v>
      </c>
      <c r="B337" s="91" t="s">
        <v>373</v>
      </c>
      <c r="C337" s="91" t="s">
        <v>2017</v>
      </c>
      <c r="D337" s="90">
        <v>1391</v>
      </c>
      <c r="E337" s="90">
        <v>1399</v>
      </c>
      <c r="F337" s="90" t="s">
        <v>1434</v>
      </c>
      <c r="G337" s="90">
        <v>2024</v>
      </c>
      <c r="H337" s="110" t="s">
        <v>2093</v>
      </c>
      <c r="I337" s="110" t="s">
        <v>1729</v>
      </c>
      <c r="J337" s="94" t="s">
        <v>2094</v>
      </c>
      <c r="K337" s="100">
        <v>45574</v>
      </c>
      <c r="L337" s="69" t="s">
        <v>83</v>
      </c>
      <c r="M337" s="69" t="s">
        <v>4</v>
      </c>
      <c r="N337" s="69" t="s">
        <v>101</v>
      </c>
      <c r="O337" s="69" t="s">
        <v>1436</v>
      </c>
      <c r="P337" s="78"/>
      <c r="Q337" s="115">
        <v>45575</v>
      </c>
      <c r="R337" s="65" t="s">
        <v>1481</v>
      </c>
      <c r="S337" s="89"/>
    </row>
    <row r="338" spans="1:19" ht="42.75">
      <c r="A338" s="90" t="s">
        <v>48</v>
      </c>
      <c r="B338" s="91" t="s">
        <v>373</v>
      </c>
      <c r="C338" s="91" t="s">
        <v>2095</v>
      </c>
      <c r="D338" s="90">
        <v>1403</v>
      </c>
      <c r="E338" s="90">
        <v>1387</v>
      </c>
      <c r="F338" s="90" t="s">
        <v>1434</v>
      </c>
      <c r="G338" s="90">
        <v>2024</v>
      </c>
      <c r="H338" s="110" t="s">
        <v>1913</v>
      </c>
      <c r="I338" s="110" t="s">
        <v>1893</v>
      </c>
      <c r="J338" s="94" t="s">
        <v>2096</v>
      </c>
      <c r="K338" s="100">
        <v>45461</v>
      </c>
      <c r="L338" s="69" t="s">
        <v>79</v>
      </c>
      <c r="M338" s="69" t="s">
        <v>4</v>
      </c>
      <c r="N338" s="69" t="s">
        <v>101</v>
      </c>
      <c r="O338" s="69" t="s">
        <v>1436</v>
      </c>
      <c r="P338" s="78"/>
      <c r="Q338" s="70">
        <v>45462</v>
      </c>
      <c r="R338" s="97"/>
      <c r="S338" s="98"/>
    </row>
    <row r="339" spans="1:19" ht="42.75">
      <c r="A339" s="90" t="s">
        <v>48</v>
      </c>
      <c r="B339" s="91" t="s">
        <v>373</v>
      </c>
      <c r="C339" s="91" t="s">
        <v>2097</v>
      </c>
      <c r="D339" s="90">
        <v>6803</v>
      </c>
      <c r="E339" s="90">
        <v>7829</v>
      </c>
      <c r="F339" s="90" t="s">
        <v>1454</v>
      </c>
      <c r="G339" s="90"/>
      <c r="H339" s="93"/>
      <c r="I339" s="93"/>
      <c r="J339" s="93"/>
      <c r="K339" s="95"/>
      <c r="L339" s="69"/>
      <c r="M339" s="69"/>
      <c r="N339" s="69"/>
      <c r="O339" s="69"/>
      <c r="P339" s="78"/>
      <c r="Q339" s="96"/>
      <c r="R339" s="97"/>
      <c r="S339" s="98"/>
    </row>
    <row r="340" spans="1:19" ht="42.75">
      <c r="A340" s="90" t="s">
        <v>48</v>
      </c>
      <c r="B340" s="91" t="s">
        <v>373</v>
      </c>
      <c r="C340" s="91" t="s">
        <v>2098</v>
      </c>
      <c r="D340" s="90">
        <v>1610</v>
      </c>
      <c r="E340" s="90">
        <v>1807</v>
      </c>
      <c r="F340" s="90" t="s">
        <v>1434</v>
      </c>
      <c r="G340" s="90">
        <v>2024</v>
      </c>
      <c r="H340" s="110" t="s">
        <v>2099</v>
      </c>
      <c r="I340" s="110" t="s">
        <v>1897</v>
      </c>
      <c r="J340" s="94" t="s">
        <v>2100</v>
      </c>
      <c r="K340" s="100">
        <v>45523</v>
      </c>
      <c r="L340" s="69" t="s">
        <v>81</v>
      </c>
      <c r="M340" s="69" t="s">
        <v>4</v>
      </c>
      <c r="N340" s="69" t="s">
        <v>101</v>
      </c>
      <c r="O340" s="69" t="s">
        <v>1436</v>
      </c>
      <c r="P340" s="78"/>
      <c r="Q340" s="96">
        <v>45531</v>
      </c>
      <c r="R340" s="97" t="s">
        <v>1481</v>
      </c>
      <c r="S340" s="98"/>
    </row>
    <row r="341" spans="1:19" ht="42.75">
      <c r="A341" s="90" t="s">
        <v>48</v>
      </c>
      <c r="B341" s="91" t="s">
        <v>373</v>
      </c>
      <c r="C341" s="109" t="s">
        <v>1067</v>
      </c>
      <c r="D341" s="90">
        <v>1587</v>
      </c>
      <c r="E341" s="90">
        <v>1707</v>
      </c>
      <c r="F341" s="90" t="s">
        <v>1434</v>
      </c>
      <c r="G341" s="90">
        <v>2024</v>
      </c>
      <c r="H341" s="114" t="s">
        <v>1798</v>
      </c>
      <c r="I341" s="114" t="s">
        <v>1721</v>
      </c>
      <c r="J341" s="94" t="s">
        <v>2101</v>
      </c>
      <c r="K341" s="106">
        <v>45420</v>
      </c>
      <c r="L341" s="69" t="s">
        <v>78</v>
      </c>
      <c r="M341" s="69" t="s">
        <v>4</v>
      </c>
      <c r="N341" s="69" t="s">
        <v>101</v>
      </c>
      <c r="O341" s="69" t="s">
        <v>1436</v>
      </c>
      <c r="P341" s="78"/>
      <c r="Q341" s="96"/>
      <c r="R341" s="97"/>
      <c r="S341" s="98"/>
    </row>
    <row r="342" spans="1:19" ht="42.75">
      <c r="A342" s="90" t="s">
        <v>48</v>
      </c>
      <c r="B342" s="91" t="s">
        <v>373</v>
      </c>
      <c r="C342" s="91" t="s">
        <v>2102</v>
      </c>
      <c r="D342" s="90">
        <v>969</v>
      </c>
      <c r="E342" s="90">
        <v>1064</v>
      </c>
      <c r="F342" s="90" t="s">
        <v>1434</v>
      </c>
      <c r="G342" s="90">
        <v>2024</v>
      </c>
      <c r="H342" s="101">
        <v>45583</v>
      </c>
      <c r="I342" s="101">
        <v>45586</v>
      </c>
      <c r="J342" s="94" t="s">
        <v>2103</v>
      </c>
      <c r="K342" s="100">
        <v>45593</v>
      </c>
      <c r="L342" s="69" t="s">
        <v>84</v>
      </c>
      <c r="M342" s="69" t="s">
        <v>4</v>
      </c>
      <c r="N342" s="69" t="s">
        <v>101</v>
      </c>
      <c r="O342" s="69" t="s">
        <v>1436</v>
      </c>
      <c r="P342" s="78"/>
      <c r="Q342" s="96">
        <v>45593</v>
      </c>
      <c r="R342" s="97" t="s">
        <v>1481</v>
      </c>
      <c r="S342" s="98"/>
    </row>
    <row r="343" spans="1:19" ht="42.75">
      <c r="A343" s="90" t="s">
        <v>48</v>
      </c>
      <c r="B343" s="91" t="s">
        <v>373</v>
      </c>
      <c r="C343" s="91" t="s">
        <v>2104</v>
      </c>
      <c r="D343" s="90">
        <v>2745</v>
      </c>
      <c r="E343" s="90">
        <v>3069</v>
      </c>
      <c r="F343" s="90" t="s">
        <v>1434</v>
      </c>
      <c r="G343" s="90">
        <v>2024</v>
      </c>
      <c r="H343" s="101">
        <v>45596</v>
      </c>
      <c r="I343" s="101">
        <v>45600</v>
      </c>
      <c r="J343" s="117" t="s">
        <v>2105</v>
      </c>
      <c r="K343" s="100">
        <v>45601</v>
      </c>
      <c r="L343" s="69" t="s">
        <v>84</v>
      </c>
      <c r="M343" s="69" t="s">
        <v>4</v>
      </c>
      <c r="N343" s="69" t="s">
        <v>101</v>
      </c>
      <c r="O343" s="69" t="s">
        <v>1436</v>
      </c>
      <c r="P343" s="78"/>
      <c r="Q343" s="96">
        <v>45602</v>
      </c>
      <c r="R343" s="97" t="s">
        <v>1481</v>
      </c>
      <c r="S343" s="98"/>
    </row>
    <row r="344" spans="1:19" ht="42.75">
      <c r="A344" s="90" t="s">
        <v>48</v>
      </c>
      <c r="B344" s="91" t="s">
        <v>373</v>
      </c>
      <c r="C344" s="91" t="s">
        <v>910</v>
      </c>
      <c r="D344" s="90">
        <v>6297</v>
      </c>
      <c r="E344" s="90">
        <v>8056</v>
      </c>
      <c r="F344" s="90" t="s">
        <v>1434</v>
      </c>
      <c r="G344" s="90">
        <v>2024</v>
      </c>
      <c r="H344" s="110" t="s">
        <v>1942</v>
      </c>
      <c r="I344" s="118" t="s">
        <v>1764</v>
      </c>
      <c r="J344" s="107" t="s">
        <v>2106</v>
      </c>
      <c r="K344" s="119">
        <v>45462</v>
      </c>
      <c r="L344" s="69" t="s">
        <v>79</v>
      </c>
      <c r="M344" s="69" t="s">
        <v>4</v>
      </c>
      <c r="N344" s="69" t="s">
        <v>101</v>
      </c>
      <c r="O344" s="69" t="s">
        <v>1436</v>
      </c>
      <c r="P344" s="78"/>
      <c r="Q344" s="70">
        <v>45462</v>
      </c>
      <c r="R344" s="97"/>
      <c r="S344" s="98"/>
    </row>
    <row r="345" spans="1:19" ht="42.75">
      <c r="A345" s="90" t="s">
        <v>48</v>
      </c>
      <c r="B345" s="91" t="s">
        <v>373</v>
      </c>
      <c r="C345" s="91" t="s">
        <v>1273</v>
      </c>
      <c r="D345" s="90">
        <v>3956</v>
      </c>
      <c r="E345" s="90">
        <v>5343</v>
      </c>
      <c r="F345" s="90" t="s">
        <v>1454</v>
      </c>
      <c r="G345" s="90"/>
      <c r="H345" s="93"/>
      <c r="I345" s="93"/>
      <c r="J345" s="122"/>
      <c r="K345" s="95"/>
      <c r="L345" s="69"/>
      <c r="M345" s="69"/>
      <c r="N345" s="69"/>
      <c r="O345" s="69"/>
      <c r="P345" s="78"/>
      <c r="Q345" s="96"/>
      <c r="R345" s="97"/>
      <c r="S345" s="98"/>
    </row>
    <row r="346" spans="1:19" ht="42.75">
      <c r="A346" s="90" t="s">
        <v>48</v>
      </c>
      <c r="B346" s="91" t="s">
        <v>373</v>
      </c>
      <c r="C346" s="91" t="s">
        <v>2107</v>
      </c>
      <c r="D346" s="90">
        <v>5237</v>
      </c>
      <c r="E346" s="90">
        <v>4137</v>
      </c>
      <c r="F346" s="90" t="s">
        <v>1434</v>
      </c>
      <c r="G346" s="90">
        <v>2024</v>
      </c>
      <c r="H346" s="110" t="s">
        <v>2108</v>
      </c>
      <c r="I346" s="118" t="s">
        <v>1828</v>
      </c>
      <c r="J346" s="107" t="s">
        <v>2109</v>
      </c>
      <c r="K346" s="119">
        <v>45539</v>
      </c>
      <c r="L346" s="69" t="s">
        <v>82</v>
      </c>
      <c r="M346" s="69" t="s">
        <v>4</v>
      </c>
      <c r="N346" s="69" t="s">
        <v>101</v>
      </c>
      <c r="O346" s="69" t="s">
        <v>1436</v>
      </c>
      <c r="P346" s="78"/>
      <c r="Q346" s="96">
        <v>45539</v>
      </c>
      <c r="R346" s="97" t="s">
        <v>1481</v>
      </c>
      <c r="S346" s="98"/>
    </row>
    <row r="347" spans="1:19" ht="42.75">
      <c r="A347" s="90" t="s">
        <v>48</v>
      </c>
      <c r="B347" s="91" t="s">
        <v>373</v>
      </c>
      <c r="C347" s="91" t="s">
        <v>2110</v>
      </c>
      <c r="D347" s="90">
        <v>1113</v>
      </c>
      <c r="E347" s="90">
        <v>1289</v>
      </c>
      <c r="F347" s="90" t="s">
        <v>1434</v>
      </c>
      <c r="G347" s="90">
        <v>2024</v>
      </c>
      <c r="H347" s="110" t="s">
        <v>2033</v>
      </c>
      <c r="I347" s="118" t="s">
        <v>1717</v>
      </c>
      <c r="J347" s="107" t="s">
        <v>2111</v>
      </c>
      <c r="K347" s="119">
        <v>45488</v>
      </c>
      <c r="L347" s="69" t="s">
        <v>80</v>
      </c>
      <c r="M347" s="69" t="s">
        <v>4</v>
      </c>
      <c r="N347" s="69" t="s">
        <v>101</v>
      </c>
      <c r="O347" s="69" t="s">
        <v>1436</v>
      </c>
      <c r="P347" s="78"/>
      <c r="Q347" s="96">
        <v>45489</v>
      </c>
      <c r="R347" s="97"/>
      <c r="S347" s="98"/>
    </row>
    <row r="348" spans="1:19" ht="42.75">
      <c r="A348" s="90" t="s">
        <v>48</v>
      </c>
      <c r="B348" s="91" t="s">
        <v>373</v>
      </c>
      <c r="C348" s="91" t="s">
        <v>2112</v>
      </c>
      <c r="D348" s="90">
        <v>1647</v>
      </c>
      <c r="E348" s="90">
        <v>1456</v>
      </c>
      <c r="F348" s="90" t="s">
        <v>1434</v>
      </c>
      <c r="G348" s="90">
        <v>2024</v>
      </c>
      <c r="H348" s="101">
        <v>45583</v>
      </c>
      <c r="I348" s="147">
        <v>45586</v>
      </c>
      <c r="J348" s="148" t="s">
        <v>2113</v>
      </c>
      <c r="K348" s="119">
        <v>45593</v>
      </c>
      <c r="L348" s="69" t="s">
        <v>84</v>
      </c>
      <c r="M348" s="69" t="s">
        <v>4</v>
      </c>
      <c r="N348" s="69" t="s">
        <v>101</v>
      </c>
      <c r="O348" s="69" t="s">
        <v>1436</v>
      </c>
      <c r="P348" s="78"/>
      <c r="Q348" s="96">
        <v>45593</v>
      </c>
      <c r="R348" s="97" t="s">
        <v>1481</v>
      </c>
      <c r="S348" s="98"/>
    </row>
    <row r="349" spans="1:19" ht="42.75">
      <c r="A349" s="90" t="s">
        <v>48</v>
      </c>
      <c r="B349" s="91" t="s">
        <v>373</v>
      </c>
      <c r="C349" s="91" t="s">
        <v>2114</v>
      </c>
      <c r="D349" s="90">
        <v>2696</v>
      </c>
      <c r="E349" s="90">
        <v>3053</v>
      </c>
      <c r="F349" s="90" t="s">
        <v>1434</v>
      </c>
      <c r="G349" s="90">
        <v>2024</v>
      </c>
      <c r="H349" s="110" t="s">
        <v>1832</v>
      </c>
      <c r="I349" s="118" t="s">
        <v>1734</v>
      </c>
      <c r="J349" s="107" t="s">
        <v>2115</v>
      </c>
      <c r="K349" s="119">
        <v>45565</v>
      </c>
      <c r="L349" s="69" t="s">
        <v>83</v>
      </c>
      <c r="M349" s="69" t="s">
        <v>4</v>
      </c>
      <c r="N349" s="69" t="s">
        <v>101</v>
      </c>
      <c r="O349" s="69" t="s">
        <v>1436</v>
      </c>
      <c r="P349" s="78"/>
      <c r="Q349" s="115">
        <v>45565</v>
      </c>
      <c r="R349" s="65" t="s">
        <v>1481</v>
      </c>
      <c r="S349" s="89"/>
    </row>
    <row r="350" spans="1:19" ht="42.75">
      <c r="A350" s="90" t="s">
        <v>48</v>
      </c>
      <c r="B350" s="91" t="s">
        <v>373</v>
      </c>
      <c r="C350" s="91" t="s">
        <v>2116</v>
      </c>
      <c r="D350" s="90">
        <v>3651</v>
      </c>
      <c r="E350" s="90">
        <v>3763</v>
      </c>
      <c r="F350" s="90" t="s">
        <v>1454</v>
      </c>
      <c r="G350" s="90"/>
      <c r="H350" s="93"/>
      <c r="I350" s="93"/>
      <c r="J350" s="122"/>
      <c r="K350" s="95"/>
      <c r="L350" s="69"/>
      <c r="M350" s="69"/>
      <c r="N350" s="69"/>
      <c r="O350" s="69"/>
      <c r="P350" s="78"/>
      <c r="Q350" s="96"/>
      <c r="R350" s="97"/>
      <c r="S350" s="98"/>
    </row>
    <row r="351" spans="1:19" ht="42.75">
      <c r="A351" s="90" t="s">
        <v>48</v>
      </c>
      <c r="B351" s="91" t="s">
        <v>373</v>
      </c>
      <c r="C351" s="91" t="s">
        <v>2117</v>
      </c>
      <c r="D351" s="90">
        <v>1391</v>
      </c>
      <c r="E351" s="90">
        <v>1332</v>
      </c>
      <c r="F351" s="90" t="s">
        <v>1434</v>
      </c>
      <c r="G351" s="90">
        <v>2024</v>
      </c>
      <c r="H351" s="112">
        <v>45356</v>
      </c>
      <c r="I351" s="120">
        <v>45362</v>
      </c>
      <c r="J351" s="107" t="s">
        <v>2118</v>
      </c>
      <c r="K351" s="121">
        <v>45377</v>
      </c>
      <c r="L351" s="69"/>
      <c r="M351" s="69" t="s">
        <v>4</v>
      </c>
      <c r="N351" s="69" t="s">
        <v>108</v>
      </c>
      <c r="O351" s="69" t="s">
        <v>1436</v>
      </c>
      <c r="P351" s="78"/>
      <c r="Q351" s="96"/>
      <c r="R351" s="97"/>
      <c r="S351" s="98"/>
    </row>
    <row r="352" spans="1:19" ht="42.75">
      <c r="A352" s="90" t="s">
        <v>48</v>
      </c>
      <c r="B352" s="91" t="s">
        <v>373</v>
      </c>
      <c r="C352" s="91" t="s">
        <v>526</v>
      </c>
      <c r="D352" s="90">
        <v>4107</v>
      </c>
      <c r="E352" s="90">
        <v>4394</v>
      </c>
      <c r="F352" s="90" t="s">
        <v>1434</v>
      </c>
      <c r="G352" s="90">
        <v>2024</v>
      </c>
      <c r="H352" s="110" t="s">
        <v>1900</v>
      </c>
      <c r="I352" s="118" t="s">
        <v>1901</v>
      </c>
      <c r="J352" s="107" t="s">
        <v>2119</v>
      </c>
      <c r="K352" s="119">
        <v>45483</v>
      </c>
      <c r="L352" s="69" t="s">
        <v>80</v>
      </c>
      <c r="M352" s="69" t="s">
        <v>4</v>
      </c>
      <c r="N352" s="69" t="s">
        <v>101</v>
      </c>
      <c r="O352" s="69" t="s">
        <v>1436</v>
      </c>
      <c r="P352" s="78"/>
      <c r="Q352" s="96">
        <v>45484</v>
      </c>
      <c r="R352" s="97"/>
      <c r="S352" s="98"/>
    </row>
    <row r="353" spans="1:19" ht="42.75">
      <c r="A353" s="90" t="s">
        <v>48</v>
      </c>
      <c r="B353" s="91" t="s">
        <v>373</v>
      </c>
      <c r="C353" s="91" t="s">
        <v>2120</v>
      </c>
      <c r="D353" s="90">
        <v>1161</v>
      </c>
      <c r="E353" s="90">
        <v>1271</v>
      </c>
      <c r="F353" s="90" t="s">
        <v>1434</v>
      </c>
      <c r="G353" s="90">
        <v>2024</v>
      </c>
      <c r="H353" s="110" t="s">
        <v>1954</v>
      </c>
      <c r="I353" s="118" t="s">
        <v>1955</v>
      </c>
      <c r="J353" s="107" t="s">
        <v>2121</v>
      </c>
      <c r="K353" s="119">
        <v>45516</v>
      </c>
      <c r="L353" s="69" t="s">
        <v>81</v>
      </c>
      <c r="M353" s="69" t="s">
        <v>4</v>
      </c>
      <c r="N353" s="69" t="s">
        <v>101</v>
      </c>
      <c r="O353" s="69" t="s">
        <v>1436</v>
      </c>
      <c r="P353" s="78"/>
      <c r="Q353" s="96">
        <v>45517</v>
      </c>
      <c r="R353" s="97" t="s">
        <v>1481</v>
      </c>
      <c r="S353" s="98"/>
    </row>
    <row r="354" spans="1:19" ht="42.75">
      <c r="A354" s="90" t="s">
        <v>48</v>
      </c>
      <c r="B354" s="91" t="s">
        <v>373</v>
      </c>
      <c r="C354" s="91" t="s">
        <v>2122</v>
      </c>
      <c r="D354" s="90">
        <v>768</v>
      </c>
      <c r="E354" s="90">
        <v>977</v>
      </c>
      <c r="F354" s="90" t="s">
        <v>1434</v>
      </c>
      <c r="G354" s="90">
        <v>2024</v>
      </c>
      <c r="H354" s="110" t="s">
        <v>1835</v>
      </c>
      <c r="I354" s="110" t="s">
        <v>1836</v>
      </c>
      <c r="J354" s="94" t="s">
        <v>2123</v>
      </c>
      <c r="K354" s="100">
        <v>45474</v>
      </c>
      <c r="L354" s="69" t="s">
        <v>80</v>
      </c>
      <c r="M354" s="69" t="s">
        <v>4</v>
      </c>
      <c r="N354" s="69" t="s">
        <v>101</v>
      </c>
      <c r="O354" s="69" t="s">
        <v>1436</v>
      </c>
      <c r="P354" s="78"/>
      <c r="Q354" s="70">
        <v>45474</v>
      </c>
      <c r="R354" s="97"/>
      <c r="S354" s="98"/>
    </row>
    <row r="355" spans="1:19" ht="42.75">
      <c r="A355" s="90" t="s">
        <v>48</v>
      </c>
      <c r="B355" s="91" t="s">
        <v>373</v>
      </c>
      <c r="C355" s="91" t="s">
        <v>1719</v>
      </c>
      <c r="D355" s="90">
        <v>1818</v>
      </c>
      <c r="E355" s="90">
        <v>1807</v>
      </c>
      <c r="F355" s="90" t="s">
        <v>1434</v>
      </c>
      <c r="G355" s="90">
        <v>2024</v>
      </c>
      <c r="H355" s="92">
        <v>45342</v>
      </c>
      <c r="I355" s="92">
        <v>45343</v>
      </c>
      <c r="J355" s="94" t="s">
        <v>2124</v>
      </c>
      <c r="K355" s="108">
        <v>45344</v>
      </c>
      <c r="L355" s="69"/>
      <c r="M355" s="69" t="s">
        <v>4</v>
      </c>
      <c r="N355" s="69" t="s">
        <v>101</v>
      </c>
      <c r="O355" s="69" t="s">
        <v>1436</v>
      </c>
      <c r="P355" s="78"/>
      <c r="Q355" s="96"/>
      <c r="R355" s="97"/>
      <c r="S355" s="98"/>
    </row>
    <row r="356" spans="1:19" ht="42.75">
      <c r="A356" s="90" t="s">
        <v>48</v>
      </c>
      <c r="B356" s="91" t="s">
        <v>373</v>
      </c>
      <c r="C356" s="91" t="s">
        <v>2125</v>
      </c>
      <c r="D356" s="90">
        <v>1736</v>
      </c>
      <c r="E356" s="90">
        <v>1974</v>
      </c>
      <c r="F356" s="90" t="s">
        <v>1434</v>
      </c>
      <c r="G356" s="90">
        <v>2024</v>
      </c>
      <c r="H356" s="110" t="s">
        <v>2126</v>
      </c>
      <c r="I356" s="110" t="s">
        <v>1967</v>
      </c>
      <c r="J356" s="94" t="s">
        <v>2127</v>
      </c>
      <c r="K356" s="100">
        <v>45552</v>
      </c>
      <c r="L356" s="69" t="s">
        <v>82</v>
      </c>
      <c r="M356" s="69" t="s">
        <v>4</v>
      </c>
      <c r="N356" s="69" t="s">
        <v>108</v>
      </c>
      <c r="O356" s="69" t="s">
        <v>1436</v>
      </c>
      <c r="P356" s="78"/>
      <c r="Q356" s="96">
        <v>45552</v>
      </c>
      <c r="R356" s="97" t="s">
        <v>1481</v>
      </c>
      <c r="S356" s="98"/>
    </row>
    <row r="357" spans="1:19" ht="42.75">
      <c r="A357" s="90" t="s">
        <v>48</v>
      </c>
      <c r="B357" s="91" t="s">
        <v>399</v>
      </c>
      <c r="C357" s="91" t="s">
        <v>2128</v>
      </c>
      <c r="D357" s="90">
        <v>4458</v>
      </c>
      <c r="E357" s="90">
        <v>5414</v>
      </c>
      <c r="F357" s="90" t="s">
        <v>1434</v>
      </c>
      <c r="G357" s="90">
        <v>2024</v>
      </c>
      <c r="H357" s="110" t="s">
        <v>2129</v>
      </c>
      <c r="I357" s="110" t="s">
        <v>1717</v>
      </c>
      <c r="J357" s="94" t="s">
        <v>2130</v>
      </c>
      <c r="K357" s="100">
        <v>45488</v>
      </c>
      <c r="L357" s="69" t="s">
        <v>80</v>
      </c>
      <c r="M357" s="69" t="s">
        <v>4</v>
      </c>
      <c r="N357" s="69" t="s">
        <v>101</v>
      </c>
      <c r="O357" s="69" t="s">
        <v>1436</v>
      </c>
      <c r="P357" s="78"/>
      <c r="Q357" s="96">
        <v>45489</v>
      </c>
      <c r="R357" s="97"/>
      <c r="S357" s="98"/>
    </row>
    <row r="358" spans="1:19" ht="42.75">
      <c r="A358" s="90" t="s">
        <v>48</v>
      </c>
      <c r="B358" s="91" t="s">
        <v>399</v>
      </c>
      <c r="C358" s="91" t="s">
        <v>1023</v>
      </c>
      <c r="D358" s="90">
        <v>1427</v>
      </c>
      <c r="E358" s="90">
        <v>1466</v>
      </c>
      <c r="F358" s="90" t="s">
        <v>1434</v>
      </c>
      <c r="G358" s="90">
        <v>2024</v>
      </c>
      <c r="H358" s="110" t="s">
        <v>2131</v>
      </c>
      <c r="I358" s="110" t="s">
        <v>1764</v>
      </c>
      <c r="J358" s="94" t="s">
        <v>2132</v>
      </c>
      <c r="K358" s="100">
        <v>45462</v>
      </c>
      <c r="L358" s="69" t="s">
        <v>79</v>
      </c>
      <c r="M358" s="69" t="s">
        <v>4</v>
      </c>
      <c r="N358" s="69" t="s">
        <v>101</v>
      </c>
      <c r="O358" s="69" t="s">
        <v>1436</v>
      </c>
      <c r="P358" s="78"/>
      <c r="Q358" s="70">
        <v>45462</v>
      </c>
      <c r="R358" s="97"/>
      <c r="S358" s="98"/>
    </row>
    <row r="359" spans="1:19" ht="42.75">
      <c r="A359" s="90" t="s">
        <v>48</v>
      </c>
      <c r="B359" s="91" t="s">
        <v>399</v>
      </c>
      <c r="C359" s="91" t="s">
        <v>2133</v>
      </c>
      <c r="D359" s="90">
        <v>1151</v>
      </c>
      <c r="E359" s="90">
        <v>1315</v>
      </c>
      <c r="F359" s="90" t="s">
        <v>1434</v>
      </c>
      <c r="G359" s="90">
        <v>2024</v>
      </c>
      <c r="H359" s="110" t="s">
        <v>2030</v>
      </c>
      <c r="I359" s="110" t="s">
        <v>1900</v>
      </c>
      <c r="J359" s="94" t="s">
        <v>2134</v>
      </c>
      <c r="K359" s="100">
        <v>45474</v>
      </c>
      <c r="L359" s="69" t="s">
        <v>80</v>
      </c>
      <c r="M359" s="69" t="s">
        <v>4</v>
      </c>
      <c r="N359" s="69" t="s">
        <v>101</v>
      </c>
      <c r="O359" s="69" t="s">
        <v>1436</v>
      </c>
      <c r="P359" s="78"/>
      <c r="Q359" s="70">
        <v>45474</v>
      </c>
      <c r="R359" s="97"/>
      <c r="S359" s="98"/>
    </row>
    <row r="360" spans="1:19" ht="42.75">
      <c r="A360" s="90" t="s">
        <v>48</v>
      </c>
      <c r="B360" s="91" t="s">
        <v>399</v>
      </c>
      <c r="C360" s="91" t="s">
        <v>2135</v>
      </c>
      <c r="D360" s="90">
        <v>1260</v>
      </c>
      <c r="E360" s="90">
        <v>1302</v>
      </c>
      <c r="F360" s="90" t="s">
        <v>1434</v>
      </c>
      <c r="G360" s="90">
        <v>2024</v>
      </c>
      <c r="H360" s="110" t="s">
        <v>2136</v>
      </c>
      <c r="I360" s="110" t="s">
        <v>2043</v>
      </c>
      <c r="J360" s="94" t="s">
        <v>2137</v>
      </c>
      <c r="K360" s="100">
        <v>45510</v>
      </c>
      <c r="L360" s="69" t="s">
        <v>81</v>
      </c>
      <c r="M360" s="69" t="s">
        <v>4</v>
      </c>
      <c r="N360" s="69" t="s">
        <v>101</v>
      </c>
      <c r="O360" s="69" t="s">
        <v>1436</v>
      </c>
      <c r="P360" s="78"/>
      <c r="Q360" s="70">
        <v>45510</v>
      </c>
      <c r="R360" s="97" t="s">
        <v>1481</v>
      </c>
      <c r="S360" s="98"/>
    </row>
    <row r="361" spans="1:19" ht="42.75">
      <c r="A361" s="90" t="s">
        <v>48</v>
      </c>
      <c r="B361" s="91" t="s">
        <v>399</v>
      </c>
      <c r="C361" s="109" t="s">
        <v>2138</v>
      </c>
      <c r="D361" s="90">
        <v>467</v>
      </c>
      <c r="E361" s="90">
        <v>484</v>
      </c>
      <c r="F361" s="90" t="s">
        <v>1434</v>
      </c>
      <c r="G361" s="90">
        <v>2024</v>
      </c>
      <c r="H361" s="110" t="s">
        <v>1703</v>
      </c>
      <c r="I361" s="110" t="s">
        <v>2139</v>
      </c>
      <c r="J361" s="94" t="s">
        <v>2140</v>
      </c>
      <c r="K361" s="106" t="s">
        <v>1805</v>
      </c>
      <c r="L361" s="69" t="s">
        <v>78</v>
      </c>
      <c r="M361" s="69" t="s">
        <v>672</v>
      </c>
      <c r="N361" s="69" t="s">
        <v>101</v>
      </c>
      <c r="O361" s="69" t="s">
        <v>1436</v>
      </c>
      <c r="P361" s="78"/>
      <c r="Q361" s="96"/>
      <c r="R361" s="97"/>
      <c r="S361" s="98"/>
    </row>
    <row r="362" spans="1:19" ht="42.75">
      <c r="A362" s="90" t="s">
        <v>48</v>
      </c>
      <c r="B362" s="91" t="s">
        <v>399</v>
      </c>
      <c r="C362" s="91" t="s">
        <v>1006</v>
      </c>
      <c r="D362" s="90">
        <v>1227</v>
      </c>
      <c r="E362" s="90">
        <v>1188</v>
      </c>
      <c r="F362" s="90" t="s">
        <v>1434</v>
      </c>
      <c r="G362" s="90">
        <v>2024</v>
      </c>
      <c r="H362" s="110" t="s">
        <v>1790</v>
      </c>
      <c r="I362" s="110" t="s">
        <v>1893</v>
      </c>
      <c r="J362" s="94" t="s">
        <v>2141</v>
      </c>
      <c r="K362" s="100">
        <v>45461</v>
      </c>
      <c r="L362" s="69" t="s">
        <v>79</v>
      </c>
      <c r="M362" s="69" t="s">
        <v>4</v>
      </c>
      <c r="N362" s="69" t="s">
        <v>101</v>
      </c>
      <c r="O362" s="69" t="s">
        <v>1436</v>
      </c>
      <c r="P362" s="78"/>
      <c r="Q362" s="70">
        <v>45462</v>
      </c>
      <c r="R362" s="97"/>
      <c r="S362" s="98"/>
    </row>
    <row r="363" spans="1:19" ht="42.75">
      <c r="A363" s="90" t="s">
        <v>48</v>
      </c>
      <c r="B363" s="91" t="s">
        <v>399</v>
      </c>
      <c r="C363" s="109" t="s">
        <v>2142</v>
      </c>
      <c r="D363" s="90">
        <v>1847</v>
      </c>
      <c r="E363" s="90">
        <v>2647</v>
      </c>
      <c r="F363" s="90" t="s">
        <v>1434</v>
      </c>
      <c r="G363" s="90">
        <v>2024</v>
      </c>
      <c r="H363" s="114" t="s">
        <v>1710</v>
      </c>
      <c r="I363" s="114" t="s">
        <v>1721</v>
      </c>
      <c r="J363" s="94" t="s">
        <v>2143</v>
      </c>
      <c r="K363" s="106" t="s">
        <v>1703</v>
      </c>
      <c r="L363" s="69" t="s">
        <v>78</v>
      </c>
      <c r="M363" s="69"/>
      <c r="N363" s="69"/>
      <c r="O363" s="69" t="s">
        <v>1436</v>
      </c>
      <c r="P363" s="78"/>
      <c r="Q363" s="96"/>
      <c r="R363" s="97"/>
      <c r="S363" s="98"/>
    </row>
    <row r="364" spans="1:19" ht="42.75">
      <c r="A364" s="90" t="s">
        <v>48</v>
      </c>
      <c r="B364" s="91" t="s">
        <v>399</v>
      </c>
      <c r="C364" s="91" t="s">
        <v>2144</v>
      </c>
      <c r="D364" s="90">
        <v>2491</v>
      </c>
      <c r="E364" s="90">
        <v>2816</v>
      </c>
      <c r="F364" s="90" t="s">
        <v>1434</v>
      </c>
      <c r="G364" s="90">
        <v>2024</v>
      </c>
      <c r="H364" s="110" t="s">
        <v>1827</v>
      </c>
      <c r="I364" s="110" t="s">
        <v>1828</v>
      </c>
      <c r="J364" s="94" t="s">
        <v>2145</v>
      </c>
      <c r="K364" s="100">
        <v>45539</v>
      </c>
      <c r="L364" s="69" t="s">
        <v>82</v>
      </c>
      <c r="M364" s="69" t="s">
        <v>4</v>
      </c>
      <c r="N364" s="69" t="s">
        <v>101</v>
      </c>
      <c r="O364" s="69" t="s">
        <v>1436</v>
      </c>
      <c r="P364" s="78"/>
      <c r="Q364" s="96">
        <v>45539</v>
      </c>
      <c r="R364" s="97" t="s">
        <v>1481</v>
      </c>
      <c r="S364" s="98"/>
    </row>
    <row r="365" spans="1:19" ht="42.75">
      <c r="A365" s="90" t="s">
        <v>48</v>
      </c>
      <c r="B365" s="91" t="s">
        <v>399</v>
      </c>
      <c r="C365" s="91" t="s">
        <v>1974</v>
      </c>
      <c r="D365" s="90">
        <v>1311</v>
      </c>
      <c r="E365" s="90">
        <v>1316</v>
      </c>
      <c r="F365" s="90" t="s">
        <v>1434</v>
      </c>
      <c r="G365" s="90">
        <v>2024</v>
      </c>
      <c r="H365" s="110" t="s">
        <v>2146</v>
      </c>
      <c r="I365" s="110" t="s">
        <v>2147</v>
      </c>
      <c r="J365" s="94" t="s">
        <v>2148</v>
      </c>
      <c r="K365" s="100">
        <v>45539</v>
      </c>
      <c r="L365" s="69" t="s">
        <v>82</v>
      </c>
      <c r="M365" s="69" t="s">
        <v>4</v>
      </c>
      <c r="N365" s="69" t="s">
        <v>101</v>
      </c>
      <c r="O365" s="69" t="s">
        <v>1436</v>
      </c>
      <c r="P365" s="78"/>
      <c r="Q365" s="96">
        <v>45539</v>
      </c>
      <c r="R365" s="97" t="s">
        <v>1481</v>
      </c>
      <c r="S365" s="98"/>
    </row>
    <row r="366" spans="1:19" ht="42.75">
      <c r="A366" s="90" t="s">
        <v>48</v>
      </c>
      <c r="B366" s="91" t="s">
        <v>399</v>
      </c>
      <c r="C366" s="91" t="s">
        <v>2149</v>
      </c>
      <c r="D366" s="90">
        <v>2345</v>
      </c>
      <c r="E366" s="90">
        <v>2728</v>
      </c>
      <c r="F366" s="90" t="s">
        <v>1434</v>
      </c>
      <c r="G366" s="90">
        <v>2024</v>
      </c>
      <c r="H366" s="110" t="s">
        <v>1728</v>
      </c>
      <c r="I366" s="110" t="s">
        <v>1729</v>
      </c>
      <c r="J366" s="94" t="s">
        <v>2150</v>
      </c>
      <c r="K366" s="100">
        <v>45574</v>
      </c>
      <c r="L366" s="69" t="s">
        <v>83</v>
      </c>
      <c r="M366" s="69" t="s">
        <v>4</v>
      </c>
      <c r="N366" s="69" t="s">
        <v>101</v>
      </c>
      <c r="O366" s="69" t="s">
        <v>1436</v>
      </c>
      <c r="P366" s="78"/>
      <c r="Q366" s="115">
        <v>45575</v>
      </c>
      <c r="R366" s="65" t="s">
        <v>1481</v>
      </c>
      <c r="S366" s="89"/>
    </row>
    <row r="367" spans="1:19" ht="42.75">
      <c r="A367" s="90" t="s">
        <v>48</v>
      </c>
      <c r="B367" s="91" t="s">
        <v>399</v>
      </c>
      <c r="C367" s="91" t="s">
        <v>2151</v>
      </c>
      <c r="D367" s="90">
        <v>3006</v>
      </c>
      <c r="E367" s="90">
        <v>3571</v>
      </c>
      <c r="F367" s="90" t="s">
        <v>1434</v>
      </c>
      <c r="G367" s="90">
        <v>2024</v>
      </c>
      <c r="H367" s="110" t="s">
        <v>1896</v>
      </c>
      <c r="I367" s="110" t="s">
        <v>1896</v>
      </c>
      <c r="J367" s="94" t="s">
        <v>2152</v>
      </c>
      <c r="K367" s="100">
        <v>45518</v>
      </c>
      <c r="L367" s="69" t="s">
        <v>81</v>
      </c>
      <c r="M367" s="69" t="s">
        <v>4</v>
      </c>
      <c r="N367" s="69" t="s">
        <v>108</v>
      </c>
      <c r="O367" s="69" t="s">
        <v>1436</v>
      </c>
      <c r="P367" s="78"/>
      <c r="Q367" s="96">
        <v>45519</v>
      </c>
      <c r="R367" s="97" t="s">
        <v>1481</v>
      </c>
      <c r="S367" s="98"/>
    </row>
    <row r="368" spans="1:19" ht="42.75">
      <c r="A368" s="90" t="s">
        <v>48</v>
      </c>
      <c r="B368" s="91" t="s">
        <v>399</v>
      </c>
      <c r="C368" s="91" t="s">
        <v>2153</v>
      </c>
      <c r="D368" s="90">
        <v>5488</v>
      </c>
      <c r="E368" s="90">
        <v>5857</v>
      </c>
      <c r="F368" s="90" t="s">
        <v>1434</v>
      </c>
      <c r="G368" s="90">
        <v>2024</v>
      </c>
      <c r="H368" s="92">
        <v>45351</v>
      </c>
      <c r="I368" s="112">
        <v>45355</v>
      </c>
      <c r="J368" s="94" t="s">
        <v>2154</v>
      </c>
      <c r="K368" s="108">
        <v>45365</v>
      </c>
      <c r="L368" s="69"/>
      <c r="M368" s="69" t="s">
        <v>4</v>
      </c>
      <c r="N368" s="69" t="s">
        <v>101</v>
      </c>
      <c r="O368" s="69" t="s">
        <v>1436</v>
      </c>
      <c r="P368" s="78"/>
      <c r="Q368" s="96"/>
      <c r="R368" s="97"/>
      <c r="S368" s="98"/>
    </row>
    <row r="369" spans="1:19" ht="42.75">
      <c r="A369" s="90" t="s">
        <v>48</v>
      </c>
      <c r="B369" s="91" t="s">
        <v>399</v>
      </c>
      <c r="C369" s="91" t="s">
        <v>2155</v>
      </c>
      <c r="D369" s="90">
        <v>1442</v>
      </c>
      <c r="E369" s="90">
        <v>1482</v>
      </c>
      <c r="F369" s="90" t="s">
        <v>1434</v>
      </c>
      <c r="G369" s="90">
        <v>2024</v>
      </c>
      <c r="H369" s="110" t="s">
        <v>1728</v>
      </c>
      <c r="I369" s="110" t="s">
        <v>1729</v>
      </c>
      <c r="J369" s="94" t="s">
        <v>2156</v>
      </c>
      <c r="K369" s="100">
        <v>45574</v>
      </c>
      <c r="L369" s="69" t="s">
        <v>83</v>
      </c>
      <c r="M369" s="69" t="s">
        <v>4</v>
      </c>
      <c r="N369" s="69" t="s">
        <v>101</v>
      </c>
      <c r="O369" s="69" t="s">
        <v>1436</v>
      </c>
      <c r="P369" s="78"/>
      <c r="Q369" s="115">
        <v>45575</v>
      </c>
      <c r="R369" s="65" t="s">
        <v>929</v>
      </c>
      <c r="S369" s="89"/>
    </row>
    <row r="370" spans="1:19" ht="42.75">
      <c r="A370" s="90" t="s">
        <v>48</v>
      </c>
      <c r="B370" s="91" t="s">
        <v>399</v>
      </c>
      <c r="C370" s="111" t="s">
        <v>926</v>
      </c>
      <c r="D370" s="90">
        <v>1399</v>
      </c>
      <c r="E370" s="90">
        <v>1311</v>
      </c>
      <c r="F370" s="90" t="s">
        <v>1434</v>
      </c>
      <c r="G370" s="90">
        <v>2024</v>
      </c>
      <c r="H370" s="92">
        <v>45372</v>
      </c>
      <c r="I370" s="92">
        <v>45372</v>
      </c>
      <c r="J370" s="94" t="s">
        <v>2157</v>
      </c>
      <c r="K370" s="108">
        <v>45377</v>
      </c>
      <c r="L370" s="69" t="s">
        <v>77</v>
      </c>
      <c r="M370" s="69" t="s">
        <v>672</v>
      </c>
      <c r="N370" s="69" t="s">
        <v>101</v>
      </c>
      <c r="O370" s="69" t="s">
        <v>1436</v>
      </c>
      <c r="P370" s="78"/>
      <c r="Q370" s="96"/>
      <c r="R370" s="97"/>
      <c r="S370" s="98"/>
    </row>
    <row r="371" spans="1:19" ht="42.75">
      <c r="A371" s="90" t="s">
        <v>48</v>
      </c>
      <c r="B371" s="91" t="s">
        <v>399</v>
      </c>
      <c r="C371" s="91" t="s">
        <v>1862</v>
      </c>
      <c r="D371" s="90">
        <v>847</v>
      </c>
      <c r="E371" s="90">
        <v>1114</v>
      </c>
      <c r="F371" s="90" t="s">
        <v>1434</v>
      </c>
      <c r="G371" s="90">
        <v>2024</v>
      </c>
      <c r="H371" s="110" t="s">
        <v>1932</v>
      </c>
      <c r="I371" s="110" t="s">
        <v>1935</v>
      </c>
      <c r="J371" s="94" t="s">
        <v>2158</v>
      </c>
      <c r="K371" s="106" t="s">
        <v>1935</v>
      </c>
      <c r="L371" s="69" t="s">
        <v>79</v>
      </c>
      <c r="M371" s="69" t="s">
        <v>4</v>
      </c>
      <c r="N371" s="69" t="s">
        <v>101</v>
      </c>
      <c r="O371" s="69" t="s">
        <v>1436</v>
      </c>
      <c r="P371" s="78"/>
      <c r="Q371" s="96">
        <v>45433</v>
      </c>
      <c r="R371" s="97"/>
      <c r="S371" s="98"/>
    </row>
    <row r="372" spans="1:19" ht="42.75">
      <c r="A372" s="90" t="s">
        <v>48</v>
      </c>
      <c r="B372" s="91" t="s">
        <v>399</v>
      </c>
      <c r="C372" s="91" t="s">
        <v>524</v>
      </c>
      <c r="D372" s="90">
        <v>6942</v>
      </c>
      <c r="E372" s="90">
        <v>7179</v>
      </c>
      <c r="F372" s="90" t="s">
        <v>1434</v>
      </c>
      <c r="G372" s="90">
        <v>2024</v>
      </c>
      <c r="H372" s="92">
        <v>45345</v>
      </c>
      <c r="I372" s="92">
        <v>45348</v>
      </c>
      <c r="J372" s="94" t="s">
        <v>2159</v>
      </c>
      <c r="K372" s="108">
        <v>45349</v>
      </c>
      <c r="L372" s="69"/>
      <c r="M372" s="69" t="s">
        <v>4</v>
      </c>
      <c r="N372" s="69" t="s">
        <v>101</v>
      </c>
      <c r="O372" s="69" t="s">
        <v>1436</v>
      </c>
      <c r="P372" s="78"/>
      <c r="Q372" s="96"/>
      <c r="R372" s="97"/>
      <c r="S372" s="98"/>
    </row>
    <row r="373" spans="1:19" ht="42.75">
      <c r="A373" s="90" t="s">
        <v>48</v>
      </c>
      <c r="B373" s="91" t="s">
        <v>399</v>
      </c>
      <c r="C373" s="91" t="s">
        <v>2160</v>
      </c>
      <c r="D373" s="90">
        <v>1109</v>
      </c>
      <c r="E373" s="90">
        <v>1299</v>
      </c>
      <c r="F373" s="90" t="s">
        <v>1434</v>
      </c>
      <c r="G373" s="90">
        <v>2024</v>
      </c>
      <c r="H373" s="110" t="s">
        <v>1811</v>
      </c>
      <c r="I373" s="110" t="s">
        <v>1696</v>
      </c>
      <c r="J373" s="94" t="s">
        <v>2161</v>
      </c>
      <c r="K373" s="100">
        <v>45446</v>
      </c>
      <c r="L373" s="69" t="s">
        <v>79</v>
      </c>
      <c r="M373" s="69" t="s">
        <v>4</v>
      </c>
      <c r="N373" s="69" t="s">
        <v>101</v>
      </c>
      <c r="O373" s="69" t="s">
        <v>1436</v>
      </c>
      <c r="P373" s="78"/>
      <c r="Q373" s="96">
        <v>45447</v>
      </c>
      <c r="R373" s="97"/>
      <c r="S373" s="98"/>
    </row>
    <row r="374" spans="1:19" ht="42.75">
      <c r="A374" s="90" t="s">
        <v>48</v>
      </c>
      <c r="B374" s="91" t="s">
        <v>399</v>
      </c>
      <c r="C374" s="91" t="s">
        <v>2162</v>
      </c>
      <c r="D374" s="90">
        <v>1616</v>
      </c>
      <c r="E374" s="90">
        <v>1461</v>
      </c>
      <c r="F374" s="90" t="s">
        <v>1434</v>
      </c>
      <c r="G374" s="90">
        <v>2024</v>
      </c>
      <c r="H374" s="110" t="s">
        <v>2163</v>
      </c>
      <c r="I374" s="110" t="s">
        <v>1836</v>
      </c>
      <c r="J374" s="94" t="s">
        <v>2164</v>
      </c>
      <c r="K374" s="100">
        <v>45474</v>
      </c>
      <c r="L374" s="69" t="s">
        <v>80</v>
      </c>
      <c r="M374" s="69"/>
      <c r="N374" s="69"/>
      <c r="O374" s="69" t="s">
        <v>1436</v>
      </c>
      <c r="P374" s="78"/>
      <c r="Q374" s="70">
        <v>45474</v>
      </c>
      <c r="R374" s="97"/>
      <c r="S374" s="98"/>
    </row>
    <row r="375" spans="1:19" ht="42.75">
      <c r="A375" s="90" t="s">
        <v>48</v>
      </c>
      <c r="B375" s="91" t="s">
        <v>399</v>
      </c>
      <c r="C375" s="91" t="s">
        <v>1983</v>
      </c>
      <c r="D375" s="90">
        <v>1990</v>
      </c>
      <c r="E375" s="90">
        <v>2289</v>
      </c>
      <c r="F375" s="90" t="s">
        <v>1434</v>
      </c>
      <c r="G375" s="90">
        <v>2024</v>
      </c>
      <c r="H375" s="110" t="s">
        <v>2010</v>
      </c>
      <c r="I375" s="110" t="s">
        <v>1734</v>
      </c>
      <c r="J375" s="94" t="s">
        <v>2165</v>
      </c>
      <c r="K375" s="100">
        <v>45565</v>
      </c>
      <c r="L375" s="69" t="s">
        <v>83</v>
      </c>
      <c r="M375" s="69" t="s">
        <v>4</v>
      </c>
      <c r="N375" s="69" t="s">
        <v>101</v>
      </c>
      <c r="O375" s="69" t="s">
        <v>1436</v>
      </c>
      <c r="P375" s="78"/>
      <c r="Q375" s="115">
        <v>45566</v>
      </c>
      <c r="R375" s="65" t="s">
        <v>929</v>
      </c>
      <c r="S375" s="89"/>
    </row>
    <row r="376" spans="1:19" ht="42.75">
      <c r="A376" s="90" t="s">
        <v>48</v>
      </c>
      <c r="B376" s="91" t="s">
        <v>432</v>
      </c>
      <c r="C376" s="109" t="s">
        <v>2166</v>
      </c>
      <c r="D376" s="90">
        <v>2573</v>
      </c>
      <c r="E376" s="90">
        <v>2789</v>
      </c>
      <c r="F376" s="90" t="s">
        <v>1434</v>
      </c>
      <c r="G376" s="90">
        <v>2024</v>
      </c>
      <c r="H376" s="114" t="s">
        <v>1794</v>
      </c>
      <c r="I376" s="114" t="s">
        <v>1701</v>
      </c>
      <c r="J376" s="94" t="s">
        <v>2167</v>
      </c>
      <c r="K376" s="106" t="s">
        <v>1703</v>
      </c>
      <c r="L376" s="69" t="s">
        <v>78</v>
      </c>
      <c r="M376" s="69" t="s">
        <v>4</v>
      </c>
      <c r="N376" s="69" t="s">
        <v>108</v>
      </c>
      <c r="O376" s="69" t="s">
        <v>1436</v>
      </c>
      <c r="P376" s="78"/>
      <c r="Q376" s="96"/>
      <c r="R376" s="97"/>
      <c r="S376" s="98"/>
    </row>
    <row r="377" spans="1:19" ht="42.75">
      <c r="A377" s="90" t="s">
        <v>48</v>
      </c>
      <c r="B377" s="91" t="s">
        <v>432</v>
      </c>
      <c r="C377" s="91" t="s">
        <v>2168</v>
      </c>
      <c r="D377" s="90">
        <v>1169</v>
      </c>
      <c r="E377" s="90">
        <v>1314</v>
      </c>
      <c r="F377" s="90" t="s">
        <v>1434</v>
      </c>
      <c r="G377" s="90">
        <v>2024</v>
      </c>
      <c r="H377" s="92">
        <v>45344</v>
      </c>
      <c r="I377" s="92">
        <v>45346</v>
      </c>
      <c r="J377" s="94" t="s">
        <v>2169</v>
      </c>
      <c r="K377" s="108">
        <v>45349</v>
      </c>
      <c r="L377" s="69"/>
      <c r="M377" s="69" t="s">
        <v>4</v>
      </c>
      <c r="N377" s="69" t="s">
        <v>101</v>
      </c>
      <c r="O377" s="69" t="s">
        <v>1436</v>
      </c>
      <c r="P377" s="78"/>
      <c r="Q377" s="96"/>
      <c r="R377" s="97"/>
      <c r="S377" s="98"/>
    </row>
    <row r="378" spans="1:19" ht="42.75">
      <c r="A378" s="90" t="s">
        <v>48</v>
      </c>
      <c r="B378" s="91" t="s">
        <v>432</v>
      </c>
      <c r="C378" s="111" t="s">
        <v>2170</v>
      </c>
      <c r="D378" s="90">
        <v>3210</v>
      </c>
      <c r="E378" s="90">
        <v>3230</v>
      </c>
      <c r="F378" s="90" t="s">
        <v>1434</v>
      </c>
      <c r="G378" s="90">
        <v>2024</v>
      </c>
      <c r="H378" s="112">
        <v>45386</v>
      </c>
      <c r="I378" s="112">
        <v>45389</v>
      </c>
      <c r="J378" s="94" t="s">
        <v>2171</v>
      </c>
      <c r="K378" s="116" t="s">
        <v>1782</v>
      </c>
      <c r="L378" s="69" t="s">
        <v>77</v>
      </c>
      <c r="M378" s="69" t="s">
        <v>4</v>
      </c>
      <c r="N378" s="69" t="s">
        <v>101</v>
      </c>
      <c r="O378" s="69" t="s">
        <v>1436</v>
      </c>
      <c r="P378" s="78"/>
      <c r="Q378" s="96"/>
      <c r="R378" s="97"/>
      <c r="S378" s="98"/>
    </row>
    <row r="379" spans="1:19" ht="42.75">
      <c r="A379" s="90" t="s">
        <v>48</v>
      </c>
      <c r="B379" s="91" t="s">
        <v>432</v>
      </c>
      <c r="C379" s="91" t="s">
        <v>2172</v>
      </c>
      <c r="D379" s="90">
        <v>2665</v>
      </c>
      <c r="E379" s="90">
        <v>3058</v>
      </c>
      <c r="F379" s="90" t="s">
        <v>1434</v>
      </c>
      <c r="G379" s="90">
        <v>2024</v>
      </c>
      <c r="H379" s="112">
        <v>45356</v>
      </c>
      <c r="I379" s="112">
        <v>45356</v>
      </c>
      <c r="J379" s="94" t="s">
        <v>2173</v>
      </c>
      <c r="K379" s="108">
        <v>45366</v>
      </c>
      <c r="L379" s="69"/>
      <c r="M379" s="69" t="s">
        <v>4</v>
      </c>
      <c r="N379" s="69" t="s">
        <v>101</v>
      </c>
      <c r="O379" s="69" t="s">
        <v>1436</v>
      </c>
      <c r="P379" s="78"/>
      <c r="Q379" s="96"/>
      <c r="R379" s="97"/>
      <c r="S379" s="98"/>
    </row>
    <row r="380" spans="1:19" ht="42.75">
      <c r="A380" s="90" t="s">
        <v>48</v>
      </c>
      <c r="B380" s="91" t="s">
        <v>432</v>
      </c>
      <c r="C380" s="91" t="s">
        <v>2174</v>
      </c>
      <c r="D380" s="90">
        <v>3926</v>
      </c>
      <c r="E380" s="90">
        <v>4787</v>
      </c>
      <c r="F380" s="90" t="s">
        <v>1434</v>
      </c>
      <c r="G380" s="90">
        <v>2024</v>
      </c>
      <c r="H380" s="112">
        <v>45356</v>
      </c>
      <c r="I380" s="112">
        <v>45356</v>
      </c>
      <c r="J380" s="94" t="s">
        <v>2175</v>
      </c>
      <c r="K380" s="108">
        <v>45366</v>
      </c>
      <c r="L380" s="69"/>
      <c r="M380" s="69" t="s">
        <v>4</v>
      </c>
      <c r="N380" s="69" t="s">
        <v>108</v>
      </c>
      <c r="O380" s="69" t="s">
        <v>1436</v>
      </c>
      <c r="P380" s="78"/>
      <c r="Q380" s="96"/>
      <c r="R380" s="97"/>
      <c r="S380" s="98"/>
    </row>
    <row r="381" spans="1:19" ht="42.75">
      <c r="A381" s="90" t="s">
        <v>48</v>
      </c>
      <c r="B381" s="91" t="s">
        <v>432</v>
      </c>
      <c r="C381" s="91" t="s">
        <v>2176</v>
      </c>
      <c r="D381" s="90">
        <v>2092</v>
      </c>
      <c r="E381" s="90">
        <v>2284</v>
      </c>
      <c r="F381" s="90" t="s">
        <v>1434</v>
      </c>
      <c r="G381" s="90">
        <v>2024</v>
      </c>
      <c r="H381" s="110" t="s">
        <v>1790</v>
      </c>
      <c r="I381" s="101">
        <v>45446</v>
      </c>
      <c r="J381" s="94" t="s">
        <v>2177</v>
      </c>
      <c r="K381" s="100">
        <v>45461</v>
      </c>
      <c r="L381" s="69" t="s">
        <v>79</v>
      </c>
      <c r="M381" s="69" t="s">
        <v>4</v>
      </c>
      <c r="N381" s="69" t="s">
        <v>108</v>
      </c>
      <c r="O381" s="69" t="s">
        <v>1436</v>
      </c>
      <c r="P381" s="78"/>
      <c r="Q381" s="96">
        <v>45462</v>
      </c>
      <c r="R381" s="97"/>
      <c r="S381" s="98"/>
    </row>
    <row r="382" spans="1:19" ht="42.75">
      <c r="A382" s="90" t="s">
        <v>48</v>
      </c>
      <c r="B382" s="91" t="s">
        <v>432</v>
      </c>
      <c r="C382" s="109" t="s">
        <v>2178</v>
      </c>
      <c r="D382" s="90">
        <v>4230</v>
      </c>
      <c r="E382" s="90">
        <v>4456</v>
      </c>
      <c r="F382" s="90" t="s">
        <v>1434</v>
      </c>
      <c r="G382" s="90">
        <v>2024</v>
      </c>
      <c r="H382" s="110" t="s">
        <v>2179</v>
      </c>
      <c r="I382" s="110" t="s">
        <v>1907</v>
      </c>
      <c r="J382" s="94" t="s">
        <v>2180</v>
      </c>
      <c r="K382" s="106" t="s">
        <v>1708</v>
      </c>
      <c r="L382" s="69" t="s">
        <v>78</v>
      </c>
      <c r="M382" s="69" t="s">
        <v>4</v>
      </c>
      <c r="N382" s="69" t="s">
        <v>101</v>
      </c>
      <c r="O382" s="69" t="s">
        <v>1436</v>
      </c>
      <c r="P382" s="78"/>
      <c r="Q382" s="96"/>
      <c r="R382" s="97"/>
      <c r="S382" s="98"/>
    </row>
    <row r="383" spans="1:19" ht="42.75">
      <c r="A383" s="90" t="s">
        <v>48</v>
      </c>
      <c r="B383" s="91" t="s">
        <v>432</v>
      </c>
      <c r="C383" s="91" t="s">
        <v>2181</v>
      </c>
      <c r="D383" s="90">
        <v>1159</v>
      </c>
      <c r="E383" s="90">
        <v>936</v>
      </c>
      <c r="F383" s="90" t="s">
        <v>1434</v>
      </c>
      <c r="G383" s="90">
        <v>2024</v>
      </c>
      <c r="H383" s="92">
        <v>45366</v>
      </c>
      <c r="I383" s="92">
        <v>45369</v>
      </c>
      <c r="J383" s="94" t="s">
        <v>2182</v>
      </c>
      <c r="K383" s="108">
        <v>45377</v>
      </c>
      <c r="L383" s="69"/>
      <c r="M383" s="69" t="s">
        <v>4</v>
      </c>
      <c r="N383" s="69" t="s">
        <v>101</v>
      </c>
      <c r="O383" s="69" t="s">
        <v>1436</v>
      </c>
      <c r="P383" s="78"/>
      <c r="Q383" s="96"/>
      <c r="R383" s="97"/>
      <c r="S383" s="98"/>
    </row>
    <row r="384" spans="1:19" ht="42.75">
      <c r="A384" s="90" t="s">
        <v>48</v>
      </c>
      <c r="B384" s="91" t="s">
        <v>432</v>
      </c>
      <c r="C384" s="109" t="s">
        <v>1656</v>
      </c>
      <c r="D384" s="90">
        <v>2480</v>
      </c>
      <c r="E384" s="90">
        <v>2555</v>
      </c>
      <c r="F384" s="90" t="s">
        <v>1434</v>
      </c>
      <c r="G384" s="90">
        <v>2024</v>
      </c>
      <c r="H384" s="110" t="s">
        <v>1710</v>
      </c>
      <c r="I384" s="110" t="s">
        <v>1710</v>
      </c>
      <c r="J384" s="94" t="s">
        <v>2183</v>
      </c>
      <c r="K384" s="106" t="s">
        <v>1721</v>
      </c>
      <c r="L384" s="69" t="s">
        <v>78</v>
      </c>
      <c r="M384" s="69" t="s">
        <v>4</v>
      </c>
      <c r="N384" s="69" t="s">
        <v>101</v>
      </c>
      <c r="O384" s="69" t="s">
        <v>1436</v>
      </c>
      <c r="P384" s="78"/>
      <c r="Q384" s="96"/>
      <c r="R384" s="97"/>
      <c r="S384" s="98"/>
    </row>
    <row r="385" spans="1:19" ht="42.75">
      <c r="A385" s="90" t="s">
        <v>48</v>
      </c>
      <c r="B385" s="91" t="s">
        <v>432</v>
      </c>
      <c r="C385" s="111" t="s">
        <v>2184</v>
      </c>
      <c r="D385" s="90">
        <v>3682</v>
      </c>
      <c r="E385" s="90">
        <v>4638</v>
      </c>
      <c r="F385" s="90" t="s">
        <v>1434</v>
      </c>
      <c r="G385" s="90">
        <v>2024</v>
      </c>
      <c r="H385" s="92">
        <v>45377</v>
      </c>
      <c r="I385" s="112">
        <v>45384</v>
      </c>
      <c r="J385" s="94" t="s">
        <v>2185</v>
      </c>
      <c r="K385" s="116" t="s">
        <v>1778</v>
      </c>
      <c r="L385" s="69" t="s">
        <v>77</v>
      </c>
      <c r="M385" s="69" t="s">
        <v>4</v>
      </c>
      <c r="N385" s="69" t="s">
        <v>101</v>
      </c>
      <c r="O385" s="69" t="s">
        <v>1436</v>
      </c>
      <c r="P385" s="78"/>
      <c r="Q385" s="96"/>
      <c r="R385" s="97"/>
      <c r="S385" s="98"/>
    </row>
    <row r="386" spans="1:19" ht="42.75">
      <c r="A386" s="90" t="s">
        <v>48</v>
      </c>
      <c r="B386" s="91" t="s">
        <v>432</v>
      </c>
      <c r="C386" s="91" t="s">
        <v>2186</v>
      </c>
      <c r="D386" s="90">
        <v>2184</v>
      </c>
      <c r="E386" s="90">
        <v>2289</v>
      </c>
      <c r="F386" s="90" t="s">
        <v>1434</v>
      </c>
      <c r="G386" s="90">
        <v>2024</v>
      </c>
      <c r="H386" s="92">
        <v>45366</v>
      </c>
      <c r="I386" s="92">
        <v>45369</v>
      </c>
      <c r="J386" s="105" t="s">
        <v>2187</v>
      </c>
      <c r="K386" s="108"/>
      <c r="L386" s="69"/>
      <c r="M386" s="69" t="s">
        <v>4</v>
      </c>
      <c r="N386" s="69" t="s">
        <v>101</v>
      </c>
      <c r="O386" s="69" t="s">
        <v>1436</v>
      </c>
      <c r="P386" s="78"/>
      <c r="Q386" s="96"/>
      <c r="R386" s="97"/>
      <c r="S386" s="98"/>
    </row>
    <row r="387" spans="1:19" ht="42.75">
      <c r="A387" s="90" t="s">
        <v>48</v>
      </c>
      <c r="B387" s="91" t="s">
        <v>432</v>
      </c>
      <c r="C387" s="91" t="s">
        <v>2188</v>
      </c>
      <c r="D387" s="90">
        <v>3756</v>
      </c>
      <c r="E387" s="90">
        <v>3639</v>
      </c>
      <c r="F387" s="90" t="s">
        <v>1434</v>
      </c>
      <c r="G387" s="90">
        <v>2024</v>
      </c>
      <c r="H387" s="110" t="s">
        <v>1695</v>
      </c>
      <c r="I387" s="110" t="s">
        <v>2018</v>
      </c>
      <c r="J387" s="94" t="s">
        <v>2189</v>
      </c>
      <c r="K387" s="100">
        <v>45446</v>
      </c>
      <c r="L387" s="69" t="s">
        <v>79</v>
      </c>
      <c r="M387" s="69" t="s">
        <v>4</v>
      </c>
      <c r="N387" s="69" t="s">
        <v>101</v>
      </c>
      <c r="O387" s="69" t="s">
        <v>1436</v>
      </c>
      <c r="P387" s="78"/>
      <c r="Q387" s="70">
        <v>45446</v>
      </c>
      <c r="R387" s="97"/>
      <c r="S387" s="98"/>
    </row>
    <row r="388" spans="1:19" ht="42.75">
      <c r="A388" s="142" t="s">
        <v>48</v>
      </c>
      <c r="B388" s="91" t="s">
        <v>432</v>
      </c>
      <c r="C388" s="91" t="s">
        <v>2190</v>
      </c>
      <c r="D388" s="90">
        <v>1419</v>
      </c>
      <c r="E388" s="90">
        <v>1534</v>
      </c>
      <c r="F388" s="90" t="s">
        <v>1434</v>
      </c>
      <c r="G388" s="90">
        <v>2024</v>
      </c>
      <c r="H388" s="110" t="s">
        <v>1933</v>
      </c>
      <c r="I388" s="110" t="s">
        <v>1935</v>
      </c>
      <c r="J388" s="94" t="s">
        <v>2191</v>
      </c>
      <c r="K388" s="106" t="s">
        <v>1935</v>
      </c>
      <c r="L388" s="69" t="s">
        <v>79</v>
      </c>
      <c r="M388" s="69" t="s">
        <v>4</v>
      </c>
      <c r="N388" s="69" t="s">
        <v>101</v>
      </c>
      <c r="O388" s="69" t="s">
        <v>1436</v>
      </c>
      <c r="P388" s="78"/>
      <c r="Q388" s="96">
        <v>45432</v>
      </c>
      <c r="R388" s="97"/>
      <c r="S388" s="98"/>
    </row>
    <row r="389" spans="1:19" ht="42.75">
      <c r="A389" s="90" t="s">
        <v>48</v>
      </c>
      <c r="B389" s="91" t="s">
        <v>432</v>
      </c>
      <c r="C389" s="91" t="s">
        <v>2192</v>
      </c>
      <c r="D389" s="90">
        <v>753</v>
      </c>
      <c r="E389" s="90">
        <v>793</v>
      </c>
      <c r="F389" s="90" t="s">
        <v>1434</v>
      </c>
      <c r="G389" s="90">
        <v>2024</v>
      </c>
      <c r="H389" s="92">
        <v>45344</v>
      </c>
      <c r="I389" s="92">
        <v>45346</v>
      </c>
      <c r="J389" s="105" t="s">
        <v>2193</v>
      </c>
      <c r="K389" s="108">
        <v>45349</v>
      </c>
      <c r="L389" s="69"/>
      <c r="M389" s="69" t="s">
        <v>4</v>
      </c>
      <c r="N389" s="69" t="s">
        <v>101</v>
      </c>
      <c r="O389" s="69" t="s">
        <v>1436</v>
      </c>
      <c r="P389" s="78"/>
      <c r="Q389" s="96"/>
      <c r="R389" s="97"/>
      <c r="S389" s="98"/>
    </row>
    <row r="390" spans="1:19" ht="42.75">
      <c r="A390" s="90" t="s">
        <v>49</v>
      </c>
      <c r="B390" s="91" t="s">
        <v>488</v>
      </c>
      <c r="C390" s="91" t="s">
        <v>2194</v>
      </c>
      <c r="D390" s="90">
        <v>2140</v>
      </c>
      <c r="E390" s="90">
        <v>2327</v>
      </c>
      <c r="F390" s="90" t="s">
        <v>1454</v>
      </c>
      <c r="G390" s="90"/>
      <c r="H390" s="93"/>
      <c r="I390" s="93"/>
      <c r="J390" s="93"/>
      <c r="K390" s="95"/>
      <c r="L390" s="69"/>
      <c r="M390" s="69"/>
      <c r="N390" s="69"/>
      <c r="O390" s="69"/>
      <c r="P390" s="78"/>
      <c r="Q390" s="96"/>
      <c r="R390" s="97"/>
      <c r="S390" s="98"/>
    </row>
    <row r="391" spans="1:19" ht="42.75">
      <c r="A391" s="90" t="s">
        <v>49</v>
      </c>
      <c r="B391" s="91" t="s">
        <v>488</v>
      </c>
      <c r="C391" s="91" t="s">
        <v>2195</v>
      </c>
      <c r="D391" s="90">
        <v>855</v>
      </c>
      <c r="E391" s="90">
        <v>910</v>
      </c>
      <c r="F391" s="90" t="s">
        <v>1454</v>
      </c>
      <c r="G391" s="90"/>
      <c r="H391" s="93"/>
      <c r="I391" s="93"/>
      <c r="J391" s="93"/>
      <c r="K391" s="95"/>
      <c r="L391" s="69"/>
      <c r="M391" s="69"/>
      <c r="N391" s="69"/>
      <c r="O391" s="69"/>
      <c r="P391" s="78"/>
      <c r="Q391" s="96"/>
      <c r="R391" s="97"/>
      <c r="S391" s="98"/>
    </row>
    <row r="392" spans="1:19" ht="42.75">
      <c r="A392" s="90" t="s">
        <v>49</v>
      </c>
      <c r="B392" s="91" t="s">
        <v>488</v>
      </c>
      <c r="C392" s="91" t="s">
        <v>1282</v>
      </c>
      <c r="D392" s="90">
        <v>5182</v>
      </c>
      <c r="E392" s="90">
        <v>5560</v>
      </c>
      <c r="F392" s="90" t="s">
        <v>1454</v>
      </c>
      <c r="G392" s="90"/>
      <c r="H392" s="93"/>
      <c r="I392" s="93"/>
      <c r="J392" s="93"/>
      <c r="K392" s="95"/>
      <c r="L392" s="69"/>
      <c r="M392" s="69"/>
      <c r="N392" s="69"/>
      <c r="O392" s="69"/>
      <c r="P392" s="78"/>
      <c r="Q392" s="96"/>
      <c r="R392" s="97"/>
      <c r="S392" s="98"/>
    </row>
    <row r="393" spans="1:19" ht="42.75">
      <c r="A393" s="142" t="s">
        <v>49</v>
      </c>
      <c r="B393" s="91" t="s">
        <v>488</v>
      </c>
      <c r="C393" s="91" t="s">
        <v>2196</v>
      </c>
      <c r="D393" s="90">
        <v>2603</v>
      </c>
      <c r="E393" s="90">
        <v>2902</v>
      </c>
      <c r="F393" s="90" t="s">
        <v>1454</v>
      </c>
      <c r="G393" s="90"/>
      <c r="H393" s="93"/>
      <c r="I393" s="93"/>
      <c r="J393" s="93"/>
      <c r="K393" s="95"/>
      <c r="L393" s="69"/>
      <c r="M393" s="69"/>
      <c r="N393" s="69"/>
      <c r="O393" s="69"/>
      <c r="P393" s="78"/>
      <c r="Q393" s="96"/>
      <c r="R393" s="97"/>
      <c r="S393" s="98"/>
    </row>
    <row r="394" spans="1:19" ht="42.75">
      <c r="A394" s="142" t="s">
        <v>49</v>
      </c>
      <c r="B394" s="91" t="s">
        <v>488</v>
      </c>
      <c r="C394" s="91" t="s">
        <v>2197</v>
      </c>
      <c r="D394" s="90">
        <v>4665</v>
      </c>
      <c r="E394" s="90">
        <v>5116</v>
      </c>
      <c r="F394" s="90" t="s">
        <v>1454</v>
      </c>
      <c r="G394" s="90"/>
      <c r="H394" s="93"/>
      <c r="I394" s="93"/>
      <c r="J394" s="93"/>
      <c r="K394" s="95"/>
      <c r="L394" s="69"/>
      <c r="M394" s="69"/>
      <c r="N394" s="69"/>
      <c r="O394" s="69"/>
      <c r="P394" s="78"/>
      <c r="Q394" s="96"/>
      <c r="R394" s="97"/>
      <c r="S394" s="98"/>
    </row>
    <row r="395" spans="1:19" ht="42.75">
      <c r="A395" s="90" t="s">
        <v>49</v>
      </c>
      <c r="B395" s="91" t="s">
        <v>488</v>
      </c>
      <c r="C395" s="91" t="s">
        <v>2198</v>
      </c>
      <c r="D395" s="90">
        <v>1225</v>
      </c>
      <c r="E395" s="90">
        <v>1787</v>
      </c>
      <c r="F395" s="90" t="s">
        <v>1454</v>
      </c>
      <c r="G395" s="90"/>
      <c r="H395" s="93"/>
      <c r="I395" s="93"/>
      <c r="J395" s="93"/>
      <c r="K395" s="95"/>
      <c r="L395" s="69"/>
      <c r="M395" s="69"/>
      <c r="N395" s="69"/>
      <c r="O395" s="69"/>
      <c r="P395" s="78"/>
      <c r="Q395" s="96"/>
      <c r="R395" s="97"/>
      <c r="S395" s="98"/>
    </row>
    <row r="396" spans="1:19" ht="42.75">
      <c r="A396" s="142" t="s">
        <v>49</v>
      </c>
      <c r="B396" s="91" t="s">
        <v>488</v>
      </c>
      <c r="C396" s="91" t="s">
        <v>2199</v>
      </c>
      <c r="D396" s="90">
        <v>4344</v>
      </c>
      <c r="E396" s="90">
        <v>5552</v>
      </c>
      <c r="F396" s="90" t="s">
        <v>1454</v>
      </c>
      <c r="G396" s="90"/>
      <c r="H396" s="93"/>
      <c r="I396" s="93"/>
      <c r="J396" s="93"/>
      <c r="K396" s="95"/>
      <c r="L396" s="69"/>
      <c r="M396" s="69"/>
      <c r="N396" s="69"/>
      <c r="O396" s="69"/>
      <c r="P396" s="78"/>
      <c r="Q396" s="96"/>
      <c r="R396" s="97"/>
      <c r="S396" s="98"/>
    </row>
    <row r="397" spans="1:19" ht="42.75">
      <c r="A397" s="90" t="s">
        <v>49</v>
      </c>
      <c r="B397" s="91" t="s">
        <v>488</v>
      </c>
      <c r="C397" s="91" t="s">
        <v>1063</v>
      </c>
      <c r="D397" s="90">
        <v>4607</v>
      </c>
      <c r="E397" s="90">
        <v>5256</v>
      </c>
      <c r="F397" s="90" t="s">
        <v>1454</v>
      </c>
      <c r="G397" s="90"/>
      <c r="H397" s="93"/>
      <c r="I397" s="93"/>
      <c r="J397" s="93"/>
      <c r="K397" s="95"/>
      <c r="L397" s="69"/>
      <c r="M397" s="69"/>
      <c r="N397" s="69"/>
      <c r="O397" s="69"/>
      <c r="P397" s="78"/>
      <c r="Q397" s="96"/>
      <c r="R397" s="97"/>
      <c r="S397" s="98"/>
    </row>
    <row r="398" spans="1:19" ht="42.75">
      <c r="A398" s="90" t="s">
        <v>49</v>
      </c>
      <c r="B398" s="91" t="s">
        <v>488</v>
      </c>
      <c r="C398" s="91" t="s">
        <v>2200</v>
      </c>
      <c r="D398" s="90">
        <v>1447</v>
      </c>
      <c r="E398" s="90">
        <v>1738</v>
      </c>
      <c r="F398" s="90" t="s">
        <v>1454</v>
      </c>
      <c r="G398" s="90"/>
      <c r="H398" s="93"/>
      <c r="I398" s="93"/>
      <c r="J398" s="93"/>
      <c r="K398" s="95"/>
      <c r="L398" s="69"/>
      <c r="M398" s="69"/>
      <c r="N398" s="69"/>
      <c r="O398" s="69"/>
      <c r="P398" s="78"/>
      <c r="Q398" s="96"/>
      <c r="R398" s="97"/>
      <c r="S398" s="98"/>
    </row>
    <row r="399" spans="1:19" ht="42.75">
      <c r="A399" s="142" t="s">
        <v>49</v>
      </c>
      <c r="B399" s="91" t="s">
        <v>488</v>
      </c>
      <c r="C399" s="91" t="s">
        <v>2201</v>
      </c>
      <c r="D399" s="90">
        <v>4940</v>
      </c>
      <c r="E399" s="90">
        <v>5940</v>
      </c>
      <c r="F399" s="90" t="s">
        <v>1454</v>
      </c>
      <c r="G399" s="90"/>
      <c r="H399" s="93"/>
      <c r="I399" s="93"/>
      <c r="J399" s="93"/>
      <c r="K399" s="95"/>
      <c r="L399" s="69"/>
      <c r="M399" s="69"/>
      <c r="N399" s="69"/>
      <c r="O399" s="69"/>
      <c r="P399" s="78"/>
      <c r="Q399" s="96"/>
      <c r="R399" s="97"/>
      <c r="S399" s="98"/>
    </row>
    <row r="400" spans="1:19" ht="42.75">
      <c r="A400" s="142" t="s">
        <v>49</v>
      </c>
      <c r="B400" s="91" t="s">
        <v>488</v>
      </c>
      <c r="C400" s="91" t="s">
        <v>2181</v>
      </c>
      <c r="D400" s="90">
        <v>5168</v>
      </c>
      <c r="E400" s="90">
        <v>4747</v>
      </c>
      <c r="F400" s="90" t="s">
        <v>1454</v>
      </c>
      <c r="G400" s="90"/>
      <c r="H400" s="93"/>
      <c r="I400" s="93"/>
      <c r="J400" s="93"/>
      <c r="K400" s="95"/>
      <c r="L400" s="69"/>
      <c r="M400" s="69"/>
      <c r="N400" s="69"/>
      <c r="O400" s="69"/>
      <c r="P400" s="78"/>
      <c r="Q400" s="96"/>
      <c r="R400" s="97"/>
      <c r="S400" s="98"/>
    </row>
    <row r="401" spans="1:19" ht="42.75">
      <c r="A401" s="142" t="s">
        <v>49</v>
      </c>
      <c r="B401" s="91" t="s">
        <v>488</v>
      </c>
      <c r="C401" s="91" t="s">
        <v>2202</v>
      </c>
      <c r="D401" s="90">
        <v>5641</v>
      </c>
      <c r="E401" s="90">
        <v>5875</v>
      </c>
      <c r="F401" s="90" t="s">
        <v>1454</v>
      </c>
      <c r="G401" s="90"/>
      <c r="H401" s="93"/>
      <c r="I401" s="93"/>
      <c r="J401" s="93"/>
      <c r="K401" s="95"/>
      <c r="L401" s="69"/>
      <c r="M401" s="69"/>
      <c r="N401" s="69"/>
      <c r="O401" s="69"/>
      <c r="P401" s="78"/>
      <c r="Q401" s="96"/>
      <c r="R401" s="97"/>
      <c r="S401" s="98"/>
    </row>
    <row r="402" spans="1:19" ht="42.75">
      <c r="A402" s="90" t="s">
        <v>49</v>
      </c>
      <c r="B402" s="91" t="s">
        <v>488</v>
      </c>
      <c r="C402" s="91" t="s">
        <v>1656</v>
      </c>
      <c r="D402" s="90">
        <v>2475</v>
      </c>
      <c r="E402" s="90">
        <v>2911</v>
      </c>
      <c r="F402" s="90" t="s">
        <v>1454</v>
      </c>
      <c r="G402" s="90"/>
      <c r="H402" s="93"/>
      <c r="I402" s="93"/>
      <c r="J402" s="93"/>
      <c r="K402" s="95"/>
      <c r="L402" s="69"/>
      <c r="M402" s="69"/>
      <c r="N402" s="69"/>
      <c r="O402" s="69"/>
      <c r="P402" s="78"/>
      <c r="Q402" s="96"/>
      <c r="R402" s="97"/>
      <c r="S402" s="98"/>
    </row>
    <row r="403" spans="1:19" ht="42.75">
      <c r="A403" s="90" t="s">
        <v>49</v>
      </c>
      <c r="B403" s="91" t="s">
        <v>488</v>
      </c>
      <c r="C403" s="91" t="s">
        <v>1950</v>
      </c>
      <c r="D403" s="90">
        <v>4999</v>
      </c>
      <c r="E403" s="90">
        <v>5132</v>
      </c>
      <c r="F403" s="90" t="s">
        <v>1454</v>
      </c>
      <c r="G403" s="90"/>
      <c r="H403" s="93"/>
      <c r="I403" s="93"/>
      <c r="J403" s="93"/>
      <c r="K403" s="95"/>
      <c r="L403" s="69"/>
      <c r="M403" s="69"/>
      <c r="N403" s="69"/>
      <c r="O403" s="69"/>
      <c r="P403" s="78"/>
      <c r="Q403" s="96"/>
      <c r="R403" s="97"/>
      <c r="S403" s="98"/>
    </row>
    <row r="404" spans="1:19" ht="42.75">
      <c r="A404" s="142" t="s">
        <v>49</v>
      </c>
      <c r="B404" s="91" t="s">
        <v>488</v>
      </c>
      <c r="C404" s="91" t="s">
        <v>2203</v>
      </c>
      <c r="D404" s="90">
        <v>5723</v>
      </c>
      <c r="E404" s="90">
        <v>5910</v>
      </c>
      <c r="F404" s="90" t="s">
        <v>1454</v>
      </c>
      <c r="G404" s="90"/>
      <c r="H404" s="93"/>
      <c r="I404" s="93"/>
      <c r="J404" s="93"/>
      <c r="K404" s="95"/>
      <c r="L404" s="69"/>
      <c r="M404" s="69"/>
      <c r="N404" s="69"/>
      <c r="O404" s="69"/>
      <c r="P404" s="78"/>
      <c r="Q404" s="96"/>
      <c r="R404" s="97"/>
      <c r="S404" s="98"/>
    </row>
    <row r="405" spans="1:19" ht="42.75">
      <c r="A405" s="142" t="s">
        <v>49</v>
      </c>
      <c r="B405" s="91" t="s">
        <v>488</v>
      </c>
      <c r="C405" s="91" t="s">
        <v>2204</v>
      </c>
      <c r="D405" s="90">
        <v>3223</v>
      </c>
      <c r="E405" s="90">
        <v>3954</v>
      </c>
      <c r="F405" s="90" t="s">
        <v>1454</v>
      </c>
      <c r="G405" s="90"/>
      <c r="H405" s="93"/>
      <c r="I405" s="93"/>
      <c r="J405" s="93"/>
      <c r="K405" s="95"/>
      <c r="L405" s="69"/>
      <c r="M405" s="69"/>
      <c r="N405" s="69"/>
      <c r="O405" s="69"/>
      <c r="P405" s="78"/>
      <c r="Q405" s="96"/>
      <c r="R405" s="97"/>
      <c r="S405" s="98"/>
    </row>
    <row r="406" spans="1:19" ht="42.75">
      <c r="A406" s="142" t="s">
        <v>49</v>
      </c>
      <c r="B406" s="91" t="s">
        <v>401</v>
      </c>
      <c r="C406" s="91" t="s">
        <v>2205</v>
      </c>
      <c r="D406" s="90">
        <v>7243</v>
      </c>
      <c r="E406" s="90">
        <v>8360</v>
      </c>
      <c r="F406" s="90" t="s">
        <v>1434</v>
      </c>
      <c r="G406" s="90">
        <v>2024</v>
      </c>
      <c r="H406" s="101">
        <v>45393</v>
      </c>
      <c r="I406" s="101">
        <v>45397</v>
      </c>
      <c r="J406" s="94" t="s">
        <v>2206</v>
      </c>
      <c r="K406" s="95" t="s">
        <v>2207</v>
      </c>
      <c r="L406" s="69" t="s">
        <v>77</v>
      </c>
      <c r="M406" s="69"/>
      <c r="N406" s="69"/>
      <c r="O406" s="69" t="s">
        <v>1436</v>
      </c>
      <c r="P406" s="78"/>
      <c r="Q406" s="96"/>
      <c r="R406" s="97"/>
      <c r="S406" s="98"/>
    </row>
    <row r="407" spans="1:19" ht="42.75">
      <c r="A407" s="90" t="s">
        <v>49</v>
      </c>
      <c r="B407" s="91" t="s">
        <v>401</v>
      </c>
      <c r="C407" s="91" t="s">
        <v>725</v>
      </c>
      <c r="D407" s="90">
        <v>10190</v>
      </c>
      <c r="E407" s="90">
        <v>10780</v>
      </c>
      <c r="F407" s="90" t="s">
        <v>1434</v>
      </c>
      <c r="G407" s="90">
        <v>2024</v>
      </c>
      <c r="H407" s="101">
        <v>45393</v>
      </c>
      <c r="I407" s="101">
        <v>45397</v>
      </c>
      <c r="J407" s="94" t="s">
        <v>2208</v>
      </c>
      <c r="K407" s="95" t="s">
        <v>2207</v>
      </c>
      <c r="L407" s="69" t="s">
        <v>77</v>
      </c>
      <c r="M407" s="69"/>
      <c r="N407" s="69"/>
      <c r="O407" s="69" t="s">
        <v>1436</v>
      </c>
      <c r="P407" s="78"/>
      <c r="Q407" s="96"/>
      <c r="R407" s="97"/>
      <c r="S407" s="98"/>
    </row>
    <row r="408" spans="1:19" ht="42.75">
      <c r="A408" s="90" t="s">
        <v>49</v>
      </c>
      <c r="B408" s="91" t="s">
        <v>401</v>
      </c>
      <c r="C408" s="91" t="s">
        <v>1064</v>
      </c>
      <c r="D408" s="90">
        <v>1949</v>
      </c>
      <c r="E408" s="90">
        <v>2081</v>
      </c>
      <c r="F408" s="90" t="s">
        <v>1434</v>
      </c>
      <c r="G408" s="90">
        <v>2024</v>
      </c>
      <c r="H408" s="101">
        <v>45393</v>
      </c>
      <c r="I408" s="101">
        <v>45397</v>
      </c>
      <c r="J408" s="94" t="s">
        <v>2209</v>
      </c>
      <c r="K408" s="95" t="s">
        <v>2207</v>
      </c>
      <c r="L408" s="69" t="s">
        <v>77</v>
      </c>
      <c r="M408" s="69"/>
      <c r="N408" s="69"/>
      <c r="O408" s="69" t="s">
        <v>1436</v>
      </c>
      <c r="P408" s="78"/>
      <c r="Q408" s="96"/>
      <c r="R408" s="97"/>
      <c r="S408" s="98"/>
    </row>
    <row r="409" spans="1:19" ht="42.75">
      <c r="A409" s="90" t="s">
        <v>49</v>
      </c>
      <c r="B409" s="91" t="s">
        <v>401</v>
      </c>
      <c r="C409" s="91" t="s">
        <v>1039</v>
      </c>
      <c r="D409" s="90">
        <v>2779</v>
      </c>
      <c r="E409" s="90">
        <v>2711</v>
      </c>
      <c r="F409" s="90" t="s">
        <v>1434</v>
      </c>
      <c r="G409" s="90">
        <v>2024</v>
      </c>
      <c r="H409" s="101">
        <v>45394</v>
      </c>
      <c r="I409" s="101">
        <v>45397</v>
      </c>
      <c r="J409" s="94" t="s">
        <v>2210</v>
      </c>
      <c r="K409" s="95" t="s">
        <v>2207</v>
      </c>
      <c r="L409" s="69" t="s">
        <v>77</v>
      </c>
      <c r="M409" s="69"/>
      <c r="N409" s="69"/>
      <c r="O409" s="69" t="s">
        <v>1436</v>
      </c>
      <c r="P409" s="78"/>
      <c r="Q409" s="96"/>
      <c r="R409" s="97"/>
      <c r="S409" s="98"/>
    </row>
    <row r="410" spans="1:19" ht="42.75">
      <c r="A410" s="90" t="s">
        <v>49</v>
      </c>
      <c r="B410" s="91" t="s">
        <v>401</v>
      </c>
      <c r="C410" s="91" t="s">
        <v>2211</v>
      </c>
      <c r="D410" s="90">
        <v>12578</v>
      </c>
      <c r="E410" s="90">
        <v>13992</v>
      </c>
      <c r="F410" s="90" t="s">
        <v>1434</v>
      </c>
      <c r="G410" s="90">
        <v>2024</v>
      </c>
      <c r="H410" s="101">
        <v>45394</v>
      </c>
      <c r="I410" s="101">
        <v>45397</v>
      </c>
      <c r="J410" s="94" t="s">
        <v>2212</v>
      </c>
      <c r="K410" s="95" t="s">
        <v>2207</v>
      </c>
      <c r="L410" s="69" t="s">
        <v>77</v>
      </c>
      <c r="M410" s="69"/>
      <c r="N410" s="69"/>
      <c r="O410" s="69" t="s">
        <v>1436</v>
      </c>
      <c r="P410" s="78"/>
      <c r="Q410" s="96"/>
      <c r="R410" s="97"/>
      <c r="S410" s="98"/>
    </row>
    <row r="411" spans="1:19" ht="42.75">
      <c r="A411" s="142" t="s">
        <v>49</v>
      </c>
      <c r="B411" s="91" t="s">
        <v>401</v>
      </c>
      <c r="C411" s="91" t="s">
        <v>2213</v>
      </c>
      <c r="D411" s="90">
        <v>7701</v>
      </c>
      <c r="E411" s="90">
        <v>7759</v>
      </c>
      <c r="F411" s="90" t="s">
        <v>1434</v>
      </c>
      <c r="G411" s="90">
        <v>2024</v>
      </c>
      <c r="H411" s="101">
        <v>45393</v>
      </c>
      <c r="I411" s="101">
        <v>45397</v>
      </c>
      <c r="J411" s="94" t="s">
        <v>2214</v>
      </c>
      <c r="K411" s="95" t="s">
        <v>2207</v>
      </c>
      <c r="L411" s="69" t="s">
        <v>77</v>
      </c>
      <c r="M411" s="69"/>
      <c r="N411" s="69"/>
      <c r="O411" s="69" t="s">
        <v>1436</v>
      </c>
      <c r="P411" s="78"/>
      <c r="Q411" s="96"/>
      <c r="R411" s="97"/>
      <c r="S411" s="98"/>
    </row>
    <row r="412" spans="1:19" ht="42.75">
      <c r="A412" s="90" t="s">
        <v>49</v>
      </c>
      <c r="B412" s="91" t="s">
        <v>401</v>
      </c>
      <c r="C412" s="91" t="s">
        <v>764</v>
      </c>
      <c r="D412" s="90">
        <v>10158</v>
      </c>
      <c r="E412" s="90">
        <v>9415</v>
      </c>
      <c r="F412" s="90" t="s">
        <v>1434</v>
      </c>
      <c r="G412" s="90">
        <v>2024</v>
      </c>
      <c r="H412" s="92">
        <v>45365</v>
      </c>
      <c r="I412" s="93"/>
      <c r="J412" s="94" t="s">
        <v>2215</v>
      </c>
      <c r="K412" s="95"/>
      <c r="L412" s="69" t="s">
        <v>76</v>
      </c>
      <c r="M412" s="69"/>
      <c r="N412" s="69"/>
      <c r="O412" s="69"/>
      <c r="P412" s="78"/>
      <c r="Q412" s="96"/>
      <c r="R412" s="97"/>
      <c r="S412" s="98"/>
    </row>
    <row r="413" spans="1:19" ht="42.75">
      <c r="A413" s="90" t="s">
        <v>49</v>
      </c>
      <c r="B413" s="91" t="s">
        <v>401</v>
      </c>
      <c r="C413" s="91" t="s">
        <v>627</v>
      </c>
      <c r="D413" s="90">
        <v>16346</v>
      </c>
      <c r="E413" s="90">
        <v>17050</v>
      </c>
      <c r="F413" s="90" t="s">
        <v>1434</v>
      </c>
      <c r="G413" s="90">
        <v>2024</v>
      </c>
      <c r="H413" s="101">
        <v>45393</v>
      </c>
      <c r="I413" s="101">
        <v>45397</v>
      </c>
      <c r="J413" s="94" t="s">
        <v>2216</v>
      </c>
      <c r="K413" s="100">
        <v>45398</v>
      </c>
      <c r="L413" s="69" t="s">
        <v>77</v>
      </c>
      <c r="M413" s="69"/>
      <c r="N413" s="69"/>
      <c r="O413" s="69" t="s">
        <v>1436</v>
      </c>
      <c r="P413" s="78"/>
      <c r="Q413" s="96"/>
      <c r="R413" s="97"/>
      <c r="S413" s="98"/>
    </row>
    <row r="414" spans="1:19" ht="42.75">
      <c r="A414" s="142" t="s">
        <v>49</v>
      </c>
      <c r="B414" s="91" t="s">
        <v>401</v>
      </c>
      <c r="C414" s="91" t="s">
        <v>1719</v>
      </c>
      <c r="D414" s="90">
        <v>4985</v>
      </c>
      <c r="E414" s="90">
        <v>4870</v>
      </c>
      <c r="F414" s="90" t="s">
        <v>1434</v>
      </c>
      <c r="G414" s="90">
        <v>2024</v>
      </c>
      <c r="H414" s="101">
        <v>45394</v>
      </c>
      <c r="I414" s="101">
        <v>45397</v>
      </c>
      <c r="J414" s="94" t="s">
        <v>2217</v>
      </c>
      <c r="K414" s="100">
        <v>45398</v>
      </c>
      <c r="L414" s="69" t="s">
        <v>77</v>
      </c>
      <c r="M414" s="69"/>
      <c r="N414" s="69"/>
      <c r="O414" s="69" t="s">
        <v>1436</v>
      </c>
      <c r="P414" s="78"/>
      <c r="Q414" s="96"/>
      <c r="R414" s="97"/>
      <c r="S414" s="98"/>
    </row>
    <row r="415" spans="1:19" ht="42.75">
      <c r="A415" s="90" t="s">
        <v>49</v>
      </c>
      <c r="B415" s="91" t="s">
        <v>2218</v>
      </c>
      <c r="C415" s="91" t="s">
        <v>2219</v>
      </c>
      <c r="D415" s="90">
        <v>5616</v>
      </c>
      <c r="E415" s="90">
        <v>4249</v>
      </c>
      <c r="F415" s="90" t="s">
        <v>1454</v>
      </c>
      <c r="G415" s="90"/>
      <c r="H415" s="93"/>
      <c r="I415" s="93"/>
      <c r="J415" s="93"/>
      <c r="K415" s="95"/>
      <c r="L415" s="69"/>
      <c r="M415" s="69"/>
      <c r="N415" s="69"/>
      <c r="O415" s="69"/>
      <c r="P415" s="78"/>
      <c r="Q415" s="96"/>
      <c r="R415" s="97"/>
      <c r="S415" s="98"/>
    </row>
    <row r="416" spans="1:19" ht="42.75">
      <c r="A416" s="142" t="s">
        <v>49</v>
      </c>
      <c r="B416" s="91" t="s">
        <v>2218</v>
      </c>
      <c r="C416" s="91" t="s">
        <v>2220</v>
      </c>
      <c r="D416" s="90">
        <v>3051</v>
      </c>
      <c r="E416" s="90">
        <v>3385</v>
      </c>
      <c r="F416" s="90" t="s">
        <v>1454</v>
      </c>
      <c r="G416" s="90"/>
      <c r="H416" s="93"/>
      <c r="I416" s="93"/>
      <c r="J416" s="93"/>
      <c r="K416" s="95"/>
      <c r="L416" s="69"/>
      <c r="M416" s="69"/>
      <c r="N416" s="69"/>
      <c r="O416" s="69"/>
      <c r="P416" s="78"/>
      <c r="Q416" s="96"/>
      <c r="R416" s="97"/>
      <c r="S416" s="98"/>
    </row>
    <row r="417" spans="1:19" ht="42.75">
      <c r="A417" s="90" t="s">
        <v>49</v>
      </c>
      <c r="B417" s="91" t="s">
        <v>2218</v>
      </c>
      <c r="C417" s="91" t="s">
        <v>2221</v>
      </c>
      <c r="D417" s="90">
        <v>2784</v>
      </c>
      <c r="E417" s="90">
        <v>3522</v>
      </c>
      <c r="F417" s="90" t="s">
        <v>1454</v>
      </c>
      <c r="G417" s="90"/>
      <c r="H417" s="93"/>
      <c r="I417" s="93"/>
      <c r="J417" s="93"/>
      <c r="K417" s="95"/>
      <c r="L417" s="69"/>
      <c r="M417" s="69"/>
      <c r="N417" s="69"/>
      <c r="O417" s="69"/>
      <c r="P417" s="78"/>
      <c r="Q417" s="96"/>
      <c r="R417" s="97"/>
      <c r="S417" s="98"/>
    </row>
    <row r="418" spans="1:19" ht="42.75">
      <c r="A418" s="90" t="s">
        <v>49</v>
      </c>
      <c r="B418" s="91" t="s">
        <v>2218</v>
      </c>
      <c r="C418" s="91" t="s">
        <v>2222</v>
      </c>
      <c r="D418" s="90">
        <v>1916</v>
      </c>
      <c r="E418" s="90">
        <v>2123</v>
      </c>
      <c r="F418" s="90" t="s">
        <v>1454</v>
      </c>
      <c r="G418" s="90"/>
      <c r="H418" s="93"/>
      <c r="I418" s="93"/>
      <c r="J418" s="93"/>
      <c r="K418" s="95"/>
      <c r="L418" s="69"/>
      <c r="M418" s="69"/>
      <c r="N418" s="69"/>
      <c r="O418" s="69"/>
      <c r="P418" s="78"/>
      <c r="Q418" s="96"/>
      <c r="R418" s="97"/>
      <c r="S418" s="98"/>
    </row>
    <row r="419" spans="1:19" ht="135">
      <c r="A419" s="142" t="s">
        <v>49</v>
      </c>
      <c r="B419" s="91" t="s">
        <v>2218</v>
      </c>
      <c r="C419" s="91" t="s">
        <v>250</v>
      </c>
      <c r="D419" s="90">
        <v>9933</v>
      </c>
      <c r="E419" s="90">
        <v>10159</v>
      </c>
      <c r="F419" s="90" t="s">
        <v>1434</v>
      </c>
      <c r="G419" s="90">
        <v>2024</v>
      </c>
      <c r="H419" s="101">
        <v>45484</v>
      </c>
      <c r="I419" s="101">
        <v>45485</v>
      </c>
      <c r="J419" s="94" t="s">
        <v>2223</v>
      </c>
      <c r="K419" s="100">
        <v>45489</v>
      </c>
      <c r="L419" s="69" t="s">
        <v>80</v>
      </c>
      <c r="M419" s="69" t="s">
        <v>4</v>
      </c>
      <c r="N419" s="69" t="s">
        <v>108</v>
      </c>
      <c r="O419" s="69" t="s">
        <v>1436</v>
      </c>
      <c r="P419" s="78"/>
      <c r="Q419" s="96">
        <v>45490</v>
      </c>
      <c r="R419" s="97" t="s">
        <v>2224</v>
      </c>
      <c r="S419" s="98"/>
    </row>
    <row r="420" spans="1:19" ht="42.75">
      <c r="A420" s="142" t="s">
        <v>49</v>
      </c>
      <c r="B420" s="91" t="s">
        <v>2218</v>
      </c>
      <c r="C420" s="91" t="s">
        <v>2225</v>
      </c>
      <c r="D420" s="90">
        <v>2140</v>
      </c>
      <c r="E420" s="90">
        <v>2226</v>
      </c>
      <c r="F420" s="90" t="s">
        <v>1454</v>
      </c>
      <c r="G420" s="90"/>
      <c r="H420" s="93"/>
      <c r="I420" s="93"/>
      <c r="J420" s="93"/>
      <c r="K420" s="95"/>
      <c r="L420" s="69"/>
      <c r="M420" s="69"/>
      <c r="N420" s="69"/>
      <c r="O420" s="69"/>
      <c r="P420" s="78"/>
      <c r="Q420" s="96"/>
      <c r="R420" s="97"/>
      <c r="S420" s="98"/>
    </row>
    <row r="421" spans="1:19" ht="42.75">
      <c r="A421" s="142" t="s">
        <v>49</v>
      </c>
      <c r="B421" s="91" t="s">
        <v>2218</v>
      </c>
      <c r="C421" s="91" t="s">
        <v>2226</v>
      </c>
      <c r="D421" s="90">
        <v>11715</v>
      </c>
      <c r="E421" s="90">
        <v>12637</v>
      </c>
      <c r="F421" s="90" t="s">
        <v>1454</v>
      </c>
      <c r="G421" s="90"/>
      <c r="H421" s="93"/>
      <c r="I421" s="93"/>
      <c r="J421" s="93"/>
      <c r="K421" s="95"/>
      <c r="L421" s="69"/>
      <c r="M421" s="69"/>
      <c r="N421" s="69"/>
      <c r="O421" s="69"/>
      <c r="P421" s="78"/>
      <c r="Q421" s="96"/>
      <c r="R421" s="97"/>
      <c r="S421" s="98"/>
    </row>
    <row r="422" spans="1:19" ht="42.75">
      <c r="A422" s="90" t="s">
        <v>49</v>
      </c>
      <c r="B422" s="91" t="s">
        <v>2218</v>
      </c>
      <c r="C422" s="91" t="s">
        <v>2227</v>
      </c>
      <c r="D422" s="90">
        <v>2630</v>
      </c>
      <c r="E422" s="90">
        <v>3332</v>
      </c>
      <c r="F422" s="90" t="s">
        <v>1454</v>
      </c>
      <c r="G422" s="90"/>
      <c r="H422" s="93"/>
      <c r="I422" s="93"/>
      <c r="J422" s="93"/>
      <c r="K422" s="95"/>
      <c r="L422" s="69"/>
      <c r="M422" s="69"/>
      <c r="N422" s="69"/>
      <c r="O422" s="69"/>
      <c r="P422" s="78"/>
      <c r="Q422" s="96"/>
      <c r="R422" s="97"/>
      <c r="S422" s="98"/>
    </row>
    <row r="423" spans="1:19" ht="42.75">
      <c r="A423" s="142" t="s">
        <v>49</v>
      </c>
      <c r="B423" s="91" t="s">
        <v>2218</v>
      </c>
      <c r="C423" s="91" t="s">
        <v>2228</v>
      </c>
      <c r="D423" s="90">
        <v>3843</v>
      </c>
      <c r="E423" s="90">
        <v>7235</v>
      </c>
      <c r="F423" s="90" t="s">
        <v>1454</v>
      </c>
      <c r="G423" s="90"/>
      <c r="H423" s="93"/>
      <c r="I423" s="93"/>
      <c r="J423" s="93"/>
      <c r="K423" s="95"/>
      <c r="L423" s="69"/>
      <c r="M423" s="69"/>
      <c r="N423" s="69"/>
      <c r="O423" s="69"/>
      <c r="P423" s="78"/>
      <c r="Q423" s="96"/>
      <c r="R423" s="97"/>
      <c r="S423" s="98"/>
    </row>
    <row r="424" spans="1:19" ht="42.75">
      <c r="A424" s="90" t="s">
        <v>49</v>
      </c>
      <c r="B424" s="91" t="s">
        <v>2218</v>
      </c>
      <c r="C424" s="91" t="s">
        <v>2229</v>
      </c>
      <c r="D424" s="90">
        <v>1517</v>
      </c>
      <c r="E424" s="90">
        <v>1863</v>
      </c>
      <c r="F424" s="90" t="s">
        <v>1454</v>
      </c>
      <c r="G424" s="90"/>
      <c r="H424" s="93"/>
      <c r="I424" s="93"/>
      <c r="J424" s="93"/>
      <c r="K424" s="95"/>
      <c r="L424" s="69"/>
      <c r="M424" s="69"/>
      <c r="N424" s="69"/>
      <c r="O424" s="69"/>
      <c r="P424" s="78"/>
      <c r="Q424" s="96"/>
      <c r="R424" s="97"/>
      <c r="S424" s="98"/>
    </row>
    <row r="425" spans="1:19" ht="42.75">
      <c r="A425" s="90" t="s">
        <v>49</v>
      </c>
      <c r="B425" s="91" t="s">
        <v>2218</v>
      </c>
      <c r="C425" s="91" t="s">
        <v>2230</v>
      </c>
      <c r="D425" s="90">
        <v>2229</v>
      </c>
      <c r="E425" s="90">
        <v>2648</v>
      </c>
      <c r="F425" s="90" t="s">
        <v>1454</v>
      </c>
      <c r="G425" s="90"/>
      <c r="H425" s="93"/>
      <c r="I425" s="93"/>
      <c r="J425" s="93"/>
      <c r="K425" s="95"/>
      <c r="L425" s="69"/>
      <c r="M425" s="69"/>
      <c r="N425" s="69"/>
      <c r="O425" s="69"/>
      <c r="P425" s="78"/>
      <c r="Q425" s="96"/>
      <c r="R425" s="97"/>
      <c r="S425" s="98"/>
    </row>
    <row r="426" spans="1:19" ht="42.75">
      <c r="A426" s="142" t="s">
        <v>49</v>
      </c>
      <c r="B426" s="91" t="s">
        <v>2218</v>
      </c>
      <c r="C426" s="91" t="s">
        <v>2231</v>
      </c>
      <c r="D426" s="90">
        <v>5357</v>
      </c>
      <c r="E426" s="90">
        <v>6580</v>
      </c>
      <c r="F426" s="90" t="s">
        <v>1454</v>
      </c>
      <c r="G426" s="90"/>
      <c r="H426" s="93"/>
      <c r="I426" s="93"/>
      <c r="J426" s="93"/>
      <c r="K426" s="95"/>
      <c r="L426" s="69"/>
      <c r="M426" s="69"/>
      <c r="N426" s="69"/>
      <c r="O426" s="69"/>
      <c r="P426" s="78"/>
      <c r="Q426" s="96"/>
      <c r="R426" s="97"/>
      <c r="S426" s="98"/>
    </row>
    <row r="427" spans="1:19" ht="42.75">
      <c r="A427" s="90" t="s">
        <v>49</v>
      </c>
      <c r="B427" s="91" t="s">
        <v>2218</v>
      </c>
      <c r="C427" s="91" t="s">
        <v>926</v>
      </c>
      <c r="D427" s="90">
        <v>9448</v>
      </c>
      <c r="E427" s="90">
        <v>10573</v>
      </c>
      <c r="F427" s="90" t="s">
        <v>1454</v>
      </c>
      <c r="G427" s="90"/>
      <c r="H427" s="93"/>
      <c r="I427" s="93"/>
      <c r="J427" s="93"/>
      <c r="K427" s="95"/>
      <c r="L427" s="69"/>
      <c r="M427" s="69"/>
      <c r="N427" s="69"/>
      <c r="O427" s="69"/>
      <c r="P427" s="78"/>
      <c r="Q427" s="96"/>
      <c r="R427" s="97"/>
      <c r="S427" s="98"/>
    </row>
    <row r="428" spans="1:19" ht="210">
      <c r="A428" s="142" t="s">
        <v>49</v>
      </c>
      <c r="B428" s="91" t="s">
        <v>2218</v>
      </c>
      <c r="C428" s="91" t="s">
        <v>794</v>
      </c>
      <c r="D428" s="90">
        <v>11350</v>
      </c>
      <c r="E428" s="90">
        <v>12547</v>
      </c>
      <c r="F428" s="90" t="s">
        <v>1434</v>
      </c>
      <c r="G428" s="90">
        <v>2024</v>
      </c>
      <c r="H428" s="101">
        <v>45573</v>
      </c>
      <c r="I428" s="101">
        <v>45574</v>
      </c>
      <c r="J428" s="94" t="s">
        <v>2232</v>
      </c>
      <c r="K428" s="100">
        <v>45584</v>
      </c>
      <c r="L428" s="69" t="s">
        <v>83</v>
      </c>
      <c r="M428" s="69" t="s">
        <v>4</v>
      </c>
      <c r="N428" s="69" t="s">
        <v>108</v>
      </c>
      <c r="O428" s="69" t="s">
        <v>1436</v>
      </c>
      <c r="P428" s="78"/>
      <c r="Q428" s="96">
        <v>45586</v>
      </c>
      <c r="R428" s="96" t="s">
        <v>929</v>
      </c>
      <c r="S428" s="96" t="s">
        <v>2233</v>
      </c>
    </row>
    <row r="429" spans="1:19" ht="42.75">
      <c r="A429" s="142" t="s">
        <v>49</v>
      </c>
      <c r="B429" s="91" t="s">
        <v>2218</v>
      </c>
      <c r="C429" s="91" t="s">
        <v>427</v>
      </c>
      <c r="D429" s="90">
        <v>6575</v>
      </c>
      <c r="E429" s="90">
        <v>6739</v>
      </c>
      <c r="F429" s="90" t="s">
        <v>1454</v>
      </c>
      <c r="G429" s="90"/>
      <c r="H429" s="93"/>
      <c r="I429" s="93"/>
      <c r="J429" s="93"/>
      <c r="K429" s="95"/>
      <c r="L429" s="69"/>
      <c r="M429" s="69"/>
      <c r="N429" s="69"/>
      <c r="O429" s="69"/>
      <c r="P429" s="78"/>
      <c r="Q429" s="96"/>
      <c r="R429" s="97"/>
      <c r="S429" s="98"/>
    </row>
    <row r="430" spans="1:19" ht="42.75">
      <c r="A430" s="90" t="s">
        <v>49</v>
      </c>
      <c r="B430" s="91" t="s">
        <v>2218</v>
      </c>
      <c r="C430" s="91" t="s">
        <v>2234</v>
      </c>
      <c r="D430" s="90">
        <v>3554</v>
      </c>
      <c r="E430" s="90">
        <v>3967</v>
      </c>
      <c r="F430" s="90" t="s">
        <v>1454</v>
      </c>
      <c r="G430" s="90"/>
      <c r="H430" s="93"/>
      <c r="I430" s="93"/>
      <c r="J430" s="93"/>
      <c r="K430" s="95"/>
      <c r="L430" s="69"/>
      <c r="M430" s="69"/>
      <c r="N430" s="69"/>
      <c r="O430" s="69"/>
      <c r="P430" s="78"/>
      <c r="Q430" s="96"/>
      <c r="R430" s="97"/>
      <c r="S430" s="98"/>
    </row>
    <row r="431" spans="1:19" ht="42.75">
      <c r="A431" s="142" t="s">
        <v>49</v>
      </c>
      <c r="B431" s="91" t="s">
        <v>2218</v>
      </c>
      <c r="C431" s="91" t="s">
        <v>2235</v>
      </c>
      <c r="D431" s="90">
        <v>11676</v>
      </c>
      <c r="E431" s="90">
        <v>12638</v>
      </c>
      <c r="F431" s="90" t="s">
        <v>1454</v>
      </c>
      <c r="G431" s="90"/>
      <c r="H431" s="93"/>
      <c r="I431" s="93"/>
      <c r="J431" s="93"/>
      <c r="K431" s="95"/>
      <c r="L431" s="69"/>
      <c r="M431" s="69"/>
      <c r="N431" s="69"/>
      <c r="O431" s="69"/>
      <c r="P431" s="78"/>
      <c r="Q431" s="96"/>
      <c r="R431" s="97"/>
      <c r="S431" s="98"/>
    </row>
    <row r="432" spans="1:19" ht="42.75">
      <c r="A432" s="90" t="s">
        <v>49</v>
      </c>
      <c r="B432" s="91" t="s">
        <v>2218</v>
      </c>
      <c r="C432" s="91" t="s">
        <v>2236</v>
      </c>
      <c r="D432" s="90">
        <v>8840</v>
      </c>
      <c r="E432" s="90">
        <v>9600</v>
      </c>
      <c r="F432" s="90" t="s">
        <v>1434</v>
      </c>
      <c r="G432" s="90">
        <v>2024</v>
      </c>
      <c r="H432" s="101">
        <v>45580</v>
      </c>
      <c r="I432" s="101">
        <v>45574</v>
      </c>
      <c r="J432" s="94" t="s">
        <v>2237</v>
      </c>
      <c r="K432" s="100">
        <v>45584</v>
      </c>
      <c r="L432" s="69" t="s">
        <v>83</v>
      </c>
      <c r="M432" s="69" t="s">
        <v>4</v>
      </c>
      <c r="N432" s="69" t="s">
        <v>108</v>
      </c>
      <c r="O432" s="69" t="s">
        <v>1436</v>
      </c>
      <c r="P432" s="78"/>
      <c r="Q432" s="96">
        <v>45586</v>
      </c>
      <c r="R432" s="97" t="s">
        <v>929</v>
      </c>
      <c r="S432" s="98"/>
    </row>
    <row r="433" spans="1:19" ht="42.75">
      <c r="A433" s="142" t="s">
        <v>49</v>
      </c>
      <c r="B433" s="91" t="s">
        <v>2218</v>
      </c>
      <c r="C433" s="91" t="s">
        <v>1879</v>
      </c>
      <c r="D433" s="90">
        <v>3818</v>
      </c>
      <c r="E433" s="90">
        <v>4324</v>
      </c>
      <c r="F433" s="90" t="s">
        <v>1454</v>
      </c>
      <c r="G433" s="90">
        <v>2025</v>
      </c>
      <c r="H433" s="93"/>
      <c r="I433" s="93"/>
      <c r="J433" s="93"/>
      <c r="K433" s="95"/>
      <c r="L433" s="69" t="s">
        <v>74</v>
      </c>
      <c r="M433" s="69"/>
      <c r="N433" s="69"/>
      <c r="O433" s="69"/>
      <c r="P433" s="78"/>
      <c r="Q433" s="96"/>
      <c r="R433" s="97"/>
      <c r="S433" s="98"/>
    </row>
    <row r="434" spans="1:19" ht="42.75">
      <c r="A434" s="90" t="s">
        <v>49</v>
      </c>
      <c r="B434" s="91" t="s">
        <v>2218</v>
      </c>
      <c r="C434" s="91" t="s">
        <v>1049</v>
      </c>
      <c r="D434" s="90">
        <v>5506</v>
      </c>
      <c r="E434" s="90">
        <v>6437</v>
      </c>
      <c r="F434" s="90" t="s">
        <v>1434</v>
      </c>
      <c r="G434" s="90">
        <v>2024</v>
      </c>
      <c r="H434" s="101">
        <v>45397</v>
      </c>
      <c r="I434" s="101">
        <v>45397</v>
      </c>
      <c r="J434" s="94" t="s">
        <v>2238</v>
      </c>
      <c r="K434" s="100">
        <v>45398</v>
      </c>
      <c r="L434" s="69" t="s">
        <v>77</v>
      </c>
      <c r="M434" s="69"/>
      <c r="N434" s="69"/>
      <c r="O434" s="69" t="s">
        <v>1436</v>
      </c>
      <c r="P434" s="78"/>
      <c r="Q434" s="96"/>
      <c r="R434" s="97"/>
      <c r="S434" s="98"/>
    </row>
    <row r="435" spans="1:19" ht="300">
      <c r="A435" s="90" t="s">
        <v>49</v>
      </c>
      <c r="B435" s="91" t="s">
        <v>2218</v>
      </c>
      <c r="C435" s="91" t="s">
        <v>2239</v>
      </c>
      <c r="D435" s="90">
        <v>5070</v>
      </c>
      <c r="E435" s="90">
        <v>5894</v>
      </c>
      <c r="F435" s="90" t="s">
        <v>1434</v>
      </c>
      <c r="G435" s="90">
        <v>2024</v>
      </c>
      <c r="H435" s="101">
        <v>45574</v>
      </c>
      <c r="I435" s="101">
        <v>45574</v>
      </c>
      <c r="J435" s="94" t="s">
        <v>2240</v>
      </c>
      <c r="K435" s="100">
        <v>45584</v>
      </c>
      <c r="L435" s="69" t="s">
        <v>83</v>
      </c>
      <c r="M435" s="69" t="s">
        <v>4</v>
      </c>
      <c r="N435" s="69" t="s">
        <v>108</v>
      </c>
      <c r="O435" s="69" t="s">
        <v>1436</v>
      </c>
      <c r="P435" s="78"/>
      <c r="Q435" s="96">
        <v>45586</v>
      </c>
      <c r="R435" s="96" t="s">
        <v>929</v>
      </c>
      <c r="S435" s="96" t="s">
        <v>2241</v>
      </c>
    </row>
    <row r="436" spans="1:19" ht="42.75">
      <c r="A436" s="90" t="s">
        <v>49</v>
      </c>
      <c r="B436" s="91" t="s">
        <v>2218</v>
      </c>
      <c r="C436" s="91" t="s">
        <v>2242</v>
      </c>
      <c r="D436" s="90">
        <v>5699</v>
      </c>
      <c r="E436" s="90">
        <v>7767</v>
      </c>
      <c r="F436" s="90" t="s">
        <v>1434</v>
      </c>
      <c r="G436" s="90">
        <v>2024</v>
      </c>
      <c r="H436" s="101">
        <v>45573</v>
      </c>
      <c r="I436" s="101">
        <v>45574</v>
      </c>
      <c r="J436" s="94" t="s">
        <v>2243</v>
      </c>
      <c r="K436" s="100">
        <v>45584</v>
      </c>
      <c r="L436" s="69" t="s">
        <v>83</v>
      </c>
      <c r="M436" s="69" t="s">
        <v>4</v>
      </c>
      <c r="N436" s="69" t="s">
        <v>101</v>
      </c>
      <c r="O436" s="69" t="s">
        <v>1436</v>
      </c>
      <c r="P436" s="78"/>
      <c r="Q436" s="96">
        <v>45586</v>
      </c>
      <c r="R436" s="96" t="s">
        <v>929</v>
      </c>
      <c r="S436" s="98"/>
    </row>
    <row r="437" spans="1:19" ht="42.75">
      <c r="A437" s="142" t="s">
        <v>49</v>
      </c>
      <c r="B437" s="91" t="s">
        <v>2218</v>
      </c>
      <c r="C437" s="91" t="s">
        <v>2244</v>
      </c>
      <c r="D437" s="90">
        <v>7333</v>
      </c>
      <c r="E437" s="90">
        <v>8809</v>
      </c>
      <c r="F437" s="90" t="s">
        <v>1454</v>
      </c>
      <c r="G437" s="90"/>
      <c r="H437" s="93"/>
      <c r="I437" s="93"/>
      <c r="J437" s="93"/>
      <c r="K437" s="95"/>
      <c r="L437" s="69"/>
      <c r="M437" s="69"/>
      <c r="N437" s="69"/>
      <c r="O437" s="69"/>
      <c r="P437" s="78"/>
      <c r="Q437" s="96"/>
      <c r="R437" s="97"/>
      <c r="S437" s="98"/>
    </row>
    <row r="438" spans="1:19" ht="270">
      <c r="A438" s="90" t="s">
        <v>49</v>
      </c>
      <c r="B438" s="91" t="s">
        <v>2218</v>
      </c>
      <c r="C438" s="91" t="s">
        <v>2245</v>
      </c>
      <c r="D438" s="90">
        <v>5006</v>
      </c>
      <c r="E438" s="90">
        <v>5861</v>
      </c>
      <c r="F438" s="90" t="s">
        <v>1434</v>
      </c>
      <c r="G438" s="90">
        <v>2024</v>
      </c>
      <c r="H438" s="101">
        <v>45574</v>
      </c>
      <c r="I438" s="101">
        <v>45574</v>
      </c>
      <c r="J438" s="94" t="s">
        <v>2246</v>
      </c>
      <c r="K438" s="100">
        <v>45584</v>
      </c>
      <c r="L438" s="69" t="s">
        <v>83</v>
      </c>
      <c r="M438" s="69" t="s">
        <v>4</v>
      </c>
      <c r="N438" s="69" t="s">
        <v>108</v>
      </c>
      <c r="O438" s="69" t="s">
        <v>1436</v>
      </c>
      <c r="P438" s="78"/>
      <c r="Q438" s="96">
        <v>45586</v>
      </c>
      <c r="R438" s="96" t="s">
        <v>929</v>
      </c>
      <c r="S438" s="96" t="s">
        <v>2247</v>
      </c>
    </row>
    <row r="439" spans="1:19" ht="42.75">
      <c r="A439" s="90" t="s">
        <v>49</v>
      </c>
      <c r="B439" s="91" t="s">
        <v>2218</v>
      </c>
      <c r="C439" s="91" t="s">
        <v>664</v>
      </c>
      <c r="D439" s="90">
        <v>3014</v>
      </c>
      <c r="E439" s="90">
        <v>2979</v>
      </c>
      <c r="F439" s="90" t="s">
        <v>1454</v>
      </c>
      <c r="G439" s="90"/>
      <c r="H439" s="93"/>
      <c r="I439" s="93"/>
      <c r="J439" s="93"/>
      <c r="K439" s="95"/>
      <c r="L439" s="69"/>
      <c r="M439" s="69"/>
      <c r="N439" s="69"/>
      <c r="O439" s="69"/>
      <c r="P439" s="78"/>
      <c r="Q439" s="96"/>
      <c r="R439" s="97"/>
      <c r="S439" s="98"/>
    </row>
    <row r="440" spans="1:19" ht="42.75">
      <c r="A440" s="90" t="s">
        <v>49</v>
      </c>
      <c r="B440" s="91" t="s">
        <v>2218</v>
      </c>
      <c r="C440" s="91" t="s">
        <v>2248</v>
      </c>
      <c r="D440" s="90">
        <v>3389</v>
      </c>
      <c r="E440" s="90">
        <v>3023</v>
      </c>
      <c r="F440" s="90" t="s">
        <v>1454</v>
      </c>
      <c r="G440" s="90"/>
      <c r="H440" s="93"/>
      <c r="I440" s="93"/>
      <c r="J440" s="93"/>
      <c r="K440" s="95"/>
      <c r="L440" s="69"/>
      <c r="M440" s="69"/>
      <c r="N440" s="69"/>
      <c r="O440" s="69"/>
      <c r="P440" s="78"/>
      <c r="Q440" s="96"/>
      <c r="R440" s="97"/>
      <c r="S440" s="98"/>
    </row>
    <row r="441" spans="1:19" ht="42.75">
      <c r="A441" s="142" t="s">
        <v>49</v>
      </c>
      <c r="B441" s="91" t="s">
        <v>2218</v>
      </c>
      <c r="C441" s="91" t="s">
        <v>2249</v>
      </c>
      <c r="D441" s="90">
        <v>6945</v>
      </c>
      <c r="E441" s="90">
        <v>7353</v>
      </c>
      <c r="F441" s="90" t="s">
        <v>1434</v>
      </c>
      <c r="G441" s="90">
        <v>2024</v>
      </c>
      <c r="H441" s="101">
        <v>45450</v>
      </c>
      <c r="I441" s="101">
        <v>45460</v>
      </c>
      <c r="J441" s="94" t="s">
        <v>2250</v>
      </c>
      <c r="K441" s="100">
        <v>45463</v>
      </c>
      <c r="L441" s="69" t="s">
        <v>79</v>
      </c>
      <c r="M441" s="69"/>
      <c r="N441" s="69"/>
      <c r="O441" s="69" t="s">
        <v>1436</v>
      </c>
      <c r="P441" s="78"/>
      <c r="Q441" s="96">
        <v>45464</v>
      </c>
      <c r="R441" s="97"/>
      <c r="S441" s="98"/>
    </row>
    <row r="442" spans="1:19" ht="42.75">
      <c r="A442" s="90" t="s">
        <v>49</v>
      </c>
      <c r="B442" s="91" t="s">
        <v>707</v>
      </c>
      <c r="C442" s="91" t="s">
        <v>2251</v>
      </c>
      <c r="D442" s="90">
        <v>2289</v>
      </c>
      <c r="E442" s="90">
        <v>1736</v>
      </c>
      <c r="F442" s="90" t="s">
        <v>1454</v>
      </c>
      <c r="G442" s="90"/>
      <c r="H442" s="93"/>
      <c r="I442" s="93"/>
      <c r="J442" s="93"/>
      <c r="K442" s="95"/>
      <c r="L442" s="69"/>
      <c r="M442" s="69"/>
      <c r="N442" s="69"/>
      <c r="O442" s="69"/>
      <c r="P442" s="78"/>
      <c r="Q442" s="96"/>
      <c r="R442" s="97"/>
      <c r="S442" s="98"/>
    </row>
    <row r="443" spans="1:19" ht="42.75">
      <c r="A443" s="90" t="s">
        <v>49</v>
      </c>
      <c r="B443" s="91" t="s">
        <v>707</v>
      </c>
      <c r="C443" s="91" t="s">
        <v>1023</v>
      </c>
      <c r="D443" s="90">
        <v>3573</v>
      </c>
      <c r="E443" s="90">
        <v>3863</v>
      </c>
      <c r="F443" s="90" t="s">
        <v>1454</v>
      </c>
      <c r="G443" s="90"/>
      <c r="H443" s="93"/>
      <c r="I443" s="93"/>
      <c r="J443" s="93"/>
      <c r="K443" s="95"/>
      <c r="L443" s="69"/>
      <c r="M443" s="69"/>
      <c r="N443" s="69"/>
      <c r="O443" s="69"/>
      <c r="P443" s="78"/>
      <c r="Q443" s="96"/>
      <c r="R443" s="97"/>
      <c r="S443" s="98"/>
    </row>
    <row r="444" spans="1:19" ht="42.75">
      <c r="A444" s="90" t="s">
        <v>49</v>
      </c>
      <c r="B444" s="91" t="s">
        <v>707</v>
      </c>
      <c r="C444" s="91" t="s">
        <v>2252</v>
      </c>
      <c r="D444" s="90">
        <v>7830</v>
      </c>
      <c r="E444" s="90">
        <v>8841</v>
      </c>
      <c r="F444" s="90" t="s">
        <v>1454</v>
      </c>
      <c r="G444" s="90"/>
      <c r="H444" s="93"/>
      <c r="I444" s="93"/>
      <c r="J444" s="93"/>
      <c r="K444" s="95"/>
      <c r="L444" s="69"/>
      <c r="M444" s="69"/>
      <c r="N444" s="69"/>
      <c r="O444" s="69"/>
      <c r="P444" s="78"/>
      <c r="Q444" s="96"/>
      <c r="R444" s="97"/>
      <c r="S444" s="98"/>
    </row>
    <row r="445" spans="1:19" ht="42.75">
      <c r="A445" s="90" t="s">
        <v>49</v>
      </c>
      <c r="B445" s="91" t="s">
        <v>707</v>
      </c>
      <c r="C445" s="91" t="s">
        <v>708</v>
      </c>
      <c r="D445" s="90">
        <v>31663</v>
      </c>
      <c r="E445" s="90">
        <v>40700</v>
      </c>
      <c r="F445" s="90" t="s">
        <v>1454</v>
      </c>
      <c r="G445" s="90"/>
      <c r="H445" s="93"/>
      <c r="I445" s="93"/>
      <c r="J445" s="93"/>
      <c r="K445" s="95"/>
      <c r="L445" s="69"/>
      <c r="M445" s="69"/>
      <c r="N445" s="69"/>
      <c r="O445" s="69"/>
      <c r="P445" s="78"/>
      <c r="Q445" s="96"/>
      <c r="R445" s="97"/>
      <c r="S445" s="98"/>
    </row>
    <row r="446" spans="1:19" ht="42.75">
      <c r="A446" s="90" t="s">
        <v>49</v>
      </c>
      <c r="B446" s="91" t="s">
        <v>707</v>
      </c>
      <c r="C446" s="91" t="s">
        <v>2253</v>
      </c>
      <c r="D446" s="90">
        <v>3496</v>
      </c>
      <c r="E446" s="90">
        <v>3406</v>
      </c>
      <c r="F446" s="90" t="s">
        <v>1454</v>
      </c>
      <c r="G446" s="90"/>
      <c r="H446" s="93"/>
      <c r="I446" s="93"/>
      <c r="J446" s="93"/>
      <c r="K446" s="95"/>
      <c r="L446" s="69"/>
      <c r="M446" s="69"/>
      <c r="N446" s="69"/>
      <c r="O446" s="69"/>
      <c r="P446" s="78"/>
      <c r="Q446" s="96"/>
      <c r="R446" s="97"/>
      <c r="S446" s="98"/>
    </row>
    <row r="447" spans="1:19" ht="42.75">
      <c r="A447" s="90" t="s">
        <v>49</v>
      </c>
      <c r="B447" s="91" t="s">
        <v>707</v>
      </c>
      <c r="C447" s="91" t="s">
        <v>2254</v>
      </c>
      <c r="D447" s="90">
        <v>2072</v>
      </c>
      <c r="E447" s="90">
        <v>2113</v>
      </c>
      <c r="F447" s="90" t="s">
        <v>1454</v>
      </c>
      <c r="G447" s="90"/>
      <c r="H447" s="93"/>
      <c r="I447" s="93"/>
      <c r="J447" s="93"/>
      <c r="K447" s="95"/>
      <c r="L447" s="69"/>
      <c r="M447" s="69"/>
      <c r="N447" s="69"/>
      <c r="O447" s="69"/>
      <c r="P447" s="78"/>
      <c r="Q447" s="96"/>
      <c r="R447" s="97"/>
      <c r="S447" s="98"/>
    </row>
    <row r="448" spans="1:19" ht="42.75">
      <c r="A448" s="90" t="s">
        <v>49</v>
      </c>
      <c r="B448" s="91" t="s">
        <v>707</v>
      </c>
      <c r="C448" s="91" t="s">
        <v>2255</v>
      </c>
      <c r="D448" s="90">
        <v>1199</v>
      </c>
      <c r="E448" s="90">
        <v>1566</v>
      </c>
      <c r="F448" s="90" t="s">
        <v>1454</v>
      </c>
      <c r="G448" s="90"/>
      <c r="H448" s="93"/>
      <c r="I448" s="93"/>
      <c r="J448" s="93"/>
      <c r="K448" s="95"/>
      <c r="L448" s="69"/>
      <c r="M448" s="69"/>
      <c r="N448" s="69"/>
      <c r="O448" s="69"/>
      <c r="P448" s="78"/>
      <c r="Q448" s="96"/>
      <c r="R448" s="97"/>
      <c r="S448" s="98"/>
    </row>
    <row r="449" spans="1:19" ht="42.75">
      <c r="A449" s="90" t="s">
        <v>49</v>
      </c>
      <c r="B449" s="91" t="s">
        <v>707</v>
      </c>
      <c r="C449" s="91" t="s">
        <v>2256</v>
      </c>
      <c r="D449" s="90">
        <v>6796</v>
      </c>
      <c r="E449" s="90">
        <v>11129</v>
      </c>
      <c r="F449" s="90" t="s">
        <v>1454</v>
      </c>
      <c r="G449" s="90"/>
      <c r="H449" s="93"/>
      <c r="I449" s="93"/>
      <c r="J449" s="93"/>
      <c r="K449" s="95"/>
      <c r="L449" s="69"/>
      <c r="M449" s="69"/>
      <c r="N449" s="69"/>
      <c r="O449" s="69"/>
      <c r="P449" s="78"/>
      <c r="Q449" s="96"/>
      <c r="R449" s="97"/>
      <c r="S449" s="98"/>
    </row>
    <row r="450" spans="1:19" ht="42.75">
      <c r="A450" s="90" t="s">
        <v>49</v>
      </c>
      <c r="B450" s="91" t="s">
        <v>707</v>
      </c>
      <c r="C450" s="91" t="s">
        <v>2257</v>
      </c>
      <c r="D450" s="90">
        <v>4686</v>
      </c>
      <c r="E450" s="90">
        <v>4018</v>
      </c>
      <c r="F450" s="90" t="s">
        <v>1454</v>
      </c>
      <c r="G450" s="90"/>
      <c r="H450" s="93"/>
      <c r="I450" s="93"/>
      <c r="J450" s="93"/>
      <c r="K450" s="95"/>
      <c r="L450" s="69"/>
      <c r="M450" s="69"/>
      <c r="N450" s="69"/>
      <c r="O450" s="69"/>
      <c r="P450" s="78"/>
      <c r="Q450" s="96"/>
      <c r="R450" s="97"/>
      <c r="S450" s="98"/>
    </row>
    <row r="451" spans="1:19" ht="42.75">
      <c r="A451" s="90" t="s">
        <v>49</v>
      </c>
      <c r="B451" s="91" t="s">
        <v>707</v>
      </c>
      <c r="C451" s="91" t="s">
        <v>675</v>
      </c>
      <c r="D451" s="90">
        <v>5551</v>
      </c>
      <c r="E451" s="90">
        <v>4813</v>
      </c>
      <c r="F451" s="90" t="s">
        <v>1454</v>
      </c>
      <c r="G451" s="90"/>
      <c r="H451" s="93"/>
      <c r="I451" s="93"/>
      <c r="J451" s="93"/>
      <c r="K451" s="95"/>
      <c r="L451" s="69"/>
      <c r="M451" s="69"/>
      <c r="N451" s="69"/>
      <c r="O451" s="69"/>
      <c r="P451" s="78"/>
      <c r="Q451" s="96"/>
      <c r="R451" s="97"/>
      <c r="S451" s="98"/>
    </row>
    <row r="452" spans="1:19" ht="42.75">
      <c r="A452" s="90" t="s">
        <v>49</v>
      </c>
      <c r="B452" s="91" t="s">
        <v>707</v>
      </c>
      <c r="C452" s="91" t="s">
        <v>2258</v>
      </c>
      <c r="D452" s="90">
        <v>7444</v>
      </c>
      <c r="E452" s="90">
        <v>8905</v>
      </c>
      <c r="F452" s="90" t="s">
        <v>1454</v>
      </c>
      <c r="G452" s="90"/>
      <c r="H452" s="93"/>
      <c r="I452" s="93"/>
      <c r="J452" s="93"/>
      <c r="K452" s="95"/>
      <c r="L452" s="69"/>
      <c r="M452" s="69"/>
      <c r="N452" s="69"/>
      <c r="O452" s="69"/>
      <c r="P452" s="78"/>
      <c r="Q452" s="96"/>
      <c r="R452" s="97"/>
      <c r="S452" s="98"/>
    </row>
    <row r="453" spans="1:19" ht="42.75">
      <c r="A453" s="142" t="s">
        <v>49</v>
      </c>
      <c r="B453" s="91" t="s">
        <v>707</v>
      </c>
      <c r="C453" s="91" t="s">
        <v>970</v>
      </c>
      <c r="D453" s="90">
        <v>1408</v>
      </c>
      <c r="E453" s="90">
        <v>1871</v>
      </c>
      <c r="F453" s="90" t="s">
        <v>1454</v>
      </c>
      <c r="G453" s="90"/>
      <c r="H453" s="93"/>
      <c r="I453" s="93"/>
      <c r="J453" s="93"/>
      <c r="K453" s="95"/>
      <c r="L453" s="69"/>
      <c r="M453" s="69"/>
      <c r="N453" s="69"/>
      <c r="O453" s="69"/>
      <c r="P453" s="78"/>
      <c r="Q453" s="96"/>
      <c r="R453" s="97"/>
      <c r="S453" s="98"/>
    </row>
    <row r="454" spans="1:19" ht="42.75">
      <c r="A454" s="90" t="s">
        <v>49</v>
      </c>
      <c r="B454" s="91" t="s">
        <v>707</v>
      </c>
      <c r="C454" s="91" t="s">
        <v>2259</v>
      </c>
      <c r="D454" s="90">
        <v>16507</v>
      </c>
      <c r="E454" s="90">
        <v>14437</v>
      </c>
      <c r="F454" s="90" t="s">
        <v>1454</v>
      </c>
      <c r="G454" s="90"/>
      <c r="H454" s="93"/>
      <c r="I454" s="93"/>
      <c r="J454" s="93"/>
      <c r="K454" s="95"/>
      <c r="L454" s="69"/>
      <c r="M454" s="69"/>
      <c r="N454" s="69"/>
      <c r="O454" s="69"/>
      <c r="P454" s="78"/>
      <c r="Q454" s="96"/>
      <c r="R454" s="97"/>
      <c r="S454" s="98"/>
    </row>
    <row r="455" spans="1:19" ht="42.75">
      <c r="A455" s="90" t="s">
        <v>49</v>
      </c>
      <c r="B455" s="91" t="s">
        <v>707</v>
      </c>
      <c r="C455" s="91" t="s">
        <v>926</v>
      </c>
      <c r="D455" s="90">
        <v>405</v>
      </c>
      <c r="E455" s="90">
        <v>709</v>
      </c>
      <c r="F455" s="90" t="s">
        <v>1454</v>
      </c>
      <c r="G455" s="90"/>
      <c r="H455" s="93"/>
      <c r="I455" s="93"/>
      <c r="J455" s="93"/>
      <c r="K455" s="95"/>
      <c r="L455" s="69"/>
      <c r="M455" s="69"/>
      <c r="N455" s="69"/>
      <c r="O455" s="69"/>
      <c r="P455" s="78"/>
      <c r="Q455" s="96"/>
      <c r="R455" s="97"/>
      <c r="S455" s="98"/>
    </row>
    <row r="456" spans="1:19" ht="42.75">
      <c r="A456" s="90" t="s">
        <v>49</v>
      </c>
      <c r="B456" s="91" t="s">
        <v>707</v>
      </c>
      <c r="C456" s="91" t="s">
        <v>2203</v>
      </c>
      <c r="D456" s="90">
        <v>2572</v>
      </c>
      <c r="E456" s="90">
        <v>2793</v>
      </c>
      <c r="F456" s="90" t="s">
        <v>1454</v>
      </c>
      <c r="G456" s="90"/>
      <c r="H456" s="93"/>
      <c r="I456" s="93"/>
      <c r="J456" s="93"/>
      <c r="K456" s="95"/>
      <c r="L456" s="69"/>
      <c r="M456" s="69"/>
      <c r="N456" s="69"/>
      <c r="O456" s="69"/>
      <c r="P456" s="78"/>
      <c r="Q456" s="96"/>
      <c r="R456" s="97"/>
      <c r="S456" s="98"/>
    </row>
    <row r="457" spans="1:19" ht="42.75">
      <c r="A457" s="142" t="s">
        <v>49</v>
      </c>
      <c r="B457" s="91" t="s">
        <v>707</v>
      </c>
      <c r="C457" s="91" t="s">
        <v>2260</v>
      </c>
      <c r="D457" s="90">
        <v>8681</v>
      </c>
      <c r="E457" s="90">
        <v>9082</v>
      </c>
      <c r="F457" s="90" t="s">
        <v>1454</v>
      </c>
      <c r="G457" s="90"/>
      <c r="H457" s="93"/>
      <c r="I457" s="93"/>
      <c r="J457" s="93"/>
      <c r="K457" s="95"/>
      <c r="L457" s="69"/>
      <c r="M457" s="69"/>
      <c r="N457" s="69"/>
      <c r="O457" s="69"/>
      <c r="P457" s="78"/>
      <c r="Q457" s="96"/>
      <c r="R457" s="97"/>
      <c r="S457" s="98"/>
    </row>
    <row r="458" spans="1:19" ht="42.75">
      <c r="A458" s="90" t="s">
        <v>49</v>
      </c>
      <c r="B458" s="91" t="s">
        <v>707</v>
      </c>
      <c r="C458" s="91" t="s">
        <v>2261</v>
      </c>
      <c r="D458" s="90">
        <v>5558</v>
      </c>
      <c r="E458" s="90">
        <v>7323</v>
      </c>
      <c r="F458" s="90" t="s">
        <v>1454</v>
      </c>
      <c r="G458" s="90"/>
      <c r="H458" s="93"/>
      <c r="I458" s="93"/>
      <c r="J458" s="93"/>
      <c r="K458" s="95"/>
      <c r="L458" s="69"/>
      <c r="M458" s="69"/>
      <c r="N458" s="69"/>
      <c r="O458" s="69"/>
      <c r="P458" s="78"/>
      <c r="Q458" s="96"/>
      <c r="R458" s="97"/>
      <c r="S458" s="98"/>
    </row>
    <row r="459" spans="1:19" ht="42.75">
      <c r="A459" s="90" t="s">
        <v>49</v>
      </c>
      <c r="B459" s="91" t="s">
        <v>707</v>
      </c>
      <c r="C459" s="91" t="s">
        <v>2262</v>
      </c>
      <c r="D459" s="90">
        <v>6058</v>
      </c>
      <c r="E459" s="90">
        <v>11864</v>
      </c>
      <c r="F459" s="90" t="s">
        <v>1454</v>
      </c>
      <c r="G459" s="90"/>
      <c r="H459" s="93"/>
      <c r="I459" s="93"/>
      <c r="J459" s="93"/>
      <c r="K459" s="95"/>
      <c r="L459" s="69"/>
      <c r="M459" s="69"/>
      <c r="N459" s="69"/>
      <c r="O459" s="69"/>
      <c r="P459" s="78"/>
      <c r="Q459" s="96"/>
      <c r="R459" s="97"/>
      <c r="S459" s="98"/>
    </row>
    <row r="460" spans="1:19" ht="42.75">
      <c r="A460" s="90" t="s">
        <v>49</v>
      </c>
      <c r="B460" s="91" t="s">
        <v>707</v>
      </c>
      <c r="C460" s="91" t="s">
        <v>2263</v>
      </c>
      <c r="D460" s="90">
        <v>1887</v>
      </c>
      <c r="E460" s="90">
        <v>2243</v>
      </c>
      <c r="F460" s="90" t="s">
        <v>1454</v>
      </c>
      <c r="G460" s="90"/>
      <c r="H460" s="93"/>
      <c r="I460" s="93"/>
      <c r="J460" s="93"/>
      <c r="K460" s="95"/>
      <c r="L460" s="69"/>
      <c r="M460" s="69"/>
      <c r="N460" s="69"/>
      <c r="O460" s="69"/>
      <c r="P460" s="78"/>
      <c r="Q460" s="96"/>
      <c r="R460" s="97"/>
      <c r="S460" s="98"/>
    </row>
    <row r="461" spans="1:19" ht="42.75">
      <c r="A461" s="90" t="s">
        <v>49</v>
      </c>
      <c r="B461" s="91" t="s">
        <v>404</v>
      </c>
      <c r="C461" s="91" t="s">
        <v>1023</v>
      </c>
      <c r="D461" s="90">
        <v>3701</v>
      </c>
      <c r="E461" s="90">
        <v>4297</v>
      </c>
      <c r="F461" s="90" t="s">
        <v>1434</v>
      </c>
      <c r="G461" s="90">
        <v>2024</v>
      </c>
      <c r="H461" s="101">
        <v>45505</v>
      </c>
      <c r="I461" s="101">
        <v>45522</v>
      </c>
      <c r="J461" s="94" t="s">
        <v>2264</v>
      </c>
      <c r="K461" s="100">
        <v>45523</v>
      </c>
      <c r="L461" s="69" t="s">
        <v>81</v>
      </c>
      <c r="M461" s="69" t="s">
        <v>1589</v>
      </c>
      <c r="N461" s="69"/>
      <c r="O461" s="69" t="s">
        <v>1436</v>
      </c>
      <c r="P461" s="78"/>
      <c r="Q461" s="70">
        <v>45531</v>
      </c>
      <c r="R461" s="97" t="s">
        <v>929</v>
      </c>
      <c r="S461" s="98"/>
    </row>
    <row r="462" spans="1:19" ht="42.75">
      <c r="A462" s="90" t="s">
        <v>49</v>
      </c>
      <c r="B462" s="91" t="s">
        <v>404</v>
      </c>
      <c r="C462" s="91" t="s">
        <v>2265</v>
      </c>
      <c r="D462" s="90">
        <v>3357</v>
      </c>
      <c r="E462" s="90">
        <v>3738</v>
      </c>
      <c r="F462" s="90" t="s">
        <v>1434</v>
      </c>
      <c r="G462" s="90">
        <v>2024</v>
      </c>
      <c r="H462" s="101">
        <v>45426</v>
      </c>
      <c r="I462" s="101">
        <v>45428</v>
      </c>
      <c r="J462" s="94" t="s">
        <v>2266</v>
      </c>
      <c r="K462" s="100">
        <v>45429</v>
      </c>
      <c r="L462" s="69" t="s">
        <v>78</v>
      </c>
      <c r="M462" s="69"/>
      <c r="N462" s="69"/>
      <c r="O462" s="69" t="s">
        <v>1436</v>
      </c>
      <c r="P462" s="78"/>
      <c r="Q462" s="96">
        <v>45429</v>
      </c>
      <c r="R462" s="97"/>
      <c r="S462" s="98"/>
    </row>
    <row r="463" spans="1:19" ht="42.75">
      <c r="A463" s="142" t="s">
        <v>49</v>
      </c>
      <c r="B463" s="91" t="s">
        <v>404</v>
      </c>
      <c r="C463" s="91" t="s">
        <v>2252</v>
      </c>
      <c r="D463" s="90">
        <v>13604</v>
      </c>
      <c r="E463" s="90">
        <v>14257</v>
      </c>
      <c r="F463" s="90" t="s">
        <v>1434</v>
      </c>
      <c r="G463" s="90">
        <v>2024</v>
      </c>
      <c r="H463" s="101">
        <v>45505</v>
      </c>
      <c r="I463" s="101">
        <v>45522</v>
      </c>
      <c r="J463" s="94" t="s">
        <v>2267</v>
      </c>
      <c r="K463" s="100">
        <v>45523</v>
      </c>
      <c r="L463" s="69" t="s">
        <v>81</v>
      </c>
      <c r="M463" s="69" t="s">
        <v>1589</v>
      </c>
      <c r="N463" s="69"/>
      <c r="O463" s="69" t="s">
        <v>1436</v>
      </c>
      <c r="P463" s="78"/>
      <c r="Q463" s="70">
        <v>45531</v>
      </c>
      <c r="R463" s="97" t="s">
        <v>929</v>
      </c>
      <c r="S463" s="98"/>
    </row>
    <row r="464" spans="1:19" ht="42.75">
      <c r="A464" s="90" t="s">
        <v>49</v>
      </c>
      <c r="B464" s="91" t="s">
        <v>404</v>
      </c>
      <c r="C464" s="91" t="s">
        <v>2268</v>
      </c>
      <c r="D464" s="90">
        <v>11646</v>
      </c>
      <c r="E464" s="90">
        <v>12950</v>
      </c>
      <c r="F464" s="90" t="s">
        <v>1434</v>
      </c>
      <c r="G464" s="90">
        <v>2024</v>
      </c>
      <c r="H464" s="101">
        <v>45511</v>
      </c>
      <c r="I464" s="101">
        <v>45522</v>
      </c>
      <c r="J464" s="94" t="s">
        <v>2269</v>
      </c>
      <c r="K464" s="100">
        <v>45523</v>
      </c>
      <c r="L464" s="69" t="s">
        <v>81</v>
      </c>
      <c r="M464" s="69" t="s">
        <v>1589</v>
      </c>
      <c r="N464" s="69"/>
      <c r="O464" s="69" t="s">
        <v>1436</v>
      </c>
      <c r="P464" s="78"/>
      <c r="Q464" s="70">
        <v>45531</v>
      </c>
      <c r="R464" s="97" t="s">
        <v>929</v>
      </c>
      <c r="S464" s="98"/>
    </row>
    <row r="465" spans="1:19" ht="42.75">
      <c r="A465" s="90" t="s">
        <v>49</v>
      </c>
      <c r="B465" s="91" t="s">
        <v>404</v>
      </c>
      <c r="C465" s="91" t="s">
        <v>2270</v>
      </c>
      <c r="D465" s="90">
        <v>2768</v>
      </c>
      <c r="E465" s="90">
        <v>2955</v>
      </c>
      <c r="F465" s="90" t="s">
        <v>1434</v>
      </c>
      <c r="G465" s="90">
        <v>2024</v>
      </c>
      <c r="H465" s="101">
        <v>45505</v>
      </c>
      <c r="I465" s="101">
        <v>45518</v>
      </c>
      <c r="J465" s="94" t="s">
        <v>2271</v>
      </c>
      <c r="K465" s="100">
        <v>45523</v>
      </c>
      <c r="L465" s="69" t="s">
        <v>81</v>
      </c>
      <c r="M465" s="69" t="s">
        <v>1589</v>
      </c>
      <c r="N465" s="69"/>
      <c r="O465" s="69" t="s">
        <v>1436</v>
      </c>
      <c r="P465" s="78"/>
      <c r="Q465" s="70">
        <v>45531</v>
      </c>
      <c r="R465" s="97" t="s">
        <v>929</v>
      </c>
      <c r="S465" s="98"/>
    </row>
    <row r="466" spans="1:19" ht="42.75">
      <c r="A466" s="90" t="s">
        <v>49</v>
      </c>
      <c r="B466" s="91" t="s">
        <v>404</v>
      </c>
      <c r="C466" s="91" t="s">
        <v>2272</v>
      </c>
      <c r="D466" s="90">
        <v>2381</v>
      </c>
      <c r="E466" s="90">
        <v>2047</v>
      </c>
      <c r="F466" s="90" t="s">
        <v>1434</v>
      </c>
      <c r="G466" s="90">
        <v>2024</v>
      </c>
      <c r="H466" s="101">
        <v>45510</v>
      </c>
      <c r="I466" s="101">
        <v>45518</v>
      </c>
      <c r="J466" s="94" t="s">
        <v>2273</v>
      </c>
      <c r="K466" s="100">
        <v>45523</v>
      </c>
      <c r="L466" s="69" t="s">
        <v>81</v>
      </c>
      <c r="M466" s="69" t="s">
        <v>1589</v>
      </c>
      <c r="N466" s="69"/>
      <c r="O466" s="69" t="s">
        <v>1436</v>
      </c>
      <c r="P466" s="78"/>
      <c r="Q466" s="70">
        <v>45531</v>
      </c>
      <c r="R466" s="97" t="s">
        <v>929</v>
      </c>
      <c r="S466" s="98"/>
    </row>
    <row r="467" spans="1:19" ht="42.75">
      <c r="A467" s="90" t="s">
        <v>49</v>
      </c>
      <c r="B467" s="91" t="s">
        <v>404</v>
      </c>
      <c r="C467" s="91" t="s">
        <v>2274</v>
      </c>
      <c r="D467" s="90">
        <v>4516</v>
      </c>
      <c r="E467" s="90">
        <v>5077</v>
      </c>
      <c r="F467" s="90" t="s">
        <v>1434</v>
      </c>
      <c r="G467" s="90">
        <v>2024</v>
      </c>
      <c r="H467" s="101">
        <v>45510</v>
      </c>
      <c r="I467" s="101">
        <v>45522</v>
      </c>
      <c r="J467" s="94" t="s">
        <v>2275</v>
      </c>
      <c r="K467" s="100">
        <v>45523</v>
      </c>
      <c r="L467" s="69" t="s">
        <v>81</v>
      </c>
      <c r="M467" s="69" t="s">
        <v>1589</v>
      </c>
      <c r="N467" s="69"/>
      <c r="O467" s="69" t="s">
        <v>1436</v>
      </c>
      <c r="P467" s="78"/>
      <c r="Q467" s="70">
        <v>45531</v>
      </c>
      <c r="R467" s="97" t="s">
        <v>929</v>
      </c>
      <c r="S467" s="98"/>
    </row>
    <row r="468" spans="1:19" ht="42.75">
      <c r="A468" s="90" t="s">
        <v>49</v>
      </c>
      <c r="B468" s="91" t="s">
        <v>404</v>
      </c>
      <c r="C468" s="91" t="s">
        <v>2276</v>
      </c>
      <c r="D468" s="90">
        <v>6145</v>
      </c>
      <c r="E468" s="90">
        <v>7486</v>
      </c>
      <c r="F468" s="90" t="s">
        <v>1434</v>
      </c>
      <c r="G468" s="90">
        <v>2024</v>
      </c>
      <c r="H468" s="101">
        <v>45426</v>
      </c>
      <c r="I468" s="101">
        <v>45428</v>
      </c>
      <c r="J468" s="94" t="s">
        <v>2277</v>
      </c>
      <c r="K468" s="100">
        <v>45429</v>
      </c>
      <c r="L468" s="69" t="s">
        <v>78</v>
      </c>
      <c r="M468" s="69"/>
      <c r="N468" s="69"/>
      <c r="O468" s="69" t="s">
        <v>1436</v>
      </c>
      <c r="P468" s="78"/>
      <c r="Q468" s="96">
        <v>45429</v>
      </c>
      <c r="R468" s="97"/>
      <c r="S468" s="98"/>
    </row>
    <row r="469" spans="1:19" ht="42.75">
      <c r="A469" s="90" t="s">
        <v>49</v>
      </c>
      <c r="B469" s="91" t="s">
        <v>404</v>
      </c>
      <c r="C469" s="91" t="s">
        <v>2278</v>
      </c>
      <c r="D469" s="90">
        <v>3372</v>
      </c>
      <c r="E469" s="90">
        <v>3570</v>
      </c>
      <c r="F469" s="90" t="s">
        <v>1434</v>
      </c>
      <c r="G469" s="90">
        <v>2024</v>
      </c>
      <c r="H469" s="101">
        <v>45505</v>
      </c>
      <c r="I469" s="101">
        <v>45522</v>
      </c>
      <c r="J469" s="94" t="s">
        <v>2279</v>
      </c>
      <c r="K469" s="100">
        <v>45523</v>
      </c>
      <c r="L469" s="69" t="s">
        <v>81</v>
      </c>
      <c r="M469" s="69" t="s">
        <v>1589</v>
      </c>
      <c r="N469" s="69"/>
      <c r="O469" s="69" t="s">
        <v>1436</v>
      </c>
      <c r="P469" s="78"/>
      <c r="Q469" s="70">
        <v>45531</v>
      </c>
      <c r="R469" s="97" t="s">
        <v>929</v>
      </c>
      <c r="S469" s="98"/>
    </row>
    <row r="470" spans="1:19" ht="42.75">
      <c r="A470" s="90" t="s">
        <v>49</v>
      </c>
      <c r="B470" s="91" t="s">
        <v>404</v>
      </c>
      <c r="C470" s="91" t="s">
        <v>717</v>
      </c>
      <c r="D470" s="90">
        <v>5804</v>
      </c>
      <c r="E470" s="90">
        <v>6279</v>
      </c>
      <c r="F470" s="90" t="s">
        <v>1434</v>
      </c>
      <c r="G470" s="90">
        <v>2024</v>
      </c>
      <c r="H470" s="101">
        <v>45510</v>
      </c>
      <c r="I470" s="101">
        <v>45522</v>
      </c>
      <c r="J470" s="94" t="s">
        <v>2280</v>
      </c>
      <c r="K470" s="100">
        <v>45523</v>
      </c>
      <c r="L470" s="69" t="s">
        <v>81</v>
      </c>
      <c r="M470" s="69" t="s">
        <v>1589</v>
      </c>
      <c r="N470" s="69"/>
      <c r="O470" s="69" t="s">
        <v>1436</v>
      </c>
      <c r="P470" s="78"/>
      <c r="Q470" s="70">
        <v>45531</v>
      </c>
      <c r="R470" s="97" t="s">
        <v>929</v>
      </c>
      <c r="S470" s="98"/>
    </row>
    <row r="471" spans="1:19" ht="42.75">
      <c r="A471" s="90" t="s">
        <v>49</v>
      </c>
      <c r="B471" s="91" t="s">
        <v>404</v>
      </c>
      <c r="C471" s="91" t="s">
        <v>452</v>
      </c>
      <c r="D471" s="90">
        <v>8122</v>
      </c>
      <c r="E471" s="90">
        <v>7998</v>
      </c>
      <c r="F471" s="90" t="s">
        <v>1434</v>
      </c>
      <c r="G471" s="90">
        <v>2024</v>
      </c>
      <c r="H471" s="101">
        <v>45505</v>
      </c>
      <c r="I471" s="101">
        <v>45515</v>
      </c>
      <c r="J471" s="94" t="s">
        <v>2281</v>
      </c>
      <c r="K471" s="100">
        <v>45523</v>
      </c>
      <c r="L471" s="69" t="s">
        <v>81</v>
      </c>
      <c r="M471" s="69" t="s">
        <v>1589</v>
      </c>
      <c r="N471" s="69"/>
      <c r="O471" s="69" t="s">
        <v>1436</v>
      </c>
      <c r="P471" s="69"/>
      <c r="Q471" s="70">
        <v>45531</v>
      </c>
      <c r="R471" s="97" t="s">
        <v>929</v>
      </c>
      <c r="S471" s="98"/>
    </row>
    <row r="472" spans="1:19" ht="42.75">
      <c r="A472" s="90" t="s">
        <v>49</v>
      </c>
      <c r="B472" s="91" t="s">
        <v>404</v>
      </c>
      <c r="C472" s="91" t="s">
        <v>2282</v>
      </c>
      <c r="D472" s="90">
        <v>2508</v>
      </c>
      <c r="E472" s="90">
        <v>2399</v>
      </c>
      <c r="F472" s="90" t="s">
        <v>1434</v>
      </c>
      <c r="G472" s="90">
        <v>2024</v>
      </c>
      <c r="H472" s="101">
        <v>45510</v>
      </c>
      <c r="I472" s="101">
        <v>45515</v>
      </c>
      <c r="J472" s="94" t="s">
        <v>2283</v>
      </c>
      <c r="K472" s="100">
        <v>45523</v>
      </c>
      <c r="L472" s="69" t="s">
        <v>81</v>
      </c>
      <c r="M472" s="69" t="s">
        <v>1589</v>
      </c>
      <c r="N472" s="69"/>
      <c r="O472" s="69" t="s">
        <v>1436</v>
      </c>
      <c r="P472" s="78"/>
      <c r="Q472" s="96">
        <v>45531</v>
      </c>
      <c r="R472" s="97" t="s">
        <v>1481</v>
      </c>
      <c r="S472" s="98"/>
    </row>
    <row r="473" spans="1:19" ht="42.75">
      <c r="A473" s="90" t="s">
        <v>49</v>
      </c>
      <c r="B473" s="91" t="s">
        <v>404</v>
      </c>
      <c r="C473" s="91" t="s">
        <v>2284</v>
      </c>
      <c r="D473" s="90">
        <v>5490</v>
      </c>
      <c r="E473" s="90">
        <v>5005</v>
      </c>
      <c r="F473" s="90" t="s">
        <v>1434</v>
      </c>
      <c r="G473" s="90">
        <v>2024</v>
      </c>
      <c r="H473" s="101">
        <v>45510</v>
      </c>
      <c r="I473" s="101">
        <v>45515</v>
      </c>
      <c r="J473" s="94" t="s">
        <v>2285</v>
      </c>
      <c r="K473" s="100">
        <v>45523</v>
      </c>
      <c r="L473" s="69" t="s">
        <v>81</v>
      </c>
      <c r="M473" s="69" t="s">
        <v>1589</v>
      </c>
      <c r="N473" s="69"/>
      <c r="O473" s="69" t="s">
        <v>1436</v>
      </c>
      <c r="P473" s="78"/>
      <c r="Q473" s="96">
        <v>45531</v>
      </c>
      <c r="R473" s="97" t="s">
        <v>1481</v>
      </c>
      <c r="S473" s="98"/>
    </row>
    <row r="474" spans="1:19" ht="42.75">
      <c r="A474" s="90" t="s">
        <v>49</v>
      </c>
      <c r="B474" s="91" t="s">
        <v>404</v>
      </c>
      <c r="C474" s="91" t="s">
        <v>2286</v>
      </c>
      <c r="D474" s="90">
        <v>3151</v>
      </c>
      <c r="E474" s="90">
        <v>3174</v>
      </c>
      <c r="F474" s="90" t="s">
        <v>1434</v>
      </c>
      <c r="G474" s="90">
        <v>2024</v>
      </c>
      <c r="H474" s="101">
        <v>45505</v>
      </c>
      <c r="I474" s="101">
        <v>45518</v>
      </c>
      <c r="J474" s="94" t="s">
        <v>2287</v>
      </c>
      <c r="K474" s="100">
        <v>45523</v>
      </c>
      <c r="L474" s="69" t="s">
        <v>81</v>
      </c>
      <c r="M474" s="69" t="s">
        <v>1589</v>
      </c>
      <c r="N474" s="69"/>
      <c r="O474" s="69" t="s">
        <v>1436</v>
      </c>
      <c r="P474" s="78"/>
      <c r="Q474" s="70">
        <v>45531</v>
      </c>
      <c r="R474" s="97" t="s">
        <v>1481</v>
      </c>
      <c r="S474" s="98"/>
    </row>
    <row r="475" spans="1:19" ht="42.75">
      <c r="A475" s="90" t="s">
        <v>49</v>
      </c>
      <c r="B475" s="91" t="s">
        <v>490</v>
      </c>
      <c r="C475" s="91" t="s">
        <v>2288</v>
      </c>
      <c r="D475" s="90">
        <v>3792</v>
      </c>
      <c r="E475" s="90">
        <v>6494</v>
      </c>
      <c r="F475" s="90" t="s">
        <v>1454</v>
      </c>
      <c r="G475" s="90"/>
      <c r="H475" s="93"/>
      <c r="I475" s="93"/>
      <c r="J475" s="93"/>
      <c r="K475" s="95"/>
      <c r="L475" s="69"/>
      <c r="M475" s="69"/>
      <c r="N475" s="69"/>
      <c r="O475" s="69"/>
      <c r="P475" s="78"/>
      <c r="Q475" s="96"/>
      <c r="R475" s="97"/>
      <c r="S475" s="98"/>
    </row>
    <row r="476" spans="1:19" ht="42.75">
      <c r="A476" s="90" t="s">
        <v>49</v>
      </c>
      <c r="B476" s="91" t="s">
        <v>490</v>
      </c>
      <c r="C476" s="91" t="s">
        <v>1285</v>
      </c>
      <c r="D476" s="90">
        <v>4619</v>
      </c>
      <c r="E476" s="90">
        <v>5301</v>
      </c>
      <c r="F476" s="90" t="s">
        <v>1454</v>
      </c>
      <c r="G476" s="90"/>
      <c r="H476" s="93"/>
      <c r="I476" s="93"/>
      <c r="J476" s="93"/>
      <c r="K476" s="95"/>
      <c r="L476" s="69"/>
      <c r="M476" s="69"/>
      <c r="N476" s="69"/>
      <c r="O476" s="69"/>
      <c r="P476" s="78"/>
      <c r="Q476" s="96"/>
      <c r="R476" s="97"/>
      <c r="S476" s="98"/>
    </row>
    <row r="477" spans="1:19" ht="42.75">
      <c r="A477" s="90" t="s">
        <v>49</v>
      </c>
      <c r="B477" s="91" t="s">
        <v>490</v>
      </c>
      <c r="C477" s="91" t="s">
        <v>2289</v>
      </c>
      <c r="D477" s="90">
        <v>1869</v>
      </c>
      <c r="E477" s="90">
        <v>1876</v>
      </c>
      <c r="F477" s="90" t="s">
        <v>1454</v>
      </c>
      <c r="G477" s="90"/>
      <c r="H477" s="93"/>
      <c r="I477" s="93"/>
      <c r="J477" s="93"/>
      <c r="K477" s="95"/>
      <c r="L477" s="69"/>
      <c r="M477" s="69"/>
      <c r="N477" s="69"/>
      <c r="O477" s="69"/>
      <c r="P477" s="78"/>
      <c r="Q477" s="96"/>
      <c r="R477" s="97"/>
      <c r="S477" s="98"/>
    </row>
    <row r="478" spans="1:19" ht="42.75">
      <c r="A478" s="90" t="s">
        <v>49</v>
      </c>
      <c r="B478" s="91" t="s">
        <v>490</v>
      </c>
      <c r="C478" s="91" t="s">
        <v>2290</v>
      </c>
      <c r="D478" s="90">
        <v>2552</v>
      </c>
      <c r="E478" s="90">
        <v>2542</v>
      </c>
      <c r="F478" s="90" t="s">
        <v>1454</v>
      </c>
      <c r="G478" s="90"/>
      <c r="H478" s="93"/>
      <c r="I478" s="93"/>
      <c r="J478" s="93"/>
      <c r="K478" s="95"/>
      <c r="L478" s="69"/>
      <c r="M478" s="69"/>
      <c r="N478" s="69"/>
      <c r="O478" s="69"/>
      <c r="P478" s="78"/>
      <c r="Q478" s="96"/>
      <c r="R478" s="97"/>
      <c r="S478" s="98"/>
    </row>
    <row r="479" spans="1:19" ht="42.75">
      <c r="A479" s="142" t="s">
        <v>49</v>
      </c>
      <c r="B479" s="91" t="s">
        <v>490</v>
      </c>
      <c r="C479" s="91" t="s">
        <v>2291</v>
      </c>
      <c r="D479" s="90">
        <v>6242</v>
      </c>
      <c r="E479" s="90">
        <v>6600</v>
      </c>
      <c r="F479" s="90" t="s">
        <v>1454</v>
      </c>
      <c r="G479" s="90"/>
      <c r="H479" s="93"/>
      <c r="I479" s="93"/>
      <c r="J479" s="93"/>
      <c r="K479" s="95"/>
      <c r="L479" s="69"/>
      <c r="M479" s="69"/>
      <c r="N479" s="69"/>
      <c r="O479" s="69"/>
      <c r="P479" s="78"/>
      <c r="Q479" s="96"/>
      <c r="R479" s="97"/>
      <c r="S479" s="98"/>
    </row>
    <row r="480" spans="1:19" ht="42.75">
      <c r="A480" s="90" t="s">
        <v>49</v>
      </c>
      <c r="B480" s="91" t="s">
        <v>490</v>
      </c>
      <c r="C480" s="91" t="s">
        <v>673</v>
      </c>
      <c r="D480" s="90">
        <v>7990</v>
      </c>
      <c r="E480" s="90">
        <v>8401</v>
      </c>
      <c r="F480" s="90" t="s">
        <v>1454</v>
      </c>
      <c r="G480" s="90"/>
      <c r="H480" s="93"/>
      <c r="I480" s="93"/>
      <c r="J480" s="93"/>
      <c r="K480" s="95"/>
      <c r="L480" s="69"/>
      <c r="M480" s="69"/>
      <c r="N480" s="69"/>
      <c r="O480" s="69"/>
      <c r="P480" s="78"/>
      <c r="Q480" s="96"/>
      <c r="R480" s="97"/>
      <c r="S480" s="98"/>
    </row>
    <row r="481" spans="1:19" ht="42.75">
      <c r="A481" s="90" t="s">
        <v>49</v>
      </c>
      <c r="B481" s="91" t="s">
        <v>490</v>
      </c>
      <c r="C481" s="91" t="s">
        <v>2292</v>
      </c>
      <c r="D481" s="90">
        <v>5017</v>
      </c>
      <c r="E481" s="90">
        <v>6138</v>
      </c>
      <c r="F481" s="90" t="s">
        <v>1454</v>
      </c>
      <c r="G481" s="90"/>
      <c r="H481" s="93"/>
      <c r="I481" s="93"/>
      <c r="J481" s="93"/>
      <c r="K481" s="95"/>
      <c r="L481" s="69"/>
      <c r="M481" s="69"/>
      <c r="N481" s="69"/>
      <c r="O481" s="69"/>
      <c r="P481" s="78"/>
      <c r="Q481" s="96"/>
      <c r="R481" s="97"/>
      <c r="S481" s="98"/>
    </row>
    <row r="482" spans="1:19" ht="42.75">
      <c r="A482" s="90" t="s">
        <v>49</v>
      </c>
      <c r="B482" s="91" t="s">
        <v>490</v>
      </c>
      <c r="C482" s="91" t="s">
        <v>2293</v>
      </c>
      <c r="D482" s="90">
        <v>5633</v>
      </c>
      <c r="E482" s="90">
        <v>7658</v>
      </c>
      <c r="F482" s="90" t="s">
        <v>1434</v>
      </c>
      <c r="G482" s="90">
        <v>2024</v>
      </c>
      <c r="H482" s="112">
        <v>45359</v>
      </c>
      <c r="I482" s="93"/>
      <c r="J482" s="94" t="s">
        <v>2294</v>
      </c>
      <c r="K482" s="95"/>
      <c r="L482" s="69" t="s">
        <v>76</v>
      </c>
      <c r="M482" s="69"/>
      <c r="N482" s="69"/>
      <c r="O482" s="69"/>
      <c r="P482" s="78"/>
      <c r="Q482" s="96"/>
      <c r="R482" s="97"/>
      <c r="S482" s="98"/>
    </row>
    <row r="483" spans="1:19" ht="42.75">
      <c r="A483" s="90" t="s">
        <v>49</v>
      </c>
      <c r="B483" s="91" t="s">
        <v>490</v>
      </c>
      <c r="C483" s="91" t="s">
        <v>2295</v>
      </c>
      <c r="D483" s="90">
        <v>2789</v>
      </c>
      <c r="E483" s="90">
        <v>2950</v>
      </c>
      <c r="F483" s="90" t="s">
        <v>1454</v>
      </c>
      <c r="G483" s="90"/>
      <c r="H483" s="93"/>
      <c r="I483" s="93"/>
      <c r="J483" s="93"/>
      <c r="K483" s="95"/>
      <c r="L483" s="69"/>
      <c r="M483" s="69"/>
      <c r="N483" s="69"/>
      <c r="O483" s="69"/>
      <c r="P483" s="78"/>
      <c r="Q483" s="96"/>
      <c r="R483" s="97"/>
      <c r="S483" s="98"/>
    </row>
    <row r="484" spans="1:19" ht="42.75">
      <c r="A484" s="142" t="s">
        <v>49</v>
      </c>
      <c r="B484" s="91" t="s">
        <v>490</v>
      </c>
      <c r="C484" s="91" t="s">
        <v>926</v>
      </c>
      <c r="D484" s="90">
        <v>7153</v>
      </c>
      <c r="E484" s="90">
        <v>8262</v>
      </c>
      <c r="F484" s="90" t="s">
        <v>1454</v>
      </c>
      <c r="G484" s="90"/>
      <c r="H484" s="93"/>
      <c r="I484" s="93"/>
      <c r="J484" s="93"/>
      <c r="K484" s="95"/>
      <c r="L484" s="69"/>
      <c r="M484" s="69"/>
      <c r="N484" s="69"/>
      <c r="O484" s="69"/>
      <c r="P484" s="78"/>
      <c r="Q484" s="96"/>
      <c r="R484" s="97"/>
      <c r="S484" s="98"/>
    </row>
    <row r="485" spans="1:19" ht="42.75">
      <c r="A485" s="142" t="s">
        <v>49</v>
      </c>
      <c r="B485" s="91" t="s">
        <v>490</v>
      </c>
      <c r="C485" s="91" t="s">
        <v>881</v>
      </c>
      <c r="D485" s="90">
        <v>6994</v>
      </c>
      <c r="E485" s="90">
        <v>8113</v>
      </c>
      <c r="F485" s="90" t="s">
        <v>1434</v>
      </c>
      <c r="G485" s="90">
        <v>2024</v>
      </c>
      <c r="H485" s="112">
        <v>45359</v>
      </c>
      <c r="I485" s="93"/>
      <c r="J485" s="94" t="s">
        <v>2296</v>
      </c>
      <c r="K485" s="95"/>
      <c r="L485" s="69" t="s">
        <v>76</v>
      </c>
      <c r="M485" s="69"/>
      <c r="N485" s="69"/>
      <c r="O485" s="69"/>
      <c r="P485" s="78"/>
      <c r="Q485" s="96"/>
      <c r="R485" s="97"/>
      <c r="S485" s="98"/>
    </row>
    <row r="486" spans="1:19" ht="42.75">
      <c r="A486" s="142" t="s">
        <v>49</v>
      </c>
      <c r="B486" s="91" t="s">
        <v>490</v>
      </c>
      <c r="C486" s="91" t="s">
        <v>2297</v>
      </c>
      <c r="D486" s="90">
        <v>3325</v>
      </c>
      <c r="E486" s="90">
        <v>3637</v>
      </c>
      <c r="F486" s="90" t="s">
        <v>1434</v>
      </c>
      <c r="G486" s="90">
        <v>2024</v>
      </c>
      <c r="H486" s="112">
        <v>45359</v>
      </c>
      <c r="I486" s="93"/>
      <c r="J486" s="94" t="s">
        <v>2298</v>
      </c>
      <c r="K486" s="95"/>
      <c r="L486" s="69" t="s">
        <v>76</v>
      </c>
      <c r="M486" s="69"/>
      <c r="N486" s="69"/>
      <c r="O486" s="69"/>
      <c r="P486" s="78"/>
      <c r="Q486" s="96"/>
      <c r="R486" s="97"/>
      <c r="S486" s="98"/>
    </row>
    <row r="487" spans="1:19" ht="42.75">
      <c r="A487" s="90" t="s">
        <v>49</v>
      </c>
      <c r="B487" s="91" t="s">
        <v>490</v>
      </c>
      <c r="C487" s="91" t="s">
        <v>1065</v>
      </c>
      <c r="D487" s="90">
        <v>2862</v>
      </c>
      <c r="E487" s="90">
        <v>2731</v>
      </c>
      <c r="F487" s="90" t="s">
        <v>1434</v>
      </c>
      <c r="G487" s="90">
        <v>2024</v>
      </c>
      <c r="H487" s="112">
        <v>45359</v>
      </c>
      <c r="I487" s="93"/>
      <c r="J487" s="94" t="s">
        <v>2299</v>
      </c>
      <c r="K487" s="95"/>
      <c r="L487" s="69" t="s">
        <v>76</v>
      </c>
      <c r="M487" s="69"/>
      <c r="N487" s="69"/>
      <c r="O487" s="69"/>
      <c r="P487" s="78"/>
      <c r="Q487" s="96"/>
      <c r="R487" s="97"/>
      <c r="S487" s="98"/>
    </row>
    <row r="488" spans="1:19" ht="42.75">
      <c r="A488" s="142" t="s">
        <v>49</v>
      </c>
      <c r="B488" s="91" t="s">
        <v>490</v>
      </c>
      <c r="C488" s="91" t="s">
        <v>2300</v>
      </c>
      <c r="D488" s="90">
        <v>6202</v>
      </c>
      <c r="E488" s="90">
        <v>6496</v>
      </c>
      <c r="F488" s="90" t="s">
        <v>1454</v>
      </c>
      <c r="G488" s="90"/>
      <c r="H488" s="93"/>
      <c r="I488" s="93"/>
      <c r="J488" s="93"/>
      <c r="K488" s="95"/>
      <c r="L488" s="69"/>
      <c r="M488" s="69"/>
      <c r="N488" s="69"/>
      <c r="O488" s="69"/>
      <c r="P488" s="78"/>
      <c r="Q488" s="96"/>
      <c r="R488" s="97"/>
      <c r="S488" s="98"/>
    </row>
    <row r="489" spans="1:19" ht="42.75">
      <c r="A489" s="90" t="s">
        <v>49</v>
      </c>
      <c r="B489" s="91" t="s">
        <v>492</v>
      </c>
      <c r="C489" s="91" t="s">
        <v>2301</v>
      </c>
      <c r="D489" s="90">
        <v>3216</v>
      </c>
      <c r="E489" s="90">
        <v>5016</v>
      </c>
      <c r="F489" s="90" t="s">
        <v>1434</v>
      </c>
      <c r="G489" s="90">
        <v>2024</v>
      </c>
      <c r="H489" s="101">
        <v>45426</v>
      </c>
      <c r="I489" s="101">
        <v>45426</v>
      </c>
      <c r="J489" s="94" t="s">
        <v>2302</v>
      </c>
      <c r="K489" s="100">
        <v>45428</v>
      </c>
      <c r="L489" s="69" t="s">
        <v>78</v>
      </c>
      <c r="M489" s="69"/>
      <c r="N489" s="69"/>
      <c r="O489" s="69" t="s">
        <v>1436</v>
      </c>
      <c r="P489" s="78"/>
      <c r="Q489" s="96"/>
      <c r="R489" s="97"/>
      <c r="S489" s="98"/>
    </row>
    <row r="490" spans="1:19" ht="42.75">
      <c r="A490" s="142" t="s">
        <v>49</v>
      </c>
      <c r="B490" s="91" t="s">
        <v>492</v>
      </c>
      <c r="C490" s="91" t="s">
        <v>2303</v>
      </c>
      <c r="D490" s="90">
        <v>5044</v>
      </c>
      <c r="E490" s="90">
        <v>5720</v>
      </c>
      <c r="F490" s="90" t="s">
        <v>1454</v>
      </c>
      <c r="G490" s="90"/>
      <c r="H490" s="93"/>
      <c r="I490" s="93"/>
      <c r="J490" s="93"/>
      <c r="K490" s="95"/>
      <c r="L490" s="69"/>
      <c r="M490" s="69"/>
      <c r="N490" s="69"/>
      <c r="O490" s="69"/>
      <c r="P490" s="78"/>
      <c r="Q490" s="96"/>
      <c r="R490" s="97"/>
      <c r="S490" s="98"/>
    </row>
    <row r="491" spans="1:19" ht="42.75">
      <c r="A491" s="90" t="s">
        <v>49</v>
      </c>
      <c r="B491" s="91" t="s">
        <v>492</v>
      </c>
      <c r="C491" s="91" t="s">
        <v>2304</v>
      </c>
      <c r="D491" s="90">
        <v>3296</v>
      </c>
      <c r="E491" s="90">
        <v>3841</v>
      </c>
      <c r="F491" s="90" t="s">
        <v>1454</v>
      </c>
      <c r="G491" s="90"/>
      <c r="H491" s="93"/>
      <c r="I491" s="93"/>
      <c r="J491" s="93"/>
      <c r="K491" s="95"/>
      <c r="L491" s="69"/>
      <c r="M491" s="69"/>
      <c r="N491" s="69"/>
      <c r="O491" s="69"/>
      <c r="P491" s="78"/>
      <c r="Q491" s="96"/>
      <c r="R491" s="97"/>
      <c r="S491" s="98"/>
    </row>
    <row r="492" spans="1:19" ht="42.75">
      <c r="A492" s="90" t="s">
        <v>49</v>
      </c>
      <c r="B492" s="91" t="s">
        <v>492</v>
      </c>
      <c r="C492" s="91" t="s">
        <v>2305</v>
      </c>
      <c r="D492" s="90">
        <v>2564</v>
      </c>
      <c r="E492" s="90">
        <v>2603</v>
      </c>
      <c r="F492" s="90" t="s">
        <v>1454</v>
      </c>
      <c r="G492" s="90"/>
      <c r="H492" s="93"/>
      <c r="I492" s="93"/>
      <c r="J492" s="93"/>
      <c r="K492" s="95"/>
      <c r="L492" s="69"/>
      <c r="M492" s="69"/>
      <c r="N492" s="69"/>
      <c r="O492" s="69"/>
      <c r="P492" s="78"/>
      <c r="Q492" s="96"/>
      <c r="R492" s="97"/>
      <c r="S492" s="98"/>
    </row>
    <row r="493" spans="1:19" ht="42.75">
      <c r="A493" s="90" t="s">
        <v>49</v>
      </c>
      <c r="B493" s="91" t="s">
        <v>492</v>
      </c>
      <c r="C493" s="91" t="s">
        <v>974</v>
      </c>
      <c r="D493" s="90">
        <v>1999</v>
      </c>
      <c r="E493" s="90">
        <v>2221</v>
      </c>
      <c r="F493" s="90" t="s">
        <v>1454</v>
      </c>
      <c r="G493" s="90"/>
      <c r="H493" s="93"/>
      <c r="I493" s="93"/>
      <c r="J493" s="93"/>
      <c r="K493" s="95"/>
      <c r="L493" s="69"/>
      <c r="M493" s="69"/>
      <c r="N493" s="69"/>
      <c r="O493" s="69"/>
      <c r="P493" s="78"/>
      <c r="Q493" s="96"/>
      <c r="R493" s="97"/>
      <c r="S493" s="98"/>
    </row>
    <row r="494" spans="1:19" ht="42.75">
      <c r="A494" s="90" t="s">
        <v>49</v>
      </c>
      <c r="B494" s="91" t="s">
        <v>492</v>
      </c>
      <c r="C494" s="91" t="s">
        <v>2306</v>
      </c>
      <c r="D494" s="90">
        <v>4159</v>
      </c>
      <c r="E494" s="90">
        <v>3517</v>
      </c>
      <c r="F494" s="90" t="s">
        <v>1454</v>
      </c>
      <c r="G494" s="90"/>
      <c r="H494" s="93"/>
      <c r="I494" s="93"/>
      <c r="J494" s="93"/>
      <c r="K494" s="95"/>
      <c r="L494" s="69"/>
      <c r="M494" s="69"/>
      <c r="N494" s="69"/>
      <c r="O494" s="69"/>
      <c r="P494" s="78"/>
      <c r="Q494" s="96"/>
      <c r="R494" s="97"/>
      <c r="S494" s="98"/>
    </row>
    <row r="495" spans="1:19" ht="42.75">
      <c r="A495" s="90" t="s">
        <v>49</v>
      </c>
      <c r="B495" s="91" t="s">
        <v>492</v>
      </c>
      <c r="C495" s="91" t="s">
        <v>2307</v>
      </c>
      <c r="D495" s="90">
        <v>4278</v>
      </c>
      <c r="E495" s="90">
        <v>4510</v>
      </c>
      <c r="F495" s="90" t="s">
        <v>1454</v>
      </c>
      <c r="G495" s="90"/>
      <c r="H495" s="93"/>
      <c r="I495" s="93"/>
      <c r="J495" s="93"/>
      <c r="K495" s="95"/>
      <c r="L495" s="69"/>
      <c r="M495" s="69"/>
      <c r="N495" s="69"/>
      <c r="O495" s="69"/>
      <c r="P495" s="78"/>
      <c r="Q495" s="96"/>
      <c r="R495" s="97"/>
      <c r="S495" s="98"/>
    </row>
    <row r="496" spans="1:19" ht="42.75">
      <c r="A496" s="90" t="s">
        <v>49</v>
      </c>
      <c r="B496" s="91" t="s">
        <v>492</v>
      </c>
      <c r="C496" s="91" t="s">
        <v>2308</v>
      </c>
      <c r="D496" s="90">
        <v>2458</v>
      </c>
      <c r="E496" s="90">
        <v>2175</v>
      </c>
      <c r="F496" s="90" t="s">
        <v>1454</v>
      </c>
      <c r="G496" s="90"/>
      <c r="H496" s="93"/>
      <c r="I496" s="93"/>
      <c r="J496" s="93"/>
      <c r="K496" s="95"/>
      <c r="L496" s="69"/>
      <c r="M496" s="69"/>
      <c r="N496" s="69"/>
      <c r="O496" s="69"/>
      <c r="P496" s="78"/>
      <c r="Q496" s="96"/>
      <c r="R496" s="97"/>
      <c r="S496" s="98"/>
    </row>
    <row r="497" spans="1:19" ht="42.75">
      <c r="A497" s="90" t="s">
        <v>49</v>
      </c>
      <c r="B497" s="91" t="s">
        <v>492</v>
      </c>
      <c r="C497" s="91" t="s">
        <v>2309</v>
      </c>
      <c r="D497" s="90">
        <v>5770</v>
      </c>
      <c r="E497" s="90">
        <v>6129</v>
      </c>
      <c r="F497" s="90" t="s">
        <v>1454</v>
      </c>
      <c r="G497" s="90"/>
      <c r="H497" s="93"/>
      <c r="I497" s="93"/>
      <c r="J497" s="93"/>
      <c r="K497" s="95"/>
      <c r="L497" s="69"/>
      <c r="M497" s="69"/>
      <c r="N497" s="69"/>
      <c r="O497" s="69"/>
      <c r="P497" s="78"/>
      <c r="Q497" s="96"/>
      <c r="R497" s="97"/>
      <c r="S497" s="98"/>
    </row>
    <row r="498" spans="1:19" ht="42.75">
      <c r="A498" s="90" t="s">
        <v>49</v>
      </c>
      <c r="B498" s="91" t="s">
        <v>492</v>
      </c>
      <c r="C498" s="91" t="s">
        <v>2310</v>
      </c>
      <c r="D498" s="90">
        <v>6332</v>
      </c>
      <c r="E498" s="90">
        <v>6384</v>
      </c>
      <c r="F498" s="90" t="s">
        <v>1454</v>
      </c>
      <c r="G498" s="90"/>
      <c r="H498" s="93"/>
      <c r="I498" s="93"/>
      <c r="J498" s="93"/>
      <c r="K498" s="95"/>
      <c r="L498" s="69"/>
      <c r="M498" s="69"/>
      <c r="N498" s="69"/>
      <c r="O498" s="69"/>
      <c r="P498" s="78"/>
      <c r="Q498" s="96"/>
      <c r="R498" s="97"/>
      <c r="S498" s="98"/>
    </row>
    <row r="499" spans="1:19" ht="42.75">
      <c r="A499" s="142" t="s">
        <v>49</v>
      </c>
      <c r="B499" s="91" t="s">
        <v>492</v>
      </c>
      <c r="C499" s="91" t="s">
        <v>2188</v>
      </c>
      <c r="D499" s="90">
        <v>1770</v>
      </c>
      <c r="E499" s="90">
        <v>1960</v>
      </c>
      <c r="F499" s="90" t="s">
        <v>1454</v>
      </c>
      <c r="G499" s="90"/>
      <c r="H499" s="93"/>
      <c r="I499" s="93"/>
      <c r="J499" s="93"/>
      <c r="K499" s="95"/>
      <c r="L499" s="69"/>
      <c r="M499" s="69"/>
      <c r="N499" s="69"/>
      <c r="O499" s="69"/>
      <c r="P499" s="78"/>
      <c r="Q499" s="96"/>
      <c r="R499" s="97"/>
      <c r="S499" s="98"/>
    </row>
    <row r="500" spans="1:19" ht="42.75">
      <c r="A500" s="90" t="s">
        <v>49</v>
      </c>
      <c r="B500" s="91" t="s">
        <v>492</v>
      </c>
      <c r="C500" s="91" t="s">
        <v>2311</v>
      </c>
      <c r="D500" s="90">
        <v>2754</v>
      </c>
      <c r="E500" s="90">
        <v>4161</v>
      </c>
      <c r="F500" s="90" t="s">
        <v>1454</v>
      </c>
      <c r="G500" s="90"/>
      <c r="H500" s="93"/>
      <c r="I500" s="93"/>
      <c r="J500" s="93"/>
      <c r="K500" s="95"/>
      <c r="L500" s="69"/>
      <c r="M500" s="69"/>
      <c r="N500" s="69"/>
      <c r="O500" s="69"/>
      <c r="P500" s="78"/>
      <c r="Q500" s="96"/>
      <c r="R500" s="97"/>
      <c r="S500" s="98"/>
    </row>
    <row r="501" spans="1:19" ht="42.75">
      <c r="A501" s="90" t="s">
        <v>49</v>
      </c>
      <c r="B501" s="91" t="s">
        <v>492</v>
      </c>
      <c r="C501" s="91" t="s">
        <v>2312</v>
      </c>
      <c r="D501" s="90">
        <v>12359</v>
      </c>
      <c r="E501" s="90">
        <v>14085</v>
      </c>
      <c r="F501" s="90" t="s">
        <v>1454</v>
      </c>
      <c r="G501" s="90"/>
      <c r="H501" s="93"/>
      <c r="I501" s="93"/>
      <c r="J501" s="93"/>
      <c r="K501" s="95"/>
      <c r="L501" s="69"/>
      <c r="M501" s="69"/>
      <c r="N501" s="69"/>
      <c r="O501" s="69"/>
      <c r="P501" s="78"/>
      <c r="Q501" s="96"/>
      <c r="R501" s="97"/>
      <c r="S501" s="98"/>
    </row>
    <row r="502" spans="1:19" ht="42.75">
      <c r="A502" s="90" t="s">
        <v>49</v>
      </c>
      <c r="B502" s="91" t="s">
        <v>492</v>
      </c>
      <c r="C502" s="91" t="s">
        <v>1039</v>
      </c>
      <c r="D502" s="90">
        <v>3444</v>
      </c>
      <c r="E502" s="90">
        <v>4265</v>
      </c>
      <c r="F502" s="90" t="s">
        <v>1454</v>
      </c>
      <c r="G502" s="90"/>
      <c r="H502" s="93"/>
      <c r="I502" s="93"/>
      <c r="J502" s="93"/>
      <c r="K502" s="95"/>
      <c r="L502" s="69"/>
      <c r="M502" s="69"/>
      <c r="N502" s="69"/>
      <c r="O502" s="69"/>
      <c r="P502" s="78"/>
      <c r="Q502" s="96"/>
      <c r="R502" s="97"/>
      <c r="S502" s="98"/>
    </row>
    <row r="503" spans="1:19" ht="42.75">
      <c r="A503" s="90" t="s">
        <v>49</v>
      </c>
      <c r="B503" s="91" t="s">
        <v>492</v>
      </c>
      <c r="C503" s="91" t="s">
        <v>2313</v>
      </c>
      <c r="D503" s="90">
        <v>4109</v>
      </c>
      <c r="E503" s="90">
        <v>4280</v>
      </c>
      <c r="F503" s="90" t="s">
        <v>1454</v>
      </c>
      <c r="G503" s="90"/>
      <c r="H503" s="93"/>
      <c r="I503" s="93"/>
      <c r="J503" s="93"/>
      <c r="K503" s="95"/>
      <c r="L503" s="69"/>
      <c r="M503" s="69"/>
      <c r="N503" s="69"/>
      <c r="O503" s="69"/>
      <c r="P503" s="78"/>
      <c r="Q503" s="96"/>
      <c r="R503" s="97"/>
      <c r="S503" s="98"/>
    </row>
    <row r="504" spans="1:19" ht="42.75">
      <c r="A504" s="90" t="s">
        <v>49</v>
      </c>
      <c r="B504" s="91" t="s">
        <v>492</v>
      </c>
      <c r="C504" s="91" t="s">
        <v>2314</v>
      </c>
      <c r="D504" s="90">
        <v>2971</v>
      </c>
      <c r="E504" s="90">
        <v>2925</v>
      </c>
      <c r="F504" s="90" t="s">
        <v>1454</v>
      </c>
      <c r="G504" s="90"/>
      <c r="H504" s="93"/>
      <c r="I504" s="93"/>
      <c r="J504" s="93"/>
      <c r="K504" s="95"/>
      <c r="L504" s="69"/>
      <c r="M504" s="69"/>
      <c r="N504" s="69"/>
      <c r="O504" s="69"/>
      <c r="P504" s="78"/>
      <c r="Q504" s="96"/>
      <c r="R504" s="97"/>
      <c r="S504" s="98"/>
    </row>
    <row r="505" spans="1:19" ht="42.75">
      <c r="A505" s="90" t="s">
        <v>49</v>
      </c>
      <c r="B505" s="91" t="s">
        <v>492</v>
      </c>
      <c r="C505" s="91" t="s">
        <v>2315</v>
      </c>
      <c r="D505" s="90">
        <v>2117</v>
      </c>
      <c r="E505" s="90">
        <v>1684</v>
      </c>
      <c r="F505" s="90" t="s">
        <v>1454</v>
      </c>
      <c r="G505" s="90"/>
      <c r="H505" s="93"/>
      <c r="I505" s="93"/>
      <c r="J505" s="93"/>
      <c r="K505" s="95"/>
      <c r="L505" s="69"/>
      <c r="M505" s="69"/>
      <c r="N505" s="69"/>
      <c r="O505" s="69"/>
      <c r="P505" s="78"/>
      <c r="Q505" s="96"/>
      <c r="R505" s="97"/>
      <c r="S505" s="98"/>
    </row>
    <row r="506" spans="1:19" ht="42.75">
      <c r="A506" s="90" t="s">
        <v>49</v>
      </c>
      <c r="B506" s="91" t="s">
        <v>492</v>
      </c>
      <c r="C506" s="91" t="s">
        <v>2316</v>
      </c>
      <c r="D506" s="90">
        <v>2501</v>
      </c>
      <c r="E506" s="90">
        <v>1752</v>
      </c>
      <c r="F506" s="90" t="s">
        <v>1454</v>
      </c>
      <c r="G506" s="90"/>
      <c r="H506" s="93"/>
      <c r="I506" s="93"/>
      <c r="J506" s="93"/>
      <c r="K506" s="95"/>
      <c r="L506" s="69"/>
      <c r="M506" s="69"/>
      <c r="N506" s="69"/>
      <c r="O506" s="69"/>
      <c r="P506" s="78"/>
      <c r="Q506" s="96"/>
      <c r="R506" s="97"/>
      <c r="S506" s="98"/>
    </row>
    <row r="507" spans="1:19" ht="42.75">
      <c r="A507" s="90" t="s">
        <v>49</v>
      </c>
      <c r="B507" s="91" t="s">
        <v>492</v>
      </c>
      <c r="C507" s="91" t="s">
        <v>2317</v>
      </c>
      <c r="D507" s="90">
        <v>4336</v>
      </c>
      <c r="E507" s="90">
        <v>4663</v>
      </c>
      <c r="F507" s="90" t="s">
        <v>1454</v>
      </c>
      <c r="G507" s="90"/>
      <c r="H507" s="93"/>
      <c r="I507" s="93"/>
      <c r="J507" s="93"/>
      <c r="K507" s="95"/>
      <c r="L507" s="69"/>
      <c r="M507" s="69"/>
      <c r="N507" s="69"/>
      <c r="O507" s="69"/>
      <c r="P507" s="78"/>
      <c r="Q507" s="96"/>
      <c r="R507" s="97"/>
      <c r="S507" s="98"/>
    </row>
    <row r="508" spans="1:19" ht="42.75">
      <c r="A508" s="90" t="s">
        <v>49</v>
      </c>
      <c r="B508" s="91" t="s">
        <v>492</v>
      </c>
      <c r="C508" s="91" t="s">
        <v>926</v>
      </c>
      <c r="D508" s="90">
        <v>1909</v>
      </c>
      <c r="E508" s="90">
        <v>1785</v>
      </c>
      <c r="F508" s="90" t="s">
        <v>1454</v>
      </c>
      <c r="G508" s="90"/>
      <c r="H508" s="93"/>
      <c r="I508" s="93"/>
      <c r="J508" s="93"/>
      <c r="K508" s="95"/>
      <c r="L508" s="69"/>
      <c r="M508" s="69"/>
      <c r="N508" s="69"/>
      <c r="O508" s="69"/>
      <c r="P508" s="78"/>
      <c r="Q508" s="96"/>
      <c r="R508" s="97"/>
      <c r="S508" s="98"/>
    </row>
    <row r="509" spans="1:19" ht="42.75">
      <c r="A509" s="90" t="s">
        <v>49</v>
      </c>
      <c r="B509" s="91" t="s">
        <v>492</v>
      </c>
      <c r="C509" s="91" t="s">
        <v>2318</v>
      </c>
      <c r="D509" s="90">
        <v>8347</v>
      </c>
      <c r="E509" s="90">
        <v>9528</v>
      </c>
      <c r="F509" s="90" t="s">
        <v>1454</v>
      </c>
      <c r="G509" s="90"/>
      <c r="H509" s="93"/>
      <c r="I509" s="93"/>
      <c r="J509" s="93"/>
      <c r="K509" s="95"/>
      <c r="L509" s="69"/>
      <c r="M509" s="69"/>
      <c r="N509" s="69"/>
      <c r="O509" s="69"/>
      <c r="P509" s="78"/>
      <c r="Q509" s="96"/>
      <c r="R509" s="97"/>
      <c r="S509" s="98"/>
    </row>
    <row r="510" spans="1:19" ht="42.75">
      <c r="A510" s="90" t="s">
        <v>49</v>
      </c>
      <c r="B510" s="91" t="s">
        <v>492</v>
      </c>
      <c r="C510" s="91" t="s">
        <v>427</v>
      </c>
      <c r="D510" s="90">
        <v>5437</v>
      </c>
      <c r="E510" s="90">
        <v>5661</v>
      </c>
      <c r="F510" s="90" t="s">
        <v>1454</v>
      </c>
      <c r="G510" s="90"/>
      <c r="H510" s="93"/>
      <c r="I510" s="93"/>
      <c r="J510" s="93"/>
      <c r="K510" s="95"/>
      <c r="L510" s="69"/>
      <c r="M510" s="69"/>
      <c r="N510" s="69"/>
      <c r="O510" s="69"/>
      <c r="P510" s="78"/>
      <c r="Q510" s="96"/>
      <c r="R510" s="97"/>
      <c r="S510" s="98"/>
    </row>
    <row r="511" spans="1:19" ht="42.75">
      <c r="A511" s="90" t="s">
        <v>49</v>
      </c>
      <c r="B511" s="91" t="s">
        <v>492</v>
      </c>
      <c r="C511" s="91" t="s">
        <v>2319</v>
      </c>
      <c r="D511" s="90">
        <v>2255</v>
      </c>
      <c r="E511" s="90">
        <v>2671</v>
      </c>
      <c r="F511" s="90" t="s">
        <v>1454</v>
      </c>
      <c r="G511" s="90"/>
      <c r="H511" s="93"/>
      <c r="I511" s="93"/>
      <c r="J511" s="93"/>
      <c r="K511" s="95"/>
      <c r="L511" s="69"/>
      <c r="M511" s="69"/>
      <c r="N511" s="69"/>
      <c r="O511" s="69"/>
      <c r="P511" s="78"/>
      <c r="Q511" s="96"/>
      <c r="R511" s="97"/>
      <c r="S511" s="98"/>
    </row>
    <row r="512" spans="1:19" ht="42.75">
      <c r="A512" s="90" t="s">
        <v>49</v>
      </c>
      <c r="B512" s="91" t="s">
        <v>492</v>
      </c>
      <c r="C512" s="91" t="s">
        <v>440</v>
      </c>
      <c r="D512" s="90">
        <v>4998</v>
      </c>
      <c r="E512" s="90">
        <v>6005</v>
      </c>
      <c r="F512" s="90" t="s">
        <v>1454</v>
      </c>
      <c r="G512" s="90"/>
      <c r="H512" s="93"/>
      <c r="I512" s="93"/>
      <c r="J512" s="93"/>
      <c r="K512" s="95"/>
      <c r="L512" s="69"/>
      <c r="M512" s="69"/>
      <c r="N512" s="69"/>
      <c r="O512" s="69"/>
      <c r="P512" s="78"/>
      <c r="Q512" s="96"/>
      <c r="R512" s="97"/>
      <c r="S512" s="98"/>
    </row>
    <row r="513" spans="1:19" ht="42.75">
      <c r="A513" s="90" t="s">
        <v>49</v>
      </c>
      <c r="B513" s="91" t="s">
        <v>492</v>
      </c>
      <c r="C513" s="91" t="s">
        <v>1656</v>
      </c>
      <c r="D513" s="90">
        <v>2206</v>
      </c>
      <c r="E513" s="90">
        <v>2460</v>
      </c>
      <c r="F513" s="90" t="s">
        <v>1454</v>
      </c>
      <c r="G513" s="90"/>
      <c r="H513" s="93"/>
      <c r="I513" s="93"/>
      <c r="J513" s="93"/>
      <c r="K513" s="95"/>
      <c r="L513" s="69"/>
      <c r="M513" s="69"/>
      <c r="N513" s="69"/>
      <c r="O513" s="69"/>
      <c r="P513" s="78"/>
      <c r="Q513" s="96"/>
      <c r="R513" s="97"/>
      <c r="S513" s="98"/>
    </row>
    <row r="514" spans="1:19" ht="42.75">
      <c r="A514" s="90" t="s">
        <v>49</v>
      </c>
      <c r="B514" s="91" t="s">
        <v>492</v>
      </c>
      <c r="C514" s="91" t="s">
        <v>1879</v>
      </c>
      <c r="D514" s="90">
        <v>1955</v>
      </c>
      <c r="E514" s="90">
        <v>2544</v>
      </c>
      <c r="F514" s="90" t="s">
        <v>1454</v>
      </c>
      <c r="G514" s="90"/>
      <c r="H514" s="93"/>
      <c r="I514" s="93"/>
      <c r="J514" s="93"/>
      <c r="K514" s="95"/>
      <c r="L514" s="69"/>
      <c r="M514" s="69"/>
      <c r="N514" s="69"/>
      <c r="O514" s="69"/>
      <c r="P514" s="78"/>
      <c r="Q514" s="96"/>
      <c r="R514" s="97"/>
      <c r="S514" s="98"/>
    </row>
    <row r="515" spans="1:19" ht="42.75">
      <c r="A515" s="90" t="s">
        <v>49</v>
      </c>
      <c r="B515" s="91" t="s">
        <v>492</v>
      </c>
      <c r="C515" s="91" t="s">
        <v>1288</v>
      </c>
      <c r="D515" s="90">
        <v>2762</v>
      </c>
      <c r="E515" s="90">
        <v>3140</v>
      </c>
      <c r="F515" s="90" t="s">
        <v>1454</v>
      </c>
      <c r="G515" s="90"/>
      <c r="H515" s="93"/>
      <c r="I515" s="93"/>
      <c r="J515" s="93"/>
      <c r="K515" s="95"/>
      <c r="L515" s="69"/>
      <c r="M515" s="69"/>
      <c r="N515" s="69"/>
      <c r="O515" s="69"/>
      <c r="P515" s="78"/>
      <c r="Q515" s="96"/>
      <c r="R515" s="97"/>
      <c r="S515" s="98"/>
    </row>
    <row r="516" spans="1:19" ht="42.75">
      <c r="A516" s="90" t="s">
        <v>49</v>
      </c>
      <c r="B516" s="91" t="s">
        <v>492</v>
      </c>
      <c r="C516" s="91" t="s">
        <v>2320</v>
      </c>
      <c r="D516" s="90">
        <v>1967</v>
      </c>
      <c r="E516" s="90">
        <v>1727</v>
      </c>
      <c r="F516" s="90" t="s">
        <v>1454</v>
      </c>
      <c r="G516" s="90"/>
      <c r="H516" s="93"/>
      <c r="I516" s="93"/>
      <c r="J516" s="93"/>
      <c r="K516" s="95"/>
      <c r="L516" s="69"/>
      <c r="M516" s="69"/>
      <c r="N516" s="69"/>
      <c r="O516" s="69"/>
      <c r="P516" s="78"/>
      <c r="Q516" s="96"/>
      <c r="R516" s="97"/>
      <c r="S516" s="98"/>
    </row>
    <row r="517" spans="1:19" ht="42.75">
      <c r="A517" s="90" t="s">
        <v>49</v>
      </c>
      <c r="B517" s="91" t="s">
        <v>492</v>
      </c>
      <c r="C517" s="91" t="s">
        <v>2321</v>
      </c>
      <c r="D517" s="90">
        <v>1444</v>
      </c>
      <c r="E517" s="90">
        <v>1059</v>
      </c>
      <c r="F517" s="90" t="s">
        <v>1454</v>
      </c>
      <c r="G517" s="90"/>
      <c r="H517" s="93"/>
      <c r="I517" s="93"/>
      <c r="J517" s="93"/>
      <c r="K517" s="95"/>
      <c r="L517" s="69"/>
      <c r="M517" s="69"/>
      <c r="N517" s="69"/>
      <c r="O517" s="69"/>
      <c r="P517" s="78"/>
      <c r="Q517" s="96"/>
      <c r="R517" s="97"/>
      <c r="S517" s="98"/>
    </row>
    <row r="518" spans="1:19" ht="42.75">
      <c r="A518" s="90" t="s">
        <v>49</v>
      </c>
      <c r="B518" s="91" t="s">
        <v>497</v>
      </c>
      <c r="C518" s="91" t="s">
        <v>2322</v>
      </c>
      <c r="D518" s="90">
        <v>2940</v>
      </c>
      <c r="E518" s="90">
        <v>3518</v>
      </c>
      <c r="F518" s="90" t="s">
        <v>1454</v>
      </c>
      <c r="G518" s="90"/>
      <c r="H518" s="93"/>
      <c r="I518" s="93"/>
      <c r="J518" s="93"/>
      <c r="K518" s="95"/>
      <c r="L518" s="69"/>
      <c r="M518" s="69"/>
      <c r="N518" s="69"/>
      <c r="O518" s="69"/>
      <c r="P518" s="78"/>
      <c r="Q518" s="96"/>
      <c r="R518" s="97"/>
      <c r="S518" s="98"/>
    </row>
    <row r="519" spans="1:19" ht="42.75">
      <c r="A519" s="142" t="s">
        <v>49</v>
      </c>
      <c r="B519" s="91" t="s">
        <v>497</v>
      </c>
      <c r="C519" s="91" t="s">
        <v>2323</v>
      </c>
      <c r="D519" s="90">
        <v>1800</v>
      </c>
      <c r="E519" s="90">
        <v>2140</v>
      </c>
      <c r="F519" s="90" t="s">
        <v>1454</v>
      </c>
      <c r="G519" s="90"/>
      <c r="H519" s="93"/>
      <c r="I519" s="93"/>
      <c r="J519" s="93"/>
      <c r="K519" s="95"/>
      <c r="L519" s="69"/>
      <c r="M519" s="69"/>
      <c r="N519" s="69"/>
      <c r="O519" s="69"/>
      <c r="P519" s="78"/>
      <c r="Q519" s="96"/>
      <c r="R519" s="97"/>
      <c r="S519" s="98"/>
    </row>
    <row r="520" spans="1:19" ht="42.75">
      <c r="A520" s="142" t="s">
        <v>49</v>
      </c>
      <c r="B520" s="91" t="s">
        <v>497</v>
      </c>
      <c r="C520" s="91" t="s">
        <v>2324</v>
      </c>
      <c r="D520" s="90">
        <v>5628</v>
      </c>
      <c r="E520" s="90">
        <v>5746</v>
      </c>
      <c r="F520" s="90" t="s">
        <v>1454</v>
      </c>
      <c r="G520" s="90"/>
      <c r="H520" s="93"/>
      <c r="I520" s="93"/>
      <c r="J520" s="93"/>
      <c r="K520" s="95"/>
      <c r="L520" s="69"/>
      <c r="M520" s="69"/>
      <c r="N520" s="69"/>
      <c r="O520" s="69"/>
      <c r="P520" s="78"/>
      <c r="Q520" s="96"/>
      <c r="R520" s="97"/>
      <c r="S520" s="98"/>
    </row>
    <row r="521" spans="1:19" ht="42.75">
      <c r="A521" s="142" t="s">
        <v>49</v>
      </c>
      <c r="B521" s="91" t="s">
        <v>497</v>
      </c>
      <c r="C521" s="91" t="s">
        <v>2325</v>
      </c>
      <c r="D521" s="90">
        <v>16223</v>
      </c>
      <c r="E521" s="90">
        <v>16851</v>
      </c>
      <c r="F521" s="90" t="s">
        <v>1434</v>
      </c>
      <c r="G521" s="90">
        <v>2024</v>
      </c>
      <c r="H521" s="101">
        <v>45518</v>
      </c>
      <c r="I521" s="101">
        <v>45522</v>
      </c>
      <c r="J521" s="94" t="s">
        <v>2326</v>
      </c>
      <c r="K521" s="100">
        <v>45523</v>
      </c>
      <c r="L521" s="69" t="s">
        <v>81</v>
      </c>
      <c r="M521" s="69" t="s">
        <v>4</v>
      </c>
      <c r="N521" s="69" t="s">
        <v>101</v>
      </c>
      <c r="O521" s="69" t="s">
        <v>1436</v>
      </c>
      <c r="P521" s="78"/>
      <c r="Q521" s="96">
        <v>45531</v>
      </c>
      <c r="R521" s="97" t="s">
        <v>929</v>
      </c>
      <c r="S521" s="98"/>
    </row>
    <row r="522" spans="1:19" ht="42.75">
      <c r="A522" s="90" t="s">
        <v>49</v>
      </c>
      <c r="B522" s="91" t="s">
        <v>497</v>
      </c>
      <c r="C522" s="91" t="s">
        <v>2211</v>
      </c>
      <c r="D522" s="90">
        <v>1528</v>
      </c>
      <c r="E522" s="90">
        <v>1693</v>
      </c>
      <c r="F522" s="90" t="s">
        <v>1454</v>
      </c>
      <c r="G522" s="90"/>
      <c r="H522" s="93"/>
      <c r="I522" s="93"/>
      <c r="J522" s="93"/>
      <c r="K522" s="95"/>
      <c r="L522" s="69"/>
      <c r="M522" s="69"/>
      <c r="N522" s="69"/>
      <c r="O522" s="69"/>
      <c r="P522" s="78"/>
      <c r="Q522" s="96"/>
      <c r="R522" s="97"/>
      <c r="S522" s="98"/>
    </row>
    <row r="523" spans="1:19" ht="42.75">
      <c r="A523" s="142" t="s">
        <v>49</v>
      </c>
      <c r="B523" s="91" t="s">
        <v>497</v>
      </c>
      <c r="C523" s="91" t="s">
        <v>926</v>
      </c>
      <c r="D523" s="90">
        <v>4099</v>
      </c>
      <c r="E523" s="90">
        <v>3468</v>
      </c>
      <c r="F523" s="90" t="s">
        <v>1454</v>
      </c>
      <c r="G523" s="90"/>
      <c r="H523" s="93"/>
      <c r="I523" s="93"/>
      <c r="J523" s="93"/>
      <c r="K523" s="95"/>
      <c r="L523" s="69"/>
      <c r="M523" s="69"/>
      <c r="N523" s="69"/>
      <c r="O523" s="69"/>
      <c r="P523" s="78"/>
      <c r="Q523" s="96"/>
      <c r="R523" s="97"/>
      <c r="S523" s="98"/>
    </row>
    <row r="524" spans="1:19" ht="42.75">
      <c r="A524" s="90" t="s">
        <v>49</v>
      </c>
      <c r="B524" s="91" t="s">
        <v>497</v>
      </c>
      <c r="C524" s="91" t="s">
        <v>2327</v>
      </c>
      <c r="D524" s="90">
        <v>5172</v>
      </c>
      <c r="E524" s="90">
        <v>5270</v>
      </c>
      <c r="F524" s="90" t="s">
        <v>1434</v>
      </c>
      <c r="G524" s="90">
        <v>2024</v>
      </c>
      <c r="H524" s="101">
        <v>45604</v>
      </c>
      <c r="I524" s="101">
        <v>45609</v>
      </c>
      <c r="J524" s="94" t="s">
        <v>2328</v>
      </c>
      <c r="K524" s="100">
        <v>45616</v>
      </c>
      <c r="L524" s="69" t="s">
        <v>84</v>
      </c>
      <c r="M524" s="69" t="s">
        <v>672</v>
      </c>
      <c r="N524" s="69" t="s">
        <v>1676</v>
      </c>
      <c r="O524" s="69" t="s">
        <v>1436</v>
      </c>
      <c r="P524" s="78"/>
      <c r="Q524" s="149">
        <v>45618</v>
      </c>
      <c r="R524" s="150" t="s">
        <v>929</v>
      </c>
      <c r="S524" s="98"/>
    </row>
    <row r="525" spans="1:19" ht="42.75">
      <c r="A525" s="90" t="s">
        <v>49</v>
      </c>
      <c r="B525" s="91" t="s">
        <v>497</v>
      </c>
      <c r="C525" s="91" t="s">
        <v>2213</v>
      </c>
      <c r="D525" s="90">
        <v>1879</v>
      </c>
      <c r="E525" s="90">
        <v>3915</v>
      </c>
      <c r="F525" s="90" t="s">
        <v>1454</v>
      </c>
      <c r="G525" s="90"/>
      <c r="H525" s="93"/>
      <c r="I525" s="93"/>
      <c r="J525" s="93"/>
      <c r="K525" s="95"/>
      <c r="L525" s="69"/>
      <c r="M525" s="69"/>
      <c r="N525" s="69"/>
      <c r="O525" s="69"/>
      <c r="P525" s="78"/>
      <c r="Q525" s="96"/>
      <c r="R525" s="97"/>
      <c r="S525" s="98"/>
    </row>
    <row r="526" spans="1:19" ht="42.75">
      <c r="A526" s="90" t="s">
        <v>49</v>
      </c>
      <c r="B526" s="91" t="s">
        <v>497</v>
      </c>
      <c r="C526" s="91" t="s">
        <v>554</v>
      </c>
      <c r="D526" s="90">
        <v>12216</v>
      </c>
      <c r="E526" s="90">
        <v>11739</v>
      </c>
      <c r="F526" s="90" t="s">
        <v>1434</v>
      </c>
      <c r="G526" s="90">
        <v>2024</v>
      </c>
      <c r="H526" s="101">
        <v>45604</v>
      </c>
      <c r="I526" s="101">
        <v>45609</v>
      </c>
      <c r="J526" s="94" t="s">
        <v>2329</v>
      </c>
      <c r="K526" s="100">
        <v>45616</v>
      </c>
      <c r="L526" s="69" t="s">
        <v>84</v>
      </c>
      <c r="M526" s="69" t="s">
        <v>672</v>
      </c>
      <c r="N526" s="69" t="s">
        <v>1676</v>
      </c>
      <c r="O526" s="69" t="s">
        <v>1436</v>
      </c>
      <c r="P526" s="78"/>
      <c r="Q526" s="149">
        <v>45618</v>
      </c>
      <c r="R526" s="150" t="s">
        <v>929</v>
      </c>
      <c r="S526" s="98"/>
    </row>
    <row r="527" spans="1:19" ht="42.75">
      <c r="A527" s="142" t="s">
        <v>49</v>
      </c>
      <c r="B527" s="91" t="s">
        <v>497</v>
      </c>
      <c r="C527" s="91" t="s">
        <v>539</v>
      </c>
      <c r="D527" s="90">
        <v>13687</v>
      </c>
      <c r="E527" s="90">
        <v>16386</v>
      </c>
      <c r="F527" s="90" t="s">
        <v>1434</v>
      </c>
      <c r="G527" s="90">
        <v>2024</v>
      </c>
      <c r="H527" s="101">
        <v>45603</v>
      </c>
      <c r="I527" s="101">
        <v>45607</v>
      </c>
      <c r="J527" s="94" t="s">
        <v>2330</v>
      </c>
      <c r="K527" s="100">
        <v>45612</v>
      </c>
      <c r="L527" s="69" t="s">
        <v>84</v>
      </c>
      <c r="M527" s="69" t="s">
        <v>4</v>
      </c>
      <c r="N527" s="69" t="s">
        <v>101</v>
      </c>
      <c r="O527" s="69" t="s">
        <v>1436</v>
      </c>
      <c r="P527" s="78"/>
      <c r="Q527" s="96">
        <v>45614</v>
      </c>
      <c r="R527" s="97" t="s">
        <v>929</v>
      </c>
      <c r="S527" s="98"/>
    </row>
    <row r="528" spans="1:19" ht="42.75">
      <c r="A528" s="142" t="s">
        <v>49</v>
      </c>
      <c r="B528" s="91" t="s">
        <v>497</v>
      </c>
      <c r="C528" s="91" t="s">
        <v>2331</v>
      </c>
      <c r="D528" s="90">
        <v>8832</v>
      </c>
      <c r="E528" s="90">
        <v>11465</v>
      </c>
      <c r="F528" s="90" t="s">
        <v>1454</v>
      </c>
      <c r="G528" s="90">
        <v>2025</v>
      </c>
      <c r="H528" s="93"/>
      <c r="I528" s="93"/>
      <c r="J528" s="93"/>
      <c r="K528" s="95"/>
      <c r="L528" s="69" t="s">
        <v>74</v>
      </c>
      <c r="M528" s="69"/>
      <c r="N528" s="69"/>
      <c r="O528" s="69"/>
      <c r="P528" s="78"/>
      <c r="Q528" s="96"/>
      <c r="R528" s="97"/>
      <c r="S528" s="98"/>
    </row>
    <row r="529" spans="1:19" ht="42.75">
      <c r="A529" s="142" t="s">
        <v>49</v>
      </c>
      <c r="B529" s="91" t="s">
        <v>497</v>
      </c>
      <c r="C529" s="91" t="s">
        <v>2332</v>
      </c>
      <c r="D529" s="90">
        <v>8310</v>
      </c>
      <c r="E529" s="90">
        <v>9212</v>
      </c>
      <c r="F529" s="90" t="s">
        <v>1454</v>
      </c>
      <c r="G529" s="90"/>
      <c r="H529" s="93"/>
      <c r="I529" s="93"/>
      <c r="J529" s="93"/>
      <c r="K529" s="95"/>
      <c r="L529" s="69"/>
      <c r="M529" s="69"/>
      <c r="N529" s="69"/>
      <c r="O529" s="69"/>
      <c r="P529" s="78"/>
      <c r="Q529" s="96"/>
      <c r="R529" s="97"/>
      <c r="S529" s="98"/>
    </row>
    <row r="530" spans="1:19" ht="42.75">
      <c r="A530" s="142" t="s">
        <v>49</v>
      </c>
      <c r="B530" s="91" t="s">
        <v>497</v>
      </c>
      <c r="C530" s="91" t="s">
        <v>2245</v>
      </c>
      <c r="D530" s="90">
        <v>7640</v>
      </c>
      <c r="E530" s="90">
        <v>10151</v>
      </c>
      <c r="F530" s="90" t="s">
        <v>1434</v>
      </c>
      <c r="G530" s="90">
        <v>2024</v>
      </c>
      <c r="H530" s="101">
        <v>45422</v>
      </c>
      <c r="I530" s="101">
        <v>45428</v>
      </c>
      <c r="J530" s="94" t="s">
        <v>2333</v>
      </c>
      <c r="K530" s="100">
        <v>45429</v>
      </c>
      <c r="L530" s="69" t="s">
        <v>78</v>
      </c>
      <c r="M530" s="69"/>
      <c r="N530" s="69"/>
      <c r="O530" s="69" t="s">
        <v>1436</v>
      </c>
      <c r="P530" s="78"/>
      <c r="Q530" s="96">
        <v>45429</v>
      </c>
      <c r="R530" s="97"/>
      <c r="S530" s="98"/>
    </row>
    <row r="531" spans="1:19" ht="42.75">
      <c r="A531" s="142" t="s">
        <v>49</v>
      </c>
      <c r="B531" s="91" t="s">
        <v>497</v>
      </c>
      <c r="C531" s="91" t="s">
        <v>676</v>
      </c>
      <c r="D531" s="90">
        <v>9776</v>
      </c>
      <c r="E531" s="90">
        <v>11861</v>
      </c>
      <c r="F531" s="90" t="s">
        <v>1454</v>
      </c>
      <c r="G531" s="90"/>
      <c r="H531" s="93"/>
      <c r="I531" s="93"/>
      <c r="J531" s="93"/>
      <c r="K531" s="95"/>
      <c r="L531" s="69"/>
      <c r="M531" s="69"/>
      <c r="N531" s="69"/>
      <c r="O531" s="69"/>
      <c r="P531" s="78"/>
      <c r="Q531" s="96"/>
      <c r="R531" s="97"/>
      <c r="S531" s="98"/>
    </row>
    <row r="532" spans="1:19" ht="42.75">
      <c r="A532" s="90" t="s">
        <v>49</v>
      </c>
      <c r="B532" s="91" t="s">
        <v>342</v>
      </c>
      <c r="C532" s="91" t="s">
        <v>1068</v>
      </c>
      <c r="D532" s="90">
        <v>5283</v>
      </c>
      <c r="E532" s="90">
        <v>6522</v>
      </c>
      <c r="F532" s="90" t="s">
        <v>1434</v>
      </c>
      <c r="G532" s="90">
        <v>2024</v>
      </c>
      <c r="H532" s="101">
        <v>45449</v>
      </c>
      <c r="I532" s="101">
        <v>45450</v>
      </c>
      <c r="J532" s="94" t="s">
        <v>2334</v>
      </c>
      <c r="K532" s="100">
        <v>45462</v>
      </c>
      <c r="L532" s="69" t="s">
        <v>79</v>
      </c>
      <c r="M532" s="69"/>
      <c r="N532" s="69"/>
      <c r="O532" s="69" t="s">
        <v>1436</v>
      </c>
      <c r="P532" s="78"/>
      <c r="Q532" s="96">
        <v>45462</v>
      </c>
      <c r="R532" s="97"/>
      <c r="S532" s="98"/>
    </row>
    <row r="533" spans="1:19" ht="42.75">
      <c r="A533" s="90" t="s">
        <v>49</v>
      </c>
      <c r="B533" s="91" t="s">
        <v>342</v>
      </c>
      <c r="C533" s="91" t="s">
        <v>2335</v>
      </c>
      <c r="D533" s="90">
        <v>1708</v>
      </c>
      <c r="E533" s="90">
        <v>1808</v>
      </c>
      <c r="F533" s="90" t="s">
        <v>1434</v>
      </c>
      <c r="G533" s="90">
        <v>2024</v>
      </c>
      <c r="H533" s="101">
        <v>45456</v>
      </c>
      <c r="I533" s="101">
        <v>45456</v>
      </c>
      <c r="J533" s="94" t="s">
        <v>2336</v>
      </c>
      <c r="K533" s="100">
        <v>45463</v>
      </c>
      <c r="L533" s="69" t="s">
        <v>79</v>
      </c>
      <c r="M533" s="69"/>
      <c r="N533" s="69"/>
      <c r="O533" s="69" t="s">
        <v>1436</v>
      </c>
      <c r="P533" s="78"/>
      <c r="Q533" s="70">
        <v>45463</v>
      </c>
      <c r="R533" s="97"/>
      <c r="S533" s="98"/>
    </row>
    <row r="534" spans="1:19" ht="42.75">
      <c r="A534" s="90" t="s">
        <v>49</v>
      </c>
      <c r="B534" s="91" t="s">
        <v>342</v>
      </c>
      <c r="C534" s="91" t="s">
        <v>422</v>
      </c>
      <c r="D534" s="90">
        <v>5321</v>
      </c>
      <c r="E534" s="90">
        <v>6466</v>
      </c>
      <c r="F534" s="90" t="s">
        <v>1434</v>
      </c>
      <c r="G534" s="90">
        <v>2024</v>
      </c>
      <c r="H534" s="101">
        <v>45539</v>
      </c>
      <c r="I534" s="101">
        <v>45539</v>
      </c>
      <c r="J534" s="94" t="s">
        <v>2337</v>
      </c>
      <c r="K534" s="100">
        <v>45552</v>
      </c>
      <c r="L534" s="69" t="s">
        <v>82</v>
      </c>
      <c r="M534" s="69" t="s">
        <v>4</v>
      </c>
      <c r="N534" s="69" t="s">
        <v>101</v>
      </c>
      <c r="O534" s="69" t="s">
        <v>1436</v>
      </c>
      <c r="P534" s="78"/>
      <c r="Q534" s="96">
        <v>45552</v>
      </c>
      <c r="R534" s="97" t="s">
        <v>929</v>
      </c>
      <c r="S534" s="98"/>
    </row>
    <row r="535" spans="1:19" ht="42.75">
      <c r="A535" s="90" t="s">
        <v>49</v>
      </c>
      <c r="B535" s="91" t="s">
        <v>342</v>
      </c>
      <c r="C535" s="91" t="s">
        <v>2338</v>
      </c>
      <c r="D535" s="90">
        <v>7114</v>
      </c>
      <c r="E535" s="90">
        <v>7286</v>
      </c>
      <c r="F535" s="90" t="s">
        <v>1454</v>
      </c>
      <c r="G535" s="90"/>
      <c r="H535" s="93"/>
      <c r="I535" s="93"/>
      <c r="J535" s="93"/>
      <c r="K535" s="95"/>
      <c r="L535" s="69"/>
      <c r="M535" s="69"/>
      <c r="N535" s="69" t="s">
        <v>101</v>
      </c>
      <c r="O535" s="69"/>
      <c r="P535" s="78"/>
      <c r="Q535" s="96">
        <v>45525</v>
      </c>
      <c r="R535" s="97"/>
      <c r="S535" s="98"/>
    </row>
    <row r="536" spans="1:19" ht="42.75">
      <c r="A536" s="90" t="s">
        <v>49</v>
      </c>
      <c r="B536" s="91" t="s">
        <v>342</v>
      </c>
      <c r="C536" s="91" t="s">
        <v>2339</v>
      </c>
      <c r="D536" s="90">
        <v>2364</v>
      </c>
      <c r="E536" s="90">
        <v>2342</v>
      </c>
      <c r="F536" s="90" t="s">
        <v>1454</v>
      </c>
      <c r="G536" s="90"/>
      <c r="H536" s="93"/>
      <c r="I536" s="93"/>
      <c r="J536" s="93"/>
      <c r="K536" s="95"/>
      <c r="L536" s="69"/>
      <c r="M536" s="69"/>
      <c r="N536" s="69"/>
      <c r="O536" s="69"/>
      <c r="P536" s="78"/>
      <c r="Q536" s="96"/>
      <c r="R536" s="97"/>
      <c r="S536" s="98"/>
    </row>
    <row r="537" spans="1:19" ht="42.75">
      <c r="A537" s="90" t="s">
        <v>49</v>
      </c>
      <c r="B537" s="91" t="s">
        <v>342</v>
      </c>
      <c r="C537" s="91" t="s">
        <v>2340</v>
      </c>
      <c r="D537" s="90">
        <v>1907</v>
      </c>
      <c r="E537" s="90">
        <v>1636</v>
      </c>
      <c r="F537" s="90" t="s">
        <v>1454</v>
      </c>
      <c r="G537" s="90"/>
      <c r="H537" s="93"/>
      <c r="I537" s="93"/>
      <c r="J537" s="93"/>
      <c r="K537" s="95"/>
      <c r="L537" s="69"/>
      <c r="M537" s="69"/>
      <c r="N537" s="69"/>
      <c r="O537" s="69"/>
      <c r="P537" s="78"/>
      <c r="Q537" s="96"/>
      <c r="R537" s="97"/>
      <c r="S537" s="98"/>
    </row>
    <row r="538" spans="1:19" ht="42.75">
      <c r="A538" s="90" t="s">
        <v>49</v>
      </c>
      <c r="B538" s="91" t="s">
        <v>342</v>
      </c>
      <c r="C538" s="91" t="s">
        <v>2341</v>
      </c>
      <c r="D538" s="90">
        <v>6569</v>
      </c>
      <c r="E538" s="90">
        <v>6494</v>
      </c>
      <c r="F538" s="90" t="s">
        <v>1454</v>
      </c>
      <c r="G538" s="90"/>
      <c r="H538" s="93"/>
      <c r="I538" s="93"/>
      <c r="J538" s="93"/>
      <c r="K538" s="95"/>
      <c r="L538" s="69"/>
      <c r="M538" s="69"/>
      <c r="N538" s="69"/>
      <c r="O538" s="69"/>
      <c r="P538" s="78"/>
      <c r="Q538" s="96"/>
      <c r="R538" s="97"/>
      <c r="S538" s="98"/>
    </row>
    <row r="539" spans="1:19" ht="42.75">
      <c r="A539" s="142" t="s">
        <v>49</v>
      </c>
      <c r="B539" s="91" t="s">
        <v>342</v>
      </c>
      <c r="C539" s="91" t="s">
        <v>2342</v>
      </c>
      <c r="D539" s="90">
        <v>10336</v>
      </c>
      <c r="E539" s="90">
        <v>10387</v>
      </c>
      <c r="F539" s="90" t="s">
        <v>1454</v>
      </c>
      <c r="G539" s="90"/>
      <c r="H539" s="93"/>
      <c r="I539" s="93"/>
      <c r="J539" s="93"/>
      <c r="K539" s="95"/>
      <c r="L539" s="69"/>
      <c r="M539" s="69"/>
      <c r="N539" s="69"/>
      <c r="O539" s="69"/>
      <c r="P539" s="78"/>
      <c r="Q539" s="96"/>
      <c r="R539" s="97"/>
      <c r="S539" s="98"/>
    </row>
    <row r="540" spans="1:19" ht="42.75">
      <c r="A540" s="90" t="s">
        <v>49</v>
      </c>
      <c r="B540" s="91" t="s">
        <v>342</v>
      </c>
      <c r="C540" s="91" t="s">
        <v>520</v>
      </c>
      <c r="D540" s="90">
        <v>8102</v>
      </c>
      <c r="E540" s="90">
        <v>8489</v>
      </c>
      <c r="F540" s="90" t="s">
        <v>1454</v>
      </c>
      <c r="G540" s="90"/>
      <c r="H540" s="93"/>
      <c r="I540" s="93"/>
      <c r="J540" s="93"/>
      <c r="K540" s="95"/>
      <c r="L540" s="69"/>
      <c r="M540" s="69"/>
      <c r="N540" s="69"/>
      <c r="O540" s="69"/>
      <c r="P540" s="78"/>
      <c r="Q540" s="96"/>
      <c r="R540" s="97"/>
      <c r="S540" s="98"/>
    </row>
    <row r="541" spans="1:19" ht="42.75">
      <c r="A541" s="90" t="s">
        <v>49</v>
      </c>
      <c r="B541" s="91" t="s">
        <v>342</v>
      </c>
      <c r="C541" s="91" t="s">
        <v>427</v>
      </c>
      <c r="D541" s="90">
        <v>4646</v>
      </c>
      <c r="E541" s="90">
        <v>4275</v>
      </c>
      <c r="F541" s="90" t="s">
        <v>1454</v>
      </c>
      <c r="G541" s="90"/>
      <c r="H541" s="93"/>
      <c r="I541" s="93"/>
      <c r="J541" s="93"/>
      <c r="K541" s="95"/>
      <c r="L541" s="69"/>
      <c r="M541" s="69"/>
      <c r="N541" s="69"/>
      <c r="O541" s="69"/>
      <c r="P541" s="78"/>
      <c r="Q541" s="96"/>
      <c r="R541" s="97"/>
      <c r="S541" s="98"/>
    </row>
    <row r="542" spans="1:19" ht="42.75">
      <c r="A542" s="90" t="s">
        <v>49</v>
      </c>
      <c r="B542" s="91" t="s">
        <v>342</v>
      </c>
      <c r="C542" s="91" t="s">
        <v>764</v>
      </c>
      <c r="D542" s="90">
        <v>3542</v>
      </c>
      <c r="E542" s="90">
        <v>3700</v>
      </c>
      <c r="F542" s="90" t="s">
        <v>1454</v>
      </c>
      <c r="G542" s="90"/>
      <c r="H542" s="93"/>
      <c r="I542" s="93"/>
      <c r="J542" s="93"/>
      <c r="K542" s="95"/>
      <c r="L542" s="69"/>
      <c r="M542" s="69"/>
      <c r="N542" s="69"/>
      <c r="O542" s="69"/>
      <c r="P542" s="78"/>
      <c r="Q542" s="96"/>
      <c r="R542" s="97"/>
      <c r="S542" s="98"/>
    </row>
    <row r="543" spans="1:19" ht="42.75">
      <c r="A543" s="90" t="s">
        <v>49</v>
      </c>
      <c r="B543" s="91" t="s">
        <v>342</v>
      </c>
      <c r="C543" s="91" t="s">
        <v>440</v>
      </c>
      <c r="D543" s="90">
        <v>5888</v>
      </c>
      <c r="E543" s="90">
        <v>6167</v>
      </c>
      <c r="F543" s="90" t="s">
        <v>1454</v>
      </c>
      <c r="G543" s="90"/>
      <c r="H543" s="93"/>
      <c r="I543" s="93"/>
      <c r="J543" s="93"/>
      <c r="K543" s="95"/>
      <c r="L543" s="69"/>
      <c r="M543" s="69"/>
      <c r="N543" s="69"/>
      <c r="O543" s="69"/>
      <c r="P543" s="78"/>
      <c r="Q543" s="96"/>
      <c r="R543" s="97"/>
      <c r="S543" s="98"/>
    </row>
    <row r="544" spans="1:19" ht="42.75">
      <c r="A544" s="90" t="s">
        <v>49</v>
      </c>
      <c r="B544" s="91" t="s">
        <v>342</v>
      </c>
      <c r="C544" s="91" t="s">
        <v>717</v>
      </c>
      <c r="D544" s="90">
        <v>5113</v>
      </c>
      <c r="E544" s="90">
        <v>4642</v>
      </c>
      <c r="F544" s="90" t="s">
        <v>1454</v>
      </c>
      <c r="G544" s="90"/>
      <c r="H544" s="93"/>
      <c r="I544" s="93"/>
      <c r="J544" s="93"/>
      <c r="K544" s="95"/>
      <c r="L544" s="69"/>
      <c r="M544" s="69"/>
      <c r="N544" s="69"/>
      <c r="O544" s="69"/>
      <c r="P544" s="78"/>
      <c r="Q544" s="96"/>
      <c r="R544" s="97"/>
      <c r="S544" s="98"/>
    </row>
    <row r="545" spans="1:19" ht="42.75">
      <c r="A545" s="90" t="s">
        <v>49</v>
      </c>
      <c r="B545" s="91" t="s">
        <v>342</v>
      </c>
      <c r="C545" s="91" t="s">
        <v>1873</v>
      </c>
      <c r="D545" s="90">
        <v>3346</v>
      </c>
      <c r="E545" s="90">
        <v>3470</v>
      </c>
      <c r="F545" s="90" t="s">
        <v>1454</v>
      </c>
      <c r="G545" s="90"/>
      <c r="H545" s="93"/>
      <c r="I545" s="93"/>
      <c r="J545" s="93"/>
      <c r="K545" s="95"/>
      <c r="L545" s="69"/>
      <c r="M545" s="69"/>
      <c r="N545" s="69"/>
      <c r="O545" s="69"/>
      <c r="P545" s="78"/>
      <c r="Q545" s="96"/>
      <c r="R545" s="97"/>
      <c r="S545" s="98"/>
    </row>
    <row r="546" spans="1:19" ht="42.75">
      <c r="A546" s="90" t="s">
        <v>49</v>
      </c>
      <c r="B546" s="91" t="s">
        <v>342</v>
      </c>
      <c r="C546" s="91" t="s">
        <v>694</v>
      </c>
      <c r="D546" s="90">
        <v>5957</v>
      </c>
      <c r="E546" s="90">
        <v>5754</v>
      </c>
      <c r="F546" s="90" t="s">
        <v>1454</v>
      </c>
      <c r="G546" s="90"/>
      <c r="H546" s="93"/>
      <c r="I546" s="93"/>
      <c r="J546" s="93"/>
      <c r="K546" s="95"/>
      <c r="L546" s="69"/>
      <c r="M546" s="69"/>
      <c r="N546" s="69"/>
      <c r="O546" s="69"/>
      <c r="P546" s="78"/>
      <c r="Q546" s="96"/>
      <c r="R546" s="97"/>
      <c r="S546" s="98"/>
    </row>
    <row r="547" spans="1:19" ht="42.75">
      <c r="A547" s="142" t="s">
        <v>49</v>
      </c>
      <c r="B547" s="91" t="s">
        <v>342</v>
      </c>
      <c r="C547" s="91" t="s">
        <v>881</v>
      </c>
      <c r="D547" s="90">
        <v>5042</v>
      </c>
      <c r="E547" s="90">
        <v>5698</v>
      </c>
      <c r="F547" s="90" t="s">
        <v>1434</v>
      </c>
      <c r="G547" s="90">
        <v>2024</v>
      </c>
      <c r="H547" s="101">
        <v>45483</v>
      </c>
      <c r="I547" s="101">
        <v>45484</v>
      </c>
      <c r="J547" s="94" t="s">
        <v>2343</v>
      </c>
      <c r="K547" s="100">
        <v>45489</v>
      </c>
      <c r="L547" s="69" t="s">
        <v>80</v>
      </c>
      <c r="M547" s="69" t="s">
        <v>4</v>
      </c>
      <c r="N547" s="69" t="s">
        <v>101</v>
      </c>
      <c r="O547" s="69" t="s">
        <v>1436</v>
      </c>
      <c r="P547" s="78"/>
      <c r="Q547" s="96">
        <v>45490</v>
      </c>
      <c r="R547" s="97"/>
      <c r="S547" s="98"/>
    </row>
    <row r="548" spans="1:19" ht="42.75">
      <c r="A548" s="90" t="s">
        <v>49</v>
      </c>
      <c r="B548" s="91" t="s">
        <v>342</v>
      </c>
      <c r="C548" s="91" t="s">
        <v>2234</v>
      </c>
      <c r="D548" s="90">
        <v>4908</v>
      </c>
      <c r="E548" s="90">
        <v>5197</v>
      </c>
      <c r="F548" s="90" t="s">
        <v>1454</v>
      </c>
      <c r="G548" s="90"/>
      <c r="H548" s="93"/>
      <c r="I548" s="93"/>
      <c r="J548" s="93"/>
      <c r="K548" s="95"/>
      <c r="L548" s="69"/>
      <c r="M548" s="69"/>
      <c r="N548" s="69"/>
      <c r="O548" s="69"/>
      <c r="P548" s="78"/>
      <c r="Q548" s="96"/>
      <c r="R548" s="97"/>
      <c r="S548" s="98"/>
    </row>
    <row r="549" spans="1:19" ht="42.75">
      <c r="A549" s="90" t="s">
        <v>49</v>
      </c>
      <c r="B549" s="91" t="s">
        <v>342</v>
      </c>
      <c r="C549" s="91" t="s">
        <v>2344</v>
      </c>
      <c r="D549" s="90">
        <v>8193</v>
      </c>
      <c r="E549" s="90">
        <v>7522</v>
      </c>
      <c r="F549" s="90" t="s">
        <v>1454</v>
      </c>
      <c r="G549" s="90"/>
      <c r="H549" s="93"/>
      <c r="I549" s="93"/>
      <c r="J549" s="93"/>
      <c r="K549" s="95"/>
      <c r="L549" s="69"/>
      <c r="M549" s="69"/>
      <c r="N549" s="69"/>
      <c r="O549" s="69"/>
      <c r="P549" s="78"/>
      <c r="Q549" s="96"/>
      <c r="R549" s="97"/>
      <c r="S549" s="98"/>
    </row>
    <row r="550" spans="1:19" ht="42.75">
      <c r="A550" s="90" t="s">
        <v>49</v>
      </c>
      <c r="B550" s="91" t="s">
        <v>342</v>
      </c>
      <c r="C550" s="91" t="s">
        <v>554</v>
      </c>
      <c r="D550" s="90">
        <v>3484</v>
      </c>
      <c r="E550" s="90">
        <v>3223</v>
      </c>
      <c r="F550" s="90" t="s">
        <v>1454</v>
      </c>
      <c r="G550" s="90"/>
      <c r="H550" s="93"/>
      <c r="I550" s="93"/>
      <c r="J550" s="93"/>
      <c r="K550" s="95"/>
      <c r="L550" s="69"/>
      <c r="M550" s="69"/>
      <c r="N550" s="69"/>
      <c r="O550" s="69"/>
      <c r="P550" s="78"/>
      <c r="Q550" s="96"/>
      <c r="R550" s="97"/>
      <c r="S550" s="98"/>
    </row>
    <row r="551" spans="1:19" ht="42.75">
      <c r="A551" s="90" t="s">
        <v>49</v>
      </c>
      <c r="B551" s="91" t="s">
        <v>342</v>
      </c>
      <c r="C551" s="91" t="s">
        <v>2125</v>
      </c>
      <c r="D551" s="90">
        <v>4918</v>
      </c>
      <c r="E551" s="90">
        <v>5494</v>
      </c>
      <c r="F551" s="90" t="s">
        <v>1454</v>
      </c>
      <c r="G551" s="90"/>
      <c r="H551" s="93"/>
      <c r="I551" s="93"/>
      <c r="J551" s="93"/>
      <c r="K551" s="95"/>
      <c r="L551" s="69"/>
      <c r="M551" s="69"/>
      <c r="N551" s="69"/>
      <c r="O551" s="69"/>
      <c r="P551" s="78"/>
      <c r="Q551" s="96"/>
      <c r="R551" s="97"/>
      <c r="S551" s="98"/>
    </row>
    <row r="552" spans="1:19" ht="42.75">
      <c r="A552" s="142" t="s">
        <v>49</v>
      </c>
      <c r="B552" s="91" t="s">
        <v>342</v>
      </c>
      <c r="C552" s="91" t="s">
        <v>2345</v>
      </c>
      <c r="D552" s="90">
        <v>8317</v>
      </c>
      <c r="E552" s="90">
        <v>8168</v>
      </c>
      <c r="F552" s="90" t="s">
        <v>1454</v>
      </c>
      <c r="G552" s="90"/>
      <c r="H552" s="93"/>
      <c r="I552" s="93"/>
      <c r="J552" s="93"/>
      <c r="K552" s="95"/>
      <c r="L552" s="69"/>
      <c r="M552" s="69"/>
      <c r="N552" s="69"/>
      <c r="O552" s="69"/>
      <c r="P552" s="78"/>
      <c r="Q552" s="96"/>
      <c r="R552" s="97"/>
      <c r="S552" s="98"/>
    </row>
    <row r="553" spans="1:19" ht="42.75">
      <c r="A553" s="90" t="s">
        <v>49</v>
      </c>
      <c r="B553" s="91" t="s">
        <v>342</v>
      </c>
      <c r="C553" s="91" t="s">
        <v>2346</v>
      </c>
      <c r="D553" s="90">
        <v>4415</v>
      </c>
      <c r="E553" s="90">
        <v>4554</v>
      </c>
      <c r="F553" s="90" t="s">
        <v>1454</v>
      </c>
      <c r="G553" s="90"/>
      <c r="H553" s="93"/>
      <c r="I553" s="93"/>
      <c r="J553" s="93"/>
      <c r="K553" s="95"/>
      <c r="L553" s="69"/>
      <c r="M553" s="69"/>
      <c r="N553" s="69"/>
      <c r="O553" s="69"/>
      <c r="P553" s="78"/>
      <c r="Q553" s="96"/>
      <c r="R553" s="97"/>
      <c r="S553" s="98"/>
    </row>
    <row r="554" spans="1:19" ht="42.75">
      <c r="A554" s="90" t="s">
        <v>49</v>
      </c>
      <c r="B554" s="91" t="s">
        <v>342</v>
      </c>
      <c r="C554" s="91" t="s">
        <v>2347</v>
      </c>
      <c r="D554" s="90">
        <v>5251</v>
      </c>
      <c r="E554" s="90">
        <v>5052</v>
      </c>
      <c r="F554" s="90" t="s">
        <v>1454</v>
      </c>
      <c r="G554" s="90"/>
      <c r="H554" s="93"/>
      <c r="I554" s="93"/>
      <c r="J554" s="93"/>
      <c r="K554" s="95"/>
      <c r="L554" s="69"/>
      <c r="M554" s="69"/>
      <c r="N554" s="69"/>
      <c r="O554" s="69"/>
      <c r="P554" s="78"/>
      <c r="Q554" s="96"/>
      <c r="R554" s="97"/>
      <c r="S554" s="98"/>
    </row>
    <row r="555" spans="1:19" ht="42.75">
      <c r="A555" s="90" t="s">
        <v>49</v>
      </c>
      <c r="B555" s="91" t="s">
        <v>342</v>
      </c>
      <c r="C555" s="91" t="s">
        <v>2348</v>
      </c>
      <c r="D555" s="90">
        <v>2635</v>
      </c>
      <c r="E555" s="90">
        <v>3011</v>
      </c>
      <c r="F555" s="90" t="s">
        <v>1454</v>
      </c>
      <c r="G555" s="90"/>
      <c r="H555" s="93"/>
      <c r="I555" s="93"/>
      <c r="J555" s="93"/>
      <c r="K555" s="95"/>
      <c r="L555" s="69"/>
      <c r="M555" s="69"/>
      <c r="N555" s="69"/>
      <c r="O555" s="69"/>
      <c r="P555" s="78"/>
      <c r="Q555" s="96"/>
      <c r="R555" s="97"/>
      <c r="S555" s="98"/>
    </row>
    <row r="556" spans="1:19" ht="42.75">
      <c r="A556" s="90" t="s">
        <v>49</v>
      </c>
      <c r="B556" s="91" t="s">
        <v>342</v>
      </c>
      <c r="C556" s="91" t="s">
        <v>2349</v>
      </c>
      <c r="D556" s="90">
        <v>2884</v>
      </c>
      <c r="E556" s="90">
        <v>3300</v>
      </c>
      <c r="F556" s="90" t="s">
        <v>1454</v>
      </c>
      <c r="G556" s="90"/>
      <c r="H556" s="93"/>
      <c r="I556" s="93"/>
      <c r="J556" s="93"/>
      <c r="K556" s="95"/>
      <c r="L556" s="69"/>
      <c r="M556" s="69"/>
      <c r="N556" s="69"/>
      <c r="O556" s="69"/>
      <c r="P556" s="78"/>
      <c r="Q556" s="96"/>
      <c r="R556" s="97"/>
      <c r="S556" s="98"/>
    </row>
    <row r="557" spans="1:19" ht="42.75">
      <c r="A557" s="90" t="s">
        <v>49</v>
      </c>
      <c r="B557" s="91" t="s">
        <v>342</v>
      </c>
      <c r="C557" s="91" t="s">
        <v>2350</v>
      </c>
      <c r="D557" s="90">
        <v>2564</v>
      </c>
      <c r="E557" s="90">
        <v>2791</v>
      </c>
      <c r="F557" s="90" t="s">
        <v>1434</v>
      </c>
      <c r="G557" s="90">
        <v>2024</v>
      </c>
      <c r="H557" s="101">
        <v>45539</v>
      </c>
      <c r="I557" s="101">
        <v>45539</v>
      </c>
      <c r="J557" s="94" t="s">
        <v>2351</v>
      </c>
      <c r="K557" s="100">
        <v>45552</v>
      </c>
      <c r="L557" s="69" t="s">
        <v>82</v>
      </c>
      <c r="M557" s="69" t="s">
        <v>4</v>
      </c>
      <c r="N557" s="69" t="s">
        <v>101</v>
      </c>
      <c r="O557" s="69" t="s">
        <v>1436</v>
      </c>
      <c r="P557" s="78"/>
      <c r="Q557" s="96">
        <v>45552</v>
      </c>
      <c r="R557" s="97" t="s">
        <v>929</v>
      </c>
      <c r="S557" s="98"/>
    </row>
    <row r="558" spans="1:19" ht="42.75">
      <c r="A558" s="90" t="s">
        <v>49</v>
      </c>
      <c r="B558" s="91" t="s">
        <v>2352</v>
      </c>
      <c r="C558" s="91" t="s">
        <v>2353</v>
      </c>
      <c r="D558" s="90">
        <v>3078</v>
      </c>
      <c r="E558" s="90">
        <v>3013</v>
      </c>
      <c r="F558" s="90" t="s">
        <v>1454</v>
      </c>
      <c r="G558" s="90"/>
      <c r="H558" s="93"/>
      <c r="I558" s="93"/>
      <c r="J558" s="93"/>
      <c r="K558" s="95"/>
      <c r="L558" s="69"/>
      <c r="M558" s="69"/>
      <c r="N558" s="69"/>
      <c r="O558" s="69"/>
      <c r="P558" s="78"/>
      <c r="Q558" s="96"/>
      <c r="R558" s="97"/>
      <c r="S558" s="98"/>
    </row>
    <row r="559" spans="1:19" ht="42.75">
      <c r="A559" s="90" t="s">
        <v>49</v>
      </c>
      <c r="B559" s="91" t="s">
        <v>2352</v>
      </c>
      <c r="C559" s="91" t="s">
        <v>2354</v>
      </c>
      <c r="D559" s="90">
        <v>5294</v>
      </c>
      <c r="E559" s="90">
        <v>4675</v>
      </c>
      <c r="F559" s="90" t="s">
        <v>1454</v>
      </c>
      <c r="G559" s="90"/>
      <c r="H559" s="93"/>
      <c r="I559" s="93"/>
      <c r="J559" s="93"/>
      <c r="K559" s="95"/>
      <c r="L559" s="69"/>
      <c r="M559" s="69"/>
      <c r="N559" s="69"/>
      <c r="O559" s="69"/>
      <c r="P559" s="78"/>
      <c r="Q559" s="96"/>
      <c r="R559" s="97"/>
      <c r="S559" s="98"/>
    </row>
    <row r="560" spans="1:19" ht="42.75">
      <c r="A560" s="90" t="s">
        <v>49</v>
      </c>
      <c r="B560" s="91" t="s">
        <v>2352</v>
      </c>
      <c r="C560" s="91" t="s">
        <v>2355</v>
      </c>
      <c r="D560" s="90">
        <v>958</v>
      </c>
      <c r="E560" s="90">
        <v>741</v>
      </c>
      <c r="F560" s="90" t="s">
        <v>1454</v>
      </c>
      <c r="G560" s="90"/>
      <c r="H560" s="93"/>
      <c r="I560" s="93"/>
      <c r="J560" s="93"/>
      <c r="K560" s="95"/>
      <c r="L560" s="69"/>
      <c r="M560" s="69"/>
      <c r="N560" s="69"/>
      <c r="O560" s="69"/>
      <c r="P560" s="78"/>
      <c r="Q560" s="96"/>
      <c r="R560" s="97"/>
      <c r="S560" s="98"/>
    </row>
    <row r="561" spans="1:19" ht="42.75">
      <c r="A561" s="90" t="s">
        <v>49</v>
      </c>
      <c r="B561" s="91" t="s">
        <v>2352</v>
      </c>
      <c r="C561" s="91" t="s">
        <v>2356</v>
      </c>
      <c r="D561" s="90">
        <v>5321</v>
      </c>
      <c r="E561" s="90">
        <v>4947</v>
      </c>
      <c r="F561" s="90" t="s">
        <v>1454</v>
      </c>
      <c r="G561" s="90"/>
      <c r="H561" s="93"/>
      <c r="I561" s="93"/>
      <c r="J561" s="93"/>
      <c r="K561" s="95"/>
      <c r="L561" s="69"/>
      <c r="M561" s="69"/>
      <c r="N561" s="69"/>
      <c r="O561" s="69"/>
      <c r="P561" s="78"/>
      <c r="Q561" s="96"/>
      <c r="R561" s="97"/>
      <c r="S561" s="98"/>
    </row>
    <row r="562" spans="1:19" ht="42.75">
      <c r="A562" s="90" t="s">
        <v>49</v>
      </c>
      <c r="B562" s="91" t="s">
        <v>2352</v>
      </c>
      <c r="C562" s="91" t="s">
        <v>2357</v>
      </c>
      <c r="D562" s="90">
        <v>3688</v>
      </c>
      <c r="E562" s="90">
        <v>3068</v>
      </c>
      <c r="F562" s="90" t="s">
        <v>1454</v>
      </c>
      <c r="G562" s="90"/>
      <c r="H562" s="93"/>
      <c r="I562" s="93"/>
      <c r="J562" s="93"/>
      <c r="K562" s="95"/>
      <c r="L562" s="69"/>
      <c r="M562" s="69"/>
      <c r="N562" s="69"/>
      <c r="O562" s="69"/>
      <c r="P562" s="78"/>
      <c r="Q562" s="96"/>
      <c r="R562" s="97"/>
      <c r="S562" s="98"/>
    </row>
    <row r="563" spans="1:19" ht="42.75">
      <c r="A563" s="90" t="s">
        <v>49</v>
      </c>
      <c r="B563" s="91" t="s">
        <v>2352</v>
      </c>
      <c r="C563" s="91" t="s">
        <v>2358</v>
      </c>
      <c r="D563" s="90">
        <v>3338</v>
      </c>
      <c r="E563" s="90">
        <v>3549</v>
      </c>
      <c r="F563" s="90" t="s">
        <v>1454</v>
      </c>
      <c r="G563" s="90"/>
      <c r="H563" s="93"/>
      <c r="I563" s="93"/>
      <c r="J563" s="93"/>
      <c r="K563" s="95"/>
      <c r="L563" s="69"/>
      <c r="M563" s="69"/>
      <c r="N563" s="69"/>
      <c r="O563" s="69"/>
      <c r="P563" s="78"/>
      <c r="Q563" s="96"/>
      <c r="R563" s="97"/>
      <c r="S563" s="98"/>
    </row>
    <row r="564" spans="1:19" ht="42.75">
      <c r="A564" s="90" t="s">
        <v>49</v>
      </c>
      <c r="B564" s="91" t="s">
        <v>2352</v>
      </c>
      <c r="C564" s="91" t="s">
        <v>2301</v>
      </c>
      <c r="D564" s="90">
        <v>2813</v>
      </c>
      <c r="E564" s="90">
        <v>3468</v>
      </c>
      <c r="F564" s="90" t="s">
        <v>1454</v>
      </c>
      <c r="G564" s="90"/>
      <c r="H564" s="93"/>
      <c r="I564" s="93"/>
      <c r="J564" s="93"/>
      <c r="K564" s="95"/>
      <c r="L564" s="69"/>
      <c r="M564" s="69"/>
      <c r="N564" s="69"/>
      <c r="O564" s="69"/>
      <c r="P564" s="78"/>
      <c r="Q564" s="96"/>
      <c r="R564" s="97"/>
      <c r="S564" s="98"/>
    </row>
    <row r="565" spans="1:19" ht="42.75">
      <c r="A565" s="90" t="s">
        <v>49</v>
      </c>
      <c r="B565" s="91" t="s">
        <v>2352</v>
      </c>
      <c r="C565" s="91" t="s">
        <v>1694</v>
      </c>
      <c r="D565" s="90">
        <v>12437</v>
      </c>
      <c r="E565" s="90">
        <v>12322</v>
      </c>
      <c r="F565" s="90" t="s">
        <v>1454</v>
      </c>
      <c r="G565" s="90"/>
      <c r="H565" s="93"/>
      <c r="I565" s="93"/>
      <c r="J565" s="93"/>
      <c r="K565" s="95"/>
      <c r="L565" s="69"/>
      <c r="M565" s="69"/>
      <c r="N565" s="69"/>
      <c r="O565" s="69"/>
      <c r="P565" s="78"/>
      <c r="Q565" s="96"/>
      <c r="R565" s="97"/>
      <c r="S565" s="98"/>
    </row>
    <row r="566" spans="1:19" ht="42.75">
      <c r="A566" s="90" t="s">
        <v>49</v>
      </c>
      <c r="B566" s="91" t="s">
        <v>2352</v>
      </c>
      <c r="C566" s="91" t="s">
        <v>2359</v>
      </c>
      <c r="D566" s="90">
        <v>5833</v>
      </c>
      <c r="E566" s="90">
        <v>5852</v>
      </c>
      <c r="F566" s="90" t="s">
        <v>1454</v>
      </c>
      <c r="G566" s="90"/>
      <c r="H566" s="93"/>
      <c r="I566" s="93"/>
      <c r="J566" s="93"/>
      <c r="K566" s="95"/>
      <c r="L566" s="69"/>
      <c r="M566" s="69"/>
      <c r="N566" s="69"/>
      <c r="O566" s="69"/>
      <c r="P566" s="78"/>
      <c r="Q566" s="96"/>
      <c r="R566" s="97"/>
      <c r="S566" s="98"/>
    </row>
    <row r="567" spans="1:19" ht="42.75">
      <c r="A567" s="90" t="s">
        <v>49</v>
      </c>
      <c r="B567" s="91" t="s">
        <v>2352</v>
      </c>
      <c r="C567" s="91" t="s">
        <v>777</v>
      </c>
      <c r="D567" s="90">
        <v>13510</v>
      </c>
      <c r="E567" s="90">
        <v>15865</v>
      </c>
      <c r="F567" s="90" t="s">
        <v>1434</v>
      </c>
      <c r="G567" s="90">
        <v>2024</v>
      </c>
      <c r="H567" s="101">
        <v>45573</v>
      </c>
      <c r="I567" s="101">
        <v>45573</v>
      </c>
      <c r="J567" s="94" t="s">
        <v>2360</v>
      </c>
      <c r="K567" s="100">
        <v>45574</v>
      </c>
      <c r="L567" s="69" t="s">
        <v>83</v>
      </c>
      <c r="M567" s="69" t="s">
        <v>1589</v>
      </c>
      <c r="N567" s="69"/>
      <c r="O567" s="69" t="s">
        <v>1436</v>
      </c>
      <c r="P567" s="78"/>
      <c r="Q567" s="70">
        <v>45575</v>
      </c>
      <c r="R567" s="96" t="s">
        <v>929</v>
      </c>
      <c r="S567" s="89"/>
    </row>
    <row r="568" spans="1:19" ht="42.75">
      <c r="A568" s="90" t="s">
        <v>49</v>
      </c>
      <c r="B568" s="91" t="s">
        <v>2352</v>
      </c>
      <c r="C568" s="91" t="s">
        <v>2361</v>
      </c>
      <c r="D568" s="90">
        <v>2965</v>
      </c>
      <c r="E568" s="90">
        <v>3025</v>
      </c>
      <c r="F568" s="90" t="s">
        <v>1434</v>
      </c>
      <c r="G568" s="90">
        <v>2024</v>
      </c>
      <c r="H568" s="101">
        <v>45427</v>
      </c>
      <c r="I568" s="101">
        <v>45427</v>
      </c>
      <c r="J568" s="94" t="s">
        <v>2362</v>
      </c>
      <c r="K568" s="100">
        <v>45428</v>
      </c>
      <c r="L568" s="69" t="s">
        <v>78</v>
      </c>
      <c r="M568" s="69"/>
      <c r="N568" s="69"/>
      <c r="O568" s="69" t="s">
        <v>1436</v>
      </c>
      <c r="P568" s="78"/>
      <c r="Q568" s="96"/>
      <c r="R568" s="97"/>
      <c r="S568" s="98"/>
    </row>
    <row r="569" spans="1:19" ht="42.75">
      <c r="A569" s="142" t="s">
        <v>49</v>
      </c>
      <c r="B569" s="91" t="s">
        <v>2352</v>
      </c>
      <c r="C569" s="91" t="s">
        <v>2363</v>
      </c>
      <c r="D569" s="90">
        <v>5352</v>
      </c>
      <c r="E569" s="90">
        <v>6806</v>
      </c>
      <c r="F569" s="90" t="s">
        <v>1454</v>
      </c>
      <c r="G569" s="90"/>
      <c r="H569" s="93"/>
      <c r="I569" s="93"/>
      <c r="J569" s="93"/>
      <c r="K569" s="95"/>
      <c r="L569" s="69"/>
      <c r="M569" s="69"/>
      <c r="N569" s="69"/>
      <c r="O569" s="69"/>
      <c r="P569" s="78"/>
      <c r="Q569" s="96"/>
      <c r="R569" s="97"/>
      <c r="S569" s="98"/>
    </row>
    <row r="570" spans="1:19" ht="42.75">
      <c r="A570" s="90" t="s">
        <v>49</v>
      </c>
      <c r="B570" s="91" t="s">
        <v>2352</v>
      </c>
      <c r="C570" s="91" t="s">
        <v>2364</v>
      </c>
      <c r="D570" s="90">
        <v>4086</v>
      </c>
      <c r="E570" s="90">
        <v>4217</v>
      </c>
      <c r="F570" s="90" t="s">
        <v>1454</v>
      </c>
      <c r="G570" s="90"/>
      <c r="H570" s="93"/>
      <c r="I570" s="93"/>
      <c r="J570" s="93"/>
      <c r="K570" s="95"/>
      <c r="L570" s="69"/>
      <c r="M570" s="69"/>
      <c r="N570" s="69"/>
      <c r="O570" s="69"/>
      <c r="P570" s="78"/>
      <c r="Q570" s="96"/>
      <c r="R570" s="97"/>
      <c r="S570" s="98"/>
    </row>
    <row r="571" spans="1:19" ht="42.75">
      <c r="A571" s="90" t="s">
        <v>49</v>
      </c>
      <c r="B571" s="91" t="s">
        <v>2352</v>
      </c>
      <c r="C571" s="91" t="s">
        <v>675</v>
      </c>
      <c r="D571" s="90">
        <v>6899</v>
      </c>
      <c r="E571" s="90">
        <v>7348</v>
      </c>
      <c r="F571" s="90" t="s">
        <v>1434</v>
      </c>
      <c r="G571" s="90">
        <v>2024</v>
      </c>
      <c r="H571" s="101">
        <v>45393</v>
      </c>
      <c r="I571" s="101">
        <v>45396</v>
      </c>
      <c r="J571" s="94" t="s">
        <v>2365</v>
      </c>
      <c r="K571" s="100">
        <v>45398</v>
      </c>
      <c r="L571" s="69" t="s">
        <v>77</v>
      </c>
      <c r="M571" s="69"/>
      <c r="N571" s="69"/>
      <c r="O571" s="69" t="s">
        <v>1436</v>
      </c>
      <c r="P571" s="78"/>
      <c r="Q571" s="96"/>
      <c r="R571" s="97"/>
      <c r="S571" s="98"/>
    </row>
    <row r="572" spans="1:19" ht="42.75">
      <c r="A572" s="90" t="s">
        <v>49</v>
      </c>
      <c r="B572" s="91" t="s">
        <v>2352</v>
      </c>
      <c r="C572" s="91" t="s">
        <v>2366</v>
      </c>
      <c r="D572" s="90">
        <v>1281</v>
      </c>
      <c r="E572" s="90">
        <v>1316</v>
      </c>
      <c r="F572" s="90" t="s">
        <v>1454</v>
      </c>
      <c r="G572" s="90"/>
      <c r="H572" s="93"/>
      <c r="I572" s="93"/>
      <c r="J572" s="93"/>
      <c r="K572" s="95"/>
      <c r="L572" s="69"/>
      <c r="M572" s="69"/>
      <c r="N572" s="69"/>
      <c r="O572" s="69"/>
      <c r="P572" s="78"/>
      <c r="Q572" s="96"/>
      <c r="R572" s="97"/>
      <c r="S572" s="98"/>
    </row>
    <row r="573" spans="1:19" ht="42.75">
      <c r="A573" s="90" t="s">
        <v>49</v>
      </c>
      <c r="B573" s="91" t="s">
        <v>2352</v>
      </c>
      <c r="C573" s="91" t="s">
        <v>2367</v>
      </c>
      <c r="D573" s="90">
        <v>302</v>
      </c>
      <c r="E573" s="90">
        <v>498</v>
      </c>
      <c r="F573" s="90" t="s">
        <v>1454</v>
      </c>
      <c r="G573" s="90"/>
      <c r="H573" s="93"/>
      <c r="I573" s="93"/>
      <c r="J573" s="93"/>
      <c r="K573" s="95"/>
      <c r="L573" s="69"/>
      <c r="M573" s="69"/>
      <c r="N573" s="69"/>
      <c r="O573" s="69"/>
      <c r="P573" s="78"/>
      <c r="Q573" s="96"/>
      <c r="R573" s="97"/>
      <c r="S573" s="98"/>
    </row>
    <row r="574" spans="1:19" ht="42.75">
      <c r="A574" s="90" t="s">
        <v>49</v>
      </c>
      <c r="B574" s="91" t="s">
        <v>2352</v>
      </c>
      <c r="C574" s="91" t="s">
        <v>2368</v>
      </c>
      <c r="D574" s="90">
        <v>4124</v>
      </c>
      <c r="E574" s="90">
        <v>3632</v>
      </c>
      <c r="F574" s="90" t="s">
        <v>1454</v>
      </c>
      <c r="G574" s="90"/>
      <c r="H574" s="93"/>
      <c r="I574" s="93"/>
      <c r="J574" s="93"/>
      <c r="K574" s="95"/>
      <c r="L574" s="69"/>
      <c r="M574" s="69"/>
      <c r="N574" s="69"/>
      <c r="O574" s="69"/>
      <c r="P574" s="78"/>
      <c r="Q574" s="96"/>
      <c r="R574" s="97"/>
      <c r="S574" s="98"/>
    </row>
    <row r="575" spans="1:19" ht="42.75">
      <c r="A575" s="90" t="s">
        <v>49</v>
      </c>
      <c r="B575" s="91" t="s">
        <v>2352</v>
      </c>
      <c r="C575" s="91" t="s">
        <v>2307</v>
      </c>
      <c r="D575" s="90">
        <v>5132</v>
      </c>
      <c r="E575" s="90">
        <v>5219</v>
      </c>
      <c r="F575" s="90" t="s">
        <v>1434</v>
      </c>
      <c r="G575" s="90">
        <v>2024</v>
      </c>
      <c r="H575" s="101">
        <v>45573</v>
      </c>
      <c r="I575" s="101">
        <v>45573</v>
      </c>
      <c r="J575" s="94" t="s">
        <v>2369</v>
      </c>
      <c r="K575" s="100">
        <v>45574</v>
      </c>
      <c r="L575" s="69" t="s">
        <v>83</v>
      </c>
      <c r="M575" s="69" t="s">
        <v>1589</v>
      </c>
      <c r="N575" s="69"/>
      <c r="O575" s="69" t="s">
        <v>1436</v>
      </c>
      <c r="P575" s="69" t="s">
        <v>2370</v>
      </c>
      <c r="Q575" s="115">
        <v>45574</v>
      </c>
      <c r="R575" s="96" t="s">
        <v>929</v>
      </c>
      <c r="S575" s="89"/>
    </row>
    <row r="576" spans="1:19" ht="42.75">
      <c r="A576" s="90" t="s">
        <v>49</v>
      </c>
      <c r="B576" s="91" t="s">
        <v>2352</v>
      </c>
      <c r="C576" s="91" t="s">
        <v>2371</v>
      </c>
      <c r="D576" s="90">
        <v>2382</v>
      </c>
      <c r="E576" s="90">
        <v>2248</v>
      </c>
      <c r="F576" s="90" t="s">
        <v>1434</v>
      </c>
      <c r="G576" s="90">
        <v>2024</v>
      </c>
      <c r="H576" s="101">
        <v>45573</v>
      </c>
      <c r="I576" s="101">
        <v>45573</v>
      </c>
      <c r="J576" s="94" t="s">
        <v>2372</v>
      </c>
      <c r="K576" s="100">
        <v>45580</v>
      </c>
      <c r="L576" s="69" t="s">
        <v>83</v>
      </c>
      <c r="M576" s="69" t="s">
        <v>4</v>
      </c>
      <c r="N576" s="69" t="s">
        <v>101</v>
      </c>
      <c r="O576" s="69" t="s">
        <v>1436</v>
      </c>
      <c r="P576" s="78"/>
      <c r="Q576" s="70">
        <v>45580</v>
      </c>
      <c r="R576" s="96" t="s">
        <v>929</v>
      </c>
      <c r="S576" s="89"/>
    </row>
    <row r="577" spans="1:19" ht="42.75">
      <c r="A577" s="90" t="s">
        <v>49</v>
      </c>
      <c r="B577" s="91" t="s">
        <v>2352</v>
      </c>
      <c r="C577" s="91" t="s">
        <v>2373</v>
      </c>
      <c r="D577" s="90">
        <v>6624</v>
      </c>
      <c r="E577" s="90">
        <v>6656</v>
      </c>
      <c r="F577" s="90" t="s">
        <v>1454</v>
      </c>
      <c r="G577" s="90"/>
      <c r="H577" s="93"/>
      <c r="I577" s="93"/>
      <c r="J577" s="93"/>
      <c r="K577" s="95"/>
      <c r="L577" s="69"/>
      <c r="M577" s="69"/>
      <c r="N577" s="69"/>
      <c r="O577" s="69"/>
      <c r="P577" s="78"/>
      <c r="Q577" s="96"/>
      <c r="R577" s="97"/>
      <c r="S577" s="98"/>
    </row>
    <row r="578" spans="1:19" ht="42.75">
      <c r="A578" s="90" t="s">
        <v>49</v>
      </c>
      <c r="B578" s="91" t="s">
        <v>2352</v>
      </c>
      <c r="C578" s="91" t="s">
        <v>2149</v>
      </c>
      <c r="D578" s="90">
        <v>1661</v>
      </c>
      <c r="E578" s="90">
        <v>1338</v>
      </c>
      <c r="F578" s="90" t="s">
        <v>1454</v>
      </c>
      <c r="G578" s="90"/>
      <c r="H578" s="93"/>
      <c r="I578" s="93"/>
      <c r="J578" s="93"/>
      <c r="K578" s="95"/>
      <c r="L578" s="69"/>
      <c r="M578" s="69"/>
      <c r="N578" s="69"/>
      <c r="O578" s="69"/>
      <c r="P578" s="78"/>
      <c r="Q578" s="96"/>
      <c r="R578" s="97"/>
      <c r="S578" s="98"/>
    </row>
    <row r="579" spans="1:19" ht="42.75">
      <c r="A579" s="90" t="s">
        <v>49</v>
      </c>
      <c r="B579" s="91" t="s">
        <v>2352</v>
      </c>
      <c r="C579" s="91" t="s">
        <v>1039</v>
      </c>
      <c r="D579" s="90">
        <v>14864</v>
      </c>
      <c r="E579" s="90">
        <v>16999</v>
      </c>
      <c r="F579" s="90" t="s">
        <v>1434</v>
      </c>
      <c r="G579" s="90">
        <v>2024</v>
      </c>
      <c r="H579" s="101">
        <v>45573</v>
      </c>
      <c r="I579" s="101">
        <v>45573</v>
      </c>
      <c r="J579" s="94" t="s">
        <v>2374</v>
      </c>
      <c r="K579" s="100">
        <v>45580</v>
      </c>
      <c r="L579" s="69" t="s">
        <v>83</v>
      </c>
      <c r="M579" s="69" t="s">
        <v>1589</v>
      </c>
      <c r="N579" s="69"/>
      <c r="O579" s="69" t="s">
        <v>1436</v>
      </c>
      <c r="P579" s="78"/>
      <c r="Q579" s="70">
        <v>45580</v>
      </c>
      <c r="R579" s="96" t="s">
        <v>929</v>
      </c>
      <c r="S579" s="89"/>
    </row>
    <row r="580" spans="1:19" ht="42.75">
      <c r="A580" s="90" t="s">
        <v>49</v>
      </c>
      <c r="B580" s="91" t="s">
        <v>2352</v>
      </c>
      <c r="C580" s="91" t="s">
        <v>2375</v>
      </c>
      <c r="D580" s="90">
        <v>6808</v>
      </c>
      <c r="E580" s="90">
        <v>9611</v>
      </c>
      <c r="F580" s="90" t="s">
        <v>1454</v>
      </c>
      <c r="G580" s="90"/>
      <c r="H580" s="93"/>
      <c r="I580" s="93"/>
      <c r="J580" s="93"/>
      <c r="K580" s="95"/>
      <c r="L580" s="69"/>
      <c r="M580" s="69"/>
      <c r="N580" s="69"/>
      <c r="O580" s="69"/>
      <c r="P580" s="78"/>
      <c r="Q580" s="96"/>
      <c r="R580" s="97"/>
      <c r="S580" s="98"/>
    </row>
    <row r="581" spans="1:19" ht="42.75">
      <c r="A581" s="90" t="s">
        <v>49</v>
      </c>
      <c r="B581" s="91" t="s">
        <v>2352</v>
      </c>
      <c r="C581" s="91" t="s">
        <v>2376</v>
      </c>
      <c r="D581" s="90">
        <v>3108</v>
      </c>
      <c r="E581" s="90">
        <v>3081</v>
      </c>
      <c r="F581" s="90" t="s">
        <v>1454</v>
      </c>
      <c r="G581" s="90"/>
      <c r="H581" s="93"/>
      <c r="I581" s="93"/>
      <c r="J581" s="93"/>
      <c r="K581" s="95"/>
      <c r="L581" s="69"/>
      <c r="M581" s="69"/>
      <c r="N581" s="69"/>
      <c r="O581" s="69"/>
      <c r="P581" s="78"/>
      <c r="Q581" s="96"/>
      <c r="R581" s="97"/>
      <c r="S581" s="98"/>
    </row>
    <row r="582" spans="1:19" ht="42.75">
      <c r="A582" s="90" t="s">
        <v>49</v>
      </c>
      <c r="B582" s="91" t="s">
        <v>2352</v>
      </c>
      <c r="C582" s="91" t="s">
        <v>2377</v>
      </c>
      <c r="D582" s="90">
        <v>4711</v>
      </c>
      <c r="E582" s="90">
        <v>4744</v>
      </c>
      <c r="F582" s="90" t="s">
        <v>1454</v>
      </c>
      <c r="G582" s="90"/>
      <c r="H582" s="93"/>
      <c r="I582" s="93"/>
      <c r="J582" s="93"/>
      <c r="K582" s="95"/>
      <c r="L582" s="69"/>
      <c r="M582" s="69"/>
      <c r="N582" s="69"/>
      <c r="O582" s="69"/>
      <c r="P582" s="78"/>
      <c r="Q582" s="96"/>
      <c r="R582" s="97"/>
      <c r="S582" s="98"/>
    </row>
    <row r="583" spans="1:19" ht="42.75">
      <c r="A583" s="90" t="s">
        <v>49</v>
      </c>
      <c r="B583" s="91" t="s">
        <v>2352</v>
      </c>
      <c r="C583" s="91" t="s">
        <v>2378</v>
      </c>
      <c r="D583" s="90">
        <v>6435</v>
      </c>
      <c r="E583" s="90">
        <v>6281</v>
      </c>
      <c r="F583" s="90" t="s">
        <v>1434</v>
      </c>
      <c r="G583" s="90">
        <v>2024</v>
      </c>
      <c r="H583" s="101">
        <v>45573</v>
      </c>
      <c r="I583" s="101">
        <v>45573</v>
      </c>
      <c r="J583" s="94" t="s">
        <v>2379</v>
      </c>
      <c r="K583" s="101">
        <v>45580</v>
      </c>
      <c r="L583" s="69" t="s">
        <v>83</v>
      </c>
      <c r="M583" s="69" t="s">
        <v>1589</v>
      </c>
      <c r="N583" s="69"/>
      <c r="O583" s="69" t="s">
        <v>1436</v>
      </c>
      <c r="P583" s="78"/>
      <c r="Q583" s="151">
        <v>45580</v>
      </c>
      <c r="R583" s="96" t="s">
        <v>929</v>
      </c>
      <c r="S583" s="89"/>
    </row>
    <row r="584" spans="1:19" ht="42.75">
      <c r="A584" s="90" t="s">
        <v>49</v>
      </c>
      <c r="B584" s="91" t="s">
        <v>2352</v>
      </c>
      <c r="C584" s="91" t="s">
        <v>1029</v>
      </c>
      <c r="D584" s="90">
        <v>2673</v>
      </c>
      <c r="E584" s="90">
        <v>2836</v>
      </c>
      <c r="F584" s="90" t="s">
        <v>1454</v>
      </c>
      <c r="G584" s="90"/>
      <c r="H584" s="93"/>
      <c r="I584" s="93"/>
      <c r="J584" s="93"/>
      <c r="K584" s="95"/>
      <c r="L584" s="69"/>
      <c r="M584" s="69"/>
      <c r="N584" s="69"/>
      <c r="O584" s="69"/>
      <c r="P584" s="78"/>
      <c r="Q584" s="96"/>
      <c r="R584" s="97"/>
      <c r="S584" s="98"/>
    </row>
    <row r="585" spans="1:19" ht="42.75">
      <c r="A585" s="90" t="s">
        <v>49</v>
      </c>
      <c r="B585" s="91" t="s">
        <v>2352</v>
      </c>
      <c r="C585" s="91" t="s">
        <v>2380</v>
      </c>
      <c r="D585" s="90">
        <v>832</v>
      </c>
      <c r="E585" s="90">
        <v>772</v>
      </c>
      <c r="F585" s="90" t="s">
        <v>1454</v>
      </c>
      <c r="G585" s="90"/>
      <c r="H585" s="93"/>
      <c r="I585" s="93"/>
      <c r="J585" s="93"/>
      <c r="K585" s="95"/>
      <c r="L585" s="69"/>
      <c r="M585" s="69"/>
      <c r="N585" s="69"/>
      <c r="O585" s="69"/>
      <c r="P585" s="78"/>
      <c r="Q585" s="96"/>
      <c r="R585" s="97"/>
      <c r="S585" s="98"/>
    </row>
    <row r="586" spans="1:19" ht="42.75">
      <c r="A586" s="90" t="s">
        <v>49</v>
      </c>
      <c r="B586" s="91" t="s">
        <v>2352</v>
      </c>
      <c r="C586" s="91" t="s">
        <v>2381</v>
      </c>
      <c r="D586" s="90">
        <v>6516</v>
      </c>
      <c r="E586" s="90">
        <v>6649</v>
      </c>
      <c r="F586" s="90" t="s">
        <v>1454</v>
      </c>
      <c r="G586" s="90"/>
      <c r="H586" s="93"/>
      <c r="I586" s="93"/>
      <c r="J586" s="93"/>
      <c r="K586" s="95"/>
      <c r="L586" s="69"/>
      <c r="M586" s="69"/>
      <c r="N586" s="69"/>
      <c r="O586" s="69"/>
      <c r="P586" s="78"/>
      <c r="Q586" s="96"/>
      <c r="R586" s="97"/>
      <c r="S586" s="98"/>
    </row>
    <row r="587" spans="1:19" ht="42.75">
      <c r="A587" s="90" t="s">
        <v>49</v>
      </c>
      <c r="B587" s="91" t="s">
        <v>2352</v>
      </c>
      <c r="C587" s="91" t="s">
        <v>2382</v>
      </c>
      <c r="D587" s="90">
        <v>18239</v>
      </c>
      <c r="E587" s="90">
        <v>16169</v>
      </c>
      <c r="F587" s="90" t="s">
        <v>1434</v>
      </c>
      <c r="G587" s="90">
        <v>2024</v>
      </c>
      <c r="H587" s="101">
        <v>45429</v>
      </c>
      <c r="I587" s="101">
        <v>45429</v>
      </c>
      <c r="J587" s="94" t="s">
        <v>2383</v>
      </c>
      <c r="K587" s="100">
        <v>45432</v>
      </c>
      <c r="L587" s="69" t="s">
        <v>78</v>
      </c>
      <c r="M587" s="69"/>
      <c r="N587" s="69"/>
      <c r="O587" s="69" t="s">
        <v>1436</v>
      </c>
      <c r="P587" s="78"/>
      <c r="Q587" s="96">
        <v>45432</v>
      </c>
      <c r="R587" s="97"/>
      <c r="S587" s="98"/>
    </row>
    <row r="588" spans="1:19" ht="42.75">
      <c r="A588" s="90" t="s">
        <v>49</v>
      </c>
      <c r="B588" s="91" t="s">
        <v>2352</v>
      </c>
      <c r="C588" s="91" t="s">
        <v>2384</v>
      </c>
      <c r="D588" s="90">
        <v>771</v>
      </c>
      <c r="E588" s="90">
        <v>712</v>
      </c>
      <c r="F588" s="90" t="s">
        <v>1454</v>
      </c>
      <c r="G588" s="90"/>
      <c r="H588" s="93"/>
      <c r="I588" s="93"/>
      <c r="J588" s="93"/>
      <c r="K588" s="95"/>
      <c r="L588" s="69"/>
      <c r="M588" s="69"/>
      <c r="N588" s="69"/>
      <c r="O588" s="69"/>
      <c r="P588" s="78"/>
      <c r="Q588" s="96"/>
      <c r="R588" s="97"/>
      <c r="S588" s="98"/>
    </row>
    <row r="589" spans="1:19" ht="42.75">
      <c r="A589" s="90" t="s">
        <v>49</v>
      </c>
      <c r="B589" s="91" t="s">
        <v>2352</v>
      </c>
      <c r="C589" s="91" t="s">
        <v>1063</v>
      </c>
      <c r="D589" s="90">
        <v>828</v>
      </c>
      <c r="E589" s="90">
        <v>715</v>
      </c>
      <c r="F589" s="90" t="s">
        <v>1454</v>
      </c>
      <c r="G589" s="90"/>
      <c r="H589" s="93"/>
      <c r="I589" s="93"/>
      <c r="J589" s="93"/>
      <c r="K589" s="95"/>
      <c r="L589" s="69"/>
      <c r="M589" s="69"/>
      <c r="N589" s="69"/>
      <c r="O589" s="69"/>
      <c r="P589" s="78"/>
      <c r="Q589" s="96"/>
      <c r="R589" s="97"/>
      <c r="S589" s="98"/>
    </row>
    <row r="590" spans="1:19" ht="42.75">
      <c r="A590" s="90" t="s">
        <v>49</v>
      </c>
      <c r="B590" s="91" t="s">
        <v>2352</v>
      </c>
      <c r="C590" s="91" t="s">
        <v>2385</v>
      </c>
      <c r="D590" s="90">
        <v>3336</v>
      </c>
      <c r="E590" s="90">
        <v>3094</v>
      </c>
      <c r="F590" s="90" t="s">
        <v>1434</v>
      </c>
      <c r="G590" s="90">
        <v>2024</v>
      </c>
      <c r="H590" s="101">
        <v>45609</v>
      </c>
      <c r="I590" s="101">
        <v>45611</v>
      </c>
      <c r="J590" s="94" t="s">
        <v>2386</v>
      </c>
      <c r="K590" s="100">
        <v>45616</v>
      </c>
      <c r="L590" s="69" t="s">
        <v>84</v>
      </c>
      <c r="M590" s="69" t="s">
        <v>4</v>
      </c>
      <c r="N590" s="69" t="s">
        <v>101</v>
      </c>
      <c r="O590" s="69" t="s">
        <v>1436</v>
      </c>
      <c r="P590" s="78"/>
      <c r="Q590" s="96">
        <v>45617</v>
      </c>
      <c r="R590" s="97" t="s">
        <v>929</v>
      </c>
      <c r="S590" s="98"/>
    </row>
    <row r="591" spans="1:19" ht="42.75">
      <c r="A591" s="90" t="s">
        <v>49</v>
      </c>
      <c r="B591" s="91" t="s">
        <v>2352</v>
      </c>
      <c r="C591" s="91" t="s">
        <v>2387</v>
      </c>
      <c r="D591" s="90">
        <v>8818</v>
      </c>
      <c r="E591" s="90">
        <v>9484</v>
      </c>
      <c r="F591" s="90" t="s">
        <v>1454</v>
      </c>
      <c r="G591" s="90"/>
      <c r="H591" s="93"/>
      <c r="I591" s="93"/>
      <c r="J591" s="93"/>
      <c r="K591" s="95"/>
      <c r="L591" s="69"/>
      <c r="M591" s="69"/>
      <c r="N591" s="69"/>
      <c r="O591" s="69"/>
      <c r="P591" s="78"/>
      <c r="Q591" s="96"/>
      <c r="R591" s="97"/>
      <c r="S591" s="98"/>
    </row>
    <row r="592" spans="1:19" ht="42.75">
      <c r="A592" s="90" t="s">
        <v>49</v>
      </c>
      <c r="B592" s="91" t="s">
        <v>2352</v>
      </c>
      <c r="C592" s="91" t="s">
        <v>2388</v>
      </c>
      <c r="D592" s="90">
        <v>6087</v>
      </c>
      <c r="E592" s="90">
        <v>7563</v>
      </c>
      <c r="F592" s="90" t="s">
        <v>1454</v>
      </c>
      <c r="G592" s="90"/>
      <c r="H592" s="93"/>
      <c r="I592" s="93"/>
      <c r="J592" s="93"/>
      <c r="K592" s="95"/>
      <c r="L592" s="69"/>
      <c r="M592" s="69"/>
      <c r="N592" s="69"/>
      <c r="O592" s="69"/>
      <c r="P592" s="78"/>
      <c r="Q592" s="96"/>
      <c r="R592" s="97"/>
      <c r="S592" s="98"/>
    </row>
    <row r="593" spans="1:19" ht="42.75">
      <c r="A593" s="90" t="s">
        <v>49</v>
      </c>
      <c r="B593" s="91" t="s">
        <v>2352</v>
      </c>
      <c r="C593" s="91" t="s">
        <v>2342</v>
      </c>
      <c r="D593" s="90">
        <v>2262</v>
      </c>
      <c r="E593" s="90">
        <v>1945</v>
      </c>
      <c r="F593" s="90" t="s">
        <v>1434</v>
      </c>
      <c r="G593" s="90">
        <v>2024</v>
      </c>
      <c r="H593" s="101">
        <v>45427</v>
      </c>
      <c r="I593" s="101">
        <v>45427</v>
      </c>
      <c r="J593" s="94" t="s">
        <v>2389</v>
      </c>
      <c r="K593" s="100">
        <v>45428</v>
      </c>
      <c r="L593" s="69" t="s">
        <v>78</v>
      </c>
      <c r="M593" s="69"/>
      <c r="N593" s="69"/>
      <c r="O593" s="69" t="s">
        <v>1436</v>
      </c>
      <c r="P593" s="78"/>
      <c r="Q593" s="96"/>
      <c r="R593" s="97"/>
      <c r="S593" s="98"/>
    </row>
    <row r="594" spans="1:19" ht="42.75">
      <c r="A594" s="90" t="s">
        <v>49</v>
      </c>
      <c r="B594" s="91" t="s">
        <v>2352</v>
      </c>
      <c r="C594" s="91" t="s">
        <v>2390</v>
      </c>
      <c r="D594" s="90">
        <v>2467</v>
      </c>
      <c r="E594" s="90">
        <v>2012</v>
      </c>
      <c r="F594" s="90" t="s">
        <v>1434</v>
      </c>
      <c r="G594" s="90">
        <v>2024</v>
      </c>
      <c r="H594" s="101">
        <v>45603</v>
      </c>
      <c r="I594" s="101">
        <v>45603</v>
      </c>
      <c r="J594" s="94" t="s">
        <v>2391</v>
      </c>
      <c r="K594" s="100">
        <v>45612</v>
      </c>
      <c r="L594" s="69" t="s">
        <v>84</v>
      </c>
      <c r="M594" s="69" t="s">
        <v>672</v>
      </c>
      <c r="N594" s="69" t="s">
        <v>1676</v>
      </c>
      <c r="O594" s="69" t="s">
        <v>1436</v>
      </c>
      <c r="P594" s="78"/>
      <c r="Q594" s="96">
        <v>45614</v>
      </c>
      <c r="R594" s="97" t="s">
        <v>929</v>
      </c>
      <c r="S594" s="98"/>
    </row>
    <row r="595" spans="1:19" ht="42.75">
      <c r="A595" s="90" t="s">
        <v>49</v>
      </c>
      <c r="B595" s="91" t="s">
        <v>2352</v>
      </c>
      <c r="C595" s="91" t="s">
        <v>764</v>
      </c>
      <c r="D595" s="90">
        <v>4388</v>
      </c>
      <c r="E595" s="90">
        <v>4566</v>
      </c>
      <c r="F595" s="90" t="s">
        <v>1434</v>
      </c>
      <c r="G595" s="90">
        <v>2024</v>
      </c>
      <c r="H595" s="101">
        <v>45604</v>
      </c>
      <c r="I595" s="101">
        <v>45611</v>
      </c>
      <c r="J595" s="94" t="s">
        <v>2392</v>
      </c>
      <c r="K595" s="100">
        <v>45616</v>
      </c>
      <c r="L595" s="69" t="s">
        <v>84</v>
      </c>
      <c r="M595" s="69" t="s">
        <v>672</v>
      </c>
      <c r="N595" s="69" t="s">
        <v>1676</v>
      </c>
      <c r="O595" s="69" t="s">
        <v>1436</v>
      </c>
      <c r="P595" s="78"/>
      <c r="Q595" s="96">
        <v>45618</v>
      </c>
      <c r="R595" s="97" t="s">
        <v>929</v>
      </c>
      <c r="S595" s="98"/>
    </row>
    <row r="596" spans="1:19" ht="42.75">
      <c r="A596" s="142" t="s">
        <v>49</v>
      </c>
      <c r="B596" s="91" t="s">
        <v>2352</v>
      </c>
      <c r="C596" s="91" t="s">
        <v>1873</v>
      </c>
      <c r="D596" s="90">
        <v>5240</v>
      </c>
      <c r="E596" s="90">
        <v>4991</v>
      </c>
      <c r="F596" s="90" t="s">
        <v>1434</v>
      </c>
      <c r="G596" s="90">
        <v>2024</v>
      </c>
      <c r="H596" s="101">
        <v>45603</v>
      </c>
      <c r="I596" s="101">
        <v>45603</v>
      </c>
      <c r="J596" s="94" t="s">
        <v>2393</v>
      </c>
      <c r="K596" s="100">
        <v>45612</v>
      </c>
      <c r="L596" s="69" t="s">
        <v>84</v>
      </c>
      <c r="M596" s="69" t="s">
        <v>672</v>
      </c>
      <c r="N596" s="69" t="s">
        <v>1676</v>
      </c>
      <c r="O596" s="69" t="s">
        <v>1436</v>
      </c>
      <c r="P596" s="78"/>
      <c r="Q596" s="96">
        <v>45614</v>
      </c>
      <c r="R596" s="97" t="s">
        <v>929</v>
      </c>
      <c r="S596" s="98"/>
    </row>
    <row r="597" spans="1:19" ht="42.75">
      <c r="A597" s="90" t="s">
        <v>49</v>
      </c>
      <c r="B597" s="91" t="s">
        <v>2352</v>
      </c>
      <c r="C597" s="91" t="s">
        <v>2117</v>
      </c>
      <c r="D597" s="90">
        <v>2790</v>
      </c>
      <c r="E597" s="90">
        <v>2402</v>
      </c>
      <c r="F597" s="90" t="s">
        <v>1454</v>
      </c>
      <c r="G597" s="90"/>
      <c r="H597" s="93"/>
      <c r="I597" s="93"/>
      <c r="J597" s="93"/>
      <c r="K597" s="95"/>
      <c r="L597" s="69"/>
      <c r="M597" s="69"/>
      <c r="N597" s="69"/>
      <c r="O597" s="69"/>
      <c r="P597" s="78"/>
      <c r="Q597" s="96"/>
      <c r="R597" s="97"/>
      <c r="S597" s="98"/>
    </row>
    <row r="598" spans="1:19" ht="42.75">
      <c r="A598" s="90" t="s">
        <v>49</v>
      </c>
      <c r="B598" s="91" t="s">
        <v>2352</v>
      </c>
      <c r="C598" s="91" t="s">
        <v>1020</v>
      </c>
      <c r="D598" s="90">
        <v>1973</v>
      </c>
      <c r="E598" s="90">
        <v>1534</v>
      </c>
      <c r="F598" s="90" t="s">
        <v>1454</v>
      </c>
      <c r="G598" s="90"/>
      <c r="H598" s="93"/>
      <c r="I598" s="93"/>
      <c r="J598" s="93"/>
      <c r="K598" s="95"/>
      <c r="L598" s="69"/>
      <c r="M598" s="69"/>
      <c r="N598" s="69"/>
      <c r="O598" s="69"/>
      <c r="P598" s="78"/>
      <c r="Q598" s="96"/>
      <c r="R598" s="97"/>
      <c r="S598" s="98"/>
    </row>
    <row r="599" spans="1:19" ht="42.75">
      <c r="A599" s="90" t="s">
        <v>49</v>
      </c>
      <c r="B599" s="91" t="s">
        <v>2352</v>
      </c>
      <c r="C599" s="91" t="s">
        <v>2394</v>
      </c>
      <c r="D599" s="90">
        <v>6524</v>
      </c>
      <c r="E599" s="90">
        <v>6688</v>
      </c>
      <c r="F599" s="90" t="s">
        <v>1454</v>
      </c>
      <c r="G599" s="90"/>
      <c r="H599" s="93"/>
      <c r="I599" s="93"/>
      <c r="J599" s="93"/>
      <c r="K599" s="95"/>
      <c r="L599" s="69"/>
      <c r="M599" s="69"/>
      <c r="N599" s="69"/>
      <c r="O599" s="69"/>
      <c r="P599" s="78"/>
      <c r="Q599" s="96"/>
      <c r="R599" s="97"/>
      <c r="S599" s="98"/>
    </row>
    <row r="600" spans="1:19" ht="42.75">
      <c r="A600" s="90" t="s">
        <v>49</v>
      </c>
      <c r="B600" s="91" t="s">
        <v>2352</v>
      </c>
      <c r="C600" s="91" t="s">
        <v>2236</v>
      </c>
      <c r="D600" s="90">
        <v>2025</v>
      </c>
      <c r="E600" s="90">
        <v>2035</v>
      </c>
      <c r="F600" s="90" t="s">
        <v>1454</v>
      </c>
      <c r="G600" s="90"/>
      <c r="H600" s="93"/>
      <c r="I600" s="93"/>
      <c r="J600" s="93"/>
      <c r="K600" s="95"/>
      <c r="L600" s="69"/>
      <c r="M600" s="69"/>
      <c r="N600" s="69"/>
      <c r="O600" s="69"/>
      <c r="P600" s="78"/>
      <c r="Q600" s="96"/>
      <c r="R600" s="97"/>
      <c r="S600" s="98"/>
    </row>
    <row r="601" spans="1:19" ht="42.75">
      <c r="A601" s="90" t="s">
        <v>49</v>
      </c>
      <c r="B601" s="91" t="s">
        <v>2352</v>
      </c>
      <c r="C601" s="91" t="s">
        <v>2346</v>
      </c>
      <c r="D601" s="90">
        <v>561</v>
      </c>
      <c r="E601" s="90">
        <v>574</v>
      </c>
      <c r="F601" s="90" t="s">
        <v>1454</v>
      </c>
      <c r="G601" s="90"/>
      <c r="H601" s="93"/>
      <c r="I601" s="93"/>
      <c r="J601" s="93"/>
      <c r="K601" s="95"/>
      <c r="L601" s="69"/>
      <c r="M601" s="69"/>
      <c r="N601" s="69"/>
      <c r="O601" s="69"/>
      <c r="P601" s="78"/>
      <c r="Q601" s="96"/>
      <c r="R601" s="97"/>
      <c r="S601" s="98"/>
    </row>
    <row r="602" spans="1:19" ht="42.75">
      <c r="A602" s="90" t="s">
        <v>49</v>
      </c>
      <c r="B602" s="91" t="s">
        <v>2352</v>
      </c>
      <c r="C602" s="91" t="s">
        <v>2395</v>
      </c>
      <c r="D602" s="90">
        <v>7633</v>
      </c>
      <c r="E602" s="90">
        <v>7333</v>
      </c>
      <c r="F602" s="90" t="s">
        <v>1454</v>
      </c>
      <c r="G602" s="90"/>
      <c r="H602" s="93"/>
      <c r="I602" s="93"/>
      <c r="J602" s="93"/>
      <c r="K602" s="95"/>
      <c r="L602" s="69"/>
      <c r="M602" s="69"/>
      <c r="N602" s="69"/>
      <c r="O602" s="69"/>
      <c r="P602" s="78"/>
      <c r="Q602" s="96"/>
      <c r="R602" s="97"/>
      <c r="S602" s="98"/>
    </row>
    <row r="603" spans="1:19" ht="42.75">
      <c r="A603" s="90" t="s">
        <v>49</v>
      </c>
      <c r="B603" s="91" t="s">
        <v>2352</v>
      </c>
      <c r="C603" s="91" t="s">
        <v>627</v>
      </c>
      <c r="D603" s="90">
        <v>8646</v>
      </c>
      <c r="E603" s="90">
        <v>8550</v>
      </c>
      <c r="F603" s="90" t="s">
        <v>1454</v>
      </c>
      <c r="G603" s="90"/>
      <c r="H603" s="93"/>
      <c r="I603" s="93"/>
      <c r="J603" s="93"/>
      <c r="K603" s="95"/>
      <c r="L603" s="69"/>
      <c r="M603" s="69"/>
      <c r="N603" s="69"/>
      <c r="O603" s="69"/>
      <c r="P603" s="78"/>
      <c r="Q603" s="96"/>
      <c r="R603" s="97"/>
      <c r="S603" s="98"/>
    </row>
    <row r="604" spans="1:19" ht="42.75">
      <c r="A604" s="90" t="s">
        <v>49</v>
      </c>
      <c r="B604" s="91" t="s">
        <v>2352</v>
      </c>
      <c r="C604" s="91" t="s">
        <v>2396</v>
      </c>
      <c r="D604" s="90">
        <v>2645</v>
      </c>
      <c r="E604" s="90">
        <v>2442</v>
      </c>
      <c r="F604" s="90" t="s">
        <v>1434</v>
      </c>
      <c r="G604" s="90">
        <v>2024</v>
      </c>
      <c r="H604" s="101">
        <v>45393</v>
      </c>
      <c r="I604" s="101">
        <v>45396</v>
      </c>
      <c r="J604" s="94" t="s">
        <v>2397</v>
      </c>
      <c r="K604" s="100">
        <v>45398</v>
      </c>
      <c r="L604" s="69" t="s">
        <v>77</v>
      </c>
      <c r="M604" s="69"/>
      <c r="N604" s="69"/>
      <c r="O604" s="69" t="s">
        <v>1436</v>
      </c>
      <c r="P604" s="78"/>
      <c r="Q604" s="96"/>
      <c r="R604" s="97"/>
      <c r="S604" s="98"/>
    </row>
    <row r="605" spans="1:19" ht="42.75">
      <c r="A605" s="90" t="s">
        <v>49</v>
      </c>
      <c r="B605" s="91" t="s">
        <v>2352</v>
      </c>
      <c r="C605" s="91" t="s">
        <v>2398</v>
      </c>
      <c r="D605" s="90">
        <v>7554</v>
      </c>
      <c r="E605" s="90">
        <v>8719</v>
      </c>
      <c r="F605" s="90" t="s">
        <v>1434</v>
      </c>
      <c r="G605" s="90">
        <v>2024</v>
      </c>
      <c r="H605" s="101">
        <v>45393</v>
      </c>
      <c r="I605" s="101">
        <v>45396</v>
      </c>
      <c r="J605" s="94" t="s">
        <v>2399</v>
      </c>
      <c r="K605" s="100">
        <v>45398</v>
      </c>
      <c r="L605" s="69" t="s">
        <v>77</v>
      </c>
      <c r="M605" s="69"/>
      <c r="N605" s="69"/>
      <c r="O605" s="69" t="s">
        <v>1436</v>
      </c>
      <c r="P605" s="78"/>
      <c r="Q605" s="96"/>
      <c r="R605" s="97"/>
      <c r="S605" s="98"/>
    </row>
    <row r="606" spans="1:19" ht="42.75">
      <c r="A606" s="90" t="s">
        <v>49</v>
      </c>
      <c r="B606" s="91" t="s">
        <v>2352</v>
      </c>
      <c r="C606" s="91" t="s">
        <v>2260</v>
      </c>
      <c r="D606" s="90">
        <v>2231</v>
      </c>
      <c r="E606" s="90">
        <v>1677</v>
      </c>
      <c r="F606" s="90" t="s">
        <v>1454</v>
      </c>
      <c r="G606" s="90"/>
      <c r="H606" s="93"/>
      <c r="I606" s="93"/>
      <c r="J606" s="93"/>
      <c r="K606" s="95"/>
      <c r="L606" s="69"/>
      <c r="M606" s="69"/>
      <c r="N606" s="69"/>
      <c r="O606" s="69"/>
      <c r="P606" s="78"/>
      <c r="Q606" s="96"/>
      <c r="R606" s="97"/>
      <c r="S606" s="98"/>
    </row>
    <row r="607" spans="1:19" ht="42.75">
      <c r="A607" s="142" t="s">
        <v>49</v>
      </c>
      <c r="B607" s="91" t="s">
        <v>2352</v>
      </c>
      <c r="C607" s="91" t="s">
        <v>2400</v>
      </c>
      <c r="D607" s="90">
        <v>10094</v>
      </c>
      <c r="E607" s="90">
        <v>12600</v>
      </c>
      <c r="F607" s="90" t="s">
        <v>1434</v>
      </c>
      <c r="G607" s="90">
        <v>2024</v>
      </c>
      <c r="H607" s="101">
        <v>45513</v>
      </c>
      <c r="I607" s="101">
        <v>45518</v>
      </c>
      <c r="J607" s="94" t="s">
        <v>2401</v>
      </c>
      <c r="K607" s="100">
        <v>45523</v>
      </c>
      <c r="L607" s="69" t="s">
        <v>81</v>
      </c>
      <c r="M607" s="69" t="s">
        <v>1589</v>
      </c>
      <c r="N607" s="69"/>
      <c r="O607" s="69" t="s">
        <v>1436</v>
      </c>
      <c r="P607" s="78"/>
      <c r="Q607" s="70">
        <v>45531</v>
      </c>
      <c r="R607" s="97" t="s">
        <v>929</v>
      </c>
      <c r="S607" s="98"/>
    </row>
    <row r="608" spans="1:19" ht="42.75">
      <c r="A608" s="90" t="s">
        <v>49</v>
      </c>
      <c r="B608" s="91" t="s">
        <v>2352</v>
      </c>
      <c r="C608" s="91" t="s">
        <v>2402</v>
      </c>
      <c r="D608" s="90">
        <v>3937</v>
      </c>
      <c r="E608" s="90">
        <v>4608</v>
      </c>
      <c r="F608" s="90" t="s">
        <v>1454</v>
      </c>
      <c r="G608" s="90"/>
      <c r="H608" s="93"/>
      <c r="I608" s="93"/>
      <c r="J608" s="93"/>
      <c r="K608" s="95"/>
      <c r="L608" s="69"/>
      <c r="M608" s="69"/>
      <c r="N608" s="69"/>
      <c r="O608" s="69"/>
      <c r="P608" s="78"/>
      <c r="Q608" s="96"/>
      <c r="R608" s="97"/>
      <c r="S608" s="98"/>
    </row>
    <row r="609" spans="1:19" ht="42.75">
      <c r="A609" s="90" t="s">
        <v>49</v>
      </c>
      <c r="B609" s="91" t="s">
        <v>223</v>
      </c>
      <c r="C609" s="91" t="s">
        <v>2403</v>
      </c>
      <c r="D609" s="90">
        <v>9424</v>
      </c>
      <c r="E609" s="90">
        <v>11417</v>
      </c>
      <c r="F609" s="90" t="s">
        <v>1454</v>
      </c>
      <c r="G609" s="90"/>
      <c r="H609" s="93"/>
      <c r="I609" s="93"/>
      <c r="J609" s="93"/>
      <c r="K609" s="95"/>
      <c r="L609" s="69"/>
      <c r="M609" s="69"/>
      <c r="N609" s="69"/>
      <c r="O609" s="69"/>
      <c r="P609" s="78"/>
      <c r="Q609" s="96"/>
      <c r="R609" s="97"/>
      <c r="S609" s="98"/>
    </row>
    <row r="610" spans="1:19" ht="42.75">
      <c r="A610" s="90" t="s">
        <v>49</v>
      </c>
      <c r="B610" s="91" t="s">
        <v>223</v>
      </c>
      <c r="C610" s="91" t="s">
        <v>2404</v>
      </c>
      <c r="D610" s="90">
        <v>9625</v>
      </c>
      <c r="E610" s="90">
        <v>10595</v>
      </c>
      <c r="F610" s="90" t="s">
        <v>1454</v>
      </c>
      <c r="G610" s="90"/>
      <c r="H610" s="93"/>
      <c r="I610" s="93"/>
      <c r="J610" s="93"/>
      <c r="K610" s="95"/>
      <c r="L610" s="69"/>
      <c r="M610" s="69"/>
      <c r="N610" s="69"/>
      <c r="O610" s="69"/>
      <c r="P610" s="78"/>
      <c r="Q610" s="96"/>
      <c r="R610" s="97"/>
      <c r="S610" s="98"/>
    </row>
    <row r="611" spans="1:19" ht="42.75">
      <c r="A611" s="90" t="s">
        <v>49</v>
      </c>
      <c r="B611" s="91" t="s">
        <v>223</v>
      </c>
      <c r="C611" s="91" t="s">
        <v>1770</v>
      </c>
      <c r="D611" s="90">
        <v>10103</v>
      </c>
      <c r="E611" s="90">
        <v>8310</v>
      </c>
      <c r="F611" s="90" t="s">
        <v>1454</v>
      </c>
      <c r="G611" s="90"/>
      <c r="H611" s="93"/>
      <c r="I611" s="93"/>
      <c r="J611" s="93"/>
      <c r="K611" s="95"/>
      <c r="L611" s="69"/>
      <c r="M611" s="69"/>
      <c r="N611" s="69"/>
      <c r="O611" s="69"/>
      <c r="P611" s="78"/>
      <c r="Q611" s="96"/>
      <c r="R611" s="97"/>
      <c r="S611" s="98"/>
    </row>
    <row r="612" spans="1:19" ht="42.75">
      <c r="A612" s="142" t="s">
        <v>49</v>
      </c>
      <c r="B612" s="91" t="s">
        <v>223</v>
      </c>
      <c r="C612" s="91" t="s">
        <v>766</v>
      </c>
      <c r="D612" s="90">
        <v>42821</v>
      </c>
      <c r="E612" s="90">
        <v>48184</v>
      </c>
      <c r="F612" s="90" t="s">
        <v>1454</v>
      </c>
      <c r="G612" s="90"/>
      <c r="H612" s="93"/>
      <c r="I612" s="93"/>
      <c r="J612" s="93"/>
      <c r="K612" s="95"/>
      <c r="L612" s="69"/>
      <c r="M612" s="69"/>
      <c r="N612" s="69"/>
      <c r="O612" s="69"/>
      <c r="P612" s="78"/>
      <c r="Q612" s="96"/>
      <c r="R612" s="97"/>
      <c r="S612" s="98"/>
    </row>
    <row r="613" spans="1:19" ht="42.75">
      <c r="A613" s="90" t="s">
        <v>49</v>
      </c>
      <c r="B613" s="91" t="s">
        <v>223</v>
      </c>
      <c r="C613" s="91" t="s">
        <v>2405</v>
      </c>
      <c r="D613" s="90">
        <v>12900</v>
      </c>
      <c r="E613" s="90">
        <v>15256</v>
      </c>
      <c r="F613" s="90" t="s">
        <v>1454</v>
      </c>
      <c r="G613" s="90"/>
      <c r="H613" s="93"/>
      <c r="I613" s="93"/>
      <c r="J613" s="93"/>
      <c r="K613" s="95"/>
      <c r="L613" s="69"/>
      <c r="M613" s="69"/>
      <c r="N613" s="69"/>
      <c r="O613" s="69"/>
      <c r="P613" s="78"/>
      <c r="Q613" s="96"/>
      <c r="R613" s="97"/>
      <c r="S613" s="98"/>
    </row>
    <row r="614" spans="1:19" ht="42.75">
      <c r="A614" s="90" t="s">
        <v>49</v>
      </c>
      <c r="B614" s="91" t="s">
        <v>223</v>
      </c>
      <c r="C614" s="91" t="s">
        <v>2406</v>
      </c>
      <c r="D614" s="90">
        <v>57569</v>
      </c>
      <c r="E614" s="90">
        <v>71258</v>
      </c>
      <c r="F614" s="90" t="s">
        <v>1454</v>
      </c>
      <c r="G614" s="90"/>
      <c r="H614" s="93"/>
      <c r="I614" s="93"/>
      <c r="J614" s="93"/>
      <c r="K614" s="95"/>
      <c r="L614" s="69"/>
      <c r="M614" s="69"/>
      <c r="N614" s="69"/>
      <c r="O614" s="69"/>
      <c r="P614" s="78"/>
      <c r="Q614" s="96"/>
      <c r="R614" s="97"/>
      <c r="S614" s="98"/>
    </row>
    <row r="615" spans="1:19" ht="42.75">
      <c r="A615" s="90" t="s">
        <v>49</v>
      </c>
      <c r="B615" s="91" t="s">
        <v>223</v>
      </c>
      <c r="C615" s="91" t="s">
        <v>2407</v>
      </c>
      <c r="D615" s="90">
        <v>4015</v>
      </c>
      <c r="E615" s="90">
        <v>3518</v>
      </c>
      <c r="F615" s="90" t="s">
        <v>1454</v>
      </c>
      <c r="G615" s="90"/>
      <c r="H615" s="93"/>
      <c r="I615" s="93"/>
      <c r="J615" s="93"/>
      <c r="K615" s="95"/>
      <c r="L615" s="69"/>
      <c r="M615" s="69"/>
      <c r="N615" s="69"/>
      <c r="O615" s="69"/>
      <c r="P615" s="78"/>
      <c r="Q615" s="96"/>
      <c r="R615" s="97"/>
      <c r="S615" s="98"/>
    </row>
    <row r="616" spans="1:19" ht="42.75">
      <c r="A616" s="90" t="s">
        <v>49</v>
      </c>
      <c r="B616" s="91" t="s">
        <v>223</v>
      </c>
      <c r="C616" s="91" t="s">
        <v>2408</v>
      </c>
      <c r="D616" s="90">
        <v>7501</v>
      </c>
      <c r="E616" s="90">
        <v>8419</v>
      </c>
      <c r="F616" s="90" t="s">
        <v>1454</v>
      </c>
      <c r="G616" s="90"/>
      <c r="H616" s="93"/>
      <c r="I616" s="93"/>
      <c r="J616" s="93"/>
      <c r="K616" s="95"/>
      <c r="L616" s="69"/>
      <c r="M616" s="69"/>
      <c r="N616" s="69"/>
      <c r="O616" s="69"/>
      <c r="P616" s="78"/>
      <c r="Q616" s="96"/>
      <c r="R616" s="97"/>
      <c r="S616" s="98"/>
    </row>
    <row r="617" spans="1:19" ht="42.75">
      <c r="A617" s="90" t="s">
        <v>49</v>
      </c>
      <c r="B617" s="91" t="s">
        <v>223</v>
      </c>
      <c r="C617" s="91" t="s">
        <v>2409</v>
      </c>
      <c r="D617" s="90">
        <v>1826</v>
      </c>
      <c r="E617" s="90">
        <v>1419</v>
      </c>
      <c r="F617" s="90" t="s">
        <v>1454</v>
      </c>
      <c r="G617" s="90"/>
      <c r="H617" s="93"/>
      <c r="I617" s="93"/>
      <c r="J617" s="93"/>
      <c r="K617" s="95"/>
      <c r="L617" s="69"/>
      <c r="M617" s="69"/>
      <c r="N617" s="69"/>
      <c r="O617" s="69"/>
      <c r="P617" s="78"/>
      <c r="Q617" s="96"/>
      <c r="R617" s="97"/>
      <c r="S617" s="98"/>
    </row>
    <row r="618" spans="1:19" ht="42.75">
      <c r="A618" s="90" t="s">
        <v>49</v>
      </c>
      <c r="B618" s="91" t="s">
        <v>223</v>
      </c>
      <c r="C618" s="91" t="s">
        <v>2410</v>
      </c>
      <c r="D618" s="90">
        <v>5475</v>
      </c>
      <c r="E618" s="90">
        <v>4968</v>
      </c>
      <c r="F618" s="90" t="s">
        <v>1454</v>
      </c>
      <c r="G618" s="90"/>
      <c r="H618" s="93"/>
      <c r="I618" s="93"/>
      <c r="J618" s="93"/>
      <c r="K618" s="95"/>
      <c r="L618" s="69"/>
      <c r="M618" s="69"/>
      <c r="N618" s="69"/>
      <c r="O618" s="69"/>
      <c r="P618" s="78"/>
      <c r="Q618" s="96"/>
      <c r="R618" s="97"/>
      <c r="S618" s="98"/>
    </row>
    <row r="619" spans="1:19" ht="42.75">
      <c r="A619" s="142" t="s">
        <v>49</v>
      </c>
      <c r="B619" s="91" t="s">
        <v>223</v>
      </c>
      <c r="C619" s="91" t="s">
        <v>1016</v>
      </c>
      <c r="D619" s="90">
        <v>7065</v>
      </c>
      <c r="E619" s="90">
        <v>9019</v>
      </c>
      <c r="F619" s="90" t="s">
        <v>1454</v>
      </c>
      <c r="G619" s="90"/>
      <c r="H619" s="93"/>
      <c r="I619" s="93"/>
      <c r="J619" s="93"/>
      <c r="K619" s="95"/>
      <c r="L619" s="69"/>
      <c r="M619" s="69"/>
      <c r="N619" s="69"/>
      <c r="O619" s="69"/>
      <c r="P619" s="78"/>
      <c r="Q619" s="96"/>
      <c r="R619" s="97"/>
      <c r="S619" s="98"/>
    </row>
    <row r="620" spans="1:19" ht="42.75">
      <c r="A620" s="142" t="s">
        <v>49</v>
      </c>
      <c r="B620" s="91" t="s">
        <v>223</v>
      </c>
      <c r="C620" s="91" t="s">
        <v>2411</v>
      </c>
      <c r="D620" s="90">
        <v>11229</v>
      </c>
      <c r="E620" s="90">
        <v>13784</v>
      </c>
      <c r="F620" s="90" t="s">
        <v>1454</v>
      </c>
      <c r="G620" s="90"/>
      <c r="H620" s="93"/>
      <c r="I620" s="93"/>
      <c r="J620" s="93"/>
      <c r="K620" s="95"/>
      <c r="L620" s="69"/>
      <c r="M620" s="69"/>
      <c r="N620" s="69"/>
      <c r="O620" s="69"/>
      <c r="P620" s="78"/>
      <c r="Q620" s="96"/>
      <c r="R620" s="97"/>
      <c r="S620" s="98"/>
    </row>
    <row r="621" spans="1:19" ht="42.75">
      <c r="A621" s="90" t="s">
        <v>49</v>
      </c>
      <c r="B621" s="91" t="s">
        <v>223</v>
      </c>
      <c r="C621" s="91" t="s">
        <v>2412</v>
      </c>
      <c r="D621" s="90">
        <v>10793</v>
      </c>
      <c r="E621" s="90">
        <v>11260</v>
      </c>
      <c r="F621" s="90" t="s">
        <v>1454</v>
      </c>
      <c r="G621" s="90"/>
      <c r="H621" s="93"/>
      <c r="I621" s="93"/>
      <c r="J621" s="93"/>
      <c r="K621" s="95"/>
      <c r="L621" s="69"/>
      <c r="M621" s="69"/>
      <c r="N621" s="69"/>
      <c r="O621" s="69"/>
      <c r="P621" s="78"/>
      <c r="Q621" s="96"/>
      <c r="R621" s="97"/>
      <c r="S621" s="98"/>
    </row>
    <row r="622" spans="1:19" ht="42.75">
      <c r="A622" s="90" t="s">
        <v>49</v>
      </c>
      <c r="B622" s="91" t="s">
        <v>223</v>
      </c>
      <c r="C622" s="91" t="s">
        <v>2413</v>
      </c>
      <c r="D622" s="90">
        <v>9648</v>
      </c>
      <c r="E622" s="90">
        <v>13378</v>
      </c>
      <c r="F622" s="90" t="s">
        <v>1434</v>
      </c>
      <c r="G622" s="90">
        <v>2024</v>
      </c>
      <c r="H622" s="101">
        <v>45546</v>
      </c>
      <c r="I622" s="101">
        <v>45553</v>
      </c>
      <c r="J622" s="94" t="s">
        <v>2414</v>
      </c>
      <c r="K622" s="95" t="s">
        <v>2370</v>
      </c>
      <c r="L622" s="69" t="s">
        <v>82</v>
      </c>
      <c r="M622" s="69" t="s">
        <v>672</v>
      </c>
      <c r="N622" s="69"/>
      <c r="O622" s="69" t="s">
        <v>1436</v>
      </c>
      <c r="P622" s="78"/>
      <c r="Q622" s="96">
        <v>45554</v>
      </c>
      <c r="R622" s="97" t="s">
        <v>2415</v>
      </c>
      <c r="S622" s="98"/>
    </row>
    <row r="623" spans="1:19" ht="42.75">
      <c r="A623" s="90" t="s">
        <v>49</v>
      </c>
      <c r="B623" s="91" t="s">
        <v>223</v>
      </c>
      <c r="C623" s="91" t="s">
        <v>2416</v>
      </c>
      <c r="D623" s="90">
        <v>14950</v>
      </c>
      <c r="E623" s="90">
        <v>15612</v>
      </c>
      <c r="F623" s="90" t="s">
        <v>1454</v>
      </c>
      <c r="G623" s="90"/>
      <c r="H623" s="93"/>
      <c r="I623" s="93"/>
      <c r="J623" s="93"/>
      <c r="K623" s="95"/>
      <c r="L623" s="69"/>
      <c r="M623" s="69"/>
      <c r="N623" s="69"/>
      <c r="O623" s="69"/>
      <c r="P623" s="78"/>
      <c r="Q623" s="96"/>
      <c r="R623" s="97"/>
      <c r="S623" s="98"/>
    </row>
    <row r="624" spans="1:19" ht="42.75">
      <c r="A624" s="90" t="s">
        <v>49</v>
      </c>
      <c r="B624" s="91" t="s">
        <v>223</v>
      </c>
      <c r="C624" s="91" t="s">
        <v>2186</v>
      </c>
      <c r="D624" s="90">
        <v>7021</v>
      </c>
      <c r="E624" s="90">
        <v>8056</v>
      </c>
      <c r="F624" s="90" t="s">
        <v>1454</v>
      </c>
      <c r="G624" s="90"/>
      <c r="H624" s="93"/>
      <c r="I624" s="93"/>
      <c r="J624" s="93"/>
      <c r="K624" s="95"/>
      <c r="L624" s="69"/>
      <c r="M624" s="69"/>
      <c r="N624" s="69"/>
      <c r="O624" s="69"/>
      <c r="P624" s="78"/>
      <c r="Q624" s="96"/>
      <c r="R624" s="97"/>
      <c r="S624" s="98"/>
    </row>
    <row r="625" spans="1:19" ht="42.75">
      <c r="A625" s="90" t="s">
        <v>49</v>
      </c>
      <c r="B625" s="91" t="s">
        <v>2417</v>
      </c>
      <c r="C625" s="91" t="s">
        <v>2418</v>
      </c>
      <c r="D625" s="90">
        <v>7760</v>
      </c>
      <c r="E625" s="90">
        <v>8426</v>
      </c>
      <c r="F625" s="90" t="s">
        <v>1454</v>
      </c>
      <c r="G625" s="90"/>
      <c r="H625" s="93"/>
      <c r="I625" s="93"/>
      <c r="J625" s="93"/>
      <c r="K625" s="95"/>
      <c r="L625" s="69"/>
      <c r="M625" s="69"/>
      <c r="N625" s="69"/>
      <c r="O625" s="69"/>
      <c r="P625" s="78"/>
      <c r="Q625" s="96"/>
      <c r="R625" s="97"/>
      <c r="S625" s="98"/>
    </row>
    <row r="626" spans="1:19" ht="42.75">
      <c r="A626" s="142" t="s">
        <v>49</v>
      </c>
      <c r="B626" s="91" t="s">
        <v>2417</v>
      </c>
      <c r="C626" s="91" t="s">
        <v>2419</v>
      </c>
      <c r="D626" s="90">
        <v>11568</v>
      </c>
      <c r="E626" s="90">
        <v>13232</v>
      </c>
      <c r="F626" s="90" t="s">
        <v>1434</v>
      </c>
      <c r="G626" s="90">
        <v>2024</v>
      </c>
      <c r="H626" s="92">
        <v>45343</v>
      </c>
      <c r="I626" s="93"/>
      <c r="J626" s="94" t="s">
        <v>2420</v>
      </c>
      <c r="K626" s="95"/>
      <c r="L626" s="69" t="s">
        <v>75</v>
      </c>
      <c r="M626" s="69"/>
      <c r="N626" s="69"/>
      <c r="O626" s="69"/>
      <c r="P626" s="78"/>
      <c r="Q626" s="96"/>
      <c r="R626" s="97"/>
      <c r="S626" s="98"/>
    </row>
    <row r="627" spans="1:19" ht="42.75">
      <c r="A627" s="90" t="s">
        <v>49</v>
      </c>
      <c r="B627" s="91" t="s">
        <v>2417</v>
      </c>
      <c r="C627" s="91" t="s">
        <v>2421</v>
      </c>
      <c r="D627" s="90">
        <v>12589</v>
      </c>
      <c r="E627" s="90">
        <v>12687</v>
      </c>
      <c r="F627" s="90" t="s">
        <v>1434</v>
      </c>
      <c r="G627" s="90">
        <v>2024</v>
      </c>
      <c r="H627" s="92">
        <v>45363</v>
      </c>
      <c r="I627" s="93"/>
      <c r="J627" s="94" t="s">
        <v>2422</v>
      </c>
      <c r="K627" s="95"/>
      <c r="L627" s="69" t="s">
        <v>76</v>
      </c>
      <c r="M627" s="69"/>
      <c r="N627" s="69"/>
      <c r="O627" s="69"/>
      <c r="P627" s="78"/>
      <c r="Q627" s="96"/>
      <c r="R627" s="97"/>
      <c r="S627" s="98"/>
    </row>
    <row r="628" spans="1:19" ht="42.75">
      <c r="A628" s="90" t="s">
        <v>49</v>
      </c>
      <c r="B628" s="91" t="s">
        <v>2417</v>
      </c>
      <c r="C628" s="91" t="s">
        <v>2423</v>
      </c>
      <c r="D628" s="90">
        <v>2913</v>
      </c>
      <c r="E628" s="90">
        <v>2524</v>
      </c>
      <c r="F628" s="90" t="s">
        <v>1454</v>
      </c>
      <c r="G628" s="90"/>
      <c r="H628" s="93"/>
      <c r="I628" s="93"/>
      <c r="J628" s="93"/>
      <c r="K628" s="95"/>
      <c r="L628" s="69"/>
      <c r="M628" s="69"/>
      <c r="N628" s="69"/>
      <c r="O628" s="69"/>
      <c r="P628" s="78"/>
      <c r="Q628" s="96"/>
      <c r="R628" s="97"/>
      <c r="S628" s="98"/>
    </row>
    <row r="629" spans="1:19" ht="42.75">
      <c r="A629" s="90" t="s">
        <v>49</v>
      </c>
      <c r="B629" s="91" t="s">
        <v>2417</v>
      </c>
      <c r="C629" s="91" t="s">
        <v>2424</v>
      </c>
      <c r="D629" s="90">
        <v>18560</v>
      </c>
      <c r="E629" s="90">
        <v>19195</v>
      </c>
      <c r="F629" s="90" t="s">
        <v>1434</v>
      </c>
      <c r="G629" s="90">
        <v>2024</v>
      </c>
      <c r="H629" s="92">
        <v>45363</v>
      </c>
      <c r="I629" s="93"/>
      <c r="J629" s="94" t="s">
        <v>2425</v>
      </c>
      <c r="K629" s="95"/>
      <c r="L629" s="69" t="s">
        <v>76</v>
      </c>
      <c r="M629" s="69"/>
      <c r="N629" s="69"/>
      <c r="O629" s="69"/>
      <c r="P629" s="78"/>
      <c r="Q629" s="96"/>
      <c r="R629" s="97"/>
      <c r="S629" s="98"/>
    </row>
    <row r="630" spans="1:19" ht="42.75">
      <c r="A630" s="90" t="s">
        <v>49</v>
      </c>
      <c r="B630" s="91" t="s">
        <v>2417</v>
      </c>
      <c r="C630" s="91" t="s">
        <v>2426</v>
      </c>
      <c r="D630" s="90">
        <v>5317</v>
      </c>
      <c r="E630" s="90">
        <v>5074</v>
      </c>
      <c r="F630" s="90" t="s">
        <v>1454</v>
      </c>
      <c r="G630" s="90"/>
      <c r="H630" s="93"/>
      <c r="I630" s="93"/>
      <c r="J630" s="93"/>
      <c r="K630" s="95"/>
      <c r="L630" s="69"/>
      <c r="M630" s="69"/>
      <c r="N630" s="69"/>
      <c r="O630" s="69"/>
      <c r="P630" s="78"/>
      <c r="Q630" s="96"/>
      <c r="R630" s="97"/>
      <c r="S630" s="98"/>
    </row>
    <row r="631" spans="1:19" ht="42.75">
      <c r="A631" s="90" t="s">
        <v>49</v>
      </c>
      <c r="B631" s="91" t="s">
        <v>2417</v>
      </c>
      <c r="C631" s="91" t="s">
        <v>2427</v>
      </c>
      <c r="D631" s="90">
        <v>8972</v>
      </c>
      <c r="E631" s="90">
        <v>8388</v>
      </c>
      <c r="F631" s="90" t="s">
        <v>1434</v>
      </c>
      <c r="G631" s="90">
        <v>2024</v>
      </c>
      <c r="H631" s="92">
        <v>45363</v>
      </c>
      <c r="I631" s="93"/>
      <c r="J631" s="94" t="s">
        <v>2428</v>
      </c>
      <c r="K631" s="95"/>
      <c r="L631" s="69" t="s">
        <v>76</v>
      </c>
      <c r="M631" s="69"/>
      <c r="N631" s="69"/>
      <c r="O631" s="69"/>
      <c r="P631" s="78"/>
      <c r="Q631" s="96"/>
      <c r="R631" s="97"/>
      <c r="S631" s="98"/>
    </row>
    <row r="632" spans="1:19" ht="42.75">
      <c r="A632" s="90" t="s">
        <v>49</v>
      </c>
      <c r="B632" s="91" t="s">
        <v>2417</v>
      </c>
      <c r="C632" s="91" t="s">
        <v>2429</v>
      </c>
      <c r="D632" s="90">
        <v>1675</v>
      </c>
      <c r="E632" s="90">
        <v>2683</v>
      </c>
      <c r="F632" s="90" t="s">
        <v>1454</v>
      </c>
      <c r="G632" s="90"/>
      <c r="H632" s="93"/>
      <c r="I632" s="93"/>
      <c r="J632" s="93"/>
      <c r="K632" s="95"/>
      <c r="L632" s="69"/>
      <c r="M632" s="69"/>
      <c r="N632" s="69"/>
      <c r="O632" s="69"/>
      <c r="P632" s="78"/>
      <c r="Q632" s="96"/>
      <c r="R632" s="97"/>
      <c r="S632" s="98"/>
    </row>
    <row r="633" spans="1:19" ht="42.75">
      <c r="A633" s="90" t="s">
        <v>49</v>
      </c>
      <c r="B633" s="91" t="s">
        <v>2417</v>
      </c>
      <c r="C633" s="91" t="s">
        <v>422</v>
      </c>
      <c r="D633" s="90">
        <v>8032</v>
      </c>
      <c r="E633" s="90">
        <v>9367</v>
      </c>
      <c r="F633" s="90" t="s">
        <v>1434</v>
      </c>
      <c r="G633" s="90">
        <v>2024</v>
      </c>
      <c r="H633" s="92">
        <v>45343</v>
      </c>
      <c r="I633" s="93"/>
      <c r="J633" s="94" t="s">
        <v>2430</v>
      </c>
      <c r="K633" s="95"/>
      <c r="L633" s="69" t="s">
        <v>75</v>
      </c>
      <c r="M633" s="69"/>
      <c r="N633" s="69"/>
      <c r="O633" s="69"/>
      <c r="P633" s="78"/>
      <c r="Q633" s="96"/>
      <c r="R633" s="97"/>
      <c r="S633" s="98"/>
    </row>
    <row r="634" spans="1:19" ht="42.75">
      <c r="A634" s="90" t="s">
        <v>49</v>
      </c>
      <c r="B634" s="91" t="s">
        <v>2417</v>
      </c>
      <c r="C634" s="91" t="s">
        <v>2431</v>
      </c>
      <c r="D634" s="90">
        <v>3871</v>
      </c>
      <c r="E634" s="90">
        <v>4319</v>
      </c>
      <c r="F634" s="90" t="s">
        <v>1454</v>
      </c>
      <c r="G634" s="90"/>
      <c r="H634" s="93"/>
      <c r="I634" s="93"/>
      <c r="J634" s="93"/>
      <c r="K634" s="95"/>
      <c r="L634" s="69"/>
      <c r="M634" s="69"/>
      <c r="N634" s="69"/>
      <c r="O634" s="69"/>
      <c r="P634" s="78"/>
      <c r="Q634" s="96"/>
      <c r="R634" s="97"/>
      <c r="S634" s="98"/>
    </row>
    <row r="635" spans="1:19" ht="42.75">
      <c r="A635" s="90" t="s">
        <v>49</v>
      </c>
      <c r="B635" s="91" t="s">
        <v>2417</v>
      </c>
      <c r="C635" s="91" t="s">
        <v>2432</v>
      </c>
      <c r="D635" s="90">
        <v>12854</v>
      </c>
      <c r="E635" s="90">
        <v>15592</v>
      </c>
      <c r="F635" s="90" t="s">
        <v>1454</v>
      </c>
      <c r="G635" s="90"/>
      <c r="H635" s="93"/>
      <c r="I635" s="93"/>
      <c r="J635" s="93"/>
      <c r="K635" s="95"/>
      <c r="L635" s="69"/>
      <c r="M635" s="69"/>
      <c r="N635" s="69"/>
      <c r="O635" s="69"/>
      <c r="P635" s="78"/>
      <c r="Q635" s="96"/>
      <c r="R635" s="97"/>
      <c r="S635" s="98"/>
    </row>
    <row r="636" spans="1:19" ht="42.75">
      <c r="A636" s="90" t="s">
        <v>49</v>
      </c>
      <c r="B636" s="91" t="s">
        <v>2417</v>
      </c>
      <c r="C636" s="91" t="s">
        <v>2433</v>
      </c>
      <c r="D636" s="90">
        <v>10552</v>
      </c>
      <c r="E636" s="90">
        <v>12742</v>
      </c>
      <c r="F636" s="90" t="s">
        <v>1454</v>
      </c>
      <c r="G636" s="90"/>
      <c r="H636" s="93"/>
      <c r="I636" s="93"/>
      <c r="J636" s="93"/>
      <c r="K636" s="95"/>
      <c r="L636" s="69"/>
      <c r="M636" s="69"/>
      <c r="N636" s="69"/>
      <c r="O636" s="69"/>
      <c r="P636" s="78"/>
      <c r="Q636" s="96"/>
      <c r="R636" s="97"/>
      <c r="S636" s="98"/>
    </row>
    <row r="637" spans="1:19" ht="42.75">
      <c r="A637" s="90" t="s">
        <v>49</v>
      </c>
      <c r="B637" s="91" t="s">
        <v>2417</v>
      </c>
      <c r="C637" s="91" t="s">
        <v>2434</v>
      </c>
      <c r="D637" s="90">
        <v>1584</v>
      </c>
      <c r="E637" s="90">
        <v>1615</v>
      </c>
      <c r="F637" s="90" t="s">
        <v>1454</v>
      </c>
      <c r="G637" s="90"/>
      <c r="H637" s="93"/>
      <c r="I637" s="93"/>
      <c r="J637" s="93"/>
      <c r="K637" s="95"/>
      <c r="L637" s="69"/>
      <c r="M637" s="69"/>
      <c r="N637" s="69"/>
      <c r="O637" s="69"/>
      <c r="P637" s="78"/>
      <c r="Q637" s="96"/>
      <c r="R637" s="97"/>
      <c r="S637" s="98"/>
    </row>
    <row r="638" spans="1:19" ht="42.75">
      <c r="A638" s="90" t="s">
        <v>49</v>
      </c>
      <c r="B638" s="91" t="s">
        <v>2417</v>
      </c>
      <c r="C638" s="91" t="s">
        <v>1039</v>
      </c>
      <c r="D638" s="90">
        <v>3412</v>
      </c>
      <c r="E638" s="90">
        <v>2903</v>
      </c>
      <c r="F638" s="90" t="s">
        <v>1434</v>
      </c>
      <c r="G638" s="90">
        <v>2024</v>
      </c>
      <c r="H638" s="92">
        <v>45363</v>
      </c>
      <c r="I638" s="93"/>
      <c r="J638" s="94" t="s">
        <v>2435</v>
      </c>
      <c r="K638" s="95"/>
      <c r="L638" s="69" t="s">
        <v>76</v>
      </c>
      <c r="M638" s="69"/>
      <c r="N638" s="69"/>
      <c r="O638" s="69"/>
      <c r="P638" s="78"/>
      <c r="Q638" s="96"/>
      <c r="R638" s="97"/>
      <c r="S638" s="98"/>
    </row>
    <row r="639" spans="1:19" ht="42.75">
      <c r="A639" s="90" t="s">
        <v>49</v>
      </c>
      <c r="B639" s="91" t="s">
        <v>2417</v>
      </c>
      <c r="C639" s="91" t="s">
        <v>2436</v>
      </c>
      <c r="D639" s="90">
        <v>22205</v>
      </c>
      <c r="E639" s="90">
        <v>21540</v>
      </c>
      <c r="F639" s="90" t="s">
        <v>1434</v>
      </c>
      <c r="G639" s="90">
        <v>2024</v>
      </c>
      <c r="H639" s="92">
        <v>45363</v>
      </c>
      <c r="I639" s="93"/>
      <c r="J639" s="94" t="s">
        <v>2437</v>
      </c>
      <c r="K639" s="95"/>
      <c r="L639" s="69" t="s">
        <v>76</v>
      </c>
      <c r="M639" s="69"/>
      <c r="N639" s="69"/>
      <c r="O639" s="69"/>
      <c r="P639" s="78"/>
      <c r="Q639" s="96"/>
      <c r="R639" s="97"/>
      <c r="S639" s="98"/>
    </row>
    <row r="640" spans="1:19" ht="42.75">
      <c r="A640" s="90" t="s">
        <v>49</v>
      </c>
      <c r="B640" s="91" t="s">
        <v>2417</v>
      </c>
      <c r="C640" s="91" t="s">
        <v>1066</v>
      </c>
      <c r="D640" s="90">
        <v>6166</v>
      </c>
      <c r="E640" s="90">
        <v>7752</v>
      </c>
      <c r="F640" s="90" t="s">
        <v>1434</v>
      </c>
      <c r="G640" s="90">
        <v>2024</v>
      </c>
      <c r="H640" s="92">
        <v>45343</v>
      </c>
      <c r="I640" s="93"/>
      <c r="J640" s="94" t="s">
        <v>2438</v>
      </c>
      <c r="K640" s="95"/>
      <c r="L640" s="69" t="s">
        <v>75</v>
      </c>
      <c r="M640" s="69"/>
      <c r="N640" s="69"/>
      <c r="O640" s="69"/>
      <c r="P640" s="78"/>
      <c r="Q640" s="96"/>
      <c r="R640" s="97"/>
      <c r="S640" s="98"/>
    </row>
    <row r="641" spans="1:19" ht="42.75">
      <c r="A641" s="90" t="s">
        <v>49</v>
      </c>
      <c r="B641" s="91" t="s">
        <v>2417</v>
      </c>
      <c r="C641" s="91" t="s">
        <v>2439</v>
      </c>
      <c r="D641" s="90">
        <v>15264</v>
      </c>
      <c r="E641" s="90">
        <v>17171</v>
      </c>
      <c r="F641" s="90" t="s">
        <v>1434</v>
      </c>
      <c r="G641" s="90">
        <v>2024</v>
      </c>
      <c r="H641" s="92">
        <v>45363</v>
      </c>
      <c r="I641" s="93"/>
      <c r="J641" s="94" t="s">
        <v>2440</v>
      </c>
      <c r="K641" s="95"/>
      <c r="L641" s="69" t="s">
        <v>76</v>
      </c>
      <c r="M641" s="69"/>
      <c r="N641" s="69"/>
      <c r="O641" s="69"/>
      <c r="P641" s="78"/>
      <c r="Q641" s="96"/>
      <c r="R641" s="97"/>
      <c r="S641" s="98"/>
    </row>
    <row r="642" spans="1:19" ht="42.75">
      <c r="A642" s="142" t="s">
        <v>49</v>
      </c>
      <c r="B642" s="91" t="s">
        <v>2417</v>
      </c>
      <c r="C642" s="91" t="s">
        <v>590</v>
      </c>
      <c r="D642" s="90">
        <v>11804</v>
      </c>
      <c r="E642" s="90">
        <v>12577</v>
      </c>
      <c r="F642" s="90" t="s">
        <v>1434</v>
      </c>
      <c r="G642" s="90">
        <v>2024</v>
      </c>
      <c r="H642" s="92">
        <v>45343</v>
      </c>
      <c r="I642" s="93"/>
      <c r="J642" s="94" t="s">
        <v>2441</v>
      </c>
      <c r="K642" s="95"/>
      <c r="L642" s="69" t="s">
        <v>75</v>
      </c>
      <c r="M642" s="69"/>
      <c r="N642" s="69"/>
      <c r="O642" s="69"/>
      <c r="P642" s="78"/>
      <c r="Q642" s="96"/>
      <c r="R642" s="97"/>
      <c r="S642" s="98"/>
    </row>
    <row r="643" spans="1:19" ht="42.75">
      <c r="A643" s="142" t="s">
        <v>49</v>
      </c>
      <c r="B643" s="91" t="s">
        <v>2417</v>
      </c>
      <c r="C643" s="91" t="s">
        <v>2272</v>
      </c>
      <c r="D643" s="90">
        <v>17251</v>
      </c>
      <c r="E643" s="90">
        <v>18848</v>
      </c>
      <c r="F643" s="90" t="s">
        <v>1434</v>
      </c>
      <c r="G643" s="90">
        <v>2024</v>
      </c>
      <c r="H643" s="92">
        <v>45343</v>
      </c>
      <c r="I643" s="93"/>
      <c r="J643" s="94" t="s">
        <v>2442</v>
      </c>
      <c r="K643" s="95"/>
      <c r="L643" s="69" t="s">
        <v>75</v>
      </c>
      <c r="M643" s="69"/>
      <c r="N643" s="69"/>
      <c r="O643" s="69"/>
      <c r="P643" s="78"/>
      <c r="Q643" s="96"/>
      <c r="R643" s="97"/>
      <c r="S643" s="98"/>
    </row>
    <row r="644" spans="1:19" ht="42.75">
      <c r="A644" s="90" t="s">
        <v>49</v>
      </c>
      <c r="B644" s="91" t="s">
        <v>2417</v>
      </c>
      <c r="C644" s="91" t="s">
        <v>926</v>
      </c>
      <c r="D644" s="90">
        <v>348</v>
      </c>
      <c r="E644" s="90">
        <v>304</v>
      </c>
      <c r="F644" s="90" t="s">
        <v>1454</v>
      </c>
      <c r="G644" s="90">
        <v>2025</v>
      </c>
      <c r="H644" s="93"/>
      <c r="I644" s="93"/>
      <c r="J644" s="93"/>
      <c r="K644" s="95"/>
      <c r="L644" s="69" t="s">
        <v>74</v>
      </c>
      <c r="M644" s="69"/>
      <c r="N644" s="69"/>
      <c r="O644" s="69"/>
      <c r="P644" s="78"/>
      <c r="Q644" s="96"/>
      <c r="R644" s="97"/>
      <c r="S644" s="98"/>
    </row>
    <row r="645" spans="1:19" ht="42.75">
      <c r="A645" s="90" t="s">
        <v>49</v>
      </c>
      <c r="B645" s="91" t="s">
        <v>2417</v>
      </c>
      <c r="C645" s="91" t="s">
        <v>726</v>
      </c>
      <c r="D645" s="90">
        <v>10347</v>
      </c>
      <c r="E645" s="90">
        <v>11024</v>
      </c>
      <c r="F645" s="90" t="s">
        <v>1454</v>
      </c>
      <c r="G645" s="90"/>
      <c r="H645" s="93"/>
      <c r="I645" s="93"/>
      <c r="J645" s="93"/>
      <c r="K645" s="95"/>
      <c r="L645" s="69"/>
      <c r="M645" s="69"/>
      <c r="N645" s="69"/>
      <c r="O645" s="69"/>
      <c r="P645" s="78"/>
      <c r="Q645" s="96"/>
      <c r="R645" s="97"/>
      <c r="S645" s="98"/>
    </row>
    <row r="646" spans="1:19" ht="42.75">
      <c r="A646" s="90" t="s">
        <v>49</v>
      </c>
      <c r="B646" s="91" t="s">
        <v>2417</v>
      </c>
      <c r="C646" s="91" t="s">
        <v>2443</v>
      </c>
      <c r="D646" s="90">
        <v>1288</v>
      </c>
      <c r="E646" s="90">
        <v>1313</v>
      </c>
      <c r="F646" s="90" t="s">
        <v>1454</v>
      </c>
      <c r="G646" s="90"/>
      <c r="H646" s="93"/>
      <c r="I646" s="93"/>
      <c r="J646" s="93"/>
      <c r="K646" s="95"/>
      <c r="L646" s="69"/>
      <c r="M646" s="69"/>
      <c r="N646" s="69"/>
      <c r="O646" s="69"/>
      <c r="P646" s="78"/>
      <c r="Q646" s="96"/>
      <c r="R646" s="97"/>
      <c r="S646" s="98"/>
    </row>
    <row r="647" spans="1:19" ht="42.75">
      <c r="A647" s="90" t="s">
        <v>49</v>
      </c>
      <c r="B647" s="91" t="s">
        <v>2417</v>
      </c>
      <c r="C647" s="91" t="s">
        <v>2071</v>
      </c>
      <c r="D647" s="90">
        <v>4407</v>
      </c>
      <c r="E647" s="90">
        <v>4852</v>
      </c>
      <c r="F647" s="90" t="s">
        <v>1434</v>
      </c>
      <c r="G647" s="90">
        <v>2024</v>
      </c>
      <c r="H647" s="92">
        <v>45363</v>
      </c>
      <c r="I647" s="93"/>
      <c r="J647" s="94" t="s">
        <v>2444</v>
      </c>
      <c r="K647" s="95"/>
      <c r="L647" s="69" t="s">
        <v>76</v>
      </c>
      <c r="M647" s="69"/>
      <c r="N647" s="69"/>
      <c r="O647" s="69"/>
      <c r="P647" s="78"/>
      <c r="Q647" s="96"/>
      <c r="R647" s="97"/>
      <c r="S647" s="98"/>
    </row>
    <row r="648" spans="1:19" ht="42.75">
      <c r="A648" s="90" t="s">
        <v>49</v>
      </c>
      <c r="B648" s="91" t="s">
        <v>2417</v>
      </c>
      <c r="C648" s="91" t="s">
        <v>2445</v>
      </c>
      <c r="D648" s="90">
        <v>2255</v>
      </c>
      <c r="E648" s="90">
        <v>2280</v>
      </c>
      <c r="F648" s="90" t="s">
        <v>1454</v>
      </c>
      <c r="G648" s="90"/>
      <c r="H648" s="93"/>
      <c r="I648" s="93"/>
      <c r="J648" s="93"/>
      <c r="K648" s="95"/>
      <c r="L648" s="69"/>
      <c r="M648" s="69"/>
      <c r="N648" s="69"/>
      <c r="O648" s="69"/>
      <c r="P648" s="78"/>
      <c r="Q648" s="96"/>
      <c r="R648" s="97"/>
      <c r="S648" s="98"/>
    </row>
    <row r="649" spans="1:19" ht="42.75">
      <c r="A649" s="90" t="s">
        <v>49</v>
      </c>
      <c r="B649" s="91" t="s">
        <v>2417</v>
      </c>
      <c r="C649" s="91" t="s">
        <v>2446</v>
      </c>
      <c r="D649" s="90">
        <v>2646</v>
      </c>
      <c r="E649" s="90">
        <v>2370</v>
      </c>
      <c r="F649" s="90" t="s">
        <v>1454</v>
      </c>
      <c r="G649" s="90"/>
      <c r="H649" s="93"/>
      <c r="I649" s="93"/>
      <c r="J649" s="93"/>
      <c r="K649" s="95"/>
      <c r="L649" s="69"/>
      <c r="M649" s="69"/>
      <c r="N649" s="69"/>
      <c r="O649" s="69"/>
      <c r="P649" s="78"/>
      <c r="Q649" s="96"/>
      <c r="R649" s="97"/>
      <c r="S649" s="98"/>
    </row>
    <row r="650" spans="1:19" ht="42.75">
      <c r="A650" s="90" t="s">
        <v>49</v>
      </c>
      <c r="B650" s="91" t="s">
        <v>2417</v>
      </c>
      <c r="C650" s="91" t="s">
        <v>675</v>
      </c>
      <c r="D650" s="90">
        <v>5443</v>
      </c>
      <c r="E650" s="90">
        <v>6895</v>
      </c>
      <c r="F650" s="90" t="s">
        <v>1454</v>
      </c>
      <c r="G650" s="90"/>
      <c r="H650" s="93"/>
      <c r="I650" s="93"/>
      <c r="J650" s="93"/>
      <c r="K650" s="95"/>
      <c r="L650" s="69"/>
      <c r="M650" s="69"/>
      <c r="N650" s="69"/>
      <c r="O650" s="69"/>
      <c r="P650" s="78"/>
      <c r="Q650" s="96"/>
      <c r="R650" s="97"/>
      <c r="S650" s="98"/>
    </row>
    <row r="651" spans="1:19" ht="42.75">
      <c r="A651" s="90" t="s">
        <v>49</v>
      </c>
      <c r="B651" s="91" t="s">
        <v>434</v>
      </c>
      <c r="C651" s="91" t="s">
        <v>1694</v>
      </c>
      <c r="D651" s="90">
        <v>1419</v>
      </c>
      <c r="E651" s="90">
        <v>907</v>
      </c>
      <c r="F651" s="90" t="s">
        <v>1454</v>
      </c>
      <c r="G651" s="90"/>
      <c r="H651" s="93"/>
      <c r="I651" s="93"/>
      <c r="J651" s="93"/>
      <c r="K651" s="95"/>
      <c r="L651" s="69"/>
      <c r="M651" s="69"/>
      <c r="N651" s="69"/>
      <c r="O651" s="69"/>
      <c r="P651" s="78"/>
      <c r="Q651" s="96"/>
      <c r="R651" s="97"/>
      <c r="S651" s="98"/>
    </row>
    <row r="652" spans="1:19" ht="42.75">
      <c r="A652" s="90" t="s">
        <v>49</v>
      </c>
      <c r="B652" s="91" t="s">
        <v>434</v>
      </c>
      <c r="C652" s="91" t="s">
        <v>2447</v>
      </c>
      <c r="D652" s="90">
        <v>523</v>
      </c>
      <c r="E652" s="90">
        <v>548</v>
      </c>
      <c r="F652" s="90" t="s">
        <v>1454</v>
      </c>
      <c r="G652" s="90"/>
      <c r="H652" s="93"/>
      <c r="I652" s="93"/>
      <c r="J652" s="93"/>
      <c r="K652" s="95"/>
      <c r="L652" s="69"/>
      <c r="M652" s="69"/>
      <c r="N652" s="69"/>
      <c r="O652" s="69"/>
      <c r="P652" s="78"/>
      <c r="Q652" s="96"/>
      <c r="R652" s="97"/>
      <c r="S652" s="98"/>
    </row>
    <row r="653" spans="1:19" ht="42.75">
      <c r="A653" s="142" t="s">
        <v>49</v>
      </c>
      <c r="B653" s="91" t="s">
        <v>434</v>
      </c>
      <c r="C653" s="91" t="s">
        <v>2448</v>
      </c>
      <c r="D653" s="90">
        <v>12118</v>
      </c>
      <c r="E653" s="90">
        <v>15119</v>
      </c>
      <c r="F653" s="90" t="s">
        <v>1434</v>
      </c>
      <c r="G653" s="90">
        <v>2024</v>
      </c>
      <c r="H653" s="92">
        <v>45335</v>
      </c>
      <c r="I653" s="152"/>
      <c r="J653" s="153" t="s">
        <v>2449</v>
      </c>
      <c r="K653" s="95"/>
      <c r="L653" s="69" t="s">
        <v>75</v>
      </c>
      <c r="M653" s="69"/>
      <c r="N653" s="69"/>
      <c r="O653" s="69"/>
      <c r="P653" s="78"/>
      <c r="Q653" s="96"/>
      <c r="R653" s="97"/>
      <c r="S653" s="98"/>
    </row>
    <row r="654" spans="1:19" ht="42.75">
      <c r="A654" s="142" t="s">
        <v>49</v>
      </c>
      <c r="B654" s="91" t="s">
        <v>434</v>
      </c>
      <c r="C654" s="91" t="s">
        <v>768</v>
      </c>
      <c r="D654" s="90">
        <v>10177</v>
      </c>
      <c r="E654" s="90">
        <v>18427</v>
      </c>
      <c r="F654" s="90" t="s">
        <v>1434</v>
      </c>
      <c r="G654" s="90">
        <v>2024</v>
      </c>
      <c r="H654" s="92">
        <v>45335</v>
      </c>
      <c r="I654" s="93"/>
      <c r="J654" s="94" t="s">
        <v>2450</v>
      </c>
      <c r="K654" s="95"/>
      <c r="L654" s="69" t="s">
        <v>75</v>
      </c>
      <c r="M654" s="69"/>
      <c r="N654" s="69"/>
      <c r="O654" s="69"/>
      <c r="P654" s="78"/>
      <c r="Q654" s="96"/>
      <c r="R654" s="97"/>
      <c r="S654" s="98"/>
    </row>
    <row r="655" spans="1:19" ht="42.75">
      <c r="A655" s="90" t="s">
        <v>49</v>
      </c>
      <c r="B655" s="91" t="s">
        <v>434</v>
      </c>
      <c r="C655" s="91" t="s">
        <v>769</v>
      </c>
      <c r="D655" s="90">
        <v>12025</v>
      </c>
      <c r="E655" s="90">
        <v>13553</v>
      </c>
      <c r="F655" s="90" t="s">
        <v>1434</v>
      </c>
      <c r="G655" s="90">
        <v>2024</v>
      </c>
      <c r="H655" s="92">
        <v>45335</v>
      </c>
      <c r="I655" s="93"/>
      <c r="J655" s="94" t="s">
        <v>2451</v>
      </c>
      <c r="K655" s="95"/>
      <c r="L655" s="69" t="s">
        <v>75</v>
      </c>
      <c r="M655" s="69"/>
      <c r="N655" s="69"/>
      <c r="O655" s="69"/>
      <c r="P655" s="78"/>
      <c r="Q655" s="96"/>
      <c r="R655" s="97"/>
      <c r="S655" s="98"/>
    </row>
    <row r="656" spans="1:19" ht="42.75">
      <c r="A656" s="142" t="s">
        <v>49</v>
      </c>
      <c r="B656" s="91" t="s">
        <v>434</v>
      </c>
      <c r="C656" s="91" t="s">
        <v>2452</v>
      </c>
      <c r="D656" s="90">
        <v>10038</v>
      </c>
      <c r="E656" s="90">
        <v>11186</v>
      </c>
      <c r="F656" s="90" t="s">
        <v>1434</v>
      </c>
      <c r="G656" s="90">
        <v>2024</v>
      </c>
      <c r="H656" s="92">
        <v>45335</v>
      </c>
      <c r="I656" s="93"/>
      <c r="J656" s="94" t="s">
        <v>2453</v>
      </c>
      <c r="K656" s="95"/>
      <c r="L656" s="69" t="s">
        <v>75</v>
      </c>
      <c r="M656" s="69"/>
      <c r="N656" s="69"/>
      <c r="O656" s="69"/>
      <c r="P656" s="78"/>
      <c r="Q656" s="96"/>
      <c r="R656" s="97"/>
      <c r="S656" s="98"/>
    </row>
    <row r="657" spans="1:19" ht="42.75">
      <c r="A657" s="142" t="s">
        <v>49</v>
      </c>
      <c r="B657" s="91" t="s">
        <v>434</v>
      </c>
      <c r="C657" s="91" t="s">
        <v>2454</v>
      </c>
      <c r="D657" s="90">
        <v>5422</v>
      </c>
      <c r="E657" s="90">
        <v>6827</v>
      </c>
      <c r="F657" s="90" t="s">
        <v>1454</v>
      </c>
      <c r="G657" s="90"/>
      <c r="H657" s="93"/>
      <c r="I657" s="93"/>
      <c r="J657" s="93"/>
      <c r="K657" s="95"/>
      <c r="L657" s="69"/>
      <c r="M657" s="69"/>
      <c r="N657" s="69"/>
      <c r="O657" s="69"/>
      <c r="P657" s="78"/>
      <c r="Q657" s="96"/>
      <c r="R657" s="97"/>
      <c r="S657" s="98"/>
    </row>
    <row r="658" spans="1:19" ht="42.75">
      <c r="A658" s="90" t="s">
        <v>49</v>
      </c>
      <c r="B658" s="91" t="s">
        <v>434</v>
      </c>
      <c r="C658" s="91" t="s">
        <v>2455</v>
      </c>
      <c r="D658" s="90">
        <v>1996</v>
      </c>
      <c r="E658" s="90">
        <v>1799</v>
      </c>
      <c r="F658" s="90" t="s">
        <v>1454</v>
      </c>
      <c r="G658" s="90"/>
      <c r="H658" s="93"/>
      <c r="I658" s="93"/>
      <c r="J658" s="93"/>
      <c r="K658" s="95"/>
      <c r="L658" s="69"/>
      <c r="M658" s="69"/>
      <c r="N658" s="69"/>
      <c r="O658" s="69"/>
      <c r="P658" s="78"/>
      <c r="Q658" s="96"/>
      <c r="R658" s="97"/>
      <c r="S658" s="98"/>
    </row>
    <row r="659" spans="1:19" ht="42.75">
      <c r="A659" s="90" t="s">
        <v>49</v>
      </c>
      <c r="B659" s="91" t="s">
        <v>434</v>
      </c>
      <c r="C659" s="91" t="s">
        <v>926</v>
      </c>
      <c r="D659" s="90">
        <v>16262</v>
      </c>
      <c r="E659" s="90">
        <v>15265</v>
      </c>
      <c r="F659" s="90" t="s">
        <v>1454</v>
      </c>
      <c r="G659" s="90"/>
      <c r="H659" s="93"/>
      <c r="I659" s="93"/>
      <c r="J659" s="93"/>
      <c r="K659" s="95"/>
      <c r="L659" s="69"/>
      <c r="M659" s="69"/>
      <c r="N659" s="69"/>
      <c r="O659" s="69"/>
      <c r="P659" s="78"/>
      <c r="Q659" s="96"/>
      <c r="R659" s="97"/>
      <c r="S659" s="98"/>
    </row>
    <row r="660" spans="1:19" ht="42.75">
      <c r="A660" s="142" t="s">
        <v>49</v>
      </c>
      <c r="B660" s="91" t="s">
        <v>434</v>
      </c>
      <c r="C660" s="91" t="s">
        <v>2456</v>
      </c>
      <c r="D660" s="90">
        <v>8630</v>
      </c>
      <c r="E660" s="90">
        <v>12145</v>
      </c>
      <c r="F660" s="90" t="s">
        <v>1454</v>
      </c>
      <c r="G660" s="90"/>
      <c r="H660" s="93"/>
      <c r="I660" s="93"/>
      <c r="J660" s="93"/>
      <c r="K660" s="95"/>
      <c r="L660" s="69"/>
      <c r="M660" s="69"/>
      <c r="N660" s="69"/>
      <c r="O660" s="69"/>
      <c r="P660" s="78"/>
      <c r="Q660" s="96"/>
      <c r="R660" s="97"/>
      <c r="S660" s="98"/>
    </row>
    <row r="661" spans="1:19" ht="42.75">
      <c r="A661" s="90" t="s">
        <v>49</v>
      </c>
      <c r="B661" s="91" t="s">
        <v>434</v>
      </c>
      <c r="C661" s="91" t="s">
        <v>2457</v>
      </c>
      <c r="D661" s="90">
        <v>16058</v>
      </c>
      <c r="E661" s="90">
        <v>23678</v>
      </c>
      <c r="F661" s="90" t="s">
        <v>1434</v>
      </c>
      <c r="G661" s="90">
        <v>2024</v>
      </c>
      <c r="H661" s="101">
        <v>45422</v>
      </c>
      <c r="I661" s="101">
        <v>45428</v>
      </c>
      <c r="J661" s="94" t="s">
        <v>2458</v>
      </c>
      <c r="K661" s="100">
        <v>45429</v>
      </c>
      <c r="L661" s="69" t="s">
        <v>78</v>
      </c>
      <c r="M661" s="69"/>
      <c r="N661" s="69"/>
      <c r="O661" s="69" t="s">
        <v>1436</v>
      </c>
      <c r="P661" s="78"/>
      <c r="Q661" s="96">
        <v>45429</v>
      </c>
      <c r="R661" s="97"/>
      <c r="S661" s="98"/>
    </row>
    <row r="662" spans="1:19" ht="42.75">
      <c r="A662" s="90" t="s">
        <v>49</v>
      </c>
      <c r="B662" s="91" t="s">
        <v>434</v>
      </c>
      <c r="C662" s="91" t="s">
        <v>790</v>
      </c>
      <c r="D662" s="90">
        <v>1990</v>
      </c>
      <c r="E662" s="90">
        <v>2402</v>
      </c>
      <c r="F662" s="90" t="s">
        <v>1454</v>
      </c>
      <c r="G662" s="90"/>
      <c r="H662" s="93"/>
      <c r="I662" s="93"/>
      <c r="J662" s="93"/>
      <c r="K662" s="95"/>
      <c r="L662" s="69"/>
      <c r="M662" s="69"/>
      <c r="N662" s="69"/>
      <c r="O662" s="69"/>
      <c r="P662" s="78"/>
      <c r="Q662" s="96"/>
      <c r="R662" s="97"/>
      <c r="S662" s="98"/>
    </row>
    <row r="663" spans="1:19" ht="42.75">
      <c r="A663" s="90" t="s">
        <v>49</v>
      </c>
      <c r="B663" s="91" t="s">
        <v>434</v>
      </c>
      <c r="C663" s="91" t="s">
        <v>2459</v>
      </c>
      <c r="D663" s="90">
        <v>14690</v>
      </c>
      <c r="E663" s="90">
        <v>14208</v>
      </c>
      <c r="F663" s="90" t="s">
        <v>1454</v>
      </c>
      <c r="G663" s="90"/>
      <c r="H663" s="93"/>
      <c r="I663" s="93"/>
      <c r="J663" s="93"/>
      <c r="K663" s="95"/>
      <c r="L663" s="69"/>
      <c r="M663" s="69"/>
      <c r="N663" s="69"/>
      <c r="O663" s="69"/>
      <c r="P663" s="78"/>
      <c r="Q663" s="96"/>
      <c r="R663" s="97"/>
      <c r="S663" s="98"/>
    </row>
    <row r="664" spans="1:19" ht="42.75">
      <c r="A664" s="90" t="s">
        <v>49</v>
      </c>
      <c r="B664" s="91" t="s">
        <v>437</v>
      </c>
      <c r="C664" s="91" t="s">
        <v>669</v>
      </c>
      <c r="D664" s="90">
        <v>5218</v>
      </c>
      <c r="E664" s="90">
        <v>5045</v>
      </c>
      <c r="F664" s="90" t="s">
        <v>1454</v>
      </c>
      <c r="G664" s="90"/>
      <c r="H664" s="93"/>
      <c r="I664" s="93"/>
      <c r="J664" s="93"/>
      <c r="K664" s="95"/>
      <c r="L664" s="69"/>
      <c r="M664" s="69"/>
      <c r="N664" s="69"/>
      <c r="O664" s="69"/>
      <c r="P664" s="78"/>
      <c r="Q664" s="96"/>
      <c r="R664" s="97"/>
      <c r="S664" s="98"/>
    </row>
    <row r="665" spans="1:19" ht="42.75">
      <c r="A665" s="90" t="s">
        <v>49</v>
      </c>
      <c r="B665" s="91" t="s">
        <v>437</v>
      </c>
      <c r="C665" s="91" t="s">
        <v>2460</v>
      </c>
      <c r="D665" s="90">
        <v>3164</v>
      </c>
      <c r="E665" s="90">
        <v>3238</v>
      </c>
      <c r="F665" s="90" t="s">
        <v>1454</v>
      </c>
      <c r="G665" s="90"/>
      <c r="H665" s="93"/>
      <c r="I665" s="93"/>
      <c r="J665" s="93"/>
      <c r="K665" s="95"/>
      <c r="L665" s="69"/>
      <c r="M665" s="69"/>
      <c r="N665" s="69"/>
      <c r="O665" s="69"/>
      <c r="P665" s="78"/>
      <c r="Q665" s="96"/>
      <c r="R665" s="97"/>
      <c r="S665" s="98"/>
    </row>
    <row r="666" spans="1:19" ht="42.75">
      <c r="A666" s="90" t="s">
        <v>49</v>
      </c>
      <c r="B666" s="91" t="s">
        <v>437</v>
      </c>
      <c r="C666" s="91" t="s">
        <v>2429</v>
      </c>
      <c r="D666" s="90">
        <v>2503</v>
      </c>
      <c r="E666" s="90">
        <v>2465</v>
      </c>
      <c r="F666" s="90" t="s">
        <v>1454</v>
      </c>
      <c r="G666" s="90"/>
      <c r="H666" s="93"/>
      <c r="I666" s="93"/>
      <c r="J666" s="93"/>
      <c r="K666" s="95"/>
      <c r="L666" s="69"/>
      <c r="M666" s="69"/>
      <c r="N666" s="69"/>
      <c r="O666" s="69"/>
      <c r="P666" s="78"/>
      <c r="Q666" s="96"/>
      <c r="R666" s="97"/>
      <c r="S666" s="98"/>
    </row>
    <row r="667" spans="1:19" ht="42.75">
      <c r="A667" s="90" t="s">
        <v>49</v>
      </c>
      <c r="B667" s="91" t="s">
        <v>437</v>
      </c>
      <c r="C667" s="91" t="s">
        <v>2432</v>
      </c>
      <c r="D667" s="90">
        <v>8452</v>
      </c>
      <c r="E667" s="90">
        <v>8885</v>
      </c>
      <c r="F667" s="90" t="s">
        <v>1454</v>
      </c>
      <c r="G667" s="90"/>
      <c r="H667" s="93"/>
      <c r="I667" s="93"/>
      <c r="J667" s="93"/>
      <c r="K667" s="95"/>
      <c r="L667" s="69"/>
      <c r="M667" s="69"/>
      <c r="N667" s="69"/>
      <c r="O667" s="69"/>
      <c r="P667" s="78"/>
      <c r="Q667" s="96"/>
      <c r="R667" s="97"/>
      <c r="S667" s="98"/>
    </row>
    <row r="668" spans="1:19" ht="42.75">
      <c r="A668" s="90" t="s">
        <v>49</v>
      </c>
      <c r="B668" s="91" t="s">
        <v>437</v>
      </c>
      <c r="C668" s="91" t="s">
        <v>2461</v>
      </c>
      <c r="D668" s="90">
        <v>1575</v>
      </c>
      <c r="E668" s="90">
        <v>1575</v>
      </c>
      <c r="F668" s="90" t="s">
        <v>1454</v>
      </c>
      <c r="G668" s="90"/>
      <c r="H668" s="93"/>
      <c r="I668" s="93"/>
      <c r="J668" s="93"/>
      <c r="K668" s="95"/>
      <c r="L668" s="69"/>
      <c r="M668" s="69"/>
      <c r="N668" s="69"/>
      <c r="O668" s="69"/>
      <c r="P668" s="78"/>
      <c r="Q668" s="96"/>
      <c r="R668" s="97"/>
      <c r="S668" s="98"/>
    </row>
    <row r="669" spans="1:19" ht="42.75">
      <c r="A669" s="90" t="s">
        <v>49</v>
      </c>
      <c r="B669" s="91" t="s">
        <v>437</v>
      </c>
      <c r="C669" s="91" t="s">
        <v>2462</v>
      </c>
      <c r="D669" s="90">
        <v>6866</v>
      </c>
      <c r="E669" s="90">
        <v>7078</v>
      </c>
      <c r="F669" s="90" t="s">
        <v>1434</v>
      </c>
      <c r="G669" s="90">
        <v>2024</v>
      </c>
      <c r="H669" s="101">
        <v>45450</v>
      </c>
      <c r="I669" s="101">
        <v>45460</v>
      </c>
      <c r="J669" s="94" t="s">
        <v>2463</v>
      </c>
      <c r="K669" s="100">
        <v>45463</v>
      </c>
      <c r="L669" s="69" t="s">
        <v>79</v>
      </c>
      <c r="M669" s="69"/>
      <c r="N669" s="69"/>
      <c r="O669" s="69" t="s">
        <v>1436</v>
      </c>
      <c r="P669" s="78"/>
      <c r="Q669" s="96">
        <v>45464</v>
      </c>
      <c r="R669" s="97"/>
      <c r="S669" s="98"/>
    </row>
    <row r="670" spans="1:19" ht="42.75">
      <c r="A670" s="90" t="s">
        <v>49</v>
      </c>
      <c r="B670" s="91" t="s">
        <v>437</v>
      </c>
      <c r="C670" s="91" t="s">
        <v>2464</v>
      </c>
      <c r="D670" s="90">
        <v>3458</v>
      </c>
      <c r="E670" s="90">
        <v>3448</v>
      </c>
      <c r="F670" s="90" t="s">
        <v>1454</v>
      </c>
      <c r="G670" s="90"/>
      <c r="H670" s="93"/>
      <c r="I670" s="93"/>
      <c r="J670" s="93"/>
      <c r="K670" s="95"/>
      <c r="L670" s="69"/>
      <c r="M670" s="69"/>
      <c r="N670" s="69"/>
      <c r="O670" s="69"/>
      <c r="P670" s="78"/>
      <c r="Q670" s="96"/>
      <c r="R670" s="97"/>
      <c r="S670" s="98"/>
    </row>
    <row r="671" spans="1:19" ht="42.75">
      <c r="A671" s="90" t="s">
        <v>49</v>
      </c>
      <c r="B671" s="91" t="s">
        <v>437</v>
      </c>
      <c r="C671" s="91" t="s">
        <v>2465</v>
      </c>
      <c r="D671" s="90">
        <v>6113</v>
      </c>
      <c r="E671" s="90">
        <v>5500</v>
      </c>
      <c r="F671" s="90" t="s">
        <v>1454</v>
      </c>
      <c r="G671" s="90"/>
      <c r="H671" s="93"/>
      <c r="I671" s="93"/>
      <c r="J671" s="93"/>
      <c r="K671" s="95"/>
      <c r="L671" s="69"/>
      <c r="M671" s="69"/>
      <c r="N671" s="69"/>
      <c r="O671" s="69"/>
      <c r="P671" s="78"/>
      <c r="Q671" s="96"/>
      <c r="R671" s="97"/>
      <c r="S671" s="98"/>
    </row>
    <row r="672" spans="1:19" ht="42.75">
      <c r="A672" s="90" t="s">
        <v>49</v>
      </c>
      <c r="B672" s="91" t="s">
        <v>437</v>
      </c>
      <c r="C672" s="91" t="s">
        <v>770</v>
      </c>
      <c r="D672" s="90">
        <v>12763</v>
      </c>
      <c r="E672" s="90">
        <v>13122</v>
      </c>
      <c r="F672" s="90" t="s">
        <v>1454</v>
      </c>
      <c r="G672" s="90"/>
      <c r="H672" s="93"/>
      <c r="I672" s="93"/>
      <c r="J672" s="93"/>
      <c r="K672" s="95"/>
      <c r="L672" s="69"/>
      <c r="M672" s="69"/>
      <c r="N672" s="69"/>
      <c r="O672" s="69"/>
      <c r="P672" s="78"/>
      <c r="Q672" s="96"/>
      <c r="R672" s="97"/>
      <c r="S672" s="98"/>
    </row>
    <row r="673" spans="1:19" ht="42.75">
      <c r="A673" s="90" t="s">
        <v>49</v>
      </c>
      <c r="B673" s="91" t="s">
        <v>437</v>
      </c>
      <c r="C673" s="91" t="s">
        <v>694</v>
      </c>
      <c r="D673" s="90">
        <v>7228</v>
      </c>
      <c r="E673" s="90">
        <v>7769</v>
      </c>
      <c r="F673" s="90" t="s">
        <v>1454</v>
      </c>
      <c r="G673" s="90"/>
      <c r="H673" s="93"/>
      <c r="I673" s="93"/>
      <c r="J673" s="93"/>
      <c r="K673" s="95"/>
      <c r="L673" s="69"/>
      <c r="M673" s="69"/>
      <c r="N673" s="69"/>
      <c r="O673" s="69"/>
      <c r="P673" s="78"/>
      <c r="Q673" s="96"/>
      <c r="R673" s="97"/>
      <c r="S673" s="98"/>
    </row>
    <row r="674" spans="1:19" ht="42.75">
      <c r="A674" s="90" t="s">
        <v>49</v>
      </c>
      <c r="B674" s="91" t="s">
        <v>437</v>
      </c>
      <c r="C674" s="91" t="s">
        <v>771</v>
      </c>
      <c r="D674" s="90">
        <v>1857</v>
      </c>
      <c r="E674" s="90">
        <v>1853</v>
      </c>
      <c r="F674" s="90" t="s">
        <v>1434</v>
      </c>
      <c r="G674" s="90">
        <v>2024</v>
      </c>
      <c r="H674" s="101">
        <v>45450</v>
      </c>
      <c r="I674" s="101">
        <v>45460</v>
      </c>
      <c r="J674" s="94" t="s">
        <v>2466</v>
      </c>
      <c r="K674" s="100">
        <v>45463</v>
      </c>
      <c r="L674" s="69" t="s">
        <v>79</v>
      </c>
      <c r="M674" s="69"/>
      <c r="N674" s="69"/>
      <c r="O674" s="69"/>
      <c r="P674" s="78"/>
      <c r="Q674" s="96">
        <v>45464</v>
      </c>
      <c r="R674" s="97"/>
      <c r="S674" s="98"/>
    </row>
    <row r="675" spans="1:19" ht="42.75">
      <c r="A675" s="90" t="s">
        <v>49</v>
      </c>
      <c r="B675" s="91" t="s">
        <v>499</v>
      </c>
      <c r="C675" s="91" t="s">
        <v>2418</v>
      </c>
      <c r="D675" s="90">
        <v>2327</v>
      </c>
      <c r="E675" s="90">
        <v>2445</v>
      </c>
      <c r="F675" s="90" t="s">
        <v>1454</v>
      </c>
      <c r="G675" s="90"/>
      <c r="H675" s="93"/>
      <c r="I675" s="93"/>
      <c r="J675" s="93"/>
      <c r="K675" s="95"/>
      <c r="L675" s="69"/>
      <c r="M675" s="69"/>
      <c r="N675" s="69"/>
      <c r="O675" s="69"/>
      <c r="P675" s="78"/>
      <c r="Q675" s="96"/>
      <c r="R675" s="97"/>
      <c r="S675" s="98"/>
    </row>
    <row r="676" spans="1:19" ht="42.75">
      <c r="A676" s="90" t="s">
        <v>49</v>
      </c>
      <c r="B676" s="91" t="s">
        <v>499</v>
      </c>
      <c r="C676" s="91" t="s">
        <v>2467</v>
      </c>
      <c r="D676" s="90">
        <v>10857</v>
      </c>
      <c r="E676" s="90">
        <v>15340</v>
      </c>
      <c r="F676" s="90" t="s">
        <v>1434</v>
      </c>
      <c r="G676" s="90">
        <v>2024</v>
      </c>
      <c r="H676" s="92">
        <v>45343</v>
      </c>
      <c r="I676" s="93"/>
      <c r="J676" s="94" t="s">
        <v>2468</v>
      </c>
      <c r="K676" s="95"/>
      <c r="L676" s="69" t="s">
        <v>75</v>
      </c>
      <c r="M676" s="69"/>
      <c r="N676" s="69"/>
      <c r="O676" s="69"/>
      <c r="P676" s="78"/>
      <c r="Q676" s="96"/>
      <c r="R676" s="97"/>
      <c r="S676" s="98"/>
    </row>
    <row r="677" spans="1:19" ht="42.75">
      <c r="A677" s="142" t="s">
        <v>49</v>
      </c>
      <c r="B677" s="91" t="s">
        <v>499</v>
      </c>
      <c r="C677" s="91" t="s">
        <v>2469</v>
      </c>
      <c r="D677" s="90">
        <v>2416</v>
      </c>
      <c r="E677" s="90">
        <v>2451</v>
      </c>
      <c r="F677" s="90" t="s">
        <v>1454</v>
      </c>
      <c r="G677" s="90"/>
      <c r="H677" s="93"/>
      <c r="I677" s="93"/>
      <c r="J677" s="93"/>
      <c r="K677" s="95"/>
      <c r="L677" s="69"/>
      <c r="M677" s="69"/>
      <c r="N677" s="69"/>
      <c r="O677" s="69"/>
      <c r="P677" s="78"/>
      <c r="Q677" s="96"/>
      <c r="R677" s="97"/>
      <c r="S677" s="98"/>
    </row>
    <row r="678" spans="1:19" ht="42.75">
      <c r="A678" s="90" t="s">
        <v>49</v>
      </c>
      <c r="B678" s="91" t="s">
        <v>499</v>
      </c>
      <c r="C678" s="91" t="s">
        <v>2470</v>
      </c>
      <c r="D678" s="90">
        <v>4607</v>
      </c>
      <c r="E678" s="90">
        <v>5326</v>
      </c>
      <c r="F678" s="90" t="s">
        <v>1454</v>
      </c>
      <c r="G678" s="90"/>
      <c r="H678" s="93"/>
      <c r="I678" s="93"/>
      <c r="J678" s="93"/>
      <c r="K678" s="95"/>
      <c r="L678" s="69"/>
      <c r="M678" s="69"/>
      <c r="N678" s="69"/>
      <c r="O678" s="69"/>
      <c r="P678" s="78"/>
      <c r="Q678" s="96"/>
      <c r="R678" s="97"/>
      <c r="S678" s="98"/>
    </row>
    <row r="679" spans="1:19" ht="42.75">
      <c r="A679" s="90" t="s">
        <v>49</v>
      </c>
      <c r="B679" s="91" t="s">
        <v>499</v>
      </c>
      <c r="C679" s="91" t="s">
        <v>2471</v>
      </c>
      <c r="D679" s="90">
        <v>3404</v>
      </c>
      <c r="E679" s="90">
        <v>3651</v>
      </c>
      <c r="F679" s="90" t="s">
        <v>1434</v>
      </c>
      <c r="G679" s="90">
        <v>2024</v>
      </c>
      <c r="H679" s="101">
        <v>45537</v>
      </c>
      <c r="I679" s="101">
        <v>45540</v>
      </c>
      <c r="J679" s="94" t="s">
        <v>2472</v>
      </c>
      <c r="K679" s="100">
        <v>45552</v>
      </c>
      <c r="L679" s="69" t="s">
        <v>82</v>
      </c>
      <c r="M679" s="69" t="s">
        <v>4</v>
      </c>
      <c r="N679" s="69" t="s">
        <v>101</v>
      </c>
      <c r="O679" s="69" t="s">
        <v>1436</v>
      </c>
      <c r="P679" s="78"/>
      <c r="Q679" s="70">
        <v>45552</v>
      </c>
      <c r="R679" s="97" t="s">
        <v>2473</v>
      </c>
      <c r="S679" s="98"/>
    </row>
    <row r="680" spans="1:19" ht="42.75">
      <c r="A680" s="90" t="s">
        <v>49</v>
      </c>
      <c r="B680" s="91" t="s">
        <v>499</v>
      </c>
      <c r="C680" s="91" t="s">
        <v>2474</v>
      </c>
      <c r="D680" s="90">
        <v>1434</v>
      </c>
      <c r="E680" s="90">
        <v>14638</v>
      </c>
      <c r="F680" s="90" t="s">
        <v>1454</v>
      </c>
      <c r="G680" s="90"/>
      <c r="H680" s="93"/>
      <c r="I680" s="93"/>
      <c r="J680" s="93"/>
      <c r="K680" s="95"/>
      <c r="L680" s="69"/>
      <c r="M680" s="69"/>
      <c r="N680" s="69"/>
      <c r="O680" s="69"/>
      <c r="P680" s="78"/>
      <c r="Q680" s="96"/>
      <c r="R680" s="97"/>
      <c r="S680" s="98"/>
    </row>
    <row r="681" spans="1:19" ht="42.75">
      <c r="A681" s="90" t="s">
        <v>49</v>
      </c>
      <c r="B681" s="91" t="s">
        <v>499</v>
      </c>
      <c r="C681" s="91" t="s">
        <v>740</v>
      </c>
      <c r="D681" s="90">
        <v>6193</v>
      </c>
      <c r="E681" s="90">
        <v>12494</v>
      </c>
      <c r="F681" s="90" t="s">
        <v>1454</v>
      </c>
      <c r="G681" s="90"/>
      <c r="H681" s="93"/>
      <c r="I681" s="93"/>
      <c r="J681" s="93"/>
      <c r="K681" s="95"/>
      <c r="L681" s="69"/>
      <c r="M681" s="69"/>
      <c r="N681" s="69"/>
      <c r="O681" s="69"/>
      <c r="P681" s="78"/>
      <c r="Q681" s="96"/>
      <c r="R681" s="97"/>
      <c r="S681" s="98"/>
    </row>
    <row r="682" spans="1:19" ht="42.75">
      <c r="A682" s="90" t="s">
        <v>49</v>
      </c>
      <c r="B682" s="91" t="s">
        <v>499</v>
      </c>
      <c r="C682" s="91" t="s">
        <v>2475</v>
      </c>
      <c r="D682" s="90">
        <v>2719</v>
      </c>
      <c r="E682" s="90">
        <v>2965</v>
      </c>
      <c r="F682" s="90" t="s">
        <v>1454</v>
      </c>
      <c r="G682" s="90"/>
      <c r="H682" s="93"/>
      <c r="I682" s="93"/>
      <c r="J682" s="93"/>
      <c r="K682" s="95"/>
      <c r="L682" s="69"/>
      <c r="M682" s="69"/>
      <c r="N682" s="69"/>
      <c r="O682" s="69"/>
      <c r="P682" s="78"/>
      <c r="Q682" s="96"/>
      <c r="R682" s="97"/>
      <c r="S682" s="98"/>
    </row>
    <row r="683" spans="1:19" ht="42.75">
      <c r="A683" s="90" t="s">
        <v>49</v>
      </c>
      <c r="B683" s="91" t="s">
        <v>499</v>
      </c>
      <c r="C683" s="91" t="s">
        <v>2476</v>
      </c>
      <c r="D683" s="90">
        <v>2387</v>
      </c>
      <c r="E683" s="90">
        <v>2578</v>
      </c>
      <c r="F683" s="90" t="s">
        <v>1454</v>
      </c>
      <c r="G683" s="90"/>
      <c r="H683" s="93"/>
      <c r="I683" s="93"/>
      <c r="J683" s="93"/>
      <c r="K683" s="95"/>
      <c r="L683" s="69"/>
      <c r="M683" s="69"/>
      <c r="N683" s="69"/>
      <c r="O683" s="69"/>
      <c r="P683" s="78"/>
      <c r="Q683" s="96"/>
      <c r="R683" s="97"/>
      <c r="S683" s="98"/>
    </row>
    <row r="684" spans="1:19" ht="42.75">
      <c r="A684" s="90" t="s">
        <v>49</v>
      </c>
      <c r="B684" s="91" t="s">
        <v>499</v>
      </c>
      <c r="C684" s="91" t="s">
        <v>2477</v>
      </c>
      <c r="D684" s="90">
        <v>6296</v>
      </c>
      <c r="E684" s="90">
        <v>6813</v>
      </c>
      <c r="F684" s="90" t="s">
        <v>1454</v>
      </c>
      <c r="G684" s="90"/>
      <c r="H684" s="93"/>
      <c r="I684" s="93"/>
      <c r="J684" s="93"/>
      <c r="K684" s="95"/>
      <c r="L684" s="69"/>
      <c r="M684" s="69"/>
      <c r="N684" s="69"/>
      <c r="O684" s="69"/>
      <c r="P684" s="78"/>
      <c r="Q684" s="96"/>
      <c r="R684" s="97"/>
      <c r="S684" s="98"/>
    </row>
    <row r="685" spans="1:19" ht="42.75">
      <c r="A685" s="90" t="s">
        <v>49</v>
      </c>
      <c r="B685" s="91" t="s">
        <v>499</v>
      </c>
      <c r="C685" s="91" t="s">
        <v>2478</v>
      </c>
      <c r="D685" s="90">
        <v>3047</v>
      </c>
      <c r="E685" s="90">
        <v>3153</v>
      </c>
      <c r="F685" s="90" t="s">
        <v>1434</v>
      </c>
      <c r="G685" s="90">
        <v>2024</v>
      </c>
      <c r="H685" s="101">
        <v>45540</v>
      </c>
      <c r="I685" s="101">
        <v>45540</v>
      </c>
      <c r="J685" s="94" t="s">
        <v>2479</v>
      </c>
      <c r="K685" s="100">
        <v>45552</v>
      </c>
      <c r="L685" s="69" t="s">
        <v>82</v>
      </c>
      <c r="M685" s="69" t="s">
        <v>4</v>
      </c>
      <c r="N685" s="69" t="s">
        <v>101</v>
      </c>
      <c r="O685" s="69" t="s">
        <v>1436</v>
      </c>
      <c r="P685" s="78"/>
      <c r="Q685" s="70">
        <v>45552</v>
      </c>
      <c r="R685" s="97" t="s">
        <v>2473</v>
      </c>
      <c r="S685" s="98"/>
    </row>
    <row r="686" spans="1:19" ht="42.75">
      <c r="A686" s="90" t="s">
        <v>49</v>
      </c>
      <c r="B686" s="91" t="s">
        <v>499</v>
      </c>
      <c r="C686" s="91" t="s">
        <v>772</v>
      </c>
      <c r="D686" s="90">
        <v>8775</v>
      </c>
      <c r="E686" s="90">
        <v>30233</v>
      </c>
      <c r="F686" s="90" t="s">
        <v>1454</v>
      </c>
      <c r="G686" s="90"/>
      <c r="H686" s="93"/>
      <c r="I686" s="93"/>
      <c r="J686" s="93"/>
      <c r="K686" s="95"/>
      <c r="L686" s="69"/>
      <c r="M686" s="69"/>
      <c r="N686" s="69"/>
      <c r="O686" s="69"/>
      <c r="P686" s="78"/>
      <c r="Q686" s="96"/>
      <c r="R686" s="97"/>
      <c r="S686" s="98"/>
    </row>
    <row r="687" spans="1:19" ht="42.75">
      <c r="A687" s="90" t="s">
        <v>49</v>
      </c>
      <c r="B687" s="91" t="s">
        <v>499</v>
      </c>
      <c r="C687" s="91" t="s">
        <v>2480</v>
      </c>
      <c r="D687" s="90">
        <v>2496</v>
      </c>
      <c r="E687" s="90">
        <v>2938</v>
      </c>
      <c r="F687" s="90" t="s">
        <v>1454</v>
      </c>
      <c r="G687" s="90"/>
      <c r="H687" s="93"/>
      <c r="I687" s="93"/>
      <c r="J687" s="93"/>
      <c r="K687" s="95"/>
      <c r="L687" s="69"/>
      <c r="M687" s="69"/>
      <c r="N687" s="69"/>
      <c r="O687" s="69"/>
      <c r="P687" s="78"/>
      <c r="Q687" s="96"/>
      <c r="R687" s="97"/>
      <c r="S687" s="98"/>
    </row>
    <row r="688" spans="1:19" ht="42.75">
      <c r="A688" s="90" t="s">
        <v>49</v>
      </c>
      <c r="B688" s="91" t="s">
        <v>499</v>
      </c>
      <c r="C688" s="91" t="s">
        <v>2481</v>
      </c>
      <c r="D688" s="90">
        <v>3240</v>
      </c>
      <c r="E688" s="90">
        <v>8312</v>
      </c>
      <c r="F688" s="90" t="s">
        <v>1454</v>
      </c>
      <c r="G688" s="90"/>
      <c r="H688" s="93"/>
      <c r="I688" s="93"/>
      <c r="J688" s="93"/>
      <c r="K688" s="95"/>
      <c r="L688" s="69"/>
      <c r="M688" s="69"/>
      <c r="N688" s="69"/>
      <c r="O688" s="69"/>
      <c r="P688" s="78"/>
      <c r="Q688" s="96"/>
      <c r="R688" s="97"/>
      <c r="S688" s="98"/>
    </row>
    <row r="689" spans="1:19" ht="42.75">
      <c r="A689" s="90" t="s">
        <v>49</v>
      </c>
      <c r="B689" s="91" t="s">
        <v>499</v>
      </c>
      <c r="C689" s="91" t="s">
        <v>2482</v>
      </c>
      <c r="D689" s="90">
        <v>4013</v>
      </c>
      <c r="E689" s="90">
        <v>6899</v>
      </c>
      <c r="F689" s="90" t="s">
        <v>1454</v>
      </c>
      <c r="G689" s="90"/>
      <c r="H689" s="93"/>
      <c r="I689" s="93"/>
      <c r="J689" s="93"/>
      <c r="K689" s="95"/>
      <c r="L689" s="69"/>
      <c r="M689" s="69"/>
      <c r="N689" s="69"/>
      <c r="O689" s="69"/>
      <c r="P689" s="78"/>
      <c r="Q689" s="96"/>
      <c r="R689" s="97"/>
      <c r="S689" s="98"/>
    </row>
    <row r="690" spans="1:19" ht="42.75">
      <c r="A690" s="90" t="s">
        <v>49</v>
      </c>
      <c r="B690" s="91" t="s">
        <v>499</v>
      </c>
      <c r="C690" s="91" t="s">
        <v>926</v>
      </c>
      <c r="D690" s="90">
        <v>7764</v>
      </c>
      <c r="E690" s="90">
        <v>8679</v>
      </c>
      <c r="F690" s="90" t="s">
        <v>1434</v>
      </c>
      <c r="G690" s="90">
        <v>2024</v>
      </c>
      <c r="H690" s="92">
        <v>45343</v>
      </c>
      <c r="I690" s="93"/>
      <c r="J690" s="94" t="s">
        <v>2483</v>
      </c>
      <c r="K690" s="95"/>
      <c r="L690" s="69" t="s">
        <v>75</v>
      </c>
      <c r="M690" s="69"/>
      <c r="N690" s="69"/>
      <c r="O690" s="69"/>
      <c r="P690" s="78"/>
      <c r="Q690" s="96"/>
      <c r="R690" s="97"/>
      <c r="S690" s="98"/>
    </row>
    <row r="691" spans="1:19" ht="42.75">
      <c r="A691" s="90" t="s">
        <v>49</v>
      </c>
      <c r="B691" s="91" t="s">
        <v>499</v>
      </c>
      <c r="C691" s="91" t="s">
        <v>2484</v>
      </c>
      <c r="D691" s="90">
        <v>3421</v>
      </c>
      <c r="E691" s="90">
        <v>4660</v>
      </c>
      <c r="F691" s="90" t="s">
        <v>1454</v>
      </c>
      <c r="G691" s="90"/>
      <c r="H691" s="93"/>
      <c r="I691" s="93"/>
      <c r="J691" s="93"/>
      <c r="K691" s="95"/>
      <c r="L691" s="69"/>
      <c r="M691" s="69"/>
      <c r="N691" s="69"/>
      <c r="O691" s="69"/>
      <c r="P691" s="78"/>
      <c r="Q691" s="96"/>
      <c r="R691" s="97"/>
      <c r="S691" s="98"/>
    </row>
    <row r="692" spans="1:19" ht="42.75">
      <c r="A692" s="90" t="s">
        <v>49</v>
      </c>
      <c r="B692" s="91" t="s">
        <v>499</v>
      </c>
      <c r="C692" s="91" t="s">
        <v>2234</v>
      </c>
      <c r="D692" s="90">
        <v>2676</v>
      </c>
      <c r="E692" s="90">
        <v>2894</v>
      </c>
      <c r="F692" s="90" t="s">
        <v>1454</v>
      </c>
      <c r="G692" s="90"/>
      <c r="H692" s="93"/>
      <c r="I692" s="93"/>
      <c r="J692" s="93"/>
      <c r="K692" s="95"/>
      <c r="L692" s="69"/>
      <c r="M692" s="69"/>
      <c r="N692" s="69"/>
      <c r="O692" s="69"/>
      <c r="P692" s="78"/>
      <c r="Q692" s="96"/>
      <c r="R692" s="97"/>
      <c r="S692" s="98"/>
    </row>
    <row r="693" spans="1:19" ht="42.75">
      <c r="A693" s="90" t="s">
        <v>49</v>
      </c>
      <c r="B693" s="91" t="s">
        <v>499</v>
      </c>
      <c r="C693" s="91" t="s">
        <v>773</v>
      </c>
      <c r="D693" s="90">
        <v>4875</v>
      </c>
      <c r="E693" s="90">
        <v>12578</v>
      </c>
      <c r="F693" s="90" t="s">
        <v>1454</v>
      </c>
      <c r="G693" s="90"/>
      <c r="H693" s="93"/>
      <c r="I693" s="93"/>
      <c r="J693" s="93"/>
      <c r="K693" s="95"/>
      <c r="L693" s="69"/>
      <c r="M693" s="69"/>
      <c r="N693" s="69"/>
      <c r="O693" s="69"/>
      <c r="P693" s="78"/>
      <c r="Q693" s="96"/>
      <c r="R693" s="97"/>
      <c r="S693" s="98"/>
    </row>
    <row r="694" spans="1:19" ht="42.75">
      <c r="A694" s="90" t="s">
        <v>49</v>
      </c>
      <c r="B694" s="91" t="s">
        <v>499</v>
      </c>
      <c r="C694" s="91" t="s">
        <v>2485</v>
      </c>
      <c r="D694" s="90">
        <v>3679</v>
      </c>
      <c r="E694" s="90">
        <v>3560</v>
      </c>
      <c r="F694" s="90" t="s">
        <v>1454</v>
      </c>
      <c r="G694" s="90"/>
      <c r="H694" s="93"/>
      <c r="I694" s="93"/>
      <c r="J694" s="93"/>
      <c r="K694" s="95"/>
      <c r="L694" s="69"/>
      <c r="M694" s="69"/>
      <c r="N694" s="69"/>
      <c r="O694" s="69"/>
      <c r="P694" s="78"/>
      <c r="Q694" s="96"/>
      <c r="R694" s="97"/>
      <c r="S694" s="98"/>
    </row>
    <row r="695" spans="1:19" ht="42.75">
      <c r="A695" s="90" t="s">
        <v>49</v>
      </c>
      <c r="B695" s="91" t="s">
        <v>499</v>
      </c>
      <c r="C695" s="91" t="s">
        <v>2486</v>
      </c>
      <c r="D695" s="90">
        <v>848</v>
      </c>
      <c r="E695" s="90">
        <v>759</v>
      </c>
      <c r="F695" s="90" t="s">
        <v>1454</v>
      </c>
      <c r="G695" s="90"/>
      <c r="H695" s="93"/>
      <c r="I695" s="93"/>
      <c r="J695" s="93"/>
      <c r="K695" s="95"/>
      <c r="L695" s="69"/>
      <c r="M695" s="69"/>
      <c r="N695" s="69"/>
      <c r="O695" s="69"/>
      <c r="P695" s="78"/>
      <c r="Q695" s="96"/>
      <c r="R695" s="97"/>
      <c r="S695" s="98"/>
    </row>
    <row r="696" spans="1:19" ht="42.75">
      <c r="A696" s="90" t="s">
        <v>49</v>
      </c>
      <c r="B696" s="91" t="s">
        <v>499</v>
      </c>
      <c r="C696" s="91" t="s">
        <v>1879</v>
      </c>
      <c r="D696" s="90">
        <v>1601</v>
      </c>
      <c r="E696" s="90">
        <v>1749</v>
      </c>
      <c r="F696" s="90" t="s">
        <v>1454</v>
      </c>
      <c r="G696" s="90"/>
      <c r="H696" s="93"/>
      <c r="I696" s="93"/>
      <c r="J696" s="93"/>
      <c r="K696" s="95"/>
      <c r="L696" s="69"/>
      <c r="M696" s="69"/>
      <c r="N696" s="69"/>
      <c r="O696" s="69"/>
      <c r="P696" s="78"/>
      <c r="Q696" s="96"/>
      <c r="R696" s="97"/>
      <c r="S696" s="98"/>
    </row>
    <row r="697" spans="1:19" ht="42.75">
      <c r="A697" s="90" t="s">
        <v>49</v>
      </c>
      <c r="B697" s="91" t="s">
        <v>501</v>
      </c>
      <c r="C697" s="91" t="s">
        <v>2487</v>
      </c>
      <c r="D697" s="90">
        <v>1582</v>
      </c>
      <c r="E697" s="90">
        <v>1886</v>
      </c>
      <c r="F697" s="90" t="s">
        <v>1454</v>
      </c>
      <c r="G697" s="90"/>
      <c r="H697" s="93"/>
      <c r="I697" s="93"/>
      <c r="J697" s="93"/>
      <c r="K697" s="95"/>
      <c r="L697" s="69"/>
      <c r="M697" s="69"/>
      <c r="N697" s="69"/>
      <c r="O697" s="69"/>
      <c r="P697" s="78"/>
      <c r="Q697" s="96"/>
      <c r="R697" s="97"/>
      <c r="S697" s="98"/>
    </row>
    <row r="698" spans="1:19" ht="42.75">
      <c r="A698" s="90" t="s">
        <v>49</v>
      </c>
      <c r="B698" s="91" t="s">
        <v>501</v>
      </c>
      <c r="C698" s="91" t="s">
        <v>2488</v>
      </c>
      <c r="D698" s="90">
        <v>4262</v>
      </c>
      <c r="E698" s="90">
        <v>4708</v>
      </c>
      <c r="F698" s="90" t="s">
        <v>1454</v>
      </c>
      <c r="G698" s="90"/>
      <c r="H698" s="93"/>
      <c r="I698" s="93"/>
      <c r="J698" s="93"/>
      <c r="K698" s="95"/>
      <c r="L698" s="69"/>
      <c r="M698" s="69"/>
      <c r="N698" s="69"/>
      <c r="O698" s="69"/>
      <c r="P698" s="78"/>
      <c r="Q698" s="96"/>
      <c r="R698" s="97"/>
      <c r="S698" s="98"/>
    </row>
    <row r="699" spans="1:19" ht="42.75">
      <c r="A699" s="90" t="s">
        <v>49</v>
      </c>
      <c r="B699" s="91" t="s">
        <v>501</v>
      </c>
      <c r="C699" s="91" t="s">
        <v>2489</v>
      </c>
      <c r="D699" s="90">
        <v>1439</v>
      </c>
      <c r="E699" s="90">
        <v>1423</v>
      </c>
      <c r="F699" s="90" t="s">
        <v>1454</v>
      </c>
      <c r="G699" s="90"/>
      <c r="H699" s="93"/>
      <c r="I699" s="93"/>
      <c r="J699" s="93"/>
      <c r="K699" s="95"/>
      <c r="L699" s="69"/>
      <c r="M699" s="69"/>
      <c r="N699" s="69"/>
      <c r="O699" s="69"/>
      <c r="P699" s="78"/>
      <c r="Q699" s="96"/>
      <c r="R699" s="97"/>
      <c r="S699" s="98"/>
    </row>
    <row r="700" spans="1:19" ht="42.75">
      <c r="A700" s="90" t="s">
        <v>49</v>
      </c>
      <c r="B700" s="91" t="s">
        <v>501</v>
      </c>
      <c r="C700" s="91" t="s">
        <v>2490</v>
      </c>
      <c r="D700" s="90">
        <v>1545</v>
      </c>
      <c r="E700" s="90">
        <v>1389</v>
      </c>
      <c r="F700" s="90" t="s">
        <v>1454</v>
      </c>
      <c r="G700" s="90"/>
      <c r="H700" s="93"/>
      <c r="I700" s="93"/>
      <c r="J700" s="93"/>
      <c r="K700" s="95"/>
      <c r="L700" s="69"/>
      <c r="M700" s="69"/>
      <c r="N700" s="69"/>
      <c r="O700" s="69"/>
      <c r="P700" s="78"/>
      <c r="Q700" s="96"/>
      <c r="R700" s="97"/>
      <c r="S700" s="98"/>
    </row>
    <row r="701" spans="1:19" ht="42.75">
      <c r="A701" s="90" t="s">
        <v>49</v>
      </c>
      <c r="B701" s="91" t="s">
        <v>501</v>
      </c>
      <c r="C701" s="91" t="s">
        <v>2491</v>
      </c>
      <c r="D701" s="90">
        <v>3163</v>
      </c>
      <c r="E701" s="90">
        <v>3253</v>
      </c>
      <c r="F701" s="90" t="s">
        <v>1454</v>
      </c>
      <c r="G701" s="90"/>
      <c r="H701" s="93"/>
      <c r="I701" s="93"/>
      <c r="J701" s="93"/>
      <c r="K701" s="95"/>
      <c r="L701" s="69"/>
      <c r="M701" s="69"/>
      <c r="N701" s="69"/>
      <c r="O701" s="69"/>
      <c r="P701" s="78"/>
      <c r="Q701" s="96"/>
      <c r="R701" s="97"/>
      <c r="S701" s="98"/>
    </row>
    <row r="702" spans="1:19" ht="42.75">
      <c r="A702" s="90" t="s">
        <v>49</v>
      </c>
      <c r="B702" s="91" t="s">
        <v>501</v>
      </c>
      <c r="C702" s="91" t="s">
        <v>926</v>
      </c>
      <c r="D702" s="90">
        <v>1194</v>
      </c>
      <c r="E702" s="90">
        <v>1462</v>
      </c>
      <c r="F702" s="90" t="s">
        <v>1434</v>
      </c>
      <c r="G702" s="90">
        <v>2024</v>
      </c>
      <c r="H702" s="101">
        <v>45450</v>
      </c>
      <c r="I702" s="101">
        <v>45450</v>
      </c>
      <c r="J702" s="94" t="s">
        <v>2492</v>
      </c>
      <c r="K702" s="95" t="s">
        <v>2370</v>
      </c>
      <c r="L702" s="69" t="s">
        <v>79</v>
      </c>
      <c r="M702" s="69"/>
      <c r="N702" s="69"/>
      <c r="O702" s="69" t="s">
        <v>1436</v>
      </c>
      <c r="P702" s="78"/>
      <c r="Q702" s="96">
        <v>45462</v>
      </c>
      <c r="R702" s="97"/>
      <c r="S702" s="98"/>
    </row>
    <row r="703" spans="1:19" ht="42.75">
      <c r="A703" s="90" t="s">
        <v>49</v>
      </c>
      <c r="B703" s="91" t="s">
        <v>501</v>
      </c>
      <c r="C703" s="91" t="s">
        <v>2493</v>
      </c>
      <c r="D703" s="90">
        <v>3641</v>
      </c>
      <c r="E703" s="90">
        <v>3427</v>
      </c>
      <c r="F703" s="90" t="s">
        <v>1454</v>
      </c>
      <c r="G703" s="90"/>
      <c r="H703" s="93"/>
      <c r="I703" s="93"/>
      <c r="J703" s="93"/>
      <c r="K703" s="95"/>
      <c r="L703" s="69"/>
      <c r="M703" s="69"/>
      <c r="N703" s="69"/>
      <c r="O703" s="69"/>
      <c r="P703" s="78"/>
      <c r="Q703" s="96"/>
      <c r="R703" s="97"/>
      <c r="S703" s="98"/>
    </row>
    <row r="704" spans="1:19" ht="42.75">
      <c r="A704" s="90" t="s">
        <v>49</v>
      </c>
      <c r="B704" s="91" t="s">
        <v>501</v>
      </c>
      <c r="C704" s="91" t="s">
        <v>774</v>
      </c>
      <c r="D704" s="90">
        <v>11177</v>
      </c>
      <c r="E704" s="90">
        <v>12011</v>
      </c>
      <c r="F704" s="90" t="s">
        <v>1434</v>
      </c>
      <c r="G704" s="90">
        <v>2024</v>
      </c>
      <c r="H704" s="101">
        <v>45484</v>
      </c>
      <c r="I704" s="101">
        <v>45484</v>
      </c>
      <c r="J704" s="94" t="s">
        <v>2494</v>
      </c>
      <c r="K704" s="100">
        <v>45489</v>
      </c>
      <c r="L704" s="69" t="s">
        <v>80</v>
      </c>
      <c r="M704" s="69" t="s">
        <v>4</v>
      </c>
      <c r="N704" s="69" t="s">
        <v>101</v>
      </c>
      <c r="O704" s="69" t="s">
        <v>1436</v>
      </c>
      <c r="P704" s="78"/>
      <c r="Q704" s="96">
        <v>45490</v>
      </c>
      <c r="R704" s="97"/>
      <c r="S704" s="98"/>
    </row>
    <row r="705" spans="1:19" ht="42.75">
      <c r="A705" s="90" t="s">
        <v>49</v>
      </c>
      <c r="B705" s="91" t="s">
        <v>501</v>
      </c>
      <c r="C705" s="91" t="s">
        <v>427</v>
      </c>
      <c r="D705" s="90">
        <v>5211</v>
      </c>
      <c r="E705" s="90">
        <v>5209</v>
      </c>
      <c r="F705" s="90" t="s">
        <v>1454</v>
      </c>
      <c r="G705" s="90"/>
      <c r="H705" s="93"/>
      <c r="I705" s="93"/>
      <c r="J705" s="93"/>
      <c r="K705" s="95"/>
      <c r="L705" s="69"/>
      <c r="M705" s="69"/>
      <c r="N705" s="69"/>
      <c r="O705" s="69"/>
      <c r="P705" s="78"/>
      <c r="Q705" s="96"/>
      <c r="R705" s="97"/>
      <c r="S705" s="98"/>
    </row>
    <row r="706" spans="1:19" ht="42.75">
      <c r="A706" s="90" t="s">
        <v>49</v>
      </c>
      <c r="B706" s="91" t="s">
        <v>501</v>
      </c>
      <c r="C706" s="91" t="s">
        <v>2234</v>
      </c>
      <c r="D706" s="90">
        <v>4847</v>
      </c>
      <c r="E706" s="90">
        <v>4810</v>
      </c>
      <c r="F706" s="90" t="s">
        <v>1454</v>
      </c>
      <c r="G706" s="90"/>
      <c r="H706" s="93"/>
      <c r="I706" s="93"/>
      <c r="J706" s="93"/>
      <c r="K706" s="95"/>
      <c r="L706" s="69"/>
      <c r="M706" s="69"/>
      <c r="N706" s="69"/>
      <c r="O706" s="69"/>
      <c r="P706" s="78"/>
      <c r="Q706" s="96"/>
      <c r="R706" s="97"/>
      <c r="S706" s="98"/>
    </row>
    <row r="707" spans="1:19" ht="42.75">
      <c r="A707" s="90" t="s">
        <v>49</v>
      </c>
      <c r="B707" s="91" t="s">
        <v>501</v>
      </c>
      <c r="C707" s="91" t="s">
        <v>653</v>
      </c>
      <c r="D707" s="90">
        <v>2811</v>
      </c>
      <c r="E707" s="90">
        <v>3176</v>
      </c>
      <c r="F707" s="90" t="s">
        <v>1434</v>
      </c>
      <c r="G707" s="90">
        <v>2024</v>
      </c>
      <c r="H707" s="101">
        <v>45484</v>
      </c>
      <c r="I707" s="101">
        <v>45485</v>
      </c>
      <c r="J707" s="94" t="s">
        <v>2495</v>
      </c>
      <c r="K707" s="100">
        <v>45489</v>
      </c>
      <c r="L707" s="69" t="s">
        <v>80</v>
      </c>
      <c r="M707" s="69" t="s">
        <v>4</v>
      </c>
      <c r="N707" s="69" t="s">
        <v>101</v>
      </c>
      <c r="O707" s="69" t="s">
        <v>1436</v>
      </c>
      <c r="P707" s="78"/>
      <c r="Q707" s="96">
        <v>45490</v>
      </c>
      <c r="R707" s="97"/>
      <c r="S707" s="98"/>
    </row>
    <row r="708" spans="1:19" ht="42.75">
      <c r="A708" s="90" t="s">
        <v>49</v>
      </c>
      <c r="B708" s="91" t="s">
        <v>501</v>
      </c>
      <c r="C708" s="91" t="s">
        <v>554</v>
      </c>
      <c r="D708" s="90">
        <v>1611</v>
      </c>
      <c r="E708" s="90">
        <v>1386</v>
      </c>
      <c r="F708" s="90" t="s">
        <v>1454</v>
      </c>
      <c r="G708" s="90"/>
      <c r="H708" s="93"/>
      <c r="I708" s="93"/>
      <c r="J708" s="93"/>
      <c r="K708" s="95"/>
      <c r="L708" s="69"/>
      <c r="M708" s="69"/>
      <c r="N708" s="69"/>
      <c r="O708" s="69"/>
      <c r="P708" s="78"/>
      <c r="Q708" s="96"/>
      <c r="R708" s="97"/>
      <c r="S708" s="98"/>
    </row>
    <row r="709" spans="1:19" ht="42.75">
      <c r="A709" s="90" t="s">
        <v>49</v>
      </c>
      <c r="B709" s="91" t="s">
        <v>501</v>
      </c>
      <c r="C709" s="91" t="s">
        <v>1879</v>
      </c>
      <c r="D709" s="90">
        <v>3640</v>
      </c>
      <c r="E709" s="90">
        <v>3574</v>
      </c>
      <c r="F709" s="90" t="s">
        <v>1434</v>
      </c>
      <c r="G709" s="90">
        <v>2024</v>
      </c>
      <c r="H709" s="101">
        <v>45602</v>
      </c>
      <c r="I709" s="101">
        <v>45603</v>
      </c>
      <c r="J709" s="94" t="s">
        <v>2496</v>
      </c>
      <c r="K709" s="100">
        <v>45612</v>
      </c>
      <c r="L709" s="69" t="s">
        <v>84</v>
      </c>
      <c r="M709" s="69" t="s">
        <v>4</v>
      </c>
      <c r="N709" s="69" t="s">
        <v>108</v>
      </c>
      <c r="O709" s="69" t="s">
        <v>1436</v>
      </c>
      <c r="P709" s="78"/>
      <c r="Q709" s="96">
        <v>45614</v>
      </c>
      <c r="R709" s="97" t="s">
        <v>2415</v>
      </c>
      <c r="S709" s="98"/>
    </row>
    <row r="710" spans="1:19" ht="42.75">
      <c r="A710" s="90" t="s">
        <v>49</v>
      </c>
      <c r="B710" s="91" t="s">
        <v>501</v>
      </c>
      <c r="C710" s="91" t="s">
        <v>2347</v>
      </c>
      <c r="D710" s="90">
        <v>7171</v>
      </c>
      <c r="E710" s="90">
        <v>7982</v>
      </c>
      <c r="F710" s="90" t="s">
        <v>1454</v>
      </c>
      <c r="G710" s="90"/>
      <c r="H710" s="93"/>
      <c r="I710" s="93"/>
      <c r="J710" s="93"/>
      <c r="K710" s="95"/>
      <c r="L710" s="69"/>
      <c r="M710" s="69"/>
      <c r="N710" s="69"/>
      <c r="O710" s="69"/>
      <c r="P710" s="78"/>
      <c r="Q710" s="96"/>
      <c r="R710" s="97"/>
      <c r="S710" s="98"/>
    </row>
    <row r="711" spans="1:19" ht="42.75">
      <c r="A711" s="142" t="s">
        <v>49</v>
      </c>
      <c r="B711" s="91" t="s">
        <v>284</v>
      </c>
      <c r="C711" s="91" t="s">
        <v>2497</v>
      </c>
      <c r="D711" s="90">
        <v>2585</v>
      </c>
      <c r="E711" s="90">
        <v>2821</v>
      </c>
      <c r="F711" s="90" t="s">
        <v>1434</v>
      </c>
      <c r="G711" s="90">
        <v>2024</v>
      </c>
      <c r="H711" s="101">
        <v>45552</v>
      </c>
      <c r="I711" s="101">
        <v>45553</v>
      </c>
      <c r="J711" s="94" t="s">
        <v>2498</v>
      </c>
      <c r="K711" s="100">
        <v>45553</v>
      </c>
      <c r="L711" s="69" t="s">
        <v>82</v>
      </c>
      <c r="M711" s="69" t="s">
        <v>4</v>
      </c>
      <c r="N711" s="69" t="s">
        <v>101</v>
      </c>
      <c r="O711" s="69" t="s">
        <v>1436</v>
      </c>
      <c r="P711" s="78"/>
      <c r="Q711" s="96">
        <v>45554</v>
      </c>
      <c r="R711" s="97" t="s">
        <v>2415</v>
      </c>
      <c r="S711" s="98"/>
    </row>
    <row r="712" spans="1:19" ht="42.75">
      <c r="A712" s="90" t="s">
        <v>49</v>
      </c>
      <c r="B712" s="91" t="s">
        <v>284</v>
      </c>
      <c r="C712" s="91" t="s">
        <v>985</v>
      </c>
      <c r="D712" s="90">
        <v>3322</v>
      </c>
      <c r="E712" s="90">
        <v>4237</v>
      </c>
      <c r="F712" s="90" t="s">
        <v>1434</v>
      </c>
      <c r="G712" s="90">
        <v>2024</v>
      </c>
      <c r="H712" s="101">
        <v>45457</v>
      </c>
      <c r="I712" s="101">
        <v>45457</v>
      </c>
      <c r="J712" s="94" t="s">
        <v>2499</v>
      </c>
      <c r="K712" s="100">
        <v>45463</v>
      </c>
      <c r="L712" s="69" t="s">
        <v>79</v>
      </c>
      <c r="M712" s="69"/>
      <c r="N712" s="69"/>
      <c r="O712" s="69"/>
      <c r="P712" s="78"/>
      <c r="Q712" s="96">
        <v>45464</v>
      </c>
      <c r="R712" s="97"/>
      <c r="S712" s="98"/>
    </row>
    <row r="713" spans="1:19" ht="42.75">
      <c r="A713" s="142" t="s">
        <v>49</v>
      </c>
      <c r="B713" s="91" t="s">
        <v>284</v>
      </c>
      <c r="C713" s="91" t="s">
        <v>2500</v>
      </c>
      <c r="D713" s="90">
        <v>7030</v>
      </c>
      <c r="E713" s="90">
        <v>5892</v>
      </c>
      <c r="F713" s="90" t="s">
        <v>1434</v>
      </c>
      <c r="G713" s="90">
        <v>2024</v>
      </c>
      <c r="H713" s="92">
        <v>45335</v>
      </c>
      <c r="I713" s="93"/>
      <c r="J713" s="94" t="s">
        <v>2501</v>
      </c>
      <c r="K713" s="95"/>
      <c r="L713" s="69" t="s">
        <v>75</v>
      </c>
      <c r="M713" s="69"/>
      <c r="N713" s="69"/>
      <c r="O713" s="69"/>
      <c r="P713" s="78"/>
      <c r="Q713" s="96"/>
      <c r="R713" s="97"/>
      <c r="S713" s="98"/>
    </row>
    <row r="714" spans="1:19" ht="42.75">
      <c r="A714" s="142" t="s">
        <v>49</v>
      </c>
      <c r="B714" s="91" t="s">
        <v>284</v>
      </c>
      <c r="C714" s="91" t="s">
        <v>2502</v>
      </c>
      <c r="D714" s="90">
        <v>9036</v>
      </c>
      <c r="E714" s="90">
        <v>8741</v>
      </c>
      <c r="F714" s="90" t="s">
        <v>1434</v>
      </c>
      <c r="G714" s="90">
        <v>2024</v>
      </c>
      <c r="H714" s="101">
        <v>45575</v>
      </c>
      <c r="I714" s="101">
        <v>45579</v>
      </c>
      <c r="J714" s="94" t="s">
        <v>2503</v>
      </c>
      <c r="K714" s="100">
        <v>45584</v>
      </c>
      <c r="L714" s="69" t="s">
        <v>83</v>
      </c>
      <c r="M714" s="69" t="s">
        <v>4</v>
      </c>
      <c r="N714" s="69" t="s">
        <v>101</v>
      </c>
      <c r="O714" s="69" t="s">
        <v>1436</v>
      </c>
      <c r="P714" s="78"/>
      <c r="Q714" s="96">
        <v>45586</v>
      </c>
      <c r="R714" s="96" t="s">
        <v>2415</v>
      </c>
      <c r="S714" s="98"/>
    </row>
    <row r="715" spans="1:19" ht="42.75">
      <c r="A715" s="142" t="s">
        <v>49</v>
      </c>
      <c r="B715" s="91" t="s">
        <v>284</v>
      </c>
      <c r="C715" s="91" t="s">
        <v>2504</v>
      </c>
      <c r="D715" s="90">
        <v>4122</v>
      </c>
      <c r="E715" s="90">
        <v>4585</v>
      </c>
      <c r="F715" s="90" t="s">
        <v>1434</v>
      </c>
      <c r="G715" s="90">
        <v>2024</v>
      </c>
      <c r="H715" s="101">
        <v>45575</v>
      </c>
      <c r="I715" s="101">
        <v>45579</v>
      </c>
      <c r="J715" s="94" t="s">
        <v>2505</v>
      </c>
      <c r="K715" s="100">
        <v>45584</v>
      </c>
      <c r="L715" s="69" t="s">
        <v>83</v>
      </c>
      <c r="M715" s="69" t="s">
        <v>1589</v>
      </c>
      <c r="N715" s="69" t="s">
        <v>1676</v>
      </c>
      <c r="O715" s="69" t="s">
        <v>1436</v>
      </c>
      <c r="P715" s="78"/>
      <c r="Q715" s="96">
        <v>45586</v>
      </c>
      <c r="R715" s="96" t="s">
        <v>2415</v>
      </c>
      <c r="S715" s="98"/>
    </row>
    <row r="716" spans="1:19" ht="42.75">
      <c r="A716" s="90" t="s">
        <v>49</v>
      </c>
      <c r="B716" s="91" t="s">
        <v>284</v>
      </c>
      <c r="C716" s="91" t="s">
        <v>777</v>
      </c>
      <c r="D716" s="90">
        <v>5721</v>
      </c>
      <c r="E716" s="90">
        <v>6755</v>
      </c>
      <c r="F716" s="90" t="s">
        <v>1454</v>
      </c>
      <c r="G716" s="90"/>
      <c r="H716" s="93"/>
      <c r="I716" s="93"/>
      <c r="J716" s="93"/>
      <c r="K716" s="95"/>
      <c r="L716" s="69"/>
      <c r="M716" s="69"/>
      <c r="N716" s="69"/>
      <c r="O716" s="69"/>
      <c r="P716" s="78"/>
      <c r="Q716" s="96"/>
      <c r="R716" s="97"/>
      <c r="S716" s="98"/>
    </row>
    <row r="717" spans="1:19" ht="42.75">
      <c r="A717" s="90" t="s">
        <v>49</v>
      </c>
      <c r="B717" s="91" t="s">
        <v>284</v>
      </c>
      <c r="C717" s="91" t="s">
        <v>2506</v>
      </c>
      <c r="D717" s="90">
        <v>4130</v>
      </c>
      <c r="E717" s="90">
        <v>6731</v>
      </c>
      <c r="F717" s="90" t="s">
        <v>1434</v>
      </c>
      <c r="G717" s="90">
        <v>2024</v>
      </c>
      <c r="H717" s="101">
        <v>45575</v>
      </c>
      <c r="I717" s="101">
        <v>45579</v>
      </c>
      <c r="J717" s="94" t="s">
        <v>2507</v>
      </c>
      <c r="K717" s="100">
        <v>45584</v>
      </c>
      <c r="L717" s="69" t="s">
        <v>83</v>
      </c>
      <c r="M717" s="69" t="s">
        <v>4</v>
      </c>
      <c r="N717" s="69" t="s">
        <v>101</v>
      </c>
      <c r="O717" s="69" t="s">
        <v>1436</v>
      </c>
      <c r="P717" s="78"/>
      <c r="Q717" s="96">
        <v>45586</v>
      </c>
      <c r="R717" s="96" t="s">
        <v>2415</v>
      </c>
      <c r="S717" s="98"/>
    </row>
    <row r="718" spans="1:19" ht="42.75">
      <c r="A718" s="90" t="s">
        <v>49</v>
      </c>
      <c r="B718" s="91" t="s">
        <v>284</v>
      </c>
      <c r="C718" s="91" t="s">
        <v>2508</v>
      </c>
      <c r="D718" s="90">
        <v>3183</v>
      </c>
      <c r="E718" s="90">
        <v>3476</v>
      </c>
      <c r="F718" s="90" t="s">
        <v>1454</v>
      </c>
      <c r="G718" s="90"/>
      <c r="H718" s="93"/>
      <c r="I718" s="93"/>
      <c r="J718" s="93"/>
      <c r="K718" s="95"/>
      <c r="L718" s="69"/>
      <c r="M718" s="69"/>
      <c r="N718" s="69"/>
      <c r="O718" s="69"/>
      <c r="P718" s="78"/>
      <c r="Q718" s="96"/>
      <c r="R718" s="97"/>
      <c r="S718" s="98"/>
    </row>
    <row r="719" spans="1:19" ht="42.75">
      <c r="A719" s="90" t="s">
        <v>49</v>
      </c>
      <c r="B719" s="91" t="s">
        <v>284</v>
      </c>
      <c r="C719" s="91" t="s">
        <v>2509</v>
      </c>
      <c r="D719" s="90">
        <v>4243</v>
      </c>
      <c r="E719" s="90">
        <v>4962</v>
      </c>
      <c r="F719" s="90" t="s">
        <v>1454</v>
      </c>
      <c r="G719" s="90"/>
      <c r="H719" s="93"/>
      <c r="I719" s="93"/>
      <c r="J719" s="93"/>
      <c r="K719" s="95"/>
      <c r="L719" s="69"/>
      <c r="M719" s="69"/>
      <c r="N719" s="69"/>
      <c r="O719" s="69"/>
      <c r="P719" s="78"/>
      <c r="Q719" s="96"/>
      <c r="R719" s="97"/>
      <c r="S719" s="98"/>
    </row>
    <row r="720" spans="1:19" ht="42.75">
      <c r="A720" s="142" t="s">
        <v>49</v>
      </c>
      <c r="B720" s="91" t="s">
        <v>284</v>
      </c>
      <c r="C720" s="91" t="s">
        <v>2510</v>
      </c>
      <c r="D720" s="90">
        <v>2077</v>
      </c>
      <c r="E720" s="90">
        <v>2259</v>
      </c>
      <c r="F720" s="90" t="s">
        <v>1434</v>
      </c>
      <c r="G720" s="90">
        <v>2024</v>
      </c>
      <c r="H720" s="101">
        <v>45552</v>
      </c>
      <c r="I720" s="101">
        <v>45553</v>
      </c>
      <c r="J720" s="94" t="s">
        <v>2511</v>
      </c>
      <c r="K720" s="100">
        <v>45553</v>
      </c>
      <c r="L720" s="69" t="s">
        <v>82</v>
      </c>
      <c r="M720" s="69" t="s">
        <v>672</v>
      </c>
      <c r="N720" s="69" t="s">
        <v>108</v>
      </c>
      <c r="O720" s="69" t="s">
        <v>1436</v>
      </c>
      <c r="P720" s="78"/>
      <c r="Q720" s="96">
        <v>45554</v>
      </c>
      <c r="R720" s="97" t="s">
        <v>2415</v>
      </c>
      <c r="S720" s="98"/>
    </row>
    <row r="721" spans="1:19" ht="42.75">
      <c r="A721" s="90" t="s">
        <v>49</v>
      </c>
      <c r="B721" s="91" t="s">
        <v>284</v>
      </c>
      <c r="C721" s="91" t="s">
        <v>2512</v>
      </c>
      <c r="D721" s="90">
        <v>5361</v>
      </c>
      <c r="E721" s="90">
        <v>5609</v>
      </c>
      <c r="F721" s="90" t="s">
        <v>1434</v>
      </c>
      <c r="G721" s="90">
        <v>2024</v>
      </c>
      <c r="H721" s="101">
        <v>45552</v>
      </c>
      <c r="I721" s="101">
        <v>45553</v>
      </c>
      <c r="J721" s="94" t="s">
        <v>2513</v>
      </c>
      <c r="K721" s="100">
        <v>45553</v>
      </c>
      <c r="L721" s="69" t="s">
        <v>82</v>
      </c>
      <c r="M721" s="69" t="s">
        <v>4</v>
      </c>
      <c r="N721" s="69" t="s">
        <v>101</v>
      </c>
      <c r="O721" s="69" t="s">
        <v>1436</v>
      </c>
      <c r="P721" s="78"/>
      <c r="Q721" s="96">
        <v>45554</v>
      </c>
      <c r="R721" s="97" t="s">
        <v>2415</v>
      </c>
      <c r="S721" s="98"/>
    </row>
    <row r="722" spans="1:19" ht="42.75">
      <c r="A722" s="142" t="s">
        <v>49</v>
      </c>
      <c r="B722" s="91" t="s">
        <v>284</v>
      </c>
      <c r="C722" s="91" t="s">
        <v>2514</v>
      </c>
      <c r="D722" s="90">
        <v>7590</v>
      </c>
      <c r="E722" s="90">
        <v>8935</v>
      </c>
      <c r="F722" s="90" t="s">
        <v>1434</v>
      </c>
      <c r="G722" s="90">
        <v>2024</v>
      </c>
      <c r="H722" s="101">
        <v>45575</v>
      </c>
      <c r="I722" s="101">
        <v>45579</v>
      </c>
      <c r="J722" s="94" t="s">
        <v>2515</v>
      </c>
      <c r="K722" s="100">
        <v>45584</v>
      </c>
      <c r="L722" s="69" t="s">
        <v>83</v>
      </c>
      <c r="M722" s="69" t="s">
        <v>4</v>
      </c>
      <c r="N722" s="69" t="s">
        <v>101</v>
      </c>
      <c r="O722" s="69" t="s">
        <v>1436</v>
      </c>
      <c r="P722" s="78"/>
      <c r="Q722" s="96">
        <v>45586</v>
      </c>
      <c r="R722" s="96" t="s">
        <v>929</v>
      </c>
      <c r="S722" s="98"/>
    </row>
    <row r="723" spans="1:19" ht="42.75">
      <c r="A723" s="142" t="s">
        <v>49</v>
      </c>
      <c r="B723" s="91" t="s">
        <v>284</v>
      </c>
      <c r="C723" s="91" t="s">
        <v>926</v>
      </c>
      <c r="D723" s="90">
        <v>3901</v>
      </c>
      <c r="E723" s="90">
        <v>3878</v>
      </c>
      <c r="F723" s="90" t="s">
        <v>1454</v>
      </c>
      <c r="G723" s="90"/>
      <c r="H723" s="93"/>
      <c r="I723" s="93"/>
      <c r="J723" s="93"/>
      <c r="K723" s="95"/>
      <c r="L723" s="69"/>
      <c r="M723" s="69"/>
      <c r="N723" s="69"/>
      <c r="O723" s="69"/>
      <c r="P723" s="78"/>
      <c r="Q723" s="96"/>
      <c r="R723" s="97"/>
      <c r="S723" s="98"/>
    </row>
    <row r="724" spans="1:19" ht="42.75">
      <c r="A724" s="90" t="s">
        <v>49</v>
      </c>
      <c r="B724" s="91" t="s">
        <v>284</v>
      </c>
      <c r="C724" s="91" t="s">
        <v>2516</v>
      </c>
      <c r="D724" s="90">
        <v>1803</v>
      </c>
      <c r="E724" s="90">
        <v>1821</v>
      </c>
      <c r="F724" s="90" t="s">
        <v>1454</v>
      </c>
      <c r="G724" s="90"/>
      <c r="H724" s="93"/>
      <c r="I724" s="93"/>
      <c r="J724" s="93"/>
      <c r="K724" s="95"/>
      <c r="L724" s="69"/>
      <c r="M724" s="69"/>
      <c r="N724" s="69"/>
      <c r="O724" s="69"/>
      <c r="P724" s="78"/>
      <c r="Q724" s="96"/>
      <c r="R724" s="97"/>
      <c r="S724" s="98"/>
    </row>
    <row r="725" spans="1:19" ht="42.75">
      <c r="A725" s="90" t="s">
        <v>49</v>
      </c>
      <c r="B725" s="91" t="s">
        <v>284</v>
      </c>
      <c r="C725" s="91" t="s">
        <v>427</v>
      </c>
      <c r="D725" s="90">
        <v>4448</v>
      </c>
      <c r="E725" s="90">
        <v>5016</v>
      </c>
      <c r="F725" s="90" t="s">
        <v>1434</v>
      </c>
      <c r="G725" s="90">
        <v>2024</v>
      </c>
      <c r="H725" s="101">
        <v>45575</v>
      </c>
      <c r="I725" s="101">
        <v>45579</v>
      </c>
      <c r="J725" s="94" t="s">
        <v>2517</v>
      </c>
      <c r="K725" s="100">
        <v>45584</v>
      </c>
      <c r="L725" s="69" t="s">
        <v>83</v>
      </c>
      <c r="M725" s="69" t="s">
        <v>4</v>
      </c>
      <c r="N725" s="69" t="s">
        <v>101</v>
      </c>
      <c r="O725" s="69" t="s">
        <v>1436</v>
      </c>
      <c r="P725" s="78"/>
      <c r="Q725" s="96">
        <v>45586</v>
      </c>
      <c r="R725" s="96" t="s">
        <v>929</v>
      </c>
      <c r="S725" s="98"/>
    </row>
    <row r="726" spans="1:19" ht="42.75">
      <c r="A726" s="90" t="s">
        <v>49</v>
      </c>
      <c r="B726" s="91" t="s">
        <v>284</v>
      </c>
      <c r="C726" s="91" t="s">
        <v>2282</v>
      </c>
      <c r="D726" s="90">
        <v>2953</v>
      </c>
      <c r="E726" s="90">
        <v>2922</v>
      </c>
      <c r="F726" s="90" t="s">
        <v>1434</v>
      </c>
      <c r="G726" s="90">
        <v>2024</v>
      </c>
      <c r="H726" s="101">
        <v>45426</v>
      </c>
      <c r="I726" s="101">
        <v>45428</v>
      </c>
      <c r="J726" s="94" t="s">
        <v>2518</v>
      </c>
      <c r="K726" s="100">
        <v>45429</v>
      </c>
      <c r="L726" s="69" t="s">
        <v>78</v>
      </c>
      <c r="M726" s="69"/>
      <c r="N726" s="69"/>
      <c r="O726" s="69"/>
      <c r="P726" s="78"/>
      <c r="Q726" s="96">
        <v>45429</v>
      </c>
      <c r="R726" s="97"/>
      <c r="S726" s="98"/>
    </row>
    <row r="727" spans="1:19" ht="42.75">
      <c r="A727" s="142" t="s">
        <v>49</v>
      </c>
      <c r="B727" s="91" t="s">
        <v>284</v>
      </c>
      <c r="C727" s="91" t="s">
        <v>1879</v>
      </c>
      <c r="D727" s="90">
        <v>10761</v>
      </c>
      <c r="E727" s="90">
        <v>10721</v>
      </c>
      <c r="F727" s="90" t="s">
        <v>1434</v>
      </c>
      <c r="G727" s="90">
        <v>2024</v>
      </c>
      <c r="H727" s="101">
        <v>45483</v>
      </c>
      <c r="I727" s="147">
        <v>45484</v>
      </c>
      <c r="J727" s="94" t="s">
        <v>2519</v>
      </c>
      <c r="K727" s="100">
        <v>45489</v>
      </c>
      <c r="L727" s="69" t="s">
        <v>80</v>
      </c>
      <c r="M727" s="69" t="s">
        <v>4</v>
      </c>
      <c r="N727" s="69" t="s">
        <v>101</v>
      </c>
      <c r="O727" s="69" t="s">
        <v>1436</v>
      </c>
      <c r="P727" s="78"/>
      <c r="Q727" s="96">
        <v>45490</v>
      </c>
      <c r="R727" s="97"/>
      <c r="S727" s="98"/>
    </row>
    <row r="728" spans="1:19" ht="42.75">
      <c r="A728" s="142" t="s">
        <v>49</v>
      </c>
      <c r="B728" s="91" t="s">
        <v>284</v>
      </c>
      <c r="C728" s="91" t="s">
        <v>2520</v>
      </c>
      <c r="D728" s="90">
        <v>5856</v>
      </c>
      <c r="E728" s="90">
        <v>7822</v>
      </c>
      <c r="F728" s="90" t="s">
        <v>1454</v>
      </c>
      <c r="G728" s="90"/>
      <c r="H728" s="93"/>
      <c r="I728" s="93"/>
      <c r="J728" s="93"/>
      <c r="K728" s="95"/>
      <c r="L728" s="69"/>
      <c r="M728" s="69"/>
      <c r="N728" s="69"/>
      <c r="O728" s="69"/>
      <c r="P728" s="78"/>
      <c r="Q728" s="96"/>
      <c r="R728" s="97"/>
      <c r="S728" s="98"/>
    </row>
    <row r="729" spans="1:19" ht="42.75">
      <c r="A729" s="142" t="s">
        <v>49</v>
      </c>
      <c r="B729" s="91" t="s">
        <v>284</v>
      </c>
      <c r="C729" s="91" t="s">
        <v>2331</v>
      </c>
      <c r="D729" s="90">
        <v>19683</v>
      </c>
      <c r="E729" s="90">
        <v>17249</v>
      </c>
      <c r="F729" s="90" t="s">
        <v>1434</v>
      </c>
      <c r="G729" s="90">
        <v>2024</v>
      </c>
      <c r="H729" s="101">
        <v>45456</v>
      </c>
      <c r="I729" s="101">
        <v>45457</v>
      </c>
      <c r="J729" s="94" t="s">
        <v>2521</v>
      </c>
      <c r="K729" s="100">
        <v>45463</v>
      </c>
      <c r="L729" s="69" t="s">
        <v>79</v>
      </c>
      <c r="M729" s="69"/>
      <c r="N729" s="69"/>
      <c r="O729" s="69"/>
      <c r="P729" s="78"/>
      <c r="Q729" s="96">
        <v>45464</v>
      </c>
      <c r="R729" s="97"/>
      <c r="S729" s="98"/>
    </row>
    <row r="730" spans="1:19" ht="42.75">
      <c r="A730" s="90" t="s">
        <v>49</v>
      </c>
      <c r="B730" s="91" t="s">
        <v>503</v>
      </c>
      <c r="C730" s="91" t="s">
        <v>2522</v>
      </c>
      <c r="D730" s="90">
        <v>1656</v>
      </c>
      <c r="E730" s="90">
        <v>1877</v>
      </c>
      <c r="F730" s="90" t="s">
        <v>1454</v>
      </c>
      <c r="G730" s="90"/>
      <c r="H730" s="93"/>
      <c r="I730" s="93"/>
      <c r="J730" s="93"/>
      <c r="K730" s="95"/>
      <c r="L730" s="69"/>
      <c r="M730" s="69"/>
      <c r="N730" s="69"/>
      <c r="O730" s="69"/>
      <c r="P730" s="78"/>
      <c r="Q730" s="96"/>
      <c r="R730" s="97"/>
      <c r="S730" s="98"/>
    </row>
    <row r="731" spans="1:19" ht="42.75">
      <c r="A731" s="90" t="s">
        <v>49</v>
      </c>
      <c r="B731" s="91" t="s">
        <v>503</v>
      </c>
      <c r="C731" s="91" t="s">
        <v>2523</v>
      </c>
      <c r="D731" s="90">
        <v>3691</v>
      </c>
      <c r="E731" s="90">
        <v>4100</v>
      </c>
      <c r="F731" s="90" t="s">
        <v>1454</v>
      </c>
      <c r="G731" s="90"/>
      <c r="H731" s="93"/>
      <c r="I731" s="93"/>
      <c r="J731" s="93"/>
      <c r="K731" s="95"/>
      <c r="L731" s="69"/>
      <c r="M731" s="69"/>
      <c r="N731" s="69"/>
      <c r="O731" s="69"/>
      <c r="P731" s="78"/>
      <c r="Q731" s="96"/>
      <c r="R731" s="97"/>
      <c r="S731" s="98"/>
    </row>
    <row r="732" spans="1:19" ht="42.75">
      <c r="A732" s="142" t="s">
        <v>49</v>
      </c>
      <c r="B732" s="91" t="s">
        <v>503</v>
      </c>
      <c r="C732" s="91" t="s">
        <v>2524</v>
      </c>
      <c r="D732" s="90">
        <v>7152</v>
      </c>
      <c r="E732" s="90">
        <v>8320</v>
      </c>
      <c r="F732" s="90" t="s">
        <v>1454</v>
      </c>
      <c r="G732" s="90"/>
      <c r="H732" s="93"/>
      <c r="I732" s="93"/>
      <c r="J732" s="93"/>
      <c r="K732" s="95"/>
      <c r="L732" s="69"/>
      <c r="M732" s="69"/>
      <c r="N732" s="69"/>
      <c r="O732" s="69"/>
      <c r="P732" s="78"/>
      <c r="Q732" s="96"/>
      <c r="R732" s="97"/>
      <c r="S732" s="98"/>
    </row>
    <row r="733" spans="1:19" ht="42.75">
      <c r="A733" s="90" t="s">
        <v>49</v>
      </c>
      <c r="B733" s="91" t="s">
        <v>503</v>
      </c>
      <c r="C733" s="91" t="s">
        <v>2525</v>
      </c>
      <c r="D733" s="90">
        <v>6028</v>
      </c>
      <c r="E733" s="90">
        <v>6770</v>
      </c>
      <c r="F733" s="90" t="s">
        <v>1454</v>
      </c>
      <c r="G733" s="90"/>
      <c r="H733" s="93"/>
      <c r="I733" s="93"/>
      <c r="J733" s="93"/>
      <c r="K733" s="95"/>
      <c r="L733" s="69"/>
      <c r="M733" s="69"/>
      <c r="N733" s="69"/>
      <c r="O733" s="69"/>
      <c r="P733" s="78"/>
      <c r="Q733" s="96"/>
      <c r="R733" s="97"/>
      <c r="S733" s="98"/>
    </row>
    <row r="734" spans="1:19" ht="42.75">
      <c r="A734" s="90" t="s">
        <v>49</v>
      </c>
      <c r="B734" s="91" t="s">
        <v>503</v>
      </c>
      <c r="C734" s="91" t="s">
        <v>2526</v>
      </c>
      <c r="D734" s="90">
        <v>4225</v>
      </c>
      <c r="E734" s="90">
        <v>4896</v>
      </c>
      <c r="F734" s="90" t="s">
        <v>1454</v>
      </c>
      <c r="G734" s="90"/>
      <c r="H734" s="93"/>
      <c r="I734" s="93"/>
      <c r="J734" s="93"/>
      <c r="K734" s="95"/>
      <c r="L734" s="69"/>
      <c r="M734" s="69"/>
      <c r="N734" s="69"/>
      <c r="O734" s="69"/>
      <c r="P734" s="78"/>
      <c r="Q734" s="96"/>
      <c r="R734" s="97"/>
      <c r="S734" s="98"/>
    </row>
    <row r="735" spans="1:19" ht="42.75">
      <c r="A735" s="90" t="s">
        <v>49</v>
      </c>
      <c r="B735" s="91" t="s">
        <v>503</v>
      </c>
      <c r="C735" s="91" t="s">
        <v>2527</v>
      </c>
      <c r="D735" s="90">
        <v>4706</v>
      </c>
      <c r="E735" s="90">
        <v>5317</v>
      </c>
      <c r="F735" s="90" t="s">
        <v>1454</v>
      </c>
      <c r="G735" s="90"/>
      <c r="H735" s="93"/>
      <c r="I735" s="93"/>
      <c r="J735" s="93"/>
      <c r="K735" s="95"/>
      <c r="L735" s="69"/>
      <c r="M735" s="69"/>
      <c r="N735" s="69"/>
      <c r="O735" s="69"/>
      <c r="P735" s="78"/>
      <c r="Q735" s="96"/>
      <c r="R735" s="97"/>
      <c r="S735" s="98"/>
    </row>
    <row r="736" spans="1:19" ht="42.75">
      <c r="A736" s="90" t="s">
        <v>49</v>
      </c>
      <c r="B736" s="91" t="s">
        <v>503</v>
      </c>
      <c r="C736" s="91" t="s">
        <v>2528</v>
      </c>
      <c r="D736" s="90">
        <v>3926</v>
      </c>
      <c r="E736" s="90">
        <v>4114</v>
      </c>
      <c r="F736" s="90" t="s">
        <v>1454</v>
      </c>
      <c r="G736" s="90"/>
      <c r="H736" s="93"/>
      <c r="I736" s="93"/>
      <c r="J736" s="93"/>
      <c r="K736" s="95"/>
      <c r="L736" s="69"/>
      <c r="M736" s="69"/>
      <c r="N736" s="69"/>
      <c r="O736" s="69"/>
      <c r="P736" s="78"/>
      <c r="Q736" s="96"/>
      <c r="R736" s="97"/>
      <c r="S736" s="98"/>
    </row>
    <row r="737" spans="1:19" ht="42.75">
      <c r="A737" s="90" t="s">
        <v>49</v>
      </c>
      <c r="B737" s="91" t="s">
        <v>503</v>
      </c>
      <c r="C737" s="91" t="s">
        <v>2529</v>
      </c>
      <c r="D737" s="90">
        <v>8037</v>
      </c>
      <c r="E737" s="90">
        <v>9453</v>
      </c>
      <c r="F737" s="90" t="s">
        <v>1454</v>
      </c>
      <c r="G737" s="90"/>
      <c r="H737" s="93"/>
      <c r="I737" s="93"/>
      <c r="J737" s="93"/>
      <c r="K737" s="95"/>
      <c r="L737" s="69"/>
      <c r="M737" s="69"/>
      <c r="N737" s="69"/>
      <c r="O737" s="69"/>
      <c r="P737" s="78"/>
      <c r="Q737" s="96"/>
      <c r="R737" s="97"/>
      <c r="S737" s="98"/>
    </row>
    <row r="738" spans="1:19" ht="42.75">
      <c r="A738" s="90" t="s">
        <v>49</v>
      </c>
      <c r="B738" s="91" t="s">
        <v>503</v>
      </c>
      <c r="C738" s="91" t="s">
        <v>1039</v>
      </c>
      <c r="D738" s="90">
        <v>5426</v>
      </c>
      <c r="E738" s="90">
        <v>5817</v>
      </c>
      <c r="F738" s="90" t="s">
        <v>1454</v>
      </c>
      <c r="G738" s="90"/>
      <c r="H738" s="93"/>
      <c r="I738" s="93"/>
      <c r="J738" s="93"/>
      <c r="K738" s="95"/>
      <c r="L738" s="69"/>
      <c r="M738" s="69"/>
      <c r="N738" s="69"/>
      <c r="O738" s="69"/>
      <c r="P738" s="78"/>
      <c r="Q738" s="96"/>
      <c r="R738" s="97"/>
      <c r="S738" s="98"/>
    </row>
    <row r="739" spans="1:19" ht="42.75">
      <c r="A739" s="90" t="s">
        <v>49</v>
      </c>
      <c r="B739" s="91" t="s">
        <v>503</v>
      </c>
      <c r="C739" s="91" t="s">
        <v>2530</v>
      </c>
      <c r="D739" s="90">
        <v>4073</v>
      </c>
      <c r="E739" s="90">
        <v>4766</v>
      </c>
      <c r="F739" s="90" t="s">
        <v>1454</v>
      </c>
      <c r="G739" s="90"/>
      <c r="H739" s="93"/>
      <c r="I739" s="93"/>
      <c r="J739" s="93"/>
      <c r="K739" s="95"/>
      <c r="L739" s="69"/>
      <c r="M739" s="69"/>
      <c r="N739" s="69"/>
      <c r="O739" s="69"/>
      <c r="P739" s="78"/>
      <c r="Q739" s="96"/>
      <c r="R739" s="97"/>
      <c r="S739" s="98"/>
    </row>
    <row r="740" spans="1:19" ht="42.75">
      <c r="A740" s="142" t="s">
        <v>49</v>
      </c>
      <c r="B740" s="91" t="s">
        <v>503</v>
      </c>
      <c r="C740" s="91" t="s">
        <v>2531</v>
      </c>
      <c r="D740" s="90">
        <v>6543</v>
      </c>
      <c r="E740" s="90">
        <v>6457</v>
      </c>
      <c r="F740" s="90" t="s">
        <v>1454</v>
      </c>
      <c r="G740" s="90"/>
      <c r="H740" s="93"/>
      <c r="I740" s="93"/>
      <c r="J740" s="93"/>
      <c r="K740" s="95"/>
      <c r="L740" s="69"/>
      <c r="M740" s="69"/>
      <c r="N740" s="69"/>
      <c r="O740" s="69"/>
      <c r="P740" s="78"/>
      <c r="Q740" s="96"/>
      <c r="R740" s="97"/>
      <c r="S740" s="98"/>
    </row>
    <row r="741" spans="1:19" ht="42.75">
      <c r="A741" s="90" t="s">
        <v>49</v>
      </c>
      <c r="B741" s="91" t="s">
        <v>503</v>
      </c>
      <c r="C741" s="91" t="s">
        <v>2532</v>
      </c>
      <c r="D741" s="90">
        <v>1996</v>
      </c>
      <c r="E741" s="90">
        <v>2377</v>
      </c>
      <c r="F741" s="90" t="s">
        <v>1454</v>
      </c>
      <c r="G741" s="90"/>
      <c r="H741" s="93"/>
      <c r="I741" s="93"/>
      <c r="J741" s="93"/>
      <c r="K741" s="95"/>
      <c r="L741" s="69"/>
      <c r="M741" s="69"/>
      <c r="N741" s="69"/>
      <c r="O741" s="69"/>
      <c r="P741" s="78"/>
      <c r="Q741" s="96"/>
      <c r="R741" s="97"/>
      <c r="S741" s="98"/>
    </row>
    <row r="742" spans="1:19" ht="42.75">
      <c r="A742" s="142" t="s">
        <v>49</v>
      </c>
      <c r="B742" s="91" t="s">
        <v>503</v>
      </c>
      <c r="C742" s="91" t="s">
        <v>926</v>
      </c>
      <c r="D742" s="90">
        <v>12227</v>
      </c>
      <c r="E742" s="90">
        <v>13353</v>
      </c>
      <c r="F742" s="90" t="s">
        <v>1434</v>
      </c>
      <c r="G742" s="90">
        <v>2024</v>
      </c>
      <c r="H742" s="101">
        <v>45427</v>
      </c>
      <c r="I742" s="101">
        <v>45428</v>
      </c>
      <c r="J742" s="94" t="s">
        <v>2533</v>
      </c>
      <c r="K742" s="100">
        <v>45429</v>
      </c>
      <c r="L742" s="69" t="s">
        <v>78</v>
      </c>
      <c r="M742" s="69"/>
      <c r="N742" s="69"/>
      <c r="O742" s="69" t="s">
        <v>1436</v>
      </c>
      <c r="P742" s="78"/>
      <c r="Q742" s="96">
        <v>45429</v>
      </c>
      <c r="R742" s="97"/>
      <c r="S742" s="98"/>
    </row>
    <row r="743" spans="1:19" ht="42.75">
      <c r="A743" s="90" t="s">
        <v>49</v>
      </c>
      <c r="B743" s="91" t="s">
        <v>503</v>
      </c>
      <c r="C743" s="91" t="s">
        <v>2534</v>
      </c>
      <c r="D743" s="90">
        <v>1553</v>
      </c>
      <c r="E743" s="90">
        <v>1666</v>
      </c>
      <c r="F743" s="90" t="s">
        <v>1454</v>
      </c>
      <c r="G743" s="90"/>
      <c r="H743" s="93"/>
      <c r="I743" s="93"/>
      <c r="J743" s="93"/>
      <c r="K743" s="95"/>
      <c r="L743" s="69"/>
      <c r="M743" s="69"/>
      <c r="N743" s="69"/>
      <c r="O743" s="69"/>
      <c r="P743" s="78"/>
      <c r="Q743" s="96"/>
      <c r="R743" s="97"/>
      <c r="S743" s="98"/>
    </row>
    <row r="744" spans="1:19" ht="42.75">
      <c r="A744" s="142" t="s">
        <v>49</v>
      </c>
      <c r="B744" s="91" t="s">
        <v>503</v>
      </c>
      <c r="C744" s="91" t="s">
        <v>2236</v>
      </c>
      <c r="D744" s="90">
        <v>6831</v>
      </c>
      <c r="E744" s="90">
        <v>7700</v>
      </c>
      <c r="F744" s="90" t="s">
        <v>1454</v>
      </c>
      <c r="G744" s="90"/>
      <c r="H744" s="93"/>
      <c r="I744" s="93"/>
      <c r="J744" s="93"/>
      <c r="K744" s="95"/>
      <c r="L744" s="69"/>
      <c r="M744" s="69"/>
      <c r="N744" s="69"/>
      <c r="O744" s="69"/>
      <c r="P744" s="78"/>
      <c r="Q744" s="96"/>
      <c r="R744" s="97"/>
      <c r="S744" s="98"/>
    </row>
    <row r="745" spans="1:19" ht="42.75">
      <c r="A745" s="142" t="s">
        <v>49</v>
      </c>
      <c r="B745" s="91" t="s">
        <v>503</v>
      </c>
      <c r="C745" s="91" t="s">
        <v>2260</v>
      </c>
      <c r="D745" s="90">
        <v>6774</v>
      </c>
      <c r="E745" s="90">
        <v>7912</v>
      </c>
      <c r="F745" s="90" t="s">
        <v>1454</v>
      </c>
      <c r="G745" s="90"/>
      <c r="H745" s="93"/>
      <c r="I745" s="93"/>
      <c r="J745" s="93"/>
      <c r="K745" s="95"/>
      <c r="L745" s="69"/>
      <c r="M745" s="69"/>
      <c r="N745" s="69"/>
      <c r="O745" s="69"/>
      <c r="P745" s="78"/>
      <c r="Q745" s="96"/>
      <c r="R745" s="97"/>
      <c r="S745" s="98"/>
    </row>
    <row r="746" spans="1:19" ht="42.75">
      <c r="A746" s="90" t="s">
        <v>49</v>
      </c>
      <c r="B746" s="91" t="s">
        <v>503</v>
      </c>
      <c r="C746" s="91" t="s">
        <v>682</v>
      </c>
      <c r="D746" s="90">
        <v>4355</v>
      </c>
      <c r="E746" s="90">
        <v>4931</v>
      </c>
      <c r="F746" s="90" t="s">
        <v>1454</v>
      </c>
      <c r="G746" s="90"/>
      <c r="H746" s="93"/>
      <c r="I746" s="93"/>
      <c r="J746" s="93"/>
      <c r="K746" s="95"/>
      <c r="L746" s="69"/>
      <c r="M746" s="69"/>
      <c r="N746" s="69"/>
      <c r="O746" s="69"/>
      <c r="P746" s="78"/>
      <c r="Q746" s="96"/>
      <c r="R746" s="97"/>
      <c r="S746" s="98"/>
    </row>
    <row r="747" spans="1:19" ht="42.75">
      <c r="A747" s="90" t="s">
        <v>49</v>
      </c>
      <c r="B747" s="91" t="s">
        <v>503</v>
      </c>
      <c r="C747" s="91" t="s">
        <v>664</v>
      </c>
      <c r="D747" s="90">
        <v>4235</v>
      </c>
      <c r="E747" s="90">
        <v>4857</v>
      </c>
      <c r="F747" s="90" t="s">
        <v>1454</v>
      </c>
      <c r="G747" s="90"/>
      <c r="H747" s="93"/>
      <c r="I747" s="93"/>
      <c r="J747" s="93"/>
      <c r="K747" s="95"/>
      <c r="L747" s="69"/>
      <c r="M747" s="69"/>
      <c r="N747" s="69"/>
      <c r="O747" s="69"/>
      <c r="P747" s="78"/>
      <c r="Q747" s="96"/>
      <c r="R747" s="97"/>
      <c r="S747" s="98"/>
    </row>
    <row r="748" spans="1:19" ht="42.75">
      <c r="A748" s="90" t="s">
        <v>49</v>
      </c>
      <c r="B748" s="91" t="s">
        <v>503</v>
      </c>
      <c r="C748" s="91" t="s">
        <v>2535</v>
      </c>
      <c r="D748" s="90">
        <v>3889</v>
      </c>
      <c r="E748" s="90">
        <v>4153</v>
      </c>
      <c r="F748" s="90" t="s">
        <v>1454</v>
      </c>
      <c r="G748" s="90"/>
      <c r="H748" s="93"/>
      <c r="I748" s="93"/>
      <c r="J748" s="93"/>
      <c r="K748" s="95"/>
      <c r="L748" s="69"/>
      <c r="M748" s="69"/>
      <c r="N748" s="69"/>
      <c r="O748" s="69"/>
      <c r="P748" s="78"/>
      <c r="Q748" s="96"/>
      <c r="R748" s="97"/>
      <c r="S748" s="98"/>
    </row>
    <row r="749" spans="1:19" ht="42.75">
      <c r="A749" s="90" t="s">
        <v>49</v>
      </c>
      <c r="B749" s="91" t="s">
        <v>439</v>
      </c>
      <c r="C749" s="91" t="s">
        <v>1303</v>
      </c>
      <c r="D749" s="90">
        <v>4330</v>
      </c>
      <c r="E749" s="90">
        <v>4653</v>
      </c>
      <c r="F749" s="90" t="s">
        <v>1454</v>
      </c>
      <c r="G749" s="90"/>
      <c r="H749" s="93"/>
      <c r="I749" s="93"/>
      <c r="J749" s="93"/>
      <c r="K749" s="95"/>
      <c r="L749" s="69"/>
      <c r="M749" s="69"/>
      <c r="N749" s="69"/>
      <c r="O749" s="69"/>
      <c r="P749" s="78"/>
      <c r="Q749" s="96"/>
      <c r="R749" s="97"/>
      <c r="S749" s="98"/>
    </row>
    <row r="750" spans="1:19" ht="42.75">
      <c r="A750" s="90" t="s">
        <v>49</v>
      </c>
      <c r="B750" s="91" t="s">
        <v>439</v>
      </c>
      <c r="C750" s="91" t="s">
        <v>2536</v>
      </c>
      <c r="D750" s="90">
        <v>3506</v>
      </c>
      <c r="E750" s="90">
        <v>3607</v>
      </c>
      <c r="F750" s="90" t="s">
        <v>1454</v>
      </c>
      <c r="G750" s="90"/>
      <c r="H750" s="93"/>
      <c r="I750" s="93"/>
      <c r="J750" s="93"/>
      <c r="K750" s="95"/>
      <c r="L750" s="69"/>
      <c r="M750" s="69"/>
      <c r="N750" s="69"/>
      <c r="O750" s="69"/>
      <c r="P750" s="78"/>
      <c r="Q750" s="96"/>
      <c r="R750" s="97"/>
      <c r="S750" s="98"/>
    </row>
    <row r="751" spans="1:19" ht="42.75">
      <c r="A751" s="90" t="s">
        <v>49</v>
      </c>
      <c r="B751" s="91" t="s">
        <v>439</v>
      </c>
      <c r="C751" s="91" t="s">
        <v>2537</v>
      </c>
      <c r="D751" s="90">
        <v>4169</v>
      </c>
      <c r="E751" s="90">
        <v>5271</v>
      </c>
      <c r="F751" s="90" t="s">
        <v>1434</v>
      </c>
      <c r="G751" s="90">
        <v>2024</v>
      </c>
      <c r="H751" s="101">
        <v>45428</v>
      </c>
      <c r="I751" s="101">
        <v>45428</v>
      </c>
      <c r="J751" s="94" t="s">
        <v>2538</v>
      </c>
      <c r="K751" s="100">
        <v>45429</v>
      </c>
      <c r="L751" s="69" t="s">
        <v>78</v>
      </c>
      <c r="M751" s="69"/>
      <c r="N751" s="69"/>
      <c r="O751" s="69" t="s">
        <v>1436</v>
      </c>
      <c r="P751" s="78"/>
      <c r="Q751" s="96">
        <v>45429</v>
      </c>
      <c r="R751" s="97"/>
      <c r="S751" s="98"/>
    </row>
    <row r="752" spans="1:19" ht="42.75">
      <c r="A752" s="90" t="s">
        <v>49</v>
      </c>
      <c r="B752" s="91" t="s">
        <v>439</v>
      </c>
      <c r="C752" s="91" t="s">
        <v>2467</v>
      </c>
      <c r="D752" s="90">
        <v>2150</v>
      </c>
      <c r="E752" s="90">
        <v>2407</v>
      </c>
      <c r="F752" s="90" t="s">
        <v>1454</v>
      </c>
      <c r="G752" s="90"/>
      <c r="H752" s="93"/>
      <c r="I752" s="93"/>
      <c r="J752" s="93"/>
      <c r="K752" s="95"/>
      <c r="L752" s="69"/>
      <c r="M752" s="69"/>
      <c r="N752" s="69"/>
      <c r="O752" s="69"/>
      <c r="P752" s="78"/>
      <c r="Q752" s="96"/>
      <c r="R752" s="97"/>
      <c r="S752" s="98"/>
    </row>
    <row r="753" spans="1:19" ht="42.75">
      <c r="A753" s="90" t="s">
        <v>49</v>
      </c>
      <c r="B753" s="91" t="s">
        <v>439</v>
      </c>
      <c r="C753" s="91" t="s">
        <v>2539</v>
      </c>
      <c r="D753" s="90">
        <v>2068</v>
      </c>
      <c r="E753" s="90">
        <v>2199</v>
      </c>
      <c r="F753" s="90" t="s">
        <v>1434</v>
      </c>
      <c r="G753" s="90">
        <v>2024</v>
      </c>
      <c r="H753" s="101">
        <v>45483</v>
      </c>
      <c r="I753" s="101">
        <v>45485</v>
      </c>
      <c r="J753" s="94" t="s">
        <v>2540</v>
      </c>
      <c r="K753" s="100">
        <v>45489</v>
      </c>
      <c r="L753" s="69" t="s">
        <v>80</v>
      </c>
      <c r="M753" s="69" t="s">
        <v>4</v>
      </c>
      <c r="N753" s="69" t="s">
        <v>101</v>
      </c>
      <c r="O753" s="69" t="s">
        <v>1436</v>
      </c>
      <c r="P753" s="78"/>
      <c r="Q753" s="96">
        <v>45490</v>
      </c>
      <c r="R753" s="97"/>
      <c r="S753" s="98"/>
    </row>
    <row r="754" spans="1:19" ht="42.75">
      <c r="A754" s="90" t="s">
        <v>49</v>
      </c>
      <c r="B754" s="91" t="s">
        <v>439</v>
      </c>
      <c r="C754" s="91" t="s">
        <v>2541</v>
      </c>
      <c r="D754" s="90">
        <v>2245</v>
      </c>
      <c r="E754" s="90">
        <v>2560</v>
      </c>
      <c r="F754" s="90" t="s">
        <v>1454</v>
      </c>
      <c r="G754" s="90"/>
      <c r="H754" s="93"/>
      <c r="I754" s="93"/>
      <c r="J754" s="93"/>
      <c r="K754" s="95"/>
      <c r="L754" s="69"/>
      <c r="M754" s="69"/>
      <c r="N754" s="69"/>
      <c r="O754" s="69"/>
      <c r="P754" s="78"/>
      <c r="Q754" s="96"/>
      <c r="R754" s="97"/>
      <c r="S754" s="98"/>
    </row>
    <row r="755" spans="1:19" ht="42.75">
      <c r="A755" s="90" t="s">
        <v>49</v>
      </c>
      <c r="B755" s="91" t="s">
        <v>439</v>
      </c>
      <c r="C755" s="91" t="s">
        <v>2542</v>
      </c>
      <c r="D755" s="90">
        <v>2069</v>
      </c>
      <c r="E755" s="90">
        <v>2200</v>
      </c>
      <c r="F755" s="90" t="s">
        <v>1454</v>
      </c>
      <c r="G755" s="90"/>
      <c r="H755" s="93"/>
      <c r="I755" s="93"/>
      <c r="J755" s="93"/>
      <c r="K755" s="95"/>
      <c r="L755" s="69"/>
      <c r="M755" s="69"/>
      <c r="N755" s="69"/>
      <c r="O755" s="69"/>
      <c r="P755" s="78"/>
      <c r="Q755" s="96"/>
      <c r="R755" s="97"/>
      <c r="S755" s="98"/>
    </row>
    <row r="756" spans="1:19" ht="42.75">
      <c r="A756" s="90" t="s">
        <v>49</v>
      </c>
      <c r="B756" s="91" t="s">
        <v>439</v>
      </c>
      <c r="C756" s="91" t="s">
        <v>2543</v>
      </c>
      <c r="D756" s="90">
        <v>1402</v>
      </c>
      <c r="E756" s="90">
        <v>1973</v>
      </c>
      <c r="F756" s="90" t="s">
        <v>1454</v>
      </c>
      <c r="G756" s="90"/>
      <c r="H756" s="93"/>
      <c r="I756" s="93"/>
      <c r="J756" s="93"/>
      <c r="K756" s="95"/>
      <c r="L756" s="69"/>
      <c r="M756" s="69"/>
      <c r="N756" s="69"/>
      <c r="O756" s="69"/>
      <c r="P756" s="78"/>
      <c r="Q756" s="96"/>
      <c r="R756" s="97"/>
      <c r="S756" s="98"/>
    </row>
    <row r="757" spans="1:19" ht="42.75">
      <c r="A757" s="90" t="s">
        <v>49</v>
      </c>
      <c r="B757" s="91" t="s">
        <v>439</v>
      </c>
      <c r="C757" s="91" t="s">
        <v>2544</v>
      </c>
      <c r="D757" s="90">
        <v>1948</v>
      </c>
      <c r="E757" s="90">
        <v>2118</v>
      </c>
      <c r="F757" s="90" t="s">
        <v>1454</v>
      </c>
      <c r="G757" s="90"/>
      <c r="H757" s="93"/>
      <c r="I757" s="93"/>
      <c r="J757" s="93"/>
      <c r="K757" s="95"/>
      <c r="L757" s="69"/>
      <c r="M757" s="69"/>
      <c r="N757" s="69"/>
      <c r="O757" s="69"/>
      <c r="P757" s="78"/>
      <c r="Q757" s="96"/>
      <c r="R757" s="97"/>
      <c r="S757" s="98"/>
    </row>
    <row r="758" spans="1:19" ht="42.75">
      <c r="A758" s="90" t="s">
        <v>49</v>
      </c>
      <c r="B758" s="91" t="s">
        <v>439</v>
      </c>
      <c r="C758" s="91" t="s">
        <v>2545</v>
      </c>
      <c r="D758" s="90">
        <v>3578</v>
      </c>
      <c r="E758" s="90">
        <v>3705</v>
      </c>
      <c r="F758" s="90" t="s">
        <v>1454</v>
      </c>
      <c r="G758" s="90"/>
      <c r="H758" s="93"/>
      <c r="I758" s="93"/>
      <c r="J758" s="93"/>
      <c r="K758" s="95"/>
      <c r="L758" s="69"/>
      <c r="M758" s="69"/>
      <c r="N758" s="69"/>
      <c r="O758" s="69"/>
      <c r="P758" s="78"/>
      <c r="Q758" s="96"/>
      <c r="R758" s="97"/>
      <c r="S758" s="98"/>
    </row>
    <row r="759" spans="1:19" ht="42.75">
      <c r="A759" s="90" t="s">
        <v>49</v>
      </c>
      <c r="B759" s="91" t="s">
        <v>439</v>
      </c>
      <c r="C759" s="91" t="s">
        <v>2546</v>
      </c>
      <c r="D759" s="90">
        <v>3435</v>
      </c>
      <c r="E759" s="90">
        <v>3717</v>
      </c>
      <c r="F759" s="90" t="s">
        <v>1454</v>
      </c>
      <c r="G759" s="90"/>
      <c r="H759" s="93"/>
      <c r="I759" s="93"/>
      <c r="J759" s="93"/>
      <c r="K759" s="95"/>
      <c r="L759" s="69"/>
      <c r="M759" s="69"/>
      <c r="N759" s="69"/>
      <c r="O759" s="69"/>
      <c r="P759" s="78"/>
      <c r="Q759" s="96"/>
      <c r="R759" s="97"/>
      <c r="S759" s="98"/>
    </row>
    <row r="760" spans="1:19" ht="42.75">
      <c r="A760" s="90" t="s">
        <v>49</v>
      </c>
      <c r="B760" s="91" t="s">
        <v>439</v>
      </c>
      <c r="C760" s="91" t="s">
        <v>2547</v>
      </c>
      <c r="D760" s="90">
        <v>1811</v>
      </c>
      <c r="E760" s="90">
        <v>2030</v>
      </c>
      <c r="F760" s="90" t="s">
        <v>1454</v>
      </c>
      <c r="G760" s="90"/>
      <c r="H760" s="93"/>
      <c r="I760" s="93"/>
      <c r="J760" s="93"/>
      <c r="K760" s="95"/>
      <c r="L760" s="69"/>
      <c r="M760" s="69"/>
      <c r="N760" s="69"/>
      <c r="O760" s="69"/>
      <c r="P760" s="78"/>
      <c r="Q760" s="96"/>
      <c r="R760" s="97"/>
      <c r="S760" s="98"/>
    </row>
    <row r="761" spans="1:19" ht="42.75">
      <c r="A761" s="142" t="s">
        <v>49</v>
      </c>
      <c r="B761" s="91" t="s">
        <v>439</v>
      </c>
      <c r="C761" s="91" t="s">
        <v>2548</v>
      </c>
      <c r="D761" s="90">
        <v>3393</v>
      </c>
      <c r="E761" s="90">
        <v>3699</v>
      </c>
      <c r="F761" s="90" t="s">
        <v>1454</v>
      </c>
      <c r="G761" s="90"/>
      <c r="H761" s="93"/>
      <c r="I761" s="93"/>
      <c r="J761" s="93"/>
      <c r="K761" s="95"/>
      <c r="L761" s="69"/>
      <c r="M761" s="69"/>
      <c r="N761" s="69"/>
      <c r="O761" s="69"/>
      <c r="P761" s="78"/>
      <c r="Q761" s="96"/>
      <c r="R761" s="97"/>
      <c r="S761" s="98"/>
    </row>
    <row r="762" spans="1:19" ht="42.75">
      <c r="A762" s="90" t="s">
        <v>49</v>
      </c>
      <c r="B762" s="91" t="s">
        <v>439</v>
      </c>
      <c r="C762" s="91" t="s">
        <v>2549</v>
      </c>
      <c r="D762" s="90">
        <v>1183</v>
      </c>
      <c r="E762" s="90">
        <v>1273</v>
      </c>
      <c r="F762" s="90" t="s">
        <v>1454</v>
      </c>
      <c r="G762" s="90"/>
      <c r="H762" s="93"/>
      <c r="I762" s="93"/>
      <c r="J762" s="93"/>
      <c r="K762" s="95"/>
      <c r="L762" s="69"/>
      <c r="M762" s="69"/>
      <c r="N762" s="69"/>
      <c r="O762" s="69"/>
      <c r="P762" s="78"/>
      <c r="Q762" s="96"/>
      <c r="R762" s="97"/>
      <c r="S762" s="98"/>
    </row>
    <row r="763" spans="1:19" ht="42.75">
      <c r="A763" s="90" t="s">
        <v>49</v>
      </c>
      <c r="B763" s="91" t="s">
        <v>439</v>
      </c>
      <c r="C763" s="91" t="s">
        <v>2550</v>
      </c>
      <c r="D763" s="90">
        <v>3134</v>
      </c>
      <c r="E763" s="90">
        <v>3268</v>
      </c>
      <c r="F763" s="90" t="s">
        <v>1454</v>
      </c>
      <c r="G763" s="90"/>
      <c r="H763" s="93"/>
      <c r="I763" s="93"/>
      <c r="J763" s="93"/>
      <c r="K763" s="95"/>
      <c r="L763" s="69"/>
      <c r="M763" s="69"/>
      <c r="N763" s="69"/>
      <c r="O763" s="69"/>
      <c r="P763" s="78"/>
      <c r="Q763" s="96"/>
      <c r="R763" s="97"/>
      <c r="S763" s="98"/>
    </row>
    <row r="764" spans="1:19" ht="42.75">
      <c r="A764" s="90" t="s">
        <v>49</v>
      </c>
      <c r="B764" s="91" t="s">
        <v>439</v>
      </c>
      <c r="C764" s="91" t="s">
        <v>2551</v>
      </c>
      <c r="D764" s="90">
        <v>3774</v>
      </c>
      <c r="E764" s="90">
        <v>3693</v>
      </c>
      <c r="F764" s="90" t="s">
        <v>1434</v>
      </c>
      <c r="G764" s="90">
        <v>2024</v>
      </c>
      <c r="H764" s="101">
        <v>45540</v>
      </c>
      <c r="I764" s="101">
        <v>45541</v>
      </c>
      <c r="J764" s="94" t="s">
        <v>2552</v>
      </c>
      <c r="K764" s="100">
        <v>45552</v>
      </c>
      <c r="L764" s="69" t="s">
        <v>82</v>
      </c>
      <c r="M764" s="69" t="s">
        <v>1589</v>
      </c>
      <c r="N764" s="69"/>
      <c r="O764" s="69" t="s">
        <v>1436</v>
      </c>
      <c r="P764" s="78"/>
      <c r="Q764" s="70">
        <v>45552</v>
      </c>
      <c r="R764" s="97" t="s">
        <v>2473</v>
      </c>
      <c r="S764" s="98"/>
    </row>
    <row r="765" spans="1:19" ht="42.75">
      <c r="A765" s="90" t="s">
        <v>49</v>
      </c>
      <c r="B765" s="91" t="s">
        <v>439</v>
      </c>
      <c r="C765" s="154" t="s">
        <v>2553</v>
      </c>
      <c r="D765" s="90">
        <v>2234</v>
      </c>
      <c r="E765" s="90">
        <v>2744</v>
      </c>
      <c r="F765" s="90" t="s">
        <v>1434</v>
      </c>
      <c r="G765" s="90">
        <v>2024</v>
      </c>
      <c r="H765" s="101">
        <v>45518</v>
      </c>
      <c r="I765" s="101">
        <v>45519</v>
      </c>
      <c r="J765" s="94" t="s">
        <v>2554</v>
      </c>
      <c r="K765" s="100">
        <v>45523</v>
      </c>
      <c r="L765" s="69" t="s">
        <v>81</v>
      </c>
      <c r="M765" s="69" t="s">
        <v>1589</v>
      </c>
      <c r="N765" s="69"/>
      <c r="O765" s="69" t="s">
        <v>1436</v>
      </c>
      <c r="P765" s="78"/>
      <c r="Q765" s="69" t="s">
        <v>2370</v>
      </c>
      <c r="R765" s="97"/>
      <c r="S765" s="98"/>
    </row>
    <row r="766" spans="1:19" ht="42.75">
      <c r="A766" s="142" t="s">
        <v>49</v>
      </c>
      <c r="B766" s="155" t="s">
        <v>439</v>
      </c>
      <c r="C766" s="156" t="s">
        <v>2555</v>
      </c>
      <c r="D766" s="90">
        <v>5897</v>
      </c>
      <c r="E766" s="90">
        <v>6605</v>
      </c>
      <c r="F766" s="90" t="s">
        <v>1434</v>
      </c>
      <c r="G766" s="90">
        <v>2024</v>
      </c>
      <c r="H766" s="101">
        <v>45540</v>
      </c>
      <c r="I766" s="101">
        <v>45541</v>
      </c>
      <c r="J766" s="94" t="s">
        <v>2556</v>
      </c>
      <c r="K766" s="100">
        <v>45552</v>
      </c>
      <c r="L766" s="69" t="s">
        <v>82</v>
      </c>
      <c r="M766" s="69" t="s">
        <v>1589</v>
      </c>
      <c r="N766" s="69"/>
      <c r="O766" s="69" t="s">
        <v>1436</v>
      </c>
      <c r="P766" s="78"/>
      <c r="Q766" s="70">
        <v>45552</v>
      </c>
      <c r="R766" s="97" t="s">
        <v>2473</v>
      </c>
      <c r="S766" s="98"/>
    </row>
    <row r="767" spans="1:19" ht="42.75">
      <c r="A767" s="90" t="s">
        <v>49</v>
      </c>
      <c r="B767" s="91" t="s">
        <v>439</v>
      </c>
      <c r="C767" s="91" t="s">
        <v>2557</v>
      </c>
      <c r="D767" s="90">
        <v>2583</v>
      </c>
      <c r="E767" s="90">
        <v>2806</v>
      </c>
      <c r="F767" s="90" t="s">
        <v>1454</v>
      </c>
      <c r="G767" s="90"/>
      <c r="H767" s="93"/>
      <c r="I767" s="93"/>
      <c r="J767" s="93"/>
      <c r="K767" s="95"/>
      <c r="L767" s="69"/>
      <c r="M767" s="69"/>
      <c r="N767" s="69"/>
      <c r="O767" s="69"/>
      <c r="P767" s="78"/>
      <c r="Q767" s="96"/>
      <c r="R767" s="97"/>
      <c r="S767" s="98"/>
    </row>
    <row r="768" spans="1:19" ht="42.75">
      <c r="A768" s="90" t="s">
        <v>49</v>
      </c>
      <c r="B768" s="91" t="s">
        <v>439</v>
      </c>
      <c r="C768" s="91" t="s">
        <v>2558</v>
      </c>
      <c r="D768" s="90">
        <v>1914</v>
      </c>
      <c r="E768" s="90">
        <v>2389</v>
      </c>
      <c r="F768" s="90" t="s">
        <v>1454</v>
      </c>
      <c r="G768" s="90"/>
      <c r="H768" s="93"/>
      <c r="I768" s="93"/>
      <c r="J768" s="93"/>
      <c r="K768" s="95"/>
      <c r="L768" s="69"/>
      <c r="M768" s="69"/>
      <c r="N768" s="69"/>
      <c r="O768" s="69"/>
      <c r="P768" s="78"/>
      <c r="Q768" s="96"/>
      <c r="R768" s="97"/>
      <c r="S768" s="98"/>
    </row>
    <row r="769" spans="1:19" ht="42.75">
      <c r="A769" s="90" t="s">
        <v>49</v>
      </c>
      <c r="B769" s="91" t="s">
        <v>439</v>
      </c>
      <c r="C769" s="91" t="s">
        <v>1069</v>
      </c>
      <c r="D769" s="90">
        <v>6087</v>
      </c>
      <c r="E769" s="90">
        <v>6743</v>
      </c>
      <c r="F769" s="90" t="s">
        <v>1454</v>
      </c>
      <c r="G769" s="90"/>
      <c r="H769" s="93"/>
      <c r="I769" s="93"/>
      <c r="J769" s="93"/>
      <c r="K769" s="95"/>
      <c r="L769" s="69"/>
      <c r="M769" s="69"/>
      <c r="N769" s="69"/>
      <c r="O769" s="69"/>
      <c r="P769" s="78"/>
      <c r="Q769" s="96"/>
      <c r="R769" s="97"/>
      <c r="S769" s="98"/>
    </row>
    <row r="770" spans="1:19" ht="42.75">
      <c r="A770" s="90" t="s">
        <v>49</v>
      </c>
      <c r="B770" s="91" t="s">
        <v>439</v>
      </c>
      <c r="C770" s="91" t="s">
        <v>2559</v>
      </c>
      <c r="D770" s="90">
        <v>839</v>
      </c>
      <c r="E770" s="90">
        <v>1145</v>
      </c>
      <c r="F770" s="90" t="s">
        <v>1454</v>
      </c>
      <c r="G770" s="90"/>
      <c r="H770" s="93"/>
      <c r="I770" s="93"/>
      <c r="J770" s="93"/>
      <c r="K770" s="95"/>
      <c r="L770" s="69"/>
      <c r="M770" s="69"/>
      <c r="N770" s="69"/>
      <c r="O770" s="69"/>
      <c r="P770" s="78"/>
      <c r="Q770" s="96"/>
      <c r="R770" s="97"/>
      <c r="S770" s="98"/>
    </row>
    <row r="771" spans="1:19" ht="42.75">
      <c r="A771" s="90" t="s">
        <v>49</v>
      </c>
      <c r="B771" s="91" t="s">
        <v>439</v>
      </c>
      <c r="C771" s="91" t="s">
        <v>2560</v>
      </c>
      <c r="D771" s="90">
        <v>7283</v>
      </c>
      <c r="E771" s="90">
        <v>7738</v>
      </c>
      <c r="F771" s="90" t="s">
        <v>1454</v>
      </c>
      <c r="G771" s="90"/>
      <c r="H771" s="93"/>
      <c r="I771" s="93"/>
      <c r="J771" s="93"/>
      <c r="K771" s="95"/>
      <c r="L771" s="69"/>
      <c r="M771" s="69"/>
      <c r="N771" s="69"/>
      <c r="O771" s="69"/>
      <c r="P771" s="78"/>
      <c r="Q771" s="96"/>
      <c r="R771" s="97"/>
      <c r="S771" s="98"/>
    </row>
    <row r="772" spans="1:19" ht="42.75">
      <c r="A772" s="90" t="s">
        <v>49</v>
      </c>
      <c r="B772" s="91" t="s">
        <v>439</v>
      </c>
      <c r="C772" s="91" t="s">
        <v>926</v>
      </c>
      <c r="D772" s="90">
        <v>4080</v>
      </c>
      <c r="E772" s="90">
        <v>4901</v>
      </c>
      <c r="F772" s="90" t="s">
        <v>1454</v>
      </c>
      <c r="G772" s="90"/>
      <c r="H772" s="93"/>
      <c r="I772" s="93"/>
      <c r="J772" s="93"/>
      <c r="K772" s="95"/>
      <c r="L772" s="69"/>
      <c r="M772" s="69"/>
      <c r="N772" s="69"/>
      <c r="O772" s="69"/>
      <c r="P772" s="78"/>
      <c r="Q772" s="96"/>
      <c r="R772" s="97"/>
      <c r="S772" s="98"/>
    </row>
    <row r="773" spans="1:19" ht="42.75">
      <c r="A773" s="90" t="s">
        <v>49</v>
      </c>
      <c r="B773" s="91" t="s">
        <v>439</v>
      </c>
      <c r="C773" s="91" t="s">
        <v>2561</v>
      </c>
      <c r="D773" s="90">
        <v>1987</v>
      </c>
      <c r="E773" s="90">
        <v>2198</v>
      </c>
      <c r="F773" s="90" t="s">
        <v>1454</v>
      </c>
      <c r="G773" s="90"/>
      <c r="H773" s="93"/>
      <c r="I773" s="93"/>
      <c r="J773" s="93"/>
      <c r="K773" s="95"/>
      <c r="L773" s="69"/>
      <c r="M773" s="69"/>
      <c r="N773" s="69"/>
      <c r="O773" s="69"/>
      <c r="P773" s="78"/>
      <c r="Q773" s="96"/>
      <c r="R773" s="97"/>
      <c r="S773" s="98"/>
    </row>
    <row r="774" spans="1:19" ht="42.75">
      <c r="A774" s="90" t="s">
        <v>49</v>
      </c>
      <c r="B774" s="91" t="s">
        <v>439</v>
      </c>
      <c r="C774" s="91" t="s">
        <v>764</v>
      </c>
      <c r="D774" s="90">
        <v>5149</v>
      </c>
      <c r="E774" s="90">
        <v>4986</v>
      </c>
      <c r="F774" s="90" t="s">
        <v>1454</v>
      </c>
      <c r="G774" s="90"/>
      <c r="H774" s="93"/>
      <c r="I774" s="93"/>
      <c r="J774" s="93"/>
      <c r="K774" s="95"/>
      <c r="L774" s="69"/>
      <c r="M774" s="69"/>
      <c r="N774" s="69"/>
      <c r="O774" s="69"/>
      <c r="P774" s="78"/>
      <c r="Q774" s="96"/>
      <c r="R774" s="97"/>
      <c r="S774" s="98"/>
    </row>
    <row r="775" spans="1:19" ht="42.75">
      <c r="A775" s="90" t="s">
        <v>49</v>
      </c>
      <c r="B775" s="91" t="s">
        <v>439</v>
      </c>
      <c r="C775" s="91" t="s">
        <v>2562</v>
      </c>
      <c r="D775" s="90">
        <v>1502</v>
      </c>
      <c r="E775" s="90">
        <v>1422</v>
      </c>
      <c r="F775" s="90" t="s">
        <v>1454</v>
      </c>
      <c r="G775" s="90"/>
      <c r="H775" s="93"/>
      <c r="I775" s="93"/>
      <c r="J775" s="93"/>
      <c r="K775" s="95"/>
      <c r="L775" s="69"/>
      <c r="M775" s="69"/>
      <c r="N775" s="69"/>
      <c r="O775" s="69"/>
      <c r="P775" s="78"/>
      <c r="Q775" s="96"/>
      <c r="R775" s="97"/>
      <c r="S775" s="98"/>
    </row>
    <row r="776" spans="1:19" ht="42.75">
      <c r="A776" s="90" t="s">
        <v>49</v>
      </c>
      <c r="B776" s="91" t="s">
        <v>439</v>
      </c>
      <c r="C776" s="91" t="s">
        <v>2563</v>
      </c>
      <c r="D776" s="90">
        <v>2620</v>
      </c>
      <c r="E776" s="90">
        <v>2971</v>
      </c>
      <c r="F776" s="90" t="s">
        <v>1454</v>
      </c>
      <c r="G776" s="90"/>
      <c r="H776" s="93"/>
      <c r="I776" s="93"/>
      <c r="J776" s="93"/>
      <c r="K776" s="95"/>
      <c r="L776" s="69"/>
      <c r="M776" s="69"/>
      <c r="N776" s="69"/>
      <c r="O776" s="69"/>
      <c r="P776" s="78"/>
      <c r="Q776" s="96"/>
      <c r="R776" s="97"/>
      <c r="S776" s="98"/>
    </row>
    <row r="777" spans="1:19" ht="42.75">
      <c r="A777" s="90" t="s">
        <v>49</v>
      </c>
      <c r="B777" s="91" t="s">
        <v>439</v>
      </c>
      <c r="C777" s="91" t="s">
        <v>2564</v>
      </c>
      <c r="D777" s="90">
        <v>1483</v>
      </c>
      <c r="E777" s="90">
        <v>1626</v>
      </c>
      <c r="F777" s="90" t="s">
        <v>1454</v>
      </c>
      <c r="G777" s="90"/>
      <c r="H777" s="93"/>
      <c r="I777" s="93"/>
      <c r="J777" s="93"/>
      <c r="K777" s="95"/>
      <c r="L777" s="69"/>
      <c r="M777" s="69"/>
      <c r="N777" s="69"/>
      <c r="O777" s="69"/>
      <c r="P777" s="78"/>
      <c r="Q777" s="96"/>
      <c r="R777" s="97"/>
      <c r="S777" s="98"/>
    </row>
    <row r="778" spans="1:19" ht="42.75">
      <c r="A778" s="142" t="s">
        <v>49</v>
      </c>
      <c r="B778" s="91" t="s">
        <v>439</v>
      </c>
      <c r="C778" s="91" t="s">
        <v>2565</v>
      </c>
      <c r="D778" s="90">
        <v>3946</v>
      </c>
      <c r="E778" s="90">
        <v>4858</v>
      </c>
      <c r="F778" s="90" t="s">
        <v>1454</v>
      </c>
      <c r="G778" s="90"/>
      <c r="H778" s="93"/>
      <c r="I778" s="93"/>
      <c r="J778" s="93"/>
      <c r="K778" s="95"/>
      <c r="L778" s="69"/>
      <c r="M778" s="69"/>
      <c r="N778" s="69"/>
      <c r="O778" s="69"/>
      <c r="P778" s="78"/>
      <c r="Q778" s="96"/>
      <c r="R778" s="97"/>
      <c r="S778" s="98"/>
    </row>
    <row r="779" spans="1:19" ht="42.75">
      <c r="A779" s="142" t="s">
        <v>49</v>
      </c>
      <c r="B779" s="91" t="s">
        <v>439</v>
      </c>
      <c r="C779" s="154" t="s">
        <v>2566</v>
      </c>
      <c r="D779" s="90">
        <v>1988</v>
      </c>
      <c r="E779" s="90">
        <v>2383</v>
      </c>
      <c r="F779" s="90" t="s">
        <v>1454</v>
      </c>
      <c r="G779" s="90"/>
      <c r="H779" s="93"/>
      <c r="I779" s="93"/>
      <c r="J779" s="93"/>
      <c r="K779" s="95"/>
      <c r="L779" s="69"/>
      <c r="M779" s="69"/>
      <c r="N779" s="69"/>
      <c r="O779" s="69"/>
      <c r="P779" s="78"/>
      <c r="Q779" s="96"/>
      <c r="R779" s="97"/>
      <c r="S779" s="98"/>
    </row>
    <row r="780" spans="1:19" ht="42.75">
      <c r="A780" s="142" t="s">
        <v>49</v>
      </c>
      <c r="B780" s="155" t="s">
        <v>439</v>
      </c>
      <c r="C780" s="156" t="s">
        <v>2567</v>
      </c>
      <c r="D780" s="90">
        <v>2257</v>
      </c>
      <c r="E780" s="90">
        <v>2407</v>
      </c>
      <c r="F780" s="90" t="s">
        <v>1434</v>
      </c>
      <c r="G780" s="90">
        <v>2024</v>
      </c>
      <c r="H780" s="101">
        <v>45483</v>
      </c>
      <c r="I780" s="101">
        <v>45485</v>
      </c>
      <c r="J780" s="94" t="s">
        <v>2568</v>
      </c>
      <c r="K780" s="100">
        <v>45489</v>
      </c>
      <c r="L780" s="69" t="s">
        <v>80</v>
      </c>
      <c r="M780" s="69" t="s">
        <v>4</v>
      </c>
      <c r="N780" s="69" t="s">
        <v>101</v>
      </c>
      <c r="O780" s="69" t="s">
        <v>1436</v>
      </c>
      <c r="P780" s="78"/>
      <c r="Q780" s="96">
        <v>45490</v>
      </c>
      <c r="R780" s="97"/>
      <c r="S780" s="98"/>
    </row>
    <row r="781" spans="1:19" ht="42.75">
      <c r="A781" s="90" t="s">
        <v>49</v>
      </c>
      <c r="B781" s="91" t="s">
        <v>439</v>
      </c>
      <c r="C781" s="91" t="s">
        <v>2569</v>
      </c>
      <c r="D781" s="90">
        <v>1020</v>
      </c>
      <c r="E781" s="90">
        <v>1110</v>
      </c>
      <c r="F781" s="90" t="s">
        <v>1454</v>
      </c>
      <c r="G781" s="90"/>
      <c r="H781" s="93"/>
      <c r="I781" s="93"/>
      <c r="J781" s="93"/>
      <c r="K781" s="95"/>
      <c r="L781" s="69"/>
      <c r="M781" s="69"/>
      <c r="N781" s="69"/>
      <c r="O781" s="69"/>
      <c r="P781" s="78"/>
      <c r="Q781" s="96"/>
      <c r="R781" s="97"/>
      <c r="S781" s="98"/>
    </row>
    <row r="782" spans="1:19" ht="42.75">
      <c r="A782" s="90" t="s">
        <v>49</v>
      </c>
      <c r="B782" s="91" t="s">
        <v>439</v>
      </c>
      <c r="C782" s="91" t="s">
        <v>2570</v>
      </c>
      <c r="D782" s="90">
        <v>2524</v>
      </c>
      <c r="E782" s="90">
        <v>2729</v>
      </c>
      <c r="F782" s="90" t="s">
        <v>1454</v>
      </c>
      <c r="G782" s="90"/>
      <c r="H782" s="93"/>
      <c r="I782" s="93"/>
      <c r="J782" s="93"/>
      <c r="K782" s="95"/>
      <c r="L782" s="69"/>
      <c r="M782" s="69"/>
      <c r="N782" s="69"/>
      <c r="O782" s="69"/>
      <c r="P782" s="78"/>
      <c r="Q782" s="96"/>
      <c r="R782" s="97"/>
      <c r="S782" s="98"/>
    </row>
    <row r="783" spans="1:19" ht="42.75">
      <c r="A783" s="90" t="s">
        <v>49</v>
      </c>
      <c r="B783" s="91" t="s">
        <v>439</v>
      </c>
      <c r="C783" s="91" t="s">
        <v>2571</v>
      </c>
      <c r="D783" s="90">
        <v>2423</v>
      </c>
      <c r="E783" s="90">
        <v>2509</v>
      </c>
      <c r="F783" s="90" t="s">
        <v>1454</v>
      </c>
      <c r="G783" s="90"/>
      <c r="H783" s="93"/>
      <c r="I783" s="93"/>
      <c r="J783" s="93"/>
      <c r="K783" s="95"/>
      <c r="L783" s="69"/>
      <c r="M783" s="69"/>
      <c r="N783" s="69"/>
      <c r="O783" s="69"/>
      <c r="P783" s="78"/>
      <c r="Q783" s="96"/>
      <c r="R783" s="97"/>
      <c r="S783" s="98"/>
    </row>
    <row r="784" spans="1:19" ht="42.75">
      <c r="A784" s="90" t="s">
        <v>49</v>
      </c>
      <c r="B784" s="91" t="s">
        <v>439</v>
      </c>
      <c r="C784" s="91" t="s">
        <v>2572</v>
      </c>
      <c r="D784" s="90">
        <v>2460</v>
      </c>
      <c r="E784" s="90">
        <v>3070</v>
      </c>
      <c r="F784" s="90" t="s">
        <v>1454</v>
      </c>
      <c r="G784" s="90"/>
      <c r="H784" s="93"/>
      <c r="I784" s="93"/>
      <c r="J784" s="93"/>
      <c r="K784" s="95"/>
      <c r="L784" s="69"/>
      <c r="M784" s="69"/>
      <c r="N784" s="69"/>
      <c r="O784" s="69"/>
      <c r="P784" s="78"/>
      <c r="Q784" s="96"/>
      <c r="R784" s="97"/>
      <c r="S784" s="98"/>
    </row>
    <row r="785" spans="1:19" ht="42.75">
      <c r="A785" s="90" t="s">
        <v>49</v>
      </c>
      <c r="B785" s="91" t="s">
        <v>2573</v>
      </c>
      <c r="C785" s="154" t="s">
        <v>2574</v>
      </c>
      <c r="D785" s="90">
        <v>7258</v>
      </c>
      <c r="E785" s="90">
        <v>7264</v>
      </c>
      <c r="F785" s="90" t="s">
        <v>1454</v>
      </c>
      <c r="G785" s="90"/>
      <c r="H785" s="93"/>
      <c r="I785" s="93"/>
      <c r="J785" s="93"/>
      <c r="K785" s="95"/>
      <c r="L785" s="69"/>
      <c r="M785" s="69"/>
      <c r="N785" s="69"/>
      <c r="O785" s="69"/>
      <c r="P785" s="78"/>
      <c r="Q785" s="96"/>
      <c r="R785" s="97"/>
      <c r="S785" s="98"/>
    </row>
    <row r="786" spans="1:19" ht="42.75">
      <c r="A786" s="90" t="s">
        <v>49</v>
      </c>
      <c r="B786" s="155" t="s">
        <v>2573</v>
      </c>
      <c r="C786" s="156" t="s">
        <v>2575</v>
      </c>
      <c r="D786" s="90">
        <v>8806</v>
      </c>
      <c r="E786" s="90">
        <v>11008</v>
      </c>
      <c r="F786" s="90" t="s">
        <v>1434</v>
      </c>
      <c r="G786" s="90">
        <v>2024</v>
      </c>
      <c r="H786" s="101">
        <v>45575</v>
      </c>
      <c r="I786" s="101">
        <v>45581</v>
      </c>
      <c r="J786" s="94" t="s">
        <v>2576</v>
      </c>
      <c r="K786" s="100">
        <v>45584</v>
      </c>
      <c r="L786" s="69" t="s">
        <v>83</v>
      </c>
      <c r="M786" s="69" t="s">
        <v>4</v>
      </c>
      <c r="N786" s="69" t="s">
        <v>101</v>
      </c>
      <c r="O786" s="69" t="s">
        <v>1436</v>
      </c>
      <c r="P786" s="78"/>
      <c r="Q786" s="96">
        <v>45586</v>
      </c>
      <c r="R786" s="97" t="s">
        <v>929</v>
      </c>
      <c r="S786" s="98"/>
    </row>
    <row r="787" spans="1:19" ht="42.75">
      <c r="A787" s="142" t="s">
        <v>49</v>
      </c>
      <c r="B787" s="91" t="s">
        <v>2573</v>
      </c>
      <c r="C787" s="91" t="s">
        <v>2577</v>
      </c>
      <c r="D787" s="90">
        <v>43683</v>
      </c>
      <c r="E787" s="90">
        <v>56896</v>
      </c>
      <c r="F787" s="90" t="s">
        <v>1454</v>
      </c>
      <c r="G787" s="90"/>
      <c r="H787" s="93"/>
      <c r="I787" s="93"/>
      <c r="J787" s="93"/>
      <c r="K787" s="95"/>
      <c r="L787" s="69"/>
      <c r="M787" s="69"/>
      <c r="N787" s="69"/>
      <c r="O787" s="69"/>
      <c r="P787" s="78"/>
      <c r="Q787" s="96"/>
      <c r="R787" s="97"/>
      <c r="S787" s="98"/>
    </row>
    <row r="788" spans="1:19" ht="42.75">
      <c r="A788" s="90" t="s">
        <v>49</v>
      </c>
      <c r="B788" s="91" t="s">
        <v>2573</v>
      </c>
      <c r="C788" s="91" t="s">
        <v>2578</v>
      </c>
      <c r="D788" s="90">
        <v>38407</v>
      </c>
      <c r="E788" s="90">
        <v>46045</v>
      </c>
      <c r="F788" s="90" t="s">
        <v>1454</v>
      </c>
      <c r="G788" s="90"/>
      <c r="H788" s="93"/>
      <c r="I788" s="93"/>
      <c r="J788" s="93"/>
      <c r="K788" s="95"/>
      <c r="L788" s="69"/>
      <c r="M788" s="69"/>
      <c r="N788" s="69"/>
      <c r="O788" s="69"/>
      <c r="P788" s="78"/>
      <c r="Q788" s="96"/>
      <c r="R788" s="97"/>
      <c r="S788" s="98"/>
    </row>
    <row r="789" spans="1:19" ht="42.75">
      <c r="A789" s="90" t="s">
        <v>49</v>
      </c>
      <c r="B789" s="91" t="s">
        <v>2573</v>
      </c>
      <c r="C789" s="91" t="s">
        <v>2579</v>
      </c>
      <c r="D789" s="90">
        <v>2974</v>
      </c>
      <c r="E789" s="90">
        <v>3245</v>
      </c>
      <c r="F789" s="90" t="s">
        <v>1454</v>
      </c>
      <c r="G789" s="90"/>
      <c r="H789" s="93"/>
      <c r="I789" s="93"/>
      <c r="J789" s="93"/>
      <c r="K789" s="95"/>
      <c r="L789" s="69"/>
      <c r="M789" s="69"/>
      <c r="N789" s="69"/>
      <c r="O789" s="69"/>
      <c r="P789" s="78"/>
      <c r="Q789" s="96"/>
      <c r="R789" s="97"/>
      <c r="S789" s="98"/>
    </row>
    <row r="790" spans="1:19" ht="42.75">
      <c r="A790" s="90" t="s">
        <v>49</v>
      </c>
      <c r="B790" s="91" t="s">
        <v>2573</v>
      </c>
      <c r="C790" s="91" t="s">
        <v>2452</v>
      </c>
      <c r="D790" s="90">
        <v>3344</v>
      </c>
      <c r="E790" s="90">
        <v>3333</v>
      </c>
      <c r="F790" s="90" t="s">
        <v>1454</v>
      </c>
      <c r="G790" s="90"/>
      <c r="H790" s="93"/>
      <c r="I790" s="93"/>
      <c r="J790" s="93"/>
      <c r="K790" s="95"/>
      <c r="L790" s="69"/>
      <c r="M790" s="69"/>
      <c r="N790" s="69"/>
      <c r="O790" s="69"/>
      <c r="P790" s="78"/>
      <c r="Q790" s="96"/>
      <c r="R790" s="97"/>
      <c r="S790" s="98"/>
    </row>
    <row r="791" spans="1:19" ht="42.75">
      <c r="A791" s="90" t="s">
        <v>49</v>
      </c>
      <c r="B791" s="91" t="s">
        <v>2573</v>
      </c>
      <c r="C791" s="91" t="s">
        <v>739</v>
      </c>
      <c r="D791" s="90">
        <v>106603</v>
      </c>
      <c r="E791" s="90">
        <v>127506</v>
      </c>
      <c r="F791" s="90" t="s">
        <v>1454</v>
      </c>
      <c r="G791" s="90"/>
      <c r="H791" s="93"/>
      <c r="I791" s="93"/>
      <c r="J791" s="93"/>
      <c r="K791" s="95"/>
      <c r="L791" s="69"/>
      <c r="M791" s="69"/>
      <c r="N791" s="69"/>
      <c r="O791" s="69"/>
      <c r="P791" s="78"/>
      <c r="Q791" s="96"/>
      <c r="R791" s="97"/>
      <c r="S791" s="98"/>
    </row>
    <row r="792" spans="1:19" ht="42.75">
      <c r="A792" s="90" t="s">
        <v>49</v>
      </c>
      <c r="B792" s="91" t="s">
        <v>2573</v>
      </c>
      <c r="C792" s="154" t="s">
        <v>926</v>
      </c>
      <c r="D792" s="90">
        <v>2161</v>
      </c>
      <c r="E792" s="90">
        <v>2273</v>
      </c>
      <c r="F792" s="90" t="s">
        <v>1454</v>
      </c>
      <c r="G792" s="90"/>
      <c r="H792" s="93"/>
      <c r="I792" s="93"/>
      <c r="J792" s="93"/>
      <c r="K792" s="95"/>
      <c r="L792" s="69"/>
      <c r="M792" s="69"/>
      <c r="N792" s="69"/>
      <c r="O792" s="69"/>
      <c r="P792" s="78"/>
      <c r="Q792" s="96"/>
      <c r="R792" s="97"/>
      <c r="S792" s="98"/>
    </row>
    <row r="793" spans="1:19" ht="42.75">
      <c r="A793" s="90" t="s">
        <v>49</v>
      </c>
      <c r="B793" s="155" t="s">
        <v>2573</v>
      </c>
      <c r="C793" s="156" t="s">
        <v>2236</v>
      </c>
      <c r="D793" s="90">
        <v>39039</v>
      </c>
      <c r="E793" s="90">
        <v>49579</v>
      </c>
      <c r="F793" s="90" t="s">
        <v>1434</v>
      </c>
      <c r="G793" s="90">
        <v>2024</v>
      </c>
      <c r="H793" s="101">
        <v>45576</v>
      </c>
      <c r="I793" s="101">
        <v>45581</v>
      </c>
      <c r="J793" s="94" t="s">
        <v>2580</v>
      </c>
      <c r="K793" s="100">
        <v>45584</v>
      </c>
      <c r="L793" s="69" t="s">
        <v>83</v>
      </c>
      <c r="M793" s="69" t="s">
        <v>4</v>
      </c>
      <c r="N793" s="69" t="s">
        <v>101</v>
      </c>
      <c r="O793" s="69" t="s">
        <v>1436</v>
      </c>
      <c r="P793" s="78"/>
      <c r="Q793" s="96">
        <v>45586</v>
      </c>
      <c r="R793" s="97" t="s">
        <v>929</v>
      </c>
      <c r="S793" s="98"/>
    </row>
    <row r="794" spans="1:19" ht="42.75">
      <c r="A794" s="90" t="s">
        <v>49</v>
      </c>
      <c r="B794" s="91" t="s">
        <v>2573</v>
      </c>
      <c r="C794" s="91" t="s">
        <v>2581</v>
      </c>
      <c r="D794" s="90">
        <v>5563</v>
      </c>
      <c r="E794" s="90">
        <v>5804</v>
      </c>
      <c r="F794" s="90" t="s">
        <v>1454</v>
      </c>
      <c r="G794" s="90"/>
      <c r="H794" s="93"/>
      <c r="I794" s="93"/>
      <c r="J794" s="93"/>
      <c r="K794" s="95"/>
      <c r="L794" s="69"/>
      <c r="M794" s="69"/>
      <c r="N794" s="69"/>
      <c r="O794" s="69"/>
      <c r="P794" s="78"/>
      <c r="Q794" s="96"/>
      <c r="R794" s="97"/>
      <c r="S794" s="98"/>
    </row>
    <row r="795" spans="1:19" ht="42.75">
      <c r="A795" s="90" t="s">
        <v>49</v>
      </c>
      <c r="B795" s="91" t="s">
        <v>2573</v>
      </c>
      <c r="C795" s="91" t="s">
        <v>585</v>
      </c>
      <c r="D795" s="90">
        <v>12856</v>
      </c>
      <c r="E795" s="90">
        <v>16324</v>
      </c>
      <c r="F795" s="90" t="s">
        <v>1454</v>
      </c>
      <c r="G795" s="90"/>
      <c r="H795" s="93"/>
      <c r="I795" s="93"/>
      <c r="J795" s="93"/>
      <c r="K795" s="95"/>
      <c r="L795" s="69"/>
      <c r="M795" s="69"/>
      <c r="N795" s="69"/>
      <c r="O795" s="69"/>
      <c r="P795" s="78"/>
      <c r="Q795" s="96"/>
      <c r="R795" s="97"/>
      <c r="S795" s="98"/>
    </row>
    <row r="796" spans="1:19" ht="42.75">
      <c r="A796" s="90" t="s">
        <v>49</v>
      </c>
      <c r="B796" s="91" t="s">
        <v>2573</v>
      </c>
      <c r="C796" s="91" t="s">
        <v>2582</v>
      </c>
      <c r="D796" s="90">
        <v>20937</v>
      </c>
      <c r="E796" s="90">
        <v>22893</v>
      </c>
      <c r="F796" s="90" t="s">
        <v>1454</v>
      </c>
      <c r="G796" s="90"/>
      <c r="H796" s="93"/>
      <c r="I796" s="93"/>
      <c r="J796" s="93"/>
      <c r="K796" s="95"/>
      <c r="L796" s="69"/>
      <c r="M796" s="69"/>
      <c r="N796" s="69"/>
      <c r="O796" s="69"/>
      <c r="P796" s="78"/>
      <c r="Q796" s="96"/>
      <c r="R796" s="97"/>
      <c r="S796" s="98"/>
    </row>
    <row r="797" spans="1:19" ht="42.75">
      <c r="A797" s="90" t="s">
        <v>49</v>
      </c>
      <c r="B797" s="91" t="s">
        <v>2573</v>
      </c>
      <c r="C797" s="91" t="s">
        <v>2583</v>
      </c>
      <c r="D797" s="90">
        <v>3897</v>
      </c>
      <c r="E797" s="90">
        <v>4095</v>
      </c>
      <c r="F797" s="90" t="s">
        <v>1454</v>
      </c>
      <c r="G797" s="90"/>
      <c r="H797" s="93"/>
      <c r="I797" s="93"/>
      <c r="J797" s="93"/>
      <c r="K797" s="95"/>
      <c r="L797" s="69"/>
      <c r="M797" s="69"/>
      <c r="N797" s="69"/>
      <c r="O797" s="69"/>
      <c r="P797" s="78"/>
      <c r="Q797" s="96"/>
      <c r="R797" s="97"/>
      <c r="S797" s="98"/>
    </row>
    <row r="798" spans="1:19" ht="42.75">
      <c r="A798" s="90" t="s">
        <v>49</v>
      </c>
      <c r="B798" s="91" t="s">
        <v>2573</v>
      </c>
      <c r="C798" s="91" t="s">
        <v>554</v>
      </c>
      <c r="D798" s="90">
        <v>4613</v>
      </c>
      <c r="E798" s="90">
        <v>4854</v>
      </c>
      <c r="F798" s="90" t="s">
        <v>1454</v>
      </c>
      <c r="G798" s="90"/>
      <c r="H798" s="93"/>
      <c r="I798" s="93"/>
      <c r="J798" s="93"/>
      <c r="K798" s="95"/>
      <c r="L798" s="69"/>
      <c r="M798" s="69"/>
      <c r="N798" s="69"/>
      <c r="O798" s="69"/>
      <c r="P798" s="78"/>
      <c r="Q798" s="96"/>
      <c r="R798" s="97"/>
      <c r="S798" s="98"/>
    </row>
    <row r="799" spans="1:19" ht="42.75">
      <c r="A799" s="90" t="s">
        <v>49</v>
      </c>
      <c r="B799" s="91" t="s">
        <v>2573</v>
      </c>
      <c r="C799" s="91" t="s">
        <v>2584</v>
      </c>
      <c r="D799" s="90">
        <v>3085</v>
      </c>
      <c r="E799" s="90">
        <v>3109</v>
      </c>
      <c r="F799" s="90" t="s">
        <v>1454</v>
      </c>
      <c r="G799" s="90"/>
      <c r="H799" s="93"/>
      <c r="I799" s="93"/>
      <c r="J799" s="93"/>
      <c r="K799" s="95"/>
      <c r="L799" s="69"/>
      <c r="M799" s="69"/>
      <c r="N799" s="69"/>
      <c r="O799" s="69"/>
      <c r="P799" s="78"/>
      <c r="Q799" s="96"/>
      <c r="R799" s="97"/>
      <c r="S799" s="98"/>
    </row>
    <row r="800" spans="1:19" ht="42.75">
      <c r="A800" s="90" t="s">
        <v>49</v>
      </c>
      <c r="B800" s="154" t="s">
        <v>2573</v>
      </c>
      <c r="C800" s="154" t="s">
        <v>881</v>
      </c>
      <c r="D800" s="127">
        <v>15565</v>
      </c>
      <c r="E800" s="127">
        <v>16439</v>
      </c>
      <c r="F800" s="90" t="s">
        <v>1454</v>
      </c>
      <c r="G800" s="90"/>
      <c r="H800" s="93"/>
      <c r="I800" s="93"/>
      <c r="J800" s="93"/>
      <c r="K800" s="95"/>
      <c r="L800" s="69"/>
      <c r="M800" s="69"/>
      <c r="N800" s="69"/>
      <c r="O800" s="69"/>
      <c r="P800" s="78"/>
      <c r="Q800" s="96"/>
      <c r="R800" s="97"/>
      <c r="S800" s="98"/>
    </row>
    <row r="801" spans="1:19" ht="42.75">
      <c r="A801" s="128" t="s">
        <v>49</v>
      </c>
      <c r="B801" s="157" t="s">
        <v>2573</v>
      </c>
      <c r="C801" s="156" t="s">
        <v>378</v>
      </c>
      <c r="D801" s="158">
        <v>8053</v>
      </c>
      <c r="E801" s="69">
        <v>8139</v>
      </c>
      <c r="F801" s="90" t="s">
        <v>1434</v>
      </c>
      <c r="G801" s="90"/>
      <c r="H801" s="101"/>
      <c r="I801" s="101"/>
      <c r="J801" s="159"/>
      <c r="K801" s="95"/>
      <c r="L801" s="69"/>
      <c r="M801" s="69"/>
      <c r="N801" s="69"/>
      <c r="O801" s="69"/>
      <c r="P801" s="78"/>
      <c r="Q801" s="96">
        <v>45429</v>
      </c>
      <c r="R801" s="97"/>
      <c r="S801" s="98"/>
    </row>
    <row r="802" spans="1:19" ht="42.75">
      <c r="A802" s="90" t="s">
        <v>49</v>
      </c>
      <c r="B802" s="91" t="s">
        <v>2573</v>
      </c>
      <c r="C802" s="91" t="s">
        <v>1879</v>
      </c>
      <c r="D802" s="90">
        <v>2770</v>
      </c>
      <c r="E802" s="90">
        <v>2610</v>
      </c>
      <c r="F802" s="90" t="s">
        <v>1454</v>
      </c>
      <c r="G802" s="90"/>
      <c r="H802" s="93"/>
      <c r="I802" s="93"/>
      <c r="J802" s="93"/>
      <c r="K802" s="95"/>
      <c r="L802" s="69"/>
      <c r="M802" s="69"/>
      <c r="N802" s="69"/>
      <c r="O802" s="69"/>
      <c r="P802" s="78"/>
      <c r="Q802" s="96"/>
      <c r="R802" s="97"/>
      <c r="S802" s="98"/>
    </row>
    <row r="803" spans="1:19" ht="42.75">
      <c r="A803" s="90" t="s">
        <v>49</v>
      </c>
      <c r="B803" s="91" t="s">
        <v>2573</v>
      </c>
      <c r="C803" s="91" t="s">
        <v>2585</v>
      </c>
      <c r="D803" s="90">
        <v>4460</v>
      </c>
      <c r="E803" s="90">
        <v>4362</v>
      </c>
      <c r="F803" s="90" t="s">
        <v>1454</v>
      </c>
      <c r="G803" s="90"/>
      <c r="H803" s="93"/>
      <c r="I803" s="93"/>
      <c r="J803" s="93"/>
      <c r="K803" s="95"/>
      <c r="L803" s="69"/>
      <c r="M803" s="69"/>
      <c r="N803" s="69"/>
      <c r="O803" s="69"/>
      <c r="P803" s="78"/>
      <c r="Q803" s="96"/>
      <c r="R803" s="97"/>
      <c r="S803" s="98"/>
    </row>
    <row r="804" spans="1:19" ht="42.75">
      <c r="A804" s="90" t="s">
        <v>49</v>
      </c>
      <c r="B804" s="91" t="s">
        <v>2573</v>
      </c>
      <c r="C804" s="91" t="s">
        <v>2586</v>
      </c>
      <c r="D804" s="90">
        <v>4301</v>
      </c>
      <c r="E804" s="90">
        <v>4175</v>
      </c>
      <c r="F804" s="90" t="s">
        <v>1454</v>
      </c>
      <c r="G804" s="90"/>
      <c r="H804" s="93"/>
      <c r="I804" s="93"/>
      <c r="J804" s="93"/>
      <c r="K804" s="95"/>
      <c r="L804" s="69"/>
      <c r="M804" s="69"/>
      <c r="N804" s="69"/>
      <c r="O804" s="69"/>
      <c r="P804" s="78"/>
      <c r="Q804" s="96"/>
      <c r="R804" s="97"/>
      <c r="S804" s="98"/>
    </row>
    <row r="805" spans="1:19" ht="42.75">
      <c r="A805" s="90" t="s">
        <v>49</v>
      </c>
      <c r="B805" s="91" t="s">
        <v>2573</v>
      </c>
      <c r="C805" s="91" t="s">
        <v>2587</v>
      </c>
      <c r="D805" s="90">
        <v>5854</v>
      </c>
      <c r="E805" s="90">
        <v>5698</v>
      </c>
      <c r="F805" s="90" t="s">
        <v>1454</v>
      </c>
      <c r="G805" s="90"/>
      <c r="H805" s="93"/>
      <c r="I805" s="93"/>
      <c r="J805" s="93"/>
      <c r="K805" s="95"/>
      <c r="L805" s="69"/>
      <c r="M805" s="69"/>
      <c r="N805" s="69"/>
      <c r="O805" s="69"/>
      <c r="P805" s="78"/>
      <c r="Q805" s="96"/>
      <c r="R805" s="97"/>
      <c r="S805" s="98"/>
    </row>
    <row r="806" spans="1:19" ht="42.75">
      <c r="A806" s="90" t="s">
        <v>49</v>
      </c>
      <c r="B806" s="91" t="s">
        <v>2573</v>
      </c>
      <c r="C806" s="91" t="s">
        <v>2588</v>
      </c>
      <c r="D806" s="90">
        <v>2519</v>
      </c>
      <c r="E806" s="90">
        <v>1826</v>
      </c>
      <c r="F806" s="90" t="s">
        <v>1454</v>
      </c>
      <c r="G806" s="90"/>
      <c r="H806" s="93"/>
      <c r="I806" s="93"/>
      <c r="J806" s="93"/>
      <c r="K806" s="95"/>
      <c r="L806" s="69"/>
      <c r="M806" s="69"/>
      <c r="N806" s="69"/>
      <c r="O806" s="69"/>
      <c r="P806" s="78"/>
      <c r="Q806" s="96"/>
      <c r="R806" s="97"/>
      <c r="S806" s="98"/>
    </row>
    <row r="807" spans="1:19" ht="42.75">
      <c r="A807" s="90" t="s">
        <v>49</v>
      </c>
      <c r="B807" s="91" t="s">
        <v>2573</v>
      </c>
      <c r="C807" s="91" t="s">
        <v>2589</v>
      </c>
      <c r="D807" s="90">
        <v>1855</v>
      </c>
      <c r="E807" s="90">
        <v>1890</v>
      </c>
      <c r="F807" s="90" t="s">
        <v>1454</v>
      </c>
      <c r="G807" s="90"/>
      <c r="H807" s="93"/>
      <c r="I807" s="93"/>
      <c r="J807" s="93"/>
      <c r="K807" s="95"/>
      <c r="L807" s="69"/>
      <c r="M807" s="69"/>
      <c r="N807" s="69"/>
      <c r="O807" s="69"/>
      <c r="P807" s="78"/>
      <c r="Q807" s="96"/>
      <c r="R807" s="97"/>
      <c r="S807" s="98"/>
    </row>
    <row r="808" spans="1:19" ht="42.75">
      <c r="A808" s="90" t="s">
        <v>49</v>
      </c>
      <c r="B808" s="91" t="s">
        <v>2573</v>
      </c>
      <c r="C808" s="91" t="s">
        <v>2590</v>
      </c>
      <c r="D808" s="90">
        <v>1922</v>
      </c>
      <c r="E808" s="90">
        <v>1950</v>
      </c>
      <c r="F808" s="90" t="s">
        <v>1454</v>
      </c>
      <c r="G808" s="90"/>
      <c r="H808" s="93"/>
      <c r="I808" s="93"/>
      <c r="J808" s="93"/>
      <c r="K808" s="95"/>
      <c r="L808" s="69"/>
      <c r="M808" s="69"/>
      <c r="N808" s="69"/>
      <c r="O808" s="69"/>
      <c r="P808" s="78"/>
      <c r="Q808" s="96"/>
      <c r="R808" s="97"/>
      <c r="S808" s="98"/>
    </row>
    <row r="809" spans="1:19" ht="42.75">
      <c r="A809" s="90" t="s">
        <v>49</v>
      </c>
      <c r="B809" s="91" t="s">
        <v>2573</v>
      </c>
      <c r="C809" s="91" t="s">
        <v>2591</v>
      </c>
      <c r="D809" s="90">
        <v>2243</v>
      </c>
      <c r="E809" s="90">
        <v>2121</v>
      </c>
      <c r="F809" s="90" t="s">
        <v>1454</v>
      </c>
      <c r="G809" s="90"/>
      <c r="H809" s="93"/>
      <c r="I809" s="93"/>
      <c r="J809" s="93"/>
      <c r="K809" s="95"/>
      <c r="L809" s="69"/>
      <c r="M809" s="69"/>
      <c r="N809" s="69"/>
      <c r="O809" s="69"/>
      <c r="P809" s="78"/>
      <c r="Q809" s="96"/>
      <c r="R809" s="97"/>
      <c r="S809" s="98"/>
    </row>
    <row r="810" spans="1:19" ht="42.75">
      <c r="A810" s="90" t="s">
        <v>49</v>
      </c>
      <c r="B810" s="91" t="s">
        <v>2573</v>
      </c>
      <c r="C810" s="91" t="s">
        <v>2592</v>
      </c>
      <c r="D810" s="90">
        <v>2519</v>
      </c>
      <c r="E810" s="90">
        <v>2195</v>
      </c>
      <c r="F810" s="90" t="s">
        <v>1454</v>
      </c>
      <c r="G810" s="90"/>
      <c r="H810" s="93"/>
      <c r="I810" s="93"/>
      <c r="J810" s="93"/>
      <c r="K810" s="95"/>
      <c r="L810" s="69"/>
      <c r="M810" s="69"/>
      <c r="N810" s="69"/>
      <c r="O810" s="69"/>
      <c r="P810" s="78"/>
      <c r="Q810" s="96"/>
      <c r="R810" s="97"/>
      <c r="S810" s="98"/>
    </row>
    <row r="811" spans="1:19" ht="42.75">
      <c r="A811" s="90" t="s">
        <v>49</v>
      </c>
      <c r="B811" s="154" t="s">
        <v>2573</v>
      </c>
      <c r="C811" s="154" t="s">
        <v>2593</v>
      </c>
      <c r="D811" s="127">
        <v>6132</v>
      </c>
      <c r="E811" s="127">
        <v>6972</v>
      </c>
      <c r="F811" s="90" t="s">
        <v>1454</v>
      </c>
      <c r="G811" s="90"/>
      <c r="H811" s="93"/>
      <c r="I811" s="93"/>
      <c r="J811" s="93"/>
      <c r="K811" s="95"/>
      <c r="L811" s="69"/>
      <c r="M811" s="69"/>
      <c r="N811" s="69"/>
      <c r="O811" s="69"/>
      <c r="P811" s="78"/>
      <c r="Q811" s="96"/>
      <c r="R811" s="97"/>
      <c r="S811" s="98"/>
    </row>
    <row r="812" spans="1:19" ht="42.75">
      <c r="A812" s="128" t="s">
        <v>49</v>
      </c>
      <c r="B812" s="157" t="s">
        <v>2573</v>
      </c>
      <c r="C812" s="156" t="s">
        <v>2594</v>
      </c>
      <c r="D812" s="158">
        <v>11608</v>
      </c>
      <c r="E812" s="69">
        <v>11226</v>
      </c>
      <c r="F812" s="90" t="s">
        <v>1434</v>
      </c>
      <c r="G812" s="90">
        <v>2024</v>
      </c>
      <c r="H812" s="101">
        <v>45575</v>
      </c>
      <c r="I812" s="101">
        <v>45581</v>
      </c>
      <c r="J812" s="94" t="s">
        <v>2595</v>
      </c>
      <c r="K812" s="100">
        <v>45584</v>
      </c>
      <c r="L812" s="69" t="s">
        <v>83</v>
      </c>
      <c r="M812" s="69" t="s">
        <v>4</v>
      </c>
      <c r="N812" s="69" t="s">
        <v>101</v>
      </c>
      <c r="O812" s="69" t="s">
        <v>1436</v>
      </c>
      <c r="P812" s="78"/>
      <c r="Q812" s="96">
        <v>45586</v>
      </c>
      <c r="R812" s="97" t="s">
        <v>929</v>
      </c>
      <c r="S812" s="98"/>
    </row>
    <row r="813" spans="1:19" ht="42.75">
      <c r="A813" s="90" t="s">
        <v>49</v>
      </c>
      <c r="B813" s="91" t="s">
        <v>2573</v>
      </c>
      <c r="C813" s="91" t="s">
        <v>2596</v>
      </c>
      <c r="D813" s="90">
        <v>7152</v>
      </c>
      <c r="E813" s="90">
        <v>8293</v>
      </c>
      <c r="F813" s="90" t="s">
        <v>1454</v>
      </c>
      <c r="G813" s="90"/>
      <c r="H813" s="93"/>
      <c r="I813" s="93"/>
      <c r="J813" s="93"/>
      <c r="K813" s="95"/>
      <c r="L813" s="69"/>
      <c r="M813" s="69"/>
      <c r="N813" s="69"/>
      <c r="O813" s="69"/>
      <c r="P813" s="78"/>
      <c r="Q813" s="96"/>
      <c r="R813" s="97"/>
      <c r="S813" s="98"/>
    </row>
    <row r="814" spans="1:19" ht="42.75">
      <c r="A814" s="90" t="s">
        <v>49</v>
      </c>
      <c r="B814" s="91" t="s">
        <v>2573</v>
      </c>
      <c r="C814" s="91" t="s">
        <v>2597</v>
      </c>
      <c r="D814" s="90">
        <v>3327</v>
      </c>
      <c r="E814" s="90">
        <v>3721</v>
      </c>
      <c r="F814" s="90" t="s">
        <v>1454</v>
      </c>
      <c r="G814" s="90"/>
      <c r="H814" s="93"/>
      <c r="I814" s="93"/>
      <c r="J814" s="93"/>
      <c r="K814" s="95"/>
      <c r="L814" s="69"/>
      <c r="M814" s="69"/>
      <c r="N814" s="69"/>
      <c r="O814" s="69"/>
      <c r="P814" s="78"/>
      <c r="Q814" s="96"/>
      <c r="R814" s="97"/>
      <c r="S814" s="98"/>
    </row>
    <row r="815" spans="1:19" ht="42.75">
      <c r="A815" s="90" t="s">
        <v>49</v>
      </c>
      <c r="B815" s="91" t="s">
        <v>2573</v>
      </c>
      <c r="C815" s="91" t="s">
        <v>2598</v>
      </c>
      <c r="D815" s="90">
        <v>38478</v>
      </c>
      <c r="E815" s="90">
        <v>42207</v>
      </c>
      <c r="F815" s="90" t="s">
        <v>1454</v>
      </c>
      <c r="G815" s="90"/>
      <c r="H815" s="93"/>
      <c r="I815" s="93"/>
      <c r="J815" s="93"/>
      <c r="K815" s="95"/>
      <c r="L815" s="69"/>
      <c r="M815" s="69"/>
      <c r="N815" s="69"/>
      <c r="O815" s="69"/>
      <c r="P815" s="78"/>
      <c r="Q815" s="96"/>
      <c r="R815" s="97"/>
      <c r="S815" s="98"/>
    </row>
    <row r="816" spans="1:19" ht="42.75">
      <c r="A816" s="90" t="s">
        <v>49</v>
      </c>
      <c r="B816" s="154" t="s">
        <v>2573</v>
      </c>
      <c r="C816" s="154" t="s">
        <v>2599</v>
      </c>
      <c r="D816" s="127">
        <v>3864</v>
      </c>
      <c r="E816" s="127">
        <v>4123</v>
      </c>
      <c r="F816" s="90" t="s">
        <v>1454</v>
      </c>
      <c r="G816" s="90"/>
      <c r="H816" s="93"/>
      <c r="I816" s="93"/>
      <c r="J816" s="93"/>
      <c r="K816" s="95"/>
      <c r="L816" s="69"/>
      <c r="M816" s="69"/>
      <c r="N816" s="69"/>
      <c r="O816" s="69"/>
      <c r="P816" s="78"/>
      <c r="Q816" s="96"/>
      <c r="R816" s="97"/>
      <c r="S816" s="98"/>
    </row>
    <row r="817" spans="1:19" ht="42.75">
      <c r="A817" s="128" t="s">
        <v>49</v>
      </c>
      <c r="B817" s="157" t="s">
        <v>2573</v>
      </c>
      <c r="C817" s="156" t="s">
        <v>2600</v>
      </c>
      <c r="D817" s="158">
        <v>5352</v>
      </c>
      <c r="E817" s="69">
        <v>5376</v>
      </c>
      <c r="F817" s="90" t="s">
        <v>1434</v>
      </c>
      <c r="G817" s="90">
        <v>2024</v>
      </c>
      <c r="H817" s="101">
        <v>45576</v>
      </c>
      <c r="I817" s="101">
        <v>45581</v>
      </c>
      <c r="J817" s="94" t="s">
        <v>2601</v>
      </c>
      <c r="K817" s="100">
        <v>45584</v>
      </c>
      <c r="L817" s="69" t="s">
        <v>83</v>
      </c>
      <c r="M817" s="69" t="s">
        <v>4</v>
      </c>
      <c r="N817" s="69" t="s">
        <v>101</v>
      </c>
      <c r="O817" s="69" t="s">
        <v>1436</v>
      </c>
      <c r="P817" s="78"/>
      <c r="Q817" s="96">
        <v>45586</v>
      </c>
      <c r="R817" s="97" t="s">
        <v>929</v>
      </c>
      <c r="S817" s="98"/>
    </row>
    <row r="818" spans="1:19" ht="42.75">
      <c r="A818" s="90" t="s">
        <v>49</v>
      </c>
      <c r="B818" s="91" t="s">
        <v>2573</v>
      </c>
      <c r="C818" s="91" t="s">
        <v>2602</v>
      </c>
      <c r="D818" s="90">
        <v>7828</v>
      </c>
      <c r="E818" s="90">
        <v>8885</v>
      </c>
      <c r="F818" s="90" t="s">
        <v>1454</v>
      </c>
      <c r="G818" s="90"/>
      <c r="H818" s="93"/>
      <c r="I818" s="93"/>
      <c r="J818" s="93"/>
      <c r="K818" s="95"/>
      <c r="L818" s="69"/>
      <c r="M818" s="69"/>
      <c r="N818" s="69"/>
      <c r="O818" s="69"/>
      <c r="P818" s="78"/>
      <c r="Q818" s="96"/>
      <c r="R818" s="97"/>
      <c r="S818" s="98"/>
    </row>
    <row r="819" spans="1:19" ht="42.75">
      <c r="A819" s="90" t="s">
        <v>49</v>
      </c>
      <c r="B819" s="91" t="s">
        <v>2573</v>
      </c>
      <c r="C819" s="91" t="s">
        <v>2603</v>
      </c>
      <c r="D819" s="90">
        <v>3969</v>
      </c>
      <c r="E819" s="90">
        <v>5075</v>
      </c>
      <c r="F819" s="90" t="s">
        <v>1454</v>
      </c>
      <c r="G819" s="90"/>
      <c r="H819" s="93"/>
      <c r="I819" s="93"/>
      <c r="J819" s="93"/>
      <c r="K819" s="95"/>
      <c r="L819" s="69"/>
      <c r="M819" s="69"/>
      <c r="N819" s="69"/>
      <c r="O819" s="69"/>
      <c r="P819" s="78"/>
      <c r="Q819" s="96"/>
      <c r="R819" s="97"/>
      <c r="S819" s="98"/>
    </row>
    <row r="820" spans="1:19" ht="42.75">
      <c r="A820" s="90" t="s">
        <v>49</v>
      </c>
      <c r="B820" s="91" t="s">
        <v>2573</v>
      </c>
      <c r="C820" s="91" t="s">
        <v>2604</v>
      </c>
      <c r="D820" s="90">
        <v>3282</v>
      </c>
      <c r="E820" s="90">
        <v>3057</v>
      </c>
      <c r="F820" s="90" t="s">
        <v>1454</v>
      </c>
      <c r="G820" s="90"/>
      <c r="H820" s="93"/>
      <c r="I820" s="93"/>
      <c r="J820" s="93"/>
      <c r="K820" s="95"/>
      <c r="L820" s="69"/>
      <c r="M820" s="69"/>
      <c r="N820" s="69"/>
      <c r="O820" s="69"/>
      <c r="P820" s="78"/>
      <c r="Q820" s="96"/>
      <c r="R820" s="97"/>
      <c r="S820" s="98"/>
    </row>
    <row r="821" spans="1:19" ht="42.75">
      <c r="A821" s="90" t="s">
        <v>49</v>
      </c>
      <c r="B821" s="91" t="s">
        <v>2573</v>
      </c>
      <c r="C821" s="91" t="s">
        <v>2605</v>
      </c>
      <c r="D821" s="90">
        <v>5641</v>
      </c>
      <c r="E821" s="90">
        <v>5977</v>
      </c>
      <c r="F821" s="90" t="s">
        <v>1454</v>
      </c>
      <c r="G821" s="90"/>
      <c r="H821" s="93"/>
      <c r="I821" s="93"/>
      <c r="J821" s="93"/>
      <c r="K821" s="95"/>
      <c r="L821" s="69"/>
      <c r="M821" s="69"/>
      <c r="N821" s="69"/>
      <c r="O821" s="69"/>
      <c r="P821" s="78"/>
      <c r="Q821" s="96"/>
      <c r="R821" s="97"/>
      <c r="S821" s="98"/>
    </row>
    <row r="822" spans="1:19" ht="42.75">
      <c r="A822" s="90" t="s">
        <v>49</v>
      </c>
      <c r="B822" s="91" t="s">
        <v>2573</v>
      </c>
      <c r="C822" s="91" t="s">
        <v>631</v>
      </c>
      <c r="D822" s="90">
        <v>2773</v>
      </c>
      <c r="E822" s="90">
        <v>2673</v>
      </c>
      <c r="F822" s="90" t="s">
        <v>1454</v>
      </c>
      <c r="G822" s="90"/>
      <c r="H822" s="93"/>
      <c r="I822" s="93"/>
      <c r="J822" s="93"/>
      <c r="K822" s="95"/>
      <c r="L822" s="69"/>
      <c r="M822" s="69"/>
      <c r="N822" s="69"/>
      <c r="O822" s="69"/>
      <c r="P822" s="78"/>
      <c r="Q822" s="96"/>
      <c r="R822" s="97"/>
      <c r="S822" s="98"/>
    </row>
    <row r="823" spans="1:19" ht="42.75">
      <c r="A823" s="90" t="s">
        <v>49</v>
      </c>
      <c r="B823" s="91" t="s">
        <v>2573</v>
      </c>
      <c r="C823" s="91" t="s">
        <v>2606</v>
      </c>
      <c r="D823" s="90">
        <v>5191</v>
      </c>
      <c r="E823" s="90">
        <v>4769</v>
      </c>
      <c r="F823" s="90" t="s">
        <v>1454</v>
      </c>
      <c r="G823" s="90"/>
      <c r="H823" s="93"/>
      <c r="I823" s="93"/>
      <c r="J823" s="93"/>
      <c r="K823" s="95"/>
      <c r="L823" s="69"/>
      <c r="M823" s="69"/>
      <c r="N823" s="69"/>
      <c r="O823" s="69"/>
      <c r="P823" s="78"/>
      <c r="Q823" s="96"/>
      <c r="R823" s="97"/>
      <c r="S823" s="98"/>
    </row>
    <row r="824" spans="1:19" ht="42.75">
      <c r="A824" s="90" t="s">
        <v>49</v>
      </c>
      <c r="B824" s="91" t="s">
        <v>2573</v>
      </c>
      <c r="C824" s="91" t="s">
        <v>2607</v>
      </c>
      <c r="D824" s="90">
        <v>2478</v>
      </c>
      <c r="E824" s="90">
        <v>2200</v>
      </c>
      <c r="F824" s="90" t="s">
        <v>1454</v>
      </c>
      <c r="G824" s="90"/>
      <c r="H824" s="93"/>
      <c r="I824" s="93"/>
      <c r="J824" s="93"/>
      <c r="K824" s="95"/>
      <c r="L824" s="69"/>
      <c r="M824" s="69"/>
      <c r="N824" s="69"/>
      <c r="O824" s="69"/>
      <c r="P824" s="78"/>
      <c r="Q824" s="96"/>
      <c r="R824" s="97"/>
      <c r="S824" s="98"/>
    </row>
    <row r="825" spans="1:19" ht="42.75">
      <c r="A825" s="90" t="s">
        <v>49</v>
      </c>
      <c r="B825" s="91" t="s">
        <v>2573</v>
      </c>
      <c r="C825" s="91" t="s">
        <v>738</v>
      </c>
      <c r="D825" s="90">
        <v>38846</v>
      </c>
      <c r="E825" s="90">
        <v>46171</v>
      </c>
      <c r="F825" s="90" t="s">
        <v>1454</v>
      </c>
      <c r="G825" s="90"/>
      <c r="H825" s="93"/>
      <c r="I825" s="93"/>
      <c r="J825" s="93"/>
      <c r="K825" s="95"/>
      <c r="L825" s="69"/>
      <c r="M825" s="69"/>
      <c r="N825" s="69"/>
      <c r="O825" s="69"/>
      <c r="P825" s="78"/>
      <c r="Q825" s="96"/>
      <c r="R825" s="97"/>
      <c r="S825" s="98"/>
    </row>
    <row r="826" spans="1:19" ht="42.75">
      <c r="A826" s="90" t="s">
        <v>49</v>
      </c>
      <c r="B826" s="154" t="s">
        <v>2573</v>
      </c>
      <c r="C826" s="154" t="s">
        <v>2608</v>
      </c>
      <c r="D826" s="127">
        <v>4088</v>
      </c>
      <c r="E826" s="127">
        <v>5318</v>
      </c>
      <c r="F826" s="90" t="s">
        <v>1454</v>
      </c>
      <c r="G826" s="90"/>
      <c r="H826" s="93"/>
      <c r="I826" s="93"/>
      <c r="J826" s="93"/>
      <c r="K826" s="95"/>
      <c r="L826" s="69"/>
      <c r="M826" s="69"/>
      <c r="N826" s="69"/>
      <c r="O826" s="69"/>
      <c r="P826" s="78"/>
      <c r="Q826" s="96"/>
      <c r="R826" s="97"/>
      <c r="S826" s="98"/>
    </row>
    <row r="827" spans="1:19" ht="42.75">
      <c r="A827" s="128" t="s">
        <v>49</v>
      </c>
      <c r="B827" s="157" t="s">
        <v>2573</v>
      </c>
      <c r="C827" s="156" t="s">
        <v>2409</v>
      </c>
      <c r="D827" s="158">
        <v>4445</v>
      </c>
      <c r="E827" s="69">
        <v>5617</v>
      </c>
      <c r="F827" s="90" t="s">
        <v>1434</v>
      </c>
      <c r="G827" s="90">
        <v>2024</v>
      </c>
      <c r="H827" s="101">
        <v>45576</v>
      </c>
      <c r="I827" s="101">
        <v>45581</v>
      </c>
      <c r="J827" s="94" t="s">
        <v>2609</v>
      </c>
      <c r="K827" s="100">
        <v>45584</v>
      </c>
      <c r="L827" s="69" t="s">
        <v>83</v>
      </c>
      <c r="M827" s="69" t="s">
        <v>1589</v>
      </c>
      <c r="N827" s="69" t="s">
        <v>1676</v>
      </c>
      <c r="O827" s="69" t="s">
        <v>1436</v>
      </c>
      <c r="P827" s="78"/>
      <c r="Q827" s="96">
        <v>45586</v>
      </c>
      <c r="R827" s="97" t="s">
        <v>929</v>
      </c>
      <c r="S827" s="98"/>
    </row>
    <row r="828" spans="1:19" ht="42.75">
      <c r="A828" s="90" t="s">
        <v>49</v>
      </c>
      <c r="B828" s="91" t="s">
        <v>2573</v>
      </c>
      <c r="C828" s="91" t="s">
        <v>520</v>
      </c>
      <c r="D828" s="90">
        <v>5767</v>
      </c>
      <c r="E828" s="90">
        <v>4282</v>
      </c>
      <c r="F828" s="90" t="s">
        <v>1454</v>
      </c>
      <c r="G828" s="90"/>
      <c r="H828" s="93"/>
      <c r="I828" s="93"/>
      <c r="J828" s="93"/>
      <c r="K828" s="95"/>
      <c r="L828" s="69"/>
      <c r="M828" s="69"/>
      <c r="N828" s="69"/>
      <c r="O828" s="69"/>
      <c r="P828" s="78"/>
      <c r="Q828" s="96"/>
      <c r="R828" s="97"/>
      <c r="S828" s="98"/>
    </row>
    <row r="829" spans="1:19" ht="42.75">
      <c r="A829" s="90" t="s">
        <v>49</v>
      </c>
      <c r="B829" s="91" t="s">
        <v>2573</v>
      </c>
      <c r="C829" s="91" t="s">
        <v>357</v>
      </c>
      <c r="D829" s="90">
        <v>11452</v>
      </c>
      <c r="E829" s="90">
        <v>11432</v>
      </c>
      <c r="F829" s="90" t="s">
        <v>1454</v>
      </c>
      <c r="G829" s="90"/>
      <c r="H829" s="93"/>
      <c r="I829" s="93"/>
      <c r="J829" s="93"/>
      <c r="K829" s="95"/>
      <c r="L829" s="69"/>
      <c r="M829" s="69"/>
      <c r="N829" s="69"/>
      <c r="O829" s="69"/>
      <c r="P829" s="78"/>
      <c r="Q829" s="96"/>
      <c r="R829" s="97"/>
      <c r="S829" s="98"/>
    </row>
    <row r="830" spans="1:19" ht="42.75">
      <c r="A830" s="90" t="s">
        <v>49</v>
      </c>
      <c r="B830" s="91" t="s">
        <v>2573</v>
      </c>
      <c r="C830" s="91" t="s">
        <v>2610</v>
      </c>
      <c r="D830" s="90">
        <v>3554</v>
      </c>
      <c r="E830" s="90">
        <v>3527</v>
      </c>
      <c r="F830" s="90" t="s">
        <v>1454</v>
      </c>
      <c r="G830" s="90"/>
      <c r="H830" s="93"/>
      <c r="I830" s="93"/>
      <c r="J830" s="93"/>
      <c r="K830" s="95"/>
      <c r="L830" s="69"/>
      <c r="M830" s="69"/>
      <c r="N830" s="69"/>
      <c r="O830" s="69"/>
      <c r="P830" s="78"/>
      <c r="Q830" s="96"/>
      <c r="R830" s="97"/>
      <c r="S830" s="98"/>
    </row>
    <row r="831" spans="1:19" ht="42.75">
      <c r="A831" s="90" t="s">
        <v>49</v>
      </c>
      <c r="B831" s="91" t="s">
        <v>2573</v>
      </c>
      <c r="C831" s="91" t="s">
        <v>2611</v>
      </c>
      <c r="D831" s="90">
        <v>3163</v>
      </c>
      <c r="E831" s="90">
        <v>3695</v>
      </c>
      <c r="F831" s="90" t="s">
        <v>1454</v>
      </c>
      <c r="G831" s="90"/>
      <c r="H831" s="93"/>
      <c r="I831" s="93"/>
      <c r="J831" s="93"/>
      <c r="K831" s="95"/>
      <c r="L831" s="69"/>
      <c r="M831" s="69"/>
      <c r="N831" s="69"/>
      <c r="O831" s="69"/>
      <c r="P831" s="78"/>
      <c r="Q831" s="96"/>
      <c r="R831" s="97"/>
      <c r="S831" s="98"/>
    </row>
    <row r="832" spans="1:19" ht="42.75">
      <c r="A832" s="90" t="s">
        <v>49</v>
      </c>
      <c r="B832" s="154" t="s">
        <v>2573</v>
      </c>
      <c r="C832" s="154" t="s">
        <v>2612</v>
      </c>
      <c r="D832" s="127">
        <v>3830</v>
      </c>
      <c r="E832" s="127">
        <v>4085</v>
      </c>
      <c r="F832" s="90" t="s">
        <v>1454</v>
      </c>
      <c r="G832" s="90"/>
      <c r="H832" s="93"/>
      <c r="I832" s="93"/>
      <c r="J832" s="93"/>
      <c r="K832" s="95"/>
      <c r="L832" s="69"/>
      <c r="M832" s="69"/>
      <c r="N832" s="69"/>
      <c r="O832" s="69"/>
      <c r="P832" s="78"/>
      <c r="Q832" s="96"/>
      <c r="R832" s="97"/>
      <c r="S832" s="98"/>
    </row>
    <row r="833" spans="1:19" ht="42.75">
      <c r="A833" s="128" t="s">
        <v>49</v>
      </c>
      <c r="B833" s="157" t="s">
        <v>2573</v>
      </c>
      <c r="C833" s="156" t="s">
        <v>2613</v>
      </c>
      <c r="D833" s="158">
        <v>3249</v>
      </c>
      <c r="E833" s="69">
        <v>3362</v>
      </c>
      <c r="F833" s="90" t="s">
        <v>1434</v>
      </c>
      <c r="G833" s="90">
        <v>2024</v>
      </c>
      <c r="H833" s="101">
        <v>45603</v>
      </c>
      <c r="I833" s="101">
        <v>45610</v>
      </c>
      <c r="J833" s="94" t="s">
        <v>2614</v>
      </c>
      <c r="K833" s="100">
        <v>45616</v>
      </c>
      <c r="L833" s="69" t="s">
        <v>84</v>
      </c>
      <c r="M833" s="69" t="s">
        <v>4</v>
      </c>
      <c r="N833" s="69" t="s">
        <v>101</v>
      </c>
      <c r="O833" s="69" t="s">
        <v>1436</v>
      </c>
      <c r="P833" s="78"/>
      <c r="Q833" s="96">
        <v>45618</v>
      </c>
      <c r="R833" s="97" t="s">
        <v>2415</v>
      </c>
      <c r="S833" s="98"/>
    </row>
    <row r="834" spans="1:19" ht="42.75">
      <c r="A834" s="128" t="s">
        <v>49</v>
      </c>
      <c r="B834" s="157" t="s">
        <v>2573</v>
      </c>
      <c r="C834" s="156" t="s">
        <v>2615</v>
      </c>
      <c r="D834" s="158">
        <v>3112</v>
      </c>
      <c r="E834" s="69">
        <v>2716</v>
      </c>
      <c r="F834" s="90" t="s">
        <v>1434</v>
      </c>
      <c r="G834" s="90">
        <v>2024</v>
      </c>
      <c r="H834" s="101">
        <v>45603</v>
      </c>
      <c r="I834" s="101">
        <v>45610</v>
      </c>
      <c r="J834" s="94" t="s">
        <v>2616</v>
      </c>
      <c r="K834" s="100">
        <v>45616</v>
      </c>
      <c r="L834" s="69" t="s">
        <v>84</v>
      </c>
      <c r="M834" s="69" t="s">
        <v>4</v>
      </c>
      <c r="N834" s="69" t="s">
        <v>101</v>
      </c>
      <c r="O834" s="69" t="s">
        <v>1436</v>
      </c>
      <c r="P834" s="78"/>
      <c r="Q834" s="96">
        <v>45618</v>
      </c>
      <c r="R834" s="97" t="s">
        <v>2415</v>
      </c>
      <c r="S834" s="98"/>
    </row>
    <row r="835" spans="1:19" ht="42.75">
      <c r="A835" s="128" t="s">
        <v>49</v>
      </c>
      <c r="B835" s="156" t="s">
        <v>2573</v>
      </c>
      <c r="C835" s="160" t="s">
        <v>2617</v>
      </c>
      <c r="D835" s="69">
        <v>3031</v>
      </c>
      <c r="E835" s="69">
        <v>2718</v>
      </c>
      <c r="F835" s="90" t="s">
        <v>1434</v>
      </c>
      <c r="G835" s="90">
        <v>2024</v>
      </c>
      <c r="H835" s="101">
        <v>45603</v>
      </c>
      <c r="I835" s="101">
        <v>45610</v>
      </c>
      <c r="J835" s="94" t="s">
        <v>2618</v>
      </c>
      <c r="K835" s="100">
        <v>45616</v>
      </c>
      <c r="L835" s="69" t="s">
        <v>84</v>
      </c>
      <c r="M835" s="69" t="s">
        <v>4</v>
      </c>
      <c r="N835" s="69" t="s">
        <v>101</v>
      </c>
      <c r="O835" s="69" t="s">
        <v>1436</v>
      </c>
      <c r="P835" s="78"/>
      <c r="Q835" s="96">
        <v>45618</v>
      </c>
      <c r="R835" s="97" t="s">
        <v>2415</v>
      </c>
      <c r="S835" s="98"/>
    </row>
    <row r="836" spans="1:19" ht="42.75">
      <c r="A836" s="128" t="s">
        <v>49</v>
      </c>
      <c r="B836" s="156" t="s">
        <v>2573</v>
      </c>
      <c r="C836" s="156" t="s">
        <v>2619</v>
      </c>
      <c r="D836" s="69">
        <v>6732</v>
      </c>
      <c r="E836" s="69">
        <v>6447</v>
      </c>
      <c r="F836" s="90" t="s">
        <v>1434</v>
      </c>
      <c r="G836" s="90">
        <v>2024</v>
      </c>
      <c r="H836" s="101">
        <v>45428</v>
      </c>
      <c r="I836" s="101">
        <v>45428</v>
      </c>
      <c r="J836" s="94" t="s">
        <v>2620</v>
      </c>
      <c r="K836" s="100">
        <v>45429</v>
      </c>
      <c r="L836" s="69" t="s">
        <v>78</v>
      </c>
      <c r="M836" s="69"/>
      <c r="N836" s="69"/>
      <c r="O836" s="69" t="s">
        <v>1436</v>
      </c>
      <c r="P836" s="78"/>
      <c r="Q836" s="96"/>
      <c r="R836" s="97"/>
      <c r="S836" s="98"/>
    </row>
    <row r="837" spans="1:19" ht="42.75">
      <c r="A837" s="128" t="s">
        <v>49</v>
      </c>
      <c r="B837" s="156" t="s">
        <v>2573</v>
      </c>
      <c r="C837" s="156" t="s">
        <v>2621</v>
      </c>
      <c r="D837" s="69">
        <v>2982</v>
      </c>
      <c r="E837" s="69">
        <v>2844</v>
      </c>
      <c r="F837" s="90" t="s">
        <v>1434</v>
      </c>
      <c r="G837" s="90">
        <v>2024</v>
      </c>
      <c r="H837" s="101">
        <v>45603</v>
      </c>
      <c r="I837" s="101">
        <v>45610</v>
      </c>
      <c r="J837" s="94" t="s">
        <v>2622</v>
      </c>
      <c r="K837" s="100">
        <v>45616</v>
      </c>
      <c r="L837" s="69" t="s">
        <v>84</v>
      </c>
      <c r="M837" s="69" t="s">
        <v>4</v>
      </c>
      <c r="N837" s="69" t="s">
        <v>101</v>
      </c>
      <c r="O837" s="69" t="s">
        <v>1436</v>
      </c>
      <c r="P837" s="78"/>
      <c r="Q837" s="96">
        <v>45618</v>
      </c>
      <c r="R837" s="97" t="s">
        <v>2415</v>
      </c>
      <c r="S837" s="98"/>
    </row>
    <row r="838" spans="1:19" ht="42.75">
      <c r="A838" s="90" t="s">
        <v>49</v>
      </c>
      <c r="B838" s="154" t="s">
        <v>2573</v>
      </c>
      <c r="C838" s="154" t="s">
        <v>2234</v>
      </c>
      <c r="D838" s="127">
        <v>2188</v>
      </c>
      <c r="E838" s="127">
        <v>2492</v>
      </c>
      <c r="F838" s="90" t="s">
        <v>1454</v>
      </c>
      <c r="G838" s="90"/>
      <c r="H838" s="93"/>
      <c r="I838" s="93"/>
      <c r="J838" s="93"/>
      <c r="K838" s="95"/>
      <c r="L838" s="69"/>
      <c r="M838" s="69"/>
      <c r="N838" s="69"/>
      <c r="O838" s="69"/>
      <c r="P838" s="78"/>
      <c r="Q838" s="96"/>
      <c r="R838" s="97"/>
      <c r="S838" s="98"/>
    </row>
    <row r="839" spans="1:19" ht="42.75">
      <c r="A839" s="128" t="s">
        <v>49</v>
      </c>
      <c r="B839" s="156" t="s">
        <v>2573</v>
      </c>
      <c r="C839" s="156" t="s">
        <v>2623</v>
      </c>
      <c r="D839" s="69">
        <v>3110</v>
      </c>
      <c r="E839" s="69">
        <v>3405</v>
      </c>
      <c r="F839" s="90" t="s">
        <v>1434</v>
      </c>
      <c r="G839" s="90">
        <v>2024</v>
      </c>
      <c r="H839" s="101">
        <v>45604</v>
      </c>
      <c r="I839" s="101">
        <v>45610</v>
      </c>
      <c r="J839" s="94" t="s">
        <v>2624</v>
      </c>
      <c r="K839" s="100">
        <v>45616</v>
      </c>
      <c r="L839" s="69" t="s">
        <v>84</v>
      </c>
      <c r="M839" s="69" t="s">
        <v>4</v>
      </c>
      <c r="N839" s="69" t="s">
        <v>101</v>
      </c>
      <c r="O839" s="69" t="s">
        <v>1436</v>
      </c>
      <c r="P839" s="78"/>
      <c r="Q839" s="96">
        <v>45618</v>
      </c>
      <c r="R839" s="97" t="s">
        <v>2415</v>
      </c>
      <c r="S839" s="98"/>
    </row>
    <row r="840" spans="1:19" ht="42.75">
      <c r="A840" s="90" t="s">
        <v>49</v>
      </c>
      <c r="B840" s="154" t="s">
        <v>2573</v>
      </c>
      <c r="C840" s="154" t="s">
        <v>2625</v>
      </c>
      <c r="D840" s="127">
        <v>2829</v>
      </c>
      <c r="E840" s="127">
        <v>3029</v>
      </c>
      <c r="F840" s="90" t="s">
        <v>1454</v>
      </c>
      <c r="G840" s="90"/>
      <c r="H840" s="93"/>
      <c r="I840" s="93"/>
      <c r="J840" s="93"/>
      <c r="K840" s="95"/>
      <c r="L840" s="69"/>
      <c r="M840" s="69"/>
      <c r="N840" s="69"/>
      <c r="O840" s="69"/>
      <c r="P840" s="78"/>
      <c r="Q840" s="96"/>
      <c r="R840" s="97"/>
      <c r="S840" s="98"/>
    </row>
    <row r="841" spans="1:19" ht="42.75">
      <c r="A841" s="128" t="s">
        <v>49</v>
      </c>
      <c r="B841" s="156" t="s">
        <v>2573</v>
      </c>
      <c r="C841" s="156" t="s">
        <v>2626</v>
      </c>
      <c r="D841" s="69">
        <v>3132</v>
      </c>
      <c r="E841" s="69">
        <v>3175</v>
      </c>
      <c r="F841" s="90" t="s">
        <v>1434</v>
      </c>
      <c r="G841" s="90">
        <v>2024</v>
      </c>
      <c r="H841" s="101">
        <v>45604</v>
      </c>
      <c r="I841" s="101">
        <v>45610</v>
      </c>
      <c r="J841" s="94" t="s">
        <v>2627</v>
      </c>
      <c r="K841" s="100">
        <v>45616</v>
      </c>
      <c r="L841" s="69" t="s">
        <v>84</v>
      </c>
      <c r="M841" s="69" t="s">
        <v>4</v>
      </c>
      <c r="N841" s="69" t="s">
        <v>101</v>
      </c>
      <c r="O841" s="69" t="s">
        <v>1436</v>
      </c>
      <c r="P841" s="78"/>
      <c r="Q841" s="96">
        <v>45618</v>
      </c>
      <c r="R841" s="97" t="s">
        <v>2415</v>
      </c>
      <c r="S841" s="98"/>
    </row>
    <row r="842" spans="1:19" ht="42.75">
      <c r="A842" s="90" t="s">
        <v>49</v>
      </c>
      <c r="B842" s="91" t="s">
        <v>2573</v>
      </c>
      <c r="C842" s="91" t="s">
        <v>2628</v>
      </c>
      <c r="D842" s="90">
        <v>3957</v>
      </c>
      <c r="E842" s="90">
        <v>3811</v>
      </c>
      <c r="F842" s="90" t="s">
        <v>1434</v>
      </c>
      <c r="G842" s="90">
        <v>2024</v>
      </c>
      <c r="H842" s="101">
        <v>45604</v>
      </c>
      <c r="I842" s="101">
        <v>45610</v>
      </c>
      <c r="J842" s="94" t="s">
        <v>2629</v>
      </c>
      <c r="K842" s="100">
        <v>45616</v>
      </c>
      <c r="L842" s="69" t="s">
        <v>84</v>
      </c>
      <c r="M842" s="69" t="s">
        <v>4</v>
      </c>
      <c r="N842" s="69" t="s">
        <v>101</v>
      </c>
      <c r="O842" s="69" t="s">
        <v>1436</v>
      </c>
      <c r="P842" s="78"/>
      <c r="Q842" s="96">
        <v>45618</v>
      </c>
      <c r="R842" s="97" t="s">
        <v>2415</v>
      </c>
      <c r="S842" s="98"/>
    </row>
    <row r="843" spans="1:19" ht="42.75">
      <c r="A843" s="90" t="s">
        <v>49</v>
      </c>
      <c r="B843" s="91" t="s">
        <v>2573</v>
      </c>
      <c r="C843" s="91" t="s">
        <v>2630</v>
      </c>
      <c r="D843" s="90">
        <v>3046</v>
      </c>
      <c r="E843" s="90">
        <v>3746</v>
      </c>
      <c r="F843" s="90" t="s">
        <v>1454</v>
      </c>
      <c r="G843" s="90"/>
      <c r="H843" s="93"/>
      <c r="I843" s="93"/>
      <c r="J843" s="93"/>
      <c r="K843" s="95"/>
      <c r="L843" s="69"/>
      <c r="M843" s="69"/>
      <c r="N843" s="69"/>
      <c r="O843" s="69"/>
      <c r="P843" s="78"/>
      <c r="Q843" s="96"/>
      <c r="R843" s="97"/>
      <c r="S843" s="98"/>
    </row>
    <row r="844" spans="1:19" ht="42.75">
      <c r="A844" s="90" t="s">
        <v>49</v>
      </c>
      <c r="B844" s="91" t="s">
        <v>2573</v>
      </c>
      <c r="C844" s="91" t="s">
        <v>2631</v>
      </c>
      <c r="D844" s="90">
        <v>2326</v>
      </c>
      <c r="E844" s="90">
        <v>2470</v>
      </c>
      <c r="F844" s="90" t="s">
        <v>1454</v>
      </c>
      <c r="G844" s="90"/>
      <c r="H844" s="93"/>
      <c r="I844" s="93"/>
      <c r="J844" s="93"/>
      <c r="K844" s="95"/>
      <c r="L844" s="69"/>
      <c r="M844" s="69"/>
      <c r="N844" s="69"/>
      <c r="O844" s="69"/>
      <c r="P844" s="78"/>
      <c r="Q844" s="96"/>
      <c r="R844" s="97"/>
      <c r="S844" s="98"/>
    </row>
    <row r="845" spans="1:19" ht="42.75">
      <c r="A845" s="90" t="s">
        <v>49</v>
      </c>
      <c r="B845" s="91" t="s">
        <v>440</v>
      </c>
      <c r="C845" s="91" t="s">
        <v>985</v>
      </c>
      <c r="D845" s="90">
        <v>1876</v>
      </c>
      <c r="E845" s="90">
        <v>2092</v>
      </c>
      <c r="F845" s="90" t="s">
        <v>1434</v>
      </c>
      <c r="G845" s="90">
        <v>2024</v>
      </c>
      <c r="H845" s="101">
        <v>45602</v>
      </c>
      <c r="I845" s="101">
        <v>45604</v>
      </c>
      <c r="J845" s="94" t="s">
        <v>2632</v>
      </c>
      <c r="K845" s="100">
        <v>45612</v>
      </c>
      <c r="L845" s="69" t="s">
        <v>84</v>
      </c>
      <c r="M845" s="69" t="s">
        <v>4</v>
      </c>
      <c r="N845" s="69" t="s">
        <v>101</v>
      </c>
      <c r="O845" s="69" t="s">
        <v>1436</v>
      </c>
      <c r="P845" s="78"/>
      <c r="Q845" s="96">
        <v>45614</v>
      </c>
      <c r="R845" s="97" t="s">
        <v>2415</v>
      </c>
      <c r="S845" s="98"/>
    </row>
    <row r="846" spans="1:19" ht="42.75">
      <c r="A846" s="90" t="s">
        <v>49</v>
      </c>
      <c r="B846" s="91" t="s">
        <v>440</v>
      </c>
      <c r="C846" s="91" t="s">
        <v>2633</v>
      </c>
      <c r="D846" s="90">
        <v>2670</v>
      </c>
      <c r="E846" s="90">
        <v>2823</v>
      </c>
      <c r="F846" s="90" t="s">
        <v>1454</v>
      </c>
      <c r="G846" s="90"/>
      <c r="H846" s="93"/>
      <c r="I846" s="93"/>
      <c r="J846" s="93"/>
      <c r="K846" s="95"/>
      <c r="L846" s="69"/>
      <c r="M846" s="69"/>
      <c r="N846" s="69"/>
      <c r="O846" s="69"/>
      <c r="P846" s="78"/>
      <c r="Q846" s="96"/>
      <c r="R846" s="97"/>
      <c r="S846" s="98"/>
    </row>
    <row r="847" spans="1:19" ht="42.75">
      <c r="A847" s="90" t="s">
        <v>49</v>
      </c>
      <c r="B847" s="91" t="s">
        <v>440</v>
      </c>
      <c r="C847" s="91" t="s">
        <v>2301</v>
      </c>
      <c r="D847" s="90">
        <v>2598</v>
      </c>
      <c r="E847" s="90">
        <v>3669</v>
      </c>
      <c r="F847" s="90" t="s">
        <v>1454</v>
      </c>
      <c r="G847" s="90"/>
      <c r="H847" s="93"/>
      <c r="I847" s="93"/>
      <c r="J847" s="93"/>
      <c r="K847" s="95"/>
      <c r="L847" s="69"/>
      <c r="M847" s="69"/>
      <c r="N847" s="69"/>
      <c r="O847" s="69"/>
      <c r="P847" s="78"/>
      <c r="Q847" s="96"/>
      <c r="R847" s="97"/>
      <c r="S847" s="98"/>
    </row>
    <row r="848" spans="1:19" ht="42.75">
      <c r="A848" s="90" t="s">
        <v>49</v>
      </c>
      <c r="B848" s="91" t="s">
        <v>440</v>
      </c>
      <c r="C848" s="91" t="s">
        <v>730</v>
      </c>
      <c r="D848" s="90">
        <v>3695</v>
      </c>
      <c r="E848" s="90">
        <v>3955</v>
      </c>
      <c r="F848" s="90" t="s">
        <v>1434</v>
      </c>
      <c r="G848" s="90">
        <v>2024</v>
      </c>
      <c r="H848" s="101">
        <v>45601</v>
      </c>
      <c r="I848" s="101">
        <v>45604</v>
      </c>
      <c r="J848" s="94" t="s">
        <v>2634</v>
      </c>
      <c r="K848" s="100">
        <v>45612</v>
      </c>
      <c r="L848" s="69" t="s">
        <v>84</v>
      </c>
      <c r="M848" s="69" t="s">
        <v>4</v>
      </c>
      <c r="N848" s="69" t="s">
        <v>101</v>
      </c>
      <c r="O848" s="69" t="s">
        <v>1436</v>
      </c>
      <c r="P848" s="78"/>
      <c r="Q848" s="96">
        <v>45614</v>
      </c>
      <c r="R848" s="97" t="s">
        <v>2415</v>
      </c>
      <c r="S848" s="98"/>
    </row>
    <row r="849" spans="1:19" ht="42.75">
      <c r="A849" s="90" t="s">
        <v>49</v>
      </c>
      <c r="B849" s="91" t="s">
        <v>440</v>
      </c>
      <c r="C849" s="91" t="s">
        <v>2635</v>
      </c>
      <c r="D849" s="90">
        <v>1636</v>
      </c>
      <c r="E849" s="90">
        <v>2080</v>
      </c>
      <c r="F849" s="90" t="s">
        <v>1454</v>
      </c>
      <c r="G849" s="90"/>
      <c r="H849" s="93"/>
      <c r="I849" s="93"/>
      <c r="J849" s="93"/>
      <c r="K849" s="95"/>
      <c r="L849" s="69"/>
      <c r="M849" s="69"/>
      <c r="N849" s="69"/>
      <c r="O849" s="69"/>
      <c r="P849" s="78"/>
      <c r="Q849" s="96"/>
      <c r="R849" s="97"/>
      <c r="S849" s="98"/>
    </row>
    <row r="850" spans="1:19" ht="42.75">
      <c r="A850" s="90" t="s">
        <v>49</v>
      </c>
      <c r="B850" s="91" t="s">
        <v>440</v>
      </c>
      <c r="C850" s="91" t="s">
        <v>2636</v>
      </c>
      <c r="D850" s="90">
        <v>1553</v>
      </c>
      <c r="E850" s="90">
        <v>1704</v>
      </c>
      <c r="F850" s="90" t="s">
        <v>1454</v>
      </c>
      <c r="G850" s="90"/>
      <c r="H850" s="93"/>
      <c r="I850" s="93"/>
      <c r="J850" s="93"/>
      <c r="K850" s="95"/>
      <c r="L850" s="69"/>
      <c r="M850" s="69"/>
      <c r="N850" s="69"/>
      <c r="O850" s="69"/>
      <c r="P850" s="78"/>
      <c r="Q850" s="96"/>
      <c r="R850" s="97"/>
      <c r="S850" s="98"/>
    </row>
    <row r="851" spans="1:19" ht="42.75">
      <c r="A851" s="90" t="s">
        <v>49</v>
      </c>
      <c r="B851" s="91" t="s">
        <v>440</v>
      </c>
      <c r="C851" s="91" t="s">
        <v>2637</v>
      </c>
      <c r="D851" s="90">
        <v>2037</v>
      </c>
      <c r="E851" s="90">
        <v>2336</v>
      </c>
      <c r="F851" s="90" t="s">
        <v>1454</v>
      </c>
      <c r="G851" s="90"/>
      <c r="H851" s="93"/>
      <c r="I851" s="93"/>
      <c r="J851" s="93"/>
      <c r="K851" s="95"/>
      <c r="L851" s="69"/>
      <c r="M851" s="69"/>
      <c r="N851" s="69"/>
      <c r="O851" s="69"/>
      <c r="P851" s="78"/>
      <c r="Q851" s="96"/>
      <c r="R851" s="97"/>
      <c r="S851" s="98"/>
    </row>
    <row r="852" spans="1:19" ht="42.75">
      <c r="A852" s="90" t="s">
        <v>49</v>
      </c>
      <c r="B852" s="91" t="s">
        <v>440</v>
      </c>
      <c r="C852" s="91" t="s">
        <v>2638</v>
      </c>
      <c r="D852" s="90">
        <v>3003</v>
      </c>
      <c r="E852" s="90">
        <v>3404</v>
      </c>
      <c r="F852" s="90" t="s">
        <v>1454</v>
      </c>
      <c r="G852" s="90"/>
      <c r="H852" s="93"/>
      <c r="I852" s="93"/>
      <c r="J852" s="93"/>
      <c r="K852" s="95"/>
      <c r="L852" s="69"/>
      <c r="M852" s="69"/>
      <c r="N852" s="69"/>
      <c r="O852" s="69"/>
      <c r="P852" s="78"/>
      <c r="Q852" s="96"/>
      <c r="R852" s="97"/>
      <c r="S852" s="98"/>
    </row>
    <row r="853" spans="1:19" ht="42.75">
      <c r="A853" s="90" t="s">
        <v>49</v>
      </c>
      <c r="B853" s="91" t="s">
        <v>440</v>
      </c>
      <c r="C853" s="91" t="s">
        <v>2639</v>
      </c>
      <c r="D853" s="90">
        <v>1737</v>
      </c>
      <c r="E853" s="90">
        <v>2433</v>
      </c>
      <c r="F853" s="90" t="s">
        <v>1454</v>
      </c>
      <c r="G853" s="90"/>
      <c r="H853" s="93"/>
      <c r="I853" s="93"/>
      <c r="J853" s="93"/>
      <c r="K853" s="95"/>
      <c r="L853" s="69"/>
      <c r="M853" s="69"/>
      <c r="N853" s="69"/>
      <c r="O853" s="69"/>
      <c r="P853" s="78"/>
      <c r="Q853" s="96"/>
      <c r="R853" s="97"/>
      <c r="S853" s="98"/>
    </row>
    <row r="854" spans="1:19" ht="42.75">
      <c r="A854" s="90" t="s">
        <v>49</v>
      </c>
      <c r="B854" s="91" t="s">
        <v>440</v>
      </c>
      <c r="C854" s="91" t="s">
        <v>2640</v>
      </c>
      <c r="D854" s="90">
        <v>1870</v>
      </c>
      <c r="E854" s="90">
        <v>1761</v>
      </c>
      <c r="F854" s="90" t="s">
        <v>1454</v>
      </c>
      <c r="G854" s="90"/>
      <c r="H854" s="93"/>
      <c r="I854" s="93"/>
      <c r="J854" s="93"/>
      <c r="K854" s="95"/>
      <c r="L854" s="69"/>
      <c r="M854" s="69"/>
      <c r="N854" s="69"/>
      <c r="O854" s="69"/>
      <c r="P854" s="78"/>
      <c r="Q854" s="96"/>
      <c r="R854" s="97"/>
      <c r="S854" s="98"/>
    </row>
    <row r="855" spans="1:19" ht="42.75">
      <c r="A855" s="90" t="s">
        <v>49</v>
      </c>
      <c r="B855" s="91" t="s">
        <v>440</v>
      </c>
      <c r="C855" s="91" t="s">
        <v>2641</v>
      </c>
      <c r="D855" s="90">
        <v>1512</v>
      </c>
      <c r="E855" s="90">
        <v>1680</v>
      </c>
      <c r="F855" s="90" t="s">
        <v>1454</v>
      </c>
      <c r="G855" s="90"/>
      <c r="H855" s="93"/>
      <c r="I855" s="93"/>
      <c r="J855" s="93"/>
      <c r="K855" s="95"/>
      <c r="L855" s="69"/>
      <c r="M855" s="69"/>
      <c r="N855" s="69"/>
      <c r="O855" s="69"/>
      <c r="P855" s="78"/>
      <c r="Q855" s="96"/>
      <c r="R855" s="97"/>
      <c r="S855" s="98"/>
    </row>
    <row r="856" spans="1:19" ht="42.75">
      <c r="A856" s="90" t="s">
        <v>49</v>
      </c>
      <c r="B856" s="91" t="s">
        <v>440</v>
      </c>
      <c r="C856" s="91" t="s">
        <v>2642</v>
      </c>
      <c r="D856" s="90">
        <v>4862</v>
      </c>
      <c r="E856" s="90">
        <v>5499</v>
      </c>
      <c r="F856" s="90" t="s">
        <v>1454</v>
      </c>
      <c r="G856" s="90"/>
      <c r="H856" s="93"/>
      <c r="I856" s="93"/>
      <c r="J856" s="93"/>
      <c r="K856" s="95"/>
      <c r="L856" s="69"/>
      <c r="M856" s="69"/>
      <c r="N856" s="69"/>
      <c r="O856" s="69"/>
      <c r="P856" s="78"/>
      <c r="Q856" s="96"/>
      <c r="R856" s="97"/>
      <c r="S856" s="98"/>
    </row>
    <row r="857" spans="1:19" ht="42.75">
      <c r="A857" s="90" t="s">
        <v>49</v>
      </c>
      <c r="B857" s="91" t="s">
        <v>440</v>
      </c>
      <c r="C857" s="91" t="s">
        <v>2643</v>
      </c>
      <c r="D857" s="90">
        <v>2873</v>
      </c>
      <c r="E857" s="90">
        <v>2890</v>
      </c>
      <c r="F857" s="90" t="s">
        <v>1434</v>
      </c>
      <c r="G857" s="90">
        <v>2024</v>
      </c>
      <c r="H857" s="101">
        <v>45601</v>
      </c>
      <c r="I857" s="101">
        <v>45604</v>
      </c>
      <c r="J857" s="94" t="s">
        <v>2644</v>
      </c>
      <c r="K857" s="100">
        <v>45612</v>
      </c>
      <c r="L857" s="69" t="s">
        <v>84</v>
      </c>
      <c r="M857" s="69" t="s">
        <v>4</v>
      </c>
      <c r="N857" s="69" t="s">
        <v>108</v>
      </c>
      <c r="O857" s="69" t="s">
        <v>1436</v>
      </c>
      <c r="P857" s="78"/>
      <c r="Q857" s="96">
        <v>45614</v>
      </c>
      <c r="R857" s="97" t="s">
        <v>2415</v>
      </c>
      <c r="S857" s="98"/>
    </row>
    <row r="858" spans="1:19" ht="42.75">
      <c r="A858" s="90" t="s">
        <v>49</v>
      </c>
      <c r="B858" s="91" t="s">
        <v>440</v>
      </c>
      <c r="C858" s="91" t="s">
        <v>2306</v>
      </c>
      <c r="D858" s="90">
        <v>3980</v>
      </c>
      <c r="E858" s="90">
        <v>5531</v>
      </c>
      <c r="F858" s="90" t="s">
        <v>1454</v>
      </c>
      <c r="G858" s="90"/>
      <c r="H858" s="93"/>
      <c r="I858" s="93"/>
      <c r="J858" s="93"/>
      <c r="K858" s="95"/>
      <c r="L858" s="69"/>
      <c r="M858" s="69"/>
      <c r="N858" s="69"/>
      <c r="O858" s="69"/>
      <c r="P858" s="78"/>
      <c r="Q858" s="96"/>
      <c r="R858" s="97"/>
      <c r="S858" s="98"/>
    </row>
    <row r="859" spans="1:19" ht="42.75">
      <c r="A859" s="90" t="s">
        <v>49</v>
      </c>
      <c r="B859" s="91" t="s">
        <v>440</v>
      </c>
      <c r="C859" s="91" t="s">
        <v>2645</v>
      </c>
      <c r="D859" s="90">
        <v>1886</v>
      </c>
      <c r="E859" s="90">
        <v>2223</v>
      </c>
      <c r="F859" s="90" t="s">
        <v>1434</v>
      </c>
      <c r="G859" s="90">
        <v>2024</v>
      </c>
      <c r="H859" s="101">
        <v>45602</v>
      </c>
      <c r="I859" s="101">
        <v>45604</v>
      </c>
      <c r="J859" s="94" t="s">
        <v>2646</v>
      </c>
      <c r="K859" s="100">
        <v>45612</v>
      </c>
      <c r="L859" s="69" t="s">
        <v>84</v>
      </c>
      <c r="M859" s="69" t="s">
        <v>4</v>
      </c>
      <c r="N859" s="69" t="s">
        <v>101</v>
      </c>
      <c r="O859" s="69" t="s">
        <v>1436</v>
      </c>
      <c r="P859" s="78"/>
      <c r="Q859" s="96">
        <v>45614</v>
      </c>
      <c r="R859" s="97" t="s">
        <v>2415</v>
      </c>
      <c r="S859" s="98"/>
    </row>
    <row r="860" spans="1:19" ht="42.75">
      <c r="A860" s="142" t="s">
        <v>49</v>
      </c>
      <c r="B860" s="91" t="s">
        <v>440</v>
      </c>
      <c r="C860" s="91" t="s">
        <v>2647</v>
      </c>
      <c r="D860" s="90">
        <v>7560</v>
      </c>
      <c r="E860" s="90">
        <v>8555</v>
      </c>
      <c r="F860" s="90" t="s">
        <v>1454</v>
      </c>
      <c r="G860" s="90"/>
      <c r="H860" s="93"/>
      <c r="I860" s="93"/>
      <c r="J860" s="93"/>
      <c r="K860" s="95"/>
      <c r="L860" s="69"/>
      <c r="M860" s="69"/>
      <c r="N860" s="69"/>
      <c r="O860" s="69"/>
      <c r="P860" s="78"/>
      <c r="Q860" s="96"/>
      <c r="R860" s="97"/>
      <c r="S860" s="98"/>
    </row>
    <row r="861" spans="1:19" ht="42.75">
      <c r="A861" s="90" t="s">
        <v>49</v>
      </c>
      <c r="B861" s="91" t="s">
        <v>440</v>
      </c>
      <c r="C861" s="91" t="s">
        <v>2648</v>
      </c>
      <c r="D861" s="90">
        <v>1604</v>
      </c>
      <c r="E861" s="90">
        <v>1695</v>
      </c>
      <c r="F861" s="90" t="s">
        <v>1454</v>
      </c>
      <c r="G861" s="90"/>
      <c r="H861" s="93"/>
      <c r="I861" s="93"/>
      <c r="J861" s="93"/>
      <c r="K861" s="95"/>
      <c r="L861" s="69"/>
      <c r="M861" s="69"/>
      <c r="N861" s="69"/>
      <c r="O861" s="69"/>
      <c r="P861" s="78"/>
      <c r="Q861" s="96"/>
      <c r="R861" s="97"/>
      <c r="S861" s="98"/>
    </row>
    <row r="862" spans="1:19" ht="42.75">
      <c r="A862" s="90" t="s">
        <v>49</v>
      </c>
      <c r="B862" s="91" t="s">
        <v>440</v>
      </c>
      <c r="C862" s="91" t="s">
        <v>2649</v>
      </c>
      <c r="D862" s="90">
        <v>1662</v>
      </c>
      <c r="E862" s="90">
        <v>1851</v>
      </c>
      <c r="F862" s="90" t="s">
        <v>1454</v>
      </c>
      <c r="G862" s="90"/>
      <c r="H862" s="93"/>
      <c r="I862" s="93"/>
      <c r="J862" s="93"/>
      <c r="K862" s="95"/>
      <c r="L862" s="69"/>
      <c r="M862" s="69"/>
      <c r="N862" s="69"/>
      <c r="O862" s="69"/>
      <c r="P862" s="78"/>
      <c r="Q862" s="96"/>
      <c r="R862" s="97"/>
      <c r="S862" s="98"/>
    </row>
    <row r="863" spans="1:19" ht="42.75">
      <c r="A863" s="90" t="s">
        <v>49</v>
      </c>
      <c r="B863" s="91" t="s">
        <v>440</v>
      </c>
      <c r="C863" s="91" t="s">
        <v>2650</v>
      </c>
      <c r="D863" s="90">
        <v>1431</v>
      </c>
      <c r="E863" s="90">
        <v>1562</v>
      </c>
      <c r="F863" s="90" t="s">
        <v>1454</v>
      </c>
      <c r="G863" s="90"/>
      <c r="H863" s="93"/>
      <c r="I863" s="93"/>
      <c r="J863" s="93"/>
      <c r="K863" s="95"/>
      <c r="L863" s="69"/>
      <c r="M863" s="69"/>
      <c r="N863" s="69"/>
      <c r="O863" s="69"/>
      <c r="P863" s="78"/>
      <c r="Q863" s="96"/>
      <c r="R863" s="97"/>
      <c r="S863" s="98"/>
    </row>
    <row r="864" spans="1:19" ht="42.75">
      <c r="A864" s="90" t="s">
        <v>49</v>
      </c>
      <c r="B864" s="91" t="s">
        <v>440</v>
      </c>
      <c r="C864" s="91" t="s">
        <v>766</v>
      </c>
      <c r="D864" s="90">
        <v>2805</v>
      </c>
      <c r="E864" s="90">
        <v>3108</v>
      </c>
      <c r="F864" s="90" t="s">
        <v>1454</v>
      </c>
      <c r="G864" s="90"/>
      <c r="H864" s="93"/>
      <c r="I864" s="93"/>
      <c r="J864" s="93"/>
      <c r="K864" s="95"/>
      <c r="L864" s="69"/>
      <c r="M864" s="69"/>
      <c r="N864" s="69"/>
      <c r="O864" s="69"/>
      <c r="P864" s="78"/>
      <c r="Q864" s="96"/>
      <c r="R864" s="97"/>
      <c r="S864" s="98"/>
    </row>
    <row r="865" spans="1:19" ht="42.75">
      <c r="A865" s="90" t="s">
        <v>49</v>
      </c>
      <c r="B865" s="91" t="s">
        <v>440</v>
      </c>
      <c r="C865" s="91" t="s">
        <v>2651</v>
      </c>
      <c r="D865" s="90">
        <v>2163</v>
      </c>
      <c r="E865" s="90">
        <v>2544</v>
      </c>
      <c r="F865" s="90" t="s">
        <v>1454</v>
      </c>
      <c r="G865" s="90"/>
      <c r="H865" s="93"/>
      <c r="I865" s="93"/>
      <c r="J865" s="93"/>
      <c r="K865" s="95"/>
      <c r="L865" s="69"/>
      <c r="M865" s="69"/>
      <c r="N865" s="69"/>
      <c r="O865" s="69"/>
      <c r="P865" s="78"/>
      <c r="Q865" s="96"/>
      <c r="R865" s="97"/>
      <c r="S865" s="98"/>
    </row>
    <row r="866" spans="1:19" ht="42.75">
      <c r="A866" s="90" t="s">
        <v>49</v>
      </c>
      <c r="B866" s="91" t="s">
        <v>440</v>
      </c>
      <c r="C866" s="91" t="s">
        <v>2652</v>
      </c>
      <c r="D866" s="90">
        <v>1935</v>
      </c>
      <c r="E866" s="90">
        <v>2619</v>
      </c>
      <c r="F866" s="90" t="s">
        <v>1454</v>
      </c>
      <c r="G866" s="90"/>
      <c r="H866" s="93"/>
      <c r="I866" s="93"/>
      <c r="J866" s="93"/>
      <c r="K866" s="95"/>
      <c r="L866" s="69"/>
      <c r="M866" s="69"/>
      <c r="N866" s="69"/>
      <c r="O866" s="69"/>
      <c r="P866" s="78"/>
      <c r="Q866" s="96"/>
      <c r="R866" s="97"/>
      <c r="S866" s="98"/>
    </row>
    <row r="867" spans="1:19" ht="42.75">
      <c r="A867" s="90" t="s">
        <v>49</v>
      </c>
      <c r="B867" s="91" t="s">
        <v>440</v>
      </c>
      <c r="C867" s="91" t="s">
        <v>2653</v>
      </c>
      <c r="D867" s="90">
        <v>1878</v>
      </c>
      <c r="E867" s="90">
        <v>2147</v>
      </c>
      <c r="F867" s="90" t="s">
        <v>1454</v>
      </c>
      <c r="G867" s="90"/>
      <c r="H867" s="93"/>
      <c r="I867" s="93"/>
      <c r="J867" s="93"/>
      <c r="K867" s="95"/>
      <c r="L867" s="69"/>
      <c r="M867" s="69"/>
      <c r="N867" s="69"/>
      <c r="O867" s="69"/>
      <c r="P867" s="78"/>
      <c r="Q867" s="96"/>
      <c r="R867" s="97"/>
      <c r="S867" s="98"/>
    </row>
    <row r="868" spans="1:19" ht="42.75">
      <c r="A868" s="90" t="s">
        <v>49</v>
      </c>
      <c r="B868" s="91" t="s">
        <v>440</v>
      </c>
      <c r="C868" s="91" t="s">
        <v>2654</v>
      </c>
      <c r="D868" s="90">
        <v>2883</v>
      </c>
      <c r="E868" s="90">
        <v>3370</v>
      </c>
      <c r="F868" s="90" t="s">
        <v>1454</v>
      </c>
      <c r="G868" s="90"/>
      <c r="H868" s="93"/>
      <c r="I868" s="93"/>
      <c r="J868" s="93"/>
      <c r="K868" s="95"/>
      <c r="L868" s="69"/>
      <c r="M868" s="69"/>
      <c r="N868" s="69"/>
      <c r="O868" s="69"/>
      <c r="P868" s="78"/>
      <c r="Q868" s="96"/>
      <c r="R868" s="97"/>
      <c r="S868" s="98"/>
    </row>
    <row r="869" spans="1:19" ht="42.75">
      <c r="A869" s="90" t="s">
        <v>49</v>
      </c>
      <c r="B869" s="91" t="s">
        <v>440</v>
      </c>
      <c r="C869" s="91" t="s">
        <v>2655</v>
      </c>
      <c r="D869" s="90">
        <v>1165</v>
      </c>
      <c r="E869" s="90">
        <v>1222</v>
      </c>
      <c r="F869" s="90" t="s">
        <v>1454</v>
      </c>
      <c r="G869" s="90"/>
      <c r="H869" s="93"/>
      <c r="I869" s="93"/>
      <c r="J869" s="93"/>
      <c r="K869" s="95"/>
      <c r="L869" s="69"/>
      <c r="M869" s="69"/>
      <c r="N869" s="69"/>
      <c r="O869" s="69"/>
      <c r="P869" s="78"/>
      <c r="Q869" s="96"/>
      <c r="R869" s="97"/>
      <c r="S869" s="98"/>
    </row>
    <row r="870" spans="1:19" ht="42.75">
      <c r="A870" s="90" t="s">
        <v>49</v>
      </c>
      <c r="B870" s="91" t="s">
        <v>440</v>
      </c>
      <c r="C870" s="91" t="s">
        <v>2656</v>
      </c>
      <c r="D870" s="90">
        <v>2849</v>
      </c>
      <c r="E870" s="90">
        <v>3240</v>
      </c>
      <c r="F870" s="90" t="s">
        <v>1454</v>
      </c>
      <c r="G870" s="90"/>
      <c r="H870" s="93"/>
      <c r="I870" s="93"/>
      <c r="J870" s="93"/>
      <c r="K870" s="95"/>
      <c r="L870" s="69"/>
      <c r="M870" s="69"/>
      <c r="N870" s="69"/>
      <c r="O870" s="69"/>
      <c r="P870" s="78"/>
      <c r="Q870" s="96"/>
      <c r="R870" s="97"/>
      <c r="S870" s="98"/>
    </row>
    <row r="871" spans="1:19" ht="42.75">
      <c r="A871" s="90" t="s">
        <v>49</v>
      </c>
      <c r="B871" s="91" t="s">
        <v>440</v>
      </c>
      <c r="C871" s="91" t="s">
        <v>2454</v>
      </c>
      <c r="D871" s="90">
        <v>3205</v>
      </c>
      <c r="E871" s="90">
        <v>3503</v>
      </c>
      <c r="F871" s="90" t="s">
        <v>1454</v>
      </c>
      <c r="G871" s="90"/>
      <c r="H871" s="93"/>
      <c r="I871" s="93"/>
      <c r="J871" s="93"/>
      <c r="K871" s="95"/>
      <c r="L871" s="69"/>
      <c r="M871" s="69"/>
      <c r="N871" s="69"/>
      <c r="O871" s="69"/>
      <c r="P871" s="78"/>
      <c r="Q871" s="96"/>
      <c r="R871" s="97"/>
      <c r="S871" s="98"/>
    </row>
    <row r="872" spans="1:19" ht="42.75">
      <c r="A872" s="90" t="s">
        <v>49</v>
      </c>
      <c r="B872" s="91" t="s">
        <v>440</v>
      </c>
      <c r="C872" s="91" t="s">
        <v>2657</v>
      </c>
      <c r="D872" s="90">
        <v>3860</v>
      </c>
      <c r="E872" s="90">
        <v>4573</v>
      </c>
      <c r="F872" s="90" t="s">
        <v>1454</v>
      </c>
      <c r="G872" s="90"/>
      <c r="H872" s="93"/>
      <c r="I872" s="93"/>
      <c r="J872" s="93"/>
      <c r="K872" s="95"/>
      <c r="L872" s="69"/>
      <c r="M872" s="69"/>
      <c r="N872" s="69"/>
      <c r="O872" s="69"/>
      <c r="P872" s="78"/>
      <c r="Q872" s="96"/>
      <c r="R872" s="97"/>
      <c r="S872" s="98"/>
    </row>
    <row r="873" spans="1:19" ht="42.75">
      <c r="A873" s="142" t="s">
        <v>49</v>
      </c>
      <c r="B873" s="91" t="s">
        <v>440</v>
      </c>
      <c r="C873" s="91" t="s">
        <v>926</v>
      </c>
      <c r="D873" s="90">
        <v>3127</v>
      </c>
      <c r="E873" s="90">
        <v>3127</v>
      </c>
      <c r="F873" s="90" t="s">
        <v>1434</v>
      </c>
      <c r="G873" s="90">
        <v>2024</v>
      </c>
      <c r="H873" s="101">
        <v>45539</v>
      </c>
      <c r="I873" s="101">
        <v>45539</v>
      </c>
      <c r="J873" s="94" t="s">
        <v>2658</v>
      </c>
      <c r="K873" s="100">
        <v>45552</v>
      </c>
      <c r="L873" s="69" t="s">
        <v>82</v>
      </c>
      <c r="M873" s="69" t="s">
        <v>1589</v>
      </c>
      <c r="N873" s="69"/>
      <c r="O873" s="69" t="s">
        <v>1436</v>
      </c>
      <c r="P873" s="78"/>
      <c r="Q873" s="96">
        <v>45552</v>
      </c>
      <c r="R873" s="97" t="s">
        <v>2415</v>
      </c>
      <c r="S873" s="98"/>
    </row>
    <row r="874" spans="1:19" ht="42.75">
      <c r="A874" s="142" t="s">
        <v>49</v>
      </c>
      <c r="B874" s="91" t="s">
        <v>440</v>
      </c>
      <c r="C874" s="91" t="s">
        <v>2659</v>
      </c>
      <c r="D874" s="90">
        <v>2030</v>
      </c>
      <c r="E874" s="90">
        <v>2420</v>
      </c>
      <c r="F874" s="90" t="s">
        <v>1454</v>
      </c>
      <c r="G874" s="90"/>
      <c r="H874" s="93"/>
      <c r="I874" s="101"/>
      <c r="J874" s="93"/>
      <c r="K874" s="95"/>
      <c r="L874" s="69"/>
      <c r="M874" s="69"/>
      <c r="N874" s="69"/>
      <c r="O874" s="69"/>
      <c r="P874" s="78"/>
      <c r="Q874" s="96"/>
      <c r="R874" s="97"/>
      <c r="S874" s="98"/>
    </row>
    <row r="875" spans="1:19" ht="42.75">
      <c r="A875" s="142" t="s">
        <v>49</v>
      </c>
      <c r="B875" s="91" t="s">
        <v>440</v>
      </c>
      <c r="C875" s="91" t="s">
        <v>2660</v>
      </c>
      <c r="D875" s="90">
        <v>2216</v>
      </c>
      <c r="E875" s="90">
        <v>2279</v>
      </c>
      <c r="F875" s="90" t="s">
        <v>1434</v>
      </c>
      <c r="G875" s="90">
        <v>2024</v>
      </c>
      <c r="H875" s="101">
        <v>45601</v>
      </c>
      <c r="I875" s="101">
        <v>45604</v>
      </c>
      <c r="J875" s="94" t="s">
        <v>2661</v>
      </c>
      <c r="K875" s="100">
        <v>45612</v>
      </c>
      <c r="L875" s="69" t="s">
        <v>84</v>
      </c>
      <c r="M875" s="69" t="s">
        <v>4</v>
      </c>
      <c r="N875" s="69" t="s">
        <v>101</v>
      </c>
      <c r="O875" s="69" t="s">
        <v>1436</v>
      </c>
      <c r="P875" s="78"/>
      <c r="Q875" s="96">
        <v>45614</v>
      </c>
      <c r="R875" s="97" t="s">
        <v>2415</v>
      </c>
      <c r="S875" s="98"/>
    </row>
    <row r="876" spans="1:19" ht="42.75">
      <c r="A876" s="142" t="s">
        <v>49</v>
      </c>
      <c r="B876" s="91" t="s">
        <v>440</v>
      </c>
      <c r="C876" s="91" t="s">
        <v>2662</v>
      </c>
      <c r="D876" s="90">
        <v>3127</v>
      </c>
      <c r="E876" s="90">
        <v>3378</v>
      </c>
      <c r="F876" s="90" t="s">
        <v>1454</v>
      </c>
      <c r="G876" s="90"/>
      <c r="H876" s="93"/>
      <c r="I876" s="93"/>
      <c r="J876" s="93"/>
      <c r="K876" s="95"/>
      <c r="L876" s="69"/>
      <c r="M876" s="69"/>
      <c r="N876" s="69"/>
      <c r="O876" s="69"/>
      <c r="P876" s="78"/>
      <c r="Q876" s="96"/>
      <c r="R876" s="97"/>
      <c r="S876" s="98"/>
    </row>
    <row r="877" spans="1:19" ht="42.75">
      <c r="A877" s="90" t="s">
        <v>49</v>
      </c>
      <c r="B877" s="91" t="s">
        <v>440</v>
      </c>
      <c r="C877" s="91" t="s">
        <v>2663</v>
      </c>
      <c r="D877" s="90">
        <v>5056</v>
      </c>
      <c r="E877" s="90">
        <v>5363</v>
      </c>
      <c r="F877" s="90" t="s">
        <v>1454</v>
      </c>
      <c r="G877" s="90"/>
      <c r="H877" s="93"/>
      <c r="I877" s="93"/>
      <c r="J877" s="93"/>
      <c r="K877" s="95"/>
      <c r="L877" s="69"/>
      <c r="M877" s="69"/>
      <c r="N877" s="69"/>
      <c r="O877" s="69"/>
      <c r="P877" s="78"/>
      <c r="Q877" s="96"/>
      <c r="R877" s="97"/>
      <c r="S877" s="98"/>
    </row>
    <row r="878" spans="1:19" ht="42.75">
      <c r="A878" s="90" t="s">
        <v>49</v>
      </c>
      <c r="B878" s="91" t="s">
        <v>440</v>
      </c>
      <c r="C878" s="91" t="s">
        <v>2342</v>
      </c>
      <c r="D878" s="90">
        <v>3755</v>
      </c>
      <c r="E878" s="90">
        <v>4323</v>
      </c>
      <c r="F878" s="90" t="s">
        <v>1454</v>
      </c>
      <c r="G878" s="90"/>
      <c r="H878" s="93"/>
      <c r="I878" s="93"/>
      <c r="J878" s="93"/>
      <c r="K878" s="95"/>
      <c r="L878" s="69"/>
      <c r="M878" s="69"/>
      <c r="N878" s="69"/>
      <c r="O878" s="69"/>
      <c r="P878" s="78"/>
      <c r="Q878" s="96"/>
      <c r="R878" s="97"/>
      <c r="S878" s="98"/>
    </row>
    <row r="879" spans="1:19" ht="42.75">
      <c r="A879" s="90" t="s">
        <v>49</v>
      </c>
      <c r="B879" s="91" t="s">
        <v>440</v>
      </c>
      <c r="C879" s="91" t="s">
        <v>427</v>
      </c>
      <c r="D879" s="90">
        <v>4951</v>
      </c>
      <c r="E879" s="90">
        <v>4613</v>
      </c>
      <c r="F879" s="90" t="s">
        <v>1434</v>
      </c>
      <c r="G879" s="90">
        <v>2024</v>
      </c>
      <c r="H879" s="101">
        <v>45539</v>
      </c>
      <c r="I879" s="101">
        <v>45539</v>
      </c>
      <c r="J879" s="94" t="s">
        <v>2664</v>
      </c>
      <c r="K879" s="100">
        <v>45552</v>
      </c>
      <c r="L879" s="69" t="s">
        <v>82</v>
      </c>
      <c r="M879" s="69" t="s">
        <v>1589</v>
      </c>
      <c r="N879" s="69"/>
      <c r="O879" s="69" t="s">
        <v>1436</v>
      </c>
      <c r="P879" s="78"/>
      <c r="Q879" s="96">
        <v>45552</v>
      </c>
      <c r="R879" s="97" t="s">
        <v>2415</v>
      </c>
      <c r="S879" s="98"/>
    </row>
    <row r="880" spans="1:19" ht="42.75">
      <c r="A880" s="142" t="s">
        <v>49</v>
      </c>
      <c r="B880" s="91" t="s">
        <v>440</v>
      </c>
      <c r="C880" s="91" t="s">
        <v>764</v>
      </c>
      <c r="D880" s="90">
        <v>8602</v>
      </c>
      <c r="E880" s="90">
        <v>8950</v>
      </c>
      <c r="F880" s="90" t="s">
        <v>1454</v>
      </c>
      <c r="G880" s="90"/>
      <c r="H880" s="93"/>
      <c r="I880" s="101"/>
      <c r="J880" s="93"/>
      <c r="K880" s="95"/>
      <c r="L880" s="69"/>
      <c r="M880" s="69"/>
      <c r="N880" s="69"/>
      <c r="O880" s="69"/>
      <c r="P880" s="78"/>
      <c r="Q880" s="96"/>
      <c r="R880" s="97"/>
      <c r="S880" s="98"/>
    </row>
    <row r="881" spans="1:19" ht="42.75">
      <c r="A881" s="142" t="s">
        <v>49</v>
      </c>
      <c r="B881" s="91" t="s">
        <v>440</v>
      </c>
      <c r="C881" s="91" t="s">
        <v>653</v>
      </c>
      <c r="D881" s="90">
        <v>2860</v>
      </c>
      <c r="E881" s="90">
        <v>2746</v>
      </c>
      <c r="F881" s="90" t="s">
        <v>1454</v>
      </c>
      <c r="G881" s="90"/>
      <c r="H881" s="93"/>
      <c r="I881" s="93"/>
      <c r="J881" s="93"/>
      <c r="K881" s="95"/>
      <c r="L881" s="69"/>
      <c r="M881" s="69"/>
      <c r="N881" s="69"/>
      <c r="O881" s="69"/>
      <c r="P881" s="78"/>
      <c r="Q881" s="96"/>
      <c r="R881" s="97"/>
      <c r="S881" s="98"/>
    </row>
    <row r="882" spans="1:19" ht="42.75">
      <c r="A882" s="90" t="s">
        <v>49</v>
      </c>
      <c r="B882" s="91" t="s">
        <v>440</v>
      </c>
      <c r="C882" s="91" t="s">
        <v>2282</v>
      </c>
      <c r="D882" s="90">
        <v>6000</v>
      </c>
      <c r="E882" s="90">
        <v>6509</v>
      </c>
      <c r="F882" s="90" t="s">
        <v>1454</v>
      </c>
      <c r="G882" s="90"/>
      <c r="H882" s="93"/>
      <c r="I882" s="93"/>
      <c r="J882" s="93"/>
      <c r="K882" s="95"/>
      <c r="L882" s="69"/>
      <c r="M882" s="69"/>
      <c r="N882" s="69"/>
      <c r="O882" s="69"/>
      <c r="P882" s="78"/>
      <c r="Q882" s="96"/>
      <c r="R882" s="97"/>
      <c r="S882" s="98"/>
    </row>
    <row r="883" spans="1:19" ht="42.75">
      <c r="A883" s="90" t="s">
        <v>49</v>
      </c>
      <c r="B883" s="91" t="s">
        <v>440</v>
      </c>
      <c r="C883" s="91" t="s">
        <v>1656</v>
      </c>
      <c r="D883" s="90">
        <v>3335</v>
      </c>
      <c r="E883" s="90">
        <v>4005</v>
      </c>
      <c r="F883" s="90" t="s">
        <v>1454</v>
      </c>
      <c r="G883" s="90"/>
      <c r="H883" s="93"/>
      <c r="I883" s="93"/>
      <c r="J883" s="93"/>
      <c r="K883" s="95"/>
      <c r="L883" s="69"/>
      <c r="M883" s="69"/>
      <c r="N883" s="69"/>
      <c r="O883" s="69"/>
      <c r="P883" s="78"/>
      <c r="Q883" s="96"/>
      <c r="R883" s="97"/>
      <c r="S883" s="98"/>
    </row>
    <row r="884" spans="1:19" ht="42.75">
      <c r="A884" s="142" t="s">
        <v>49</v>
      </c>
      <c r="B884" s="91" t="s">
        <v>440</v>
      </c>
      <c r="C884" s="91" t="s">
        <v>2665</v>
      </c>
      <c r="D884" s="90">
        <v>2945</v>
      </c>
      <c r="E884" s="90">
        <v>3829</v>
      </c>
      <c r="F884" s="90" t="s">
        <v>1454</v>
      </c>
      <c r="G884" s="90"/>
      <c r="H884" s="93"/>
      <c r="I884" s="93"/>
      <c r="J884" s="93"/>
      <c r="K884" s="95"/>
      <c r="L884" s="69"/>
      <c r="M884" s="69"/>
      <c r="N884" s="69"/>
      <c r="O884" s="69"/>
      <c r="P884" s="78"/>
      <c r="Q884" s="96"/>
      <c r="R884" s="97"/>
      <c r="S884" s="98"/>
    </row>
    <row r="885" spans="1:19" ht="42.75">
      <c r="A885" s="142" t="s">
        <v>49</v>
      </c>
      <c r="B885" s="91" t="s">
        <v>440</v>
      </c>
      <c r="C885" s="91" t="s">
        <v>2666</v>
      </c>
      <c r="D885" s="90">
        <v>2829</v>
      </c>
      <c r="E885" s="90">
        <v>2983</v>
      </c>
      <c r="F885" s="90" t="s">
        <v>1454</v>
      </c>
      <c r="G885" s="90"/>
      <c r="H885" s="93"/>
      <c r="I885" s="93"/>
      <c r="J885" s="93"/>
      <c r="K885" s="95"/>
      <c r="L885" s="69"/>
      <c r="M885" s="69"/>
      <c r="N885" s="69"/>
      <c r="O885" s="69"/>
      <c r="P885" s="78"/>
      <c r="Q885" s="96"/>
      <c r="R885" s="97"/>
      <c r="S885" s="98"/>
    </row>
    <row r="886" spans="1:19" ht="42.75">
      <c r="A886" s="90" t="s">
        <v>49</v>
      </c>
      <c r="B886" s="91" t="s">
        <v>440</v>
      </c>
      <c r="C886" s="91" t="s">
        <v>2667</v>
      </c>
      <c r="D886" s="90">
        <v>1632</v>
      </c>
      <c r="E886" s="90">
        <v>1997</v>
      </c>
      <c r="F886" s="90" t="s">
        <v>1454</v>
      </c>
      <c r="G886" s="90"/>
      <c r="H886" s="93"/>
      <c r="I886" s="93"/>
      <c r="J886" s="93"/>
      <c r="K886" s="95"/>
      <c r="L886" s="69"/>
      <c r="M886" s="69"/>
      <c r="N886" s="69"/>
      <c r="O886" s="69"/>
      <c r="P886" s="78"/>
      <c r="Q886" s="96"/>
      <c r="R886" s="97"/>
      <c r="S886" s="98"/>
    </row>
    <row r="887" spans="1:19" ht="42.75">
      <c r="A887" s="90" t="s">
        <v>49</v>
      </c>
      <c r="B887" s="91" t="s">
        <v>440</v>
      </c>
      <c r="C887" s="91" t="s">
        <v>2057</v>
      </c>
      <c r="D887" s="90">
        <v>10161</v>
      </c>
      <c r="E887" s="90">
        <v>11092</v>
      </c>
      <c r="F887" s="90" t="s">
        <v>1454</v>
      </c>
      <c r="G887" s="90"/>
      <c r="H887" s="93"/>
      <c r="I887" s="93"/>
      <c r="J887" s="93"/>
      <c r="K887" s="95"/>
      <c r="L887" s="69"/>
      <c r="M887" s="69"/>
      <c r="N887" s="69"/>
      <c r="O887" s="69"/>
      <c r="P887" s="78"/>
      <c r="Q887" s="96"/>
      <c r="R887" s="97"/>
      <c r="S887" s="98"/>
    </row>
    <row r="888" spans="1:19" ht="42.75">
      <c r="A888" s="142" t="s">
        <v>49</v>
      </c>
      <c r="B888" s="91" t="s">
        <v>440</v>
      </c>
      <c r="C888" s="91" t="s">
        <v>2668</v>
      </c>
      <c r="D888" s="90">
        <v>6001</v>
      </c>
      <c r="E888" s="90">
        <v>6039</v>
      </c>
      <c r="F888" s="90" t="s">
        <v>1454</v>
      </c>
      <c r="G888" s="90"/>
      <c r="H888" s="93"/>
      <c r="I888" s="93"/>
      <c r="J888" s="93"/>
      <c r="K888" s="95"/>
      <c r="L888" s="69"/>
      <c r="M888" s="69"/>
      <c r="N888" s="69"/>
      <c r="O888" s="69"/>
      <c r="P888" s="78"/>
      <c r="Q888" s="96"/>
      <c r="R888" s="97"/>
      <c r="S888" s="98"/>
    </row>
    <row r="889" spans="1:19" ht="42.75">
      <c r="A889" s="90" t="s">
        <v>49</v>
      </c>
      <c r="B889" s="91" t="s">
        <v>440</v>
      </c>
      <c r="C889" s="91" t="s">
        <v>2300</v>
      </c>
      <c r="D889" s="90">
        <v>3678</v>
      </c>
      <c r="E889" s="90">
        <v>4662</v>
      </c>
      <c r="F889" s="90" t="s">
        <v>1454</v>
      </c>
      <c r="G889" s="90"/>
      <c r="H889" s="93"/>
      <c r="I889" s="93"/>
      <c r="J889" s="93"/>
      <c r="K889" s="95"/>
      <c r="L889" s="69"/>
      <c r="M889" s="69"/>
      <c r="N889" s="69"/>
      <c r="O889" s="69"/>
      <c r="P889" s="78"/>
      <c r="Q889" s="96"/>
      <c r="R889" s="97"/>
      <c r="S889" s="98"/>
    </row>
    <row r="890" spans="1:19" ht="42.75">
      <c r="A890" s="90" t="s">
        <v>49</v>
      </c>
      <c r="B890" s="91" t="s">
        <v>440</v>
      </c>
      <c r="C890" s="91" t="s">
        <v>2669</v>
      </c>
      <c r="D890" s="90">
        <v>1314</v>
      </c>
      <c r="E890" s="90">
        <v>1438</v>
      </c>
      <c r="F890" s="90" t="s">
        <v>1454</v>
      </c>
      <c r="G890" s="90"/>
      <c r="H890" s="93"/>
      <c r="I890" s="93"/>
      <c r="J890" s="93"/>
      <c r="K890" s="95"/>
      <c r="L890" s="69"/>
      <c r="M890" s="69"/>
      <c r="N890" s="69"/>
      <c r="O890" s="69"/>
      <c r="P890" s="78"/>
      <c r="Q890" s="96"/>
      <c r="R890" s="97"/>
      <c r="S890" s="98"/>
    </row>
    <row r="891" spans="1:19" ht="42.75">
      <c r="A891" s="90" t="s">
        <v>49</v>
      </c>
      <c r="B891" s="91" t="s">
        <v>440</v>
      </c>
      <c r="C891" s="91" t="s">
        <v>2670</v>
      </c>
      <c r="D891" s="90">
        <v>1389</v>
      </c>
      <c r="E891" s="90">
        <v>1439</v>
      </c>
      <c r="F891" s="90" t="s">
        <v>1454</v>
      </c>
      <c r="G891" s="90"/>
      <c r="H891" s="93"/>
      <c r="I891" s="93"/>
      <c r="J891" s="93"/>
      <c r="K891" s="95"/>
      <c r="L891" s="69"/>
      <c r="M891" s="69"/>
      <c r="N891" s="69"/>
      <c r="O891" s="69"/>
      <c r="P891" s="78"/>
      <c r="Q891" s="96"/>
      <c r="R891" s="97"/>
      <c r="S891" s="98"/>
    </row>
    <row r="892" spans="1:19" ht="42.75">
      <c r="A892" s="90" t="s">
        <v>49</v>
      </c>
      <c r="B892" s="91" t="s">
        <v>440</v>
      </c>
      <c r="C892" s="91" t="s">
        <v>1059</v>
      </c>
      <c r="D892" s="90">
        <v>2092</v>
      </c>
      <c r="E892" s="90">
        <v>2415</v>
      </c>
      <c r="F892" s="90" t="s">
        <v>1454</v>
      </c>
      <c r="G892" s="90"/>
      <c r="H892" s="93"/>
      <c r="I892" s="93"/>
      <c r="J892" s="93"/>
      <c r="K892" s="95"/>
      <c r="L892" s="69"/>
      <c r="M892" s="69"/>
      <c r="N892" s="69"/>
      <c r="O892" s="69"/>
      <c r="P892" s="78"/>
      <c r="Q892" s="96"/>
      <c r="R892" s="97"/>
      <c r="S892" s="98"/>
    </row>
    <row r="893" spans="1:19" ht="42.75">
      <c r="A893" s="90" t="s">
        <v>49</v>
      </c>
      <c r="B893" s="91" t="s">
        <v>440</v>
      </c>
      <c r="C893" s="91" t="s">
        <v>2671</v>
      </c>
      <c r="D893" s="90">
        <v>3994</v>
      </c>
      <c r="E893" s="90">
        <v>4397</v>
      </c>
      <c r="F893" s="90" t="s">
        <v>1454</v>
      </c>
      <c r="G893" s="90"/>
      <c r="H893" s="93"/>
      <c r="I893" s="93"/>
      <c r="J893" s="93"/>
      <c r="K893" s="95"/>
      <c r="L893" s="69"/>
      <c r="M893" s="69"/>
      <c r="N893" s="69"/>
      <c r="O893" s="69"/>
      <c r="P893" s="78"/>
      <c r="Q893" s="96"/>
      <c r="R893" s="97"/>
      <c r="S893" s="98"/>
    </row>
    <row r="894" spans="1:19" ht="42.75">
      <c r="A894" s="90" t="s">
        <v>49</v>
      </c>
      <c r="B894" s="91" t="s">
        <v>378</v>
      </c>
      <c r="C894" s="91" t="s">
        <v>2672</v>
      </c>
      <c r="D894" s="90">
        <v>1515</v>
      </c>
      <c r="E894" s="90">
        <v>2263</v>
      </c>
      <c r="F894" s="90" t="s">
        <v>1454</v>
      </c>
      <c r="G894" s="90"/>
      <c r="H894" s="93"/>
      <c r="I894" s="93"/>
      <c r="J894" s="93"/>
      <c r="K894" s="95"/>
      <c r="L894" s="69"/>
      <c r="M894" s="69"/>
      <c r="N894" s="69"/>
      <c r="O894" s="69"/>
      <c r="P894" s="78"/>
      <c r="Q894" s="96"/>
      <c r="R894" s="97"/>
      <c r="S894" s="98"/>
    </row>
    <row r="895" spans="1:19" ht="42.75">
      <c r="A895" s="90" t="s">
        <v>49</v>
      </c>
      <c r="B895" s="91" t="s">
        <v>378</v>
      </c>
      <c r="C895" s="91" t="s">
        <v>2673</v>
      </c>
      <c r="D895" s="90">
        <v>1174</v>
      </c>
      <c r="E895" s="90">
        <v>1354</v>
      </c>
      <c r="F895" s="90" t="s">
        <v>1454</v>
      </c>
      <c r="G895" s="90"/>
      <c r="H895" s="93"/>
      <c r="I895" s="93"/>
      <c r="J895" s="93"/>
      <c r="K895" s="95"/>
      <c r="L895" s="69"/>
      <c r="M895" s="69"/>
      <c r="N895" s="69"/>
      <c r="O895" s="69"/>
      <c r="P895" s="78"/>
      <c r="Q895" s="96"/>
      <c r="R895" s="97"/>
      <c r="S895" s="98"/>
    </row>
    <row r="896" spans="1:19" ht="42.75">
      <c r="A896" s="90" t="s">
        <v>49</v>
      </c>
      <c r="B896" s="91" t="s">
        <v>378</v>
      </c>
      <c r="C896" s="91" t="s">
        <v>675</v>
      </c>
      <c r="D896" s="90">
        <v>10262</v>
      </c>
      <c r="E896" s="90">
        <v>10836</v>
      </c>
      <c r="F896" s="90" t="s">
        <v>1454</v>
      </c>
      <c r="G896" s="90"/>
      <c r="H896" s="93"/>
      <c r="I896" s="93"/>
      <c r="J896" s="93"/>
      <c r="K896" s="95"/>
      <c r="L896" s="69"/>
      <c r="M896" s="69"/>
      <c r="N896" s="69"/>
      <c r="O896" s="69"/>
      <c r="P896" s="78"/>
      <c r="Q896" s="96"/>
      <c r="R896" s="97"/>
      <c r="S896" s="98"/>
    </row>
    <row r="897" spans="1:19" ht="42.75">
      <c r="A897" s="90" t="s">
        <v>49</v>
      </c>
      <c r="B897" s="91" t="s">
        <v>378</v>
      </c>
      <c r="C897" s="91" t="s">
        <v>2674</v>
      </c>
      <c r="D897" s="90">
        <v>1500</v>
      </c>
      <c r="E897" s="90">
        <v>1804</v>
      </c>
      <c r="F897" s="90" t="s">
        <v>1454</v>
      </c>
      <c r="G897" s="90"/>
      <c r="H897" s="93"/>
      <c r="I897" s="93"/>
      <c r="J897" s="93"/>
      <c r="K897" s="95"/>
      <c r="L897" s="69"/>
      <c r="M897" s="69"/>
      <c r="N897" s="69"/>
      <c r="O897" s="69"/>
      <c r="P897" s="78"/>
      <c r="Q897" s="96"/>
      <c r="R897" s="97"/>
      <c r="S897" s="98"/>
    </row>
    <row r="898" spans="1:19" ht="42.75">
      <c r="A898" s="90" t="s">
        <v>49</v>
      </c>
      <c r="B898" s="91" t="s">
        <v>378</v>
      </c>
      <c r="C898" s="91" t="s">
        <v>2675</v>
      </c>
      <c r="D898" s="90">
        <v>1372</v>
      </c>
      <c r="E898" s="90">
        <v>1135</v>
      </c>
      <c r="F898" s="90" t="s">
        <v>1454</v>
      </c>
      <c r="G898" s="90"/>
      <c r="H898" s="93"/>
      <c r="I898" s="93"/>
      <c r="J898" s="93"/>
      <c r="K898" s="95"/>
      <c r="L898" s="69"/>
      <c r="M898" s="69"/>
      <c r="N898" s="69"/>
      <c r="O898" s="69"/>
      <c r="P898" s="78"/>
      <c r="Q898" s="96"/>
      <c r="R898" s="97"/>
      <c r="S898" s="98"/>
    </row>
    <row r="899" spans="1:19" ht="42.75">
      <c r="A899" s="90" t="s">
        <v>49</v>
      </c>
      <c r="B899" s="91" t="s">
        <v>378</v>
      </c>
      <c r="C899" s="91" t="s">
        <v>2676</v>
      </c>
      <c r="D899" s="90">
        <v>1347</v>
      </c>
      <c r="E899" s="90">
        <v>1485</v>
      </c>
      <c r="F899" s="90" t="s">
        <v>1454</v>
      </c>
      <c r="G899" s="90"/>
      <c r="H899" s="93"/>
      <c r="I899" s="93"/>
      <c r="J899" s="93"/>
      <c r="K899" s="95"/>
      <c r="L899" s="69"/>
      <c r="M899" s="69"/>
      <c r="N899" s="69"/>
      <c r="O899" s="69"/>
      <c r="P899" s="78"/>
      <c r="Q899" s="96"/>
      <c r="R899" s="97"/>
      <c r="S899" s="98"/>
    </row>
    <row r="900" spans="1:19" ht="42.75">
      <c r="A900" s="90" t="s">
        <v>49</v>
      </c>
      <c r="B900" s="91" t="s">
        <v>378</v>
      </c>
      <c r="C900" s="91" t="s">
        <v>2677</v>
      </c>
      <c r="D900" s="90">
        <v>3340</v>
      </c>
      <c r="E900" s="90">
        <v>3634</v>
      </c>
      <c r="F900" s="90" t="s">
        <v>1454</v>
      </c>
      <c r="G900" s="90"/>
      <c r="H900" s="93"/>
      <c r="I900" s="93"/>
      <c r="J900" s="93"/>
      <c r="K900" s="95"/>
      <c r="L900" s="69"/>
      <c r="M900" s="69"/>
      <c r="N900" s="69"/>
      <c r="O900" s="69"/>
      <c r="P900" s="78"/>
      <c r="Q900" s="96"/>
      <c r="R900" s="97"/>
      <c r="S900" s="98"/>
    </row>
    <row r="901" spans="1:19" ht="42.75">
      <c r="A901" s="90" t="s">
        <v>49</v>
      </c>
      <c r="B901" s="91" t="s">
        <v>378</v>
      </c>
      <c r="C901" s="91" t="s">
        <v>2678</v>
      </c>
      <c r="D901" s="90">
        <v>850</v>
      </c>
      <c r="E901" s="90">
        <v>871</v>
      </c>
      <c r="F901" s="90" t="s">
        <v>1454</v>
      </c>
      <c r="G901" s="90"/>
      <c r="H901" s="93"/>
      <c r="I901" s="93"/>
      <c r="J901" s="93"/>
      <c r="K901" s="95"/>
      <c r="L901" s="69"/>
      <c r="M901" s="69"/>
      <c r="N901" s="69"/>
      <c r="O901" s="69"/>
      <c r="P901" s="78"/>
      <c r="Q901" s="96"/>
      <c r="R901" s="97"/>
      <c r="S901" s="98"/>
    </row>
    <row r="902" spans="1:19" ht="42.75">
      <c r="A902" s="142" t="s">
        <v>49</v>
      </c>
      <c r="B902" s="91" t="s">
        <v>378</v>
      </c>
      <c r="C902" s="91" t="s">
        <v>2679</v>
      </c>
      <c r="D902" s="90">
        <v>6423</v>
      </c>
      <c r="E902" s="90">
        <v>6128</v>
      </c>
      <c r="F902" s="90" t="s">
        <v>1454</v>
      </c>
      <c r="G902" s="90"/>
      <c r="H902" s="93"/>
      <c r="I902" s="93"/>
      <c r="J902" s="93"/>
      <c r="K902" s="95"/>
      <c r="L902" s="69"/>
      <c r="M902" s="69"/>
      <c r="N902" s="69"/>
      <c r="O902" s="69"/>
      <c r="P902" s="78"/>
      <c r="Q902" s="96"/>
      <c r="R902" s="97"/>
      <c r="S902" s="98"/>
    </row>
    <row r="903" spans="1:19" ht="42.75">
      <c r="A903" s="90" t="s">
        <v>49</v>
      </c>
      <c r="B903" s="91" t="s">
        <v>378</v>
      </c>
      <c r="C903" s="91" t="s">
        <v>2680</v>
      </c>
      <c r="D903" s="90">
        <v>2228</v>
      </c>
      <c r="E903" s="90">
        <v>1910</v>
      </c>
      <c r="F903" s="90" t="s">
        <v>1454</v>
      </c>
      <c r="G903" s="90"/>
      <c r="H903" s="93"/>
      <c r="I903" s="93"/>
      <c r="J903" s="93"/>
      <c r="K903" s="95"/>
      <c r="L903" s="69"/>
      <c r="M903" s="69"/>
      <c r="N903" s="69"/>
      <c r="O903" s="69"/>
      <c r="P903" s="78"/>
      <c r="Q903" s="96"/>
      <c r="R903" s="97"/>
      <c r="S903" s="98"/>
    </row>
    <row r="904" spans="1:19" ht="42.75">
      <c r="A904" s="90" t="s">
        <v>49</v>
      </c>
      <c r="B904" s="91" t="s">
        <v>378</v>
      </c>
      <c r="C904" s="91" t="s">
        <v>2681</v>
      </c>
      <c r="D904" s="90">
        <v>2023</v>
      </c>
      <c r="E904" s="90">
        <v>2001</v>
      </c>
      <c r="F904" s="90" t="s">
        <v>1454</v>
      </c>
      <c r="G904" s="90"/>
      <c r="H904" s="93"/>
      <c r="I904" s="93"/>
      <c r="J904" s="93"/>
      <c r="K904" s="95"/>
      <c r="L904" s="69"/>
      <c r="M904" s="69"/>
      <c r="N904" s="69"/>
      <c r="O904" s="69"/>
      <c r="P904" s="78"/>
      <c r="Q904" s="96"/>
      <c r="R904" s="97"/>
      <c r="S904" s="98"/>
    </row>
    <row r="905" spans="1:19" ht="42.75">
      <c r="A905" s="90" t="s">
        <v>49</v>
      </c>
      <c r="B905" s="91" t="s">
        <v>378</v>
      </c>
      <c r="C905" s="91" t="s">
        <v>2551</v>
      </c>
      <c r="D905" s="90">
        <v>1346</v>
      </c>
      <c r="E905" s="90">
        <v>1383</v>
      </c>
      <c r="F905" s="90" t="s">
        <v>1454</v>
      </c>
      <c r="G905" s="90"/>
      <c r="H905" s="93"/>
      <c r="I905" s="93"/>
      <c r="J905" s="93"/>
      <c r="K905" s="95"/>
      <c r="L905" s="69"/>
      <c r="M905" s="69"/>
      <c r="N905" s="69"/>
      <c r="O905" s="69"/>
      <c r="P905" s="78"/>
      <c r="Q905" s="96"/>
      <c r="R905" s="97"/>
      <c r="S905" s="98"/>
    </row>
    <row r="906" spans="1:19" ht="42.75">
      <c r="A906" s="90" t="s">
        <v>49</v>
      </c>
      <c r="B906" s="91" t="s">
        <v>378</v>
      </c>
      <c r="C906" s="91" t="s">
        <v>2682</v>
      </c>
      <c r="D906" s="90">
        <v>3667</v>
      </c>
      <c r="E906" s="90">
        <v>4168</v>
      </c>
      <c r="F906" s="90" t="s">
        <v>1454</v>
      </c>
      <c r="G906" s="90"/>
      <c r="H906" s="93"/>
      <c r="I906" s="93"/>
      <c r="J906" s="93"/>
      <c r="K906" s="95"/>
      <c r="L906" s="69"/>
      <c r="M906" s="69"/>
      <c r="N906" s="69"/>
      <c r="O906" s="69"/>
      <c r="P906" s="78"/>
      <c r="Q906" s="96"/>
      <c r="R906" s="97"/>
      <c r="S906" s="98"/>
    </row>
    <row r="907" spans="1:19" ht="42.75">
      <c r="A907" s="90" t="s">
        <v>49</v>
      </c>
      <c r="B907" s="91" t="s">
        <v>378</v>
      </c>
      <c r="C907" s="91" t="s">
        <v>2683</v>
      </c>
      <c r="D907" s="90">
        <v>4123</v>
      </c>
      <c r="E907" s="90">
        <v>4940</v>
      </c>
      <c r="F907" s="90" t="s">
        <v>1454</v>
      </c>
      <c r="G907" s="90"/>
      <c r="H907" s="93"/>
      <c r="I907" s="93"/>
      <c r="J907" s="93"/>
      <c r="K907" s="95"/>
      <c r="L907" s="69"/>
      <c r="M907" s="69"/>
      <c r="N907" s="69"/>
      <c r="O907" s="69"/>
      <c r="P907" s="78"/>
      <c r="Q907" s="96"/>
      <c r="R907" s="97"/>
      <c r="S907" s="98"/>
    </row>
    <row r="908" spans="1:19" ht="42.75">
      <c r="A908" s="142" t="s">
        <v>49</v>
      </c>
      <c r="B908" s="91" t="s">
        <v>378</v>
      </c>
      <c r="C908" s="91" t="s">
        <v>2684</v>
      </c>
      <c r="D908" s="90">
        <v>3284</v>
      </c>
      <c r="E908" s="90">
        <v>3958</v>
      </c>
      <c r="F908" s="90" t="s">
        <v>1454</v>
      </c>
      <c r="G908" s="90"/>
      <c r="H908" s="93"/>
      <c r="I908" s="93"/>
      <c r="J908" s="93"/>
      <c r="K908" s="95"/>
      <c r="L908" s="69"/>
      <c r="M908" s="69"/>
      <c r="N908" s="69"/>
      <c r="O908" s="69"/>
      <c r="P908" s="78"/>
      <c r="Q908" s="96"/>
      <c r="R908" s="97"/>
      <c r="S908" s="98"/>
    </row>
    <row r="909" spans="1:19" ht="42.75">
      <c r="A909" s="90" t="s">
        <v>49</v>
      </c>
      <c r="B909" s="91" t="s">
        <v>378</v>
      </c>
      <c r="C909" s="91" t="s">
        <v>2462</v>
      </c>
      <c r="D909" s="90">
        <v>1101</v>
      </c>
      <c r="E909" s="90">
        <v>1043</v>
      </c>
      <c r="F909" s="90" t="s">
        <v>1454</v>
      </c>
      <c r="G909" s="90"/>
      <c r="H909" s="93"/>
      <c r="I909" s="93"/>
      <c r="J909" s="93"/>
      <c r="K909" s="95"/>
      <c r="L909" s="69"/>
      <c r="M909" s="69"/>
      <c r="N909" s="69"/>
      <c r="O909" s="69"/>
      <c r="P909" s="78"/>
      <c r="Q909" s="96"/>
      <c r="R909" s="97"/>
      <c r="S909" s="98"/>
    </row>
    <row r="910" spans="1:19" ht="42.75">
      <c r="A910" s="90" t="s">
        <v>49</v>
      </c>
      <c r="B910" s="91" t="s">
        <v>378</v>
      </c>
      <c r="C910" s="91" t="s">
        <v>2685</v>
      </c>
      <c r="D910" s="90">
        <v>997</v>
      </c>
      <c r="E910" s="90">
        <v>1118</v>
      </c>
      <c r="F910" s="90" t="s">
        <v>1434</v>
      </c>
      <c r="G910" s="90">
        <v>2024</v>
      </c>
      <c r="H910" s="99">
        <v>45447</v>
      </c>
      <c r="I910" s="101">
        <v>45453</v>
      </c>
      <c r="J910" s="94" t="s">
        <v>2686</v>
      </c>
      <c r="K910" s="100">
        <v>45462</v>
      </c>
      <c r="L910" s="69" t="s">
        <v>79</v>
      </c>
      <c r="M910" s="69"/>
      <c r="N910" s="69"/>
      <c r="O910" s="69" t="s">
        <v>1436</v>
      </c>
      <c r="P910" s="78"/>
      <c r="Q910" s="96">
        <v>45463</v>
      </c>
      <c r="R910" s="97"/>
      <c r="S910" s="98"/>
    </row>
    <row r="911" spans="1:19" ht="42.75">
      <c r="A911" s="90" t="s">
        <v>49</v>
      </c>
      <c r="B911" s="91" t="s">
        <v>378</v>
      </c>
      <c r="C911" s="91" t="s">
        <v>2687</v>
      </c>
      <c r="D911" s="90">
        <v>3750</v>
      </c>
      <c r="E911" s="90">
        <v>3789</v>
      </c>
      <c r="F911" s="90" t="s">
        <v>1454</v>
      </c>
      <c r="G911" s="90"/>
      <c r="H911" s="93"/>
      <c r="I911" s="93"/>
      <c r="J911" s="93"/>
      <c r="K911" s="95"/>
      <c r="L911" s="69"/>
      <c r="M911" s="69"/>
      <c r="N911" s="69"/>
      <c r="O911" s="69"/>
      <c r="P911" s="78"/>
      <c r="Q911" s="96"/>
      <c r="R911" s="97"/>
      <c r="S911" s="98"/>
    </row>
    <row r="912" spans="1:19" ht="42.75">
      <c r="A912" s="90" t="s">
        <v>49</v>
      </c>
      <c r="B912" s="91" t="s">
        <v>378</v>
      </c>
      <c r="C912" s="91" t="s">
        <v>2559</v>
      </c>
      <c r="D912" s="90">
        <v>955</v>
      </c>
      <c r="E912" s="90">
        <v>1107</v>
      </c>
      <c r="F912" s="90" t="s">
        <v>1454</v>
      </c>
      <c r="G912" s="90"/>
      <c r="H912" s="93"/>
      <c r="I912" s="93"/>
      <c r="J912" s="93"/>
      <c r="K912" s="95"/>
      <c r="L912" s="69"/>
      <c r="M912" s="69"/>
      <c r="N912" s="69"/>
      <c r="O912" s="69"/>
      <c r="P912" s="78"/>
      <c r="Q912" s="96"/>
      <c r="R912" s="97"/>
      <c r="S912" s="98"/>
    </row>
    <row r="913" spans="1:19" ht="42.75">
      <c r="A913" s="90" t="s">
        <v>49</v>
      </c>
      <c r="B913" s="91" t="s">
        <v>378</v>
      </c>
      <c r="C913" s="91" t="s">
        <v>2688</v>
      </c>
      <c r="D913" s="90">
        <v>818</v>
      </c>
      <c r="E913" s="90">
        <v>911</v>
      </c>
      <c r="F913" s="90" t="s">
        <v>1454</v>
      </c>
      <c r="G913" s="90"/>
      <c r="H913" s="93"/>
      <c r="I913" s="93"/>
      <c r="J913" s="93"/>
      <c r="K913" s="95"/>
      <c r="L913" s="69"/>
      <c r="M913" s="69"/>
      <c r="N913" s="69"/>
      <c r="O913" s="69"/>
      <c r="P913" s="78"/>
      <c r="Q913" s="96"/>
      <c r="R913" s="97"/>
      <c r="S913" s="98"/>
    </row>
    <row r="914" spans="1:19" ht="42.75">
      <c r="A914" s="90" t="s">
        <v>49</v>
      </c>
      <c r="B914" s="91" t="s">
        <v>378</v>
      </c>
      <c r="C914" s="91" t="s">
        <v>2689</v>
      </c>
      <c r="D914" s="90">
        <v>1459</v>
      </c>
      <c r="E914" s="90">
        <v>1492</v>
      </c>
      <c r="F914" s="90" t="s">
        <v>1454</v>
      </c>
      <c r="G914" s="90"/>
      <c r="H914" s="93"/>
      <c r="I914" s="93"/>
      <c r="J914" s="93"/>
      <c r="K914" s="95"/>
      <c r="L914" s="69"/>
      <c r="M914" s="69"/>
      <c r="N914" s="69"/>
      <c r="O914" s="69"/>
      <c r="P914" s="78"/>
      <c r="Q914" s="96"/>
      <c r="R914" s="97"/>
      <c r="S914" s="98"/>
    </row>
    <row r="915" spans="1:19" ht="42.75">
      <c r="A915" s="90" t="s">
        <v>49</v>
      </c>
      <c r="B915" s="91" t="s">
        <v>378</v>
      </c>
      <c r="C915" s="91" t="s">
        <v>2690</v>
      </c>
      <c r="D915" s="90">
        <v>1815</v>
      </c>
      <c r="E915" s="90">
        <v>1840</v>
      </c>
      <c r="F915" s="90" t="s">
        <v>1454</v>
      </c>
      <c r="G915" s="90"/>
      <c r="H915" s="93"/>
      <c r="I915" s="93"/>
      <c r="J915" s="93"/>
      <c r="K915" s="95"/>
      <c r="L915" s="69"/>
      <c r="M915" s="69"/>
      <c r="N915" s="69"/>
      <c r="O915" s="69"/>
      <c r="P915" s="78"/>
      <c r="Q915" s="96"/>
      <c r="R915" s="97"/>
      <c r="S915" s="98"/>
    </row>
    <row r="916" spans="1:19" ht="42.75">
      <c r="A916" s="90" t="s">
        <v>49</v>
      </c>
      <c r="B916" s="91" t="s">
        <v>378</v>
      </c>
      <c r="C916" s="91" t="s">
        <v>926</v>
      </c>
      <c r="D916" s="90">
        <v>1636</v>
      </c>
      <c r="E916" s="90">
        <v>1640</v>
      </c>
      <c r="F916" s="90" t="s">
        <v>1454</v>
      </c>
      <c r="G916" s="90"/>
      <c r="H916" s="93"/>
      <c r="I916" s="93"/>
      <c r="J916" s="93"/>
      <c r="K916" s="95"/>
      <c r="L916" s="69"/>
      <c r="M916" s="69"/>
      <c r="N916" s="69"/>
      <c r="O916" s="69"/>
      <c r="P916" s="78"/>
      <c r="Q916" s="96"/>
      <c r="R916" s="97"/>
      <c r="S916" s="98"/>
    </row>
    <row r="917" spans="1:19" ht="42.75">
      <c r="A917" s="90" t="s">
        <v>49</v>
      </c>
      <c r="B917" s="91" t="s">
        <v>378</v>
      </c>
      <c r="C917" s="91" t="s">
        <v>1941</v>
      </c>
      <c r="D917" s="90">
        <v>3488</v>
      </c>
      <c r="E917" s="90">
        <v>3600</v>
      </c>
      <c r="F917" s="90" t="s">
        <v>1454</v>
      </c>
      <c r="G917" s="90"/>
      <c r="H917" s="93"/>
      <c r="I917" s="93"/>
      <c r="J917" s="93"/>
      <c r="K917" s="95"/>
      <c r="L917" s="69"/>
      <c r="M917" s="69"/>
      <c r="N917" s="69"/>
      <c r="O917" s="69"/>
      <c r="P917" s="78"/>
      <c r="Q917" s="96"/>
      <c r="R917" s="97"/>
      <c r="S917" s="98"/>
    </row>
    <row r="918" spans="1:19" ht="42.75">
      <c r="A918" s="142" t="s">
        <v>49</v>
      </c>
      <c r="B918" s="91" t="s">
        <v>378</v>
      </c>
      <c r="C918" s="91" t="s">
        <v>2659</v>
      </c>
      <c r="D918" s="90">
        <v>1071</v>
      </c>
      <c r="E918" s="90">
        <v>1259</v>
      </c>
      <c r="F918" s="90" t="s">
        <v>1454</v>
      </c>
      <c r="G918" s="90"/>
      <c r="H918" s="93"/>
      <c r="I918" s="93"/>
      <c r="J918" s="93"/>
      <c r="K918" s="95"/>
      <c r="L918" s="69"/>
      <c r="M918" s="69"/>
      <c r="N918" s="69"/>
      <c r="O918" s="69"/>
      <c r="P918" s="78"/>
      <c r="Q918" s="96"/>
      <c r="R918" s="97"/>
      <c r="S918" s="98"/>
    </row>
    <row r="919" spans="1:19" ht="42.75">
      <c r="A919" s="90" t="s">
        <v>49</v>
      </c>
      <c r="B919" s="91" t="s">
        <v>378</v>
      </c>
      <c r="C919" s="91" t="s">
        <v>2691</v>
      </c>
      <c r="D919" s="90">
        <v>2058</v>
      </c>
      <c r="E919" s="90">
        <v>2442</v>
      </c>
      <c r="F919" s="90" t="s">
        <v>1454</v>
      </c>
      <c r="G919" s="90"/>
      <c r="H919" s="93"/>
      <c r="I919" s="93"/>
      <c r="J919" s="93"/>
      <c r="K919" s="95"/>
      <c r="L919" s="69"/>
      <c r="M919" s="69"/>
      <c r="N919" s="69"/>
      <c r="O919" s="69"/>
      <c r="P919" s="78"/>
      <c r="Q919" s="96"/>
      <c r="R919" s="97"/>
      <c r="S919" s="98"/>
    </row>
    <row r="920" spans="1:19" ht="42.75">
      <c r="A920" s="90" t="s">
        <v>49</v>
      </c>
      <c r="B920" s="91" t="s">
        <v>378</v>
      </c>
      <c r="C920" s="91" t="s">
        <v>2692</v>
      </c>
      <c r="D920" s="90">
        <v>4009</v>
      </c>
      <c r="E920" s="90">
        <v>4480</v>
      </c>
      <c r="F920" s="90" t="s">
        <v>1434</v>
      </c>
      <c r="G920" s="90">
        <v>2024</v>
      </c>
      <c r="H920" s="101">
        <v>45447</v>
      </c>
      <c r="I920" s="101">
        <v>45453</v>
      </c>
      <c r="J920" s="94" t="s">
        <v>2693</v>
      </c>
      <c r="K920" s="100">
        <v>45462</v>
      </c>
      <c r="L920" s="69" t="s">
        <v>79</v>
      </c>
      <c r="M920" s="69"/>
      <c r="N920" s="69"/>
      <c r="O920" s="69" t="s">
        <v>1436</v>
      </c>
      <c r="P920" s="78"/>
      <c r="Q920" s="96">
        <v>45464</v>
      </c>
      <c r="R920" s="97"/>
      <c r="S920" s="98"/>
    </row>
    <row r="921" spans="1:19" ht="42.75">
      <c r="A921" s="90" t="s">
        <v>49</v>
      </c>
      <c r="B921" s="91" t="s">
        <v>378</v>
      </c>
      <c r="C921" s="91" t="s">
        <v>2342</v>
      </c>
      <c r="D921" s="90">
        <v>1486</v>
      </c>
      <c r="E921" s="90">
        <v>1745</v>
      </c>
      <c r="F921" s="90" t="s">
        <v>1454</v>
      </c>
      <c r="G921" s="90"/>
      <c r="H921" s="93"/>
      <c r="I921" s="93"/>
      <c r="J921" s="93"/>
      <c r="K921" s="95"/>
      <c r="L921" s="69"/>
      <c r="M921" s="69"/>
      <c r="N921" s="69"/>
      <c r="O921" s="69"/>
      <c r="P921" s="78"/>
      <c r="Q921" s="96"/>
      <c r="R921" s="97"/>
      <c r="S921" s="98"/>
    </row>
    <row r="922" spans="1:19" ht="42.75">
      <c r="A922" s="142" t="s">
        <v>49</v>
      </c>
      <c r="B922" s="91" t="s">
        <v>378</v>
      </c>
      <c r="C922" s="91" t="s">
        <v>2234</v>
      </c>
      <c r="D922" s="90">
        <v>8233</v>
      </c>
      <c r="E922" s="90">
        <v>9674</v>
      </c>
      <c r="F922" s="90" t="s">
        <v>1454</v>
      </c>
      <c r="G922" s="90"/>
      <c r="H922" s="93"/>
      <c r="I922" s="93"/>
      <c r="J922" s="93"/>
      <c r="K922" s="95"/>
      <c r="L922" s="69"/>
      <c r="M922" s="69"/>
      <c r="N922" s="69"/>
      <c r="O922" s="69"/>
      <c r="P922" s="78"/>
      <c r="Q922" s="96"/>
      <c r="R922" s="97"/>
      <c r="S922" s="98"/>
    </row>
    <row r="923" spans="1:19" ht="42.75">
      <c r="A923" s="90" t="s">
        <v>49</v>
      </c>
      <c r="B923" s="91" t="s">
        <v>378</v>
      </c>
      <c r="C923" s="91" t="s">
        <v>2694</v>
      </c>
      <c r="D923" s="90">
        <v>3659</v>
      </c>
      <c r="E923" s="90">
        <v>4152</v>
      </c>
      <c r="F923" s="90" t="s">
        <v>1454</v>
      </c>
      <c r="G923" s="90"/>
      <c r="H923" s="93"/>
      <c r="I923" s="93"/>
      <c r="J923" s="93"/>
      <c r="K923" s="95"/>
      <c r="L923" s="69"/>
      <c r="M923" s="69"/>
      <c r="N923" s="69"/>
      <c r="O923" s="69"/>
      <c r="P923" s="78"/>
      <c r="Q923" s="96"/>
      <c r="R923" s="97"/>
      <c r="S923" s="98"/>
    </row>
    <row r="924" spans="1:19" ht="42.75">
      <c r="A924" s="90" t="s">
        <v>49</v>
      </c>
      <c r="B924" s="91" t="s">
        <v>378</v>
      </c>
      <c r="C924" s="91" t="s">
        <v>2695</v>
      </c>
      <c r="D924" s="90">
        <v>7810</v>
      </c>
      <c r="E924" s="90">
        <v>7719</v>
      </c>
      <c r="F924" s="90" t="s">
        <v>1434</v>
      </c>
      <c r="G924" s="90">
        <v>2024</v>
      </c>
      <c r="H924" s="101">
        <v>45447</v>
      </c>
      <c r="I924" s="101">
        <v>45453</v>
      </c>
      <c r="J924" s="94" t="s">
        <v>2696</v>
      </c>
      <c r="K924" s="100">
        <v>45462</v>
      </c>
      <c r="L924" s="69" t="s">
        <v>79</v>
      </c>
      <c r="M924" s="69"/>
      <c r="N924" s="69"/>
      <c r="O924" s="69" t="s">
        <v>1436</v>
      </c>
      <c r="P924" s="78"/>
      <c r="Q924" s="96">
        <v>45462</v>
      </c>
      <c r="R924" s="97"/>
      <c r="S924" s="98"/>
    </row>
    <row r="925" spans="1:19" ht="42.75">
      <c r="A925" s="90" t="s">
        <v>49</v>
      </c>
      <c r="B925" s="91" t="s">
        <v>378</v>
      </c>
      <c r="C925" s="91" t="s">
        <v>2697</v>
      </c>
      <c r="D925" s="90">
        <v>2381</v>
      </c>
      <c r="E925" s="90">
        <v>2579</v>
      </c>
      <c r="F925" s="90" t="s">
        <v>1454</v>
      </c>
      <c r="G925" s="90"/>
      <c r="H925" s="93"/>
      <c r="I925" s="93"/>
      <c r="J925" s="93"/>
      <c r="K925" s="95"/>
      <c r="L925" s="69"/>
      <c r="M925" s="69"/>
      <c r="N925" s="69"/>
      <c r="O925" s="69"/>
      <c r="P925" s="78"/>
      <c r="Q925" s="96"/>
      <c r="R925" s="97"/>
      <c r="S925" s="98"/>
    </row>
    <row r="926" spans="1:19" ht="42.75">
      <c r="A926" s="90" t="s">
        <v>49</v>
      </c>
      <c r="B926" s="91" t="s">
        <v>378</v>
      </c>
      <c r="C926" s="91" t="s">
        <v>2698</v>
      </c>
      <c r="D926" s="90">
        <v>2653</v>
      </c>
      <c r="E926" s="90">
        <v>3711</v>
      </c>
      <c r="F926" s="90" t="s">
        <v>1454</v>
      </c>
      <c r="G926" s="90"/>
      <c r="H926" s="93"/>
      <c r="I926" s="93"/>
      <c r="J926" s="93"/>
      <c r="K926" s="95"/>
      <c r="L926" s="69"/>
      <c r="M926" s="69"/>
      <c r="N926" s="69"/>
      <c r="O926" s="69"/>
      <c r="P926" s="78"/>
      <c r="Q926" s="96"/>
      <c r="R926" s="97"/>
      <c r="S926" s="98"/>
    </row>
    <row r="927" spans="1:19" ht="42.75">
      <c r="A927" s="90" t="s">
        <v>49</v>
      </c>
      <c r="B927" s="91" t="s">
        <v>378</v>
      </c>
      <c r="C927" s="91" t="s">
        <v>2699</v>
      </c>
      <c r="D927" s="90">
        <v>822</v>
      </c>
      <c r="E927" s="90">
        <v>926</v>
      </c>
      <c r="F927" s="90" t="s">
        <v>1454</v>
      </c>
      <c r="G927" s="90"/>
      <c r="H927" s="93"/>
      <c r="I927" s="93"/>
      <c r="J927" s="93"/>
      <c r="K927" s="95"/>
      <c r="L927" s="69"/>
      <c r="M927" s="69"/>
      <c r="N927" s="69"/>
      <c r="O927" s="69"/>
      <c r="P927" s="78"/>
      <c r="Q927" s="96"/>
      <c r="R927" s="97"/>
      <c r="S927" s="98"/>
    </row>
    <row r="928" spans="1:19" ht="42.75">
      <c r="A928" s="142" t="s">
        <v>49</v>
      </c>
      <c r="B928" s="91" t="s">
        <v>1309</v>
      </c>
      <c r="C928" s="91" t="s">
        <v>2418</v>
      </c>
      <c r="D928" s="90">
        <v>8912</v>
      </c>
      <c r="E928" s="90">
        <v>7839</v>
      </c>
      <c r="F928" s="90" t="s">
        <v>1454</v>
      </c>
      <c r="G928" s="90"/>
      <c r="H928" s="93"/>
      <c r="I928" s="93"/>
      <c r="J928" s="93"/>
      <c r="K928" s="95"/>
      <c r="L928" s="69"/>
      <c r="M928" s="69"/>
      <c r="N928" s="69"/>
      <c r="O928" s="69"/>
      <c r="P928" s="78"/>
      <c r="Q928" s="96"/>
      <c r="R928" s="97"/>
      <c r="S928" s="98"/>
    </row>
    <row r="929" spans="1:19" ht="42.75">
      <c r="A929" s="90" t="s">
        <v>49</v>
      </c>
      <c r="B929" s="91" t="s">
        <v>1309</v>
      </c>
      <c r="C929" s="91" t="s">
        <v>2700</v>
      </c>
      <c r="D929" s="90">
        <v>7900</v>
      </c>
      <c r="E929" s="90">
        <v>9732</v>
      </c>
      <c r="F929" s="90" t="s">
        <v>1434</v>
      </c>
      <c r="G929" s="90">
        <v>2024</v>
      </c>
      <c r="H929" s="101">
        <v>45545</v>
      </c>
      <c r="I929" s="101">
        <v>45553</v>
      </c>
      <c r="J929" s="94" t="s">
        <v>2701</v>
      </c>
      <c r="K929" s="100">
        <v>45553</v>
      </c>
      <c r="L929" s="69" t="s">
        <v>82</v>
      </c>
      <c r="M929" s="69" t="s">
        <v>672</v>
      </c>
      <c r="N929" s="69" t="s">
        <v>101</v>
      </c>
      <c r="O929" s="69" t="s">
        <v>1436</v>
      </c>
      <c r="P929" s="78"/>
      <c r="Q929" s="96">
        <v>45554</v>
      </c>
      <c r="R929" s="97" t="s">
        <v>2415</v>
      </c>
      <c r="S929" s="98"/>
    </row>
    <row r="930" spans="1:19" ht="42.75">
      <c r="A930" s="90" t="s">
        <v>49</v>
      </c>
      <c r="B930" s="91" t="s">
        <v>1309</v>
      </c>
      <c r="C930" s="91" t="s">
        <v>1557</v>
      </c>
      <c r="D930" s="90">
        <v>2436</v>
      </c>
      <c r="E930" s="90">
        <v>2821</v>
      </c>
      <c r="F930" s="90" t="s">
        <v>1454</v>
      </c>
      <c r="G930" s="90"/>
      <c r="H930" s="93"/>
      <c r="I930" s="93"/>
      <c r="J930" s="93"/>
      <c r="K930" s="95"/>
      <c r="L930" s="69"/>
      <c r="M930" s="69"/>
      <c r="N930" s="69"/>
      <c r="O930" s="69"/>
      <c r="P930" s="78"/>
      <c r="Q930" s="96"/>
      <c r="R930" s="97"/>
      <c r="S930" s="98"/>
    </row>
    <row r="931" spans="1:19" ht="42.75">
      <c r="A931" s="90" t="s">
        <v>49</v>
      </c>
      <c r="B931" s="91" t="s">
        <v>1309</v>
      </c>
      <c r="C931" s="91" t="s">
        <v>2702</v>
      </c>
      <c r="D931" s="90">
        <v>9225</v>
      </c>
      <c r="E931" s="90">
        <v>10015</v>
      </c>
      <c r="F931" s="90" t="s">
        <v>1434</v>
      </c>
      <c r="G931" s="90">
        <v>2024</v>
      </c>
      <c r="H931" s="101">
        <v>45545</v>
      </c>
      <c r="I931" s="101">
        <v>45553</v>
      </c>
      <c r="J931" s="94" t="s">
        <v>2703</v>
      </c>
      <c r="K931" s="100">
        <v>45553</v>
      </c>
      <c r="L931" s="69" t="s">
        <v>82</v>
      </c>
      <c r="M931" s="69" t="s">
        <v>4</v>
      </c>
      <c r="N931" s="69" t="s">
        <v>101</v>
      </c>
      <c r="O931" s="69" t="s">
        <v>1436</v>
      </c>
      <c r="P931" s="78"/>
      <c r="Q931" s="96">
        <v>45554</v>
      </c>
      <c r="R931" s="97" t="s">
        <v>2415</v>
      </c>
      <c r="S931" s="98"/>
    </row>
    <row r="932" spans="1:19" ht="42.75">
      <c r="A932" s="90" t="s">
        <v>49</v>
      </c>
      <c r="B932" s="91" t="s">
        <v>1309</v>
      </c>
      <c r="C932" s="91" t="s">
        <v>2704</v>
      </c>
      <c r="D932" s="90">
        <v>5388</v>
      </c>
      <c r="E932" s="90">
        <v>5019</v>
      </c>
      <c r="F932" s="90" t="s">
        <v>1454</v>
      </c>
      <c r="G932" s="90"/>
      <c r="H932" s="93"/>
      <c r="I932" s="93"/>
      <c r="J932" s="93"/>
      <c r="K932" s="95"/>
      <c r="L932" s="69"/>
      <c r="M932" s="69"/>
      <c r="N932" s="69"/>
      <c r="O932" s="69"/>
      <c r="P932" s="78"/>
      <c r="Q932" s="96"/>
      <c r="R932" s="97"/>
      <c r="S932" s="98"/>
    </row>
    <row r="933" spans="1:19" ht="42.75">
      <c r="A933" s="90" t="s">
        <v>49</v>
      </c>
      <c r="B933" s="91" t="s">
        <v>1309</v>
      </c>
      <c r="C933" s="91" t="s">
        <v>2371</v>
      </c>
      <c r="D933" s="90">
        <v>13334</v>
      </c>
      <c r="E933" s="90">
        <v>15938</v>
      </c>
      <c r="F933" s="90" t="s">
        <v>1454</v>
      </c>
      <c r="G933" s="90"/>
      <c r="H933" s="93"/>
      <c r="I933" s="93"/>
      <c r="J933" s="93"/>
      <c r="K933" s="95"/>
      <c r="L933" s="69"/>
      <c r="M933" s="69"/>
      <c r="N933" s="69"/>
      <c r="O933" s="69"/>
      <c r="P933" s="78"/>
      <c r="Q933" s="96"/>
      <c r="R933" s="97"/>
      <c r="S933" s="98"/>
    </row>
    <row r="934" spans="1:19" ht="42.75">
      <c r="A934" s="90" t="s">
        <v>49</v>
      </c>
      <c r="B934" s="91" t="s">
        <v>1309</v>
      </c>
      <c r="C934" s="91" t="s">
        <v>2705</v>
      </c>
      <c r="D934" s="90">
        <v>28947</v>
      </c>
      <c r="E934" s="90">
        <v>32674</v>
      </c>
      <c r="F934" s="90" t="s">
        <v>1454</v>
      </c>
      <c r="G934" s="90"/>
      <c r="H934" s="93"/>
      <c r="I934" s="93"/>
      <c r="J934" s="93"/>
      <c r="K934" s="95"/>
      <c r="L934" s="69"/>
      <c r="M934" s="69"/>
      <c r="N934" s="69"/>
      <c r="O934" s="69"/>
      <c r="P934" s="78"/>
      <c r="Q934" s="96"/>
      <c r="R934" s="97"/>
      <c r="S934" s="98"/>
    </row>
    <row r="935" spans="1:19" ht="42.75">
      <c r="A935" s="90" t="s">
        <v>49</v>
      </c>
      <c r="B935" s="91" t="s">
        <v>1309</v>
      </c>
      <c r="C935" s="91" t="s">
        <v>2706</v>
      </c>
      <c r="D935" s="90">
        <v>14365</v>
      </c>
      <c r="E935" s="90">
        <v>14979</v>
      </c>
      <c r="F935" s="90" t="s">
        <v>1434</v>
      </c>
      <c r="G935" s="90">
        <v>2024</v>
      </c>
      <c r="H935" s="101">
        <v>45545</v>
      </c>
      <c r="I935" s="101">
        <v>45553</v>
      </c>
      <c r="J935" s="94" t="s">
        <v>2707</v>
      </c>
      <c r="K935" s="100">
        <v>45463</v>
      </c>
      <c r="L935" s="69" t="s">
        <v>82</v>
      </c>
      <c r="M935" s="69"/>
      <c r="N935" s="69"/>
      <c r="O935" s="69" t="s">
        <v>1436</v>
      </c>
      <c r="P935" s="78"/>
      <c r="Q935" s="96">
        <v>45464</v>
      </c>
      <c r="R935" s="97"/>
      <c r="S935" s="98"/>
    </row>
    <row r="936" spans="1:19" ht="42.75">
      <c r="A936" s="142" t="s">
        <v>49</v>
      </c>
      <c r="B936" s="91" t="s">
        <v>1309</v>
      </c>
      <c r="C936" s="91" t="s">
        <v>2708</v>
      </c>
      <c r="D936" s="90">
        <v>14749</v>
      </c>
      <c r="E936" s="90">
        <v>16909</v>
      </c>
      <c r="F936" s="90" t="s">
        <v>1434</v>
      </c>
      <c r="G936" s="90">
        <v>2024</v>
      </c>
      <c r="H936" s="101">
        <v>45545</v>
      </c>
      <c r="I936" s="101">
        <v>45553</v>
      </c>
      <c r="J936" s="94" t="s">
        <v>2709</v>
      </c>
      <c r="K936" s="100">
        <v>45553</v>
      </c>
      <c r="L936" s="69" t="s">
        <v>82</v>
      </c>
      <c r="M936" s="69" t="s">
        <v>672</v>
      </c>
      <c r="N936" s="69" t="s">
        <v>101</v>
      </c>
      <c r="O936" s="69" t="s">
        <v>1436</v>
      </c>
      <c r="P936" s="78"/>
      <c r="Q936" s="96">
        <v>45554</v>
      </c>
      <c r="R936" s="97" t="s">
        <v>2415</v>
      </c>
      <c r="S936" s="98"/>
    </row>
    <row r="937" spans="1:19" ht="42.75">
      <c r="A937" s="90" t="s">
        <v>49</v>
      </c>
      <c r="B937" s="91" t="s">
        <v>1309</v>
      </c>
      <c r="C937" s="91" t="s">
        <v>2710</v>
      </c>
      <c r="D937" s="90">
        <v>2337</v>
      </c>
      <c r="E937" s="90">
        <v>2319</v>
      </c>
      <c r="F937" s="90" t="s">
        <v>1454</v>
      </c>
      <c r="G937" s="90"/>
      <c r="H937" s="93"/>
      <c r="I937" s="93"/>
      <c r="J937" s="93"/>
      <c r="K937" s="95"/>
      <c r="L937" s="69"/>
      <c r="M937" s="69"/>
      <c r="N937" s="69"/>
      <c r="O937" s="69"/>
      <c r="P937" s="78"/>
      <c r="Q937" s="96"/>
      <c r="R937" s="97"/>
      <c r="S937" s="98"/>
    </row>
    <row r="938" spans="1:19" ht="42.75">
      <c r="A938" s="90" t="s">
        <v>49</v>
      </c>
      <c r="B938" s="91" t="s">
        <v>1309</v>
      </c>
      <c r="C938" s="91" t="s">
        <v>2711</v>
      </c>
      <c r="D938" s="90">
        <v>9373</v>
      </c>
      <c r="E938" s="90">
        <v>10381</v>
      </c>
      <c r="F938" s="90" t="s">
        <v>1454</v>
      </c>
      <c r="G938" s="90"/>
      <c r="H938" s="93"/>
      <c r="I938" s="93"/>
      <c r="J938" s="93"/>
      <c r="K938" s="95"/>
      <c r="L938" s="69"/>
      <c r="M938" s="69"/>
      <c r="N938" s="69"/>
      <c r="O938" s="69"/>
      <c r="P938" s="78"/>
      <c r="Q938" s="96"/>
      <c r="R938" s="97"/>
      <c r="S938" s="98"/>
    </row>
    <row r="939" spans="1:19" ht="42.75">
      <c r="A939" s="90" t="s">
        <v>49</v>
      </c>
      <c r="B939" s="91" t="s">
        <v>1309</v>
      </c>
      <c r="C939" s="91" t="s">
        <v>2712</v>
      </c>
      <c r="D939" s="90">
        <v>4361</v>
      </c>
      <c r="E939" s="90">
        <v>5140</v>
      </c>
      <c r="F939" s="90" t="s">
        <v>1434</v>
      </c>
      <c r="G939" s="90">
        <v>2024</v>
      </c>
      <c r="H939" s="101">
        <v>45482</v>
      </c>
      <c r="I939" s="101">
        <v>45489</v>
      </c>
      <c r="J939" s="94" t="s">
        <v>2713</v>
      </c>
      <c r="K939" s="100">
        <v>45491</v>
      </c>
      <c r="L939" s="69" t="s">
        <v>80</v>
      </c>
      <c r="M939" s="69" t="s">
        <v>4</v>
      </c>
      <c r="N939" s="69" t="s">
        <v>101</v>
      </c>
      <c r="O939" s="69" t="s">
        <v>1436</v>
      </c>
      <c r="P939" s="78"/>
      <c r="Q939" s="70">
        <v>45492</v>
      </c>
      <c r="R939" s="97"/>
      <c r="S939" s="98"/>
    </row>
    <row r="940" spans="1:19" ht="42.75">
      <c r="A940" s="90" t="s">
        <v>49</v>
      </c>
      <c r="B940" s="91" t="s">
        <v>1309</v>
      </c>
      <c r="C940" s="91" t="s">
        <v>2714</v>
      </c>
      <c r="D940" s="90">
        <v>2398</v>
      </c>
      <c r="E940" s="90">
        <v>2779</v>
      </c>
      <c r="F940" s="90" t="s">
        <v>1454</v>
      </c>
      <c r="G940" s="90"/>
      <c r="H940" s="93"/>
      <c r="I940" s="93"/>
      <c r="J940" s="93"/>
      <c r="K940" s="95"/>
      <c r="L940" s="69"/>
      <c r="M940" s="69"/>
      <c r="N940" s="69"/>
      <c r="O940" s="69"/>
      <c r="P940" s="78"/>
      <c r="Q940" s="96"/>
      <c r="R940" s="97"/>
      <c r="S940" s="98"/>
    </row>
    <row r="941" spans="1:19" ht="42.75">
      <c r="A941" s="90" t="s">
        <v>49</v>
      </c>
      <c r="B941" s="91" t="s">
        <v>1309</v>
      </c>
      <c r="C941" s="91" t="s">
        <v>783</v>
      </c>
      <c r="D941" s="90">
        <v>8448</v>
      </c>
      <c r="E941" s="90">
        <v>9419</v>
      </c>
      <c r="F941" s="90" t="s">
        <v>1454</v>
      </c>
      <c r="G941" s="90"/>
      <c r="H941" s="93"/>
      <c r="I941" s="93"/>
      <c r="J941" s="93"/>
      <c r="K941" s="95"/>
      <c r="L941" s="69"/>
      <c r="M941" s="69"/>
      <c r="N941" s="69"/>
      <c r="O941" s="69"/>
      <c r="P941" s="78"/>
      <c r="Q941" s="96"/>
      <c r="R941" s="97"/>
      <c r="S941" s="98"/>
    </row>
    <row r="942" spans="1:19" ht="42.75">
      <c r="A942" s="142" t="s">
        <v>49</v>
      </c>
      <c r="B942" s="91" t="s">
        <v>1309</v>
      </c>
      <c r="C942" s="91" t="s">
        <v>926</v>
      </c>
      <c r="D942" s="90">
        <v>12876</v>
      </c>
      <c r="E942" s="90">
        <v>12871</v>
      </c>
      <c r="F942" s="90" t="s">
        <v>1454</v>
      </c>
      <c r="G942" s="90"/>
      <c r="H942" s="93"/>
      <c r="I942" s="93"/>
      <c r="J942" s="93"/>
      <c r="K942" s="95"/>
      <c r="L942" s="69"/>
      <c r="M942" s="69"/>
      <c r="N942" s="69"/>
      <c r="O942" s="69"/>
      <c r="P942" s="78"/>
      <c r="Q942" s="96"/>
      <c r="R942" s="97"/>
      <c r="S942" s="98"/>
    </row>
    <row r="943" spans="1:19" ht="42.75">
      <c r="A943" s="90" t="s">
        <v>49</v>
      </c>
      <c r="B943" s="91" t="s">
        <v>1309</v>
      </c>
      <c r="C943" s="91" t="s">
        <v>2715</v>
      </c>
      <c r="D943" s="90">
        <v>36893</v>
      </c>
      <c r="E943" s="90">
        <v>41218</v>
      </c>
      <c r="F943" s="90" t="s">
        <v>1454</v>
      </c>
      <c r="G943" s="90"/>
      <c r="H943" s="93"/>
      <c r="I943" s="93"/>
      <c r="J943" s="93"/>
      <c r="K943" s="95"/>
      <c r="L943" s="69"/>
      <c r="M943" s="69"/>
      <c r="N943" s="69"/>
      <c r="O943" s="69"/>
      <c r="P943" s="78"/>
      <c r="Q943" s="96"/>
      <c r="R943" s="97"/>
      <c r="S943" s="98"/>
    </row>
    <row r="944" spans="1:19" ht="42.75">
      <c r="A944" s="90" t="s">
        <v>49</v>
      </c>
      <c r="B944" s="91" t="s">
        <v>1309</v>
      </c>
      <c r="C944" s="91" t="s">
        <v>2390</v>
      </c>
      <c r="D944" s="90">
        <v>8465</v>
      </c>
      <c r="E944" s="90">
        <v>9630</v>
      </c>
      <c r="F944" s="90" t="s">
        <v>1434</v>
      </c>
      <c r="G944" s="90">
        <v>2024</v>
      </c>
      <c r="H944" s="101">
        <v>45482</v>
      </c>
      <c r="I944" s="101">
        <v>45489</v>
      </c>
      <c r="J944" s="94" t="s">
        <v>2716</v>
      </c>
      <c r="K944" s="100">
        <v>45491</v>
      </c>
      <c r="L944" s="69" t="s">
        <v>80</v>
      </c>
      <c r="M944" s="69" t="s">
        <v>4</v>
      </c>
      <c r="N944" s="69" t="s">
        <v>101</v>
      </c>
      <c r="O944" s="69" t="s">
        <v>1436</v>
      </c>
      <c r="P944" s="78"/>
      <c r="Q944" s="70">
        <v>45492</v>
      </c>
      <c r="R944" s="97"/>
      <c r="S944" s="98"/>
    </row>
    <row r="945" spans="1:19" ht="42.75">
      <c r="A945" s="90" t="s">
        <v>49</v>
      </c>
      <c r="B945" s="91" t="s">
        <v>1309</v>
      </c>
      <c r="C945" s="91" t="s">
        <v>2717</v>
      </c>
      <c r="D945" s="90">
        <v>11282</v>
      </c>
      <c r="E945" s="90">
        <v>13985</v>
      </c>
      <c r="F945" s="90" t="s">
        <v>1454</v>
      </c>
      <c r="G945" s="90"/>
      <c r="H945" s="93"/>
      <c r="I945" s="93"/>
      <c r="J945" s="93"/>
      <c r="K945" s="95"/>
      <c r="L945" s="69"/>
      <c r="M945" s="69"/>
      <c r="N945" s="69"/>
      <c r="O945" s="69"/>
      <c r="P945" s="78"/>
      <c r="Q945" s="96"/>
      <c r="R945" s="97"/>
      <c r="S945" s="98"/>
    </row>
    <row r="946" spans="1:19" ht="42.75">
      <c r="A946" s="90" t="s">
        <v>49</v>
      </c>
      <c r="B946" s="91" t="s">
        <v>1309</v>
      </c>
      <c r="C946" s="91" t="s">
        <v>653</v>
      </c>
      <c r="D946" s="90">
        <v>16871</v>
      </c>
      <c r="E946" s="90">
        <v>24451</v>
      </c>
      <c r="F946" s="90" t="s">
        <v>1454</v>
      </c>
      <c r="G946" s="90"/>
      <c r="H946" s="93"/>
      <c r="I946" s="93"/>
      <c r="J946" s="93"/>
      <c r="K946" s="95"/>
      <c r="L946" s="69"/>
      <c r="M946" s="69"/>
      <c r="N946" s="69"/>
      <c r="O946" s="69"/>
      <c r="P946" s="78"/>
      <c r="Q946" s="96"/>
      <c r="R946" s="97"/>
      <c r="S946" s="98"/>
    </row>
    <row r="947" spans="1:19" ht="42.75">
      <c r="A947" s="142" t="s">
        <v>49</v>
      </c>
      <c r="B947" s="91" t="s">
        <v>1309</v>
      </c>
      <c r="C947" s="91" t="s">
        <v>2718</v>
      </c>
      <c r="D947" s="90">
        <v>12115</v>
      </c>
      <c r="E947" s="90">
        <v>12419</v>
      </c>
      <c r="F947" s="90" t="s">
        <v>1454</v>
      </c>
      <c r="G947" s="90"/>
      <c r="H947" s="93"/>
      <c r="I947" s="93"/>
      <c r="J947" s="93"/>
      <c r="K947" s="95"/>
      <c r="L947" s="69"/>
      <c r="M947" s="69"/>
      <c r="N947" s="69"/>
      <c r="O947" s="69"/>
      <c r="P947" s="78"/>
      <c r="Q947" s="96"/>
      <c r="R947" s="97"/>
      <c r="S947" s="98"/>
    </row>
    <row r="948" spans="1:19" ht="42.75">
      <c r="A948" s="142" t="s">
        <v>49</v>
      </c>
      <c r="B948" s="91" t="s">
        <v>1309</v>
      </c>
      <c r="C948" s="91" t="s">
        <v>554</v>
      </c>
      <c r="D948" s="90">
        <v>9211</v>
      </c>
      <c r="E948" s="90">
        <v>11364</v>
      </c>
      <c r="F948" s="90" t="s">
        <v>1454</v>
      </c>
      <c r="G948" s="90"/>
      <c r="H948" s="93"/>
      <c r="I948" s="93"/>
      <c r="J948" s="93"/>
      <c r="K948" s="95"/>
      <c r="L948" s="69"/>
      <c r="M948" s="69"/>
      <c r="N948" s="69"/>
      <c r="O948" s="69"/>
      <c r="P948" s="78"/>
      <c r="Q948" s="96"/>
      <c r="R948" s="97"/>
      <c r="S948" s="98"/>
    </row>
    <row r="949" spans="1:19" ht="42.75">
      <c r="A949" s="90" t="s">
        <v>49</v>
      </c>
      <c r="B949" s="91" t="s">
        <v>1309</v>
      </c>
      <c r="C949" s="91" t="s">
        <v>2719</v>
      </c>
      <c r="D949" s="90">
        <v>2028</v>
      </c>
      <c r="E949" s="90">
        <v>2102</v>
      </c>
      <c r="F949" s="90" t="s">
        <v>1454</v>
      </c>
      <c r="G949" s="90"/>
      <c r="H949" s="93"/>
      <c r="I949" s="93"/>
      <c r="J949" s="93"/>
      <c r="K949" s="95"/>
      <c r="L949" s="69"/>
      <c r="M949" s="69"/>
      <c r="N949" s="69"/>
      <c r="O949" s="69"/>
      <c r="P949" s="78"/>
      <c r="Q949" s="96"/>
      <c r="R949" s="97"/>
      <c r="S949" s="98"/>
    </row>
    <row r="950" spans="1:19" ht="42.75">
      <c r="A950" s="90" t="s">
        <v>49</v>
      </c>
      <c r="B950" s="91" t="s">
        <v>1309</v>
      </c>
      <c r="C950" s="91" t="s">
        <v>2720</v>
      </c>
      <c r="D950" s="90">
        <v>5716</v>
      </c>
      <c r="E950" s="90">
        <v>5410</v>
      </c>
      <c r="F950" s="90" t="s">
        <v>1454</v>
      </c>
      <c r="G950" s="90"/>
      <c r="H950" s="93"/>
      <c r="I950" s="93"/>
      <c r="J950" s="93"/>
      <c r="K950" s="95"/>
      <c r="L950" s="69"/>
      <c r="M950" s="69"/>
      <c r="N950" s="69"/>
      <c r="O950" s="69"/>
      <c r="P950" s="78"/>
      <c r="Q950" s="96"/>
      <c r="R950" s="97"/>
      <c r="S950" s="98"/>
    </row>
    <row r="951" spans="1:19" ht="42.75">
      <c r="A951" s="90" t="s">
        <v>49</v>
      </c>
      <c r="B951" s="91" t="s">
        <v>1309</v>
      </c>
      <c r="C951" s="91" t="s">
        <v>2721</v>
      </c>
      <c r="D951" s="90">
        <v>8824</v>
      </c>
      <c r="E951" s="90">
        <v>10406</v>
      </c>
      <c r="F951" s="90" t="s">
        <v>1454</v>
      </c>
      <c r="G951" s="90"/>
      <c r="H951" s="93"/>
      <c r="I951" s="93"/>
      <c r="J951" s="93"/>
      <c r="K951" s="95"/>
      <c r="L951" s="69"/>
      <c r="M951" s="69"/>
      <c r="N951" s="69"/>
      <c r="O951" s="69"/>
      <c r="P951" s="78"/>
      <c r="Q951" s="96"/>
      <c r="R951" s="97"/>
      <c r="S951" s="98"/>
    </row>
    <row r="952" spans="1:19" ht="42.75">
      <c r="A952" s="90" t="s">
        <v>49</v>
      </c>
      <c r="B952" s="91" t="s">
        <v>2722</v>
      </c>
      <c r="C952" s="91" t="s">
        <v>1555</v>
      </c>
      <c r="D952" s="90">
        <v>1575</v>
      </c>
      <c r="E952" s="90">
        <v>2050</v>
      </c>
      <c r="F952" s="90" t="s">
        <v>1454</v>
      </c>
      <c r="G952" s="90"/>
      <c r="H952" s="93"/>
      <c r="I952" s="93"/>
      <c r="J952" s="93"/>
      <c r="K952" s="95"/>
      <c r="L952" s="69"/>
      <c r="M952" s="69"/>
      <c r="N952" s="69"/>
      <c r="O952" s="69"/>
      <c r="P952" s="78"/>
      <c r="Q952" s="96"/>
      <c r="R952" s="97"/>
      <c r="S952" s="98"/>
    </row>
    <row r="953" spans="1:19" ht="42.75">
      <c r="A953" s="90" t="s">
        <v>49</v>
      </c>
      <c r="B953" s="91" t="s">
        <v>2722</v>
      </c>
      <c r="C953" s="91" t="s">
        <v>2723</v>
      </c>
      <c r="D953" s="90">
        <v>1745</v>
      </c>
      <c r="E953" s="90">
        <v>2196</v>
      </c>
      <c r="F953" s="90" t="s">
        <v>1454</v>
      </c>
      <c r="G953" s="90"/>
      <c r="H953" s="93"/>
      <c r="I953" s="93"/>
      <c r="J953" s="93"/>
      <c r="K953" s="95"/>
      <c r="L953" s="69"/>
      <c r="M953" s="69"/>
      <c r="N953" s="69"/>
      <c r="O953" s="69"/>
      <c r="P953" s="78"/>
      <c r="Q953" s="96"/>
      <c r="R953" s="97"/>
      <c r="S953" s="98"/>
    </row>
    <row r="954" spans="1:19" ht="42.75">
      <c r="A954" s="90" t="s">
        <v>49</v>
      </c>
      <c r="B954" s="91" t="s">
        <v>2722</v>
      </c>
      <c r="C954" s="91" t="s">
        <v>2724</v>
      </c>
      <c r="D954" s="90">
        <v>1043</v>
      </c>
      <c r="E954" s="90">
        <v>1744</v>
      </c>
      <c r="F954" s="90" t="s">
        <v>1454</v>
      </c>
      <c r="G954" s="90"/>
      <c r="H954" s="93"/>
      <c r="I954" s="93"/>
      <c r="J954" s="93"/>
      <c r="K954" s="95"/>
      <c r="L954" s="69"/>
      <c r="M954" s="69"/>
      <c r="N954" s="69"/>
      <c r="O954" s="69"/>
      <c r="P954" s="78"/>
      <c r="Q954" s="96"/>
      <c r="R954" s="97"/>
      <c r="S954" s="98"/>
    </row>
    <row r="955" spans="1:19" ht="42.75">
      <c r="A955" s="90" t="s">
        <v>49</v>
      </c>
      <c r="B955" s="91" t="s">
        <v>2722</v>
      </c>
      <c r="C955" s="91" t="s">
        <v>1067</v>
      </c>
      <c r="D955" s="90">
        <v>4166</v>
      </c>
      <c r="E955" s="90">
        <v>4611</v>
      </c>
      <c r="F955" s="90" t="s">
        <v>1454</v>
      </c>
      <c r="G955" s="90"/>
      <c r="H955" s="93"/>
      <c r="I955" s="93"/>
      <c r="J955" s="93"/>
      <c r="K955" s="95"/>
      <c r="L955" s="69"/>
      <c r="M955" s="69"/>
      <c r="N955" s="69"/>
      <c r="O955" s="69"/>
      <c r="P955" s="78"/>
      <c r="Q955" s="96"/>
      <c r="R955" s="97"/>
      <c r="S955" s="98"/>
    </row>
    <row r="956" spans="1:19" ht="42.75">
      <c r="A956" s="90" t="s">
        <v>49</v>
      </c>
      <c r="B956" s="91" t="s">
        <v>2722</v>
      </c>
      <c r="C956" s="91" t="s">
        <v>2725</v>
      </c>
      <c r="D956" s="90">
        <v>6909</v>
      </c>
      <c r="E956" s="90">
        <v>8802</v>
      </c>
      <c r="F956" s="90" t="s">
        <v>1454</v>
      </c>
      <c r="G956" s="90"/>
      <c r="H956" s="93"/>
      <c r="I956" s="93"/>
      <c r="J956" s="93"/>
      <c r="K956" s="95"/>
      <c r="L956" s="69"/>
      <c r="M956" s="69"/>
      <c r="N956" s="69"/>
      <c r="O956" s="69"/>
      <c r="P956" s="78"/>
      <c r="Q956" s="96"/>
      <c r="R956" s="97"/>
      <c r="S956" s="98"/>
    </row>
    <row r="957" spans="1:19" ht="42.75">
      <c r="A957" s="90" t="s">
        <v>49</v>
      </c>
      <c r="B957" s="91" t="s">
        <v>2722</v>
      </c>
      <c r="C957" s="91" t="s">
        <v>2726</v>
      </c>
      <c r="D957" s="90">
        <v>2859</v>
      </c>
      <c r="E957" s="90">
        <v>3574</v>
      </c>
      <c r="F957" s="90" t="s">
        <v>1454</v>
      </c>
      <c r="G957" s="90"/>
      <c r="H957" s="93"/>
      <c r="I957" s="93"/>
      <c r="J957" s="93"/>
      <c r="K957" s="95"/>
      <c r="L957" s="69"/>
      <c r="M957" s="69"/>
      <c r="N957" s="69"/>
      <c r="O957" s="69"/>
      <c r="P957" s="78"/>
      <c r="Q957" s="96"/>
      <c r="R957" s="97"/>
      <c r="S957" s="98"/>
    </row>
    <row r="958" spans="1:19" ht="42.75">
      <c r="A958" s="90" t="s">
        <v>49</v>
      </c>
      <c r="B958" s="91" t="s">
        <v>2722</v>
      </c>
      <c r="C958" s="91" t="s">
        <v>2727</v>
      </c>
      <c r="D958" s="90">
        <v>1746</v>
      </c>
      <c r="E958" s="90">
        <v>1869</v>
      </c>
      <c r="F958" s="90" t="s">
        <v>1454</v>
      </c>
      <c r="G958" s="90"/>
      <c r="H958" s="93"/>
      <c r="I958" s="93"/>
      <c r="J958" s="93"/>
      <c r="K958" s="95"/>
      <c r="L958" s="69"/>
      <c r="M958" s="69"/>
      <c r="N958" s="69"/>
      <c r="O958" s="69"/>
      <c r="P958" s="78"/>
      <c r="Q958" s="96"/>
      <c r="R958" s="97"/>
      <c r="S958" s="98"/>
    </row>
    <row r="959" spans="1:19" ht="42.75">
      <c r="A959" s="90" t="s">
        <v>49</v>
      </c>
      <c r="B959" s="91" t="s">
        <v>2722</v>
      </c>
      <c r="C959" s="91" t="s">
        <v>2728</v>
      </c>
      <c r="D959" s="90">
        <v>2620</v>
      </c>
      <c r="E959" s="90">
        <v>3810</v>
      </c>
      <c r="F959" s="90" t="s">
        <v>1454</v>
      </c>
      <c r="G959" s="90"/>
      <c r="H959" s="93"/>
      <c r="I959" s="93"/>
      <c r="J959" s="93"/>
      <c r="K959" s="95"/>
      <c r="L959" s="69"/>
      <c r="M959" s="69"/>
      <c r="N959" s="69"/>
      <c r="O959" s="69"/>
      <c r="P959" s="78"/>
      <c r="Q959" s="96"/>
      <c r="R959" s="97"/>
      <c r="S959" s="98"/>
    </row>
    <row r="960" spans="1:19" ht="42.75">
      <c r="A960" s="90" t="s">
        <v>50</v>
      </c>
      <c r="B960" s="91" t="s">
        <v>383</v>
      </c>
      <c r="C960" s="91" t="s">
        <v>2729</v>
      </c>
      <c r="D960" s="90">
        <v>2083</v>
      </c>
      <c r="E960" s="90">
        <v>2472</v>
      </c>
      <c r="F960" s="90" t="s">
        <v>1454</v>
      </c>
      <c r="G960" s="90"/>
      <c r="H960" s="93"/>
      <c r="I960" s="93"/>
      <c r="J960" s="93"/>
      <c r="K960" s="95"/>
      <c r="L960" s="69"/>
      <c r="M960" s="69"/>
      <c r="N960" s="69"/>
      <c r="O960" s="69"/>
      <c r="P960" s="78"/>
      <c r="Q960" s="96"/>
      <c r="R960" s="97"/>
      <c r="S960" s="98"/>
    </row>
    <row r="961" spans="1:19" ht="42.75">
      <c r="A961" s="90" t="s">
        <v>50</v>
      </c>
      <c r="B961" s="91" t="s">
        <v>383</v>
      </c>
      <c r="C961" s="91" t="s">
        <v>2730</v>
      </c>
      <c r="D961" s="90">
        <v>7467</v>
      </c>
      <c r="E961" s="90">
        <v>8355</v>
      </c>
      <c r="F961" s="90" t="s">
        <v>1454</v>
      </c>
      <c r="G961" s="90"/>
      <c r="H961" s="93"/>
      <c r="I961" s="93"/>
      <c r="J961" s="93"/>
      <c r="K961" s="95"/>
      <c r="L961" s="69"/>
      <c r="M961" s="69"/>
      <c r="N961" s="69"/>
      <c r="O961" s="69"/>
      <c r="P961" s="78"/>
      <c r="Q961" s="96"/>
      <c r="R961" s="97"/>
      <c r="S961" s="98"/>
    </row>
    <row r="962" spans="1:19" ht="42.75">
      <c r="A962" s="90" t="s">
        <v>50</v>
      </c>
      <c r="B962" s="91" t="s">
        <v>383</v>
      </c>
      <c r="C962" s="91" t="s">
        <v>2731</v>
      </c>
      <c r="D962" s="90">
        <v>5156</v>
      </c>
      <c r="E962" s="90">
        <v>5355</v>
      </c>
      <c r="F962" s="90" t="s">
        <v>1454</v>
      </c>
      <c r="G962" s="90"/>
      <c r="H962" s="93"/>
      <c r="I962" s="93"/>
      <c r="J962" s="93"/>
      <c r="K962" s="95"/>
      <c r="L962" s="69"/>
      <c r="M962" s="69"/>
      <c r="N962" s="69"/>
      <c r="O962" s="69"/>
      <c r="P962" s="78"/>
      <c r="Q962" s="96"/>
      <c r="R962" s="97"/>
      <c r="S962" s="98"/>
    </row>
    <row r="963" spans="1:19" ht="42.75">
      <c r="A963" s="90" t="s">
        <v>50</v>
      </c>
      <c r="B963" s="91" t="s">
        <v>383</v>
      </c>
      <c r="C963" s="91" t="s">
        <v>2732</v>
      </c>
      <c r="D963" s="90">
        <v>1969</v>
      </c>
      <c r="E963" s="90">
        <v>2086</v>
      </c>
      <c r="F963" s="90" t="s">
        <v>1454</v>
      </c>
      <c r="G963" s="90"/>
      <c r="H963" s="93"/>
      <c r="I963" s="93"/>
      <c r="J963" s="93"/>
      <c r="K963" s="95"/>
      <c r="L963" s="69"/>
      <c r="M963" s="69"/>
      <c r="N963" s="69"/>
      <c r="O963" s="69"/>
      <c r="P963" s="78"/>
      <c r="Q963" s="96"/>
      <c r="R963" s="97"/>
      <c r="S963" s="98"/>
    </row>
    <row r="964" spans="1:19" ht="42.75">
      <c r="A964" s="90" t="s">
        <v>50</v>
      </c>
      <c r="B964" s="91" t="s">
        <v>383</v>
      </c>
      <c r="C964" s="91" t="s">
        <v>1850</v>
      </c>
      <c r="D964" s="90">
        <v>2503</v>
      </c>
      <c r="E964" s="90">
        <v>2631</v>
      </c>
      <c r="F964" s="90" t="s">
        <v>1454</v>
      </c>
      <c r="G964" s="90"/>
      <c r="H964" s="93"/>
      <c r="I964" s="93"/>
      <c r="J964" s="93"/>
      <c r="K964" s="95"/>
      <c r="L964" s="69"/>
      <c r="M964" s="69"/>
      <c r="N964" s="69"/>
      <c r="O964" s="69"/>
      <c r="P964" s="78"/>
      <c r="Q964" s="96"/>
      <c r="R964" s="97"/>
      <c r="S964" s="98"/>
    </row>
    <row r="965" spans="1:19" ht="42.75">
      <c r="A965" s="90" t="s">
        <v>50</v>
      </c>
      <c r="B965" s="91" t="s">
        <v>383</v>
      </c>
      <c r="C965" s="91" t="s">
        <v>2733</v>
      </c>
      <c r="D965" s="90">
        <v>1396</v>
      </c>
      <c r="E965" s="90">
        <v>1679</v>
      </c>
      <c r="F965" s="90" t="s">
        <v>1454</v>
      </c>
      <c r="G965" s="90"/>
      <c r="H965" s="93"/>
      <c r="I965" s="93"/>
      <c r="J965" s="93"/>
      <c r="K965" s="95"/>
      <c r="L965" s="69"/>
      <c r="M965" s="69"/>
      <c r="N965" s="69"/>
      <c r="O965" s="69"/>
      <c r="P965" s="78"/>
      <c r="Q965" s="96"/>
      <c r="R965" s="97"/>
      <c r="S965" s="98"/>
    </row>
    <row r="966" spans="1:19" ht="42.75">
      <c r="A966" s="90" t="s">
        <v>50</v>
      </c>
      <c r="B966" s="91" t="s">
        <v>383</v>
      </c>
      <c r="C966" s="91" t="s">
        <v>590</v>
      </c>
      <c r="D966" s="90">
        <v>2192</v>
      </c>
      <c r="E966" s="90">
        <v>2527</v>
      </c>
      <c r="F966" s="90" t="s">
        <v>1454</v>
      </c>
      <c r="G966" s="90"/>
      <c r="H966" s="93"/>
      <c r="I966" s="93"/>
      <c r="J966" s="93"/>
      <c r="K966" s="95"/>
      <c r="L966" s="69"/>
      <c r="M966" s="69"/>
      <c r="N966" s="69"/>
      <c r="O966" s="69"/>
      <c r="P966" s="78"/>
      <c r="Q966" s="96"/>
      <c r="R966" s="97"/>
      <c r="S966" s="98"/>
    </row>
    <row r="967" spans="1:19" ht="42.75">
      <c r="A967" s="90" t="s">
        <v>50</v>
      </c>
      <c r="B967" s="91" t="s">
        <v>383</v>
      </c>
      <c r="C967" s="91" t="s">
        <v>2734</v>
      </c>
      <c r="D967" s="90">
        <v>1660</v>
      </c>
      <c r="E967" s="90">
        <v>2306</v>
      </c>
      <c r="F967" s="90" t="s">
        <v>1454</v>
      </c>
      <c r="G967" s="90"/>
      <c r="H967" s="93"/>
      <c r="I967" s="93"/>
      <c r="J967" s="93"/>
      <c r="K967" s="95"/>
      <c r="L967" s="69"/>
      <c r="M967" s="69"/>
      <c r="N967" s="69"/>
      <c r="O967" s="69"/>
      <c r="P967" s="78"/>
      <c r="Q967" s="96"/>
      <c r="R967" s="97"/>
      <c r="S967" s="98"/>
    </row>
    <row r="968" spans="1:19" ht="42.75">
      <c r="A968" s="90" t="s">
        <v>50</v>
      </c>
      <c r="B968" s="91" t="s">
        <v>383</v>
      </c>
      <c r="C968" s="91" t="s">
        <v>2735</v>
      </c>
      <c r="D968" s="90">
        <v>2122</v>
      </c>
      <c r="E968" s="90">
        <v>2383</v>
      </c>
      <c r="F968" s="90" t="s">
        <v>1454</v>
      </c>
      <c r="G968" s="90"/>
      <c r="H968" s="93"/>
      <c r="I968" s="93"/>
      <c r="J968" s="93"/>
      <c r="K968" s="95"/>
      <c r="L968" s="69"/>
      <c r="M968" s="69"/>
      <c r="N968" s="69"/>
      <c r="O968" s="69"/>
      <c r="P968" s="78"/>
      <c r="Q968" s="96"/>
      <c r="R968" s="97"/>
      <c r="S968" s="98"/>
    </row>
    <row r="969" spans="1:19" ht="42.75">
      <c r="A969" s="90" t="s">
        <v>50</v>
      </c>
      <c r="B969" s="91" t="s">
        <v>383</v>
      </c>
      <c r="C969" s="91" t="s">
        <v>2736</v>
      </c>
      <c r="D969" s="90">
        <v>1646</v>
      </c>
      <c r="E969" s="90">
        <v>1512</v>
      </c>
      <c r="F969" s="90" t="s">
        <v>1454</v>
      </c>
      <c r="G969" s="90"/>
      <c r="H969" s="93"/>
      <c r="I969" s="93"/>
      <c r="J969" s="93"/>
      <c r="K969" s="95"/>
      <c r="L969" s="69"/>
      <c r="M969" s="69"/>
      <c r="N969" s="69"/>
      <c r="O969" s="69"/>
      <c r="P969" s="78"/>
      <c r="Q969" s="96"/>
      <c r="R969" s="97"/>
      <c r="S969" s="98"/>
    </row>
    <row r="970" spans="1:19" ht="42.75">
      <c r="A970" s="90" t="s">
        <v>50</v>
      </c>
      <c r="B970" s="91" t="s">
        <v>383</v>
      </c>
      <c r="C970" s="91" t="s">
        <v>2737</v>
      </c>
      <c r="D970" s="90">
        <v>1338</v>
      </c>
      <c r="E970" s="90">
        <v>1208</v>
      </c>
      <c r="F970" s="90" t="s">
        <v>1454</v>
      </c>
      <c r="G970" s="90"/>
      <c r="H970" s="93"/>
      <c r="I970" s="93"/>
      <c r="J970" s="93"/>
      <c r="K970" s="95"/>
      <c r="L970" s="69"/>
      <c r="M970" s="69"/>
      <c r="N970" s="69"/>
      <c r="O970" s="69"/>
      <c r="P970" s="78"/>
      <c r="Q970" s="96"/>
      <c r="R970" s="97"/>
      <c r="S970" s="98"/>
    </row>
    <row r="971" spans="1:19" ht="42.75">
      <c r="A971" s="90" t="s">
        <v>50</v>
      </c>
      <c r="B971" s="91" t="s">
        <v>383</v>
      </c>
      <c r="C971" s="91" t="s">
        <v>2738</v>
      </c>
      <c r="D971" s="90">
        <v>726</v>
      </c>
      <c r="E971" s="90">
        <v>696</v>
      </c>
      <c r="F971" s="90" t="s">
        <v>1454</v>
      </c>
      <c r="G971" s="90"/>
      <c r="H971" s="93"/>
      <c r="I971" s="93"/>
      <c r="J971" s="93"/>
      <c r="K971" s="95"/>
      <c r="L971" s="69"/>
      <c r="M971" s="69"/>
      <c r="N971" s="69"/>
      <c r="O971" s="69"/>
      <c r="P971" s="78"/>
      <c r="Q971" s="96"/>
      <c r="R971" s="97"/>
      <c r="S971" s="98"/>
    </row>
    <row r="972" spans="1:19" ht="42.75">
      <c r="A972" s="90" t="s">
        <v>50</v>
      </c>
      <c r="B972" s="91" t="s">
        <v>383</v>
      </c>
      <c r="C972" s="91" t="s">
        <v>1998</v>
      </c>
      <c r="D972" s="90">
        <v>2953</v>
      </c>
      <c r="E972" s="90">
        <v>3272</v>
      </c>
      <c r="F972" s="90" t="s">
        <v>1434</v>
      </c>
      <c r="G972" s="90">
        <v>2024</v>
      </c>
      <c r="H972" s="101">
        <v>45422</v>
      </c>
      <c r="I972" s="101">
        <v>45422</v>
      </c>
      <c r="J972" s="94" t="s">
        <v>2739</v>
      </c>
      <c r="K972" s="100">
        <v>45427</v>
      </c>
      <c r="L972" s="69" t="s">
        <v>78</v>
      </c>
      <c r="M972" s="69"/>
      <c r="N972" s="69"/>
      <c r="O972" s="69" t="s">
        <v>1436</v>
      </c>
      <c r="P972" s="78"/>
      <c r="Q972" s="96"/>
      <c r="R972" s="97"/>
      <c r="S972" s="98"/>
    </row>
    <row r="973" spans="1:19" ht="42.75">
      <c r="A973" s="90" t="s">
        <v>50</v>
      </c>
      <c r="B973" s="91" t="s">
        <v>383</v>
      </c>
      <c r="C973" s="91" t="s">
        <v>2740</v>
      </c>
      <c r="D973" s="90">
        <v>1221</v>
      </c>
      <c r="E973" s="90">
        <v>1520</v>
      </c>
      <c r="F973" s="90" t="s">
        <v>1454</v>
      </c>
      <c r="G973" s="90"/>
      <c r="H973" s="93"/>
      <c r="I973" s="93"/>
      <c r="J973" s="93"/>
      <c r="K973" s="95"/>
      <c r="L973" s="69"/>
      <c r="M973" s="69"/>
      <c r="N973" s="69"/>
      <c r="O973" s="69"/>
      <c r="P973" s="78"/>
      <c r="Q973" s="96"/>
      <c r="R973" s="97"/>
      <c r="S973" s="98"/>
    </row>
    <row r="974" spans="1:19" ht="42.75">
      <c r="A974" s="90" t="s">
        <v>50</v>
      </c>
      <c r="B974" s="91" t="s">
        <v>383</v>
      </c>
      <c r="C974" s="91" t="s">
        <v>2741</v>
      </c>
      <c r="D974" s="90">
        <v>1731</v>
      </c>
      <c r="E974" s="90">
        <v>2355</v>
      </c>
      <c r="F974" s="90" t="s">
        <v>1454</v>
      </c>
      <c r="G974" s="90"/>
      <c r="H974" s="93"/>
      <c r="I974" s="93"/>
      <c r="J974" s="93"/>
      <c r="K974" s="95"/>
      <c r="L974" s="69"/>
      <c r="M974" s="69"/>
      <c r="N974" s="69"/>
      <c r="O974" s="69"/>
      <c r="P974" s="78"/>
      <c r="Q974" s="96"/>
      <c r="R974" s="97"/>
      <c r="S974" s="98"/>
    </row>
    <row r="975" spans="1:19" ht="42.75">
      <c r="A975" s="90" t="s">
        <v>50</v>
      </c>
      <c r="B975" s="91" t="s">
        <v>383</v>
      </c>
      <c r="C975" s="91" t="s">
        <v>2742</v>
      </c>
      <c r="D975" s="90">
        <v>1780</v>
      </c>
      <c r="E975" s="90">
        <v>1934</v>
      </c>
      <c r="F975" s="90" t="s">
        <v>1454</v>
      </c>
      <c r="G975" s="90"/>
      <c r="H975" s="93"/>
      <c r="I975" s="93"/>
      <c r="J975" s="93"/>
      <c r="K975" s="95"/>
      <c r="L975" s="69"/>
      <c r="M975" s="69"/>
      <c r="N975" s="69"/>
      <c r="O975" s="69"/>
      <c r="P975" s="78"/>
      <c r="Q975" s="96"/>
      <c r="R975" s="97"/>
      <c r="S975" s="98"/>
    </row>
    <row r="976" spans="1:19" ht="42.75">
      <c r="A976" s="90" t="s">
        <v>50</v>
      </c>
      <c r="B976" s="91" t="s">
        <v>383</v>
      </c>
      <c r="C976" s="91" t="s">
        <v>2743</v>
      </c>
      <c r="D976" s="90">
        <v>2251</v>
      </c>
      <c r="E976" s="90">
        <v>2771</v>
      </c>
      <c r="F976" s="90" t="s">
        <v>1454</v>
      </c>
      <c r="G976" s="90"/>
      <c r="H976" s="93"/>
      <c r="I976" s="93"/>
      <c r="J976" s="93"/>
      <c r="K976" s="95"/>
      <c r="L976" s="69"/>
      <c r="M976" s="69"/>
      <c r="N976" s="69"/>
      <c r="O976" s="69"/>
      <c r="P976" s="78"/>
      <c r="Q976" s="96"/>
      <c r="R976" s="97"/>
      <c r="S976" s="98"/>
    </row>
    <row r="977" spans="1:19" ht="42.75">
      <c r="A977" s="90" t="s">
        <v>50</v>
      </c>
      <c r="B977" s="91" t="s">
        <v>383</v>
      </c>
      <c r="C977" s="91" t="s">
        <v>764</v>
      </c>
      <c r="D977" s="90">
        <v>4768</v>
      </c>
      <c r="E977" s="90">
        <v>5255</v>
      </c>
      <c r="F977" s="90" t="s">
        <v>1454</v>
      </c>
      <c r="G977" s="90"/>
      <c r="H977" s="93"/>
      <c r="I977" s="93"/>
      <c r="J977" s="93"/>
      <c r="K977" s="95"/>
      <c r="L977" s="69"/>
      <c r="M977" s="69"/>
      <c r="N977" s="69"/>
      <c r="O977" s="69"/>
      <c r="P977" s="78"/>
      <c r="Q977" s="96"/>
      <c r="R977" s="97"/>
      <c r="S977" s="98"/>
    </row>
    <row r="978" spans="1:19" ht="42.75">
      <c r="A978" s="90" t="s">
        <v>50</v>
      </c>
      <c r="B978" s="91" t="s">
        <v>383</v>
      </c>
      <c r="C978" s="91" t="s">
        <v>2744</v>
      </c>
      <c r="D978" s="90">
        <v>1979</v>
      </c>
      <c r="E978" s="90">
        <v>2056</v>
      </c>
      <c r="F978" s="90" t="s">
        <v>1454</v>
      </c>
      <c r="G978" s="90"/>
      <c r="H978" s="93"/>
      <c r="I978" s="93"/>
      <c r="J978" s="93"/>
      <c r="K978" s="95"/>
      <c r="L978" s="69"/>
      <c r="M978" s="69"/>
      <c r="N978" s="69"/>
      <c r="O978" s="69"/>
      <c r="P978" s="78"/>
      <c r="Q978" s="96"/>
      <c r="R978" s="97"/>
      <c r="S978" s="98"/>
    </row>
    <row r="979" spans="1:19" ht="42.75">
      <c r="A979" s="90" t="s">
        <v>50</v>
      </c>
      <c r="B979" s="91" t="s">
        <v>383</v>
      </c>
      <c r="C979" s="91" t="s">
        <v>2745</v>
      </c>
      <c r="D979" s="90">
        <v>1081</v>
      </c>
      <c r="E979" s="90">
        <v>1230</v>
      </c>
      <c r="F979" s="90" t="s">
        <v>1454</v>
      </c>
      <c r="G979" s="90"/>
      <c r="H979" s="93"/>
      <c r="I979" s="93"/>
      <c r="J979" s="93"/>
      <c r="K979" s="95"/>
      <c r="L979" s="69"/>
      <c r="M979" s="69"/>
      <c r="N979" s="69"/>
      <c r="O979" s="69"/>
      <c r="P979" s="78"/>
      <c r="Q979" s="96"/>
      <c r="R979" s="97"/>
      <c r="S979" s="98"/>
    </row>
    <row r="980" spans="1:19" ht="42.75">
      <c r="A980" s="90" t="s">
        <v>50</v>
      </c>
      <c r="B980" s="91" t="s">
        <v>383</v>
      </c>
      <c r="C980" s="91" t="s">
        <v>2345</v>
      </c>
      <c r="D980" s="90">
        <v>1195</v>
      </c>
      <c r="E980" s="90">
        <v>1185</v>
      </c>
      <c r="F980" s="90" t="s">
        <v>1454</v>
      </c>
      <c r="G980" s="90"/>
      <c r="H980" s="93"/>
      <c r="I980" s="93"/>
      <c r="J980" s="93"/>
      <c r="K980" s="95"/>
      <c r="L980" s="69"/>
      <c r="M980" s="69"/>
      <c r="N980" s="69"/>
      <c r="O980" s="69"/>
      <c r="P980" s="78"/>
      <c r="Q980" s="96"/>
      <c r="R980" s="97"/>
      <c r="S980" s="98"/>
    </row>
    <row r="981" spans="1:19" ht="42.75">
      <c r="A981" s="90" t="s">
        <v>50</v>
      </c>
      <c r="B981" s="91" t="s">
        <v>383</v>
      </c>
      <c r="C981" s="91" t="s">
        <v>1020</v>
      </c>
      <c r="D981" s="90">
        <v>2197</v>
      </c>
      <c r="E981" s="90">
        <v>2427</v>
      </c>
      <c r="F981" s="90" t="s">
        <v>1454</v>
      </c>
      <c r="G981" s="90"/>
      <c r="H981" s="93"/>
      <c r="I981" s="93"/>
      <c r="J981" s="93"/>
      <c r="K981" s="95"/>
      <c r="L981" s="69"/>
      <c r="M981" s="69"/>
      <c r="N981" s="69"/>
      <c r="O981" s="69"/>
      <c r="P981" s="78"/>
      <c r="Q981" s="96"/>
      <c r="R981" s="97"/>
      <c r="S981" s="98"/>
    </row>
    <row r="982" spans="1:19" ht="42.75">
      <c r="A982" s="90" t="s">
        <v>50</v>
      </c>
      <c r="B982" s="91" t="s">
        <v>383</v>
      </c>
      <c r="C982" s="91" t="s">
        <v>2347</v>
      </c>
      <c r="D982" s="90">
        <v>2268</v>
      </c>
      <c r="E982" s="90">
        <v>2645</v>
      </c>
      <c r="F982" s="90" t="s">
        <v>1454</v>
      </c>
      <c r="G982" s="90"/>
      <c r="H982" s="93"/>
      <c r="I982" s="93"/>
      <c r="J982" s="93"/>
      <c r="K982" s="95"/>
      <c r="L982" s="69"/>
      <c r="M982" s="69"/>
      <c r="N982" s="69"/>
      <c r="O982" s="69"/>
      <c r="P982" s="78"/>
      <c r="Q982" s="96"/>
      <c r="R982" s="97"/>
      <c r="S982" s="98"/>
    </row>
    <row r="983" spans="1:19" ht="42.75">
      <c r="A983" s="90" t="s">
        <v>50</v>
      </c>
      <c r="B983" s="91" t="s">
        <v>383</v>
      </c>
      <c r="C983" s="91" t="s">
        <v>1658</v>
      </c>
      <c r="D983" s="90">
        <v>5117</v>
      </c>
      <c r="E983" s="90">
        <v>5708</v>
      </c>
      <c r="F983" s="90" t="s">
        <v>1454</v>
      </c>
      <c r="G983" s="90"/>
      <c r="H983" s="93"/>
      <c r="I983" s="93"/>
      <c r="J983" s="93"/>
      <c r="K983" s="95"/>
      <c r="L983" s="69"/>
      <c r="M983" s="69"/>
      <c r="N983" s="69"/>
      <c r="O983" s="69"/>
      <c r="P983" s="78"/>
      <c r="Q983" s="96"/>
      <c r="R983" s="97"/>
      <c r="S983" s="98"/>
    </row>
    <row r="984" spans="1:19" ht="42.75">
      <c r="A984" s="90" t="s">
        <v>50</v>
      </c>
      <c r="B984" s="91" t="s">
        <v>383</v>
      </c>
      <c r="C984" s="91" t="s">
        <v>2746</v>
      </c>
      <c r="D984" s="90">
        <v>1039</v>
      </c>
      <c r="E984" s="90">
        <v>887</v>
      </c>
      <c r="F984" s="90" t="s">
        <v>1454</v>
      </c>
      <c r="G984" s="90"/>
      <c r="H984" s="93"/>
      <c r="I984" s="93"/>
      <c r="J984" s="93"/>
      <c r="K984" s="95"/>
      <c r="L984" s="69"/>
      <c r="M984" s="69"/>
      <c r="N984" s="69"/>
      <c r="O984" s="69"/>
      <c r="P984" s="78"/>
      <c r="Q984" s="96"/>
      <c r="R984" s="97"/>
      <c r="S984" s="98"/>
    </row>
    <row r="985" spans="1:19" ht="42.75">
      <c r="A985" s="90" t="s">
        <v>50</v>
      </c>
      <c r="B985" s="91" t="s">
        <v>383</v>
      </c>
      <c r="C985" s="91" t="s">
        <v>2747</v>
      </c>
      <c r="D985" s="90">
        <v>3705</v>
      </c>
      <c r="E985" s="90">
        <v>3908</v>
      </c>
      <c r="F985" s="90" t="s">
        <v>1454</v>
      </c>
      <c r="G985" s="90"/>
      <c r="H985" s="93"/>
      <c r="I985" s="93"/>
      <c r="J985" s="93"/>
      <c r="K985" s="95"/>
      <c r="L985" s="69"/>
      <c r="M985" s="69"/>
      <c r="N985" s="69"/>
      <c r="O985" s="69"/>
      <c r="P985" s="78"/>
      <c r="Q985" s="96"/>
      <c r="R985" s="97"/>
      <c r="S985" s="98"/>
    </row>
    <row r="986" spans="1:19" ht="42.75">
      <c r="A986" s="90" t="s">
        <v>50</v>
      </c>
      <c r="B986" s="91" t="s">
        <v>384</v>
      </c>
      <c r="C986" s="91" t="s">
        <v>2748</v>
      </c>
      <c r="D986" s="90">
        <v>4124</v>
      </c>
      <c r="E986" s="90">
        <v>4684</v>
      </c>
      <c r="F986" s="90" t="s">
        <v>1454</v>
      </c>
      <c r="G986" s="90"/>
      <c r="H986" s="93"/>
      <c r="I986" s="93"/>
      <c r="J986" s="93"/>
      <c r="K986" s="95"/>
      <c r="L986" s="69"/>
      <c r="M986" s="69"/>
      <c r="N986" s="69"/>
      <c r="O986" s="69"/>
      <c r="P986" s="78"/>
      <c r="Q986" s="96"/>
      <c r="R986" s="97"/>
      <c r="S986" s="98"/>
    </row>
    <row r="987" spans="1:19" ht="42.75">
      <c r="A987" s="90" t="s">
        <v>50</v>
      </c>
      <c r="B987" s="91" t="s">
        <v>384</v>
      </c>
      <c r="C987" s="91" t="s">
        <v>2749</v>
      </c>
      <c r="D987" s="90">
        <v>1263</v>
      </c>
      <c r="E987" s="90">
        <v>1515</v>
      </c>
      <c r="F987" s="90" t="s">
        <v>1454</v>
      </c>
      <c r="G987" s="90"/>
      <c r="H987" s="93"/>
      <c r="I987" s="93"/>
      <c r="J987" s="93"/>
      <c r="K987" s="95"/>
      <c r="L987" s="69"/>
      <c r="M987" s="69"/>
      <c r="N987" s="69"/>
      <c r="O987" s="69"/>
      <c r="P987" s="78"/>
      <c r="Q987" s="96"/>
      <c r="R987" s="97"/>
      <c r="S987" s="98"/>
    </row>
    <row r="988" spans="1:19" ht="42.75">
      <c r="A988" s="90" t="s">
        <v>50</v>
      </c>
      <c r="B988" s="91" t="s">
        <v>384</v>
      </c>
      <c r="C988" s="91" t="s">
        <v>2750</v>
      </c>
      <c r="D988" s="90">
        <v>917</v>
      </c>
      <c r="E988" s="90">
        <v>877</v>
      </c>
      <c r="F988" s="90" t="s">
        <v>1454</v>
      </c>
      <c r="G988" s="90"/>
      <c r="H988" s="93"/>
      <c r="I988" s="93"/>
      <c r="J988" s="93"/>
      <c r="K988" s="95"/>
      <c r="L988" s="69"/>
      <c r="M988" s="69"/>
      <c r="N988" s="69"/>
      <c r="O988" s="69"/>
      <c r="P988" s="78"/>
      <c r="Q988" s="96"/>
      <c r="R988" s="97"/>
      <c r="S988" s="98"/>
    </row>
    <row r="989" spans="1:19" ht="42.75">
      <c r="A989" s="90" t="s">
        <v>50</v>
      </c>
      <c r="B989" s="91" t="s">
        <v>384</v>
      </c>
      <c r="C989" s="91" t="s">
        <v>2751</v>
      </c>
      <c r="D989" s="90">
        <v>2900</v>
      </c>
      <c r="E989" s="90">
        <v>2575</v>
      </c>
      <c r="F989" s="90" t="s">
        <v>1454</v>
      </c>
      <c r="G989" s="90"/>
      <c r="H989" s="93"/>
      <c r="I989" s="93"/>
      <c r="J989" s="93"/>
      <c r="K989" s="95"/>
      <c r="L989" s="69"/>
      <c r="M989" s="69"/>
      <c r="N989" s="69"/>
      <c r="O989" s="69"/>
      <c r="P989" s="78"/>
      <c r="Q989" s="96"/>
      <c r="R989" s="97"/>
      <c r="S989" s="98"/>
    </row>
    <row r="990" spans="1:19" ht="42.75">
      <c r="A990" s="90" t="s">
        <v>50</v>
      </c>
      <c r="B990" s="91" t="s">
        <v>384</v>
      </c>
      <c r="C990" s="91" t="s">
        <v>2752</v>
      </c>
      <c r="D990" s="90">
        <v>283</v>
      </c>
      <c r="E990" s="90">
        <v>208</v>
      </c>
      <c r="F990" s="90" t="s">
        <v>1454</v>
      </c>
      <c r="G990" s="90"/>
      <c r="H990" s="93"/>
      <c r="I990" s="93"/>
      <c r="J990" s="93"/>
      <c r="K990" s="95"/>
      <c r="L990" s="69"/>
      <c r="M990" s="69"/>
      <c r="N990" s="69"/>
      <c r="O990" s="69"/>
      <c r="P990" s="78"/>
      <c r="Q990" s="96"/>
      <c r="R990" s="97"/>
      <c r="S990" s="98"/>
    </row>
    <row r="991" spans="1:19" ht="42.75">
      <c r="A991" s="90" t="s">
        <v>50</v>
      </c>
      <c r="B991" s="91" t="s">
        <v>384</v>
      </c>
      <c r="C991" s="91" t="s">
        <v>2753</v>
      </c>
      <c r="D991" s="90">
        <v>2013</v>
      </c>
      <c r="E991" s="90">
        <v>2087</v>
      </c>
      <c r="F991" s="90" t="s">
        <v>1454</v>
      </c>
      <c r="G991" s="90"/>
      <c r="H991" s="93"/>
      <c r="I991" s="93"/>
      <c r="J991" s="93"/>
      <c r="K991" s="95"/>
      <c r="L991" s="69"/>
      <c r="M991" s="69"/>
      <c r="N991" s="69"/>
      <c r="O991" s="69"/>
      <c r="P991" s="78"/>
      <c r="Q991" s="96"/>
      <c r="R991" s="97"/>
      <c r="S991" s="98"/>
    </row>
    <row r="992" spans="1:19" ht="42.75">
      <c r="A992" s="90" t="s">
        <v>50</v>
      </c>
      <c r="B992" s="91" t="s">
        <v>384</v>
      </c>
      <c r="C992" s="91" t="s">
        <v>2754</v>
      </c>
      <c r="D992" s="90">
        <v>1106</v>
      </c>
      <c r="E992" s="90">
        <v>1544</v>
      </c>
      <c r="F992" s="90" t="s">
        <v>1454</v>
      </c>
      <c r="G992" s="90"/>
      <c r="H992" s="93"/>
      <c r="I992" s="93"/>
      <c r="J992" s="93"/>
      <c r="K992" s="95"/>
      <c r="L992" s="69"/>
      <c r="M992" s="69"/>
      <c r="N992" s="69"/>
      <c r="O992" s="69"/>
      <c r="P992" s="78"/>
      <c r="Q992" s="96"/>
      <c r="R992" s="97"/>
      <c r="S992" s="98"/>
    </row>
    <row r="993" spans="1:19" ht="42.75">
      <c r="A993" s="90" t="s">
        <v>50</v>
      </c>
      <c r="B993" s="91" t="s">
        <v>384</v>
      </c>
      <c r="C993" s="91" t="s">
        <v>2755</v>
      </c>
      <c r="D993" s="90">
        <v>3763</v>
      </c>
      <c r="E993" s="90">
        <v>3819</v>
      </c>
      <c r="F993" s="90" t="s">
        <v>1454</v>
      </c>
      <c r="G993" s="90"/>
      <c r="H993" s="93"/>
      <c r="I993" s="93"/>
      <c r="J993" s="93"/>
      <c r="K993" s="95"/>
      <c r="L993" s="69"/>
      <c r="M993" s="69"/>
      <c r="N993" s="69"/>
      <c r="O993" s="69"/>
      <c r="P993" s="78"/>
      <c r="Q993" s="96"/>
      <c r="R993" s="97"/>
      <c r="S993" s="98"/>
    </row>
    <row r="994" spans="1:19" ht="42.75">
      <c r="A994" s="90" t="s">
        <v>50</v>
      </c>
      <c r="B994" s="91" t="s">
        <v>384</v>
      </c>
      <c r="C994" s="91" t="s">
        <v>2756</v>
      </c>
      <c r="D994" s="90">
        <v>2865</v>
      </c>
      <c r="E994" s="90">
        <v>2735</v>
      </c>
      <c r="F994" s="90" t="s">
        <v>1454</v>
      </c>
      <c r="G994" s="90"/>
      <c r="H994" s="93"/>
      <c r="I994" s="93"/>
      <c r="J994" s="93"/>
      <c r="K994" s="95"/>
      <c r="L994" s="69"/>
      <c r="M994" s="69"/>
      <c r="N994" s="69"/>
      <c r="O994" s="69"/>
      <c r="P994" s="78"/>
      <c r="Q994" s="96"/>
      <c r="R994" s="97"/>
      <c r="S994" s="98"/>
    </row>
    <row r="995" spans="1:19" ht="42.75">
      <c r="A995" s="90" t="s">
        <v>50</v>
      </c>
      <c r="B995" s="91" t="s">
        <v>384</v>
      </c>
      <c r="C995" s="91" t="s">
        <v>2757</v>
      </c>
      <c r="D995" s="90">
        <v>1575</v>
      </c>
      <c r="E995" s="90">
        <v>1644</v>
      </c>
      <c r="F995" s="90" t="s">
        <v>1454</v>
      </c>
      <c r="G995" s="90"/>
      <c r="H995" s="93"/>
      <c r="I995" s="93"/>
      <c r="J995" s="93"/>
      <c r="K995" s="95"/>
      <c r="L995" s="69"/>
      <c r="M995" s="69"/>
      <c r="N995" s="69"/>
      <c r="O995" s="69"/>
      <c r="P995" s="78"/>
      <c r="Q995" s="96"/>
      <c r="R995" s="97"/>
      <c r="S995" s="98"/>
    </row>
    <row r="996" spans="1:19" ht="42.75">
      <c r="A996" s="90" t="s">
        <v>50</v>
      </c>
      <c r="B996" s="91" t="s">
        <v>384</v>
      </c>
      <c r="C996" s="91" t="s">
        <v>2758</v>
      </c>
      <c r="D996" s="90">
        <v>1597</v>
      </c>
      <c r="E996" s="90">
        <v>1710</v>
      </c>
      <c r="F996" s="90" t="s">
        <v>1454</v>
      </c>
      <c r="G996" s="90"/>
      <c r="H996" s="93"/>
      <c r="I996" s="93"/>
      <c r="J996" s="93"/>
      <c r="K996" s="95"/>
      <c r="L996" s="69"/>
      <c r="M996" s="69"/>
      <c r="N996" s="69"/>
      <c r="O996" s="69"/>
      <c r="P996" s="78"/>
      <c r="Q996" s="96"/>
      <c r="R996" s="97"/>
      <c r="S996" s="98"/>
    </row>
    <row r="997" spans="1:19" ht="42.75">
      <c r="A997" s="90" t="s">
        <v>50</v>
      </c>
      <c r="B997" s="91" t="s">
        <v>384</v>
      </c>
      <c r="C997" s="91" t="s">
        <v>2759</v>
      </c>
      <c r="D997" s="90">
        <v>2248</v>
      </c>
      <c r="E997" s="90">
        <v>2347</v>
      </c>
      <c r="F997" s="90" t="s">
        <v>1454</v>
      </c>
      <c r="G997" s="90"/>
      <c r="H997" s="93"/>
      <c r="I997" s="93"/>
      <c r="J997" s="93"/>
      <c r="K997" s="95"/>
      <c r="L997" s="69"/>
      <c r="M997" s="69"/>
      <c r="N997" s="69"/>
      <c r="O997" s="69"/>
      <c r="P997" s="78"/>
      <c r="Q997" s="96"/>
      <c r="R997" s="97"/>
      <c r="S997" s="98"/>
    </row>
    <row r="998" spans="1:19" ht="42.75">
      <c r="A998" s="90" t="s">
        <v>50</v>
      </c>
      <c r="B998" s="91" t="s">
        <v>384</v>
      </c>
      <c r="C998" s="91" t="s">
        <v>2760</v>
      </c>
      <c r="D998" s="90">
        <v>2707</v>
      </c>
      <c r="E998" s="90">
        <v>2735</v>
      </c>
      <c r="F998" s="90" t="s">
        <v>1454</v>
      </c>
      <c r="G998" s="90"/>
      <c r="H998" s="93"/>
      <c r="I998" s="93"/>
      <c r="J998" s="93"/>
      <c r="K998" s="95"/>
      <c r="L998" s="69"/>
      <c r="M998" s="69"/>
      <c r="N998" s="69"/>
      <c r="O998" s="69"/>
      <c r="P998" s="78"/>
      <c r="Q998" s="96"/>
      <c r="R998" s="97"/>
      <c r="S998" s="98"/>
    </row>
    <row r="999" spans="1:19" ht="42.75">
      <c r="A999" s="90" t="s">
        <v>50</v>
      </c>
      <c r="B999" s="91" t="s">
        <v>384</v>
      </c>
      <c r="C999" s="91" t="s">
        <v>2761</v>
      </c>
      <c r="D999" s="90">
        <v>1715</v>
      </c>
      <c r="E999" s="90">
        <v>1437</v>
      </c>
      <c r="F999" s="90" t="s">
        <v>1454</v>
      </c>
      <c r="G999" s="90"/>
      <c r="H999" s="93"/>
      <c r="I999" s="93"/>
      <c r="J999" s="93"/>
      <c r="K999" s="95"/>
      <c r="L999" s="69"/>
      <c r="M999" s="69"/>
      <c r="N999" s="69"/>
      <c r="O999" s="69"/>
      <c r="P999" s="78"/>
      <c r="Q999" s="96"/>
      <c r="R999" s="97"/>
      <c r="S999" s="98"/>
    </row>
    <row r="1000" spans="1:19" ht="42.75">
      <c r="A1000" s="90" t="s">
        <v>50</v>
      </c>
      <c r="B1000" s="91" t="s">
        <v>384</v>
      </c>
      <c r="C1000" s="91" t="s">
        <v>2762</v>
      </c>
      <c r="D1000" s="90">
        <v>1358</v>
      </c>
      <c r="E1000" s="90">
        <v>1399</v>
      </c>
      <c r="F1000" s="90" t="s">
        <v>1454</v>
      </c>
      <c r="G1000" s="90"/>
      <c r="H1000" s="93"/>
      <c r="I1000" s="93"/>
      <c r="J1000" s="93"/>
      <c r="K1000" s="95"/>
      <c r="L1000" s="69"/>
      <c r="M1000" s="69"/>
      <c r="N1000" s="69"/>
      <c r="O1000" s="69"/>
      <c r="P1000" s="78"/>
      <c r="Q1000" s="96"/>
      <c r="R1000" s="97"/>
      <c r="S1000" s="98"/>
    </row>
    <row r="1001" spans="1:19" ht="42.75">
      <c r="A1001" s="90" t="s">
        <v>50</v>
      </c>
      <c r="B1001" s="91" t="s">
        <v>384</v>
      </c>
      <c r="C1001" s="91" t="s">
        <v>2763</v>
      </c>
      <c r="D1001" s="90">
        <v>1944</v>
      </c>
      <c r="E1001" s="90">
        <v>2275</v>
      </c>
      <c r="F1001" s="90" t="s">
        <v>1454</v>
      </c>
      <c r="G1001" s="90"/>
      <c r="H1001" s="93"/>
      <c r="I1001" s="93"/>
      <c r="J1001" s="93"/>
      <c r="K1001" s="95"/>
      <c r="L1001" s="69"/>
      <c r="M1001" s="69"/>
      <c r="N1001" s="69"/>
      <c r="O1001" s="69"/>
      <c r="P1001" s="78"/>
      <c r="Q1001" s="96"/>
      <c r="R1001" s="97"/>
      <c r="S1001" s="98"/>
    </row>
    <row r="1002" spans="1:19" ht="42.75">
      <c r="A1002" s="90" t="s">
        <v>50</v>
      </c>
      <c r="B1002" s="91" t="s">
        <v>384</v>
      </c>
      <c r="C1002" s="91" t="s">
        <v>2764</v>
      </c>
      <c r="D1002" s="90">
        <v>2288</v>
      </c>
      <c r="E1002" s="90">
        <v>2423</v>
      </c>
      <c r="F1002" s="90" t="s">
        <v>1454</v>
      </c>
      <c r="G1002" s="90"/>
      <c r="H1002" s="93"/>
      <c r="I1002" s="93"/>
      <c r="J1002" s="93"/>
      <c r="K1002" s="95"/>
      <c r="L1002" s="69"/>
      <c r="M1002" s="69"/>
      <c r="N1002" s="69"/>
      <c r="O1002" s="69"/>
      <c r="P1002" s="78"/>
      <c r="Q1002" s="96"/>
      <c r="R1002" s="97"/>
      <c r="S1002" s="98"/>
    </row>
    <row r="1003" spans="1:19" ht="42.75">
      <c r="A1003" s="90" t="s">
        <v>50</v>
      </c>
      <c r="B1003" s="91" t="s">
        <v>384</v>
      </c>
      <c r="C1003" s="91" t="s">
        <v>1041</v>
      </c>
      <c r="D1003" s="90">
        <v>2281</v>
      </c>
      <c r="E1003" s="90">
        <v>2651</v>
      </c>
      <c r="F1003" s="90" t="s">
        <v>1434</v>
      </c>
      <c r="G1003" s="90">
        <v>2024</v>
      </c>
      <c r="H1003" s="101">
        <v>45546</v>
      </c>
      <c r="I1003" s="101">
        <v>45551</v>
      </c>
      <c r="J1003" s="94" t="s">
        <v>2765</v>
      </c>
      <c r="K1003" s="100">
        <v>45552</v>
      </c>
      <c r="L1003" s="69" t="s">
        <v>82</v>
      </c>
      <c r="M1003" s="69" t="s">
        <v>4</v>
      </c>
      <c r="N1003" s="69" t="s">
        <v>101</v>
      </c>
      <c r="O1003" s="69" t="s">
        <v>1436</v>
      </c>
      <c r="P1003" s="78"/>
      <c r="Q1003" s="96">
        <v>45555</v>
      </c>
      <c r="R1003" s="97" t="s">
        <v>1481</v>
      </c>
      <c r="S1003" s="98"/>
    </row>
    <row r="1004" spans="1:19" ht="42.75">
      <c r="A1004" s="90" t="s">
        <v>50</v>
      </c>
      <c r="B1004" s="91" t="s">
        <v>384</v>
      </c>
      <c r="C1004" s="91" t="s">
        <v>1862</v>
      </c>
      <c r="D1004" s="90">
        <v>2946</v>
      </c>
      <c r="E1004" s="90">
        <v>3194</v>
      </c>
      <c r="F1004" s="90" t="s">
        <v>1454</v>
      </c>
      <c r="G1004" s="90"/>
      <c r="H1004" s="93"/>
      <c r="I1004" s="93"/>
      <c r="J1004" s="93"/>
      <c r="K1004" s="95"/>
      <c r="L1004" s="69"/>
      <c r="M1004" s="69"/>
      <c r="N1004" s="69"/>
      <c r="O1004" s="69"/>
      <c r="P1004" s="78"/>
      <c r="Q1004" s="96"/>
      <c r="R1004" s="97"/>
      <c r="S1004" s="98"/>
    </row>
    <row r="1005" spans="1:19" ht="42.75">
      <c r="A1005" s="90" t="s">
        <v>50</v>
      </c>
      <c r="B1005" s="91" t="s">
        <v>384</v>
      </c>
      <c r="C1005" s="91" t="s">
        <v>2766</v>
      </c>
      <c r="D1005" s="90">
        <v>1644</v>
      </c>
      <c r="E1005" s="90">
        <v>1525</v>
      </c>
      <c r="F1005" s="90" t="s">
        <v>1454</v>
      </c>
      <c r="G1005" s="90">
        <v>2025</v>
      </c>
      <c r="H1005" s="93"/>
      <c r="I1005" s="93"/>
      <c r="J1005" s="93"/>
      <c r="K1005" s="95"/>
      <c r="L1005" s="69" t="s">
        <v>74</v>
      </c>
      <c r="M1005" s="69"/>
      <c r="N1005" s="69"/>
      <c r="O1005" s="69"/>
      <c r="P1005" s="78"/>
      <c r="Q1005" s="96"/>
      <c r="R1005" s="97"/>
      <c r="S1005" s="98"/>
    </row>
    <row r="1006" spans="1:19" ht="42.75">
      <c r="A1006" s="90" t="s">
        <v>50</v>
      </c>
      <c r="B1006" s="91" t="s">
        <v>384</v>
      </c>
      <c r="C1006" s="91" t="s">
        <v>2181</v>
      </c>
      <c r="D1006" s="90">
        <v>2465</v>
      </c>
      <c r="E1006" s="90">
        <v>2773</v>
      </c>
      <c r="F1006" s="90" t="s">
        <v>1454</v>
      </c>
      <c r="G1006" s="90"/>
      <c r="H1006" s="93"/>
      <c r="I1006" s="122"/>
      <c r="J1006" s="122"/>
      <c r="K1006" s="95"/>
      <c r="L1006" s="69"/>
      <c r="M1006" s="69"/>
      <c r="N1006" s="69"/>
      <c r="O1006" s="69"/>
      <c r="P1006" s="78"/>
      <c r="Q1006" s="96"/>
      <c r="R1006" s="97"/>
      <c r="S1006" s="98"/>
    </row>
    <row r="1007" spans="1:19" ht="42.75">
      <c r="A1007" s="90" t="s">
        <v>50</v>
      </c>
      <c r="B1007" s="91" t="s">
        <v>384</v>
      </c>
      <c r="C1007" s="91" t="s">
        <v>2767</v>
      </c>
      <c r="D1007" s="90">
        <v>6037</v>
      </c>
      <c r="E1007" s="90">
        <v>6046</v>
      </c>
      <c r="F1007" s="90" t="s">
        <v>1434</v>
      </c>
      <c r="G1007" s="90">
        <v>2024</v>
      </c>
      <c r="H1007" s="147">
        <v>45385</v>
      </c>
      <c r="I1007" s="100">
        <v>45388</v>
      </c>
      <c r="J1007" s="161" t="s">
        <v>2768</v>
      </c>
      <c r="K1007" s="119">
        <v>45394</v>
      </c>
      <c r="L1007" s="69" t="s">
        <v>77</v>
      </c>
      <c r="M1007" s="69"/>
      <c r="N1007" s="69"/>
      <c r="O1007" s="69" t="s">
        <v>1436</v>
      </c>
      <c r="P1007" s="78"/>
      <c r="Q1007" s="96"/>
      <c r="R1007" s="97"/>
      <c r="S1007" s="98"/>
    </row>
    <row r="1008" spans="1:19" ht="42.75">
      <c r="A1008" s="90" t="s">
        <v>50</v>
      </c>
      <c r="B1008" s="91" t="s">
        <v>384</v>
      </c>
      <c r="C1008" s="91" t="s">
        <v>2769</v>
      </c>
      <c r="D1008" s="90">
        <v>2672</v>
      </c>
      <c r="E1008" s="90">
        <v>2542</v>
      </c>
      <c r="F1008" s="90" t="s">
        <v>1454</v>
      </c>
      <c r="G1008" s="90"/>
      <c r="H1008" s="93"/>
      <c r="I1008" s="162"/>
      <c r="J1008" s="93"/>
      <c r="K1008" s="163"/>
      <c r="L1008" s="69"/>
      <c r="M1008" s="69"/>
      <c r="N1008" s="69"/>
      <c r="O1008" s="69"/>
      <c r="P1008" s="78"/>
      <c r="Q1008" s="96"/>
      <c r="R1008" s="97"/>
      <c r="S1008" s="98"/>
    </row>
    <row r="1009" spans="1:19" ht="42.75">
      <c r="A1009" s="90" t="s">
        <v>50</v>
      </c>
      <c r="B1009" s="91" t="s">
        <v>384</v>
      </c>
      <c r="C1009" s="91" t="s">
        <v>2770</v>
      </c>
      <c r="D1009" s="90">
        <v>623</v>
      </c>
      <c r="E1009" s="90">
        <v>587</v>
      </c>
      <c r="F1009" s="90" t="s">
        <v>1434</v>
      </c>
      <c r="G1009" s="90">
        <v>2024</v>
      </c>
      <c r="H1009" s="101">
        <v>45596</v>
      </c>
      <c r="I1009" s="101">
        <v>45603</v>
      </c>
      <c r="J1009" s="94" t="s">
        <v>2771</v>
      </c>
      <c r="K1009" s="100">
        <v>45612</v>
      </c>
      <c r="L1009" s="69" t="s">
        <v>84</v>
      </c>
      <c r="M1009" s="69" t="s">
        <v>4</v>
      </c>
      <c r="N1009" s="69" t="s">
        <v>101</v>
      </c>
      <c r="O1009" s="69" t="s">
        <v>1436</v>
      </c>
      <c r="P1009" s="78"/>
      <c r="Q1009" s="96">
        <v>45614</v>
      </c>
      <c r="R1009" s="97" t="s">
        <v>1481</v>
      </c>
      <c r="S1009" s="98"/>
    </row>
    <row r="1010" spans="1:19" ht="42.75">
      <c r="A1010" s="90" t="s">
        <v>50</v>
      </c>
      <c r="B1010" s="91" t="s">
        <v>384</v>
      </c>
      <c r="C1010" s="91" t="s">
        <v>2772</v>
      </c>
      <c r="D1010" s="90">
        <v>663</v>
      </c>
      <c r="E1010" s="90">
        <v>795</v>
      </c>
      <c r="F1010" s="90" t="s">
        <v>1454</v>
      </c>
      <c r="G1010" s="90"/>
      <c r="H1010" s="93"/>
      <c r="I1010" s="93"/>
      <c r="J1010" s="93"/>
      <c r="K1010" s="95"/>
      <c r="L1010" s="69"/>
      <c r="M1010" s="69"/>
      <c r="N1010" s="69"/>
      <c r="O1010" s="69"/>
      <c r="P1010" s="78"/>
      <c r="Q1010" s="96"/>
      <c r="R1010" s="97"/>
      <c r="S1010" s="98"/>
    </row>
    <row r="1011" spans="1:19" ht="42.75">
      <c r="A1011" s="90" t="s">
        <v>50</v>
      </c>
      <c r="B1011" s="91" t="s">
        <v>384</v>
      </c>
      <c r="C1011" s="91" t="s">
        <v>2773</v>
      </c>
      <c r="D1011" s="90">
        <v>2034</v>
      </c>
      <c r="E1011" s="90">
        <v>2259</v>
      </c>
      <c r="F1011" s="90" t="s">
        <v>1454</v>
      </c>
      <c r="G1011" s="90"/>
      <c r="H1011" s="93"/>
      <c r="I1011" s="93"/>
      <c r="J1011" s="93"/>
      <c r="K1011" s="95"/>
      <c r="L1011" s="69"/>
      <c r="M1011" s="69"/>
      <c r="N1011" s="69"/>
      <c r="O1011" s="69"/>
      <c r="P1011" s="78"/>
      <c r="Q1011" s="96"/>
      <c r="R1011" s="97"/>
      <c r="S1011" s="98"/>
    </row>
    <row r="1012" spans="1:19" ht="42.75">
      <c r="A1012" s="90" t="s">
        <v>50</v>
      </c>
      <c r="B1012" s="91" t="s">
        <v>384</v>
      </c>
      <c r="C1012" s="91" t="s">
        <v>2774</v>
      </c>
      <c r="D1012" s="90">
        <v>2034</v>
      </c>
      <c r="E1012" s="90">
        <v>2291</v>
      </c>
      <c r="F1012" s="90" t="s">
        <v>1454</v>
      </c>
      <c r="G1012" s="90"/>
      <c r="H1012" s="93"/>
      <c r="I1012" s="93"/>
      <c r="J1012" s="93"/>
      <c r="K1012" s="95"/>
      <c r="L1012" s="69"/>
      <c r="M1012" s="69"/>
      <c r="N1012" s="69"/>
      <c r="O1012" s="69"/>
      <c r="P1012" s="78"/>
      <c r="Q1012" s="96"/>
      <c r="R1012" s="97"/>
      <c r="S1012" s="98"/>
    </row>
    <row r="1013" spans="1:19" ht="42.75">
      <c r="A1013" s="90" t="s">
        <v>50</v>
      </c>
      <c r="B1013" s="91" t="s">
        <v>384</v>
      </c>
      <c r="C1013" s="91" t="s">
        <v>2775</v>
      </c>
      <c r="D1013" s="90">
        <v>6108</v>
      </c>
      <c r="E1013" s="90">
        <v>6162</v>
      </c>
      <c r="F1013" s="90" t="s">
        <v>1454</v>
      </c>
      <c r="G1013" s="90"/>
      <c r="H1013" s="93"/>
      <c r="I1013" s="93"/>
      <c r="J1013" s="93"/>
      <c r="K1013" s="95"/>
      <c r="L1013" s="69"/>
      <c r="M1013" s="69"/>
      <c r="N1013" s="69"/>
      <c r="O1013" s="69"/>
      <c r="P1013" s="78"/>
      <c r="Q1013" s="96"/>
      <c r="R1013" s="97"/>
      <c r="S1013" s="98"/>
    </row>
    <row r="1014" spans="1:19" ht="42.75">
      <c r="A1014" s="90" t="s">
        <v>50</v>
      </c>
      <c r="B1014" s="91" t="s">
        <v>1314</v>
      </c>
      <c r="C1014" s="91" t="s">
        <v>2776</v>
      </c>
      <c r="D1014" s="90">
        <v>5116</v>
      </c>
      <c r="E1014" s="90">
        <v>5116</v>
      </c>
      <c r="F1014" s="90" t="s">
        <v>1454</v>
      </c>
      <c r="G1014" s="90"/>
      <c r="H1014" s="93"/>
      <c r="I1014" s="93"/>
      <c r="J1014" s="93"/>
      <c r="K1014" s="95"/>
      <c r="L1014" s="69"/>
      <c r="M1014" s="69"/>
      <c r="N1014" s="69"/>
      <c r="O1014" s="69"/>
      <c r="P1014" s="78"/>
      <c r="Q1014" s="96"/>
      <c r="R1014" s="97"/>
      <c r="S1014" s="98"/>
    </row>
    <row r="1015" spans="1:19" ht="42.75">
      <c r="A1015" s="90" t="s">
        <v>50</v>
      </c>
      <c r="B1015" s="91" t="s">
        <v>1314</v>
      </c>
      <c r="C1015" s="91" t="s">
        <v>2777</v>
      </c>
      <c r="D1015" s="90">
        <v>4599</v>
      </c>
      <c r="E1015" s="90">
        <v>5272</v>
      </c>
      <c r="F1015" s="90" t="s">
        <v>1454</v>
      </c>
      <c r="G1015" s="90"/>
      <c r="H1015" s="93"/>
      <c r="I1015" s="93"/>
      <c r="J1015" s="93"/>
      <c r="K1015" s="95"/>
      <c r="L1015" s="69"/>
      <c r="M1015" s="69"/>
      <c r="N1015" s="69"/>
      <c r="O1015" s="69"/>
      <c r="P1015" s="78"/>
      <c r="Q1015" s="96"/>
      <c r="R1015" s="97"/>
      <c r="S1015" s="98"/>
    </row>
    <row r="1016" spans="1:19" ht="42.75">
      <c r="A1016" s="90" t="s">
        <v>50</v>
      </c>
      <c r="B1016" s="91" t="s">
        <v>1314</v>
      </c>
      <c r="C1016" s="91" t="s">
        <v>2574</v>
      </c>
      <c r="D1016" s="90">
        <v>852</v>
      </c>
      <c r="E1016" s="90">
        <v>934</v>
      </c>
      <c r="F1016" s="90" t="s">
        <v>1454</v>
      </c>
      <c r="G1016" s="90"/>
      <c r="H1016" s="93"/>
      <c r="I1016" s="93"/>
      <c r="J1016" s="93"/>
      <c r="K1016" s="95"/>
      <c r="L1016" s="69"/>
      <c r="M1016" s="69"/>
      <c r="N1016" s="69"/>
      <c r="O1016" s="69"/>
      <c r="P1016" s="78"/>
      <c r="Q1016" s="96"/>
      <c r="R1016" s="97"/>
      <c r="S1016" s="98"/>
    </row>
    <row r="1017" spans="1:19" ht="42.75">
      <c r="A1017" s="90" t="s">
        <v>50</v>
      </c>
      <c r="B1017" s="91" t="s">
        <v>1314</v>
      </c>
      <c r="C1017" s="91" t="s">
        <v>2778</v>
      </c>
      <c r="D1017" s="90">
        <v>3073</v>
      </c>
      <c r="E1017" s="90">
        <v>3359</v>
      </c>
      <c r="F1017" s="90" t="s">
        <v>1454</v>
      </c>
      <c r="G1017" s="90"/>
      <c r="H1017" s="93"/>
      <c r="I1017" s="93"/>
      <c r="J1017" s="93"/>
      <c r="K1017" s="95"/>
      <c r="L1017" s="69"/>
      <c r="M1017" s="69"/>
      <c r="N1017" s="69"/>
      <c r="O1017" s="69"/>
      <c r="P1017" s="78"/>
      <c r="Q1017" s="96"/>
      <c r="R1017" s="97"/>
      <c r="S1017" s="98"/>
    </row>
    <row r="1018" spans="1:19" ht="42.75">
      <c r="A1018" s="90" t="s">
        <v>50</v>
      </c>
      <c r="B1018" s="91" t="s">
        <v>1314</v>
      </c>
      <c r="C1018" s="91" t="s">
        <v>2779</v>
      </c>
      <c r="D1018" s="90">
        <v>7659</v>
      </c>
      <c r="E1018" s="90">
        <v>9981</v>
      </c>
      <c r="F1018" s="90" t="s">
        <v>1454</v>
      </c>
      <c r="G1018" s="90"/>
      <c r="H1018" s="93"/>
      <c r="I1018" s="93"/>
      <c r="J1018" s="93"/>
      <c r="K1018" s="95"/>
      <c r="L1018" s="69"/>
      <c r="M1018" s="69"/>
      <c r="N1018" s="69"/>
      <c r="O1018" s="69"/>
      <c r="P1018" s="78"/>
      <c r="Q1018" s="96"/>
      <c r="R1018" s="97"/>
      <c r="S1018" s="98"/>
    </row>
    <row r="1019" spans="1:19" ht="42.75">
      <c r="A1019" s="90" t="s">
        <v>50</v>
      </c>
      <c r="B1019" s="91" t="s">
        <v>1314</v>
      </c>
      <c r="C1019" s="91" t="s">
        <v>2301</v>
      </c>
      <c r="D1019" s="90">
        <v>2141</v>
      </c>
      <c r="E1019" s="90">
        <v>2307</v>
      </c>
      <c r="F1019" s="90" t="s">
        <v>1454</v>
      </c>
      <c r="G1019" s="90"/>
      <c r="H1019" s="93"/>
      <c r="I1019" s="93"/>
      <c r="J1019" s="93"/>
      <c r="K1019" s="95"/>
      <c r="L1019" s="69"/>
      <c r="M1019" s="69"/>
      <c r="N1019" s="69"/>
      <c r="O1019" s="69"/>
      <c r="P1019" s="78"/>
      <c r="Q1019" s="96"/>
      <c r="R1019" s="97"/>
      <c r="S1019" s="98"/>
    </row>
    <row r="1020" spans="1:19" ht="42.75">
      <c r="A1020" s="90" t="s">
        <v>50</v>
      </c>
      <c r="B1020" s="91" t="s">
        <v>1314</v>
      </c>
      <c r="C1020" s="91" t="s">
        <v>2780</v>
      </c>
      <c r="D1020" s="90">
        <v>7596</v>
      </c>
      <c r="E1020" s="90">
        <v>7688</v>
      </c>
      <c r="F1020" s="90" t="s">
        <v>1454</v>
      </c>
      <c r="G1020" s="90"/>
      <c r="H1020" s="93"/>
      <c r="I1020" s="93"/>
      <c r="J1020" s="93"/>
      <c r="K1020" s="95"/>
      <c r="L1020" s="69"/>
      <c r="M1020" s="69"/>
      <c r="N1020" s="69"/>
      <c r="O1020" s="69"/>
      <c r="P1020" s="78"/>
      <c r="Q1020" s="96"/>
      <c r="R1020" s="97"/>
      <c r="S1020" s="98"/>
    </row>
    <row r="1021" spans="1:19" ht="42.75">
      <c r="A1021" s="90" t="s">
        <v>50</v>
      </c>
      <c r="B1021" s="91" t="s">
        <v>1314</v>
      </c>
      <c r="C1021" s="91" t="s">
        <v>2781</v>
      </c>
      <c r="D1021" s="90">
        <v>2390</v>
      </c>
      <c r="E1021" s="90">
        <v>2009</v>
      </c>
      <c r="F1021" s="90" t="s">
        <v>1454</v>
      </c>
      <c r="G1021" s="90"/>
      <c r="H1021" s="93"/>
      <c r="I1021" s="93"/>
      <c r="J1021" s="93"/>
      <c r="K1021" s="95"/>
      <c r="L1021" s="69"/>
      <c r="M1021" s="69"/>
      <c r="N1021" s="69"/>
      <c r="O1021" s="69"/>
      <c r="P1021" s="78"/>
      <c r="Q1021" s="96"/>
      <c r="R1021" s="97"/>
      <c r="S1021" s="98"/>
    </row>
    <row r="1022" spans="1:19" ht="42.75">
      <c r="A1022" s="90" t="s">
        <v>50</v>
      </c>
      <c r="B1022" s="91" t="s">
        <v>1314</v>
      </c>
      <c r="C1022" s="91" t="s">
        <v>2782</v>
      </c>
      <c r="D1022" s="90">
        <v>8695</v>
      </c>
      <c r="E1022" s="90">
        <v>8686</v>
      </c>
      <c r="F1022" s="90" t="s">
        <v>1454</v>
      </c>
      <c r="G1022" s="90"/>
      <c r="H1022" s="93"/>
      <c r="I1022" s="93"/>
      <c r="J1022" s="93"/>
      <c r="K1022" s="95"/>
      <c r="L1022" s="69"/>
      <c r="M1022" s="69"/>
      <c r="N1022" s="69"/>
      <c r="O1022" s="69"/>
      <c r="P1022" s="78"/>
      <c r="Q1022" s="96"/>
      <c r="R1022" s="97"/>
      <c r="S1022" s="98"/>
    </row>
    <row r="1023" spans="1:19" ht="42.75">
      <c r="A1023" s="90" t="s">
        <v>50</v>
      </c>
      <c r="B1023" s="91" t="s">
        <v>1314</v>
      </c>
      <c r="C1023" s="91" t="s">
        <v>2783</v>
      </c>
      <c r="D1023" s="90">
        <v>2066</v>
      </c>
      <c r="E1023" s="90">
        <v>2258</v>
      </c>
      <c r="F1023" s="90" t="s">
        <v>1454</v>
      </c>
      <c r="G1023" s="90"/>
      <c r="H1023" s="93"/>
      <c r="I1023" s="122"/>
      <c r="J1023" s="122"/>
      <c r="K1023" s="95"/>
      <c r="L1023" s="69"/>
      <c r="M1023" s="69"/>
      <c r="N1023" s="69"/>
      <c r="O1023" s="69"/>
      <c r="P1023" s="78"/>
      <c r="Q1023" s="96"/>
      <c r="R1023" s="97"/>
      <c r="S1023" s="98"/>
    </row>
    <row r="1024" spans="1:19" ht="42.75">
      <c r="A1024" s="90" t="s">
        <v>50</v>
      </c>
      <c r="B1024" s="91" t="s">
        <v>1314</v>
      </c>
      <c r="C1024" s="91" t="s">
        <v>2784</v>
      </c>
      <c r="D1024" s="90">
        <v>5374</v>
      </c>
      <c r="E1024" s="90">
        <v>5290</v>
      </c>
      <c r="F1024" s="90" t="s">
        <v>1434</v>
      </c>
      <c r="G1024" s="90">
        <v>2024</v>
      </c>
      <c r="H1024" s="147">
        <v>45316</v>
      </c>
      <c r="I1024" s="100">
        <v>45321</v>
      </c>
      <c r="J1024" s="107" t="s">
        <v>2785</v>
      </c>
      <c r="K1024" s="163"/>
      <c r="L1024" s="69" t="s">
        <v>75</v>
      </c>
      <c r="M1024" s="69"/>
      <c r="N1024" s="69"/>
      <c r="O1024" s="69" t="s">
        <v>1436</v>
      </c>
      <c r="P1024" s="78"/>
      <c r="Q1024" s="96"/>
      <c r="R1024" s="97"/>
      <c r="S1024" s="98"/>
    </row>
    <row r="1025" spans="1:19" ht="42.75">
      <c r="A1025" s="90" t="s">
        <v>50</v>
      </c>
      <c r="B1025" s="91" t="s">
        <v>1314</v>
      </c>
      <c r="C1025" s="91" t="s">
        <v>2786</v>
      </c>
      <c r="D1025" s="90">
        <v>1233</v>
      </c>
      <c r="E1025" s="90">
        <v>1144</v>
      </c>
      <c r="F1025" s="90" t="s">
        <v>1454</v>
      </c>
      <c r="G1025" s="90"/>
      <c r="H1025" s="93"/>
      <c r="I1025" s="93"/>
      <c r="J1025" s="93"/>
      <c r="K1025" s="95"/>
      <c r="L1025" s="69"/>
      <c r="M1025" s="69"/>
      <c r="N1025" s="69"/>
      <c r="O1025" s="69"/>
      <c r="P1025" s="78"/>
      <c r="Q1025" s="96"/>
      <c r="R1025" s="97"/>
      <c r="S1025" s="98"/>
    </row>
    <row r="1026" spans="1:19" ht="42.75">
      <c r="A1026" s="90" t="s">
        <v>50</v>
      </c>
      <c r="B1026" s="91" t="s">
        <v>1314</v>
      </c>
      <c r="C1026" s="91" t="s">
        <v>2787</v>
      </c>
      <c r="D1026" s="90">
        <v>5779</v>
      </c>
      <c r="E1026" s="90">
        <v>5513</v>
      </c>
      <c r="F1026" s="90" t="s">
        <v>1454</v>
      </c>
      <c r="G1026" s="90"/>
      <c r="H1026" s="93"/>
      <c r="I1026" s="93"/>
      <c r="J1026" s="93"/>
      <c r="K1026" s="95"/>
      <c r="L1026" s="69"/>
      <c r="M1026" s="69"/>
      <c r="N1026" s="69"/>
      <c r="O1026" s="69"/>
      <c r="P1026" s="78"/>
      <c r="Q1026" s="96"/>
      <c r="R1026" s="97"/>
      <c r="S1026" s="98"/>
    </row>
    <row r="1027" spans="1:19" ht="42.75">
      <c r="A1027" s="90" t="s">
        <v>50</v>
      </c>
      <c r="B1027" s="91" t="s">
        <v>1314</v>
      </c>
      <c r="C1027" s="91" t="s">
        <v>2788</v>
      </c>
      <c r="D1027" s="90">
        <v>2917</v>
      </c>
      <c r="E1027" s="90">
        <v>3041</v>
      </c>
      <c r="F1027" s="90" t="s">
        <v>1454</v>
      </c>
      <c r="G1027" s="90"/>
      <c r="H1027" s="93"/>
      <c r="I1027" s="93"/>
      <c r="J1027" s="93"/>
      <c r="K1027" s="95"/>
      <c r="L1027" s="69"/>
      <c r="M1027" s="69"/>
      <c r="N1027" s="69"/>
      <c r="O1027" s="69"/>
      <c r="P1027" s="78"/>
      <c r="Q1027" s="96"/>
      <c r="R1027" s="97"/>
      <c r="S1027" s="98"/>
    </row>
    <row r="1028" spans="1:19" ht="42.75">
      <c r="A1028" s="90" t="s">
        <v>50</v>
      </c>
      <c r="B1028" s="91" t="s">
        <v>1314</v>
      </c>
      <c r="C1028" s="91" t="s">
        <v>2642</v>
      </c>
      <c r="D1028" s="90">
        <v>3322</v>
      </c>
      <c r="E1028" s="90">
        <v>3461</v>
      </c>
      <c r="F1028" s="90" t="s">
        <v>1454</v>
      </c>
      <c r="G1028" s="90"/>
      <c r="H1028" s="93"/>
      <c r="I1028" s="93"/>
      <c r="J1028" s="93"/>
      <c r="K1028" s="95"/>
      <c r="L1028" s="69"/>
      <c r="M1028" s="69"/>
      <c r="N1028" s="69"/>
      <c r="O1028" s="69"/>
      <c r="P1028" s="78"/>
      <c r="Q1028" s="96"/>
      <c r="R1028" s="97"/>
      <c r="S1028" s="98"/>
    </row>
    <row r="1029" spans="1:19" ht="42.75">
      <c r="A1029" s="90" t="s">
        <v>50</v>
      </c>
      <c r="B1029" s="91" t="s">
        <v>1314</v>
      </c>
      <c r="C1029" s="91" t="s">
        <v>2789</v>
      </c>
      <c r="D1029" s="90">
        <v>11112</v>
      </c>
      <c r="E1029" s="90">
        <v>11104</v>
      </c>
      <c r="F1029" s="90" t="s">
        <v>1454</v>
      </c>
      <c r="G1029" s="90"/>
      <c r="H1029" s="93"/>
      <c r="I1029" s="93"/>
      <c r="J1029" s="93"/>
      <c r="K1029" s="95"/>
      <c r="L1029" s="69"/>
      <c r="M1029" s="69"/>
      <c r="N1029" s="69"/>
      <c r="O1029" s="69"/>
      <c r="P1029" s="78"/>
      <c r="Q1029" s="96"/>
      <c r="R1029" s="97"/>
      <c r="S1029" s="98"/>
    </row>
    <row r="1030" spans="1:19" ht="42.75">
      <c r="A1030" s="90" t="s">
        <v>50</v>
      </c>
      <c r="B1030" s="91" t="s">
        <v>1314</v>
      </c>
      <c r="C1030" s="91" t="s">
        <v>2790</v>
      </c>
      <c r="D1030" s="90">
        <v>4054</v>
      </c>
      <c r="E1030" s="90">
        <v>5182</v>
      </c>
      <c r="F1030" s="90" t="s">
        <v>1454</v>
      </c>
      <c r="G1030" s="90"/>
      <c r="H1030" s="93"/>
      <c r="I1030" s="93"/>
      <c r="J1030" s="93"/>
      <c r="K1030" s="95"/>
      <c r="L1030" s="69"/>
      <c r="M1030" s="69"/>
      <c r="N1030" s="69"/>
      <c r="O1030" s="69"/>
      <c r="P1030" s="78"/>
      <c r="Q1030" s="96"/>
      <c r="R1030" s="97"/>
      <c r="S1030" s="98"/>
    </row>
    <row r="1031" spans="1:19" ht="42.75">
      <c r="A1031" s="90" t="s">
        <v>50</v>
      </c>
      <c r="B1031" s="91" t="s">
        <v>1314</v>
      </c>
      <c r="C1031" s="91" t="s">
        <v>2791</v>
      </c>
      <c r="D1031" s="90">
        <v>11449</v>
      </c>
      <c r="E1031" s="90">
        <v>11917</v>
      </c>
      <c r="F1031" s="90" t="s">
        <v>1454</v>
      </c>
      <c r="G1031" s="90"/>
      <c r="H1031" s="93"/>
      <c r="I1031" s="93"/>
      <c r="J1031" s="93"/>
      <c r="K1031" s="95"/>
      <c r="L1031" s="69"/>
      <c r="M1031" s="69"/>
      <c r="N1031" s="69"/>
      <c r="O1031" s="69"/>
      <c r="P1031" s="78"/>
      <c r="Q1031" s="96"/>
      <c r="R1031" s="97"/>
      <c r="S1031" s="98"/>
    </row>
    <row r="1032" spans="1:19" ht="42.75">
      <c r="A1032" s="90" t="s">
        <v>50</v>
      </c>
      <c r="B1032" s="91" t="s">
        <v>1314</v>
      </c>
      <c r="C1032" s="91" t="s">
        <v>2792</v>
      </c>
      <c r="D1032" s="90">
        <v>4425</v>
      </c>
      <c r="E1032" s="90">
        <v>4795</v>
      </c>
      <c r="F1032" s="90" t="s">
        <v>1434</v>
      </c>
      <c r="G1032" s="90">
        <v>2024</v>
      </c>
      <c r="H1032" s="101">
        <v>45504</v>
      </c>
      <c r="I1032" s="101">
        <v>45509</v>
      </c>
      <c r="J1032" s="94" t="s">
        <v>2793</v>
      </c>
      <c r="K1032" s="100">
        <v>45512</v>
      </c>
      <c r="L1032" s="69" t="s">
        <v>81</v>
      </c>
      <c r="M1032" s="69" t="s">
        <v>4</v>
      </c>
      <c r="N1032" s="69" t="s">
        <v>101</v>
      </c>
      <c r="O1032" s="69" t="s">
        <v>1436</v>
      </c>
      <c r="P1032" s="78"/>
      <c r="Q1032" s="96">
        <v>45513</v>
      </c>
      <c r="R1032" s="97" t="s">
        <v>1481</v>
      </c>
      <c r="S1032" s="98"/>
    </row>
    <row r="1033" spans="1:19" ht="42.75">
      <c r="A1033" s="90" t="s">
        <v>50</v>
      </c>
      <c r="B1033" s="91" t="s">
        <v>1314</v>
      </c>
      <c r="C1033" s="91" t="s">
        <v>2794</v>
      </c>
      <c r="D1033" s="90">
        <v>1816</v>
      </c>
      <c r="E1033" s="90">
        <v>2163</v>
      </c>
      <c r="F1033" s="90" t="s">
        <v>1454</v>
      </c>
      <c r="G1033" s="90"/>
      <c r="H1033" s="93"/>
      <c r="I1033" s="93"/>
      <c r="J1033" s="93"/>
      <c r="K1033" s="95"/>
      <c r="L1033" s="69"/>
      <c r="M1033" s="69"/>
      <c r="N1033" s="69"/>
      <c r="O1033" s="69"/>
      <c r="P1033" s="78"/>
      <c r="Q1033" s="96"/>
      <c r="R1033" s="97"/>
      <c r="S1033" s="98"/>
    </row>
    <row r="1034" spans="1:19" ht="42.75">
      <c r="A1034" s="90" t="s">
        <v>50</v>
      </c>
      <c r="B1034" s="91" t="s">
        <v>1314</v>
      </c>
      <c r="C1034" s="91" t="s">
        <v>2795</v>
      </c>
      <c r="D1034" s="90">
        <v>172</v>
      </c>
      <c r="E1034" s="90">
        <v>95</v>
      </c>
      <c r="F1034" s="90" t="s">
        <v>1454</v>
      </c>
      <c r="G1034" s="90"/>
      <c r="H1034" s="93"/>
      <c r="I1034" s="93"/>
      <c r="J1034" s="93"/>
      <c r="K1034" s="95"/>
      <c r="L1034" s="69"/>
      <c r="M1034" s="69"/>
      <c r="N1034" s="69"/>
      <c r="O1034" s="69"/>
      <c r="P1034" s="78"/>
      <c r="Q1034" s="96"/>
      <c r="R1034" s="97"/>
      <c r="S1034" s="98"/>
    </row>
    <row r="1035" spans="1:19" ht="42.75">
      <c r="A1035" s="90" t="s">
        <v>50</v>
      </c>
      <c r="B1035" s="91" t="s">
        <v>1314</v>
      </c>
      <c r="C1035" s="91" t="s">
        <v>2796</v>
      </c>
      <c r="D1035" s="90">
        <v>1614</v>
      </c>
      <c r="E1035" s="90">
        <v>1920</v>
      </c>
      <c r="F1035" s="90" t="s">
        <v>1454</v>
      </c>
      <c r="G1035" s="90"/>
      <c r="H1035" s="93"/>
      <c r="I1035" s="93"/>
      <c r="J1035" s="93"/>
      <c r="K1035" s="95"/>
      <c r="L1035" s="69"/>
      <c r="M1035" s="69"/>
      <c r="N1035" s="69"/>
      <c r="O1035" s="69"/>
      <c r="P1035" s="78"/>
      <c r="Q1035" s="96"/>
      <c r="R1035" s="97"/>
      <c r="S1035" s="98"/>
    </row>
    <row r="1036" spans="1:19" ht="42.75">
      <c r="A1036" s="90" t="s">
        <v>50</v>
      </c>
      <c r="B1036" s="91" t="s">
        <v>1314</v>
      </c>
      <c r="C1036" s="91" t="s">
        <v>2797</v>
      </c>
      <c r="D1036" s="90">
        <v>1451</v>
      </c>
      <c r="E1036" s="90">
        <v>1791</v>
      </c>
      <c r="F1036" s="90" t="s">
        <v>1454</v>
      </c>
      <c r="G1036" s="90"/>
      <c r="H1036" s="93"/>
      <c r="I1036" s="93"/>
      <c r="J1036" s="93"/>
      <c r="K1036" s="95"/>
      <c r="L1036" s="69"/>
      <c r="M1036" s="69"/>
      <c r="N1036" s="69"/>
      <c r="O1036" s="69"/>
      <c r="P1036" s="78"/>
      <c r="Q1036" s="96"/>
      <c r="R1036" s="97"/>
      <c r="S1036" s="98"/>
    </row>
    <row r="1037" spans="1:19" ht="42.75">
      <c r="A1037" s="90" t="s">
        <v>50</v>
      </c>
      <c r="B1037" s="91" t="s">
        <v>1314</v>
      </c>
      <c r="C1037" s="91" t="s">
        <v>2798</v>
      </c>
      <c r="D1037" s="90">
        <v>4145</v>
      </c>
      <c r="E1037" s="90">
        <v>5354</v>
      </c>
      <c r="F1037" s="90" t="s">
        <v>1454</v>
      </c>
      <c r="G1037" s="90"/>
      <c r="H1037" s="93"/>
      <c r="I1037" s="93"/>
      <c r="J1037" s="93"/>
      <c r="K1037" s="95"/>
      <c r="L1037" s="69"/>
      <c r="M1037" s="69"/>
      <c r="N1037" s="69"/>
      <c r="O1037" s="69"/>
      <c r="P1037" s="78"/>
      <c r="Q1037" s="96"/>
      <c r="R1037" s="97"/>
      <c r="S1037" s="98"/>
    </row>
    <row r="1038" spans="1:19" ht="42.75">
      <c r="A1038" s="90" t="s">
        <v>50</v>
      </c>
      <c r="B1038" s="91" t="s">
        <v>1314</v>
      </c>
      <c r="C1038" s="91" t="s">
        <v>2799</v>
      </c>
      <c r="D1038" s="90">
        <v>7191</v>
      </c>
      <c r="E1038" s="90">
        <v>8030</v>
      </c>
      <c r="F1038" s="90" t="s">
        <v>1454</v>
      </c>
      <c r="G1038" s="90"/>
      <c r="H1038" s="93"/>
      <c r="I1038" s="93"/>
      <c r="J1038" s="93"/>
      <c r="K1038" s="95"/>
      <c r="L1038" s="69"/>
      <c r="M1038" s="69"/>
      <c r="N1038" s="69"/>
      <c r="O1038" s="69"/>
      <c r="P1038" s="78"/>
      <c r="Q1038" s="96"/>
      <c r="R1038" s="97"/>
      <c r="S1038" s="98"/>
    </row>
    <row r="1039" spans="1:19" ht="42.75">
      <c r="A1039" s="90" t="s">
        <v>50</v>
      </c>
      <c r="B1039" s="91" t="s">
        <v>1314</v>
      </c>
      <c r="C1039" s="91" t="s">
        <v>2800</v>
      </c>
      <c r="D1039" s="90">
        <v>2057</v>
      </c>
      <c r="E1039" s="90">
        <v>2202</v>
      </c>
      <c r="F1039" s="90" t="s">
        <v>1454</v>
      </c>
      <c r="G1039" s="90"/>
      <c r="H1039" s="93"/>
      <c r="I1039" s="93"/>
      <c r="J1039" s="93"/>
      <c r="K1039" s="95"/>
      <c r="L1039" s="69"/>
      <c r="M1039" s="69"/>
      <c r="N1039" s="69"/>
      <c r="O1039" s="69"/>
      <c r="P1039" s="78"/>
      <c r="Q1039" s="96"/>
      <c r="R1039" s="97"/>
      <c r="S1039" s="98"/>
    </row>
    <row r="1040" spans="1:19" ht="42.75">
      <c r="A1040" s="90" t="s">
        <v>50</v>
      </c>
      <c r="B1040" s="91" t="s">
        <v>1314</v>
      </c>
      <c r="C1040" s="91" t="s">
        <v>2801</v>
      </c>
      <c r="D1040" s="90">
        <v>4480</v>
      </c>
      <c r="E1040" s="90">
        <v>4344</v>
      </c>
      <c r="F1040" s="90" t="s">
        <v>1454</v>
      </c>
      <c r="G1040" s="90"/>
      <c r="H1040" s="93"/>
      <c r="I1040" s="93"/>
      <c r="J1040" s="93"/>
      <c r="K1040" s="95"/>
      <c r="L1040" s="69"/>
      <c r="M1040" s="69"/>
      <c r="N1040" s="69"/>
      <c r="O1040" s="69"/>
      <c r="P1040" s="78"/>
      <c r="Q1040" s="96"/>
      <c r="R1040" s="97"/>
      <c r="S1040" s="98"/>
    </row>
    <row r="1041" spans="1:19" ht="42.75">
      <c r="A1041" s="90" t="s">
        <v>50</v>
      </c>
      <c r="B1041" s="91" t="s">
        <v>1314</v>
      </c>
      <c r="C1041" s="91" t="s">
        <v>2802</v>
      </c>
      <c r="D1041" s="90">
        <v>1421</v>
      </c>
      <c r="E1041" s="90">
        <v>1281</v>
      </c>
      <c r="F1041" s="90" t="s">
        <v>1454</v>
      </c>
      <c r="G1041" s="90"/>
      <c r="H1041" s="93"/>
      <c r="I1041" s="122"/>
      <c r="J1041" s="122"/>
      <c r="K1041" s="95"/>
      <c r="L1041" s="69"/>
      <c r="M1041" s="69"/>
      <c r="N1041" s="69"/>
      <c r="O1041" s="69"/>
      <c r="P1041" s="78"/>
      <c r="Q1041" s="96"/>
      <c r="R1041" s="97"/>
      <c r="S1041" s="98"/>
    </row>
    <row r="1042" spans="1:19" ht="42.75">
      <c r="A1042" s="90" t="s">
        <v>50</v>
      </c>
      <c r="B1042" s="91" t="s">
        <v>1314</v>
      </c>
      <c r="C1042" s="91" t="s">
        <v>2803</v>
      </c>
      <c r="D1042" s="90">
        <v>7076</v>
      </c>
      <c r="E1042" s="90">
        <v>7405</v>
      </c>
      <c r="F1042" s="90" t="s">
        <v>1434</v>
      </c>
      <c r="G1042" s="90">
        <v>2024</v>
      </c>
      <c r="H1042" s="147">
        <v>45316</v>
      </c>
      <c r="I1042" s="100">
        <v>45321</v>
      </c>
      <c r="J1042" s="161" t="s">
        <v>2785</v>
      </c>
      <c r="K1042" s="119">
        <v>45348</v>
      </c>
      <c r="L1042" s="69" t="s">
        <v>75</v>
      </c>
      <c r="M1042" s="69"/>
      <c r="N1042" s="69"/>
      <c r="O1042" s="69" t="s">
        <v>1436</v>
      </c>
      <c r="P1042" s="78"/>
      <c r="Q1042" s="96">
        <v>45349</v>
      </c>
      <c r="R1042" s="97" t="s">
        <v>1481</v>
      </c>
      <c r="S1042" s="98" t="s">
        <v>2804</v>
      </c>
    </row>
    <row r="1043" spans="1:19" ht="42.75">
      <c r="A1043" s="90" t="s">
        <v>50</v>
      </c>
      <c r="B1043" s="91" t="s">
        <v>1314</v>
      </c>
      <c r="C1043" s="91" t="s">
        <v>2805</v>
      </c>
      <c r="D1043" s="90">
        <v>886</v>
      </c>
      <c r="E1043" s="90">
        <v>777</v>
      </c>
      <c r="F1043" s="90" t="s">
        <v>1454</v>
      </c>
      <c r="G1043" s="90"/>
      <c r="H1043" s="93"/>
      <c r="I1043" s="93"/>
      <c r="J1043" s="93"/>
      <c r="K1043" s="95"/>
      <c r="L1043" s="69"/>
      <c r="M1043" s="69"/>
      <c r="N1043" s="69"/>
      <c r="O1043" s="69"/>
      <c r="P1043" s="78"/>
      <c r="Q1043" s="96"/>
      <c r="R1043" s="97"/>
      <c r="S1043" s="98"/>
    </row>
    <row r="1044" spans="1:19" ht="42.75">
      <c r="A1044" s="90" t="s">
        <v>50</v>
      </c>
      <c r="B1044" s="91" t="s">
        <v>1314</v>
      </c>
      <c r="C1044" s="91" t="s">
        <v>2806</v>
      </c>
      <c r="D1044" s="90">
        <v>1548</v>
      </c>
      <c r="E1044" s="90">
        <v>1516</v>
      </c>
      <c r="F1044" s="90" t="s">
        <v>1454</v>
      </c>
      <c r="G1044" s="90"/>
      <c r="H1044" s="93"/>
      <c r="I1044" s="93"/>
      <c r="J1044" s="93"/>
      <c r="K1044" s="95"/>
      <c r="L1044" s="69"/>
      <c r="M1044" s="69"/>
      <c r="N1044" s="69"/>
      <c r="O1044" s="69"/>
      <c r="P1044" s="78"/>
      <c r="Q1044" s="96"/>
      <c r="R1044" s="97"/>
      <c r="S1044" s="98"/>
    </row>
    <row r="1045" spans="1:19" ht="42.75">
      <c r="A1045" s="90" t="s">
        <v>50</v>
      </c>
      <c r="B1045" s="91" t="s">
        <v>1314</v>
      </c>
      <c r="C1045" s="91" t="s">
        <v>2807</v>
      </c>
      <c r="D1045" s="90">
        <v>2313</v>
      </c>
      <c r="E1045" s="90">
        <v>2662</v>
      </c>
      <c r="F1045" s="90" t="s">
        <v>1454</v>
      </c>
      <c r="G1045" s="90"/>
      <c r="H1045" s="93"/>
      <c r="I1045" s="93"/>
      <c r="J1045" s="93"/>
      <c r="K1045" s="95"/>
      <c r="L1045" s="69"/>
      <c r="M1045" s="69"/>
      <c r="N1045" s="69"/>
      <c r="O1045" s="69"/>
      <c r="P1045" s="78"/>
      <c r="Q1045" s="96"/>
      <c r="R1045" s="97"/>
      <c r="S1045" s="98"/>
    </row>
    <row r="1046" spans="1:19" ht="42.75">
      <c r="A1046" s="90" t="s">
        <v>50</v>
      </c>
      <c r="B1046" s="91" t="s">
        <v>1314</v>
      </c>
      <c r="C1046" s="91" t="s">
        <v>2808</v>
      </c>
      <c r="D1046" s="90">
        <v>4001</v>
      </c>
      <c r="E1046" s="90">
        <v>3639</v>
      </c>
      <c r="F1046" s="90" t="s">
        <v>1434</v>
      </c>
      <c r="G1046" s="90">
        <v>2024</v>
      </c>
      <c r="H1046" s="101">
        <v>45595</v>
      </c>
      <c r="I1046" s="101">
        <v>45603</v>
      </c>
      <c r="J1046" s="94" t="s">
        <v>2809</v>
      </c>
      <c r="K1046" s="100">
        <v>45612</v>
      </c>
      <c r="L1046" s="69" t="s">
        <v>84</v>
      </c>
      <c r="M1046" s="69" t="s">
        <v>4</v>
      </c>
      <c r="N1046" s="69" t="s">
        <v>101</v>
      </c>
      <c r="O1046" s="69" t="s">
        <v>1436</v>
      </c>
      <c r="P1046" s="78"/>
      <c r="Q1046" s="96">
        <v>45614</v>
      </c>
      <c r="R1046" s="97" t="s">
        <v>1481</v>
      </c>
      <c r="S1046" s="98"/>
    </row>
    <row r="1047" spans="1:19" ht="42.75">
      <c r="A1047" s="90" t="s">
        <v>50</v>
      </c>
      <c r="B1047" s="91" t="s">
        <v>1314</v>
      </c>
      <c r="C1047" s="91" t="s">
        <v>2810</v>
      </c>
      <c r="D1047" s="90">
        <v>2081</v>
      </c>
      <c r="E1047" s="90">
        <v>2340</v>
      </c>
      <c r="F1047" s="90" t="s">
        <v>1454</v>
      </c>
      <c r="G1047" s="90"/>
      <c r="H1047" s="93"/>
      <c r="I1047" s="93"/>
      <c r="J1047" s="93"/>
      <c r="K1047" s="95"/>
      <c r="L1047" s="69"/>
      <c r="M1047" s="69"/>
      <c r="N1047" s="69"/>
      <c r="O1047" s="69"/>
      <c r="P1047" s="78"/>
      <c r="Q1047" s="96"/>
      <c r="R1047" s="97"/>
      <c r="S1047" s="98"/>
    </row>
    <row r="1048" spans="1:19" ht="42.75">
      <c r="A1048" s="90" t="s">
        <v>50</v>
      </c>
      <c r="B1048" s="91" t="s">
        <v>1314</v>
      </c>
      <c r="C1048" s="91" t="s">
        <v>2811</v>
      </c>
      <c r="D1048" s="90">
        <v>1757</v>
      </c>
      <c r="E1048" s="90">
        <v>1836</v>
      </c>
      <c r="F1048" s="90" t="s">
        <v>1454</v>
      </c>
      <c r="G1048" s="90"/>
      <c r="H1048" s="93"/>
      <c r="I1048" s="93"/>
      <c r="J1048" s="93"/>
      <c r="K1048" s="95"/>
      <c r="L1048" s="69"/>
      <c r="M1048" s="69"/>
      <c r="N1048" s="69"/>
      <c r="O1048" s="69"/>
      <c r="P1048" s="78"/>
      <c r="Q1048" s="96"/>
      <c r="R1048" s="97"/>
      <c r="S1048" s="98"/>
    </row>
    <row r="1049" spans="1:19" ht="42.75">
      <c r="A1049" s="90" t="s">
        <v>50</v>
      </c>
      <c r="B1049" s="91" t="s">
        <v>1314</v>
      </c>
      <c r="C1049" s="91" t="s">
        <v>2812</v>
      </c>
      <c r="D1049" s="90">
        <v>3344</v>
      </c>
      <c r="E1049" s="90">
        <v>3585</v>
      </c>
      <c r="F1049" s="90" t="s">
        <v>1454</v>
      </c>
      <c r="G1049" s="90"/>
      <c r="H1049" s="93"/>
      <c r="I1049" s="93"/>
      <c r="J1049" s="93"/>
      <c r="K1049" s="95"/>
      <c r="L1049" s="69"/>
      <c r="M1049" s="69"/>
      <c r="N1049" s="69"/>
      <c r="O1049" s="69"/>
      <c r="P1049" s="78"/>
      <c r="Q1049" s="96"/>
      <c r="R1049" s="97"/>
      <c r="S1049" s="98"/>
    </row>
    <row r="1050" spans="1:19" ht="42.75">
      <c r="A1050" s="90" t="s">
        <v>50</v>
      </c>
      <c r="B1050" s="91" t="s">
        <v>1314</v>
      </c>
      <c r="C1050" s="91" t="s">
        <v>2813</v>
      </c>
      <c r="D1050" s="90">
        <v>5056</v>
      </c>
      <c r="E1050" s="90">
        <v>6210</v>
      </c>
      <c r="F1050" s="90" t="s">
        <v>1454</v>
      </c>
      <c r="G1050" s="90"/>
      <c r="H1050" s="93"/>
      <c r="I1050" s="93"/>
      <c r="J1050" s="93"/>
      <c r="K1050" s="95"/>
      <c r="L1050" s="69"/>
      <c r="M1050" s="69"/>
      <c r="N1050" s="69"/>
      <c r="O1050" s="69"/>
      <c r="P1050" s="78"/>
      <c r="Q1050" s="96"/>
      <c r="R1050" s="97"/>
      <c r="S1050" s="98"/>
    </row>
    <row r="1051" spans="1:19" ht="42.75">
      <c r="A1051" s="90" t="s">
        <v>50</v>
      </c>
      <c r="B1051" s="91" t="s">
        <v>1314</v>
      </c>
      <c r="C1051" s="91" t="s">
        <v>2814</v>
      </c>
      <c r="D1051" s="90">
        <v>2366</v>
      </c>
      <c r="E1051" s="90">
        <v>2715</v>
      </c>
      <c r="F1051" s="90" t="s">
        <v>1454</v>
      </c>
      <c r="G1051" s="90"/>
      <c r="H1051" s="93"/>
      <c r="I1051" s="93"/>
      <c r="J1051" s="122"/>
      <c r="K1051" s="95"/>
      <c r="L1051" s="69"/>
      <c r="M1051" s="69"/>
      <c r="N1051" s="69"/>
      <c r="O1051" s="69"/>
      <c r="P1051" s="78"/>
      <c r="Q1051" s="96"/>
      <c r="R1051" s="97"/>
      <c r="S1051" s="98"/>
    </row>
    <row r="1052" spans="1:19" ht="42.75">
      <c r="A1052" s="90" t="s">
        <v>50</v>
      </c>
      <c r="B1052" s="91" t="s">
        <v>1314</v>
      </c>
      <c r="C1052" s="91" t="s">
        <v>2815</v>
      </c>
      <c r="D1052" s="90">
        <v>4670</v>
      </c>
      <c r="E1052" s="90">
        <v>6148</v>
      </c>
      <c r="F1052" s="90" t="s">
        <v>1434</v>
      </c>
      <c r="G1052" s="90">
        <v>2024</v>
      </c>
      <c r="H1052" s="101">
        <v>45595</v>
      </c>
      <c r="I1052" s="164">
        <v>45603</v>
      </c>
      <c r="J1052" s="165" t="s">
        <v>2816</v>
      </c>
      <c r="K1052" s="119">
        <v>45613</v>
      </c>
      <c r="L1052" s="69" t="s">
        <v>84</v>
      </c>
      <c r="M1052" s="69" t="s">
        <v>1589</v>
      </c>
      <c r="N1052" s="69" t="s">
        <v>1676</v>
      </c>
      <c r="O1052" s="69" t="s">
        <v>1436</v>
      </c>
      <c r="P1052" s="78"/>
      <c r="Q1052" s="96">
        <v>45614</v>
      </c>
      <c r="R1052" s="97" t="s">
        <v>1481</v>
      </c>
      <c r="S1052" s="98"/>
    </row>
    <row r="1053" spans="1:19" ht="42.75">
      <c r="A1053" s="90" t="s">
        <v>50</v>
      </c>
      <c r="B1053" s="91" t="s">
        <v>1314</v>
      </c>
      <c r="C1053" s="91" t="s">
        <v>2817</v>
      </c>
      <c r="D1053" s="90">
        <v>3314</v>
      </c>
      <c r="E1053" s="90">
        <v>3208</v>
      </c>
      <c r="F1053" s="90" t="s">
        <v>1434</v>
      </c>
      <c r="G1053" s="90">
        <v>2024</v>
      </c>
      <c r="H1053" s="147">
        <v>45421</v>
      </c>
      <c r="I1053" s="100">
        <v>45425</v>
      </c>
      <c r="J1053" s="166" t="s">
        <v>2818</v>
      </c>
      <c r="K1053" s="119">
        <v>45429</v>
      </c>
      <c r="L1053" s="69" t="s">
        <v>78</v>
      </c>
      <c r="M1053" s="69"/>
      <c r="N1053" s="69"/>
      <c r="O1053" s="69" t="s">
        <v>1436</v>
      </c>
      <c r="P1053" s="78"/>
      <c r="Q1053" s="96">
        <v>45432</v>
      </c>
      <c r="R1053" s="97"/>
      <c r="S1053" s="98"/>
    </row>
    <row r="1054" spans="1:19" ht="42.75">
      <c r="A1054" s="90" t="s">
        <v>50</v>
      </c>
      <c r="B1054" s="91" t="s">
        <v>1314</v>
      </c>
      <c r="C1054" s="91" t="s">
        <v>2819</v>
      </c>
      <c r="D1054" s="90">
        <v>4317</v>
      </c>
      <c r="E1054" s="90">
        <v>5501</v>
      </c>
      <c r="F1054" s="90" t="s">
        <v>1434</v>
      </c>
      <c r="G1054" s="90">
        <v>2024</v>
      </c>
      <c r="H1054" s="147">
        <v>45316</v>
      </c>
      <c r="I1054" s="100">
        <v>45321</v>
      </c>
      <c r="J1054" s="161" t="s">
        <v>2785</v>
      </c>
      <c r="K1054" s="163"/>
      <c r="L1054" s="69" t="s">
        <v>75</v>
      </c>
      <c r="M1054" s="69"/>
      <c r="N1054" s="69"/>
      <c r="O1054" s="69" t="s">
        <v>1436</v>
      </c>
      <c r="P1054" s="78"/>
      <c r="Q1054" s="96"/>
      <c r="R1054" s="97"/>
      <c r="S1054" s="98"/>
    </row>
    <row r="1055" spans="1:19" ht="42.75">
      <c r="A1055" s="90" t="s">
        <v>50</v>
      </c>
      <c r="B1055" s="91" t="s">
        <v>1314</v>
      </c>
      <c r="C1055" s="91" t="s">
        <v>2820</v>
      </c>
      <c r="D1055" s="90">
        <v>3378</v>
      </c>
      <c r="E1055" s="90">
        <v>3623</v>
      </c>
      <c r="F1055" s="90" t="s">
        <v>1454</v>
      </c>
      <c r="G1055" s="90"/>
      <c r="H1055" s="93"/>
      <c r="I1055" s="93"/>
      <c r="J1055" s="93"/>
      <c r="K1055" s="95"/>
      <c r="L1055" s="69"/>
      <c r="M1055" s="69"/>
      <c r="N1055" s="69"/>
      <c r="O1055" s="69"/>
      <c r="P1055" s="78"/>
      <c r="Q1055" s="96"/>
      <c r="R1055" s="97"/>
      <c r="S1055" s="98"/>
    </row>
    <row r="1056" spans="1:19" ht="42.75">
      <c r="A1056" s="90" t="s">
        <v>50</v>
      </c>
      <c r="B1056" s="91" t="s">
        <v>1314</v>
      </c>
      <c r="C1056" s="91" t="s">
        <v>2821</v>
      </c>
      <c r="D1056" s="90">
        <v>4492</v>
      </c>
      <c r="E1056" s="90">
        <v>4242</v>
      </c>
      <c r="F1056" s="90" t="s">
        <v>1454</v>
      </c>
      <c r="G1056" s="90"/>
      <c r="H1056" s="93"/>
      <c r="I1056" s="93"/>
      <c r="J1056" s="93"/>
      <c r="K1056" s="95"/>
      <c r="L1056" s="69"/>
      <c r="M1056" s="69"/>
      <c r="N1056" s="69"/>
      <c r="O1056" s="69"/>
      <c r="P1056" s="78"/>
      <c r="Q1056" s="96"/>
      <c r="R1056" s="97"/>
      <c r="S1056" s="98"/>
    </row>
    <row r="1057" spans="1:19" ht="42.75">
      <c r="A1057" s="90" t="s">
        <v>50</v>
      </c>
      <c r="B1057" s="91" t="s">
        <v>1314</v>
      </c>
      <c r="C1057" s="91" t="s">
        <v>2822</v>
      </c>
      <c r="D1057" s="90">
        <v>1123</v>
      </c>
      <c r="E1057" s="90">
        <v>1010</v>
      </c>
      <c r="F1057" s="90" t="s">
        <v>1454</v>
      </c>
      <c r="G1057" s="90"/>
      <c r="H1057" s="93"/>
      <c r="I1057" s="93"/>
      <c r="J1057" s="93"/>
      <c r="K1057" s="95"/>
      <c r="L1057" s="69"/>
      <c r="M1057" s="69"/>
      <c r="N1057" s="69"/>
      <c r="O1057" s="69"/>
      <c r="P1057" s="78"/>
      <c r="Q1057" s="96"/>
      <c r="R1057" s="97"/>
      <c r="S1057" s="98"/>
    </row>
    <row r="1058" spans="1:19" ht="42.75">
      <c r="A1058" s="90" t="s">
        <v>50</v>
      </c>
      <c r="B1058" s="91" t="s">
        <v>1314</v>
      </c>
      <c r="C1058" s="91" t="s">
        <v>2823</v>
      </c>
      <c r="D1058" s="90">
        <v>2457</v>
      </c>
      <c r="E1058" s="90">
        <v>2478</v>
      </c>
      <c r="F1058" s="90" t="s">
        <v>1454</v>
      </c>
      <c r="G1058" s="90"/>
      <c r="H1058" s="93"/>
      <c r="I1058" s="93"/>
      <c r="J1058" s="93"/>
      <c r="K1058" s="95"/>
      <c r="L1058" s="69"/>
      <c r="M1058" s="69"/>
      <c r="N1058" s="69"/>
      <c r="O1058" s="69"/>
      <c r="P1058" s="78"/>
      <c r="Q1058" s="96"/>
      <c r="R1058" s="97"/>
      <c r="S1058" s="98"/>
    </row>
    <row r="1059" spans="1:19" ht="42.75">
      <c r="A1059" s="90" t="s">
        <v>50</v>
      </c>
      <c r="B1059" s="91" t="s">
        <v>1314</v>
      </c>
      <c r="C1059" s="91" t="s">
        <v>2824</v>
      </c>
      <c r="D1059" s="90">
        <v>2288</v>
      </c>
      <c r="E1059" s="90">
        <v>2750</v>
      </c>
      <c r="F1059" s="90" t="s">
        <v>1454</v>
      </c>
      <c r="G1059" s="90"/>
      <c r="H1059" s="93"/>
      <c r="I1059" s="93"/>
      <c r="J1059" s="93"/>
      <c r="K1059" s="95"/>
      <c r="L1059" s="69"/>
      <c r="M1059" s="69"/>
      <c r="N1059" s="69"/>
      <c r="O1059" s="69"/>
      <c r="P1059" s="78"/>
      <c r="Q1059" s="96"/>
      <c r="R1059" s="97"/>
      <c r="S1059" s="98"/>
    </row>
    <row r="1060" spans="1:19" ht="42.75">
      <c r="A1060" s="90" t="s">
        <v>50</v>
      </c>
      <c r="B1060" s="91" t="s">
        <v>1314</v>
      </c>
      <c r="C1060" s="91" t="s">
        <v>2825</v>
      </c>
      <c r="D1060" s="90">
        <v>5473</v>
      </c>
      <c r="E1060" s="90">
        <v>5904</v>
      </c>
      <c r="F1060" s="90" t="s">
        <v>1454</v>
      </c>
      <c r="G1060" s="90"/>
      <c r="H1060" s="93"/>
      <c r="I1060" s="93"/>
      <c r="J1060" s="93"/>
      <c r="K1060" s="95"/>
      <c r="L1060" s="69"/>
      <c r="M1060" s="69"/>
      <c r="N1060" s="69"/>
      <c r="O1060" s="69"/>
      <c r="P1060" s="78"/>
      <c r="Q1060" s="96"/>
      <c r="R1060" s="97"/>
      <c r="S1060" s="98"/>
    </row>
    <row r="1061" spans="1:19" ht="42.75">
      <c r="A1061" s="90" t="s">
        <v>50</v>
      </c>
      <c r="B1061" s="91" t="s">
        <v>1314</v>
      </c>
      <c r="C1061" s="91" t="s">
        <v>2826</v>
      </c>
      <c r="D1061" s="90">
        <v>654</v>
      </c>
      <c r="E1061" s="90">
        <v>387</v>
      </c>
      <c r="F1061" s="90" t="s">
        <v>1454</v>
      </c>
      <c r="G1061" s="90"/>
      <c r="H1061" s="93"/>
      <c r="I1061" s="93"/>
      <c r="J1061" s="93"/>
      <c r="K1061" s="95"/>
      <c r="L1061" s="69"/>
      <c r="M1061" s="69"/>
      <c r="N1061" s="69"/>
      <c r="O1061" s="69"/>
      <c r="P1061" s="78"/>
      <c r="Q1061" s="96"/>
      <c r="R1061" s="97"/>
      <c r="S1061" s="98"/>
    </row>
    <row r="1062" spans="1:19" ht="42.75">
      <c r="A1062" s="90" t="s">
        <v>50</v>
      </c>
      <c r="B1062" s="91" t="s">
        <v>1314</v>
      </c>
      <c r="C1062" s="91" t="s">
        <v>2827</v>
      </c>
      <c r="D1062" s="90">
        <v>4361</v>
      </c>
      <c r="E1062" s="90">
        <v>4360</v>
      </c>
      <c r="F1062" s="90" t="s">
        <v>1454</v>
      </c>
      <c r="G1062" s="90"/>
      <c r="H1062" s="93"/>
      <c r="I1062" s="122"/>
      <c r="J1062" s="122"/>
      <c r="K1062" s="95"/>
      <c r="L1062" s="69"/>
      <c r="M1062" s="69"/>
      <c r="N1062" s="69"/>
      <c r="O1062" s="69"/>
      <c r="P1062" s="78"/>
      <c r="Q1062" s="96"/>
      <c r="R1062" s="97"/>
      <c r="S1062" s="98"/>
    </row>
    <row r="1063" spans="1:19" ht="42.75">
      <c r="A1063" s="90" t="s">
        <v>50</v>
      </c>
      <c r="B1063" s="91" t="s">
        <v>1314</v>
      </c>
      <c r="C1063" s="91" t="s">
        <v>2828</v>
      </c>
      <c r="D1063" s="90">
        <v>4018</v>
      </c>
      <c r="E1063" s="90">
        <v>4298</v>
      </c>
      <c r="F1063" s="90" t="s">
        <v>1434</v>
      </c>
      <c r="G1063" s="90">
        <v>2024</v>
      </c>
      <c r="H1063" s="147">
        <v>45316</v>
      </c>
      <c r="I1063" s="100">
        <v>45321</v>
      </c>
      <c r="J1063" s="161" t="s">
        <v>2785</v>
      </c>
      <c r="K1063" s="163"/>
      <c r="L1063" s="69" t="s">
        <v>75</v>
      </c>
      <c r="M1063" s="69"/>
      <c r="N1063" s="69"/>
      <c r="O1063" s="69" t="s">
        <v>1436</v>
      </c>
      <c r="P1063" s="78"/>
      <c r="Q1063" s="96"/>
      <c r="R1063" s="97"/>
      <c r="S1063" s="98"/>
    </row>
    <row r="1064" spans="1:19" ht="42.75">
      <c r="A1064" s="90" t="s">
        <v>50</v>
      </c>
      <c r="B1064" s="91" t="s">
        <v>1314</v>
      </c>
      <c r="C1064" s="91" t="s">
        <v>679</v>
      </c>
      <c r="D1064" s="90">
        <v>2997</v>
      </c>
      <c r="E1064" s="90">
        <v>3261</v>
      </c>
      <c r="F1064" s="90" t="s">
        <v>1434</v>
      </c>
      <c r="G1064" s="90">
        <v>2024</v>
      </c>
      <c r="H1064" s="101">
        <v>45558</v>
      </c>
      <c r="I1064" s="101">
        <v>45560</v>
      </c>
      <c r="J1064" s="94" t="s">
        <v>2829</v>
      </c>
      <c r="K1064" s="100">
        <v>45569</v>
      </c>
      <c r="L1064" s="69" t="s">
        <v>83</v>
      </c>
      <c r="M1064" s="69" t="s">
        <v>4</v>
      </c>
      <c r="N1064" s="69" t="s">
        <v>101</v>
      </c>
      <c r="O1064" s="69" t="s">
        <v>1436</v>
      </c>
      <c r="P1064" s="78"/>
      <c r="Q1064" s="115">
        <v>45569</v>
      </c>
      <c r="R1064" s="65" t="s">
        <v>1481</v>
      </c>
      <c r="S1064" s="89"/>
    </row>
    <row r="1065" spans="1:19" ht="42.75">
      <c r="A1065" s="90" t="s">
        <v>50</v>
      </c>
      <c r="B1065" s="91" t="s">
        <v>1314</v>
      </c>
      <c r="C1065" s="91" t="s">
        <v>2830</v>
      </c>
      <c r="D1065" s="90">
        <v>2221</v>
      </c>
      <c r="E1065" s="90">
        <v>2648</v>
      </c>
      <c r="F1065" s="90" t="s">
        <v>1454</v>
      </c>
      <c r="G1065" s="90"/>
      <c r="H1065" s="93"/>
      <c r="I1065" s="93"/>
      <c r="J1065" s="93"/>
      <c r="K1065" s="95"/>
      <c r="L1065" s="69"/>
      <c r="M1065" s="69"/>
      <c r="N1065" s="69"/>
      <c r="O1065" s="69"/>
      <c r="P1065" s="78"/>
      <c r="Q1065" s="96"/>
      <c r="R1065" s="97"/>
      <c r="S1065" s="98"/>
    </row>
    <row r="1066" spans="1:19" ht="42.75">
      <c r="A1066" s="90" t="s">
        <v>50</v>
      </c>
      <c r="B1066" s="91" t="s">
        <v>1314</v>
      </c>
      <c r="C1066" s="91" t="s">
        <v>2831</v>
      </c>
      <c r="D1066" s="90">
        <v>3870</v>
      </c>
      <c r="E1066" s="90">
        <v>4203</v>
      </c>
      <c r="F1066" s="90" t="s">
        <v>1454</v>
      </c>
      <c r="G1066" s="90"/>
      <c r="H1066" s="93"/>
      <c r="I1066" s="93"/>
      <c r="J1066" s="93"/>
      <c r="K1066" s="95"/>
      <c r="L1066" s="69"/>
      <c r="M1066" s="69"/>
      <c r="N1066" s="69"/>
      <c r="O1066" s="69"/>
      <c r="P1066" s="78"/>
      <c r="Q1066" s="96"/>
      <c r="R1066" s="97"/>
      <c r="S1066" s="98"/>
    </row>
    <row r="1067" spans="1:19" ht="42.75">
      <c r="A1067" s="90" t="s">
        <v>50</v>
      </c>
      <c r="B1067" s="91" t="s">
        <v>1314</v>
      </c>
      <c r="C1067" s="91" t="s">
        <v>2832</v>
      </c>
      <c r="D1067" s="90">
        <v>2815</v>
      </c>
      <c r="E1067" s="90">
        <v>3290</v>
      </c>
      <c r="F1067" s="90" t="s">
        <v>1454</v>
      </c>
      <c r="G1067" s="90"/>
      <c r="H1067" s="93"/>
      <c r="I1067" s="93"/>
      <c r="J1067" s="93"/>
      <c r="K1067" s="95"/>
      <c r="L1067" s="69"/>
      <c r="M1067" s="69"/>
      <c r="N1067" s="69"/>
      <c r="O1067" s="69"/>
      <c r="P1067" s="78"/>
      <c r="Q1067" s="96"/>
      <c r="R1067" s="97"/>
      <c r="S1067" s="98"/>
    </row>
    <row r="1068" spans="1:19" ht="42.75">
      <c r="A1068" s="90" t="s">
        <v>50</v>
      </c>
      <c r="B1068" s="91" t="s">
        <v>1314</v>
      </c>
      <c r="C1068" s="91" t="s">
        <v>2833</v>
      </c>
      <c r="D1068" s="90">
        <v>2349</v>
      </c>
      <c r="E1068" s="90">
        <v>2417</v>
      </c>
      <c r="F1068" s="90" t="s">
        <v>1454</v>
      </c>
      <c r="G1068" s="90"/>
      <c r="H1068" s="93"/>
      <c r="I1068" s="93"/>
      <c r="J1068" s="93"/>
      <c r="K1068" s="95"/>
      <c r="L1068" s="69"/>
      <c r="M1068" s="69"/>
      <c r="N1068" s="69"/>
      <c r="O1068" s="69"/>
      <c r="P1068" s="78"/>
      <c r="Q1068" s="96"/>
      <c r="R1068" s="97"/>
      <c r="S1068" s="98"/>
    </row>
    <row r="1069" spans="1:19" ht="42.75">
      <c r="A1069" s="90" t="s">
        <v>50</v>
      </c>
      <c r="B1069" s="91" t="s">
        <v>1314</v>
      </c>
      <c r="C1069" s="91" t="s">
        <v>2834</v>
      </c>
      <c r="D1069" s="90">
        <v>2605</v>
      </c>
      <c r="E1069" s="90">
        <v>2913</v>
      </c>
      <c r="F1069" s="90" t="s">
        <v>1454</v>
      </c>
      <c r="G1069" s="90"/>
      <c r="H1069" s="93"/>
      <c r="I1069" s="93"/>
      <c r="J1069" s="93"/>
      <c r="K1069" s="95"/>
      <c r="L1069" s="69"/>
      <c r="M1069" s="69"/>
      <c r="N1069" s="69"/>
      <c r="O1069" s="69"/>
      <c r="P1069" s="78"/>
      <c r="Q1069" s="96"/>
      <c r="R1069" s="97"/>
      <c r="S1069" s="98"/>
    </row>
    <row r="1070" spans="1:19" ht="42.75">
      <c r="A1070" s="90" t="s">
        <v>50</v>
      </c>
      <c r="B1070" s="91" t="s">
        <v>1314</v>
      </c>
      <c r="C1070" s="91" t="s">
        <v>2835</v>
      </c>
      <c r="D1070" s="90">
        <v>1708</v>
      </c>
      <c r="E1070" s="90">
        <v>1306</v>
      </c>
      <c r="F1070" s="90" t="s">
        <v>1454</v>
      </c>
      <c r="G1070" s="90"/>
      <c r="H1070" s="93"/>
      <c r="I1070" s="93"/>
      <c r="J1070" s="93"/>
      <c r="K1070" s="95"/>
      <c r="L1070" s="69"/>
      <c r="M1070" s="69"/>
      <c r="N1070" s="69"/>
      <c r="O1070" s="69"/>
      <c r="P1070" s="78"/>
      <c r="Q1070" s="96"/>
      <c r="R1070" s="97"/>
      <c r="S1070" s="98"/>
    </row>
    <row r="1071" spans="1:19" ht="42.75">
      <c r="A1071" s="90" t="s">
        <v>50</v>
      </c>
      <c r="B1071" s="91" t="s">
        <v>1314</v>
      </c>
      <c r="C1071" s="91" t="s">
        <v>2836</v>
      </c>
      <c r="D1071" s="90">
        <v>1949</v>
      </c>
      <c r="E1071" s="90">
        <v>1648</v>
      </c>
      <c r="F1071" s="90" t="s">
        <v>1454</v>
      </c>
      <c r="G1071" s="90"/>
      <c r="H1071" s="93"/>
      <c r="I1071" s="93"/>
      <c r="J1071" s="93"/>
      <c r="K1071" s="95"/>
      <c r="L1071" s="69"/>
      <c r="M1071" s="69"/>
      <c r="N1071" s="69"/>
      <c r="O1071" s="69"/>
      <c r="P1071" s="78"/>
      <c r="Q1071" s="96"/>
      <c r="R1071" s="97"/>
      <c r="S1071" s="98"/>
    </row>
    <row r="1072" spans="1:19" ht="42.75">
      <c r="A1072" s="90" t="s">
        <v>50</v>
      </c>
      <c r="B1072" s="91" t="s">
        <v>1314</v>
      </c>
      <c r="C1072" s="91" t="s">
        <v>2837</v>
      </c>
      <c r="D1072" s="90">
        <v>789</v>
      </c>
      <c r="E1072" s="90">
        <v>784</v>
      </c>
      <c r="F1072" s="90" t="s">
        <v>1434</v>
      </c>
      <c r="G1072" s="90">
        <v>2024</v>
      </c>
      <c r="H1072" s="101">
        <v>45609</v>
      </c>
      <c r="I1072" s="101">
        <v>45610</v>
      </c>
      <c r="J1072" s="94" t="s">
        <v>2838</v>
      </c>
      <c r="K1072" s="100">
        <v>45616</v>
      </c>
      <c r="L1072" s="69" t="s">
        <v>84</v>
      </c>
      <c r="M1072" s="69" t="s">
        <v>4</v>
      </c>
      <c r="N1072" s="69" t="s">
        <v>101</v>
      </c>
      <c r="O1072" s="69" t="s">
        <v>1436</v>
      </c>
      <c r="P1072" s="78"/>
      <c r="Q1072" s="96">
        <v>45616</v>
      </c>
      <c r="R1072" s="97" t="s">
        <v>1481</v>
      </c>
      <c r="S1072" s="98"/>
    </row>
    <row r="1073" spans="1:19" ht="42.75">
      <c r="A1073" s="90" t="s">
        <v>50</v>
      </c>
      <c r="B1073" s="91" t="s">
        <v>1314</v>
      </c>
      <c r="C1073" s="91" t="s">
        <v>2839</v>
      </c>
      <c r="D1073" s="90">
        <v>1713</v>
      </c>
      <c r="E1073" s="90">
        <v>1806</v>
      </c>
      <c r="F1073" s="90" t="s">
        <v>1454</v>
      </c>
      <c r="G1073" s="90"/>
      <c r="H1073" s="93"/>
      <c r="I1073" s="93"/>
      <c r="J1073" s="93"/>
      <c r="K1073" s="95"/>
      <c r="L1073" s="69"/>
      <c r="M1073" s="69"/>
      <c r="N1073" s="69"/>
      <c r="O1073" s="69"/>
      <c r="P1073" s="78"/>
      <c r="Q1073" s="96"/>
      <c r="R1073" s="97"/>
      <c r="S1073" s="98"/>
    </row>
    <row r="1074" spans="1:19" ht="42.75">
      <c r="A1074" s="90" t="s">
        <v>50</v>
      </c>
      <c r="B1074" s="91" t="s">
        <v>1314</v>
      </c>
      <c r="C1074" s="91" t="s">
        <v>520</v>
      </c>
      <c r="D1074" s="90">
        <v>4996</v>
      </c>
      <c r="E1074" s="90">
        <v>6277</v>
      </c>
      <c r="F1074" s="90" t="s">
        <v>1454</v>
      </c>
      <c r="G1074" s="90"/>
      <c r="H1074" s="93"/>
      <c r="I1074" s="93"/>
      <c r="J1074" s="93"/>
      <c r="K1074" s="95"/>
      <c r="L1074" s="69"/>
      <c r="M1074" s="69"/>
      <c r="N1074" s="69"/>
      <c r="O1074" s="69"/>
      <c r="P1074" s="78"/>
      <c r="Q1074" s="96"/>
      <c r="R1074" s="97"/>
      <c r="S1074" s="98"/>
    </row>
    <row r="1075" spans="1:19" ht="42.75">
      <c r="A1075" s="90" t="s">
        <v>50</v>
      </c>
      <c r="B1075" s="91" t="s">
        <v>1314</v>
      </c>
      <c r="C1075" s="91" t="s">
        <v>2840</v>
      </c>
      <c r="D1075" s="90">
        <v>4442</v>
      </c>
      <c r="E1075" s="90">
        <v>4684</v>
      </c>
      <c r="F1075" s="90" t="s">
        <v>1434</v>
      </c>
      <c r="G1075" s="90">
        <v>2024</v>
      </c>
      <c r="H1075" s="101">
        <v>45561</v>
      </c>
      <c r="I1075" s="101">
        <v>45567</v>
      </c>
      <c r="J1075" s="94" t="s">
        <v>2841</v>
      </c>
      <c r="K1075" s="100">
        <v>45574</v>
      </c>
      <c r="L1075" s="69" t="s">
        <v>83</v>
      </c>
      <c r="M1075" s="69" t="s">
        <v>4</v>
      </c>
      <c r="N1075" s="69" t="s">
        <v>101</v>
      </c>
      <c r="O1075" s="69" t="s">
        <v>1436</v>
      </c>
      <c r="P1075" s="78"/>
      <c r="Q1075" s="115">
        <v>45574</v>
      </c>
      <c r="R1075" s="65" t="s">
        <v>1481</v>
      </c>
      <c r="S1075" s="89"/>
    </row>
    <row r="1076" spans="1:19" ht="42.75">
      <c r="A1076" s="90" t="s">
        <v>50</v>
      </c>
      <c r="B1076" s="91" t="s">
        <v>1314</v>
      </c>
      <c r="C1076" s="91" t="s">
        <v>2842</v>
      </c>
      <c r="D1076" s="90">
        <v>6793</v>
      </c>
      <c r="E1076" s="90">
        <v>7785</v>
      </c>
      <c r="F1076" s="90" t="s">
        <v>1434</v>
      </c>
      <c r="G1076" s="90">
        <v>2024</v>
      </c>
      <c r="H1076" s="101">
        <v>45561</v>
      </c>
      <c r="I1076" s="101">
        <v>45567</v>
      </c>
      <c r="J1076" s="94" t="s">
        <v>2843</v>
      </c>
      <c r="K1076" s="100">
        <v>45574</v>
      </c>
      <c r="L1076" s="69" t="s">
        <v>83</v>
      </c>
      <c r="M1076" s="69" t="s">
        <v>4</v>
      </c>
      <c r="N1076" s="69" t="s">
        <v>101</v>
      </c>
      <c r="O1076" s="69" t="s">
        <v>1436</v>
      </c>
      <c r="P1076" s="78"/>
      <c r="Q1076" s="115">
        <v>45574</v>
      </c>
      <c r="R1076" s="65" t="s">
        <v>1481</v>
      </c>
      <c r="S1076" s="89"/>
    </row>
    <row r="1077" spans="1:19" ht="42.75">
      <c r="A1077" s="90" t="s">
        <v>50</v>
      </c>
      <c r="B1077" s="91" t="s">
        <v>1314</v>
      </c>
      <c r="C1077" s="91" t="s">
        <v>2844</v>
      </c>
      <c r="D1077" s="90">
        <v>6687</v>
      </c>
      <c r="E1077" s="90">
        <v>8772</v>
      </c>
      <c r="F1077" s="90" t="s">
        <v>1454</v>
      </c>
      <c r="G1077" s="90"/>
      <c r="H1077" s="93"/>
      <c r="I1077" s="93"/>
      <c r="J1077" s="93"/>
      <c r="K1077" s="95"/>
      <c r="L1077" s="69"/>
      <c r="M1077" s="69"/>
      <c r="N1077" s="69"/>
      <c r="O1077" s="69"/>
      <c r="P1077" s="78"/>
      <c r="Q1077" s="96"/>
      <c r="R1077" s="97"/>
      <c r="S1077" s="98"/>
    </row>
    <row r="1078" spans="1:19" ht="42.75">
      <c r="A1078" s="90" t="s">
        <v>50</v>
      </c>
      <c r="B1078" s="91" t="s">
        <v>1314</v>
      </c>
      <c r="C1078" s="91" t="s">
        <v>2845</v>
      </c>
      <c r="D1078" s="90">
        <v>1128</v>
      </c>
      <c r="E1078" s="90">
        <v>944</v>
      </c>
      <c r="F1078" s="90" t="s">
        <v>1454</v>
      </c>
      <c r="G1078" s="90"/>
      <c r="H1078" s="93"/>
      <c r="I1078" s="93"/>
      <c r="J1078" s="93"/>
      <c r="K1078" s="95"/>
      <c r="L1078" s="69"/>
      <c r="M1078" s="69"/>
      <c r="N1078" s="69"/>
      <c r="O1078" s="69"/>
      <c r="P1078" s="78"/>
      <c r="Q1078" s="96"/>
      <c r="R1078" s="97"/>
      <c r="S1078" s="98"/>
    </row>
    <row r="1079" spans="1:19" ht="42.75">
      <c r="A1079" s="90" t="s">
        <v>50</v>
      </c>
      <c r="B1079" s="91" t="s">
        <v>1314</v>
      </c>
      <c r="C1079" s="91" t="s">
        <v>2846</v>
      </c>
      <c r="D1079" s="90">
        <v>1356</v>
      </c>
      <c r="E1079" s="90">
        <v>1314</v>
      </c>
      <c r="F1079" s="90" t="s">
        <v>1454</v>
      </c>
      <c r="G1079" s="90"/>
      <c r="H1079" s="93"/>
      <c r="I1079" s="93"/>
      <c r="J1079" s="93"/>
      <c r="K1079" s="95"/>
      <c r="L1079" s="69"/>
      <c r="M1079" s="69"/>
      <c r="N1079" s="69"/>
      <c r="O1079" s="69"/>
      <c r="P1079" s="78"/>
      <c r="Q1079" s="96"/>
      <c r="R1079" s="97"/>
      <c r="S1079" s="98"/>
    </row>
    <row r="1080" spans="1:19" ht="42.75">
      <c r="A1080" s="90" t="s">
        <v>50</v>
      </c>
      <c r="B1080" s="91" t="s">
        <v>1314</v>
      </c>
      <c r="C1080" s="91" t="s">
        <v>2847</v>
      </c>
      <c r="D1080" s="90">
        <v>1331</v>
      </c>
      <c r="E1080" s="90">
        <v>1298</v>
      </c>
      <c r="F1080" s="90" t="s">
        <v>1454</v>
      </c>
      <c r="G1080" s="90"/>
      <c r="H1080" s="93"/>
      <c r="I1080" s="93"/>
      <c r="J1080" s="93"/>
      <c r="K1080" s="95"/>
      <c r="L1080" s="69"/>
      <c r="M1080" s="69"/>
      <c r="N1080" s="69"/>
      <c r="O1080" s="69"/>
      <c r="P1080" s="78"/>
      <c r="Q1080" s="96"/>
      <c r="R1080" s="97"/>
      <c r="S1080" s="98"/>
    </row>
    <row r="1081" spans="1:19" ht="42.75">
      <c r="A1081" s="90" t="s">
        <v>50</v>
      </c>
      <c r="B1081" s="91" t="s">
        <v>1314</v>
      </c>
      <c r="C1081" s="91" t="s">
        <v>2848</v>
      </c>
      <c r="D1081" s="90">
        <v>2015</v>
      </c>
      <c r="E1081" s="90">
        <v>1566</v>
      </c>
      <c r="F1081" s="90" t="s">
        <v>1454</v>
      </c>
      <c r="G1081" s="90"/>
      <c r="H1081" s="93"/>
      <c r="I1081" s="93"/>
      <c r="J1081" s="93"/>
      <c r="K1081" s="95"/>
      <c r="L1081" s="69"/>
      <c r="M1081" s="69"/>
      <c r="N1081" s="69"/>
      <c r="O1081" s="69"/>
      <c r="P1081" s="78"/>
      <c r="Q1081" s="96"/>
      <c r="R1081" s="97"/>
      <c r="S1081" s="98"/>
    </row>
    <row r="1082" spans="1:19" ht="42.75">
      <c r="A1082" s="90" t="s">
        <v>50</v>
      </c>
      <c r="B1082" s="91" t="s">
        <v>1314</v>
      </c>
      <c r="C1082" s="91" t="s">
        <v>2849</v>
      </c>
      <c r="D1082" s="90">
        <v>4598</v>
      </c>
      <c r="E1082" s="90">
        <v>5751</v>
      </c>
      <c r="F1082" s="90" t="s">
        <v>1434</v>
      </c>
      <c r="G1082" s="90">
        <v>2024</v>
      </c>
      <c r="H1082" s="101">
        <v>45520</v>
      </c>
      <c r="I1082" s="101">
        <v>45523</v>
      </c>
      <c r="J1082" s="94" t="s">
        <v>2850</v>
      </c>
      <c r="K1082" s="100">
        <v>45524</v>
      </c>
      <c r="L1082" s="69" t="s">
        <v>81</v>
      </c>
      <c r="M1082" s="69" t="s">
        <v>4</v>
      </c>
      <c r="N1082" s="69" t="s">
        <v>101</v>
      </c>
      <c r="O1082" s="69" t="s">
        <v>1436</v>
      </c>
      <c r="P1082" s="78"/>
      <c r="Q1082" s="96">
        <v>45525</v>
      </c>
      <c r="R1082" s="97"/>
      <c r="S1082" s="98"/>
    </row>
    <row r="1083" spans="1:19" ht="42.75">
      <c r="A1083" s="90" t="s">
        <v>50</v>
      </c>
      <c r="B1083" s="91" t="s">
        <v>1314</v>
      </c>
      <c r="C1083" s="91" t="s">
        <v>2851</v>
      </c>
      <c r="D1083" s="90">
        <v>4698</v>
      </c>
      <c r="E1083" s="90">
        <v>4869</v>
      </c>
      <c r="F1083" s="90" t="s">
        <v>1454</v>
      </c>
      <c r="G1083" s="90"/>
      <c r="H1083" s="93"/>
      <c r="I1083" s="93"/>
      <c r="J1083" s="93"/>
      <c r="K1083" s="95"/>
      <c r="L1083" s="69"/>
      <c r="M1083" s="69"/>
      <c r="N1083" s="69"/>
      <c r="O1083" s="69"/>
      <c r="P1083" s="78"/>
      <c r="Q1083" s="96"/>
      <c r="R1083" s="97"/>
      <c r="S1083" s="98"/>
    </row>
    <row r="1084" spans="1:19" ht="42.75">
      <c r="A1084" s="90" t="s">
        <v>50</v>
      </c>
      <c r="B1084" s="91" t="s">
        <v>1314</v>
      </c>
      <c r="C1084" s="91" t="s">
        <v>2852</v>
      </c>
      <c r="D1084" s="90">
        <v>4321</v>
      </c>
      <c r="E1084" s="90">
        <v>4216</v>
      </c>
      <c r="F1084" s="90" t="s">
        <v>1454</v>
      </c>
      <c r="G1084" s="90"/>
      <c r="H1084" s="93"/>
      <c r="I1084" s="93"/>
      <c r="J1084" s="93"/>
      <c r="K1084" s="95"/>
      <c r="L1084" s="69"/>
      <c r="M1084" s="69"/>
      <c r="N1084" s="69"/>
      <c r="O1084" s="69"/>
      <c r="P1084" s="78"/>
      <c r="Q1084" s="96"/>
      <c r="R1084" s="97"/>
      <c r="S1084" s="98"/>
    </row>
    <row r="1085" spans="1:19" ht="42.75">
      <c r="A1085" s="90" t="s">
        <v>50</v>
      </c>
      <c r="B1085" s="91" t="s">
        <v>1314</v>
      </c>
      <c r="C1085" s="91" t="s">
        <v>1315</v>
      </c>
      <c r="D1085" s="90">
        <v>4856</v>
      </c>
      <c r="E1085" s="90">
        <v>6503</v>
      </c>
      <c r="F1085" s="90" t="s">
        <v>1454</v>
      </c>
      <c r="G1085" s="90"/>
      <c r="H1085" s="93"/>
      <c r="I1085" s="93"/>
      <c r="J1085" s="93"/>
      <c r="K1085" s="95"/>
      <c r="L1085" s="69"/>
      <c r="M1085" s="69"/>
      <c r="N1085" s="69"/>
      <c r="O1085" s="69"/>
      <c r="P1085" s="78"/>
      <c r="Q1085" s="96"/>
      <c r="R1085" s="97"/>
      <c r="S1085" s="98"/>
    </row>
    <row r="1086" spans="1:19" ht="42.75">
      <c r="A1086" s="90" t="s">
        <v>50</v>
      </c>
      <c r="B1086" s="91" t="s">
        <v>1314</v>
      </c>
      <c r="C1086" s="91" t="s">
        <v>2853</v>
      </c>
      <c r="D1086" s="90">
        <v>1376</v>
      </c>
      <c r="E1086" s="90">
        <v>1096</v>
      </c>
      <c r="F1086" s="90" t="s">
        <v>1454</v>
      </c>
      <c r="G1086" s="90"/>
      <c r="H1086" s="93"/>
      <c r="I1086" s="93"/>
      <c r="J1086" s="93"/>
      <c r="K1086" s="95"/>
      <c r="L1086" s="69"/>
      <c r="M1086" s="69"/>
      <c r="N1086" s="69"/>
      <c r="O1086" s="69"/>
      <c r="P1086" s="78"/>
      <c r="Q1086" s="96"/>
      <c r="R1086" s="97"/>
      <c r="S1086" s="98"/>
    </row>
    <row r="1087" spans="1:19" ht="42.75">
      <c r="A1087" s="90" t="s">
        <v>50</v>
      </c>
      <c r="B1087" s="91" t="s">
        <v>1314</v>
      </c>
      <c r="C1087" s="91" t="s">
        <v>2854</v>
      </c>
      <c r="D1087" s="90">
        <v>1319</v>
      </c>
      <c r="E1087" s="90">
        <v>1315</v>
      </c>
      <c r="F1087" s="90" t="s">
        <v>1454</v>
      </c>
      <c r="G1087" s="90"/>
      <c r="H1087" s="93"/>
      <c r="I1087" s="93"/>
      <c r="J1087" s="93"/>
      <c r="K1087" s="95"/>
      <c r="L1087" s="69"/>
      <c r="M1087" s="69"/>
      <c r="N1087" s="69"/>
      <c r="O1087" s="69"/>
      <c r="P1087" s="78"/>
      <c r="Q1087" s="96"/>
      <c r="R1087" s="97"/>
      <c r="S1087" s="98"/>
    </row>
    <row r="1088" spans="1:19" ht="42.75">
      <c r="A1088" s="90" t="s">
        <v>50</v>
      </c>
      <c r="B1088" s="91" t="s">
        <v>1314</v>
      </c>
      <c r="C1088" s="91" t="s">
        <v>2855</v>
      </c>
      <c r="D1088" s="90">
        <v>1558</v>
      </c>
      <c r="E1088" s="90">
        <v>1495</v>
      </c>
      <c r="F1088" s="90" t="s">
        <v>1434</v>
      </c>
      <c r="G1088" s="90">
        <v>2024</v>
      </c>
      <c r="H1088" s="101">
        <v>45504</v>
      </c>
      <c r="I1088" s="167">
        <v>45509</v>
      </c>
      <c r="J1088" s="117" t="s">
        <v>2856</v>
      </c>
      <c r="K1088" s="100">
        <v>45512</v>
      </c>
      <c r="L1088" s="69" t="s">
        <v>81</v>
      </c>
      <c r="M1088" s="69" t="s">
        <v>4</v>
      </c>
      <c r="N1088" s="69" t="s">
        <v>101</v>
      </c>
      <c r="O1088" s="69" t="s">
        <v>1436</v>
      </c>
      <c r="P1088" s="78"/>
      <c r="Q1088" s="96">
        <v>45512</v>
      </c>
      <c r="R1088" s="97" t="s">
        <v>1481</v>
      </c>
      <c r="S1088" s="98"/>
    </row>
    <row r="1089" spans="1:19" ht="42.75">
      <c r="A1089" s="90" t="s">
        <v>50</v>
      </c>
      <c r="B1089" s="91" t="s">
        <v>1314</v>
      </c>
      <c r="C1089" s="91" t="s">
        <v>2857</v>
      </c>
      <c r="D1089" s="90">
        <v>730</v>
      </c>
      <c r="E1089" s="90">
        <v>703</v>
      </c>
      <c r="F1089" s="90" t="s">
        <v>1434</v>
      </c>
      <c r="G1089" s="90">
        <v>2024</v>
      </c>
      <c r="H1089" s="147">
        <v>45609</v>
      </c>
      <c r="I1089" s="100">
        <v>45615</v>
      </c>
      <c r="J1089" s="107" t="s">
        <v>2858</v>
      </c>
      <c r="K1089" s="119">
        <v>45616</v>
      </c>
      <c r="L1089" s="69" t="s">
        <v>84</v>
      </c>
      <c r="M1089" s="69" t="s">
        <v>4</v>
      </c>
      <c r="N1089" s="69" t="s">
        <v>685</v>
      </c>
      <c r="O1089" s="69" t="s">
        <v>1436</v>
      </c>
      <c r="P1089" s="78"/>
      <c r="Q1089" s="96">
        <v>45617</v>
      </c>
      <c r="R1089" s="97" t="s">
        <v>1481</v>
      </c>
      <c r="S1089" s="98"/>
    </row>
    <row r="1090" spans="1:19" ht="42.75">
      <c r="A1090" s="90" t="s">
        <v>50</v>
      </c>
      <c r="B1090" s="91" t="s">
        <v>1314</v>
      </c>
      <c r="C1090" s="91" t="s">
        <v>2859</v>
      </c>
      <c r="D1090" s="90">
        <v>324</v>
      </c>
      <c r="E1090" s="90">
        <v>328</v>
      </c>
      <c r="F1090" s="90" t="s">
        <v>1454</v>
      </c>
      <c r="G1090" s="90"/>
      <c r="H1090" s="93"/>
      <c r="I1090" s="93"/>
      <c r="J1090" s="93"/>
      <c r="K1090" s="95"/>
      <c r="L1090" s="69"/>
      <c r="M1090" s="69"/>
      <c r="N1090" s="69"/>
      <c r="O1090" s="69"/>
      <c r="P1090" s="78"/>
      <c r="Q1090" s="96"/>
      <c r="R1090" s="97"/>
      <c r="S1090" s="98"/>
    </row>
    <row r="1091" spans="1:19" ht="42.75">
      <c r="A1091" s="90" t="s">
        <v>50</v>
      </c>
      <c r="B1091" s="91" t="s">
        <v>1314</v>
      </c>
      <c r="C1091" s="91" t="s">
        <v>2860</v>
      </c>
      <c r="D1091" s="90">
        <v>1726</v>
      </c>
      <c r="E1091" s="90">
        <v>2498</v>
      </c>
      <c r="F1091" s="90" t="s">
        <v>1454</v>
      </c>
      <c r="G1091" s="90"/>
      <c r="H1091" s="93"/>
      <c r="I1091" s="122"/>
      <c r="J1091" s="122"/>
      <c r="K1091" s="95"/>
      <c r="L1091" s="69"/>
      <c r="M1091" s="69"/>
      <c r="N1091" s="69"/>
      <c r="O1091" s="69"/>
      <c r="P1091" s="78"/>
      <c r="Q1091" s="96"/>
      <c r="R1091" s="97"/>
      <c r="S1091" s="98"/>
    </row>
    <row r="1092" spans="1:19" ht="42.75">
      <c r="A1092" s="90" t="s">
        <v>50</v>
      </c>
      <c r="B1092" s="91" t="s">
        <v>1314</v>
      </c>
      <c r="C1092" s="91" t="s">
        <v>2861</v>
      </c>
      <c r="D1092" s="90">
        <v>5546</v>
      </c>
      <c r="E1092" s="90">
        <v>5755</v>
      </c>
      <c r="F1092" s="90" t="s">
        <v>1434</v>
      </c>
      <c r="G1092" s="90">
        <v>2024</v>
      </c>
      <c r="H1092" s="147">
        <v>45394</v>
      </c>
      <c r="I1092" s="100">
        <v>45396</v>
      </c>
      <c r="J1092" s="161" t="s">
        <v>2862</v>
      </c>
      <c r="K1092" s="119">
        <v>45399</v>
      </c>
      <c r="L1092" s="69" t="s">
        <v>77</v>
      </c>
      <c r="M1092" s="69"/>
      <c r="N1092" s="69"/>
      <c r="O1092" s="69" t="s">
        <v>1436</v>
      </c>
      <c r="P1092" s="78"/>
      <c r="Q1092" s="96"/>
      <c r="R1092" s="97"/>
      <c r="S1092" s="98"/>
    </row>
    <row r="1093" spans="1:19" ht="42.75">
      <c r="A1093" s="90" t="s">
        <v>50</v>
      </c>
      <c r="B1093" s="91" t="s">
        <v>1314</v>
      </c>
      <c r="C1093" s="91" t="s">
        <v>2863</v>
      </c>
      <c r="D1093" s="90">
        <v>6745</v>
      </c>
      <c r="E1093" s="90">
        <v>7640</v>
      </c>
      <c r="F1093" s="90" t="s">
        <v>1454</v>
      </c>
      <c r="G1093" s="90"/>
      <c r="H1093" s="93"/>
      <c r="I1093" s="93"/>
      <c r="J1093" s="93"/>
      <c r="K1093" s="95"/>
      <c r="L1093" s="69"/>
      <c r="M1093" s="69"/>
      <c r="N1093" s="69"/>
      <c r="O1093" s="69"/>
      <c r="P1093" s="78"/>
      <c r="Q1093" s="96"/>
      <c r="R1093" s="97"/>
      <c r="S1093" s="98"/>
    </row>
    <row r="1094" spans="1:19" ht="42.75">
      <c r="A1094" s="90" t="s">
        <v>50</v>
      </c>
      <c r="B1094" s="91" t="s">
        <v>1314</v>
      </c>
      <c r="C1094" s="91" t="s">
        <v>2864</v>
      </c>
      <c r="D1094" s="90">
        <v>4039</v>
      </c>
      <c r="E1094" s="90">
        <v>4756</v>
      </c>
      <c r="F1094" s="90" t="s">
        <v>1454</v>
      </c>
      <c r="G1094" s="90"/>
      <c r="H1094" s="93"/>
      <c r="I1094" s="93"/>
      <c r="J1094" s="93"/>
      <c r="K1094" s="95"/>
      <c r="L1094" s="69"/>
      <c r="M1094" s="69"/>
      <c r="N1094" s="69"/>
      <c r="O1094" s="69"/>
      <c r="P1094" s="78"/>
      <c r="Q1094" s="96"/>
      <c r="R1094" s="97"/>
      <c r="S1094" s="98"/>
    </row>
    <row r="1095" spans="1:19" ht="42.75">
      <c r="A1095" s="90" t="s">
        <v>50</v>
      </c>
      <c r="B1095" s="91" t="s">
        <v>1314</v>
      </c>
      <c r="C1095" s="91" t="s">
        <v>2667</v>
      </c>
      <c r="D1095" s="90">
        <v>1382</v>
      </c>
      <c r="E1095" s="90">
        <v>1590</v>
      </c>
      <c r="F1095" s="90" t="s">
        <v>1454</v>
      </c>
      <c r="G1095" s="90"/>
      <c r="H1095" s="93"/>
      <c r="I1095" s="93"/>
      <c r="J1095" s="93"/>
      <c r="K1095" s="95"/>
      <c r="L1095" s="69"/>
      <c r="M1095" s="69"/>
      <c r="N1095" s="69"/>
      <c r="O1095" s="69"/>
      <c r="P1095" s="78"/>
      <c r="Q1095" s="96"/>
      <c r="R1095" s="97"/>
      <c r="S1095" s="98"/>
    </row>
    <row r="1096" spans="1:19" ht="42.75">
      <c r="A1096" s="90" t="s">
        <v>50</v>
      </c>
      <c r="B1096" s="91" t="s">
        <v>1314</v>
      </c>
      <c r="C1096" s="91" t="s">
        <v>2865</v>
      </c>
      <c r="D1096" s="90">
        <v>4118</v>
      </c>
      <c r="E1096" s="90">
        <v>4517</v>
      </c>
      <c r="F1096" s="90" t="s">
        <v>1454</v>
      </c>
      <c r="G1096" s="90"/>
      <c r="H1096" s="93"/>
      <c r="I1096" s="93"/>
      <c r="J1096" s="93"/>
      <c r="K1096" s="95"/>
      <c r="L1096" s="69"/>
      <c r="M1096" s="69"/>
      <c r="N1096" s="69"/>
      <c r="O1096" s="69"/>
      <c r="P1096" s="78"/>
      <c r="Q1096" s="96"/>
      <c r="R1096" s="97"/>
      <c r="S1096" s="98"/>
    </row>
    <row r="1097" spans="1:19" ht="42.75">
      <c r="A1097" s="90" t="s">
        <v>50</v>
      </c>
      <c r="B1097" s="91" t="s">
        <v>1314</v>
      </c>
      <c r="C1097" s="91" t="s">
        <v>2866</v>
      </c>
      <c r="D1097" s="90">
        <v>4487</v>
      </c>
      <c r="E1097" s="90">
        <v>5776</v>
      </c>
      <c r="F1097" s="90" t="s">
        <v>1434</v>
      </c>
      <c r="G1097" s="90">
        <v>2024</v>
      </c>
      <c r="H1097" s="101">
        <v>45526</v>
      </c>
      <c r="I1097" s="101">
        <v>45531</v>
      </c>
      <c r="J1097" s="94" t="s">
        <v>2867</v>
      </c>
      <c r="K1097" s="100">
        <v>45539</v>
      </c>
      <c r="L1097" s="69" t="s">
        <v>82</v>
      </c>
      <c r="M1097" s="69" t="s">
        <v>4</v>
      </c>
      <c r="N1097" s="69" t="s">
        <v>101</v>
      </c>
      <c r="O1097" s="69" t="s">
        <v>1436</v>
      </c>
      <c r="P1097" s="78"/>
      <c r="Q1097" s="96">
        <v>45539</v>
      </c>
      <c r="R1097" s="97" t="s">
        <v>1481</v>
      </c>
      <c r="S1097" s="98"/>
    </row>
    <row r="1098" spans="1:19" ht="42.75">
      <c r="A1098" s="90" t="s">
        <v>50</v>
      </c>
      <c r="B1098" s="91" t="s">
        <v>1314</v>
      </c>
      <c r="C1098" s="91" t="s">
        <v>2868</v>
      </c>
      <c r="D1098" s="90">
        <v>1885</v>
      </c>
      <c r="E1098" s="90">
        <v>1905</v>
      </c>
      <c r="F1098" s="90" t="s">
        <v>1454</v>
      </c>
      <c r="G1098" s="90"/>
      <c r="H1098" s="93"/>
      <c r="I1098" s="93"/>
      <c r="J1098" s="93"/>
      <c r="K1098" s="95"/>
      <c r="L1098" s="69"/>
      <c r="M1098" s="69"/>
      <c r="N1098" s="69"/>
      <c r="O1098" s="69"/>
      <c r="P1098" s="78"/>
      <c r="Q1098" s="96"/>
      <c r="R1098" s="97"/>
      <c r="S1098" s="98"/>
    </row>
    <row r="1099" spans="1:19" ht="42.75">
      <c r="A1099" s="90" t="s">
        <v>50</v>
      </c>
      <c r="B1099" s="91" t="s">
        <v>1314</v>
      </c>
      <c r="C1099" s="91" t="s">
        <v>2869</v>
      </c>
      <c r="D1099" s="90">
        <v>2800</v>
      </c>
      <c r="E1099" s="90">
        <v>2419</v>
      </c>
      <c r="F1099" s="90" t="s">
        <v>1454</v>
      </c>
      <c r="G1099" s="90"/>
      <c r="H1099" s="93"/>
      <c r="I1099" s="93"/>
      <c r="J1099" s="93"/>
      <c r="K1099" s="95"/>
      <c r="L1099" s="69"/>
      <c r="M1099" s="69"/>
      <c r="N1099" s="69"/>
      <c r="O1099" s="69"/>
      <c r="P1099" s="78"/>
      <c r="Q1099" s="96"/>
      <c r="R1099" s="97"/>
      <c r="S1099" s="98"/>
    </row>
    <row r="1100" spans="1:19" ht="42.75">
      <c r="A1100" s="90" t="s">
        <v>50</v>
      </c>
      <c r="B1100" s="91" t="s">
        <v>1314</v>
      </c>
      <c r="C1100" s="91" t="s">
        <v>2870</v>
      </c>
      <c r="D1100" s="90">
        <v>930</v>
      </c>
      <c r="E1100" s="90">
        <v>969</v>
      </c>
      <c r="F1100" s="90" t="s">
        <v>1454</v>
      </c>
      <c r="G1100" s="90"/>
      <c r="H1100" s="93"/>
      <c r="I1100" s="93"/>
      <c r="J1100" s="93"/>
      <c r="K1100" s="95"/>
      <c r="L1100" s="69"/>
      <c r="M1100" s="69"/>
      <c r="N1100" s="69"/>
      <c r="O1100" s="69"/>
      <c r="P1100" s="78"/>
      <c r="Q1100" s="96"/>
      <c r="R1100" s="97"/>
      <c r="S1100" s="98"/>
    </row>
    <row r="1101" spans="1:19" ht="42.75">
      <c r="A1101" s="90" t="s">
        <v>50</v>
      </c>
      <c r="B1101" s="91" t="s">
        <v>1314</v>
      </c>
      <c r="C1101" s="91" t="s">
        <v>2871</v>
      </c>
      <c r="D1101" s="90">
        <v>2050</v>
      </c>
      <c r="E1101" s="90">
        <v>1531</v>
      </c>
      <c r="F1101" s="90" t="s">
        <v>1454</v>
      </c>
      <c r="G1101" s="90"/>
      <c r="H1101" s="93"/>
      <c r="I1101" s="93"/>
      <c r="J1101" s="93"/>
      <c r="K1101" s="95"/>
      <c r="L1101" s="69"/>
      <c r="M1101" s="69"/>
      <c r="N1101" s="69"/>
      <c r="O1101" s="69"/>
      <c r="P1101" s="78"/>
      <c r="Q1101" s="96"/>
      <c r="R1101" s="97"/>
      <c r="S1101" s="98"/>
    </row>
    <row r="1102" spans="1:19" ht="42.75">
      <c r="A1102" s="90" t="s">
        <v>50</v>
      </c>
      <c r="B1102" s="91" t="s">
        <v>1314</v>
      </c>
      <c r="C1102" s="91" t="s">
        <v>1879</v>
      </c>
      <c r="D1102" s="90">
        <v>1807</v>
      </c>
      <c r="E1102" s="90">
        <v>1946</v>
      </c>
      <c r="F1102" s="90" t="s">
        <v>1454</v>
      </c>
      <c r="G1102" s="90"/>
      <c r="H1102" s="93"/>
      <c r="I1102" s="93"/>
      <c r="J1102" s="93"/>
      <c r="K1102" s="95"/>
      <c r="L1102" s="69"/>
      <c r="M1102" s="69"/>
      <c r="N1102" s="69"/>
      <c r="O1102" s="69"/>
      <c r="P1102" s="78"/>
      <c r="Q1102" s="96"/>
      <c r="R1102" s="97"/>
      <c r="S1102" s="98"/>
    </row>
    <row r="1103" spans="1:19" ht="42.75">
      <c r="A1103" s="90" t="s">
        <v>50</v>
      </c>
      <c r="B1103" s="91" t="s">
        <v>407</v>
      </c>
      <c r="C1103" s="91" t="s">
        <v>2574</v>
      </c>
      <c r="D1103" s="90">
        <v>1394</v>
      </c>
      <c r="E1103" s="90">
        <v>1538</v>
      </c>
      <c r="F1103" s="90" t="s">
        <v>1434</v>
      </c>
      <c r="G1103" s="90">
        <v>2024</v>
      </c>
      <c r="H1103" s="101">
        <v>45553</v>
      </c>
      <c r="I1103" s="101">
        <v>45553</v>
      </c>
      <c r="J1103" s="94" t="s">
        <v>2872</v>
      </c>
      <c r="K1103" s="100">
        <v>45572</v>
      </c>
      <c r="L1103" s="69" t="s">
        <v>83</v>
      </c>
      <c r="M1103" s="69" t="s">
        <v>4</v>
      </c>
      <c r="N1103" s="69" t="s">
        <v>101</v>
      </c>
      <c r="O1103" s="69" t="s">
        <v>2873</v>
      </c>
      <c r="P1103" s="78"/>
      <c r="Q1103" s="115">
        <v>45573</v>
      </c>
      <c r="R1103" s="65" t="s">
        <v>1481</v>
      </c>
      <c r="S1103" s="89"/>
    </row>
    <row r="1104" spans="1:19" ht="42.75">
      <c r="A1104" s="90" t="s">
        <v>50</v>
      </c>
      <c r="B1104" s="91" t="s">
        <v>407</v>
      </c>
      <c r="C1104" s="91" t="s">
        <v>2777</v>
      </c>
      <c r="D1104" s="90">
        <v>1534</v>
      </c>
      <c r="E1104" s="90">
        <v>1808</v>
      </c>
      <c r="F1104" s="90" t="s">
        <v>1454</v>
      </c>
      <c r="G1104" s="90"/>
      <c r="H1104" s="93"/>
      <c r="I1104" s="122"/>
      <c r="J1104" s="122"/>
      <c r="K1104" s="95"/>
      <c r="L1104" s="69"/>
      <c r="M1104" s="69"/>
      <c r="N1104" s="69"/>
      <c r="O1104" s="69"/>
      <c r="P1104" s="78"/>
      <c r="Q1104" s="96"/>
      <c r="R1104" s="97"/>
      <c r="S1104" s="98"/>
    </row>
    <row r="1105" spans="1:19" ht="42.75">
      <c r="A1105" s="90" t="s">
        <v>50</v>
      </c>
      <c r="B1105" s="91" t="s">
        <v>407</v>
      </c>
      <c r="C1105" s="91" t="s">
        <v>985</v>
      </c>
      <c r="D1105" s="90">
        <v>4080</v>
      </c>
      <c r="E1105" s="90">
        <v>4270</v>
      </c>
      <c r="F1105" s="90" t="s">
        <v>1434</v>
      </c>
      <c r="G1105" s="90">
        <v>2024</v>
      </c>
      <c r="H1105" s="147">
        <v>45454</v>
      </c>
      <c r="I1105" s="100">
        <v>45454</v>
      </c>
      <c r="J1105" s="107" t="s">
        <v>2874</v>
      </c>
      <c r="K1105" s="119">
        <v>45462</v>
      </c>
      <c r="L1105" s="69" t="s">
        <v>79</v>
      </c>
      <c r="M1105" s="69"/>
      <c r="N1105" s="69"/>
      <c r="O1105" s="69" t="s">
        <v>1436</v>
      </c>
      <c r="P1105" s="78"/>
      <c r="Q1105" s="96">
        <v>45464</v>
      </c>
      <c r="R1105" s="97"/>
      <c r="S1105" s="98"/>
    </row>
    <row r="1106" spans="1:19" ht="42.75">
      <c r="A1106" s="90" t="s">
        <v>50</v>
      </c>
      <c r="B1106" s="91" t="s">
        <v>407</v>
      </c>
      <c r="C1106" s="91" t="s">
        <v>250</v>
      </c>
      <c r="D1106" s="90">
        <v>3768</v>
      </c>
      <c r="E1106" s="90">
        <v>4344</v>
      </c>
      <c r="F1106" s="90" t="s">
        <v>1454</v>
      </c>
      <c r="G1106" s="90"/>
      <c r="H1106" s="93"/>
      <c r="I1106" s="122"/>
      <c r="J1106" s="122"/>
      <c r="K1106" s="95"/>
      <c r="L1106" s="69"/>
      <c r="M1106" s="69"/>
      <c r="N1106" s="69"/>
      <c r="O1106" s="69"/>
      <c r="P1106" s="78"/>
      <c r="Q1106" s="96"/>
      <c r="R1106" s="97"/>
      <c r="S1106" s="98"/>
    </row>
    <row r="1107" spans="1:19" ht="42.75">
      <c r="A1107" s="90" t="s">
        <v>50</v>
      </c>
      <c r="B1107" s="91" t="s">
        <v>407</v>
      </c>
      <c r="C1107" s="91" t="s">
        <v>2875</v>
      </c>
      <c r="D1107" s="90">
        <v>5891</v>
      </c>
      <c r="E1107" s="90">
        <v>6341</v>
      </c>
      <c r="F1107" s="90" t="s">
        <v>1434</v>
      </c>
      <c r="G1107" s="90">
        <v>2024</v>
      </c>
      <c r="H1107" s="147">
        <v>45433</v>
      </c>
      <c r="I1107" s="100">
        <v>45433</v>
      </c>
      <c r="J1107" s="107" t="s">
        <v>2876</v>
      </c>
      <c r="K1107" s="119">
        <v>45461</v>
      </c>
      <c r="L1107" s="69" t="s">
        <v>79</v>
      </c>
      <c r="M1107" s="69"/>
      <c r="N1107" s="69"/>
      <c r="O1107" s="69" t="s">
        <v>1436</v>
      </c>
      <c r="P1107" s="78"/>
      <c r="Q1107" s="96">
        <v>45462</v>
      </c>
      <c r="R1107" s="97"/>
      <c r="S1107" s="98"/>
    </row>
    <row r="1108" spans="1:19" ht="42.75">
      <c r="A1108" s="90" t="s">
        <v>50</v>
      </c>
      <c r="B1108" s="91" t="s">
        <v>407</v>
      </c>
      <c r="C1108" s="91" t="s">
        <v>1059</v>
      </c>
      <c r="D1108" s="90">
        <v>2594</v>
      </c>
      <c r="E1108" s="90">
        <v>2769</v>
      </c>
      <c r="F1108" s="90" t="s">
        <v>1454</v>
      </c>
      <c r="G1108" s="90"/>
      <c r="H1108" s="93"/>
      <c r="I1108" s="93"/>
      <c r="J1108" s="93"/>
      <c r="K1108" s="95"/>
      <c r="L1108" s="69"/>
      <c r="M1108" s="69"/>
      <c r="N1108" s="69"/>
      <c r="O1108" s="69"/>
      <c r="P1108" s="78"/>
      <c r="Q1108" s="96"/>
      <c r="R1108" s="97"/>
      <c r="S1108" s="98"/>
    </row>
    <row r="1109" spans="1:19" ht="42.75">
      <c r="A1109" s="90" t="s">
        <v>50</v>
      </c>
      <c r="B1109" s="91" t="s">
        <v>407</v>
      </c>
      <c r="C1109" s="91" t="s">
        <v>2877</v>
      </c>
      <c r="D1109" s="90">
        <v>694</v>
      </c>
      <c r="E1109" s="90">
        <v>575</v>
      </c>
      <c r="F1109" s="90" t="s">
        <v>1454</v>
      </c>
      <c r="G1109" s="90"/>
      <c r="H1109" s="93"/>
      <c r="I1109" s="122"/>
      <c r="J1109" s="122"/>
      <c r="K1109" s="95"/>
      <c r="L1109" s="69"/>
      <c r="M1109" s="69"/>
      <c r="N1109" s="69"/>
      <c r="O1109" s="69"/>
      <c r="P1109" s="78"/>
      <c r="Q1109" s="96"/>
      <c r="R1109" s="97"/>
      <c r="S1109" s="98"/>
    </row>
    <row r="1110" spans="1:19" ht="42.75">
      <c r="A1110" s="90" t="s">
        <v>50</v>
      </c>
      <c r="B1110" s="91" t="s">
        <v>407</v>
      </c>
      <c r="C1110" s="91" t="s">
        <v>2878</v>
      </c>
      <c r="D1110" s="90">
        <v>1003</v>
      </c>
      <c r="E1110" s="90">
        <v>960</v>
      </c>
      <c r="F1110" s="90" t="s">
        <v>1434</v>
      </c>
      <c r="G1110" s="90">
        <v>2024</v>
      </c>
      <c r="H1110" s="147">
        <v>45377</v>
      </c>
      <c r="I1110" s="100">
        <v>46107</v>
      </c>
      <c r="J1110" s="161" t="s">
        <v>2879</v>
      </c>
      <c r="K1110" s="119">
        <v>45385</v>
      </c>
      <c r="L1110" s="69" t="s">
        <v>77</v>
      </c>
      <c r="M1110" s="69"/>
      <c r="N1110" s="69"/>
      <c r="O1110" s="69" t="s">
        <v>1436</v>
      </c>
      <c r="P1110" s="78"/>
      <c r="Q1110" s="96"/>
      <c r="R1110" s="97"/>
      <c r="S1110" s="98"/>
    </row>
    <row r="1111" spans="1:19" ht="42.75">
      <c r="A1111" s="90" t="s">
        <v>50</v>
      </c>
      <c r="B1111" s="91" t="s">
        <v>407</v>
      </c>
      <c r="C1111" s="91" t="s">
        <v>2880</v>
      </c>
      <c r="D1111" s="90">
        <v>3846</v>
      </c>
      <c r="E1111" s="90">
        <v>3578</v>
      </c>
      <c r="F1111" s="90" t="s">
        <v>1434</v>
      </c>
      <c r="G1111" s="90">
        <v>2024</v>
      </c>
      <c r="H1111" s="101">
        <v>45433</v>
      </c>
      <c r="I1111" s="101">
        <v>45433</v>
      </c>
      <c r="J1111" s="94" t="s">
        <v>2881</v>
      </c>
      <c r="K1111" s="100">
        <v>45461</v>
      </c>
      <c r="L1111" s="69" t="s">
        <v>79</v>
      </c>
      <c r="M1111" s="69"/>
      <c r="N1111" s="69"/>
      <c r="O1111" s="69" t="s">
        <v>1436</v>
      </c>
      <c r="P1111" s="78"/>
      <c r="Q1111" s="96">
        <v>45462</v>
      </c>
      <c r="R1111" s="97"/>
      <c r="S1111" s="98"/>
    </row>
    <row r="1112" spans="1:19" ht="42.75">
      <c r="A1112" s="90" t="s">
        <v>50</v>
      </c>
      <c r="B1112" s="91" t="s">
        <v>407</v>
      </c>
      <c r="C1112" s="91" t="s">
        <v>714</v>
      </c>
      <c r="D1112" s="90">
        <v>2225</v>
      </c>
      <c r="E1112" s="90">
        <v>2340</v>
      </c>
      <c r="F1112" s="90" t="s">
        <v>1454</v>
      </c>
      <c r="G1112" s="90"/>
      <c r="H1112" s="93"/>
      <c r="I1112" s="93"/>
      <c r="J1112" s="93"/>
      <c r="K1112" s="95"/>
      <c r="L1112" s="69"/>
      <c r="M1112" s="69"/>
      <c r="N1112" s="69"/>
      <c r="O1112" s="69"/>
      <c r="P1112" s="78"/>
      <c r="Q1112" s="96"/>
      <c r="R1112" s="97"/>
      <c r="S1112" s="98"/>
    </row>
    <row r="1113" spans="1:19" ht="42.75">
      <c r="A1113" s="90" t="s">
        <v>50</v>
      </c>
      <c r="B1113" s="91" t="s">
        <v>407</v>
      </c>
      <c r="C1113" s="91" t="s">
        <v>2882</v>
      </c>
      <c r="D1113" s="90">
        <v>3661</v>
      </c>
      <c r="E1113" s="90">
        <v>3822</v>
      </c>
      <c r="F1113" s="90" t="s">
        <v>1434</v>
      </c>
      <c r="G1113" s="90">
        <v>2024</v>
      </c>
      <c r="H1113" s="101">
        <v>45328</v>
      </c>
      <c r="I1113" s="101">
        <v>45328</v>
      </c>
      <c r="J1113" s="94" t="s">
        <v>2883</v>
      </c>
      <c r="K1113" s="95"/>
      <c r="L1113" s="69" t="s">
        <v>75</v>
      </c>
      <c r="M1113" s="69"/>
      <c r="N1113" s="69"/>
      <c r="O1113" s="69" t="s">
        <v>1436</v>
      </c>
      <c r="P1113" s="78"/>
      <c r="Q1113" s="96"/>
      <c r="R1113" s="97"/>
      <c r="S1113" s="98"/>
    </row>
    <row r="1114" spans="1:19" ht="42.75">
      <c r="A1114" s="90" t="s">
        <v>50</v>
      </c>
      <c r="B1114" s="91" t="s">
        <v>407</v>
      </c>
      <c r="C1114" s="91" t="s">
        <v>2884</v>
      </c>
      <c r="D1114" s="90">
        <v>11772</v>
      </c>
      <c r="E1114" s="90">
        <v>13016</v>
      </c>
      <c r="F1114" s="90" t="s">
        <v>1434</v>
      </c>
      <c r="G1114" s="90">
        <v>2024</v>
      </c>
      <c r="H1114" s="101">
        <v>45328</v>
      </c>
      <c r="I1114" s="101">
        <v>45328</v>
      </c>
      <c r="J1114" s="94" t="s">
        <v>2885</v>
      </c>
      <c r="K1114" s="95"/>
      <c r="L1114" s="69" t="s">
        <v>75</v>
      </c>
      <c r="M1114" s="69"/>
      <c r="N1114" s="69"/>
      <c r="O1114" s="69" t="s">
        <v>1436</v>
      </c>
      <c r="P1114" s="78"/>
      <c r="Q1114" s="96"/>
      <c r="R1114" s="97"/>
      <c r="S1114" s="98"/>
    </row>
    <row r="1115" spans="1:19" ht="42.75">
      <c r="A1115" s="90" t="s">
        <v>50</v>
      </c>
      <c r="B1115" s="91" t="s">
        <v>407</v>
      </c>
      <c r="C1115" s="91" t="s">
        <v>741</v>
      </c>
      <c r="D1115" s="90">
        <v>1970</v>
      </c>
      <c r="E1115" s="90">
        <v>2151</v>
      </c>
      <c r="F1115" s="90" t="s">
        <v>1434</v>
      </c>
      <c r="G1115" s="90">
        <v>2024</v>
      </c>
      <c r="H1115" s="101">
        <v>45505</v>
      </c>
      <c r="I1115" s="101">
        <v>45505</v>
      </c>
      <c r="J1115" s="94" t="s">
        <v>2886</v>
      </c>
      <c r="K1115" s="100">
        <v>45510</v>
      </c>
      <c r="L1115" s="69" t="s">
        <v>81</v>
      </c>
      <c r="M1115" s="69" t="s">
        <v>4</v>
      </c>
      <c r="N1115" s="69" t="s">
        <v>101</v>
      </c>
      <c r="O1115" s="69" t="s">
        <v>1436</v>
      </c>
      <c r="P1115" s="78"/>
      <c r="Q1115" s="70">
        <v>45510</v>
      </c>
      <c r="R1115" s="97" t="s">
        <v>1481</v>
      </c>
      <c r="S1115" s="98"/>
    </row>
    <row r="1116" spans="1:19" ht="42.75">
      <c r="A1116" s="90" t="s">
        <v>50</v>
      </c>
      <c r="B1116" s="91" t="s">
        <v>407</v>
      </c>
      <c r="C1116" s="91" t="s">
        <v>2887</v>
      </c>
      <c r="D1116" s="90">
        <v>378</v>
      </c>
      <c r="E1116" s="90">
        <v>319</v>
      </c>
      <c r="F1116" s="90" t="s">
        <v>1434</v>
      </c>
      <c r="G1116" s="90">
        <v>2024</v>
      </c>
      <c r="H1116" s="101">
        <v>45505</v>
      </c>
      <c r="I1116" s="101">
        <v>45505</v>
      </c>
      <c r="J1116" s="94" t="s">
        <v>2888</v>
      </c>
      <c r="K1116" s="100">
        <v>45510</v>
      </c>
      <c r="L1116" s="69" t="s">
        <v>81</v>
      </c>
      <c r="M1116" s="69" t="s">
        <v>4</v>
      </c>
      <c r="N1116" s="69" t="s">
        <v>101</v>
      </c>
      <c r="O1116" s="69" t="s">
        <v>1436</v>
      </c>
      <c r="P1116" s="78"/>
      <c r="Q1116" s="70">
        <v>45510</v>
      </c>
      <c r="R1116" s="97" t="s">
        <v>1481</v>
      </c>
      <c r="S1116" s="98"/>
    </row>
    <row r="1117" spans="1:19" ht="42.75">
      <c r="A1117" s="90" t="s">
        <v>50</v>
      </c>
      <c r="B1117" s="91" t="s">
        <v>407</v>
      </c>
      <c r="C1117" s="91" t="s">
        <v>2889</v>
      </c>
      <c r="D1117" s="90">
        <v>902</v>
      </c>
      <c r="E1117" s="90">
        <v>498</v>
      </c>
      <c r="F1117" s="90" t="s">
        <v>1434</v>
      </c>
      <c r="G1117" s="90">
        <v>2024</v>
      </c>
      <c r="H1117" s="101">
        <v>45505</v>
      </c>
      <c r="I1117" s="101">
        <v>45505</v>
      </c>
      <c r="J1117" s="94" t="s">
        <v>2890</v>
      </c>
      <c r="K1117" s="100">
        <v>45510</v>
      </c>
      <c r="L1117" s="69" t="s">
        <v>81</v>
      </c>
      <c r="M1117" s="69" t="s">
        <v>4</v>
      </c>
      <c r="N1117" s="69" t="s">
        <v>101</v>
      </c>
      <c r="O1117" s="69" t="s">
        <v>1436</v>
      </c>
      <c r="P1117" s="78"/>
      <c r="Q1117" s="70">
        <v>45510</v>
      </c>
      <c r="R1117" s="97" t="s">
        <v>1481</v>
      </c>
      <c r="S1117" s="98"/>
    </row>
    <row r="1118" spans="1:19" ht="42.75">
      <c r="A1118" s="90" t="s">
        <v>50</v>
      </c>
      <c r="B1118" s="91" t="s">
        <v>407</v>
      </c>
      <c r="C1118" s="91" t="s">
        <v>2234</v>
      </c>
      <c r="D1118" s="90">
        <v>4908</v>
      </c>
      <c r="E1118" s="90">
        <v>5898</v>
      </c>
      <c r="F1118" s="90" t="s">
        <v>1454</v>
      </c>
      <c r="G1118" s="90"/>
      <c r="H1118" s="93"/>
      <c r="I1118" s="122"/>
      <c r="J1118" s="122"/>
      <c r="K1118" s="95"/>
      <c r="L1118" s="69"/>
      <c r="M1118" s="69"/>
      <c r="N1118" s="69"/>
      <c r="O1118" s="69"/>
      <c r="P1118" s="78"/>
      <c r="Q1118" s="96"/>
      <c r="R1118" s="97"/>
      <c r="S1118" s="98"/>
    </row>
    <row r="1119" spans="1:19" ht="42.75">
      <c r="A1119" s="90" t="s">
        <v>50</v>
      </c>
      <c r="B1119" s="91" t="s">
        <v>407</v>
      </c>
      <c r="C1119" s="91" t="s">
        <v>653</v>
      </c>
      <c r="D1119" s="90">
        <v>7895</v>
      </c>
      <c r="E1119" s="90">
        <v>8872</v>
      </c>
      <c r="F1119" s="90" t="s">
        <v>1434</v>
      </c>
      <c r="G1119" s="90">
        <v>2024</v>
      </c>
      <c r="H1119" s="147">
        <v>45434</v>
      </c>
      <c r="I1119" s="100">
        <v>45434</v>
      </c>
      <c r="J1119" s="107" t="s">
        <v>2891</v>
      </c>
      <c r="K1119" s="119">
        <v>45461</v>
      </c>
      <c r="L1119" s="69" t="s">
        <v>79</v>
      </c>
      <c r="M1119" s="69"/>
      <c r="N1119" s="69"/>
      <c r="O1119" s="69" t="s">
        <v>1436</v>
      </c>
      <c r="P1119" s="78"/>
      <c r="Q1119" s="96">
        <v>45462</v>
      </c>
      <c r="R1119" s="97"/>
      <c r="S1119" s="98"/>
    </row>
    <row r="1120" spans="1:19" ht="42.75">
      <c r="A1120" s="90" t="s">
        <v>50</v>
      </c>
      <c r="B1120" s="91" t="s">
        <v>407</v>
      </c>
      <c r="C1120" s="91" t="s">
        <v>539</v>
      </c>
      <c r="D1120" s="90">
        <v>7997</v>
      </c>
      <c r="E1120" s="90">
        <v>8441</v>
      </c>
      <c r="F1120" s="90" t="s">
        <v>1454</v>
      </c>
      <c r="G1120" s="90"/>
      <c r="H1120" s="93"/>
      <c r="I1120" s="93"/>
      <c r="J1120" s="93"/>
      <c r="K1120" s="95"/>
      <c r="L1120" s="69"/>
      <c r="M1120" s="69"/>
      <c r="N1120" s="69"/>
      <c r="O1120" s="69"/>
      <c r="P1120" s="78"/>
      <c r="Q1120" s="96"/>
      <c r="R1120" s="97"/>
      <c r="S1120" s="98"/>
    </row>
    <row r="1121" spans="1:19" ht="42.75">
      <c r="A1121" s="90" t="s">
        <v>50</v>
      </c>
      <c r="B1121" s="91" t="s">
        <v>407</v>
      </c>
      <c r="C1121" s="91" t="s">
        <v>2892</v>
      </c>
      <c r="D1121" s="90">
        <v>4403</v>
      </c>
      <c r="E1121" s="90">
        <v>5187</v>
      </c>
      <c r="F1121" s="90" t="s">
        <v>1454</v>
      </c>
      <c r="G1121" s="90"/>
      <c r="H1121" s="93"/>
      <c r="I1121" s="122"/>
      <c r="J1121" s="122"/>
      <c r="K1121" s="95"/>
      <c r="L1121" s="69"/>
      <c r="M1121" s="69"/>
      <c r="N1121" s="69"/>
      <c r="O1121" s="69"/>
      <c r="P1121" s="78"/>
      <c r="Q1121" s="96"/>
      <c r="R1121" s="97"/>
      <c r="S1121" s="98"/>
    </row>
    <row r="1122" spans="1:19" ht="42.75">
      <c r="A1122" s="90" t="s">
        <v>50</v>
      </c>
      <c r="B1122" s="91" t="s">
        <v>407</v>
      </c>
      <c r="C1122" s="91" t="s">
        <v>2834</v>
      </c>
      <c r="D1122" s="90">
        <v>1395</v>
      </c>
      <c r="E1122" s="90">
        <v>1510</v>
      </c>
      <c r="F1122" s="90" t="s">
        <v>1434</v>
      </c>
      <c r="G1122" s="90">
        <v>2024</v>
      </c>
      <c r="H1122" s="147">
        <v>45377</v>
      </c>
      <c r="I1122" s="100">
        <v>45377</v>
      </c>
      <c r="J1122" s="161" t="s">
        <v>2893</v>
      </c>
      <c r="K1122" s="119">
        <v>45384</v>
      </c>
      <c r="L1122" s="69" t="s">
        <v>77</v>
      </c>
      <c r="M1122" s="69"/>
      <c r="N1122" s="69"/>
      <c r="O1122" s="69" t="s">
        <v>1436</v>
      </c>
      <c r="P1122" s="78"/>
      <c r="Q1122" s="96"/>
      <c r="R1122" s="97"/>
      <c r="S1122" s="98"/>
    </row>
    <row r="1123" spans="1:19" ht="42.75">
      <c r="A1123" s="90" t="s">
        <v>50</v>
      </c>
      <c r="B1123" s="91" t="s">
        <v>407</v>
      </c>
      <c r="C1123" s="91" t="s">
        <v>1998</v>
      </c>
      <c r="D1123" s="90">
        <v>3229</v>
      </c>
      <c r="E1123" s="90">
        <v>3820</v>
      </c>
      <c r="F1123" s="90" t="s">
        <v>1434</v>
      </c>
      <c r="G1123" s="90">
        <v>2024</v>
      </c>
      <c r="H1123" s="147">
        <v>45377</v>
      </c>
      <c r="I1123" s="100">
        <v>45377</v>
      </c>
      <c r="J1123" s="161" t="s">
        <v>2894</v>
      </c>
      <c r="K1123" s="119">
        <v>45385</v>
      </c>
      <c r="L1123" s="69" t="s">
        <v>77</v>
      </c>
      <c r="M1123" s="69"/>
      <c r="N1123" s="69"/>
      <c r="O1123" s="69" t="s">
        <v>1436</v>
      </c>
      <c r="P1123" s="78"/>
      <c r="Q1123" s="96"/>
      <c r="R1123" s="97"/>
      <c r="S1123" s="98"/>
    </row>
    <row r="1124" spans="1:19" ht="42.75">
      <c r="A1124" s="90" t="s">
        <v>50</v>
      </c>
      <c r="B1124" s="91" t="s">
        <v>407</v>
      </c>
      <c r="C1124" s="91" t="s">
        <v>1882</v>
      </c>
      <c r="D1124" s="90">
        <v>1481</v>
      </c>
      <c r="E1124" s="90">
        <v>1628</v>
      </c>
      <c r="F1124" s="90" t="s">
        <v>1454</v>
      </c>
      <c r="G1124" s="90"/>
      <c r="H1124" s="93"/>
      <c r="I1124" s="93"/>
      <c r="J1124" s="93"/>
      <c r="K1124" s="95"/>
      <c r="L1124" s="69"/>
      <c r="M1124" s="69"/>
      <c r="N1124" s="69"/>
      <c r="O1124" s="69"/>
      <c r="P1124" s="78"/>
      <c r="Q1124" s="96"/>
      <c r="R1124" s="97"/>
      <c r="S1124" s="98"/>
    </row>
    <row r="1125" spans="1:19" ht="42.75">
      <c r="A1125" s="90" t="s">
        <v>50</v>
      </c>
      <c r="B1125" s="91" t="s">
        <v>407</v>
      </c>
      <c r="C1125" s="91" t="s">
        <v>2282</v>
      </c>
      <c r="D1125" s="90">
        <v>1987</v>
      </c>
      <c r="E1125" s="90">
        <v>2177</v>
      </c>
      <c r="F1125" s="90" t="s">
        <v>1454</v>
      </c>
      <c r="G1125" s="90"/>
      <c r="H1125" s="93"/>
      <c r="I1125" s="93"/>
      <c r="J1125" s="93"/>
      <c r="K1125" s="95"/>
      <c r="L1125" s="69"/>
      <c r="M1125" s="69"/>
      <c r="N1125" s="69"/>
      <c r="O1125" s="69"/>
      <c r="P1125" s="78"/>
      <c r="Q1125" s="96"/>
      <c r="R1125" s="97"/>
      <c r="S1125" s="98"/>
    </row>
    <row r="1126" spans="1:19" ht="42.75">
      <c r="A1126" s="90" t="s">
        <v>50</v>
      </c>
      <c r="B1126" s="91" t="s">
        <v>409</v>
      </c>
      <c r="C1126" s="91" t="s">
        <v>2895</v>
      </c>
      <c r="D1126" s="90">
        <v>2205</v>
      </c>
      <c r="E1126" s="90">
        <v>2428</v>
      </c>
      <c r="F1126" s="90" t="s">
        <v>1454</v>
      </c>
      <c r="G1126" s="90"/>
      <c r="H1126" s="93"/>
      <c r="I1126" s="93"/>
      <c r="J1126" s="93"/>
      <c r="K1126" s="95"/>
      <c r="L1126" s="69"/>
      <c r="M1126" s="69"/>
      <c r="N1126" s="69"/>
      <c r="O1126" s="69"/>
      <c r="P1126" s="78"/>
      <c r="Q1126" s="96"/>
      <c r="R1126" s="97"/>
      <c r="S1126" s="98"/>
    </row>
    <row r="1127" spans="1:19" ht="42.75">
      <c r="A1127" s="90" t="s">
        <v>50</v>
      </c>
      <c r="B1127" s="91" t="s">
        <v>409</v>
      </c>
      <c r="C1127" s="91" t="s">
        <v>2750</v>
      </c>
      <c r="D1127" s="90">
        <v>1273</v>
      </c>
      <c r="E1127" s="90">
        <v>928</v>
      </c>
      <c r="F1127" s="90" t="s">
        <v>1454</v>
      </c>
      <c r="G1127" s="90"/>
      <c r="H1127" s="93"/>
      <c r="I1127" s="93"/>
      <c r="J1127" s="93"/>
      <c r="K1127" s="95"/>
      <c r="L1127" s="69"/>
      <c r="M1127" s="69"/>
      <c r="N1127" s="69"/>
      <c r="O1127" s="69"/>
      <c r="P1127" s="78"/>
      <c r="Q1127" s="96"/>
      <c r="R1127" s="97"/>
      <c r="S1127" s="98"/>
    </row>
    <row r="1128" spans="1:19" ht="42.75">
      <c r="A1128" s="90" t="s">
        <v>50</v>
      </c>
      <c r="B1128" s="91" t="s">
        <v>409</v>
      </c>
      <c r="C1128" s="91" t="s">
        <v>2896</v>
      </c>
      <c r="D1128" s="90">
        <v>3919</v>
      </c>
      <c r="E1128" s="90">
        <v>3916</v>
      </c>
      <c r="F1128" s="90" t="s">
        <v>1454</v>
      </c>
      <c r="G1128" s="90"/>
      <c r="H1128" s="93"/>
      <c r="I1128" s="93"/>
      <c r="J1128" s="93"/>
      <c r="K1128" s="95"/>
      <c r="L1128" s="69"/>
      <c r="M1128" s="69"/>
      <c r="N1128" s="69"/>
      <c r="O1128" s="69"/>
      <c r="P1128" s="78"/>
      <c r="Q1128" s="96"/>
      <c r="R1128" s="97"/>
      <c r="S1128" s="98"/>
    </row>
    <row r="1129" spans="1:19" ht="42.75">
      <c r="A1129" s="90" t="s">
        <v>50</v>
      </c>
      <c r="B1129" s="91" t="s">
        <v>409</v>
      </c>
      <c r="C1129" s="91" t="s">
        <v>1006</v>
      </c>
      <c r="D1129" s="90">
        <v>3844</v>
      </c>
      <c r="E1129" s="90">
        <v>4231</v>
      </c>
      <c r="F1129" s="90" t="s">
        <v>1454</v>
      </c>
      <c r="G1129" s="90"/>
      <c r="H1129" s="93"/>
      <c r="I1129" s="93"/>
      <c r="J1129" s="93"/>
      <c r="K1129" s="95"/>
      <c r="L1129" s="69"/>
      <c r="M1129" s="69"/>
      <c r="N1129" s="69"/>
      <c r="O1129" s="69"/>
      <c r="P1129" s="78"/>
      <c r="Q1129" s="96"/>
      <c r="R1129" s="97"/>
      <c r="S1129" s="98"/>
    </row>
    <row r="1130" spans="1:19" ht="42.75">
      <c r="A1130" s="90" t="s">
        <v>50</v>
      </c>
      <c r="B1130" s="91" t="s">
        <v>409</v>
      </c>
      <c r="C1130" s="91" t="s">
        <v>2897</v>
      </c>
      <c r="D1130" s="90">
        <v>2445</v>
      </c>
      <c r="E1130" s="90">
        <v>2395</v>
      </c>
      <c r="F1130" s="90" t="s">
        <v>1454</v>
      </c>
      <c r="G1130" s="90"/>
      <c r="H1130" s="93"/>
      <c r="I1130" s="93"/>
      <c r="J1130" s="93"/>
      <c r="K1130" s="95"/>
      <c r="L1130" s="69"/>
      <c r="M1130" s="69"/>
      <c r="N1130" s="69"/>
      <c r="O1130" s="69"/>
      <c r="P1130" s="78"/>
      <c r="Q1130" s="96"/>
      <c r="R1130" s="97"/>
      <c r="S1130" s="98"/>
    </row>
    <row r="1131" spans="1:19" ht="42.75">
      <c r="A1131" s="90" t="s">
        <v>50</v>
      </c>
      <c r="B1131" s="91" t="s">
        <v>409</v>
      </c>
      <c r="C1131" s="91" t="s">
        <v>2898</v>
      </c>
      <c r="D1131" s="90">
        <v>4018</v>
      </c>
      <c r="E1131" s="90">
        <v>5573</v>
      </c>
      <c r="F1131" s="90" t="s">
        <v>1454</v>
      </c>
      <c r="G1131" s="90"/>
      <c r="H1131" s="93"/>
      <c r="I1131" s="93"/>
      <c r="J1131" s="93"/>
      <c r="K1131" s="95"/>
      <c r="L1131" s="69"/>
      <c r="M1131" s="69"/>
      <c r="N1131" s="69"/>
      <c r="O1131" s="69"/>
      <c r="P1131" s="78"/>
      <c r="Q1131" s="96"/>
      <c r="R1131" s="97"/>
      <c r="S1131" s="98"/>
    </row>
    <row r="1132" spans="1:19" ht="42.75">
      <c r="A1132" s="90" t="s">
        <v>50</v>
      </c>
      <c r="B1132" s="91" t="s">
        <v>409</v>
      </c>
      <c r="C1132" s="91" t="s">
        <v>2899</v>
      </c>
      <c r="D1132" s="90">
        <v>4616</v>
      </c>
      <c r="E1132" s="90">
        <v>4769</v>
      </c>
      <c r="F1132" s="90" t="s">
        <v>1454</v>
      </c>
      <c r="G1132" s="90"/>
      <c r="H1132" s="93"/>
      <c r="I1132" s="93"/>
      <c r="J1132" s="93"/>
      <c r="K1132" s="95"/>
      <c r="L1132" s="69"/>
      <c r="M1132" s="69"/>
      <c r="N1132" s="69"/>
      <c r="O1132" s="69"/>
      <c r="P1132" s="78"/>
      <c r="Q1132" s="96"/>
      <c r="R1132" s="97"/>
      <c r="S1132" s="98"/>
    </row>
    <row r="1133" spans="1:19" ht="42.75">
      <c r="A1133" s="90" t="s">
        <v>50</v>
      </c>
      <c r="B1133" s="91" t="s">
        <v>409</v>
      </c>
      <c r="C1133" s="91" t="s">
        <v>2900</v>
      </c>
      <c r="D1133" s="90">
        <v>1475</v>
      </c>
      <c r="E1133" s="90">
        <v>1788</v>
      </c>
      <c r="F1133" s="90" t="s">
        <v>1454</v>
      </c>
      <c r="G1133" s="90"/>
      <c r="H1133" s="93"/>
      <c r="I1133" s="93"/>
      <c r="J1133" s="93"/>
      <c r="K1133" s="95"/>
      <c r="L1133" s="69"/>
      <c r="M1133" s="69"/>
      <c r="N1133" s="69"/>
      <c r="O1133" s="69"/>
      <c r="P1133" s="78"/>
      <c r="Q1133" s="96"/>
      <c r="R1133" s="97"/>
      <c r="S1133" s="98"/>
    </row>
    <row r="1134" spans="1:19" ht="42.75">
      <c r="A1134" s="90" t="s">
        <v>50</v>
      </c>
      <c r="B1134" s="91" t="s">
        <v>409</v>
      </c>
      <c r="C1134" s="91" t="s">
        <v>2901</v>
      </c>
      <c r="D1134" s="90">
        <v>2234</v>
      </c>
      <c r="E1134" s="90">
        <v>838</v>
      </c>
      <c r="F1134" s="90" t="s">
        <v>1454</v>
      </c>
      <c r="G1134" s="90"/>
      <c r="H1134" s="93"/>
      <c r="I1134" s="93"/>
      <c r="J1134" s="93"/>
      <c r="K1134" s="95"/>
      <c r="L1134" s="69"/>
      <c r="M1134" s="69"/>
      <c r="N1134" s="69"/>
      <c r="O1134" s="69"/>
      <c r="P1134" s="78"/>
      <c r="Q1134" s="96"/>
      <c r="R1134" s="97"/>
      <c r="S1134" s="98"/>
    </row>
    <row r="1135" spans="1:19" ht="42.75">
      <c r="A1135" s="90" t="s">
        <v>50</v>
      </c>
      <c r="B1135" s="91" t="s">
        <v>409</v>
      </c>
      <c r="C1135" s="91" t="s">
        <v>2902</v>
      </c>
      <c r="D1135" s="90">
        <v>4766</v>
      </c>
      <c r="E1135" s="90">
        <v>5001</v>
      </c>
      <c r="F1135" s="90" t="s">
        <v>1454</v>
      </c>
      <c r="G1135" s="90"/>
      <c r="H1135" s="93"/>
      <c r="I1135" s="93"/>
      <c r="J1135" s="93"/>
      <c r="K1135" s="95"/>
      <c r="L1135" s="69"/>
      <c r="M1135" s="69"/>
      <c r="N1135" s="69"/>
      <c r="O1135" s="69"/>
      <c r="P1135" s="78"/>
      <c r="Q1135" s="96"/>
      <c r="R1135" s="97"/>
      <c r="S1135" s="98"/>
    </row>
    <row r="1136" spans="1:19" ht="42.75">
      <c r="A1136" s="90" t="s">
        <v>50</v>
      </c>
      <c r="B1136" s="91" t="s">
        <v>409</v>
      </c>
      <c r="C1136" s="91" t="s">
        <v>2903</v>
      </c>
      <c r="D1136" s="90">
        <v>1405</v>
      </c>
      <c r="E1136" s="90">
        <v>1441</v>
      </c>
      <c r="F1136" s="90" t="s">
        <v>1454</v>
      </c>
      <c r="G1136" s="90"/>
      <c r="H1136" s="93"/>
      <c r="I1136" s="93"/>
      <c r="J1136" s="93"/>
      <c r="K1136" s="95"/>
      <c r="L1136" s="69"/>
      <c r="M1136" s="69"/>
      <c r="N1136" s="69"/>
      <c r="O1136" s="69"/>
      <c r="P1136" s="78"/>
      <c r="Q1136" s="96"/>
      <c r="R1136" s="97"/>
      <c r="S1136" s="98"/>
    </row>
    <row r="1137" spans="1:19" ht="42.75">
      <c r="A1137" s="90" t="s">
        <v>50</v>
      </c>
      <c r="B1137" s="91" t="s">
        <v>409</v>
      </c>
      <c r="C1137" s="91" t="s">
        <v>2904</v>
      </c>
      <c r="D1137" s="90">
        <v>1218</v>
      </c>
      <c r="E1137" s="90">
        <v>943</v>
      </c>
      <c r="F1137" s="90" t="s">
        <v>1454</v>
      </c>
      <c r="G1137" s="90"/>
      <c r="H1137" s="93"/>
      <c r="I1137" s="93"/>
      <c r="J1137" s="93"/>
      <c r="K1137" s="95"/>
      <c r="L1137" s="69"/>
      <c r="M1137" s="69"/>
      <c r="N1137" s="69"/>
      <c r="O1137" s="69"/>
      <c r="P1137" s="78"/>
      <c r="Q1137" s="96"/>
      <c r="R1137" s="97"/>
      <c r="S1137" s="98"/>
    </row>
    <row r="1138" spans="1:19" ht="42.75">
      <c r="A1138" s="90" t="s">
        <v>50</v>
      </c>
      <c r="B1138" s="91" t="s">
        <v>409</v>
      </c>
      <c r="C1138" s="91" t="s">
        <v>2342</v>
      </c>
      <c r="D1138" s="90">
        <v>2276</v>
      </c>
      <c r="E1138" s="90">
        <v>2484</v>
      </c>
      <c r="F1138" s="90" t="s">
        <v>1454</v>
      </c>
      <c r="G1138" s="90"/>
      <c r="H1138" s="93"/>
      <c r="I1138" s="93"/>
      <c r="J1138" s="93"/>
      <c r="K1138" s="95"/>
      <c r="L1138" s="69"/>
      <c r="M1138" s="69"/>
      <c r="N1138" s="69"/>
      <c r="O1138" s="69"/>
      <c r="P1138" s="78"/>
      <c r="Q1138" s="96"/>
      <c r="R1138" s="97"/>
      <c r="S1138" s="98"/>
    </row>
    <row r="1139" spans="1:19" ht="42.75">
      <c r="A1139" s="90" t="s">
        <v>50</v>
      </c>
      <c r="B1139" s="91" t="s">
        <v>409</v>
      </c>
      <c r="C1139" s="91" t="s">
        <v>2905</v>
      </c>
      <c r="D1139" s="90">
        <v>1435</v>
      </c>
      <c r="E1139" s="90">
        <v>1318</v>
      </c>
      <c r="F1139" s="90" t="s">
        <v>1454</v>
      </c>
      <c r="G1139" s="90"/>
      <c r="H1139" s="93"/>
      <c r="I1139" s="93"/>
      <c r="J1139" s="93"/>
      <c r="K1139" s="95"/>
      <c r="L1139" s="69"/>
      <c r="M1139" s="69"/>
      <c r="N1139" s="69"/>
      <c r="O1139" s="69"/>
      <c r="P1139" s="78"/>
      <c r="Q1139" s="96"/>
      <c r="R1139" s="97"/>
      <c r="S1139" s="98"/>
    </row>
    <row r="1140" spans="1:19" ht="42.75">
      <c r="A1140" s="90" t="s">
        <v>50</v>
      </c>
      <c r="B1140" s="91" t="s">
        <v>409</v>
      </c>
      <c r="C1140" s="91" t="s">
        <v>2906</v>
      </c>
      <c r="D1140" s="90">
        <v>939</v>
      </c>
      <c r="E1140" s="90">
        <v>1096</v>
      </c>
      <c r="F1140" s="90" t="s">
        <v>1454</v>
      </c>
      <c r="G1140" s="90"/>
      <c r="H1140" s="93"/>
      <c r="I1140" s="93"/>
      <c r="J1140" s="93"/>
      <c r="K1140" s="95"/>
      <c r="L1140" s="69"/>
      <c r="M1140" s="69"/>
      <c r="N1140" s="69"/>
      <c r="O1140" s="69"/>
      <c r="P1140" s="78"/>
      <c r="Q1140" s="96"/>
      <c r="R1140" s="97"/>
      <c r="S1140" s="98"/>
    </row>
    <row r="1141" spans="1:19" ht="42.75">
      <c r="A1141" s="90" t="s">
        <v>50</v>
      </c>
      <c r="B1141" s="91" t="s">
        <v>409</v>
      </c>
      <c r="C1141" s="91" t="s">
        <v>2907</v>
      </c>
      <c r="D1141" s="90">
        <v>1642</v>
      </c>
      <c r="E1141" s="90">
        <v>1709</v>
      </c>
      <c r="F1141" s="90" t="s">
        <v>1454</v>
      </c>
      <c r="G1141" s="90"/>
      <c r="H1141" s="93"/>
      <c r="I1141" s="93"/>
      <c r="J1141" s="93"/>
      <c r="K1141" s="95"/>
      <c r="L1141" s="69"/>
      <c r="M1141" s="69"/>
      <c r="N1141" s="69"/>
      <c r="O1141" s="69"/>
      <c r="P1141" s="78"/>
      <c r="Q1141" s="96"/>
      <c r="R1141" s="97"/>
      <c r="S1141" s="98"/>
    </row>
    <row r="1142" spans="1:19" ht="42.75">
      <c r="A1142" s="90" t="s">
        <v>50</v>
      </c>
      <c r="B1142" s="91" t="s">
        <v>409</v>
      </c>
      <c r="C1142" s="91" t="s">
        <v>2908</v>
      </c>
      <c r="D1142" s="90">
        <v>1421</v>
      </c>
      <c r="E1142" s="90">
        <v>1562</v>
      </c>
      <c r="F1142" s="90" t="s">
        <v>1454</v>
      </c>
      <c r="G1142" s="90"/>
      <c r="H1142" s="93"/>
      <c r="I1142" s="93"/>
      <c r="J1142" s="93"/>
      <c r="K1142" s="95"/>
      <c r="L1142" s="69"/>
      <c r="M1142" s="69"/>
      <c r="N1142" s="69"/>
      <c r="O1142" s="69"/>
      <c r="P1142" s="78"/>
      <c r="Q1142" s="96"/>
      <c r="R1142" s="97"/>
      <c r="S1142" s="98"/>
    </row>
    <row r="1143" spans="1:19" ht="42.75">
      <c r="A1143" s="90" t="s">
        <v>50</v>
      </c>
      <c r="B1143" s="91" t="s">
        <v>507</v>
      </c>
      <c r="C1143" s="91" t="s">
        <v>2909</v>
      </c>
      <c r="D1143" s="90">
        <v>2544</v>
      </c>
      <c r="E1143" s="90">
        <v>2630</v>
      </c>
      <c r="F1143" s="90" t="s">
        <v>1454</v>
      </c>
      <c r="G1143" s="90"/>
      <c r="H1143" s="93"/>
      <c r="I1143" s="93"/>
      <c r="J1143" s="93"/>
      <c r="K1143" s="95"/>
      <c r="L1143" s="69"/>
      <c r="M1143" s="69"/>
      <c r="N1143" s="69"/>
      <c r="O1143" s="69"/>
      <c r="P1143" s="78"/>
      <c r="Q1143" s="96"/>
      <c r="R1143" s="97"/>
      <c r="S1143" s="98"/>
    </row>
    <row r="1144" spans="1:19" ht="42.75">
      <c r="A1144" s="90" t="s">
        <v>50</v>
      </c>
      <c r="B1144" s="91" t="s">
        <v>507</v>
      </c>
      <c r="C1144" s="91" t="s">
        <v>2910</v>
      </c>
      <c r="D1144" s="90">
        <v>2030</v>
      </c>
      <c r="E1144" s="90">
        <v>2162</v>
      </c>
      <c r="F1144" s="90" t="s">
        <v>1454</v>
      </c>
      <c r="G1144" s="90"/>
      <c r="H1144" s="93"/>
      <c r="I1144" s="93"/>
      <c r="J1144" s="93"/>
      <c r="K1144" s="95"/>
      <c r="L1144" s="69"/>
      <c r="M1144" s="69"/>
      <c r="N1144" s="69"/>
      <c r="O1144" s="69"/>
      <c r="P1144" s="78"/>
      <c r="Q1144" s="96"/>
      <c r="R1144" s="97"/>
      <c r="S1144" s="98"/>
    </row>
    <row r="1145" spans="1:19" ht="42.75">
      <c r="A1145" s="90" t="s">
        <v>50</v>
      </c>
      <c r="B1145" s="91" t="s">
        <v>507</v>
      </c>
      <c r="C1145" s="91" t="s">
        <v>2750</v>
      </c>
      <c r="D1145" s="90">
        <v>531</v>
      </c>
      <c r="E1145" s="90">
        <v>596</v>
      </c>
      <c r="F1145" s="90" t="s">
        <v>1454</v>
      </c>
      <c r="G1145" s="90"/>
      <c r="H1145" s="93"/>
      <c r="I1145" s="93"/>
      <c r="J1145" s="93"/>
      <c r="K1145" s="95"/>
      <c r="L1145" s="69"/>
      <c r="M1145" s="69"/>
      <c r="N1145" s="69"/>
      <c r="O1145" s="69"/>
      <c r="P1145" s="78"/>
      <c r="Q1145" s="96"/>
      <c r="R1145" s="97"/>
      <c r="S1145" s="98"/>
    </row>
    <row r="1146" spans="1:19" ht="42.75">
      <c r="A1146" s="90" t="s">
        <v>50</v>
      </c>
      <c r="B1146" s="91" t="s">
        <v>507</v>
      </c>
      <c r="C1146" s="91" t="s">
        <v>2911</v>
      </c>
      <c r="D1146" s="90">
        <v>1358</v>
      </c>
      <c r="E1146" s="90">
        <v>1523</v>
      </c>
      <c r="F1146" s="90" t="s">
        <v>1454</v>
      </c>
      <c r="G1146" s="90"/>
      <c r="H1146" s="93"/>
      <c r="I1146" s="93"/>
      <c r="J1146" s="93"/>
      <c r="K1146" s="95"/>
      <c r="L1146" s="69"/>
      <c r="M1146" s="69"/>
      <c r="N1146" s="69"/>
      <c r="O1146" s="69"/>
      <c r="P1146" s="78"/>
      <c r="Q1146" s="96"/>
      <c r="R1146" s="97"/>
      <c r="S1146" s="98"/>
    </row>
    <row r="1147" spans="1:19" ht="42.75">
      <c r="A1147" s="90" t="s">
        <v>50</v>
      </c>
      <c r="B1147" s="91" t="s">
        <v>507</v>
      </c>
      <c r="C1147" s="91" t="s">
        <v>2730</v>
      </c>
      <c r="D1147" s="90">
        <v>1198</v>
      </c>
      <c r="E1147" s="90">
        <v>1407</v>
      </c>
      <c r="F1147" s="90" t="s">
        <v>1454</v>
      </c>
      <c r="G1147" s="90"/>
      <c r="H1147" s="93"/>
      <c r="I1147" s="93"/>
      <c r="J1147" s="93"/>
      <c r="K1147" s="95"/>
      <c r="L1147" s="69"/>
      <c r="M1147" s="69"/>
      <c r="N1147" s="69"/>
      <c r="O1147" s="69"/>
      <c r="P1147" s="78"/>
      <c r="Q1147" s="96"/>
      <c r="R1147" s="97"/>
      <c r="S1147" s="98"/>
    </row>
    <row r="1148" spans="1:19" ht="42.75">
      <c r="A1148" s="90" t="s">
        <v>50</v>
      </c>
      <c r="B1148" s="91" t="s">
        <v>507</v>
      </c>
      <c r="C1148" s="91" t="s">
        <v>2912</v>
      </c>
      <c r="D1148" s="90">
        <v>1515</v>
      </c>
      <c r="E1148" s="90">
        <v>1575</v>
      </c>
      <c r="F1148" s="90" t="s">
        <v>1454</v>
      </c>
      <c r="G1148" s="90"/>
      <c r="H1148" s="93"/>
      <c r="I1148" s="93"/>
      <c r="J1148" s="93"/>
      <c r="K1148" s="95"/>
      <c r="L1148" s="69"/>
      <c r="M1148" s="69"/>
      <c r="N1148" s="69"/>
      <c r="O1148" s="69"/>
      <c r="P1148" s="78"/>
      <c r="Q1148" s="96"/>
      <c r="R1148" s="97"/>
      <c r="S1148" s="98"/>
    </row>
    <row r="1149" spans="1:19" ht="42.75">
      <c r="A1149" s="90" t="s">
        <v>50</v>
      </c>
      <c r="B1149" s="91" t="s">
        <v>507</v>
      </c>
      <c r="C1149" s="91" t="s">
        <v>2913</v>
      </c>
      <c r="D1149" s="90">
        <v>508</v>
      </c>
      <c r="E1149" s="90">
        <v>568</v>
      </c>
      <c r="F1149" s="90" t="s">
        <v>1454</v>
      </c>
      <c r="G1149" s="90"/>
      <c r="H1149" s="93"/>
      <c r="I1149" s="93"/>
      <c r="J1149" s="93"/>
      <c r="K1149" s="95"/>
      <c r="L1149" s="69"/>
      <c r="M1149" s="69"/>
      <c r="N1149" s="69"/>
      <c r="O1149" s="69"/>
      <c r="P1149" s="78"/>
      <c r="Q1149" s="96"/>
      <c r="R1149" s="97"/>
      <c r="S1149" s="98"/>
    </row>
    <row r="1150" spans="1:19" ht="42.75">
      <c r="A1150" s="90" t="s">
        <v>50</v>
      </c>
      <c r="B1150" s="91" t="s">
        <v>507</v>
      </c>
      <c r="C1150" s="91" t="s">
        <v>2914</v>
      </c>
      <c r="D1150" s="90">
        <v>1164</v>
      </c>
      <c r="E1150" s="90">
        <v>1361</v>
      </c>
      <c r="F1150" s="90" t="s">
        <v>1454</v>
      </c>
      <c r="G1150" s="90"/>
      <c r="H1150" s="93"/>
      <c r="I1150" s="93"/>
      <c r="J1150" s="93"/>
      <c r="K1150" s="95"/>
      <c r="L1150" s="69"/>
      <c r="M1150" s="69"/>
      <c r="N1150" s="69"/>
      <c r="O1150" s="69"/>
      <c r="P1150" s="78"/>
      <c r="Q1150" s="96"/>
      <c r="R1150" s="97"/>
      <c r="S1150" s="98"/>
    </row>
    <row r="1151" spans="1:19" ht="42.75">
      <c r="A1151" s="90" t="s">
        <v>50</v>
      </c>
      <c r="B1151" s="91" t="s">
        <v>507</v>
      </c>
      <c r="C1151" s="91" t="s">
        <v>1006</v>
      </c>
      <c r="D1151" s="90">
        <v>1565</v>
      </c>
      <c r="E1151" s="90">
        <v>1468</v>
      </c>
      <c r="F1151" s="90" t="s">
        <v>1454</v>
      </c>
      <c r="G1151" s="90"/>
      <c r="H1151" s="93"/>
      <c r="I1151" s="93"/>
      <c r="J1151" s="93"/>
      <c r="K1151" s="95"/>
      <c r="L1151" s="69"/>
      <c r="M1151" s="69"/>
      <c r="N1151" s="69"/>
      <c r="O1151" s="69"/>
      <c r="P1151" s="78"/>
      <c r="Q1151" s="96"/>
      <c r="R1151" s="97"/>
      <c r="S1151" s="98"/>
    </row>
    <row r="1152" spans="1:19" ht="42.75">
      <c r="A1152" s="90" t="s">
        <v>50</v>
      </c>
      <c r="B1152" s="91" t="s">
        <v>507</v>
      </c>
      <c r="C1152" s="91" t="s">
        <v>2915</v>
      </c>
      <c r="D1152" s="90">
        <v>1202</v>
      </c>
      <c r="E1152" s="90">
        <v>1066</v>
      </c>
      <c r="F1152" s="90" t="s">
        <v>1454</v>
      </c>
      <c r="G1152" s="90"/>
      <c r="H1152" s="93"/>
      <c r="I1152" s="93"/>
      <c r="J1152" s="93"/>
      <c r="K1152" s="95"/>
      <c r="L1152" s="69"/>
      <c r="M1152" s="69"/>
      <c r="N1152" s="69"/>
      <c r="O1152" s="69"/>
      <c r="P1152" s="78"/>
      <c r="Q1152" s="96"/>
      <c r="R1152" s="97"/>
      <c r="S1152" s="98"/>
    </row>
    <row r="1153" spans="1:19" ht="42.75">
      <c r="A1153" s="90" t="s">
        <v>50</v>
      </c>
      <c r="B1153" s="91" t="s">
        <v>507</v>
      </c>
      <c r="C1153" s="91" t="s">
        <v>2916</v>
      </c>
      <c r="D1153" s="90">
        <v>710</v>
      </c>
      <c r="E1153" s="90">
        <v>782</v>
      </c>
      <c r="F1153" s="90" t="s">
        <v>1454</v>
      </c>
      <c r="G1153" s="90"/>
      <c r="H1153" s="93"/>
      <c r="I1153" s="93"/>
      <c r="J1153" s="93"/>
      <c r="K1153" s="95"/>
      <c r="L1153" s="69"/>
      <c r="M1153" s="69"/>
      <c r="N1153" s="69"/>
      <c r="O1153" s="69"/>
      <c r="P1153" s="78"/>
      <c r="Q1153" s="96"/>
      <c r="R1153" s="97"/>
      <c r="S1153" s="98"/>
    </row>
    <row r="1154" spans="1:19" ht="42.75">
      <c r="A1154" s="90" t="s">
        <v>50</v>
      </c>
      <c r="B1154" s="91" t="s">
        <v>507</v>
      </c>
      <c r="C1154" s="91" t="s">
        <v>2917</v>
      </c>
      <c r="D1154" s="90">
        <v>689</v>
      </c>
      <c r="E1154" s="90">
        <v>763</v>
      </c>
      <c r="F1154" s="90" t="s">
        <v>1454</v>
      </c>
      <c r="G1154" s="90"/>
      <c r="H1154" s="93"/>
      <c r="I1154" s="93"/>
      <c r="J1154" s="93"/>
      <c r="K1154" s="95"/>
      <c r="L1154" s="69"/>
      <c r="M1154" s="69"/>
      <c r="N1154" s="69"/>
      <c r="O1154" s="69"/>
      <c r="P1154" s="78"/>
      <c r="Q1154" s="96"/>
      <c r="R1154" s="97"/>
      <c r="S1154" s="98"/>
    </row>
    <row r="1155" spans="1:19" ht="42.75">
      <c r="A1155" s="90" t="s">
        <v>50</v>
      </c>
      <c r="B1155" s="91" t="s">
        <v>507</v>
      </c>
      <c r="C1155" s="91" t="s">
        <v>2918</v>
      </c>
      <c r="D1155" s="90">
        <v>958</v>
      </c>
      <c r="E1155" s="90">
        <v>1084</v>
      </c>
      <c r="F1155" s="90" t="s">
        <v>1454</v>
      </c>
      <c r="G1155" s="90"/>
      <c r="H1155" s="93"/>
      <c r="I1155" s="93"/>
      <c r="J1155" s="93"/>
      <c r="K1155" s="95"/>
      <c r="L1155" s="69"/>
      <c r="M1155" s="69"/>
      <c r="N1155" s="69"/>
      <c r="O1155" s="69"/>
      <c r="P1155" s="78"/>
      <c r="Q1155" s="96"/>
      <c r="R1155" s="97"/>
      <c r="S1155" s="98"/>
    </row>
    <row r="1156" spans="1:19" ht="42.75">
      <c r="A1156" s="90" t="s">
        <v>50</v>
      </c>
      <c r="B1156" s="91" t="s">
        <v>507</v>
      </c>
      <c r="C1156" s="91" t="s">
        <v>2919</v>
      </c>
      <c r="D1156" s="90">
        <v>1636</v>
      </c>
      <c r="E1156" s="90">
        <v>1724</v>
      </c>
      <c r="F1156" s="90" t="s">
        <v>1454</v>
      </c>
      <c r="G1156" s="90"/>
      <c r="H1156" s="93"/>
      <c r="I1156" s="93"/>
      <c r="J1156" s="93"/>
      <c r="K1156" s="95"/>
      <c r="L1156" s="69"/>
      <c r="M1156" s="69"/>
      <c r="N1156" s="69"/>
      <c r="O1156" s="69"/>
      <c r="P1156" s="78"/>
      <c r="Q1156" s="96"/>
      <c r="R1156" s="97"/>
      <c r="S1156" s="98"/>
    </row>
    <row r="1157" spans="1:19" ht="42.75">
      <c r="A1157" s="90" t="s">
        <v>50</v>
      </c>
      <c r="B1157" s="91" t="s">
        <v>507</v>
      </c>
      <c r="C1157" s="91" t="s">
        <v>2920</v>
      </c>
      <c r="D1157" s="90">
        <v>678</v>
      </c>
      <c r="E1157" s="90">
        <v>727</v>
      </c>
      <c r="F1157" s="90" t="s">
        <v>1454</v>
      </c>
      <c r="G1157" s="90"/>
      <c r="H1157" s="93"/>
      <c r="I1157" s="93"/>
      <c r="J1157" s="93"/>
      <c r="K1157" s="95"/>
      <c r="L1157" s="69"/>
      <c r="M1157" s="69"/>
      <c r="N1157" s="69"/>
      <c r="O1157" s="69"/>
      <c r="P1157" s="78"/>
      <c r="Q1157" s="96"/>
      <c r="R1157" s="97"/>
      <c r="S1157" s="98"/>
    </row>
    <row r="1158" spans="1:19" ht="42.75">
      <c r="A1158" s="90" t="s">
        <v>50</v>
      </c>
      <c r="B1158" s="91" t="s">
        <v>507</v>
      </c>
      <c r="C1158" s="91" t="s">
        <v>2921</v>
      </c>
      <c r="D1158" s="90">
        <v>641</v>
      </c>
      <c r="E1158" s="90">
        <v>816</v>
      </c>
      <c r="F1158" s="90" t="s">
        <v>1454</v>
      </c>
      <c r="G1158" s="90"/>
      <c r="H1158" s="93"/>
      <c r="I1158" s="93"/>
      <c r="J1158" s="93"/>
      <c r="K1158" s="95"/>
      <c r="L1158" s="69"/>
      <c r="M1158" s="69"/>
      <c r="N1158" s="69"/>
      <c r="O1158" s="69"/>
      <c r="P1158" s="78"/>
      <c r="Q1158" s="96"/>
      <c r="R1158" s="97"/>
      <c r="S1158" s="98"/>
    </row>
    <row r="1159" spans="1:19" ht="42.75">
      <c r="A1159" s="90" t="s">
        <v>50</v>
      </c>
      <c r="B1159" s="91" t="s">
        <v>507</v>
      </c>
      <c r="C1159" s="91" t="s">
        <v>2755</v>
      </c>
      <c r="D1159" s="90">
        <v>867</v>
      </c>
      <c r="E1159" s="90">
        <v>981</v>
      </c>
      <c r="F1159" s="90" t="s">
        <v>1454</v>
      </c>
      <c r="G1159" s="90"/>
      <c r="H1159" s="93"/>
      <c r="I1159" s="93"/>
      <c r="J1159" s="93"/>
      <c r="K1159" s="95"/>
      <c r="L1159" s="69"/>
      <c r="M1159" s="69"/>
      <c r="N1159" s="69"/>
      <c r="O1159" s="69"/>
      <c r="P1159" s="78"/>
      <c r="Q1159" s="96"/>
      <c r="R1159" s="97"/>
      <c r="S1159" s="98"/>
    </row>
    <row r="1160" spans="1:19" ht="42.75">
      <c r="A1160" s="90" t="s">
        <v>50</v>
      </c>
      <c r="B1160" s="91" t="s">
        <v>507</v>
      </c>
      <c r="C1160" s="91" t="s">
        <v>2922</v>
      </c>
      <c r="D1160" s="90">
        <v>1061</v>
      </c>
      <c r="E1160" s="90">
        <v>1015</v>
      </c>
      <c r="F1160" s="90" t="s">
        <v>1454</v>
      </c>
      <c r="G1160" s="90"/>
      <c r="H1160" s="93"/>
      <c r="I1160" s="93"/>
      <c r="J1160" s="93"/>
      <c r="K1160" s="95"/>
      <c r="L1160" s="69"/>
      <c r="M1160" s="69"/>
      <c r="N1160" s="69"/>
      <c r="O1160" s="69"/>
      <c r="P1160" s="78"/>
      <c r="Q1160" s="96"/>
      <c r="R1160" s="97"/>
      <c r="S1160" s="98"/>
    </row>
    <row r="1161" spans="1:19" ht="42.75">
      <c r="A1161" s="90" t="s">
        <v>50</v>
      </c>
      <c r="B1161" s="91" t="s">
        <v>507</v>
      </c>
      <c r="C1161" s="91" t="s">
        <v>2923</v>
      </c>
      <c r="D1161" s="90">
        <v>1522</v>
      </c>
      <c r="E1161" s="90">
        <v>1472</v>
      </c>
      <c r="F1161" s="90" t="s">
        <v>1454</v>
      </c>
      <c r="G1161" s="90"/>
      <c r="H1161" s="93"/>
      <c r="I1161" s="93"/>
      <c r="J1161" s="93"/>
      <c r="K1161" s="95"/>
      <c r="L1161" s="69"/>
      <c r="M1161" s="69"/>
      <c r="N1161" s="69"/>
      <c r="O1161" s="69"/>
      <c r="P1161" s="78"/>
      <c r="Q1161" s="96"/>
      <c r="R1161" s="97"/>
      <c r="S1161" s="98"/>
    </row>
    <row r="1162" spans="1:19" ht="42.75">
      <c r="A1162" s="90" t="s">
        <v>50</v>
      </c>
      <c r="B1162" s="91" t="s">
        <v>507</v>
      </c>
      <c r="C1162" s="91" t="s">
        <v>2924</v>
      </c>
      <c r="D1162" s="90">
        <v>1340</v>
      </c>
      <c r="E1162" s="90">
        <v>1372</v>
      </c>
      <c r="F1162" s="90" t="s">
        <v>1454</v>
      </c>
      <c r="G1162" s="90"/>
      <c r="H1162" s="93"/>
      <c r="I1162" s="93"/>
      <c r="J1162" s="93"/>
      <c r="K1162" s="95"/>
      <c r="L1162" s="69"/>
      <c r="M1162" s="69"/>
      <c r="N1162" s="69"/>
      <c r="O1162" s="69"/>
      <c r="P1162" s="78"/>
      <c r="Q1162" s="96"/>
      <c r="R1162" s="97"/>
      <c r="S1162" s="98"/>
    </row>
    <row r="1163" spans="1:19" ht="42.75">
      <c r="A1163" s="90" t="s">
        <v>50</v>
      </c>
      <c r="B1163" s="91" t="s">
        <v>507</v>
      </c>
      <c r="C1163" s="91" t="s">
        <v>2925</v>
      </c>
      <c r="D1163" s="90">
        <v>975</v>
      </c>
      <c r="E1163" s="90">
        <v>887</v>
      </c>
      <c r="F1163" s="90" t="s">
        <v>1454</v>
      </c>
      <c r="G1163" s="90"/>
      <c r="H1163" s="93"/>
      <c r="I1163" s="93"/>
      <c r="J1163" s="93"/>
      <c r="K1163" s="95"/>
      <c r="L1163" s="69"/>
      <c r="M1163" s="69"/>
      <c r="N1163" s="69"/>
      <c r="O1163" s="69"/>
      <c r="P1163" s="78"/>
      <c r="Q1163" s="96"/>
      <c r="R1163" s="97"/>
      <c r="S1163" s="98"/>
    </row>
    <row r="1164" spans="1:19" ht="42.75">
      <c r="A1164" s="90" t="s">
        <v>50</v>
      </c>
      <c r="B1164" s="91" t="s">
        <v>507</v>
      </c>
      <c r="C1164" s="91" t="s">
        <v>2926</v>
      </c>
      <c r="D1164" s="90">
        <v>1762</v>
      </c>
      <c r="E1164" s="90">
        <v>1776</v>
      </c>
      <c r="F1164" s="90" t="s">
        <v>1454</v>
      </c>
      <c r="G1164" s="90"/>
      <c r="H1164" s="93"/>
      <c r="I1164" s="93"/>
      <c r="J1164" s="93"/>
      <c r="K1164" s="95"/>
      <c r="L1164" s="69"/>
      <c r="M1164" s="69"/>
      <c r="N1164" s="69"/>
      <c r="O1164" s="69"/>
      <c r="P1164" s="78"/>
      <c r="Q1164" s="96"/>
      <c r="R1164" s="97"/>
      <c r="S1164" s="98"/>
    </row>
    <row r="1165" spans="1:19" ht="42.75">
      <c r="A1165" s="90" t="s">
        <v>50</v>
      </c>
      <c r="B1165" s="91" t="s">
        <v>507</v>
      </c>
      <c r="C1165" s="91" t="s">
        <v>2927</v>
      </c>
      <c r="D1165" s="90">
        <v>719</v>
      </c>
      <c r="E1165" s="90">
        <v>740</v>
      </c>
      <c r="F1165" s="90" t="s">
        <v>1454</v>
      </c>
      <c r="G1165" s="90"/>
      <c r="H1165" s="93"/>
      <c r="I1165" s="93"/>
      <c r="J1165" s="93"/>
      <c r="K1165" s="95"/>
      <c r="L1165" s="69"/>
      <c r="M1165" s="69"/>
      <c r="N1165" s="69"/>
      <c r="O1165" s="69"/>
      <c r="P1165" s="78"/>
      <c r="Q1165" s="96"/>
      <c r="R1165" s="97"/>
      <c r="S1165" s="98"/>
    </row>
    <row r="1166" spans="1:19" ht="42.75">
      <c r="A1166" s="90" t="s">
        <v>50</v>
      </c>
      <c r="B1166" s="91" t="s">
        <v>507</v>
      </c>
      <c r="C1166" s="91" t="s">
        <v>2928</v>
      </c>
      <c r="D1166" s="90">
        <v>1255</v>
      </c>
      <c r="E1166" s="90">
        <v>1269</v>
      </c>
      <c r="F1166" s="90" t="s">
        <v>1454</v>
      </c>
      <c r="G1166" s="90"/>
      <c r="H1166" s="93"/>
      <c r="I1166" s="93"/>
      <c r="J1166" s="93"/>
      <c r="K1166" s="95"/>
      <c r="L1166" s="69"/>
      <c r="M1166" s="69"/>
      <c r="N1166" s="69"/>
      <c r="O1166" s="69"/>
      <c r="P1166" s="78"/>
      <c r="Q1166" s="96"/>
      <c r="R1166" s="97"/>
      <c r="S1166" s="98"/>
    </row>
    <row r="1167" spans="1:19" ht="42.75">
      <c r="A1167" s="90" t="s">
        <v>50</v>
      </c>
      <c r="B1167" s="91" t="s">
        <v>507</v>
      </c>
      <c r="C1167" s="91" t="s">
        <v>2929</v>
      </c>
      <c r="D1167" s="90">
        <v>824</v>
      </c>
      <c r="E1167" s="90">
        <v>828</v>
      </c>
      <c r="F1167" s="90" t="s">
        <v>1454</v>
      </c>
      <c r="G1167" s="90"/>
      <c r="H1167" s="93"/>
      <c r="I1167" s="93"/>
      <c r="J1167" s="93"/>
      <c r="K1167" s="95"/>
      <c r="L1167" s="69"/>
      <c r="M1167" s="69"/>
      <c r="N1167" s="69"/>
      <c r="O1167" s="69"/>
      <c r="P1167" s="78"/>
      <c r="Q1167" s="96"/>
      <c r="R1167" s="97"/>
      <c r="S1167" s="98"/>
    </row>
    <row r="1168" spans="1:19" ht="42.75">
      <c r="A1168" s="90" t="s">
        <v>50</v>
      </c>
      <c r="B1168" s="91" t="s">
        <v>507</v>
      </c>
      <c r="C1168" s="91" t="s">
        <v>2930</v>
      </c>
      <c r="D1168" s="90">
        <v>2169</v>
      </c>
      <c r="E1168" s="90">
        <v>2204</v>
      </c>
      <c r="F1168" s="90" t="s">
        <v>1454</v>
      </c>
      <c r="G1168" s="90"/>
      <c r="H1168" s="93"/>
      <c r="I1168" s="93"/>
      <c r="J1168" s="93"/>
      <c r="K1168" s="95"/>
      <c r="L1168" s="69"/>
      <c r="M1168" s="69"/>
      <c r="N1168" s="69"/>
      <c r="O1168" s="69"/>
      <c r="P1168" s="78"/>
      <c r="Q1168" s="96"/>
      <c r="R1168" s="97"/>
      <c r="S1168" s="98"/>
    </row>
    <row r="1169" spans="1:19" ht="42.75">
      <c r="A1169" s="90" t="s">
        <v>50</v>
      </c>
      <c r="B1169" s="91" t="s">
        <v>507</v>
      </c>
      <c r="C1169" s="91" t="s">
        <v>2931</v>
      </c>
      <c r="D1169" s="90">
        <v>1186</v>
      </c>
      <c r="E1169" s="90">
        <v>1146</v>
      </c>
      <c r="F1169" s="90" t="s">
        <v>1454</v>
      </c>
      <c r="G1169" s="90"/>
      <c r="H1169" s="93"/>
      <c r="I1169" s="93"/>
      <c r="J1169" s="93"/>
      <c r="K1169" s="95"/>
      <c r="L1169" s="69"/>
      <c r="M1169" s="69"/>
      <c r="N1169" s="69"/>
      <c r="O1169" s="69"/>
      <c r="P1169" s="78"/>
      <c r="Q1169" s="96"/>
      <c r="R1169" s="97"/>
      <c r="S1169" s="98"/>
    </row>
    <row r="1170" spans="1:19" ht="42.75">
      <c r="A1170" s="90" t="s">
        <v>50</v>
      </c>
      <c r="B1170" s="91" t="s">
        <v>507</v>
      </c>
      <c r="C1170" s="91" t="s">
        <v>2932</v>
      </c>
      <c r="D1170" s="90">
        <v>1287</v>
      </c>
      <c r="E1170" s="90">
        <v>1305</v>
      </c>
      <c r="F1170" s="90" t="s">
        <v>1454</v>
      </c>
      <c r="G1170" s="90"/>
      <c r="H1170" s="93"/>
      <c r="I1170" s="93"/>
      <c r="J1170" s="93"/>
      <c r="K1170" s="95"/>
      <c r="L1170" s="69"/>
      <c r="M1170" s="69"/>
      <c r="N1170" s="69"/>
      <c r="O1170" s="69"/>
      <c r="P1170" s="78"/>
      <c r="Q1170" s="96"/>
      <c r="R1170" s="97"/>
      <c r="S1170" s="98"/>
    </row>
    <row r="1171" spans="1:19" ht="42.75">
      <c r="A1171" s="90" t="s">
        <v>50</v>
      </c>
      <c r="B1171" s="91" t="s">
        <v>507</v>
      </c>
      <c r="C1171" s="91" t="s">
        <v>2933</v>
      </c>
      <c r="D1171" s="90">
        <v>681</v>
      </c>
      <c r="E1171" s="90">
        <v>693</v>
      </c>
      <c r="F1171" s="90" t="s">
        <v>1454</v>
      </c>
      <c r="G1171" s="90"/>
      <c r="H1171" s="93"/>
      <c r="I1171" s="93"/>
      <c r="J1171" s="93"/>
      <c r="K1171" s="95"/>
      <c r="L1171" s="69"/>
      <c r="M1171" s="69"/>
      <c r="N1171" s="69"/>
      <c r="O1171" s="69"/>
      <c r="P1171" s="78"/>
      <c r="Q1171" s="96"/>
      <c r="R1171" s="97"/>
      <c r="S1171" s="98"/>
    </row>
    <row r="1172" spans="1:19" ht="42.75">
      <c r="A1172" s="90" t="s">
        <v>50</v>
      </c>
      <c r="B1172" s="91" t="s">
        <v>507</v>
      </c>
      <c r="C1172" s="91" t="s">
        <v>2934</v>
      </c>
      <c r="D1172" s="90">
        <v>1616</v>
      </c>
      <c r="E1172" s="90">
        <v>1918</v>
      </c>
      <c r="F1172" s="90" t="s">
        <v>1454</v>
      </c>
      <c r="G1172" s="90"/>
      <c r="H1172" s="93"/>
      <c r="I1172" s="93"/>
      <c r="J1172" s="93"/>
      <c r="K1172" s="95"/>
      <c r="L1172" s="69"/>
      <c r="M1172" s="69"/>
      <c r="N1172" s="69"/>
      <c r="O1172" s="69"/>
      <c r="P1172" s="78"/>
      <c r="Q1172" s="96"/>
      <c r="R1172" s="97"/>
      <c r="S1172" s="98"/>
    </row>
    <row r="1173" spans="1:19" ht="42.75">
      <c r="A1173" s="90" t="s">
        <v>50</v>
      </c>
      <c r="B1173" s="91" t="s">
        <v>507</v>
      </c>
      <c r="C1173" s="91" t="s">
        <v>1036</v>
      </c>
      <c r="D1173" s="90">
        <v>648</v>
      </c>
      <c r="E1173" s="90">
        <v>645</v>
      </c>
      <c r="F1173" s="90" t="s">
        <v>1454</v>
      </c>
      <c r="G1173" s="90"/>
      <c r="H1173" s="93"/>
      <c r="I1173" s="93"/>
      <c r="J1173" s="93"/>
      <c r="K1173" s="95"/>
      <c r="L1173" s="69"/>
      <c r="M1173" s="69"/>
      <c r="N1173" s="69"/>
      <c r="O1173" s="69"/>
      <c r="P1173" s="78"/>
      <c r="Q1173" s="96"/>
      <c r="R1173" s="97"/>
      <c r="S1173" s="98"/>
    </row>
    <row r="1174" spans="1:19" ht="42.75">
      <c r="A1174" s="90" t="s">
        <v>50</v>
      </c>
      <c r="B1174" s="91" t="s">
        <v>507</v>
      </c>
      <c r="C1174" s="91" t="s">
        <v>2935</v>
      </c>
      <c r="D1174" s="90">
        <v>1553</v>
      </c>
      <c r="E1174" s="90">
        <v>1686</v>
      </c>
      <c r="F1174" s="90" t="s">
        <v>1454</v>
      </c>
      <c r="G1174" s="90"/>
      <c r="H1174" s="93"/>
      <c r="I1174" s="93"/>
      <c r="J1174" s="93"/>
      <c r="K1174" s="95"/>
      <c r="L1174" s="69"/>
      <c r="M1174" s="69"/>
      <c r="N1174" s="69"/>
      <c r="O1174" s="69"/>
      <c r="P1174" s="78"/>
      <c r="Q1174" s="96"/>
      <c r="R1174" s="97"/>
      <c r="S1174" s="98"/>
    </row>
    <row r="1175" spans="1:19" ht="42.75">
      <c r="A1175" s="90" t="s">
        <v>50</v>
      </c>
      <c r="B1175" s="91" t="s">
        <v>507</v>
      </c>
      <c r="C1175" s="91" t="s">
        <v>2936</v>
      </c>
      <c r="D1175" s="90">
        <v>1387</v>
      </c>
      <c r="E1175" s="90">
        <v>1552</v>
      </c>
      <c r="F1175" s="90" t="s">
        <v>1454</v>
      </c>
      <c r="G1175" s="90"/>
      <c r="H1175" s="93"/>
      <c r="I1175" s="93"/>
      <c r="J1175" s="93"/>
      <c r="K1175" s="95"/>
      <c r="L1175" s="69"/>
      <c r="M1175" s="69"/>
      <c r="N1175" s="69"/>
      <c r="O1175" s="69"/>
      <c r="P1175" s="78"/>
      <c r="Q1175" s="96"/>
      <c r="R1175" s="97"/>
      <c r="S1175" s="98"/>
    </row>
    <row r="1176" spans="1:19" ht="42.75">
      <c r="A1176" s="90" t="s">
        <v>50</v>
      </c>
      <c r="B1176" s="91" t="s">
        <v>507</v>
      </c>
      <c r="C1176" s="91" t="s">
        <v>2937</v>
      </c>
      <c r="D1176" s="90">
        <v>1555</v>
      </c>
      <c r="E1176" s="90">
        <v>1720</v>
      </c>
      <c r="F1176" s="90" t="s">
        <v>1454</v>
      </c>
      <c r="G1176" s="90"/>
      <c r="H1176" s="93"/>
      <c r="I1176" s="93"/>
      <c r="J1176" s="93"/>
      <c r="K1176" s="95"/>
      <c r="L1176" s="69"/>
      <c r="M1176" s="69"/>
      <c r="N1176" s="69"/>
      <c r="O1176" s="69"/>
      <c r="P1176" s="78"/>
      <c r="Q1176" s="96"/>
      <c r="R1176" s="97"/>
      <c r="S1176" s="98"/>
    </row>
    <row r="1177" spans="1:19" ht="42.75">
      <c r="A1177" s="90" t="s">
        <v>50</v>
      </c>
      <c r="B1177" s="91" t="s">
        <v>507</v>
      </c>
      <c r="C1177" s="91" t="s">
        <v>2938</v>
      </c>
      <c r="D1177" s="90">
        <v>1850</v>
      </c>
      <c r="E1177" s="90">
        <v>1886</v>
      </c>
      <c r="F1177" s="90" t="s">
        <v>1454</v>
      </c>
      <c r="G1177" s="90"/>
      <c r="H1177" s="93"/>
      <c r="I1177" s="93"/>
      <c r="J1177" s="93"/>
      <c r="K1177" s="95"/>
      <c r="L1177" s="69"/>
      <c r="M1177" s="69"/>
      <c r="N1177" s="69"/>
      <c r="O1177" s="69"/>
      <c r="P1177" s="78"/>
      <c r="Q1177" s="96"/>
      <c r="R1177" s="97"/>
      <c r="S1177" s="98"/>
    </row>
    <row r="1178" spans="1:19" ht="42.75">
      <c r="A1178" s="90" t="s">
        <v>50</v>
      </c>
      <c r="B1178" s="91" t="s">
        <v>507</v>
      </c>
      <c r="C1178" s="91" t="s">
        <v>2939</v>
      </c>
      <c r="D1178" s="90">
        <v>998</v>
      </c>
      <c r="E1178" s="90">
        <v>1012</v>
      </c>
      <c r="F1178" s="90" t="s">
        <v>1454</v>
      </c>
      <c r="G1178" s="90"/>
      <c r="H1178" s="93"/>
      <c r="I1178" s="93"/>
      <c r="J1178" s="93"/>
      <c r="K1178" s="95"/>
      <c r="L1178" s="69"/>
      <c r="M1178" s="69"/>
      <c r="N1178" s="69"/>
      <c r="O1178" s="69"/>
      <c r="P1178" s="78"/>
      <c r="Q1178" s="96"/>
      <c r="R1178" s="97"/>
      <c r="S1178" s="98"/>
    </row>
    <row r="1179" spans="1:19" ht="42.75">
      <c r="A1179" s="90" t="s">
        <v>50</v>
      </c>
      <c r="B1179" s="91" t="s">
        <v>507</v>
      </c>
      <c r="C1179" s="91" t="s">
        <v>2940</v>
      </c>
      <c r="D1179" s="90">
        <v>1215</v>
      </c>
      <c r="E1179" s="90">
        <v>1260</v>
      </c>
      <c r="F1179" s="90" t="s">
        <v>1454</v>
      </c>
      <c r="G1179" s="90"/>
      <c r="H1179" s="93"/>
      <c r="I1179" s="93"/>
      <c r="J1179" s="93"/>
      <c r="K1179" s="95"/>
      <c r="L1179" s="69"/>
      <c r="M1179" s="69"/>
      <c r="N1179" s="69"/>
      <c r="O1179" s="69"/>
      <c r="P1179" s="78"/>
      <c r="Q1179" s="96"/>
      <c r="R1179" s="97"/>
      <c r="S1179" s="98"/>
    </row>
    <row r="1180" spans="1:19" ht="42.75">
      <c r="A1180" s="90" t="s">
        <v>50</v>
      </c>
      <c r="B1180" s="91" t="s">
        <v>507</v>
      </c>
      <c r="C1180" s="91" t="s">
        <v>2941</v>
      </c>
      <c r="D1180" s="90">
        <v>665</v>
      </c>
      <c r="E1180" s="90">
        <v>660</v>
      </c>
      <c r="F1180" s="90" t="s">
        <v>1454</v>
      </c>
      <c r="G1180" s="90"/>
      <c r="H1180" s="93"/>
      <c r="I1180" s="93"/>
      <c r="J1180" s="93"/>
      <c r="K1180" s="95"/>
      <c r="L1180" s="69"/>
      <c r="M1180" s="69"/>
      <c r="N1180" s="69"/>
      <c r="O1180" s="69"/>
      <c r="P1180" s="78"/>
      <c r="Q1180" s="96"/>
      <c r="R1180" s="97"/>
      <c r="S1180" s="98"/>
    </row>
    <row r="1181" spans="1:19" ht="42.75">
      <c r="A1181" s="90" t="s">
        <v>50</v>
      </c>
      <c r="B1181" s="91" t="s">
        <v>507</v>
      </c>
      <c r="C1181" s="91" t="s">
        <v>444</v>
      </c>
      <c r="D1181" s="90">
        <v>856</v>
      </c>
      <c r="E1181" s="90">
        <v>913</v>
      </c>
      <c r="F1181" s="90" t="s">
        <v>1454</v>
      </c>
      <c r="G1181" s="90"/>
      <c r="H1181" s="93"/>
      <c r="I1181" s="93"/>
      <c r="J1181" s="93"/>
      <c r="K1181" s="95"/>
      <c r="L1181" s="69"/>
      <c r="M1181" s="69"/>
      <c r="N1181" s="69"/>
      <c r="O1181" s="69"/>
      <c r="P1181" s="78"/>
      <c r="Q1181" s="96"/>
      <c r="R1181" s="97"/>
      <c r="S1181" s="98"/>
    </row>
    <row r="1182" spans="1:19" ht="42.75">
      <c r="A1182" s="90" t="s">
        <v>50</v>
      </c>
      <c r="B1182" s="91" t="s">
        <v>507</v>
      </c>
      <c r="C1182" s="91" t="s">
        <v>784</v>
      </c>
      <c r="D1182" s="90">
        <v>1633</v>
      </c>
      <c r="E1182" s="90">
        <v>1510</v>
      </c>
      <c r="F1182" s="90" t="s">
        <v>1454</v>
      </c>
      <c r="G1182" s="90"/>
      <c r="H1182" s="93"/>
      <c r="I1182" s="93"/>
      <c r="J1182" s="93"/>
      <c r="K1182" s="95"/>
      <c r="L1182" s="69"/>
      <c r="M1182" s="69"/>
      <c r="N1182" s="69"/>
      <c r="O1182" s="69"/>
      <c r="P1182" s="78"/>
      <c r="Q1182" s="96"/>
      <c r="R1182" s="97"/>
      <c r="S1182" s="98"/>
    </row>
    <row r="1183" spans="1:19" ht="42.75">
      <c r="A1183" s="90" t="s">
        <v>50</v>
      </c>
      <c r="B1183" s="91" t="s">
        <v>507</v>
      </c>
      <c r="C1183" s="91" t="s">
        <v>2942</v>
      </c>
      <c r="D1183" s="90">
        <v>1388</v>
      </c>
      <c r="E1183" s="90">
        <v>1390</v>
      </c>
      <c r="F1183" s="90" t="s">
        <v>1454</v>
      </c>
      <c r="G1183" s="90"/>
      <c r="H1183" s="93"/>
      <c r="I1183" s="93"/>
      <c r="J1183" s="93"/>
      <c r="K1183" s="95"/>
      <c r="L1183" s="69"/>
      <c r="M1183" s="69"/>
      <c r="N1183" s="69"/>
      <c r="O1183" s="69"/>
      <c r="P1183" s="78"/>
      <c r="Q1183" s="96"/>
      <c r="R1183" s="97"/>
      <c r="S1183" s="98"/>
    </row>
    <row r="1184" spans="1:19" ht="42.75">
      <c r="A1184" s="90" t="s">
        <v>50</v>
      </c>
      <c r="B1184" s="91" t="s">
        <v>507</v>
      </c>
      <c r="C1184" s="91" t="s">
        <v>714</v>
      </c>
      <c r="D1184" s="90">
        <v>4118</v>
      </c>
      <c r="E1184" s="90">
        <v>4341</v>
      </c>
      <c r="F1184" s="90" t="s">
        <v>1454</v>
      </c>
      <c r="G1184" s="90"/>
      <c r="H1184" s="93"/>
      <c r="I1184" s="93"/>
      <c r="J1184" s="93"/>
      <c r="K1184" s="95"/>
      <c r="L1184" s="69"/>
      <c r="M1184" s="69"/>
      <c r="N1184" s="69"/>
      <c r="O1184" s="69"/>
      <c r="P1184" s="78"/>
      <c r="Q1184" s="96"/>
      <c r="R1184" s="97"/>
      <c r="S1184" s="98"/>
    </row>
    <row r="1185" spans="1:19" ht="42.75">
      <c r="A1185" s="90" t="s">
        <v>50</v>
      </c>
      <c r="B1185" s="91" t="s">
        <v>507</v>
      </c>
      <c r="C1185" s="91" t="s">
        <v>427</v>
      </c>
      <c r="D1185" s="90">
        <v>1266</v>
      </c>
      <c r="E1185" s="90">
        <v>1318</v>
      </c>
      <c r="F1185" s="90" t="s">
        <v>1454</v>
      </c>
      <c r="G1185" s="90"/>
      <c r="H1185" s="93"/>
      <c r="I1185" s="93"/>
      <c r="J1185" s="93"/>
      <c r="K1185" s="95"/>
      <c r="L1185" s="69"/>
      <c r="M1185" s="69"/>
      <c r="N1185" s="69"/>
      <c r="O1185" s="69"/>
      <c r="P1185" s="78"/>
      <c r="Q1185" s="96"/>
      <c r="R1185" s="97"/>
      <c r="S1185" s="98"/>
    </row>
    <row r="1186" spans="1:19" ht="42.75">
      <c r="A1186" s="90" t="s">
        <v>50</v>
      </c>
      <c r="B1186" s="91" t="s">
        <v>507</v>
      </c>
      <c r="C1186" s="91" t="s">
        <v>764</v>
      </c>
      <c r="D1186" s="90">
        <v>597</v>
      </c>
      <c r="E1186" s="90">
        <v>625</v>
      </c>
      <c r="F1186" s="90" t="s">
        <v>1454</v>
      </c>
      <c r="G1186" s="90"/>
      <c r="H1186" s="93"/>
      <c r="I1186" s="93"/>
      <c r="J1186" s="93"/>
      <c r="K1186" s="95"/>
      <c r="L1186" s="69"/>
      <c r="M1186" s="69"/>
      <c r="N1186" s="69"/>
      <c r="O1186" s="69"/>
      <c r="P1186" s="78"/>
      <c r="Q1186" s="96"/>
      <c r="R1186" s="97"/>
      <c r="S1186" s="98"/>
    </row>
    <row r="1187" spans="1:19" ht="42.75">
      <c r="A1187" s="90" t="s">
        <v>50</v>
      </c>
      <c r="B1187" s="91" t="s">
        <v>507</v>
      </c>
      <c r="C1187" s="91" t="s">
        <v>2718</v>
      </c>
      <c r="D1187" s="90">
        <v>1678</v>
      </c>
      <c r="E1187" s="90">
        <v>1740</v>
      </c>
      <c r="F1187" s="90" t="s">
        <v>1454</v>
      </c>
      <c r="G1187" s="90"/>
      <c r="H1187" s="93"/>
      <c r="I1187" s="93"/>
      <c r="J1187" s="93"/>
      <c r="K1187" s="95"/>
      <c r="L1187" s="69"/>
      <c r="M1187" s="69"/>
      <c r="N1187" s="69"/>
      <c r="O1187" s="69"/>
      <c r="P1187" s="78"/>
      <c r="Q1187" s="96"/>
      <c r="R1187" s="97"/>
      <c r="S1187" s="98"/>
    </row>
    <row r="1188" spans="1:19" ht="42.75">
      <c r="A1188" s="90" t="s">
        <v>50</v>
      </c>
      <c r="B1188" s="91" t="s">
        <v>507</v>
      </c>
      <c r="C1188" s="91" t="s">
        <v>554</v>
      </c>
      <c r="D1188" s="90">
        <v>1128</v>
      </c>
      <c r="E1188" s="90">
        <v>1189</v>
      </c>
      <c r="F1188" s="90" t="s">
        <v>1454</v>
      </c>
      <c r="G1188" s="90"/>
      <c r="H1188" s="93"/>
      <c r="I1188" s="93"/>
      <c r="J1188" s="93"/>
      <c r="K1188" s="95"/>
      <c r="L1188" s="69"/>
      <c r="M1188" s="69"/>
      <c r="N1188" s="69"/>
      <c r="O1188" s="69"/>
      <c r="P1188" s="78"/>
      <c r="Q1188" s="96"/>
      <c r="R1188" s="97"/>
      <c r="S1188" s="98"/>
    </row>
    <row r="1189" spans="1:19" ht="42.75">
      <c r="A1189" s="90" t="s">
        <v>50</v>
      </c>
      <c r="B1189" s="91" t="s">
        <v>507</v>
      </c>
      <c r="C1189" s="91" t="s">
        <v>2943</v>
      </c>
      <c r="D1189" s="90">
        <v>1151</v>
      </c>
      <c r="E1189" s="90">
        <v>1235</v>
      </c>
      <c r="F1189" s="90" t="s">
        <v>1454</v>
      </c>
      <c r="G1189" s="90"/>
      <c r="H1189" s="93"/>
      <c r="I1189" s="93"/>
      <c r="J1189" s="93"/>
      <c r="K1189" s="95"/>
      <c r="L1189" s="69"/>
      <c r="M1189" s="69"/>
      <c r="N1189" s="69"/>
      <c r="O1189" s="69"/>
      <c r="P1189" s="78"/>
      <c r="Q1189" s="96"/>
      <c r="R1189" s="97"/>
      <c r="S1189" s="98"/>
    </row>
    <row r="1190" spans="1:19" ht="42.75">
      <c r="A1190" s="90" t="s">
        <v>50</v>
      </c>
      <c r="B1190" s="91" t="s">
        <v>507</v>
      </c>
      <c r="C1190" s="91" t="s">
        <v>2944</v>
      </c>
      <c r="D1190" s="90">
        <v>1027</v>
      </c>
      <c r="E1190" s="90">
        <v>1042</v>
      </c>
      <c r="F1190" s="90" t="s">
        <v>1454</v>
      </c>
      <c r="G1190" s="90"/>
      <c r="H1190" s="93"/>
      <c r="I1190" s="93"/>
      <c r="J1190" s="93"/>
      <c r="K1190" s="95"/>
      <c r="L1190" s="69"/>
      <c r="M1190" s="69"/>
      <c r="N1190" s="69"/>
      <c r="O1190" s="69"/>
      <c r="P1190" s="78"/>
      <c r="Q1190" s="96"/>
      <c r="R1190" s="97"/>
      <c r="S1190" s="98"/>
    </row>
    <row r="1191" spans="1:19" ht="42.75">
      <c r="A1191" s="90" t="s">
        <v>50</v>
      </c>
      <c r="B1191" s="91" t="s">
        <v>507</v>
      </c>
      <c r="C1191" s="91" t="s">
        <v>2945</v>
      </c>
      <c r="D1191" s="90">
        <v>958</v>
      </c>
      <c r="E1191" s="90">
        <v>1055</v>
      </c>
      <c r="F1191" s="90" t="s">
        <v>1454</v>
      </c>
      <c r="G1191" s="90"/>
      <c r="H1191" s="93"/>
      <c r="I1191" s="93"/>
      <c r="J1191" s="93"/>
      <c r="K1191" s="95"/>
      <c r="L1191" s="69"/>
      <c r="M1191" s="69"/>
      <c r="N1191" s="69"/>
      <c r="O1191" s="69"/>
      <c r="P1191" s="78"/>
      <c r="Q1191" s="96"/>
      <c r="R1191" s="97"/>
      <c r="S1191" s="98"/>
    </row>
    <row r="1192" spans="1:19" ht="42.75">
      <c r="A1192" s="90" t="s">
        <v>50</v>
      </c>
      <c r="B1192" s="91" t="s">
        <v>507</v>
      </c>
      <c r="C1192" s="91" t="s">
        <v>2946</v>
      </c>
      <c r="D1192" s="90">
        <v>1895</v>
      </c>
      <c r="E1192" s="90">
        <v>2057</v>
      </c>
      <c r="F1192" s="90" t="s">
        <v>1454</v>
      </c>
      <c r="G1192" s="90"/>
      <c r="H1192" s="93"/>
      <c r="I1192" s="93"/>
      <c r="J1192" s="93"/>
      <c r="K1192" s="95"/>
      <c r="L1192" s="69"/>
      <c r="M1192" s="69"/>
      <c r="N1192" s="69"/>
      <c r="O1192" s="69"/>
      <c r="P1192" s="78"/>
      <c r="Q1192" s="96"/>
      <c r="R1192" s="97"/>
      <c r="S1192" s="98"/>
    </row>
    <row r="1193" spans="1:19" ht="42.75">
      <c r="A1193" s="90" t="s">
        <v>50</v>
      </c>
      <c r="B1193" s="91" t="s">
        <v>507</v>
      </c>
      <c r="C1193" s="91" t="s">
        <v>2947</v>
      </c>
      <c r="D1193" s="90">
        <v>1282</v>
      </c>
      <c r="E1193" s="90">
        <v>1372</v>
      </c>
      <c r="F1193" s="90" t="s">
        <v>1454</v>
      </c>
      <c r="G1193" s="90"/>
      <c r="H1193" s="93"/>
      <c r="I1193" s="93"/>
      <c r="J1193" s="93"/>
      <c r="K1193" s="95"/>
      <c r="L1193" s="69"/>
      <c r="M1193" s="69"/>
      <c r="N1193" s="69"/>
      <c r="O1193" s="69"/>
      <c r="P1193" s="78"/>
      <c r="Q1193" s="96"/>
      <c r="R1193" s="97"/>
      <c r="S1193" s="98"/>
    </row>
    <row r="1194" spans="1:19" ht="42.75">
      <c r="A1194" s="90" t="s">
        <v>50</v>
      </c>
      <c r="B1194" s="91" t="s">
        <v>386</v>
      </c>
      <c r="C1194" s="91" t="s">
        <v>2777</v>
      </c>
      <c r="D1194" s="90">
        <v>2725</v>
      </c>
      <c r="E1194" s="90">
        <v>2939</v>
      </c>
      <c r="F1194" s="90" t="s">
        <v>1454</v>
      </c>
      <c r="G1194" s="90"/>
      <c r="H1194" s="93"/>
      <c r="I1194" s="93"/>
      <c r="J1194" s="93"/>
      <c r="K1194" s="95"/>
      <c r="L1194" s="69"/>
      <c r="M1194" s="69"/>
      <c r="N1194" s="69"/>
      <c r="O1194" s="69"/>
      <c r="P1194" s="78"/>
      <c r="Q1194" s="96"/>
      <c r="R1194" s="97"/>
      <c r="S1194" s="98"/>
    </row>
    <row r="1195" spans="1:19" ht="42.75">
      <c r="A1195" s="90" t="s">
        <v>50</v>
      </c>
      <c r="B1195" s="91" t="s">
        <v>386</v>
      </c>
      <c r="C1195" s="91" t="s">
        <v>2948</v>
      </c>
      <c r="D1195" s="90">
        <v>3138</v>
      </c>
      <c r="E1195" s="90">
        <v>3525</v>
      </c>
      <c r="F1195" s="90" t="s">
        <v>1454</v>
      </c>
      <c r="G1195" s="90"/>
      <c r="H1195" s="93"/>
      <c r="I1195" s="93"/>
      <c r="J1195" s="93"/>
      <c r="K1195" s="95"/>
      <c r="L1195" s="69"/>
      <c r="M1195" s="69"/>
      <c r="N1195" s="69"/>
      <c r="O1195" s="69"/>
      <c r="P1195" s="78"/>
      <c r="Q1195" s="96"/>
      <c r="R1195" s="97"/>
      <c r="S1195" s="98"/>
    </row>
    <row r="1196" spans="1:19" ht="42.75">
      <c r="A1196" s="90" t="s">
        <v>50</v>
      </c>
      <c r="B1196" s="91" t="s">
        <v>386</v>
      </c>
      <c r="C1196" s="91" t="s">
        <v>2750</v>
      </c>
      <c r="D1196" s="90">
        <v>1099</v>
      </c>
      <c r="E1196" s="90">
        <v>1299</v>
      </c>
      <c r="F1196" s="90" t="s">
        <v>1454</v>
      </c>
      <c r="G1196" s="90"/>
      <c r="H1196" s="93"/>
      <c r="I1196" s="93"/>
      <c r="J1196" s="93"/>
      <c r="K1196" s="95"/>
      <c r="L1196" s="69"/>
      <c r="M1196" s="69"/>
      <c r="N1196" s="69"/>
      <c r="O1196" s="69"/>
      <c r="P1196" s="78"/>
      <c r="Q1196" s="96"/>
      <c r="R1196" s="97"/>
      <c r="S1196" s="98"/>
    </row>
    <row r="1197" spans="1:19" ht="42.75">
      <c r="A1197" s="90" t="s">
        <v>50</v>
      </c>
      <c r="B1197" s="91" t="s">
        <v>386</v>
      </c>
      <c r="C1197" s="91" t="s">
        <v>2949</v>
      </c>
      <c r="D1197" s="90">
        <v>2734</v>
      </c>
      <c r="E1197" s="90">
        <v>2918</v>
      </c>
      <c r="F1197" s="90" t="s">
        <v>1454</v>
      </c>
      <c r="G1197" s="90"/>
      <c r="H1197" s="93"/>
      <c r="I1197" s="93"/>
      <c r="J1197" s="93"/>
      <c r="K1197" s="95"/>
      <c r="L1197" s="69"/>
      <c r="M1197" s="69"/>
      <c r="N1197" s="69"/>
      <c r="O1197" s="69"/>
      <c r="P1197" s="78"/>
      <c r="Q1197" s="96"/>
      <c r="R1197" s="97"/>
      <c r="S1197" s="98"/>
    </row>
    <row r="1198" spans="1:19" ht="42.75">
      <c r="A1198" s="90" t="s">
        <v>50</v>
      </c>
      <c r="B1198" s="91" t="s">
        <v>386</v>
      </c>
      <c r="C1198" s="91" t="s">
        <v>2950</v>
      </c>
      <c r="D1198" s="90">
        <v>2528</v>
      </c>
      <c r="E1198" s="90">
        <v>3050</v>
      </c>
      <c r="F1198" s="90" t="s">
        <v>1454</v>
      </c>
      <c r="G1198" s="90"/>
      <c r="H1198" s="93"/>
      <c r="I1198" s="93"/>
      <c r="J1198" s="93"/>
      <c r="K1198" s="95"/>
      <c r="L1198" s="69"/>
      <c r="M1198" s="69"/>
      <c r="N1198" s="69"/>
      <c r="O1198" s="69"/>
      <c r="P1198" s="78"/>
      <c r="Q1198" s="96"/>
      <c r="R1198" s="97"/>
      <c r="S1198" s="98"/>
    </row>
    <row r="1199" spans="1:19" ht="42.75">
      <c r="A1199" s="90" t="s">
        <v>50</v>
      </c>
      <c r="B1199" s="91" t="s">
        <v>386</v>
      </c>
      <c r="C1199" s="91" t="s">
        <v>2951</v>
      </c>
      <c r="D1199" s="90">
        <v>1100</v>
      </c>
      <c r="E1199" s="90">
        <v>1110</v>
      </c>
      <c r="F1199" s="90" t="s">
        <v>1454</v>
      </c>
      <c r="G1199" s="90"/>
      <c r="H1199" s="93"/>
      <c r="I1199" s="93"/>
      <c r="J1199" s="93"/>
      <c r="K1199" s="95"/>
      <c r="L1199" s="69"/>
      <c r="M1199" s="69"/>
      <c r="N1199" s="69"/>
      <c r="O1199" s="69"/>
      <c r="P1199" s="78"/>
      <c r="Q1199" s="96"/>
      <c r="R1199" s="97"/>
      <c r="S1199" s="98"/>
    </row>
    <row r="1200" spans="1:19" ht="42.75">
      <c r="A1200" s="90" t="s">
        <v>50</v>
      </c>
      <c r="B1200" s="91" t="s">
        <v>386</v>
      </c>
      <c r="C1200" s="91" t="s">
        <v>1067</v>
      </c>
      <c r="D1200" s="90">
        <v>510</v>
      </c>
      <c r="E1200" s="90">
        <v>573</v>
      </c>
      <c r="F1200" s="90" t="s">
        <v>1454</v>
      </c>
      <c r="G1200" s="90"/>
      <c r="H1200" s="93"/>
      <c r="I1200" s="93"/>
      <c r="J1200" s="93"/>
      <c r="K1200" s="95"/>
      <c r="L1200" s="69"/>
      <c r="M1200" s="69"/>
      <c r="N1200" s="69"/>
      <c r="O1200" s="69"/>
      <c r="P1200" s="78"/>
      <c r="Q1200" s="96"/>
      <c r="R1200" s="97"/>
      <c r="S1200" s="98"/>
    </row>
    <row r="1201" spans="1:19" ht="42.75">
      <c r="A1201" s="90" t="s">
        <v>50</v>
      </c>
      <c r="B1201" s="91" t="s">
        <v>386</v>
      </c>
      <c r="C1201" s="91" t="s">
        <v>2952</v>
      </c>
      <c r="D1201" s="90">
        <v>2063</v>
      </c>
      <c r="E1201" s="90">
        <v>1892</v>
      </c>
      <c r="F1201" s="90" t="s">
        <v>1454</v>
      </c>
      <c r="G1201" s="90"/>
      <c r="H1201" s="93"/>
      <c r="I1201" s="93"/>
      <c r="J1201" s="93"/>
      <c r="K1201" s="95"/>
      <c r="L1201" s="69"/>
      <c r="M1201" s="69"/>
      <c r="N1201" s="69"/>
      <c r="O1201" s="69"/>
      <c r="P1201" s="78"/>
      <c r="Q1201" s="96"/>
      <c r="R1201" s="97"/>
      <c r="S1201" s="98"/>
    </row>
    <row r="1202" spans="1:19" ht="42.75">
      <c r="A1202" s="90" t="s">
        <v>50</v>
      </c>
      <c r="B1202" s="91" t="s">
        <v>386</v>
      </c>
      <c r="C1202" s="91" t="s">
        <v>2953</v>
      </c>
      <c r="D1202" s="90">
        <v>5788</v>
      </c>
      <c r="E1202" s="90">
        <v>6167</v>
      </c>
      <c r="F1202" s="90" t="s">
        <v>1454</v>
      </c>
      <c r="G1202" s="90"/>
      <c r="H1202" s="93"/>
      <c r="I1202" s="93"/>
      <c r="J1202" s="93"/>
      <c r="K1202" s="95"/>
      <c r="L1202" s="69"/>
      <c r="M1202" s="69"/>
      <c r="N1202" s="69"/>
      <c r="O1202" s="69"/>
      <c r="P1202" s="78"/>
      <c r="Q1202" s="96"/>
      <c r="R1202" s="97"/>
      <c r="S1202" s="98"/>
    </row>
    <row r="1203" spans="1:19" ht="42.75">
      <c r="A1203" s="90" t="s">
        <v>50</v>
      </c>
      <c r="B1203" s="91" t="s">
        <v>386</v>
      </c>
      <c r="C1203" s="91" t="s">
        <v>2954</v>
      </c>
      <c r="D1203" s="90">
        <v>1345</v>
      </c>
      <c r="E1203" s="90">
        <v>1552</v>
      </c>
      <c r="F1203" s="90" t="s">
        <v>1454</v>
      </c>
      <c r="G1203" s="90"/>
      <c r="H1203" s="93"/>
      <c r="I1203" s="93"/>
      <c r="J1203" s="93"/>
      <c r="K1203" s="95"/>
      <c r="L1203" s="69"/>
      <c r="M1203" s="69"/>
      <c r="N1203" s="69"/>
      <c r="O1203" s="69"/>
      <c r="P1203" s="78"/>
      <c r="Q1203" s="96"/>
      <c r="R1203" s="97"/>
      <c r="S1203" s="98"/>
    </row>
    <row r="1204" spans="1:19" ht="42.75">
      <c r="A1204" s="90" t="s">
        <v>50</v>
      </c>
      <c r="B1204" s="91" t="s">
        <v>386</v>
      </c>
      <c r="C1204" s="91" t="s">
        <v>2955</v>
      </c>
      <c r="D1204" s="90">
        <v>1896</v>
      </c>
      <c r="E1204" s="90">
        <v>2531</v>
      </c>
      <c r="F1204" s="90" t="s">
        <v>1454</v>
      </c>
      <c r="G1204" s="90"/>
      <c r="H1204" s="93"/>
      <c r="I1204" s="93"/>
      <c r="J1204" s="93"/>
      <c r="K1204" s="95"/>
      <c r="L1204" s="69"/>
      <c r="M1204" s="69"/>
      <c r="N1204" s="69"/>
      <c r="O1204" s="69"/>
      <c r="P1204" s="78"/>
      <c r="Q1204" s="96"/>
      <c r="R1204" s="97"/>
      <c r="S1204" s="98"/>
    </row>
    <row r="1205" spans="1:19" ht="42.75">
      <c r="A1205" s="90" t="s">
        <v>50</v>
      </c>
      <c r="B1205" s="91" t="s">
        <v>386</v>
      </c>
      <c r="C1205" s="91" t="s">
        <v>590</v>
      </c>
      <c r="D1205" s="90">
        <v>1614</v>
      </c>
      <c r="E1205" s="90">
        <v>1837</v>
      </c>
      <c r="F1205" s="90" t="s">
        <v>1454</v>
      </c>
      <c r="G1205" s="90"/>
      <c r="H1205" s="93"/>
      <c r="I1205" s="93"/>
      <c r="J1205" s="93"/>
      <c r="K1205" s="95"/>
      <c r="L1205" s="69"/>
      <c r="M1205" s="69"/>
      <c r="N1205" s="69"/>
      <c r="O1205" s="69"/>
      <c r="P1205" s="78"/>
      <c r="Q1205" s="96"/>
      <c r="R1205" s="97"/>
      <c r="S1205" s="98"/>
    </row>
    <row r="1206" spans="1:19" ht="42.75">
      <c r="A1206" s="90" t="s">
        <v>50</v>
      </c>
      <c r="B1206" s="91" t="s">
        <v>386</v>
      </c>
      <c r="C1206" s="91" t="s">
        <v>2956</v>
      </c>
      <c r="D1206" s="90">
        <v>649</v>
      </c>
      <c r="E1206" s="90">
        <v>730</v>
      </c>
      <c r="F1206" s="90" t="s">
        <v>1454</v>
      </c>
      <c r="G1206" s="90"/>
      <c r="H1206" s="93"/>
      <c r="I1206" s="93"/>
      <c r="J1206" s="93"/>
      <c r="K1206" s="95"/>
      <c r="L1206" s="69"/>
      <c r="M1206" s="69"/>
      <c r="N1206" s="69"/>
      <c r="O1206" s="69"/>
      <c r="P1206" s="78"/>
      <c r="Q1206" s="96"/>
      <c r="R1206" s="97"/>
      <c r="S1206" s="98"/>
    </row>
    <row r="1207" spans="1:19" ht="42.75">
      <c r="A1207" s="90" t="s">
        <v>50</v>
      </c>
      <c r="B1207" s="91" t="s">
        <v>386</v>
      </c>
      <c r="C1207" s="91" t="s">
        <v>607</v>
      </c>
      <c r="D1207" s="90">
        <v>4327</v>
      </c>
      <c r="E1207" s="90">
        <v>4687</v>
      </c>
      <c r="F1207" s="90" t="s">
        <v>1454</v>
      </c>
      <c r="G1207" s="90"/>
      <c r="H1207" s="93"/>
      <c r="I1207" s="93"/>
      <c r="J1207" s="93"/>
      <c r="K1207" s="95"/>
      <c r="L1207" s="69"/>
      <c r="M1207" s="69"/>
      <c r="N1207" s="69"/>
      <c r="O1207" s="69"/>
      <c r="P1207" s="78"/>
      <c r="Q1207" s="96"/>
      <c r="R1207" s="97"/>
      <c r="S1207" s="98"/>
    </row>
    <row r="1208" spans="1:19" ht="42.75">
      <c r="A1208" s="90" t="s">
        <v>50</v>
      </c>
      <c r="B1208" s="91" t="s">
        <v>386</v>
      </c>
      <c r="C1208" s="91" t="s">
        <v>2957</v>
      </c>
      <c r="D1208" s="90">
        <v>1476</v>
      </c>
      <c r="E1208" s="90">
        <v>1578</v>
      </c>
      <c r="F1208" s="90" t="s">
        <v>1454</v>
      </c>
      <c r="G1208" s="90"/>
      <c r="H1208" s="93"/>
      <c r="I1208" s="93"/>
      <c r="J1208" s="93"/>
      <c r="K1208" s="95"/>
      <c r="L1208" s="69"/>
      <c r="M1208" s="69"/>
      <c r="N1208" s="69"/>
      <c r="O1208" s="69"/>
      <c r="P1208" s="78"/>
      <c r="Q1208" s="96"/>
      <c r="R1208" s="97"/>
      <c r="S1208" s="98"/>
    </row>
    <row r="1209" spans="1:19" ht="42.75">
      <c r="A1209" s="90" t="s">
        <v>50</v>
      </c>
      <c r="B1209" s="91" t="s">
        <v>386</v>
      </c>
      <c r="C1209" s="91" t="s">
        <v>1030</v>
      </c>
      <c r="D1209" s="90">
        <v>2391</v>
      </c>
      <c r="E1209" s="90">
        <v>2570</v>
      </c>
      <c r="F1209" s="90" t="s">
        <v>1454</v>
      </c>
      <c r="G1209" s="90"/>
      <c r="H1209" s="93"/>
      <c r="I1209" s="93"/>
      <c r="J1209" s="93"/>
      <c r="K1209" s="95"/>
      <c r="L1209" s="69"/>
      <c r="M1209" s="69"/>
      <c r="N1209" s="69"/>
      <c r="O1209" s="69"/>
      <c r="P1209" s="78"/>
      <c r="Q1209" s="96"/>
      <c r="R1209" s="97"/>
      <c r="S1209" s="98"/>
    </row>
    <row r="1210" spans="1:19" ht="42.75">
      <c r="A1210" s="90" t="s">
        <v>50</v>
      </c>
      <c r="B1210" s="91" t="s">
        <v>2958</v>
      </c>
      <c r="C1210" s="91" t="s">
        <v>1611</v>
      </c>
      <c r="D1210" s="90">
        <v>5128</v>
      </c>
      <c r="E1210" s="90">
        <v>5504</v>
      </c>
      <c r="F1210" s="90" t="s">
        <v>1454</v>
      </c>
      <c r="G1210" s="90"/>
      <c r="H1210" s="93"/>
      <c r="I1210" s="122"/>
      <c r="J1210" s="122"/>
      <c r="K1210" s="95"/>
      <c r="L1210" s="69"/>
      <c r="M1210" s="69"/>
      <c r="N1210" s="69"/>
      <c r="O1210" s="69"/>
      <c r="P1210" s="78"/>
      <c r="Q1210" s="96"/>
      <c r="R1210" s="97"/>
      <c r="S1210" s="98"/>
    </row>
    <row r="1211" spans="1:19" ht="42.75">
      <c r="A1211" s="90" t="s">
        <v>50</v>
      </c>
      <c r="B1211" s="91" t="s">
        <v>2958</v>
      </c>
      <c r="C1211" s="91" t="s">
        <v>2959</v>
      </c>
      <c r="D1211" s="90">
        <v>2279</v>
      </c>
      <c r="E1211" s="90">
        <v>2588</v>
      </c>
      <c r="F1211" s="90" t="s">
        <v>1434</v>
      </c>
      <c r="G1211" s="90">
        <v>2024</v>
      </c>
      <c r="H1211" s="147">
        <v>45463</v>
      </c>
      <c r="I1211" s="100">
        <v>45465</v>
      </c>
      <c r="J1211" s="107" t="s">
        <v>2894</v>
      </c>
      <c r="K1211" s="119">
        <v>45474</v>
      </c>
      <c r="L1211" s="69" t="s">
        <v>80</v>
      </c>
      <c r="M1211" s="69" t="s">
        <v>4</v>
      </c>
      <c r="N1211" s="69" t="s">
        <v>101</v>
      </c>
      <c r="O1211" s="69" t="s">
        <v>1436</v>
      </c>
      <c r="P1211" s="78"/>
      <c r="Q1211" s="70">
        <v>45474</v>
      </c>
      <c r="R1211" s="97"/>
      <c r="S1211" s="98"/>
    </row>
    <row r="1212" spans="1:19" ht="42.75">
      <c r="A1212" s="90" t="s">
        <v>50</v>
      </c>
      <c r="B1212" s="91" t="s">
        <v>2958</v>
      </c>
      <c r="C1212" s="91" t="s">
        <v>2960</v>
      </c>
      <c r="D1212" s="90">
        <v>5010</v>
      </c>
      <c r="E1212" s="90">
        <v>5813</v>
      </c>
      <c r="F1212" s="90" t="s">
        <v>1454</v>
      </c>
      <c r="G1212" s="90"/>
      <c r="H1212" s="93"/>
      <c r="I1212" s="93"/>
      <c r="J1212" s="93"/>
      <c r="K1212" s="95"/>
      <c r="L1212" s="69"/>
      <c r="M1212" s="69"/>
      <c r="N1212" s="69"/>
      <c r="O1212" s="69"/>
      <c r="P1212" s="78"/>
      <c r="Q1212" s="96"/>
      <c r="R1212" s="97"/>
      <c r="S1212" s="98"/>
    </row>
    <row r="1213" spans="1:19" ht="42.75">
      <c r="A1213" s="90" t="s">
        <v>50</v>
      </c>
      <c r="B1213" s="91" t="s">
        <v>2958</v>
      </c>
      <c r="C1213" s="91" t="s">
        <v>2961</v>
      </c>
      <c r="D1213" s="90">
        <v>2293</v>
      </c>
      <c r="E1213" s="90">
        <v>2524</v>
      </c>
      <c r="F1213" s="90" t="s">
        <v>1434</v>
      </c>
      <c r="G1213" s="90">
        <v>2024</v>
      </c>
      <c r="H1213" s="101">
        <v>45463</v>
      </c>
      <c r="I1213" s="101">
        <v>45465</v>
      </c>
      <c r="J1213" s="94" t="s">
        <v>2962</v>
      </c>
      <c r="K1213" s="100">
        <v>45474</v>
      </c>
      <c r="L1213" s="69" t="s">
        <v>80</v>
      </c>
      <c r="M1213" s="69" t="s">
        <v>4</v>
      </c>
      <c r="N1213" s="69" t="s">
        <v>101</v>
      </c>
      <c r="O1213" s="69" t="s">
        <v>1436</v>
      </c>
      <c r="P1213" s="78"/>
      <c r="Q1213" s="70">
        <v>45474</v>
      </c>
      <c r="R1213" s="97"/>
      <c r="S1213" s="98"/>
    </row>
    <row r="1214" spans="1:19" ht="42.75">
      <c r="A1214" s="90" t="s">
        <v>50</v>
      </c>
      <c r="B1214" s="91" t="s">
        <v>2958</v>
      </c>
      <c r="C1214" s="91" t="s">
        <v>2963</v>
      </c>
      <c r="D1214" s="90">
        <v>2914</v>
      </c>
      <c r="E1214" s="90">
        <v>3711</v>
      </c>
      <c r="F1214" s="90" t="s">
        <v>1434</v>
      </c>
      <c r="G1214" s="90">
        <v>2024</v>
      </c>
      <c r="H1214" s="101">
        <v>45463</v>
      </c>
      <c r="I1214" s="101">
        <v>45465</v>
      </c>
      <c r="J1214" s="94" t="s">
        <v>2964</v>
      </c>
      <c r="K1214" s="100">
        <v>45474</v>
      </c>
      <c r="L1214" s="69" t="s">
        <v>80</v>
      </c>
      <c r="M1214" s="69" t="s">
        <v>4</v>
      </c>
      <c r="N1214" s="69" t="s">
        <v>101</v>
      </c>
      <c r="O1214" s="69" t="s">
        <v>1436</v>
      </c>
      <c r="P1214" s="78"/>
      <c r="Q1214" s="70">
        <v>45474</v>
      </c>
      <c r="R1214" s="97"/>
      <c r="S1214" s="98"/>
    </row>
    <row r="1215" spans="1:19" ht="42.75">
      <c r="A1215" s="90" t="s">
        <v>50</v>
      </c>
      <c r="B1215" s="91" t="s">
        <v>2958</v>
      </c>
      <c r="C1215" s="91" t="s">
        <v>2965</v>
      </c>
      <c r="D1215" s="90">
        <v>10694</v>
      </c>
      <c r="E1215" s="90">
        <v>12922</v>
      </c>
      <c r="F1215" s="90" t="s">
        <v>1434</v>
      </c>
      <c r="G1215" s="90">
        <v>2024</v>
      </c>
      <c r="H1215" s="101">
        <v>45611</v>
      </c>
      <c r="I1215" s="101">
        <v>45613</v>
      </c>
      <c r="J1215" s="94" t="s">
        <v>2966</v>
      </c>
      <c r="K1215" s="100">
        <v>45616</v>
      </c>
      <c r="L1215" s="69" t="s">
        <v>84</v>
      </c>
      <c r="M1215" s="69" t="s">
        <v>4</v>
      </c>
      <c r="N1215" s="69" t="s">
        <v>101</v>
      </c>
      <c r="O1215" s="69" t="s">
        <v>1436</v>
      </c>
      <c r="P1215" s="78"/>
      <c r="Q1215" s="96">
        <v>45616</v>
      </c>
      <c r="R1215" s="97" t="s">
        <v>929</v>
      </c>
      <c r="S1215" s="98"/>
    </row>
    <row r="1216" spans="1:19" ht="42.75">
      <c r="A1216" s="90" t="s">
        <v>50</v>
      </c>
      <c r="B1216" s="91" t="s">
        <v>2958</v>
      </c>
      <c r="C1216" s="91" t="s">
        <v>2967</v>
      </c>
      <c r="D1216" s="90">
        <v>1926</v>
      </c>
      <c r="E1216" s="90">
        <v>2004</v>
      </c>
      <c r="F1216" s="90" t="s">
        <v>1434</v>
      </c>
      <c r="G1216" s="90">
        <v>2024</v>
      </c>
      <c r="H1216" s="101">
        <v>45610</v>
      </c>
      <c r="I1216" s="101">
        <v>45613</v>
      </c>
      <c r="J1216" s="94" t="s">
        <v>2968</v>
      </c>
      <c r="K1216" s="100">
        <v>45616</v>
      </c>
      <c r="L1216" s="69" t="s">
        <v>84</v>
      </c>
      <c r="M1216" s="69" t="s">
        <v>4</v>
      </c>
      <c r="N1216" s="69" t="s">
        <v>101</v>
      </c>
      <c r="O1216" s="69" t="s">
        <v>1436</v>
      </c>
      <c r="P1216" s="78"/>
      <c r="Q1216" s="96">
        <v>45618</v>
      </c>
      <c r="R1216" s="97" t="s">
        <v>929</v>
      </c>
      <c r="S1216" s="98"/>
    </row>
    <row r="1217" spans="1:19" ht="42.75">
      <c r="A1217" s="90" t="s">
        <v>50</v>
      </c>
      <c r="B1217" s="91" t="s">
        <v>2958</v>
      </c>
      <c r="C1217" s="91" t="s">
        <v>1071</v>
      </c>
      <c r="D1217" s="90">
        <v>11943</v>
      </c>
      <c r="E1217" s="90">
        <v>15370</v>
      </c>
      <c r="F1217" s="90" t="s">
        <v>1454</v>
      </c>
      <c r="G1217" s="90"/>
      <c r="H1217" s="93"/>
      <c r="I1217" s="93"/>
      <c r="J1217" s="93"/>
      <c r="K1217" s="95"/>
      <c r="L1217" s="69"/>
      <c r="M1217" s="69"/>
      <c r="N1217" s="69"/>
      <c r="O1217" s="69"/>
      <c r="P1217" s="78"/>
      <c r="Q1217" s="96"/>
      <c r="R1217" s="97"/>
      <c r="S1217" s="98"/>
    </row>
    <row r="1218" spans="1:19" ht="42.75">
      <c r="A1218" s="90" t="s">
        <v>50</v>
      </c>
      <c r="B1218" s="91" t="s">
        <v>2958</v>
      </c>
      <c r="C1218" s="91" t="s">
        <v>2969</v>
      </c>
      <c r="D1218" s="90">
        <v>1394</v>
      </c>
      <c r="E1218" s="90">
        <v>1820</v>
      </c>
      <c r="F1218" s="90" t="s">
        <v>1454</v>
      </c>
      <c r="G1218" s="90"/>
      <c r="H1218" s="93"/>
      <c r="I1218" s="93"/>
      <c r="J1218" s="93"/>
      <c r="K1218" s="95"/>
      <c r="L1218" s="69"/>
      <c r="M1218" s="69"/>
      <c r="N1218" s="69"/>
      <c r="O1218" s="69"/>
      <c r="P1218" s="78"/>
      <c r="Q1218" s="96"/>
      <c r="R1218" s="97"/>
      <c r="S1218" s="98"/>
    </row>
    <row r="1219" spans="1:19" ht="42.75">
      <c r="A1219" s="90" t="s">
        <v>50</v>
      </c>
      <c r="B1219" s="91" t="s">
        <v>2958</v>
      </c>
      <c r="C1219" s="91" t="s">
        <v>2970</v>
      </c>
      <c r="D1219" s="90">
        <v>5633</v>
      </c>
      <c r="E1219" s="90">
        <v>5933</v>
      </c>
      <c r="F1219" s="90" t="s">
        <v>1434</v>
      </c>
      <c r="G1219" s="90">
        <v>2024</v>
      </c>
      <c r="H1219" s="101">
        <v>45317</v>
      </c>
      <c r="I1219" s="101">
        <v>45569</v>
      </c>
      <c r="J1219" s="94" t="s">
        <v>2971</v>
      </c>
      <c r="K1219" s="95"/>
      <c r="L1219" s="69" t="s">
        <v>75</v>
      </c>
      <c r="M1219" s="69"/>
      <c r="N1219" s="69"/>
      <c r="O1219" s="69" t="s">
        <v>1436</v>
      </c>
      <c r="P1219" s="78"/>
      <c r="Q1219" s="96"/>
      <c r="R1219" s="97"/>
      <c r="S1219" s="98"/>
    </row>
    <row r="1220" spans="1:19" ht="42.75">
      <c r="A1220" s="90" t="s">
        <v>50</v>
      </c>
      <c r="B1220" s="91" t="s">
        <v>2958</v>
      </c>
      <c r="C1220" s="91" t="s">
        <v>717</v>
      </c>
      <c r="D1220" s="90">
        <v>12771</v>
      </c>
      <c r="E1220" s="90">
        <v>13142</v>
      </c>
      <c r="F1220" s="90" t="s">
        <v>1454</v>
      </c>
      <c r="G1220" s="90">
        <v>2025</v>
      </c>
      <c r="H1220" s="93"/>
      <c r="I1220" s="93"/>
      <c r="J1220" s="93"/>
      <c r="K1220" s="95"/>
      <c r="L1220" s="69" t="s">
        <v>74</v>
      </c>
      <c r="M1220" s="69"/>
      <c r="N1220" s="69"/>
      <c r="O1220" s="69"/>
      <c r="P1220" s="78"/>
      <c r="Q1220" s="96"/>
      <c r="R1220" s="97"/>
      <c r="S1220" s="98"/>
    </row>
    <row r="1221" spans="1:19" ht="42.75">
      <c r="A1221" s="90" t="s">
        <v>50</v>
      </c>
      <c r="B1221" s="91" t="s">
        <v>2958</v>
      </c>
      <c r="C1221" s="91" t="s">
        <v>2234</v>
      </c>
      <c r="D1221" s="90">
        <v>8699</v>
      </c>
      <c r="E1221" s="90">
        <v>9525</v>
      </c>
      <c r="F1221" s="90" t="s">
        <v>1454</v>
      </c>
      <c r="G1221" s="90"/>
      <c r="H1221" s="93"/>
      <c r="I1221" s="93"/>
      <c r="J1221" s="93"/>
      <c r="K1221" s="95"/>
      <c r="L1221" s="69"/>
      <c r="M1221" s="69"/>
      <c r="N1221" s="69"/>
      <c r="O1221" s="69"/>
      <c r="P1221" s="78"/>
      <c r="Q1221" s="96"/>
      <c r="R1221" s="97"/>
      <c r="S1221" s="98"/>
    </row>
    <row r="1222" spans="1:19" ht="42.75">
      <c r="A1222" s="90" t="s">
        <v>50</v>
      </c>
      <c r="B1222" s="91" t="s">
        <v>2958</v>
      </c>
      <c r="C1222" s="91" t="s">
        <v>2117</v>
      </c>
      <c r="D1222" s="90">
        <v>8601</v>
      </c>
      <c r="E1222" s="90">
        <v>9092</v>
      </c>
      <c r="F1222" s="90" t="s">
        <v>1454</v>
      </c>
      <c r="G1222" s="90"/>
      <c r="H1222" s="93"/>
      <c r="I1222" s="93"/>
      <c r="J1222" s="93"/>
      <c r="K1222" s="95"/>
      <c r="L1222" s="69"/>
      <c r="M1222" s="69"/>
      <c r="N1222" s="69"/>
      <c r="O1222" s="69"/>
      <c r="P1222" s="78"/>
      <c r="Q1222" s="96"/>
      <c r="R1222" s="97"/>
      <c r="S1222" s="98"/>
    </row>
    <row r="1223" spans="1:19" ht="42.75">
      <c r="A1223" s="90" t="s">
        <v>50</v>
      </c>
      <c r="B1223" s="91" t="s">
        <v>2958</v>
      </c>
      <c r="C1223" s="91" t="s">
        <v>554</v>
      </c>
      <c r="D1223" s="90">
        <v>3797</v>
      </c>
      <c r="E1223" s="90">
        <v>3680</v>
      </c>
      <c r="F1223" s="90" t="s">
        <v>1434</v>
      </c>
      <c r="G1223" s="90">
        <v>2024</v>
      </c>
      <c r="H1223" s="101">
        <v>45611</v>
      </c>
      <c r="I1223" s="101">
        <v>45615</v>
      </c>
      <c r="J1223" s="94" t="s">
        <v>2972</v>
      </c>
      <c r="K1223" s="100">
        <v>45628</v>
      </c>
      <c r="L1223" s="69" t="s">
        <v>84</v>
      </c>
      <c r="M1223" s="69" t="s">
        <v>4</v>
      </c>
      <c r="N1223" s="69" t="s">
        <v>101</v>
      </c>
      <c r="O1223" s="69" t="s">
        <v>1436</v>
      </c>
      <c r="P1223" s="78"/>
      <c r="Q1223" s="96">
        <v>45628</v>
      </c>
      <c r="R1223" s="97" t="s">
        <v>929</v>
      </c>
      <c r="S1223" s="98"/>
    </row>
    <row r="1224" spans="1:19" ht="42.75">
      <c r="A1224" s="90" t="s">
        <v>50</v>
      </c>
      <c r="B1224" s="91" t="s">
        <v>2958</v>
      </c>
      <c r="C1224" s="91" t="s">
        <v>2973</v>
      </c>
      <c r="D1224" s="90">
        <v>4600</v>
      </c>
      <c r="E1224" s="90">
        <v>6162</v>
      </c>
      <c r="F1224" s="90" t="s">
        <v>1454</v>
      </c>
      <c r="G1224" s="90"/>
      <c r="H1224" s="93"/>
      <c r="I1224" s="93"/>
      <c r="J1224" s="93"/>
      <c r="K1224" s="95"/>
      <c r="L1224" s="69"/>
      <c r="M1224" s="69"/>
      <c r="N1224" s="69"/>
      <c r="O1224" s="69"/>
      <c r="P1224" s="78"/>
      <c r="Q1224" s="96"/>
      <c r="R1224" s="97"/>
      <c r="S1224" s="98"/>
    </row>
    <row r="1225" spans="1:19" ht="42.75">
      <c r="A1225" s="90" t="s">
        <v>50</v>
      </c>
      <c r="B1225" s="91" t="s">
        <v>2958</v>
      </c>
      <c r="C1225" s="91" t="s">
        <v>2974</v>
      </c>
      <c r="D1225" s="90">
        <v>4349</v>
      </c>
      <c r="E1225" s="90">
        <v>4483</v>
      </c>
      <c r="F1225" s="90" t="s">
        <v>1454</v>
      </c>
      <c r="G1225" s="90"/>
      <c r="H1225" s="93"/>
      <c r="I1225" s="93"/>
      <c r="J1225" s="93"/>
      <c r="K1225" s="95"/>
      <c r="L1225" s="69"/>
      <c r="M1225" s="69"/>
      <c r="N1225" s="69"/>
      <c r="O1225" s="69"/>
      <c r="P1225" s="78"/>
      <c r="Q1225" s="96"/>
      <c r="R1225" s="97"/>
      <c r="S1225" s="98"/>
    </row>
    <row r="1226" spans="1:19" ht="42.75">
      <c r="A1226" s="90" t="s">
        <v>50</v>
      </c>
      <c r="B1226" s="91" t="s">
        <v>2958</v>
      </c>
      <c r="C1226" s="91" t="s">
        <v>1879</v>
      </c>
      <c r="D1226" s="90">
        <v>5524</v>
      </c>
      <c r="E1226" s="90">
        <v>5019</v>
      </c>
      <c r="F1226" s="90" t="s">
        <v>1454</v>
      </c>
      <c r="G1226" s="90"/>
      <c r="H1226" s="93"/>
      <c r="I1226" s="93"/>
      <c r="J1226" s="93"/>
      <c r="K1226" s="95"/>
      <c r="L1226" s="69"/>
      <c r="M1226" s="69"/>
      <c r="N1226" s="69"/>
      <c r="O1226" s="69"/>
      <c r="P1226" s="78"/>
      <c r="Q1226" s="96"/>
      <c r="R1226" s="97"/>
      <c r="S1226" s="98"/>
    </row>
    <row r="1227" spans="1:19" ht="42.75">
      <c r="A1227" s="90" t="s">
        <v>50</v>
      </c>
      <c r="B1227" s="91" t="s">
        <v>2958</v>
      </c>
      <c r="C1227" s="91" t="s">
        <v>2975</v>
      </c>
      <c r="D1227" s="90">
        <v>2480</v>
      </c>
      <c r="E1227" s="90">
        <v>2845</v>
      </c>
      <c r="F1227" s="90" t="s">
        <v>1454</v>
      </c>
      <c r="G1227" s="90"/>
      <c r="H1227" s="93"/>
      <c r="I1227" s="93"/>
      <c r="J1227" s="93"/>
      <c r="K1227" s="95"/>
      <c r="L1227" s="69"/>
      <c r="M1227" s="69"/>
      <c r="N1227" s="69"/>
      <c r="O1227" s="69"/>
      <c r="P1227" s="78"/>
      <c r="Q1227" s="96"/>
      <c r="R1227" s="97"/>
      <c r="S1227" s="98"/>
    </row>
    <row r="1228" spans="1:19" ht="42.75">
      <c r="A1228" s="90" t="s">
        <v>50</v>
      </c>
      <c r="B1228" s="91" t="s">
        <v>2958</v>
      </c>
      <c r="C1228" s="91" t="s">
        <v>2976</v>
      </c>
      <c r="D1228" s="90">
        <v>1647</v>
      </c>
      <c r="E1228" s="90">
        <v>1675</v>
      </c>
      <c r="F1228" s="90" t="s">
        <v>1434</v>
      </c>
      <c r="G1228" s="90">
        <v>2024</v>
      </c>
      <c r="H1228" s="101">
        <v>45611</v>
      </c>
      <c r="I1228" s="101">
        <v>45614</v>
      </c>
      <c r="J1228" s="94" t="s">
        <v>2977</v>
      </c>
      <c r="K1228" s="100">
        <v>45616</v>
      </c>
      <c r="L1228" s="69" t="s">
        <v>84</v>
      </c>
      <c r="M1228" s="69" t="s">
        <v>4</v>
      </c>
      <c r="N1228" s="69" t="s">
        <v>101</v>
      </c>
      <c r="O1228" s="69" t="s">
        <v>1436</v>
      </c>
      <c r="P1228" s="78"/>
      <c r="Q1228" s="96">
        <v>45618</v>
      </c>
      <c r="R1228" s="97" t="s">
        <v>929</v>
      </c>
      <c r="S1228" s="98"/>
    </row>
    <row r="1229" spans="1:19" ht="42.75">
      <c r="A1229" s="90" t="s">
        <v>50</v>
      </c>
      <c r="B1229" s="91" t="s">
        <v>2958</v>
      </c>
      <c r="C1229" s="91" t="s">
        <v>2978</v>
      </c>
      <c r="D1229" s="90">
        <v>2349</v>
      </c>
      <c r="E1229" s="90">
        <v>2633</v>
      </c>
      <c r="F1229" s="90" t="s">
        <v>1454</v>
      </c>
      <c r="G1229" s="90"/>
      <c r="H1229" s="93"/>
      <c r="I1229" s="93"/>
      <c r="J1229" s="93"/>
      <c r="K1229" s="95"/>
      <c r="L1229" s="69"/>
      <c r="M1229" s="69"/>
      <c r="N1229" s="69"/>
      <c r="O1229" s="69"/>
      <c r="P1229" s="78"/>
      <c r="Q1229" s="96"/>
      <c r="R1229" s="97"/>
      <c r="S1229" s="98"/>
    </row>
    <row r="1230" spans="1:19" ht="42.75">
      <c r="A1230" s="90" t="s">
        <v>50</v>
      </c>
      <c r="B1230" s="91" t="s">
        <v>2958</v>
      </c>
      <c r="C1230" s="91" t="s">
        <v>2979</v>
      </c>
      <c r="D1230" s="90">
        <v>801</v>
      </c>
      <c r="E1230" s="90">
        <v>870</v>
      </c>
      <c r="F1230" s="90" t="s">
        <v>1434</v>
      </c>
      <c r="G1230" s="90">
        <v>2024</v>
      </c>
      <c r="H1230" s="101">
        <v>45568</v>
      </c>
      <c r="I1230" s="101">
        <v>45569</v>
      </c>
      <c r="J1230" s="94" t="s">
        <v>2980</v>
      </c>
      <c r="K1230" s="100">
        <v>45574</v>
      </c>
      <c r="L1230" s="69" t="s">
        <v>83</v>
      </c>
      <c r="M1230" s="69" t="s">
        <v>4</v>
      </c>
      <c r="N1230" s="69" t="s">
        <v>101</v>
      </c>
      <c r="O1230" s="69" t="s">
        <v>1436</v>
      </c>
      <c r="P1230" s="78"/>
      <c r="Q1230" s="96">
        <v>45575</v>
      </c>
      <c r="R1230" s="97" t="s">
        <v>929</v>
      </c>
      <c r="S1230" s="98"/>
    </row>
    <row r="1231" spans="1:19" ht="42.75">
      <c r="A1231" s="90" t="s">
        <v>50</v>
      </c>
      <c r="B1231" s="91" t="s">
        <v>2958</v>
      </c>
      <c r="C1231" s="91" t="s">
        <v>2981</v>
      </c>
      <c r="D1231" s="90">
        <v>3096</v>
      </c>
      <c r="E1231" s="90">
        <v>3514</v>
      </c>
      <c r="F1231" s="90" t="s">
        <v>1434</v>
      </c>
      <c r="G1231" s="90">
        <v>2024</v>
      </c>
      <c r="H1231" s="101">
        <v>45568</v>
      </c>
      <c r="I1231" s="101">
        <v>45569</v>
      </c>
      <c r="J1231" s="94" t="s">
        <v>2982</v>
      </c>
      <c r="K1231" s="100">
        <v>45574</v>
      </c>
      <c r="L1231" s="69" t="s">
        <v>83</v>
      </c>
      <c r="M1231" s="69" t="s">
        <v>4</v>
      </c>
      <c r="N1231" s="69" t="s">
        <v>101</v>
      </c>
      <c r="O1231" s="69" t="s">
        <v>1436</v>
      </c>
      <c r="P1231" s="78"/>
      <c r="Q1231" s="115">
        <v>45575</v>
      </c>
      <c r="R1231" s="65" t="s">
        <v>929</v>
      </c>
      <c r="S1231" s="89"/>
    </row>
    <row r="1232" spans="1:19" ht="42.75">
      <c r="A1232" s="90" t="s">
        <v>50</v>
      </c>
      <c r="B1232" s="91" t="s">
        <v>2958</v>
      </c>
      <c r="C1232" s="91" t="s">
        <v>2983</v>
      </c>
      <c r="D1232" s="90">
        <v>2375</v>
      </c>
      <c r="E1232" s="90">
        <v>2139</v>
      </c>
      <c r="F1232" s="90" t="s">
        <v>1454</v>
      </c>
      <c r="G1232" s="90"/>
      <c r="H1232" s="93"/>
      <c r="I1232" s="93"/>
      <c r="J1232" s="93"/>
      <c r="K1232" s="95"/>
      <c r="L1232" s="69"/>
      <c r="M1232" s="69"/>
      <c r="N1232" s="69"/>
      <c r="O1232" s="69"/>
      <c r="P1232" s="78"/>
      <c r="Q1232" s="96"/>
      <c r="R1232" s="97"/>
      <c r="S1232" s="98"/>
    </row>
    <row r="1233" spans="1:19" ht="42.75">
      <c r="A1233" s="90" t="s">
        <v>50</v>
      </c>
      <c r="B1233" s="91" t="s">
        <v>2984</v>
      </c>
      <c r="C1233" s="91" t="s">
        <v>2985</v>
      </c>
      <c r="D1233" s="90">
        <v>1552</v>
      </c>
      <c r="E1233" s="90">
        <v>1656</v>
      </c>
      <c r="F1233" s="90" t="s">
        <v>1454</v>
      </c>
      <c r="G1233" s="90"/>
      <c r="H1233" s="93"/>
      <c r="I1233" s="93"/>
      <c r="J1233" s="93"/>
      <c r="K1233" s="95"/>
      <c r="L1233" s="69"/>
      <c r="M1233" s="69"/>
      <c r="N1233" s="69"/>
      <c r="O1233" s="69"/>
      <c r="P1233" s="78"/>
      <c r="Q1233" s="96"/>
      <c r="R1233" s="97"/>
      <c r="S1233" s="98"/>
    </row>
    <row r="1234" spans="1:19" ht="42.75">
      <c r="A1234" s="90" t="s">
        <v>50</v>
      </c>
      <c r="B1234" s="91" t="s">
        <v>2984</v>
      </c>
      <c r="C1234" s="91" t="s">
        <v>2986</v>
      </c>
      <c r="D1234" s="90">
        <v>1524</v>
      </c>
      <c r="E1234" s="90">
        <v>1510</v>
      </c>
      <c r="F1234" s="90" t="s">
        <v>1454</v>
      </c>
      <c r="G1234" s="127"/>
      <c r="H1234" s="122"/>
      <c r="I1234" s="122"/>
      <c r="J1234" s="122"/>
      <c r="K1234" s="168"/>
      <c r="L1234" s="69"/>
      <c r="M1234" s="69"/>
      <c r="N1234" s="69"/>
      <c r="O1234" s="69"/>
      <c r="P1234" s="78"/>
      <c r="Q1234" s="96"/>
      <c r="R1234" s="97"/>
      <c r="S1234" s="98"/>
    </row>
    <row r="1235" spans="1:19" ht="42.75">
      <c r="A1235" s="90" t="s">
        <v>50</v>
      </c>
      <c r="B1235" s="91" t="s">
        <v>2984</v>
      </c>
      <c r="C1235" s="91" t="s">
        <v>638</v>
      </c>
      <c r="D1235" s="90">
        <v>2000</v>
      </c>
      <c r="E1235" s="90">
        <v>2002</v>
      </c>
      <c r="F1235" s="90" t="s">
        <v>1434</v>
      </c>
      <c r="G1235" s="90">
        <v>2024</v>
      </c>
      <c r="H1235" s="100">
        <v>45316</v>
      </c>
      <c r="I1235" s="100">
        <v>45324</v>
      </c>
      <c r="J1235" s="107" t="s">
        <v>2987</v>
      </c>
      <c r="K1235" s="95"/>
      <c r="L1235" s="158" t="s">
        <v>75</v>
      </c>
      <c r="M1235" s="69"/>
      <c r="N1235" s="69"/>
      <c r="O1235" s="69" t="s">
        <v>1436</v>
      </c>
      <c r="P1235" s="78"/>
      <c r="Q1235" s="96"/>
      <c r="R1235" s="97"/>
      <c r="S1235" s="98"/>
    </row>
    <row r="1236" spans="1:19" ht="42.75">
      <c r="A1236" s="90" t="s">
        <v>50</v>
      </c>
      <c r="B1236" s="91" t="s">
        <v>2984</v>
      </c>
      <c r="C1236" s="91" t="s">
        <v>2988</v>
      </c>
      <c r="D1236" s="90">
        <v>2216</v>
      </c>
      <c r="E1236" s="90">
        <v>2341</v>
      </c>
      <c r="F1236" s="90" t="s">
        <v>1454</v>
      </c>
      <c r="G1236" s="90"/>
      <c r="H1236" s="93"/>
      <c r="I1236" s="93"/>
      <c r="J1236" s="93"/>
      <c r="K1236" s="169"/>
      <c r="L1236" s="69"/>
      <c r="M1236" s="69"/>
      <c r="N1236" s="69"/>
      <c r="O1236" s="69"/>
      <c r="P1236" s="78"/>
      <c r="Q1236" s="96"/>
      <c r="R1236" s="97"/>
      <c r="S1236" s="98"/>
    </row>
    <row r="1237" spans="1:19" ht="42.75">
      <c r="A1237" s="90" t="s">
        <v>50</v>
      </c>
      <c r="B1237" s="91" t="s">
        <v>2984</v>
      </c>
      <c r="C1237" s="91" t="s">
        <v>2989</v>
      </c>
      <c r="D1237" s="90">
        <v>1040</v>
      </c>
      <c r="E1237" s="90">
        <v>1192</v>
      </c>
      <c r="F1237" s="90" t="s">
        <v>1454</v>
      </c>
      <c r="G1237" s="90"/>
      <c r="H1237" s="93"/>
      <c r="I1237" s="93"/>
      <c r="J1237" s="93"/>
      <c r="K1237" s="95"/>
      <c r="L1237" s="69"/>
      <c r="M1237" s="69"/>
      <c r="N1237" s="69"/>
      <c r="O1237" s="69"/>
      <c r="P1237" s="78"/>
      <c r="Q1237" s="96"/>
      <c r="R1237" s="97"/>
      <c r="S1237" s="98"/>
    </row>
    <row r="1238" spans="1:19" ht="42.75">
      <c r="A1238" s="90" t="s">
        <v>50</v>
      </c>
      <c r="B1238" s="91" t="s">
        <v>2984</v>
      </c>
      <c r="C1238" s="91" t="s">
        <v>2990</v>
      </c>
      <c r="D1238" s="90">
        <v>1722</v>
      </c>
      <c r="E1238" s="90">
        <v>1891</v>
      </c>
      <c r="F1238" s="90" t="s">
        <v>1454</v>
      </c>
      <c r="G1238" s="90"/>
      <c r="H1238" s="93"/>
      <c r="I1238" s="93"/>
      <c r="J1238" s="93"/>
      <c r="K1238" s="95"/>
      <c r="L1238" s="69"/>
      <c r="M1238" s="69"/>
      <c r="N1238" s="69"/>
      <c r="O1238" s="69"/>
      <c r="P1238" s="78"/>
      <c r="Q1238" s="96"/>
      <c r="R1238" s="97"/>
      <c r="S1238" s="98"/>
    </row>
    <row r="1239" spans="1:19" ht="42.75">
      <c r="A1239" s="90" t="s">
        <v>50</v>
      </c>
      <c r="B1239" s="91" t="s">
        <v>2984</v>
      </c>
      <c r="C1239" s="91" t="s">
        <v>2991</v>
      </c>
      <c r="D1239" s="90">
        <v>2148</v>
      </c>
      <c r="E1239" s="90">
        <v>2465</v>
      </c>
      <c r="F1239" s="90" t="s">
        <v>1454</v>
      </c>
      <c r="G1239" s="90"/>
      <c r="H1239" s="93"/>
      <c r="I1239" s="93"/>
      <c r="J1239" s="93"/>
      <c r="K1239" s="95"/>
      <c r="L1239" s="69"/>
      <c r="M1239" s="69"/>
      <c r="N1239" s="69"/>
      <c r="O1239" s="69"/>
      <c r="P1239" s="78"/>
      <c r="Q1239" s="96"/>
      <c r="R1239" s="97"/>
      <c r="S1239" s="98"/>
    </row>
    <row r="1240" spans="1:19" ht="42.75">
      <c r="A1240" s="90" t="s">
        <v>50</v>
      </c>
      <c r="B1240" s="91" t="s">
        <v>2984</v>
      </c>
      <c r="C1240" s="91" t="s">
        <v>2992</v>
      </c>
      <c r="D1240" s="90">
        <v>1184</v>
      </c>
      <c r="E1240" s="90">
        <v>1243</v>
      </c>
      <c r="F1240" s="90" t="s">
        <v>1454</v>
      </c>
      <c r="G1240" s="90"/>
      <c r="H1240" s="93"/>
      <c r="I1240" s="93"/>
      <c r="J1240" s="93"/>
      <c r="K1240" s="95"/>
      <c r="L1240" s="69"/>
      <c r="M1240" s="69"/>
      <c r="N1240" s="69"/>
      <c r="O1240" s="69"/>
      <c r="P1240" s="78"/>
      <c r="Q1240" s="96"/>
      <c r="R1240" s="97"/>
      <c r="S1240" s="98"/>
    </row>
    <row r="1241" spans="1:19" ht="42.75">
      <c r="A1241" s="90" t="s">
        <v>50</v>
      </c>
      <c r="B1241" s="91" t="s">
        <v>2984</v>
      </c>
      <c r="C1241" s="91" t="s">
        <v>2993</v>
      </c>
      <c r="D1241" s="90">
        <v>1262</v>
      </c>
      <c r="E1241" s="90">
        <v>1302</v>
      </c>
      <c r="F1241" s="90" t="s">
        <v>1454</v>
      </c>
      <c r="G1241" s="90"/>
      <c r="H1241" s="93"/>
      <c r="I1241" s="93"/>
      <c r="J1241" s="93"/>
      <c r="K1241" s="95"/>
      <c r="L1241" s="69"/>
      <c r="M1241" s="69"/>
      <c r="N1241" s="69"/>
      <c r="O1241" s="69"/>
      <c r="P1241" s="78"/>
      <c r="Q1241" s="96"/>
      <c r="R1241" s="97"/>
      <c r="S1241" s="98"/>
    </row>
    <row r="1242" spans="1:19" ht="42.75">
      <c r="A1242" s="90" t="s">
        <v>50</v>
      </c>
      <c r="B1242" s="91" t="s">
        <v>2984</v>
      </c>
      <c r="C1242" s="91" t="s">
        <v>2994</v>
      </c>
      <c r="D1242" s="90">
        <v>5050</v>
      </c>
      <c r="E1242" s="90">
        <v>5582</v>
      </c>
      <c r="F1242" s="90" t="s">
        <v>1454</v>
      </c>
      <c r="G1242" s="127"/>
      <c r="H1242" s="122"/>
      <c r="I1242" s="122"/>
      <c r="J1242" s="122"/>
      <c r="K1242" s="168"/>
      <c r="L1242" s="69"/>
      <c r="M1242" s="69"/>
      <c r="N1242" s="69"/>
      <c r="O1242" s="69"/>
      <c r="P1242" s="78"/>
      <c r="Q1242" s="96"/>
      <c r="R1242" s="97"/>
      <c r="S1242" s="98"/>
    </row>
    <row r="1243" spans="1:19" ht="42.75">
      <c r="A1243" s="90" t="s">
        <v>50</v>
      </c>
      <c r="B1243" s="91" t="s">
        <v>2984</v>
      </c>
      <c r="C1243" s="91" t="s">
        <v>2995</v>
      </c>
      <c r="D1243" s="90">
        <v>1166</v>
      </c>
      <c r="E1243" s="90">
        <v>1237</v>
      </c>
      <c r="F1243" s="90" t="s">
        <v>1434</v>
      </c>
      <c r="G1243" s="90">
        <v>2024</v>
      </c>
      <c r="H1243" s="100">
        <v>45316</v>
      </c>
      <c r="I1243" s="100">
        <v>45324</v>
      </c>
      <c r="J1243" s="107" t="s">
        <v>2996</v>
      </c>
      <c r="K1243" s="95"/>
      <c r="L1243" s="158" t="s">
        <v>75</v>
      </c>
      <c r="M1243" s="69"/>
      <c r="N1243" s="69"/>
      <c r="O1243" s="69" t="s">
        <v>1436</v>
      </c>
      <c r="P1243" s="78"/>
      <c r="Q1243" s="96"/>
      <c r="R1243" s="97"/>
      <c r="S1243" s="98"/>
    </row>
    <row r="1244" spans="1:19" ht="42.75">
      <c r="A1244" s="90" t="s">
        <v>50</v>
      </c>
      <c r="B1244" s="91" t="s">
        <v>2984</v>
      </c>
      <c r="C1244" s="91" t="s">
        <v>2997</v>
      </c>
      <c r="D1244" s="90">
        <v>1128</v>
      </c>
      <c r="E1244" s="90">
        <v>1160</v>
      </c>
      <c r="F1244" s="90" t="s">
        <v>1434</v>
      </c>
      <c r="G1244" s="90">
        <v>2024</v>
      </c>
      <c r="H1244" s="100">
        <v>45316</v>
      </c>
      <c r="I1244" s="100">
        <v>45324</v>
      </c>
      <c r="J1244" s="107" t="s">
        <v>2998</v>
      </c>
      <c r="K1244" s="95"/>
      <c r="L1244" s="158" t="s">
        <v>75</v>
      </c>
      <c r="M1244" s="69"/>
      <c r="N1244" s="69"/>
      <c r="O1244" s="69" t="s">
        <v>1436</v>
      </c>
      <c r="P1244" s="78"/>
      <c r="Q1244" s="96"/>
      <c r="R1244" s="97"/>
      <c r="S1244" s="98"/>
    </row>
    <row r="1245" spans="1:19" ht="42.75">
      <c r="A1245" s="90" t="s">
        <v>50</v>
      </c>
      <c r="B1245" s="91" t="s">
        <v>2984</v>
      </c>
      <c r="C1245" s="91" t="s">
        <v>2999</v>
      </c>
      <c r="D1245" s="90">
        <v>3546</v>
      </c>
      <c r="E1245" s="90">
        <v>3537</v>
      </c>
      <c r="F1245" s="90" t="s">
        <v>1434</v>
      </c>
      <c r="G1245" s="90">
        <v>2024</v>
      </c>
      <c r="H1245" s="100">
        <v>45408</v>
      </c>
      <c r="I1245" s="100">
        <v>45412</v>
      </c>
      <c r="J1245" s="107" t="s">
        <v>3000</v>
      </c>
      <c r="K1245" s="100">
        <v>45420</v>
      </c>
      <c r="L1245" s="158" t="s">
        <v>78</v>
      </c>
      <c r="M1245" s="69"/>
      <c r="N1245" s="69"/>
      <c r="O1245" s="69" t="s">
        <v>1436</v>
      </c>
      <c r="P1245" s="78"/>
      <c r="Q1245" s="96"/>
      <c r="R1245" s="97"/>
      <c r="S1245" s="98"/>
    </row>
    <row r="1246" spans="1:19" ht="42.75">
      <c r="A1246" s="90" t="s">
        <v>50</v>
      </c>
      <c r="B1246" s="91" t="s">
        <v>2984</v>
      </c>
      <c r="C1246" s="91" t="s">
        <v>3001</v>
      </c>
      <c r="D1246" s="90">
        <v>3367</v>
      </c>
      <c r="E1246" s="90">
        <v>3787</v>
      </c>
      <c r="F1246" s="90" t="s">
        <v>1454</v>
      </c>
      <c r="G1246" s="127"/>
      <c r="H1246" s="122"/>
      <c r="I1246" s="122"/>
      <c r="J1246" s="122"/>
      <c r="K1246" s="170"/>
      <c r="L1246" s="69"/>
      <c r="M1246" s="69"/>
      <c r="N1246" s="69"/>
      <c r="O1246" s="69"/>
      <c r="P1246" s="78"/>
      <c r="Q1246" s="96"/>
      <c r="R1246" s="97"/>
      <c r="S1246" s="98"/>
    </row>
    <row r="1247" spans="1:19" ht="42.75">
      <c r="A1247" s="90" t="s">
        <v>50</v>
      </c>
      <c r="B1247" s="91" t="s">
        <v>2984</v>
      </c>
      <c r="C1247" s="91" t="s">
        <v>926</v>
      </c>
      <c r="D1247" s="90">
        <v>3670</v>
      </c>
      <c r="E1247" s="90">
        <v>3866</v>
      </c>
      <c r="F1247" s="90" t="s">
        <v>1434</v>
      </c>
      <c r="G1247" s="90">
        <v>2024</v>
      </c>
      <c r="H1247" s="100">
        <v>45408</v>
      </c>
      <c r="I1247" s="100">
        <v>45412</v>
      </c>
      <c r="J1247" s="107" t="s">
        <v>3002</v>
      </c>
      <c r="K1247" s="100">
        <v>45420</v>
      </c>
      <c r="L1247" s="158" t="s">
        <v>78</v>
      </c>
      <c r="M1247" s="69"/>
      <c r="N1247" s="69"/>
      <c r="O1247" s="69" t="s">
        <v>1436</v>
      </c>
      <c r="P1247" s="78"/>
      <c r="Q1247" s="96"/>
      <c r="R1247" s="97"/>
      <c r="S1247" s="98"/>
    </row>
    <row r="1248" spans="1:19" ht="42.75">
      <c r="A1248" s="90" t="s">
        <v>50</v>
      </c>
      <c r="B1248" s="91" t="s">
        <v>2984</v>
      </c>
      <c r="C1248" s="91" t="s">
        <v>2835</v>
      </c>
      <c r="D1248" s="90">
        <v>674</v>
      </c>
      <c r="E1248" s="90">
        <v>731</v>
      </c>
      <c r="F1248" s="90" t="s">
        <v>1454</v>
      </c>
      <c r="G1248" s="127"/>
      <c r="H1248" s="122"/>
      <c r="I1248" s="122"/>
      <c r="J1248" s="122"/>
      <c r="K1248" s="170"/>
      <c r="L1248" s="69"/>
      <c r="M1248" s="69"/>
      <c r="N1248" s="69"/>
      <c r="O1248" s="69"/>
      <c r="P1248" s="78"/>
      <c r="Q1248" s="96"/>
      <c r="R1248" s="97"/>
      <c r="S1248" s="98"/>
    </row>
    <row r="1249" spans="1:19" ht="42.75">
      <c r="A1249" s="90" t="s">
        <v>50</v>
      </c>
      <c r="B1249" s="91" t="s">
        <v>2984</v>
      </c>
      <c r="C1249" s="91" t="s">
        <v>3003</v>
      </c>
      <c r="D1249" s="90">
        <v>618</v>
      </c>
      <c r="E1249" s="90">
        <v>624</v>
      </c>
      <c r="F1249" s="90" t="s">
        <v>1434</v>
      </c>
      <c r="G1249" s="90">
        <v>2024</v>
      </c>
      <c r="H1249" s="100">
        <v>45408</v>
      </c>
      <c r="I1249" s="100">
        <v>45412</v>
      </c>
      <c r="J1249" s="161" t="s">
        <v>3004</v>
      </c>
      <c r="K1249" s="100">
        <v>45420</v>
      </c>
      <c r="L1249" s="158" t="s">
        <v>78</v>
      </c>
      <c r="M1249" s="69"/>
      <c r="N1249" s="69"/>
      <c r="O1249" s="69" t="s">
        <v>1436</v>
      </c>
      <c r="P1249" s="78"/>
      <c r="Q1249" s="96"/>
      <c r="R1249" s="97"/>
      <c r="S1249" s="98"/>
    </row>
    <row r="1250" spans="1:19" ht="42.75">
      <c r="A1250" s="90" t="s">
        <v>50</v>
      </c>
      <c r="B1250" s="91" t="s">
        <v>2984</v>
      </c>
      <c r="C1250" s="91" t="s">
        <v>3005</v>
      </c>
      <c r="D1250" s="90">
        <v>1476</v>
      </c>
      <c r="E1250" s="90">
        <v>1538</v>
      </c>
      <c r="F1250" s="90" t="s">
        <v>1454</v>
      </c>
      <c r="G1250" s="127"/>
      <c r="H1250" s="122"/>
      <c r="I1250" s="122"/>
      <c r="J1250" s="122"/>
      <c r="K1250" s="170"/>
      <c r="L1250" s="69"/>
      <c r="M1250" s="69"/>
      <c r="N1250" s="69"/>
      <c r="O1250" s="69"/>
      <c r="P1250" s="78"/>
      <c r="Q1250" s="96"/>
      <c r="R1250" s="97"/>
      <c r="S1250" s="98"/>
    </row>
    <row r="1251" spans="1:19" ht="42.75">
      <c r="A1251" s="90" t="s">
        <v>50</v>
      </c>
      <c r="B1251" s="91" t="s">
        <v>2984</v>
      </c>
      <c r="C1251" s="91" t="s">
        <v>3006</v>
      </c>
      <c r="D1251" s="90">
        <v>3872</v>
      </c>
      <c r="E1251" s="90">
        <v>4054</v>
      </c>
      <c r="F1251" s="90" t="s">
        <v>1434</v>
      </c>
      <c r="G1251" s="90">
        <v>2024</v>
      </c>
      <c r="H1251" s="100">
        <v>45408</v>
      </c>
      <c r="I1251" s="100">
        <v>45412</v>
      </c>
      <c r="J1251" s="107" t="s">
        <v>3007</v>
      </c>
      <c r="K1251" s="100">
        <v>45420</v>
      </c>
      <c r="L1251" s="158" t="s">
        <v>78</v>
      </c>
      <c r="M1251" s="69"/>
      <c r="N1251" s="69"/>
      <c r="O1251" s="69" t="s">
        <v>1436</v>
      </c>
      <c r="P1251" s="78"/>
      <c r="Q1251" s="96"/>
      <c r="R1251" s="97"/>
      <c r="S1251" s="98"/>
    </row>
    <row r="1252" spans="1:19" ht="42.75">
      <c r="A1252" s="90" t="s">
        <v>50</v>
      </c>
      <c r="B1252" s="91" t="s">
        <v>2984</v>
      </c>
      <c r="C1252" s="91" t="s">
        <v>3008</v>
      </c>
      <c r="D1252" s="90">
        <v>2441</v>
      </c>
      <c r="E1252" s="90">
        <v>2593</v>
      </c>
      <c r="F1252" s="90" t="s">
        <v>1454</v>
      </c>
      <c r="G1252" s="90"/>
      <c r="H1252" s="93"/>
      <c r="I1252" s="93"/>
      <c r="J1252" s="93"/>
      <c r="K1252" s="169"/>
      <c r="L1252" s="69"/>
      <c r="M1252" s="69"/>
      <c r="N1252" s="69"/>
      <c r="O1252" s="69"/>
      <c r="P1252" s="78"/>
      <c r="Q1252" s="96"/>
      <c r="R1252" s="97"/>
      <c r="S1252" s="98"/>
    </row>
    <row r="1253" spans="1:19" ht="42.75">
      <c r="A1253" s="90" t="s">
        <v>50</v>
      </c>
      <c r="B1253" s="91" t="s">
        <v>509</v>
      </c>
      <c r="C1253" s="91" t="s">
        <v>3009</v>
      </c>
      <c r="D1253" s="90">
        <v>3495</v>
      </c>
      <c r="E1253" s="90">
        <v>4046</v>
      </c>
      <c r="F1253" s="90" t="s">
        <v>1454</v>
      </c>
      <c r="G1253" s="90"/>
      <c r="H1253" s="93"/>
      <c r="I1253" s="93"/>
      <c r="J1253" s="93"/>
      <c r="K1253" s="95"/>
      <c r="L1253" s="69"/>
      <c r="M1253" s="69"/>
      <c r="N1253" s="69"/>
      <c r="O1253" s="69"/>
      <c r="P1253" s="78"/>
      <c r="Q1253" s="96"/>
      <c r="R1253" s="97"/>
      <c r="S1253" s="98"/>
    </row>
    <row r="1254" spans="1:19" ht="42.75">
      <c r="A1254" s="90" t="s">
        <v>50</v>
      </c>
      <c r="B1254" s="91" t="s">
        <v>509</v>
      </c>
      <c r="C1254" s="91" t="s">
        <v>250</v>
      </c>
      <c r="D1254" s="90">
        <v>6695</v>
      </c>
      <c r="E1254" s="90">
        <v>6887</v>
      </c>
      <c r="F1254" s="90" t="s">
        <v>1454</v>
      </c>
      <c r="G1254" s="90"/>
      <c r="H1254" s="93"/>
      <c r="I1254" s="93"/>
      <c r="J1254" s="93"/>
      <c r="K1254" s="95"/>
      <c r="L1254" s="69"/>
      <c r="M1254" s="69"/>
      <c r="N1254" s="69"/>
      <c r="O1254" s="69"/>
      <c r="P1254" s="78"/>
      <c r="Q1254" s="96"/>
      <c r="R1254" s="97"/>
      <c r="S1254" s="98"/>
    </row>
    <row r="1255" spans="1:19" ht="42.75">
      <c r="A1255" s="90" t="s">
        <v>50</v>
      </c>
      <c r="B1255" s="91" t="s">
        <v>509</v>
      </c>
      <c r="C1255" s="91" t="s">
        <v>3010</v>
      </c>
      <c r="D1255" s="90">
        <v>3599</v>
      </c>
      <c r="E1255" s="90">
        <v>5376</v>
      </c>
      <c r="F1255" s="90" t="s">
        <v>1454</v>
      </c>
      <c r="G1255" s="90"/>
      <c r="H1255" s="93"/>
      <c r="I1255" s="93"/>
      <c r="J1255" s="93"/>
      <c r="K1255" s="95"/>
      <c r="L1255" s="69"/>
      <c r="M1255" s="69"/>
      <c r="N1255" s="69"/>
      <c r="O1255" s="69"/>
      <c r="P1255" s="78"/>
      <c r="Q1255" s="96"/>
      <c r="R1255" s="97"/>
      <c r="S1255" s="98"/>
    </row>
    <row r="1256" spans="1:19" ht="42.75">
      <c r="A1256" s="90" t="s">
        <v>50</v>
      </c>
      <c r="B1256" s="91" t="s">
        <v>509</v>
      </c>
      <c r="C1256" s="91" t="s">
        <v>3011</v>
      </c>
      <c r="D1256" s="90">
        <v>4567</v>
      </c>
      <c r="E1256" s="90">
        <v>5249</v>
      </c>
      <c r="F1256" s="90" t="s">
        <v>1454</v>
      </c>
      <c r="G1256" s="90"/>
      <c r="H1256" s="93"/>
      <c r="I1256" s="93"/>
      <c r="J1256" s="93"/>
      <c r="K1256" s="95"/>
      <c r="L1256" s="69"/>
      <c r="M1256" s="69"/>
      <c r="N1256" s="69"/>
      <c r="O1256" s="69"/>
      <c r="P1256" s="78"/>
      <c r="Q1256" s="96"/>
      <c r="R1256" s="97"/>
      <c r="S1256" s="98"/>
    </row>
    <row r="1257" spans="1:19" ht="42.75">
      <c r="A1257" s="90" t="s">
        <v>50</v>
      </c>
      <c r="B1257" s="91" t="s">
        <v>509</v>
      </c>
      <c r="C1257" s="91" t="s">
        <v>3012</v>
      </c>
      <c r="D1257" s="90">
        <v>6232</v>
      </c>
      <c r="E1257" s="90">
        <v>7578</v>
      </c>
      <c r="F1257" s="90" t="s">
        <v>1454</v>
      </c>
      <c r="G1257" s="90"/>
      <c r="H1257" s="93"/>
      <c r="I1257" s="93"/>
      <c r="J1257" s="93"/>
      <c r="K1257" s="95"/>
      <c r="L1257" s="69"/>
      <c r="M1257" s="69"/>
      <c r="N1257" s="69"/>
      <c r="O1257" s="69"/>
      <c r="P1257" s="78"/>
      <c r="Q1257" s="96"/>
      <c r="R1257" s="97"/>
      <c r="S1257" s="98"/>
    </row>
    <row r="1258" spans="1:19" ht="42.75">
      <c r="A1258" s="90" t="s">
        <v>50</v>
      </c>
      <c r="B1258" s="91" t="s">
        <v>509</v>
      </c>
      <c r="C1258" s="91" t="s">
        <v>1948</v>
      </c>
      <c r="D1258" s="90">
        <v>4015</v>
      </c>
      <c r="E1258" s="90">
        <v>5081</v>
      </c>
      <c r="F1258" s="90" t="s">
        <v>1454</v>
      </c>
      <c r="G1258" s="90"/>
      <c r="H1258" s="93"/>
      <c r="I1258" s="93"/>
      <c r="J1258" s="93"/>
      <c r="K1258" s="95"/>
      <c r="L1258" s="69"/>
      <c r="M1258" s="69"/>
      <c r="N1258" s="69"/>
      <c r="O1258" s="69"/>
      <c r="P1258" s="78"/>
      <c r="Q1258" s="96"/>
      <c r="R1258" s="97"/>
      <c r="S1258" s="98"/>
    </row>
    <row r="1259" spans="1:19" ht="42.75">
      <c r="A1259" s="90" t="s">
        <v>50</v>
      </c>
      <c r="B1259" s="91" t="s">
        <v>509</v>
      </c>
      <c r="C1259" s="91" t="s">
        <v>728</v>
      </c>
      <c r="D1259" s="90">
        <v>1506</v>
      </c>
      <c r="E1259" s="90">
        <v>1543</v>
      </c>
      <c r="F1259" s="90" t="s">
        <v>1454</v>
      </c>
      <c r="G1259" s="90"/>
      <c r="H1259" s="93"/>
      <c r="I1259" s="93"/>
      <c r="J1259" s="93"/>
      <c r="K1259" s="95"/>
      <c r="L1259" s="69"/>
      <c r="M1259" s="69"/>
      <c r="N1259" s="69"/>
      <c r="O1259" s="69"/>
      <c r="P1259" s="78"/>
      <c r="Q1259" s="96"/>
      <c r="R1259" s="97"/>
      <c r="S1259" s="98"/>
    </row>
    <row r="1260" spans="1:19" ht="42.75">
      <c r="A1260" s="90" t="s">
        <v>50</v>
      </c>
      <c r="B1260" s="91" t="s">
        <v>509</v>
      </c>
      <c r="C1260" s="91" t="s">
        <v>3013</v>
      </c>
      <c r="D1260" s="90">
        <v>1751</v>
      </c>
      <c r="E1260" s="90">
        <v>2012</v>
      </c>
      <c r="F1260" s="90" t="s">
        <v>1454</v>
      </c>
      <c r="G1260" s="90"/>
      <c r="H1260" s="93"/>
      <c r="I1260" s="93"/>
      <c r="J1260" s="93"/>
      <c r="K1260" s="95"/>
      <c r="L1260" s="69"/>
      <c r="M1260" s="69"/>
      <c r="N1260" s="69"/>
      <c r="O1260" s="69"/>
      <c r="P1260" s="78"/>
      <c r="Q1260" s="96"/>
      <c r="R1260" s="97"/>
      <c r="S1260" s="98"/>
    </row>
    <row r="1261" spans="1:19" ht="42.75">
      <c r="A1261" s="90" t="s">
        <v>50</v>
      </c>
      <c r="B1261" s="91" t="s">
        <v>509</v>
      </c>
      <c r="C1261" s="91" t="s">
        <v>3014</v>
      </c>
      <c r="D1261" s="90">
        <v>9608</v>
      </c>
      <c r="E1261" s="90">
        <v>11240</v>
      </c>
      <c r="F1261" s="90" t="s">
        <v>1454</v>
      </c>
      <c r="G1261" s="90"/>
      <c r="H1261" s="93"/>
      <c r="I1261" s="93"/>
      <c r="J1261" s="93"/>
      <c r="K1261" s="95"/>
      <c r="L1261" s="69"/>
      <c r="M1261" s="69"/>
      <c r="N1261" s="69"/>
      <c r="O1261" s="69"/>
      <c r="P1261" s="78"/>
      <c r="Q1261" s="96"/>
      <c r="R1261" s="97"/>
      <c r="S1261" s="98"/>
    </row>
    <row r="1262" spans="1:19" ht="42.75">
      <c r="A1262" s="90" t="s">
        <v>50</v>
      </c>
      <c r="B1262" s="91" t="s">
        <v>509</v>
      </c>
      <c r="C1262" s="91" t="s">
        <v>3015</v>
      </c>
      <c r="D1262" s="90">
        <v>1611</v>
      </c>
      <c r="E1262" s="90">
        <v>1778</v>
      </c>
      <c r="F1262" s="90" t="s">
        <v>1454</v>
      </c>
      <c r="G1262" s="90"/>
      <c r="H1262" s="93"/>
      <c r="I1262" s="93"/>
      <c r="J1262" s="93"/>
      <c r="K1262" s="95"/>
      <c r="L1262" s="69"/>
      <c r="M1262" s="69"/>
      <c r="N1262" s="69"/>
      <c r="O1262" s="69"/>
      <c r="P1262" s="78"/>
      <c r="Q1262" s="96"/>
      <c r="R1262" s="97"/>
      <c r="S1262" s="98"/>
    </row>
    <row r="1263" spans="1:19" ht="42.75">
      <c r="A1263" s="90" t="s">
        <v>50</v>
      </c>
      <c r="B1263" s="91" t="s">
        <v>509</v>
      </c>
      <c r="C1263" s="91" t="s">
        <v>3016</v>
      </c>
      <c r="D1263" s="90">
        <v>1611</v>
      </c>
      <c r="E1263" s="90">
        <v>1788</v>
      </c>
      <c r="F1263" s="90" t="s">
        <v>1454</v>
      </c>
      <c r="G1263" s="90"/>
      <c r="H1263" s="93"/>
      <c r="I1263" s="93"/>
      <c r="J1263" s="93"/>
      <c r="K1263" s="95"/>
      <c r="L1263" s="69"/>
      <c r="M1263" s="69"/>
      <c r="N1263" s="69"/>
      <c r="O1263" s="69"/>
      <c r="P1263" s="78"/>
      <c r="Q1263" s="96"/>
      <c r="R1263" s="97"/>
      <c r="S1263" s="98"/>
    </row>
    <row r="1264" spans="1:19" ht="42.75">
      <c r="A1264" s="90" t="s">
        <v>50</v>
      </c>
      <c r="B1264" s="91" t="s">
        <v>509</v>
      </c>
      <c r="C1264" s="91" t="s">
        <v>3017</v>
      </c>
      <c r="D1264" s="90">
        <v>1788</v>
      </c>
      <c r="E1264" s="90">
        <v>1834</v>
      </c>
      <c r="F1264" s="90" t="s">
        <v>1454</v>
      </c>
      <c r="G1264" s="90"/>
      <c r="H1264" s="93"/>
      <c r="I1264" s="93"/>
      <c r="J1264" s="93"/>
      <c r="K1264" s="95"/>
      <c r="L1264" s="69"/>
      <c r="M1264" s="69"/>
      <c r="N1264" s="69"/>
      <c r="O1264" s="69"/>
      <c r="P1264" s="78"/>
      <c r="Q1264" s="96"/>
      <c r="R1264" s="97"/>
      <c r="S1264" s="98"/>
    </row>
    <row r="1265" spans="1:19" ht="42.75">
      <c r="A1265" s="90" t="s">
        <v>50</v>
      </c>
      <c r="B1265" s="91" t="s">
        <v>509</v>
      </c>
      <c r="C1265" s="91" t="s">
        <v>3018</v>
      </c>
      <c r="D1265" s="90">
        <v>1387</v>
      </c>
      <c r="E1265" s="90">
        <v>1513</v>
      </c>
      <c r="F1265" s="90" t="s">
        <v>1454</v>
      </c>
      <c r="G1265" s="90"/>
      <c r="H1265" s="93"/>
      <c r="I1265" s="93"/>
      <c r="J1265" s="93"/>
      <c r="K1265" s="95"/>
      <c r="L1265" s="69"/>
      <c r="M1265" s="69"/>
      <c r="N1265" s="69"/>
      <c r="O1265" s="69"/>
      <c r="P1265" s="78"/>
      <c r="Q1265" s="96"/>
      <c r="R1265" s="97"/>
      <c r="S1265" s="98"/>
    </row>
    <row r="1266" spans="1:19" ht="42.75">
      <c r="A1266" s="90" t="s">
        <v>50</v>
      </c>
      <c r="B1266" s="91" t="s">
        <v>511</v>
      </c>
      <c r="C1266" s="91" t="s">
        <v>3019</v>
      </c>
      <c r="D1266" s="90">
        <v>292</v>
      </c>
      <c r="E1266" s="90">
        <v>352</v>
      </c>
      <c r="F1266" s="90" t="s">
        <v>1454</v>
      </c>
      <c r="G1266" s="90"/>
      <c r="H1266" s="93"/>
      <c r="I1266" s="93"/>
      <c r="J1266" s="93"/>
      <c r="K1266" s="95"/>
      <c r="L1266" s="69"/>
      <c r="M1266" s="69"/>
      <c r="N1266" s="69"/>
      <c r="O1266" s="69"/>
      <c r="P1266" s="78"/>
      <c r="Q1266" s="96"/>
      <c r="R1266" s="97"/>
      <c r="S1266" s="98"/>
    </row>
    <row r="1267" spans="1:19" ht="42.75">
      <c r="A1267" s="90" t="s">
        <v>50</v>
      </c>
      <c r="B1267" s="91" t="s">
        <v>511</v>
      </c>
      <c r="C1267" s="91" t="s">
        <v>3020</v>
      </c>
      <c r="D1267" s="90">
        <v>643</v>
      </c>
      <c r="E1267" s="90">
        <v>663</v>
      </c>
      <c r="F1267" s="90" t="s">
        <v>1434</v>
      </c>
      <c r="G1267" s="90">
        <v>2024</v>
      </c>
      <c r="H1267" s="101">
        <v>45561</v>
      </c>
      <c r="I1267" s="101">
        <v>45563</v>
      </c>
      <c r="J1267" s="94" t="s">
        <v>3021</v>
      </c>
      <c r="K1267" s="100">
        <v>45572</v>
      </c>
      <c r="L1267" s="69" t="s">
        <v>83</v>
      </c>
      <c r="M1267" s="69" t="s">
        <v>4</v>
      </c>
      <c r="N1267" s="69" t="s">
        <v>101</v>
      </c>
      <c r="O1267" s="69" t="s">
        <v>1436</v>
      </c>
      <c r="P1267" s="78"/>
      <c r="Q1267" s="115">
        <v>45573</v>
      </c>
      <c r="R1267" s="65" t="s">
        <v>929</v>
      </c>
      <c r="S1267" s="89"/>
    </row>
    <row r="1268" spans="1:19" ht="42.75">
      <c r="A1268" s="90" t="s">
        <v>50</v>
      </c>
      <c r="B1268" s="91" t="s">
        <v>511</v>
      </c>
      <c r="C1268" s="91" t="s">
        <v>3022</v>
      </c>
      <c r="D1268" s="90">
        <v>2757</v>
      </c>
      <c r="E1268" s="90">
        <v>2773</v>
      </c>
      <c r="F1268" s="90" t="s">
        <v>1454</v>
      </c>
      <c r="G1268" s="90"/>
      <c r="H1268" s="93"/>
      <c r="I1268" s="93"/>
      <c r="J1268" s="93"/>
      <c r="K1268" s="95"/>
      <c r="L1268" s="69"/>
      <c r="M1268" s="69"/>
      <c r="N1268" s="69"/>
      <c r="O1268" s="69"/>
      <c r="P1268" s="78"/>
      <c r="Q1268" s="96"/>
      <c r="R1268" s="97"/>
      <c r="S1268" s="98"/>
    </row>
    <row r="1269" spans="1:19" ht="42.75">
      <c r="A1269" s="90" t="s">
        <v>50</v>
      </c>
      <c r="B1269" s="91" t="s">
        <v>511</v>
      </c>
      <c r="C1269" s="91" t="s">
        <v>2467</v>
      </c>
      <c r="D1269" s="90">
        <v>1157</v>
      </c>
      <c r="E1269" s="90">
        <v>1239</v>
      </c>
      <c r="F1269" s="90" t="s">
        <v>1454</v>
      </c>
      <c r="G1269" s="90"/>
      <c r="H1269" s="93"/>
      <c r="I1269" s="93"/>
      <c r="J1269" s="93"/>
      <c r="K1269" s="95"/>
      <c r="L1269" s="69"/>
      <c r="M1269" s="69"/>
      <c r="N1269" s="69"/>
      <c r="O1269" s="69"/>
      <c r="P1269" s="78"/>
      <c r="Q1269" s="96"/>
      <c r="R1269" s="97"/>
      <c r="S1269" s="98"/>
    </row>
    <row r="1270" spans="1:19" ht="42.75">
      <c r="A1270" s="90" t="s">
        <v>50</v>
      </c>
      <c r="B1270" s="91" t="s">
        <v>511</v>
      </c>
      <c r="C1270" s="91" t="s">
        <v>3023</v>
      </c>
      <c r="D1270" s="90">
        <v>606</v>
      </c>
      <c r="E1270" s="90">
        <v>575</v>
      </c>
      <c r="F1270" s="90" t="s">
        <v>1454</v>
      </c>
      <c r="G1270" s="90"/>
      <c r="H1270" s="93"/>
      <c r="I1270" s="93"/>
      <c r="J1270" s="93"/>
      <c r="K1270" s="95"/>
      <c r="L1270" s="69"/>
      <c r="M1270" s="69"/>
      <c r="N1270" s="69"/>
      <c r="O1270" s="69"/>
      <c r="P1270" s="78"/>
      <c r="Q1270" s="96"/>
      <c r="R1270" s="97"/>
      <c r="S1270" s="98"/>
    </row>
    <row r="1271" spans="1:19" ht="42.75">
      <c r="A1271" s="90" t="s">
        <v>50</v>
      </c>
      <c r="B1271" s="91" t="s">
        <v>511</v>
      </c>
      <c r="C1271" s="91" t="s">
        <v>3024</v>
      </c>
      <c r="D1271" s="90">
        <v>1779</v>
      </c>
      <c r="E1271" s="90">
        <v>1945</v>
      </c>
      <c r="F1271" s="90" t="s">
        <v>1454</v>
      </c>
      <c r="G1271" s="90"/>
      <c r="H1271" s="93"/>
      <c r="I1271" s="93"/>
      <c r="J1271" s="93"/>
      <c r="K1271" s="95"/>
      <c r="L1271" s="69"/>
      <c r="M1271" s="69"/>
      <c r="N1271" s="69"/>
      <c r="O1271" s="69"/>
      <c r="P1271" s="78"/>
      <c r="Q1271" s="96"/>
      <c r="R1271" s="97"/>
      <c r="S1271" s="98"/>
    </row>
    <row r="1272" spans="1:19" ht="42.75">
      <c r="A1272" s="90" t="s">
        <v>50</v>
      </c>
      <c r="B1272" s="91" t="s">
        <v>511</v>
      </c>
      <c r="C1272" s="91" t="s">
        <v>3025</v>
      </c>
      <c r="D1272" s="90">
        <v>677</v>
      </c>
      <c r="E1272" s="90">
        <v>709</v>
      </c>
      <c r="F1272" s="90" t="s">
        <v>1454</v>
      </c>
      <c r="G1272" s="90"/>
      <c r="H1272" s="93"/>
      <c r="I1272" s="93"/>
      <c r="J1272" s="93"/>
      <c r="K1272" s="95"/>
      <c r="L1272" s="69"/>
      <c r="M1272" s="69"/>
      <c r="N1272" s="69"/>
      <c r="O1272" s="69"/>
      <c r="P1272" s="78"/>
      <c r="Q1272" s="96"/>
      <c r="R1272" s="97"/>
      <c r="S1272" s="98"/>
    </row>
    <row r="1273" spans="1:19" ht="42.75">
      <c r="A1273" s="90" t="s">
        <v>50</v>
      </c>
      <c r="B1273" s="91" t="s">
        <v>511</v>
      </c>
      <c r="C1273" s="91" t="s">
        <v>3026</v>
      </c>
      <c r="D1273" s="90">
        <v>1498</v>
      </c>
      <c r="E1273" s="90">
        <v>1407</v>
      </c>
      <c r="F1273" s="90" t="s">
        <v>1454</v>
      </c>
      <c r="G1273" s="127"/>
      <c r="H1273" s="122"/>
      <c r="I1273" s="122"/>
      <c r="J1273" s="122"/>
      <c r="K1273" s="168"/>
      <c r="L1273" s="69"/>
      <c r="M1273" s="69"/>
      <c r="N1273" s="69"/>
      <c r="O1273" s="69"/>
      <c r="P1273" s="78"/>
      <c r="Q1273" s="96"/>
      <c r="R1273" s="97"/>
      <c r="S1273" s="98"/>
    </row>
    <row r="1274" spans="1:19" ht="42.75">
      <c r="A1274" s="90" t="s">
        <v>50</v>
      </c>
      <c r="B1274" s="91" t="s">
        <v>511</v>
      </c>
      <c r="C1274" s="91" t="s">
        <v>2750</v>
      </c>
      <c r="D1274" s="90">
        <v>3361</v>
      </c>
      <c r="E1274" s="90">
        <v>4396</v>
      </c>
      <c r="F1274" s="90" t="s">
        <v>1434</v>
      </c>
      <c r="G1274" s="90">
        <v>2024</v>
      </c>
      <c r="H1274" s="100">
        <v>45393</v>
      </c>
      <c r="I1274" s="100">
        <v>45395</v>
      </c>
      <c r="J1274" s="107" t="s">
        <v>3027</v>
      </c>
      <c r="K1274" s="100">
        <v>45399</v>
      </c>
      <c r="L1274" s="158" t="s">
        <v>77</v>
      </c>
      <c r="M1274" s="69"/>
      <c r="N1274" s="69"/>
      <c r="O1274" s="69" t="s">
        <v>1436</v>
      </c>
      <c r="P1274" s="78"/>
      <c r="Q1274" s="96"/>
      <c r="R1274" s="97"/>
      <c r="S1274" s="98"/>
    </row>
    <row r="1275" spans="1:19" ht="42.75">
      <c r="A1275" s="90" t="s">
        <v>50</v>
      </c>
      <c r="B1275" s="91" t="s">
        <v>511</v>
      </c>
      <c r="C1275" s="91" t="s">
        <v>3028</v>
      </c>
      <c r="D1275" s="90">
        <v>496</v>
      </c>
      <c r="E1275" s="90">
        <v>557</v>
      </c>
      <c r="F1275" s="90" t="s">
        <v>1454</v>
      </c>
      <c r="G1275" s="90"/>
      <c r="H1275" s="93"/>
      <c r="I1275" s="93"/>
      <c r="J1275" s="93"/>
      <c r="K1275" s="169"/>
      <c r="L1275" s="69"/>
      <c r="M1275" s="69"/>
      <c r="N1275" s="69"/>
      <c r="O1275" s="69"/>
      <c r="P1275" s="78"/>
      <c r="Q1275" s="96"/>
      <c r="R1275" s="97"/>
      <c r="S1275" s="98"/>
    </row>
    <row r="1276" spans="1:19" ht="42.75">
      <c r="A1276" s="90" t="s">
        <v>50</v>
      </c>
      <c r="B1276" s="91" t="s">
        <v>511</v>
      </c>
      <c r="C1276" s="91" t="s">
        <v>3029</v>
      </c>
      <c r="D1276" s="90">
        <v>1905</v>
      </c>
      <c r="E1276" s="90">
        <v>2234</v>
      </c>
      <c r="F1276" s="90" t="s">
        <v>1454</v>
      </c>
      <c r="G1276" s="90"/>
      <c r="H1276" s="93"/>
      <c r="I1276" s="93"/>
      <c r="J1276" s="93"/>
      <c r="K1276" s="95"/>
      <c r="L1276" s="69"/>
      <c r="M1276" s="69"/>
      <c r="N1276" s="69"/>
      <c r="O1276" s="69"/>
      <c r="P1276" s="78"/>
      <c r="Q1276" s="96"/>
      <c r="R1276" s="97"/>
      <c r="S1276" s="98"/>
    </row>
    <row r="1277" spans="1:19" ht="42.75">
      <c r="A1277" s="90" t="s">
        <v>50</v>
      </c>
      <c r="B1277" s="91" t="s">
        <v>511</v>
      </c>
      <c r="C1277" s="91" t="s">
        <v>3030</v>
      </c>
      <c r="D1277" s="90">
        <v>1650</v>
      </c>
      <c r="E1277" s="90">
        <v>1830</v>
      </c>
      <c r="F1277" s="90" t="s">
        <v>1454</v>
      </c>
      <c r="G1277" s="90"/>
      <c r="H1277" s="93"/>
      <c r="I1277" s="93"/>
      <c r="J1277" s="93"/>
      <c r="K1277" s="95"/>
      <c r="L1277" s="69"/>
      <c r="M1277" s="69"/>
      <c r="N1277" s="69"/>
      <c r="O1277" s="69"/>
      <c r="P1277" s="78"/>
      <c r="Q1277" s="96"/>
      <c r="R1277" s="97"/>
      <c r="S1277" s="98"/>
    </row>
    <row r="1278" spans="1:19" ht="42.75">
      <c r="A1278" s="90" t="s">
        <v>50</v>
      </c>
      <c r="B1278" s="91" t="s">
        <v>511</v>
      </c>
      <c r="C1278" s="91" t="s">
        <v>3031</v>
      </c>
      <c r="D1278" s="90">
        <v>1186</v>
      </c>
      <c r="E1278" s="90">
        <v>871</v>
      </c>
      <c r="F1278" s="90" t="s">
        <v>1454</v>
      </c>
      <c r="G1278" s="90"/>
      <c r="H1278" s="93"/>
      <c r="I1278" s="93"/>
      <c r="J1278" s="93"/>
      <c r="K1278" s="95"/>
      <c r="L1278" s="69"/>
      <c r="M1278" s="69"/>
      <c r="N1278" s="69"/>
      <c r="O1278" s="69"/>
      <c r="P1278" s="78"/>
      <c r="Q1278" s="96"/>
      <c r="R1278" s="97"/>
      <c r="S1278" s="98"/>
    </row>
    <row r="1279" spans="1:19" ht="42.75">
      <c r="A1279" s="90" t="s">
        <v>50</v>
      </c>
      <c r="B1279" s="91" t="s">
        <v>511</v>
      </c>
      <c r="C1279" s="91" t="s">
        <v>3032</v>
      </c>
      <c r="D1279" s="90">
        <v>831</v>
      </c>
      <c r="E1279" s="90">
        <v>849</v>
      </c>
      <c r="F1279" s="90" t="s">
        <v>1454</v>
      </c>
      <c r="G1279" s="90"/>
      <c r="H1279" s="93"/>
      <c r="I1279" s="93"/>
      <c r="J1279" s="93"/>
      <c r="K1279" s="95"/>
      <c r="L1279" s="69"/>
      <c r="M1279" s="69"/>
      <c r="N1279" s="69"/>
      <c r="O1279" s="69"/>
      <c r="P1279" s="78"/>
      <c r="Q1279" s="96"/>
      <c r="R1279" s="97"/>
      <c r="S1279" s="98"/>
    </row>
    <row r="1280" spans="1:19" ht="42.75">
      <c r="A1280" s="90" t="s">
        <v>50</v>
      </c>
      <c r="B1280" s="91" t="s">
        <v>511</v>
      </c>
      <c r="C1280" s="91" t="s">
        <v>368</v>
      </c>
      <c r="D1280" s="90">
        <v>1912</v>
      </c>
      <c r="E1280" s="90">
        <v>1983</v>
      </c>
      <c r="F1280" s="90" t="s">
        <v>1454</v>
      </c>
      <c r="G1280" s="90"/>
      <c r="H1280" s="93"/>
      <c r="I1280" s="93"/>
      <c r="J1280" s="93"/>
      <c r="K1280" s="95"/>
      <c r="L1280" s="69"/>
      <c r="M1280" s="69"/>
      <c r="N1280" s="69"/>
      <c r="O1280" s="69"/>
      <c r="P1280" s="78"/>
      <c r="Q1280" s="96"/>
      <c r="R1280" s="97"/>
      <c r="S1280" s="98"/>
    </row>
    <row r="1281" spans="1:19" ht="42.75">
      <c r="A1281" s="90" t="s">
        <v>50</v>
      </c>
      <c r="B1281" s="91" t="s">
        <v>511</v>
      </c>
      <c r="C1281" s="91" t="s">
        <v>3033</v>
      </c>
      <c r="D1281" s="90">
        <v>557</v>
      </c>
      <c r="E1281" s="90">
        <v>573</v>
      </c>
      <c r="F1281" s="90" t="s">
        <v>1454</v>
      </c>
      <c r="G1281" s="90"/>
      <c r="H1281" s="93"/>
      <c r="I1281" s="93"/>
      <c r="J1281" s="93"/>
      <c r="K1281" s="95"/>
      <c r="L1281" s="69"/>
      <c r="M1281" s="69"/>
      <c r="N1281" s="69"/>
      <c r="O1281" s="69"/>
      <c r="P1281" s="78"/>
      <c r="Q1281" s="96"/>
      <c r="R1281" s="97"/>
      <c r="S1281" s="98"/>
    </row>
    <row r="1282" spans="1:19" ht="42.75">
      <c r="A1282" s="90" t="s">
        <v>50</v>
      </c>
      <c r="B1282" s="91" t="s">
        <v>511</v>
      </c>
      <c r="C1282" s="91" t="s">
        <v>3034</v>
      </c>
      <c r="D1282" s="90">
        <v>1583</v>
      </c>
      <c r="E1282" s="90">
        <v>1657</v>
      </c>
      <c r="F1282" s="90" t="s">
        <v>1454</v>
      </c>
      <c r="G1282" s="90"/>
      <c r="H1282" s="93"/>
      <c r="I1282" s="93"/>
      <c r="J1282" s="93"/>
      <c r="K1282" s="95"/>
      <c r="L1282" s="69"/>
      <c r="M1282" s="69"/>
      <c r="N1282" s="69"/>
      <c r="O1282" s="69"/>
      <c r="P1282" s="78"/>
      <c r="Q1282" s="96"/>
      <c r="R1282" s="97"/>
      <c r="S1282" s="98"/>
    </row>
    <row r="1283" spans="1:19" ht="42.75">
      <c r="A1283" s="90" t="s">
        <v>50</v>
      </c>
      <c r="B1283" s="91" t="s">
        <v>511</v>
      </c>
      <c r="C1283" s="91" t="s">
        <v>3035</v>
      </c>
      <c r="D1283" s="90">
        <v>1316</v>
      </c>
      <c r="E1283" s="90">
        <v>1442</v>
      </c>
      <c r="F1283" s="90" t="s">
        <v>1454</v>
      </c>
      <c r="G1283" s="90"/>
      <c r="H1283" s="93"/>
      <c r="I1283" s="93"/>
      <c r="J1283" s="93"/>
      <c r="K1283" s="95"/>
      <c r="L1283" s="69"/>
      <c r="M1283" s="69"/>
      <c r="N1283" s="69"/>
      <c r="O1283" s="69"/>
      <c r="P1283" s="78"/>
      <c r="Q1283" s="96"/>
      <c r="R1283" s="97"/>
      <c r="S1283" s="98"/>
    </row>
    <row r="1284" spans="1:19" ht="42.75">
      <c r="A1284" s="90" t="s">
        <v>50</v>
      </c>
      <c r="B1284" s="91" t="s">
        <v>511</v>
      </c>
      <c r="C1284" s="91" t="s">
        <v>3036</v>
      </c>
      <c r="D1284" s="90">
        <v>3469</v>
      </c>
      <c r="E1284" s="90">
        <v>4069</v>
      </c>
      <c r="F1284" s="90" t="s">
        <v>1434</v>
      </c>
      <c r="G1284" s="90">
        <v>2024</v>
      </c>
      <c r="H1284" s="101">
        <v>45561</v>
      </c>
      <c r="I1284" s="101">
        <v>45563</v>
      </c>
      <c r="J1284" s="94" t="s">
        <v>3037</v>
      </c>
      <c r="K1284" s="100">
        <v>45572</v>
      </c>
      <c r="L1284" s="69" t="s">
        <v>83</v>
      </c>
      <c r="M1284" s="69" t="s">
        <v>4</v>
      </c>
      <c r="N1284" s="69" t="s">
        <v>101</v>
      </c>
      <c r="O1284" s="69" t="s">
        <v>1436</v>
      </c>
      <c r="P1284" s="78"/>
      <c r="Q1284" s="115">
        <v>45573</v>
      </c>
      <c r="R1284" s="65" t="s">
        <v>929</v>
      </c>
      <c r="S1284" s="89"/>
    </row>
    <row r="1285" spans="1:19" ht="42.75">
      <c r="A1285" s="90" t="s">
        <v>50</v>
      </c>
      <c r="B1285" s="91" t="s">
        <v>511</v>
      </c>
      <c r="C1285" s="91" t="s">
        <v>3038</v>
      </c>
      <c r="D1285" s="90">
        <v>4028</v>
      </c>
      <c r="E1285" s="90">
        <v>4593</v>
      </c>
      <c r="F1285" s="90" t="s">
        <v>1454</v>
      </c>
      <c r="G1285" s="90"/>
      <c r="H1285" s="93"/>
      <c r="I1285" s="93"/>
      <c r="J1285" s="93"/>
      <c r="K1285" s="95"/>
      <c r="L1285" s="69"/>
      <c r="M1285" s="69"/>
      <c r="N1285" s="69"/>
      <c r="O1285" s="69"/>
      <c r="P1285" s="78"/>
      <c r="Q1285" s="96"/>
      <c r="R1285" s="97"/>
      <c r="S1285" s="98"/>
    </row>
    <row r="1286" spans="1:19" ht="42.75">
      <c r="A1286" s="90" t="s">
        <v>50</v>
      </c>
      <c r="B1286" s="91" t="s">
        <v>511</v>
      </c>
      <c r="C1286" s="91" t="s">
        <v>3039</v>
      </c>
      <c r="D1286" s="90">
        <v>829</v>
      </c>
      <c r="E1286" s="90">
        <v>846</v>
      </c>
      <c r="F1286" s="90" t="s">
        <v>1454</v>
      </c>
      <c r="G1286" s="90"/>
      <c r="H1286" s="93"/>
      <c r="I1286" s="93"/>
      <c r="J1286" s="93"/>
      <c r="K1286" s="95"/>
      <c r="L1286" s="69"/>
      <c r="M1286" s="69"/>
      <c r="N1286" s="69"/>
      <c r="O1286" s="69"/>
      <c r="P1286" s="78"/>
      <c r="Q1286" s="96"/>
      <c r="R1286" s="97"/>
      <c r="S1286" s="98"/>
    </row>
    <row r="1287" spans="1:19" ht="42.75">
      <c r="A1287" s="90" t="s">
        <v>50</v>
      </c>
      <c r="B1287" s="91" t="s">
        <v>511</v>
      </c>
      <c r="C1287" s="91" t="s">
        <v>1330</v>
      </c>
      <c r="D1287" s="90">
        <v>2268</v>
      </c>
      <c r="E1287" s="90">
        <v>2444</v>
      </c>
      <c r="F1287" s="90" t="s">
        <v>1454</v>
      </c>
      <c r="G1287" s="90"/>
      <c r="H1287" s="93"/>
      <c r="I1287" s="93"/>
      <c r="J1287" s="93"/>
      <c r="K1287" s="95"/>
      <c r="L1287" s="69"/>
      <c r="M1287" s="69"/>
      <c r="N1287" s="69"/>
      <c r="O1287" s="69"/>
      <c r="P1287" s="78"/>
      <c r="Q1287" s="96"/>
      <c r="R1287" s="97"/>
      <c r="S1287" s="98"/>
    </row>
    <row r="1288" spans="1:19" ht="42.75">
      <c r="A1288" s="90" t="s">
        <v>50</v>
      </c>
      <c r="B1288" s="91" t="s">
        <v>511</v>
      </c>
      <c r="C1288" s="91" t="s">
        <v>3040</v>
      </c>
      <c r="D1288" s="90">
        <v>378</v>
      </c>
      <c r="E1288" s="90">
        <v>446</v>
      </c>
      <c r="F1288" s="90" t="s">
        <v>1454</v>
      </c>
      <c r="G1288" s="90"/>
      <c r="H1288" s="93"/>
      <c r="I1288" s="93"/>
      <c r="J1288" s="93"/>
      <c r="K1288" s="95"/>
      <c r="L1288" s="69"/>
      <c r="M1288" s="69"/>
      <c r="N1288" s="69"/>
      <c r="O1288" s="69"/>
      <c r="P1288" s="78"/>
      <c r="Q1288" s="96"/>
      <c r="R1288" s="97"/>
      <c r="S1288" s="98"/>
    </row>
    <row r="1289" spans="1:19" ht="42.75">
      <c r="A1289" s="90" t="s">
        <v>50</v>
      </c>
      <c r="B1289" s="91" t="s">
        <v>511</v>
      </c>
      <c r="C1289" s="91" t="s">
        <v>3041</v>
      </c>
      <c r="D1289" s="90">
        <v>1092</v>
      </c>
      <c r="E1289" s="90">
        <v>1246</v>
      </c>
      <c r="F1289" s="90" t="s">
        <v>1454</v>
      </c>
      <c r="G1289" s="90"/>
      <c r="H1289" s="93"/>
      <c r="I1289" s="93"/>
      <c r="J1289" s="93"/>
      <c r="K1289" s="95"/>
      <c r="L1289" s="69"/>
      <c r="M1289" s="69"/>
      <c r="N1289" s="69"/>
      <c r="O1289" s="69"/>
      <c r="P1289" s="78"/>
      <c r="Q1289" s="96"/>
      <c r="R1289" s="97"/>
      <c r="S1289" s="98"/>
    </row>
    <row r="1290" spans="1:19" ht="42.75">
      <c r="A1290" s="90" t="s">
        <v>50</v>
      </c>
      <c r="B1290" s="91" t="s">
        <v>511</v>
      </c>
      <c r="C1290" s="91" t="s">
        <v>3042</v>
      </c>
      <c r="D1290" s="90">
        <v>1493</v>
      </c>
      <c r="E1290" s="90">
        <v>1806</v>
      </c>
      <c r="F1290" s="90" t="s">
        <v>1454</v>
      </c>
      <c r="G1290" s="90"/>
      <c r="H1290" s="93"/>
      <c r="I1290" s="93"/>
      <c r="J1290" s="93"/>
      <c r="K1290" s="95"/>
      <c r="L1290" s="69"/>
      <c r="M1290" s="69"/>
      <c r="N1290" s="69"/>
      <c r="O1290" s="69"/>
      <c r="P1290" s="78"/>
      <c r="Q1290" s="96"/>
      <c r="R1290" s="97"/>
      <c r="S1290" s="98"/>
    </row>
    <row r="1291" spans="1:19" ht="42.75">
      <c r="A1291" s="90" t="s">
        <v>50</v>
      </c>
      <c r="B1291" s="91" t="s">
        <v>511</v>
      </c>
      <c r="C1291" s="91" t="s">
        <v>3043</v>
      </c>
      <c r="D1291" s="90">
        <v>1470</v>
      </c>
      <c r="E1291" s="90">
        <v>1616</v>
      </c>
      <c r="F1291" s="90" t="s">
        <v>1434</v>
      </c>
      <c r="G1291" s="90">
        <v>2024</v>
      </c>
      <c r="H1291" s="101">
        <v>45561</v>
      </c>
      <c r="I1291" s="101">
        <v>45563</v>
      </c>
      <c r="J1291" s="94" t="s">
        <v>3044</v>
      </c>
      <c r="K1291" s="100">
        <v>45574</v>
      </c>
      <c r="L1291" s="69" t="s">
        <v>83</v>
      </c>
      <c r="M1291" s="69" t="s">
        <v>4</v>
      </c>
      <c r="N1291" s="69" t="s">
        <v>101</v>
      </c>
      <c r="O1291" s="69" t="s">
        <v>1436</v>
      </c>
      <c r="P1291" s="78"/>
      <c r="Q1291" s="115">
        <v>45575</v>
      </c>
      <c r="R1291" s="65" t="s">
        <v>929</v>
      </c>
      <c r="S1291" s="89"/>
    </row>
    <row r="1292" spans="1:19" ht="42.75">
      <c r="A1292" s="90" t="s">
        <v>50</v>
      </c>
      <c r="B1292" s="91" t="s">
        <v>511</v>
      </c>
      <c r="C1292" s="91" t="s">
        <v>3045</v>
      </c>
      <c r="D1292" s="90">
        <v>1408</v>
      </c>
      <c r="E1292" s="90">
        <v>1333</v>
      </c>
      <c r="F1292" s="90" t="s">
        <v>1454</v>
      </c>
      <c r="G1292" s="90"/>
      <c r="H1292" s="93"/>
      <c r="I1292" s="93"/>
      <c r="J1292" s="93"/>
      <c r="K1292" s="95"/>
      <c r="L1292" s="69"/>
      <c r="M1292" s="69"/>
      <c r="N1292" s="69"/>
      <c r="O1292" s="69"/>
      <c r="P1292" s="78"/>
      <c r="Q1292" s="96"/>
      <c r="R1292" s="97"/>
      <c r="S1292" s="98"/>
    </row>
    <row r="1293" spans="1:19" ht="42.75">
      <c r="A1293" s="90" t="s">
        <v>50</v>
      </c>
      <c r="B1293" s="91" t="s">
        <v>511</v>
      </c>
      <c r="C1293" s="91" t="s">
        <v>886</v>
      </c>
      <c r="D1293" s="90">
        <v>4072</v>
      </c>
      <c r="E1293" s="90">
        <v>4296</v>
      </c>
      <c r="F1293" s="90" t="s">
        <v>1454</v>
      </c>
      <c r="G1293" s="90"/>
      <c r="H1293" s="93"/>
      <c r="I1293" s="93"/>
      <c r="J1293" s="93"/>
      <c r="K1293" s="95"/>
      <c r="L1293" s="69"/>
      <c r="M1293" s="69"/>
      <c r="N1293" s="69"/>
      <c r="O1293" s="69"/>
      <c r="P1293" s="78"/>
      <c r="Q1293" s="96"/>
      <c r="R1293" s="97"/>
      <c r="S1293" s="98"/>
    </row>
    <row r="1294" spans="1:19" ht="42.75">
      <c r="A1294" s="90" t="s">
        <v>50</v>
      </c>
      <c r="B1294" s="91" t="s">
        <v>511</v>
      </c>
      <c r="C1294" s="91" t="s">
        <v>3046</v>
      </c>
      <c r="D1294" s="90">
        <v>873</v>
      </c>
      <c r="E1294" s="90">
        <v>830</v>
      </c>
      <c r="F1294" s="90" t="s">
        <v>1454</v>
      </c>
      <c r="G1294" s="90"/>
      <c r="H1294" s="93"/>
      <c r="I1294" s="93"/>
      <c r="J1294" s="93"/>
      <c r="K1294" s="95"/>
      <c r="L1294" s="69"/>
      <c r="M1294" s="69"/>
      <c r="N1294" s="69"/>
      <c r="O1294" s="69"/>
      <c r="P1294" s="78"/>
      <c r="Q1294" s="96"/>
      <c r="R1294" s="97"/>
      <c r="S1294" s="98"/>
    </row>
    <row r="1295" spans="1:19" ht="42.75">
      <c r="A1295" s="90" t="s">
        <v>50</v>
      </c>
      <c r="B1295" s="91" t="s">
        <v>511</v>
      </c>
      <c r="C1295" s="91" t="s">
        <v>3047</v>
      </c>
      <c r="D1295" s="90">
        <v>648</v>
      </c>
      <c r="E1295" s="90">
        <v>678</v>
      </c>
      <c r="F1295" s="90" t="s">
        <v>1454</v>
      </c>
      <c r="G1295" s="90"/>
      <c r="H1295" s="93"/>
      <c r="I1295" s="93"/>
      <c r="J1295" s="93"/>
      <c r="K1295" s="95"/>
      <c r="L1295" s="69"/>
      <c r="M1295" s="69"/>
      <c r="N1295" s="69"/>
      <c r="O1295" s="69"/>
      <c r="P1295" s="78"/>
      <c r="Q1295" s="96"/>
      <c r="R1295" s="97"/>
      <c r="S1295" s="98"/>
    </row>
    <row r="1296" spans="1:19" ht="42.75">
      <c r="A1296" s="90" t="s">
        <v>50</v>
      </c>
      <c r="B1296" s="91" t="s">
        <v>511</v>
      </c>
      <c r="C1296" s="91" t="s">
        <v>3048</v>
      </c>
      <c r="D1296" s="90">
        <v>2309</v>
      </c>
      <c r="E1296" s="90">
        <v>2529</v>
      </c>
      <c r="F1296" s="90" t="s">
        <v>1454</v>
      </c>
      <c r="G1296" s="90"/>
      <c r="H1296" s="93"/>
      <c r="I1296" s="93"/>
      <c r="J1296" s="93"/>
      <c r="K1296" s="95"/>
      <c r="L1296" s="69"/>
      <c r="M1296" s="69"/>
      <c r="N1296" s="69"/>
      <c r="O1296" s="69"/>
      <c r="P1296" s="78"/>
      <c r="Q1296" s="96"/>
      <c r="R1296" s="97"/>
      <c r="S1296" s="98"/>
    </row>
    <row r="1297" spans="1:19" ht="42.75">
      <c r="A1297" s="90" t="s">
        <v>50</v>
      </c>
      <c r="B1297" s="91" t="s">
        <v>511</v>
      </c>
      <c r="C1297" s="91" t="s">
        <v>3049</v>
      </c>
      <c r="D1297" s="90">
        <v>2940</v>
      </c>
      <c r="E1297" s="90">
        <v>3002</v>
      </c>
      <c r="F1297" s="90" t="s">
        <v>1454</v>
      </c>
      <c r="G1297" s="90"/>
      <c r="H1297" s="93"/>
      <c r="I1297" s="93"/>
      <c r="J1297" s="93"/>
      <c r="K1297" s="95"/>
      <c r="L1297" s="69"/>
      <c r="M1297" s="69"/>
      <c r="N1297" s="69"/>
      <c r="O1297" s="69"/>
      <c r="P1297" s="78"/>
      <c r="Q1297" s="96"/>
      <c r="R1297" s="97"/>
      <c r="S1297" s="98"/>
    </row>
    <row r="1298" spans="1:19" ht="42.75">
      <c r="A1298" s="90" t="s">
        <v>50</v>
      </c>
      <c r="B1298" s="91" t="s">
        <v>511</v>
      </c>
      <c r="C1298" s="91" t="s">
        <v>3050</v>
      </c>
      <c r="D1298" s="90">
        <v>2564</v>
      </c>
      <c r="E1298" s="90">
        <v>2934</v>
      </c>
      <c r="F1298" s="90" t="s">
        <v>1454</v>
      </c>
      <c r="G1298" s="90"/>
      <c r="H1298" s="93"/>
      <c r="I1298" s="93"/>
      <c r="J1298" s="93"/>
      <c r="K1298" s="95"/>
      <c r="L1298" s="69"/>
      <c r="M1298" s="69"/>
      <c r="N1298" s="69"/>
      <c r="O1298" s="69"/>
      <c r="P1298" s="78"/>
      <c r="Q1298" s="96"/>
      <c r="R1298" s="97"/>
      <c r="S1298" s="98"/>
    </row>
    <row r="1299" spans="1:19" ht="42.75">
      <c r="A1299" s="90" t="s">
        <v>50</v>
      </c>
      <c r="B1299" s="91" t="s">
        <v>511</v>
      </c>
      <c r="C1299" s="91" t="s">
        <v>3051</v>
      </c>
      <c r="D1299" s="90">
        <v>5878</v>
      </c>
      <c r="E1299" s="90">
        <v>6198</v>
      </c>
      <c r="F1299" s="90" t="s">
        <v>1454</v>
      </c>
      <c r="G1299" s="90"/>
      <c r="H1299" s="93"/>
      <c r="I1299" s="93"/>
      <c r="J1299" s="93"/>
      <c r="K1299" s="95"/>
      <c r="L1299" s="69"/>
      <c r="M1299" s="69"/>
      <c r="N1299" s="69"/>
      <c r="O1299" s="69"/>
      <c r="P1299" s="78"/>
      <c r="Q1299" s="96"/>
      <c r="R1299" s="97"/>
      <c r="S1299" s="98"/>
    </row>
    <row r="1300" spans="1:19" ht="42.75">
      <c r="A1300" s="90" t="s">
        <v>50</v>
      </c>
      <c r="B1300" s="91" t="s">
        <v>511</v>
      </c>
      <c r="C1300" s="91" t="s">
        <v>3052</v>
      </c>
      <c r="D1300" s="90">
        <v>2973</v>
      </c>
      <c r="E1300" s="90">
        <v>3227</v>
      </c>
      <c r="F1300" s="90" t="s">
        <v>1454</v>
      </c>
      <c r="G1300" s="90"/>
      <c r="H1300" s="93"/>
      <c r="I1300" s="93"/>
      <c r="J1300" s="93"/>
      <c r="K1300" s="95"/>
      <c r="L1300" s="69"/>
      <c r="M1300" s="69"/>
      <c r="N1300" s="69"/>
      <c r="O1300" s="69"/>
      <c r="P1300" s="78"/>
      <c r="Q1300" s="96"/>
      <c r="R1300" s="97"/>
      <c r="S1300" s="98"/>
    </row>
    <row r="1301" spans="1:19" ht="42.75">
      <c r="A1301" s="90" t="s">
        <v>50</v>
      </c>
      <c r="B1301" s="91" t="s">
        <v>511</v>
      </c>
      <c r="C1301" s="91" t="s">
        <v>3053</v>
      </c>
      <c r="D1301" s="90">
        <v>607</v>
      </c>
      <c r="E1301" s="90">
        <v>637</v>
      </c>
      <c r="F1301" s="90" t="s">
        <v>1454</v>
      </c>
      <c r="G1301" s="90"/>
      <c r="H1301" s="93"/>
      <c r="I1301" s="93"/>
      <c r="J1301" s="93"/>
      <c r="K1301" s="95"/>
      <c r="L1301" s="69"/>
      <c r="M1301" s="69"/>
      <c r="N1301" s="69"/>
      <c r="O1301" s="69"/>
      <c r="P1301" s="78"/>
      <c r="Q1301" s="96"/>
      <c r="R1301" s="97"/>
      <c r="S1301" s="98"/>
    </row>
    <row r="1302" spans="1:19" ht="42.75">
      <c r="A1302" s="90" t="s">
        <v>50</v>
      </c>
      <c r="B1302" s="91" t="s">
        <v>511</v>
      </c>
      <c r="C1302" s="91" t="s">
        <v>3054</v>
      </c>
      <c r="D1302" s="90">
        <v>3172</v>
      </c>
      <c r="E1302" s="90">
        <v>3418</v>
      </c>
      <c r="F1302" s="90" t="s">
        <v>1454</v>
      </c>
      <c r="G1302" s="90"/>
      <c r="H1302" s="93"/>
      <c r="I1302" s="93"/>
      <c r="J1302" s="93"/>
      <c r="K1302" s="95"/>
      <c r="L1302" s="69"/>
      <c r="M1302" s="69"/>
      <c r="N1302" s="69"/>
      <c r="O1302" s="69"/>
      <c r="P1302" s="78"/>
      <c r="Q1302" s="96"/>
      <c r="R1302" s="97"/>
      <c r="S1302" s="98"/>
    </row>
    <row r="1303" spans="1:19" ht="42.75">
      <c r="A1303" s="90" t="s">
        <v>50</v>
      </c>
      <c r="B1303" s="91" t="s">
        <v>511</v>
      </c>
      <c r="C1303" s="91" t="s">
        <v>3055</v>
      </c>
      <c r="D1303" s="90">
        <v>954</v>
      </c>
      <c r="E1303" s="90">
        <v>1045</v>
      </c>
      <c r="F1303" s="90" t="s">
        <v>1454</v>
      </c>
      <c r="G1303" s="90"/>
      <c r="H1303" s="93"/>
      <c r="I1303" s="93"/>
      <c r="J1303" s="93"/>
      <c r="K1303" s="95"/>
      <c r="L1303" s="69"/>
      <c r="M1303" s="69"/>
      <c r="N1303" s="69"/>
      <c r="O1303" s="69"/>
      <c r="P1303" s="78"/>
      <c r="Q1303" s="96"/>
      <c r="R1303" s="97"/>
      <c r="S1303" s="98"/>
    </row>
    <row r="1304" spans="1:19" ht="42.75">
      <c r="A1304" s="90" t="s">
        <v>50</v>
      </c>
      <c r="B1304" s="91" t="s">
        <v>511</v>
      </c>
      <c r="C1304" s="91" t="s">
        <v>3056</v>
      </c>
      <c r="D1304" s="90">
        <v>1842</v>
      </c>
      <c r="E1304" s="90">
        <v>1929</v>
      </c>
      <c r="F1304" s="90" t="s">
        <v>1454</v>
      </c>
      <c r="G1304" s="90"/>
      <c r="H1304" s="93"/>
      <c r="I1304" s="93"/>
      <c r="J1304" s="93"/>
      <c r="K1304" s="95"/>
      <c r="L1304" s="69"/>
      <c r="M1304" s="69"/>
      <c r="N1304" s="69"/>
      <c r="O1304" s="69"/>
      <c r="P1304" s="78"/>
      <c r="Q1304" s="96"/>
      <c r="R1304" s="97"/>
      <c r="S1304" s="98"/>
    </row>
    <row r="1305" spans="1:19" ht="42.75">
      <c r="A1305" s="90" t="s">
        <v>50</v>
      </c>
      <c r="B1305" s="91" t="s">
        <v>511</v>
      </c>
      <c r="C1305" s="91" t="s">
        <v>3057</v>
      </c>
      <c r="D1305" s="90">
        <v>2575</v>
      </c>
      <c r="E1305" s="90">
        <v>2623</v>
      </c>
      <c r="F1305" s="90" t="s">
        <v>1454</v>
      </c>
      <c r="G1305" s="90"/>
      <c r="H1305" s="93"/>
      <c r="I1305" s="93"/>
      <c r="J1305" s="93"/>
      <c r="K1305" s="95"/>
      <c r="L1305" s="69"/>
      <c r="M1305" s="69"/>
      <c r="N1305" s="69"/>
      <c r="O1305" s="69"/>
      <c r="P1305" s="78"/>
      <c r="Q1305" s="96"/>
      <c r="R1305" s="97"/>
      <c r="S1305" s="98"/>
    </row>
    <row r="1306" spans="1:19" ht="42.75">
      <c r="A1306" s="90" t="s">
        <v>50</v>
      </c>
      <c r="B1306" s="91" t="s">
        <v>511</v>
      </c>
      <c r="C1306" s="91" t="s">
        <v>3058</v>
      </c>
      <c r="D1306" s="90">
        <v>1505</v>
      </c>
      <c r="E1306" s="90">
        <v>1647</v>
      </c>
      <c r="F1306" s="90" t="s">
        <v>1454</v>
      </c>
      <c r="G1306" s="90"/>
      <c r="H1306" s="93"/>
      <c r="I1306" s="93"/>
      <c r="J1306" s="93"/>
      <c r="K1306" s="95"/>
      <c r="L1306" s="69"/>
      <c r="M1306" s="69"/>
      <c r="N1306" s="69"/>
      <c r="O1306" s="69"/>
      <c r="P1306" s="78"/>
      <c r="Q1306" s="96"/>
      <c r="R1306" s="97"/>
      <c r="S1306" s="98"/>
    </row>
    <row r="1307" spans="1:19" ht="42.75">
      <c r="A1307" s="90" t="s">
        <v>50</v>
      </c>
      <c r="B1307" s="91" t="s">
        <v>511</v>
      </c>
      <c r="C1307" s="91" t="s">
        <v>3059</v>
      </c>
      <c r="D1307" s="90">
        <v>696</v>
      </c>
      <c r="E1307" s="90">
        <v>795</v>
      </c>
      <c r="F1307" s="90" t="s">
        <v>1454</v>
      </c>
      <c r="G1307" s="90"/>
      <c r="H1307" s="93"/>
      <c r="I1307" s="93"/>
      <c r="J1307" s="93"/>
      <c r="K1307" s="95"/>
      <c r="L1307" s="69"/>
      <c r="M1307" s="69"/>
      <c r="N1307" s="69"/>
      <c r="O1307" s="69"/>
      <c r="P1307" s="78"/>
      <c r="Q1307" s="96"/>
      <c r="R1307" s="97"/>
      <c r="S1307" s="98"/>
    </row>
    <row r="1308" spans="1:19" ht="42.75">
      <c r="A1308" s="90" t="s">
        <v>50</v>
      </c>
      <c r="B1308" s="91" t="s">
        <v>511</v>
      </c>
      <c r="C1308" s="91" t="s">
        <v>3060</v>
      </c>
      <c r="D1308" s="90">
        <v>2152</v>
      </c>
      <c r="E1308" s="90">
        <v>2252</v>
      </c>
      <c r="F1308" s="90" t="s">
        <v>1454</v>
      </c>
      <c r="G1308" s="90"/>
      <c r="H1308" s="93"/>
      <c r="I1308" s="93"/>
      <c r="J1308" s="93"/>
      <c r="K1308" s="95"/>
      <c r="L1308" s="69"/>
      <c r="M1308" s="69"/>
      <c r="N1308" s="69"/>
      <c r="O1308" s="69"/>
      <c r="P1308" s="78"/>
      <c r="Q1308" s="96"/>
      <c r="R1308" s="97"/>
      <c r="S1308" s="98"/>
    </row>
    <row r="1309" spans="1:19" ht="42.75">
      <c r="A1309" s="90" t="s">
        <v>50</v>
      </c>
      <c r="B1309" s="91" t="s">
        <v>511</v>
      </c>
      <c r="C1309" s="91" t="s">
        <v>3061</v>
      </c>
      <c r="D1309" s="90">
        <v>1660</v>
      </c>
      <c r="E1309" s="90">
        <v>1777</v>
      </c>
      <c r="F1309" s="90" t="s">
        <v>1454</v>
      </c>
      <c r="G1309" s="90"/>
      <c r="H1309" s="93"/>
      <c r="I1309" s="93"/>
      <c r="J1309" s="93"/>
      <c r="K1309" s="95"/>
      <c r="L1309" s="69"/>
      <c r="M1309" s="69"/>
      <c r="N1309" s="69"/>
      <c r="O1309" s="69"/>
      <c r="P1309" s="78"/>
      <c r="Q1309" s="96"/>
      <c r="R1309" s="97"/>
      <c r="S1309" s="98"/>
    </row>
    <row r="1310" spans="1:19" ht="42.75">
      <c r="A1310" s="90" t="s">
        <v>50</v>
      </c>
      <c r="B1310" s="91" t="s">
        <v>511</v>
      </c>
      <c r="C1310" s="91" t="s">
        <v>2342</v>
      </c>
      <c r="D1310" s="90">
        <v>931</v>
      </c>
      <c r="E1310" s="90">
        <v>1010</v>
      </c>
      <c r="F1310" s="90" t="s">
        <v>1454</v>
      </c>
      <c r="G1310" s="90"/>
      <c r="H1310" s="93"/>
      <c r="I1310" s="93"/>
      <c r="J1310" s="93"/>
      <c r="K1310" s="95"/>
      <c r="L1310" s="69"/>
      <c r="M1310" s="69"/>
      <c r="N1310" s="69"/>
      <c r="O1310" s="69"/>
      <c r="P1310" s="78"/>
      <c r="Q1310" s="96"/>
      <c r="R1310" s="97"/>
      <c r="S1310" s="98"/>
    </row>
    <row r="1311" spans="1:19" ht="42.75">
      <c r="A1311" s="90" t="s">
        <v>50</v>
      </c>
      <c r="B1311" s="91" t="s">
        <v>511</v>
      </c>
      <c r="C1311" s="91" t="s">
        <v>3062</v>
      </c>
      <c r="D1311" s="90">
        <v>1365</v>
      </c>
      <c r="E1311" s="90">
        <v>1635</v>
      </c>
      <c r="F1311" s="90" t="s">
        <v>1434</v>
      </c>
      <c r="G1311" s="90">
        <v>2024</v>
      </c>
      <c r="H1311" s="101">
        <v>45561</v>
      </c>
      <c r="I1311" s="101">
        <v>45563</v>
      </c>
      <c r="J1311" s="94" t="s">
        <v>3063</v>
      </c>
      <c r="K1311" s="100">
        <v>45574</v>
      </c>
      <c r="L1311" s="69" t="s">
        <v>83</v>
      </c>
      <c r="M1311" s="69" t="s">
        <v>4</v>
      </c>
      <c r="N1311" s="69" t="s">
        <v>101</v>
      </c>
      <c r="O1311" s="69" t="s">
        <v>1436</v>
      </c>
      <c r="P1311" s="78"/>
      <c r="Q1311" s="115">
        <v>45574</v>
      </c>
      <c r="R1311" s="65" t="s">
        <v>929</v>
      </c>
      <c r="S1311" s="89"/>
    </row>
    <row r="1312" spans="1:19" ht="42.75">
      <c r="A1312" s="90" t="s">
        <v>50</v>
      </c>
      <c r="B1312" s="91" t="s">
        <v>511</v>
      </c>
      <c r="C1312" s="91" t="s">
        <v>3064</v>
      </c>
      <c r="D1312" s="90">
        <v>1354</v>
      </c>
      <c r="E1312" s="90">
        <v>1437</v>
      </c>
      <c r="F1312" s="90" t="s">
        <v>1454</v>
      </c>
      <c r="G1312" s="90"/>
      <c r="H1312" s="93"/>
      <c r="I1312" s="93"/>
      <c r="J1312" s="93"/>
      <c r="K1312" s="95"/>
      <c r="L1312" s="69"/>
      <c r="M1312" s="69"/>
      <c r="N1312" s="69"/>
      <c r="O1312" s="69"/>
      <c r="P1312" s="78"/>
      <c r="Q1312" s="96"/>
      <c r="R1312" s="97"/>
      <c r="S1312" s="98"/>
    </row>
    <row r="1313" spans="1:19" ht="42.75">
      <c r="A1313" s="90" t="s">
        <v>50</v>
      </c>
      <c r="B1313" s="91" t="s">
        <v>511</v>
      </c>
      <c r="C1313" s="91" t="s">
        <v>355</v>
      </c>
      <c r="D1313" s="90">
        <v>529</v>
      </c>
      <c r="E1313" s="90">
        <v>586</v>
      </c>
      <c r="F1313" s="90" t="s">
        <v>1454</v>
      </c>
      <c r="G1313" s="90"/>
      <c r="H1313" s="93"/>
      <c r="I1313" s="93"/>
      <c r="J1313" s="93"/>
      <c r="K1313" s="95"/>
      <c r="L1313" s="69"/>
      <c r="M1313" s="69"/>
      <c r="N1313" s="69"/>
      <c r="O1313" s="69"/>
      <c r="P1313" s="78"/>
      <c r="Q1313" s="96"/>
      <c r="R1313" s="97"/>
      <c r="S1313" s="98"/>
    </row>
    <row r="1314" spans="1:19" ht="42.75">
      <c r="A1314" s="90" t="s">
        <v>50</v>
      </c>
      <c r="B1314" s="91" t="s">
        <v>511</v>
      </c>
      <c r="C1314" s="91" t="s">
        <v>440</v>
      </c>
      <c r="D1314" s="90">
        <v>2303</v>
      </c>
      <c r="E1314" s="90">
        <v>2632</v>
      </c>
      <c r="F1314" s="90" t="s">
        <v>1454</v>
      </c>
      <c r="G1314" s="90"/>
      <c r="H1314" s="93"/>
      <c r="I1314" s="93"/>
      <c r="J1314" s="93"/>
      <c r="K1314" s="95"/>
      <c r="L1314" s="69"/>
      <c r="M1314" s="69"/>
      <c r="N1314" s="69"/>
      <c r="O1314" s="69"/>
      <c r="P1314" s="78"/>
      <c r="Q1314" s="96"/>
      <c r="R1314" s="97"/>
      <c r="S1314" s="98"/>
    </row>
    <row r="1315" spans="1:19" ht="42.75">
      <c r="A1315" s="90" t="s">
        <v>50</v>
      </c>
      <c r="B1315" s="91" t="s">
        <v>511</v>
      </c>
      <c r="C1315" s="91" t="s">
        <v>378</v>
      </c>
      <c r="D1315" s="90">
        <v>1597</v>
      </c>
      <c r="E1315" s="90">
        <v>1623</v>
      </c>
      <c r="F1315" s="90" t="s">
        <v>1454</v>
      </c>
      <c r="G1315" s="90"/>
      <c r="H1315" s="93"/>
      <c r="I1315" s="93"/>
      <c r="J1315" s="93"/>
      <c r="K1315" s="95"/>
      <c r="L1315" s="69"/>
      <c r="M1315" s="69"/>
      <c r="N1315" s="69"/>
      <c r="O1315" s="69"/>
      <c r="P1315" s="78"/>
      <c r="Q1315" s="96"/>
      <c r="R1315" s="97"/>
      <c r="S1315" s="98"/>
    </row>
    <row r="1316" spans="1:19" ht="42.75">
      <c r="A1316" s="90" t="s">
        <v>50</v>
      </c>
      <c r="B1316" s="91" t="s">
        <v>511</v>
      </c>
      <c r="C1316" s="91" t="s">
        <v>2234</v>
      </c>
      <c r="D1316" s="90">
        <v>5704</v>
      </c>
      <c r="E1316" s="90">
        <v>6307</v>
      </c>
      <c r="F1316" s="90" t="s">
        <v>1434</v>
      </c>
      <c r="G1316" s="90">
        <v>2024</v>
      </c>
      <c r="H1316" s="101">
        <v>45561</v>
      </c>
      <c r="I1316" s="101">
        <v>45563</v>
      </c>
      <c r="J1316" s="94" t="s">
        <v>3065</v>
      </c>
      <c r="K1316" s="100">
        <v>45574</v>
      </c>
      <c r="L1316" s="69" t="s">
        <v>83</v>
      </c>
      <c r="M1316" s="69" t="s">
        <v>4</v>
      </c>
      <c r="N1316" s="69" t="s">
        <v>101</v>
      </c>
      <c r="O1316" s="69" t="s">
        <v>1436</v>
      </c>
      <c r="P1316" s="78"/>
      <c r="Q1316" s="115">
        <v>45574</v>
      </c>
      <c r="R1316" s="65" t="s">
        <v>929</v>
      </c>
      <c r="S1316" s="89"/>
    </row>
    <row r="1317" spans="1:19" ht="42.75">
      <c r="A1317" s="90" t="s">
        <v>50</v>
      </c>
      <c r="B1317" s="91" t="s">
        <v>511</v>
      </c>
      <c r="C1317" s="91" t="s">
        <v>452</v>
      </c>
      <c r="D1317" s="90">
        <v>1106</v>
      </c>
      <c r="E1317" s="90">
        <v>1164</v>
      </c>
      <c r="F1317" s="90" t="s">
        <v>1454</v>
      </c>
      <c r="G1317" s="90"/>
      <c r="H1317" s="93"/>
      <c r="I1317" s="93"/>
      <c r="J1317" s="93"/>
      <c r="K1317" s="95"/>
      <c r="L1317" s="69"/>
      <c r="M1317" s="69"/>
      <c r="N1317" s="69"/>
      <c r="O1317" s="69"/>
      <c r="P1317" s="78"/>
      <c r="Q1317" s="96"/>
      <c r="R1317" s="97"/>
      <c r="S1317" s="98"/>
    </row>
    <row r="1318" spans="1:19" ht="42.75">
      <c r="A1318" s="90" t="s">
        <v>50</v>
      </c>
      <c r="B1318" s="91" t="s">
        <v>511</v>
      </c>
      <c r="C1318" s="91" t="s">
        <v>554</v>
      </c>
      <c r="D1318" s="90">
        <v>1412</v>
      </c>
      <c r="E1318" s="90">
        <v>1495</v>
      </c>
      <c r="F1318" s="90" t="s">
        <v>1454</v>
      </c>
      <c r="G1318" s="90"/>
      <c r="H1318" s="93"/>
      <c r="I1318" s="93"/>
      <c r="J1318" s="93"/>
      <c r="K1318" s="95"/>
      <c r="L1318" s="69"/>
      <c r="M1318" s="69"/>
      <c r="N1318" s="69"/>
      <c r="O1318" s="69"/>
      <c r="P1318" s="78"/>
      <c r="Q1318" s="96"/>
      <c r="R1318" s="97"/>
      <c r="S1318" s="98"/>
    </row>
    <row r="1319" spans="1:19" ht="42.75">
      <c r="A1319" s="90" t="s">
        <v>50</v>
      </c>
      <c r="B1319" s="91" t="s">
        <v>511</v>
      </c>
      <c r="C1319" s="91" t="s">
        <v>1656</v>
      </c>
      <c r="D1319" s="90">
        <v>2206</v>
      </c>
      <c r="E1319" s="90">
        <v>2207</v>
      </c>
      <c r="F1319" s="90" t="s">
        <v>1454</v>
      </c>
      <c r="G1319" s="90"/>
      <c r="H1319" s="93"/>
      <c r="I1319" s="93"/>
      <c r="J1319" s="93"/>
      <c r="K1319" s="95"/>
      <c r="L1319" s="69"/>
      <c r="M1319" s="69"/>
      <c r="N1319" s="69"/>
      <c r="O1319" s="69"/>
      <c r="P1319" s="78"/>
      <c r="Q1319" s="96"/>
      <c r="R1319" s="97"/>
      <c r="S1319" s="98"/>
    </row>
    <row r="1320" spans="1:19" ht="42.75">
      <c r="A1320" s="90" t="s">
        <v>50</v>
      </c>
      <c r="B1320" s="91" t="s">
        <v>511</v>
      </c>
      <c r="C1320" s="91" t="s">
        <v>3066</v>
      </c>
      <c r="D1320" s="90">
        <v>4476</v>
      </c>
      <c r="E1320" s="90">
        <v>3873</v>
      </c>
      <c r="F1320" s="90" t="s">
        <v>1454</v>
      </c>
      <c r="G1320" s="90"/>
      <c r="H1320" s="93"/>
      <c r="I1320" s="93"/>
      <c r="J1320" s="93"/>
      <c r="K1320" s="95"/>
      <c r="L1320" s="69"/>
      <c r="M1320" s="69"/>
      <c r="N1320" s="69"/>
      <c r="O1320" s="69"/>
      <c r="P1320" s="78"/>
      <c r="Q1320" s="96"/>
      <c r="R1320" s="97"/>
      <c r="S1320" s="98"/>
    </row>
    <row r="1321" spans="1:19" ht="42.75">
      <c r="A1321" s="90" t="s">
        <v>50</v>
      </c>
      <c r="B1321" s="91" t="s">
        <v>511</v>
      </c>
      <c r="C1321" s="91" t="s">
        <v>3067</v>
      </c>
      <c r="D1321" s="90">
        <v>3231</v>
      </c>
      <c r="E1321" s="90">
        <v>3799</v>
      </c>
      <c r="F1321" s="90" t="s">
        <v>1454</v>
      </c>
      <c r="G1321" s="90"/>
      <c r="H1321" s="93"/>
      <c r="I1321" s="93"/>
      <c r="J1321" s="93"/>
      <c r="K1321" s="95"/>
      <c r="L1321" s="69"/>
      <c r="M1321" s="69"/>
      <c r="N1321" s="69"/>
      <c r="O1321" s="69"/>
      <c r="P1321" s="78"/>
      <c r="Q1321" s="96"/>
      <c r="R1321" s="97"/>
      <c r="S1321" s="98"/>
    </row>
    <row r="1322" spans="1:19" ht="42.75">
      <c r="A1322" s="90" t="s">
        <v>50</v>
      </c>
      <c r="B1322" s="91" t="s">
        <v>511</v>
      </c>
      <c r="C1322" s="91" t="s">
        <v>3068</v>
      </c>
      <c r="D1322" s="90">
        <v>2280</v>
      </c>
      <c r="E1322" s="90">
        <v>2591</v>
      </c>
      <c r="F1322" s="90" t="s">
        <v>1434</v>
      </c>
      <c r="G1322" s="90">
        <v>2024</v>
      </c>
      <c r="H1322" s="101">
        <v>45561</v>
      </c>
      <c r="I1322" s="101">
        <v>45563</v>
      </c>
      <c r="J1322" s="94" t="s">
        <v>3069</v>
      </c>
      <c r="K1322" s="100">
        <v>45574</v>
      </c>
      <c r="L1322" s="171" t="s">
        <v>83</v>
      </c>
      <c r="M1322" s="69" t="s">
        <v>4</v>
      </c>
      <c r="N1322" s="69" t="s">
        <v>101</v>
      </c>
      <c r="O1322" s="69" t="s">
        <v>1436</v>
      </c>
      <c r="P1322" s="78"/>
      <c r="Q1322" s="115">
        <v>45575</v>
      </c>
      <c r="R1322" s="65" t="s">
        <v>929</v>
      </c>
      <c r="S1322" s="89"/>
    </row>
    <row r="1323" spans="1:19" ht="42.75">
      <c r="A1323" s="90" t="s">
        <v>50</v>
      </c>
      <c r="B1323" s="91" t="s">
        <v>511</v>
      </c>
      <c r="C1323" s="91" t="s">
        <v>3070</v>
      </c>
      <c r="D1323" s="90">
        <v>1249</v>
      </c>
      <c r="E1323" s="90">
        <v>1332</v>
      </c>
      <c r="F1323" s="90" t="s">
        <v>1454</v>
      </c>
      <c r="G1323" s="90"/>
      <c r="H1323" s="93"/>
      <c r="I1323" s="93"/>
      <c r="J1323" s="93"/>
      <c r="K1323" s="95"/>
      <c r="L1323" s="69"/>
      <c r="M1323" s="69"/>
      <c r="N1323" s="69"/>
      <c r="O1323" s="69"/>
      <c r="P1323" s="78"/>
      <c r="Q1323" s="96"/>
      <c r="R1323" s="97"/>
      <c r="S1323" s="98"/>
    </row>
    <row r="1324" spans="1:19" ht="42.75">
      <c r="A1324" s="90" t="s">
        <v>50</v>
      </c>
      <c r="B1324" s="91" t="s">
        <v>511</v>
      </c>
      <c r="C1324" s="91" t="s">
        <v>3071</v>
      </c>
      <c r="D1324" s="90">
        <v>1646</v>
      </c>
      <c r="E1324" s="90">
        <v>1939</v>
      </c>
      <c r="F1324" s="90" t="s">
        <v>1454</v>
      </c>
      <c r="G1324" s="90"/>
      <c r="H1324" s="93"/>
      <c r="I1324" s="93"/>
      <c r="J1324" s="93"/>
      <c r="K1324" s="95"/>
      <c r="L1324" s="69"/>
      <c r="M1324" s="69"/>
      <c r="N1324" s="69"/>
      <c r="O1324" s="69"/>
      <c r="P1324" s="78"/>
      <c r="Q1324" s="96"/>
      <c r="R1324" s="97"/>
      <c r="S1324" s="98"/>
    </row>
    <row r="1325" spans="1:19" ht="42.75">
      <c r="A1325" s="90" t="s">
        <v>50</v>
      </c>
      <c r="B1325" s="91" t="s">
        <v>511</v>
      </c>
      <c r="C1325" s="91" t="s">
        <v>3072</v>
      </c>
      <c r="D1325" s="90">
        <v>1047</v>
      </c>
      <c r="E1325" s="90">
        <v>1062</v>
      </c>
      <c r="F1325" s="90" t="s">
        <v>1454</v>
      </c>
      <c r="G1325" s="90"/>
      <c r="H1325" s="93"/>
      <c r="I1325" s="93"/>
      <c r="J1325" s="93"/>
      <c r="K1325" s="95"/>
      <c r="L1325" s="69"/>
      <c r="M1325" s="69"/>
      <c r="N1325" s="69"/>
      <c r="O1325" s="69"/>
      <c r="P1325" s="78"/>
      <c r="Q1325" s="96"/>
      <c r="R1325" s="97"/>
      <c r="S1325" s="98"/>
    </row>
    <row r="1326" spans="1:19" ht="42.75">
      <c r="A1326" s="90" t="s">
        <v>50</v>
      </c>
      <c r="B1326" s="91" t="s">
        <v>511</v>
      </c>
      <c r="C1326" s="91" t="s">
        <v>3073</v>
      </c>
      <c r="D1326" s="90">
        <v>1218</v>
      </c>
      <c r="E1326" s="90">
        <v>1378</v>
      </c>
      <c r="F1326" s="90" t="s">
        <v>1454</v>
      </c>
      <c r="G1326" s="90"/>
      <c r="H1326" s="93"/>
      <c r="I1326" s="93"/>
      <c r="J1326" s="93"/>
      <c r="K1326" s="95"/>
      <c r="L1326" s="69"/>
      <c r="M1326" s="69"/>
      <c r="N1326" s="69"/>
      <c r="O1326" s="69"/>
      <c r="P1326" s="78"/>
      <c r="Q1326" s="96"/>
      <c r="R1326" s="97"/>
      <c r="S1326" s="98"/>
    </row>
    <row r="1327" spans="1:19" ht="42.75">
      <c r="A1327" s="90" t="s">
        <v>50</v>
      </c>
      <c r="B1327" s="91" t="s">
        <v>511</v>
      </c>
      <c r="C1327" s="91" t="s">
        <v>3074</v>
      </c>
      <c r="D1327" s="90">
        <v>2680</v>
      </c>
      <c r="E1327" s="90">
        <v>2713</v>
      </c>
      <c r="F1327" s="90" t="s">
        <v>1454</v>
      </c>
      <c r="G1327" s="90"/>
      <c r="H1327" s="93"/>
      <c r="I1327" s="93"/>
      <c r="J1327" s="93"/>
      <c r="K1327" s="95"/>
      <c r="L1327" s="69"/>
      <c r="M1327" s="69"/>
      <c r="N1327" s="69"/>
      <c r="O1327" s="69"/>
      <c r="P1327" s="78"/>
      <c r="Q1327" s="96"/>
      <c r="R1327" s="97"/>
      <c r="S1327" s="98"/>
    </row>
    <row r="1328" spans="1:19" ht="42.75">
      <c r="A1328" s="90" t="s">
        <v>50</v>
      </c>
      <c r="B1328" s="91" t="s">
        <v>511</v>
      </c>
      <c r="C1328" s="91" t="s">
        <v>3075</v>
      </c>
      <c r="D1328" s="90">
        <v>896</v>
      </c>
      <c r="E1328" s="90">
        <v>987</v>
      </c>
      <c r="F1328" s="90" t="s">
        <v>1454</v>
      </c>
      <c r="G1328" s="90"/>
      <c r="H1328" s="93"/>
      <c r="I1328" s="93"/>
      <c r="J1328" s="93"/>
      <c r="K1328" s="95"/>
      <c r="L1328" s="69"/>
      <c r="M1328" s="69"/>
      <c r="N1328" s="69"/>
      <c r="O1328" s="69"/>
      <c r="P1328" s="78"/>
      <c r="Q1328" s="96"/>
      <c r="R1328" s="97"/>
      <c r="S1328" s="98"/>
    </row>
    <row r="1329" spans="1:19" ht="42.75">
      <c r="A1329" s="90" t="s">
        <v>50</v>
      </c>
      <c r="B1329" s="91" t="s">
        <v>511</v>
      </c>
      <c r="C1329" s="91" t="s">
        <v>3076</v>
      </c>
      <c r="D1329" s="90">
        <v>3364</v>
      </c>
      <c r="E1329" s="90">
        <v>3612</v>
      </c>
      <c r="F1329" s="90" t="s">
        <v>1454</v>
      </c>
      <c r="G1329" s="90"/>
      <c r="H1329" s="93"/>
      <c r="I1329" s="93"/>
      <c r="J1329" s="93"/>
      <c r="K1329" s="95"/>
      <c r="L1329" s="69"/>
      <c r="M1329" s="69"/>
      <c r="N1329" s="69"/>
      <c r="O1329" s="69"/>
      <c r="P1329" s="78"/>
      <c r="Q1329" s="96"/>
      <c r="R1329" s="97"/>
      <c r="S1329" s="98"/>
    </row>
    <row r="1330" spans="1:19" ht="42.75">
      <c r="A1330" s="90" t="s">
        <v>50</v>
      </c>
      <c r="B1330" s="91" t="s">
        <v>345</v>
      </c>
      <c r="C1330" s="91" t="s">
        <v>2951</v>
      </c>
      <c r="D1330" s="90">
        <v>1289</v>
      </c>
      <c r="E1330" s="90">
        <v>1500</v>
      </c>
      <c r="F1330" s="90" t="s">
        <v>1454</v>
      </c>
      <c r="G1330" s="90"/>
      <c r="H1330" s="93"/>
      <c r="I1330" s="93"/>
      <c r="J1330" s="93"/>
      <c r="K1330" s="95"/>
      <c r="L1330" s="69"/>
      <c r="M1330" s="69"/>
      <c r="N1330" s="69"/>
      <c r="O1330" s="69"/>
      <c r="P1330" s="78"/>
      <c r="Q1330" s="96"/>
      <c r="R1330" s="97"/>
      <c r="S1330" s="98"/>
    </row>
    <row r="1331" spans="1:19" ht="42.75">
      <c r="A1331" s="90" t="s">
        <v>50</v>
      </c>
      <c r="B1331" s="91" t="s">
        <v>345</v>
      </c>
      <c r="C1331" s="91" t="s">
        <v>3077</v>
      </c>
      <c r="D1331" s="90">
        <v>4912</v>
      </c>
      <c r="E1331" s="90">
        <v>4946</v>
      </c>
      <c r="F1331" s="90" t="s">
        <v>1434</v>
      </c>
      <c r="G1331" s="90">
        <v>2024</v>
      </c>
      <c r="H1331" s="101">
        <v>45408</v>
      </c>
      <c r="I1331" s="101">
        <v>45409</v>
      </c>
      <c r="J1331" s="94" t="s">
        <v>3078</v>
      </c>
      <c r="K1331" s="100">
        <v>45420</v>
      </c>
      <c r="L1331" s="69" t="s">
        <v>78</v>
      </c>
      <c r="M1331" s="69"/>
      <c r="N1331" s="69"/>
      <c r="O1331" s="69" t="s">
        <v>1436</v>
      </c>
      <c r="P1331" s="78"/>
      <c r="Q1331" s="96"/>
      <c r="R1331" s="97"/>
      <c r="S1331" s="98"/>
    </row>
    <row r="1332" spans="1:19" ht="42.75">
      <c r="A1332" s="90" t="s">
        <v>50</v>
      </c>
      <c r="B1332" s="91" t="s">
        <v>345</v>
      </c>
      <c r="C1332" s="91" t="s">
        <v>3079</v>
      </c>
      <c r="D1332" s="90">
        <v>1843</v>
      </c>
      <c r="E1332" s="90">
        <v>1961</v>
      </c>
      <c r="F1332" s="90" t="s">
        <v>1454</v>
      </c>
      <c r="G1332" s="90"/>
      <c r="H1332" s="93"/>
      <c r="I1332" s="93"/>
      <c r="J1332" s="122"/>
      <c r="K1332" s="95"/>
      <c r="L1332" s="69"/>
      <c r="M1332" s="69"/>
      <c r="N1332" s="69"/>
      <c r="O1332" s="69"/>
      <c r="P1332" s="78"/>
      <c r="Q1332" s="96"/>
      <c r="R1332" s="97"/>
      <c r="S1332" s="98"/>
    </row>
    <row r="1333" spans="1:19" ht="42.75">
      <c r="A1333" s="90" t="s">
        <v>50</v>
      </c>
      <c r="B1333" s="91" t="s">
        <v>345</v>
      </c>
      <c r="C1333" s="91" t="s">
        <v>3080</v>
      </c>
      <c r="D1333" s="90">
        <v>2387</v>
      </c>
      <c r="E1333" s="90">
        <v>2645</v>
      </c>
      <c r="F1333" s="90" t="s">
        <v>1434</v>
      </c>
      <c r="G1333" s="90">
        <v>2024</v>
      </c>
      <c r="H1333" s="101">
        <v>45604</v>
      </c>
      <c r="I1333" s="147">
        <v>45605</v>
      </c>
      <c r="J1333" s="107" t="s">
        <v>3081</v>
      </c>
      <c r="K1333" s="119">
        <v>45612</v>
      </c>
      <c r="L1333" s="69" t="s">
        <v>84</v>
      </c>
      <c r="M1333" s="69" t="s">
        <v>4</v>
      </c>
      <c r="N1333" s="69" t="s">
        <v>101</v>
      </c>
      <c r="O1333" s="69" t="s">
        <v>1436</v>
      </c>
      <c r="P1333" s="78"/>
      <c r="Q1333" s="96">
        <v>45614</v>
      </c>
      <c r="R1333" s="97" t="s">
        <v>929</v>
      </c>
      <c r="S1333" s="98"/>
    </row>
    <row r="1334" spans="1:19" ht="42.75">
      <c r="A1334" s="90" t="s">
        <v>50</v>
      </c>
      <c r="B1334" s="91" t="s">
        <v>345</v>
      </c>
      <c r="C1334" s="91" t="s">
        <v>3082</v>
      </c>
      <c r="D1334" s="90">
        <v>891</v>
      </c>
      <c r="E1334" s="90">
        <v>1141</v>
      </c>
      <c r="F1334" s="90" t="s">
        <v>1454</v>
      </c>
      <c r="G1334" s="90"/>
      <c r="H1334" s="93"/>
      <c r="I1334" s="93"/>
      <c r="J1334" s="93"/>
      <c r="K1334" s="95"/>
      <c r="L1334" s="69"/>
      <c r="M1334" s="69"/>
      <c r="N1334" s="69"/>
      <c r="O1334" s="69"/>
      <c r="P1334" s="78"/>
      <c r="Q1334" s="96"/>
      <c r="R1334" s="97"/>
      <c r="S1334" s="98"/>
    </row>
    <row r="1335" spans="1:19" ht="42.75">
      <c r="A1335" s="90" t="s">
        <v>50</v>
      </c>
      <c r="B1335" s="91" t="s">
        <v>345</v>
      </c>
      <c r="C1335" s="91" t="s">
        <v>766</v>
      </c>
      <c r="D1335" s="90">
        <v>3665</v>
      </c>
      <c r="E1335" s="90">
        <v>4019</v>
      </c>
      <c r="F1335" s="90" t="s">
        <v>1454</v>
      </c>
      <c r="G1335" s="90"/>
      <c r="H1335" s="93"/>
      <c r="I1335" s="93"/>
      <c r="J1335" s="93"/>
      <c r="K1335" s="95"/>
      <c r="L1335" s="69"/>
      <c r="M1335" s="69"/>
      <c r="N1335" s="69"/>
      <c r="O1335" s="69"/>
      <c r="P1335" s="78"/>
      <c r="Q1335" s="96"/>
      <c r="R1335" s="97"/>
      <c r="S1335" s="98"/>
    </row>
    <row r="1336" spans="1:19" ht="42.75">
      <c r="A1336" s="90" t="s">
        <v>50</v>
      </c>
      <c r="B1336" s="91" t="s">
        <v>345</v>
      </c>
      <c r="C1336" s="91" t="s">
        <v>3083</v>
      </c>
      <c r="D1336" s="90">
        <v>3198</v>
      </c>
      <c r="E1336" s="90">
        <v>3290</v>
      </c>
      <c r="F1336" s="90" t="s">
        <v>1434</v>
      </c>
      <c r="G1336" s="90">
        <v>2024</v>
      </c>
      <c r="H1336" s="101">
        <v>45414</v>
      </c>
      <c r="I1336" s="101">
        <v>45415</v>
      </c>
      <c r="J1336" s="94" t="s">
        <v>3084</v>
      </c>
      <c r="K1336" s="100">
        <v>45420</v>
      </c>
      <c r="L1336" s="69" t="s">
        <v>78</v>
      </c>
      <c r="M1336" s="69"/>
      <c r="N1336" s="69"/>
      <c r="O1336" s="69" t="s">
        <v>1436</v>
      </c>
      <c r="P1336" s="78"/>
      <c r="Q1336" s="96"/>
      <c r="R1336" s="97"/>
      <c r="S1336" s="98"/>
    </row>
    <row r="1337" spans="1:19" ht="42.75">
      <c r="A1337" s="90" t="s">
        <v>50</v>
      </c>
      <c r="B1337" s="91" t="s">
        <v>345</v>
      </c>
      <c r="C1337" s="91" t="s">
        <v>3085</v>
      </c>
      <c r="D1337" s="90">
        <v>3336</v>
      </c>
      <c r="E1337" s="90">
        <v>3691</v>
      </c>
      <c r="F1337" s="90" t="s">
        <v>1454</v>
      </c>
      <c r="G1337" s="90"/>
      <c r="H1337" s="93"/>
      <c r="I1337" s="93"/>
      <c r="J1337" s="93"/>
      <c r="K1337" s="95"/>
      <c r="L1337" s="69"/>
      <c r="M1337" s="69"/>
      <c r="N1337" s="69"/>
      <c r="O1337" s="69"/>
      <c r="P1337" s="78"/>
      <c r="Q1337" s="96"/>
      <c r="R1337" s="97"/>
      <c r="S1337" s="98"/>
    </row>
    <row r="1338" spans="1:19" ht="42.75">
      <c r="A1338" s="90" t="s">
        <v>50</v>
      </c>
      <c r="B1338" s="91" t="s">
        <v>345</v>
      </c>
      <c r="C1338" s="91" t="s">
        <v>3086</v>
      </c>
      <c r="D1338" s="90">
        <v>1441</v>
      </c>
      <c r="E1338" s="90">
        <v>1546</v>
      </c>
      <c r="F1338" s="90" t="s">
        <v>1454</v>
      </c>
      <c r="G1338" s="90"/>
      <c r="H1338" s="93"/>
      <c r="I1338" s="93"/>
      <c r="J1338" s="93"/>
      <c r="K1338" s="95"/>
      <c r="L1338" s="69"/>
      <c r="M1338" s="69"/>
      <c r="N1338" s="69"/>
      <c r="O1338" s="69"/>
      <c r="P1338" s="78"/>
      <c r="Q1338" s="96"/>
      <c r="R1338" s="97"/>
      <c r="S1338" s="98"/>
    </row>
    <row r="1339" spans="1:19" ht="42.75">
      <c r="A1339" s="90" t="s">
        <v>50</v>
      </c>
      <c r="B1339" s="91" t="s">
        <v>345</v>
      </c>
      <c r="C1339" s="91" t="s">
        <v>3087</v>
      </c>
      <c r="D1339" s="90">
        <v>4541</v>
      </c>
      <c r="E1339" s="90">
        <v>4655</v>
      </c>
      <c r="F1339" s="90" t="s">
        <v>1434</v>
      </c>
      <c r="G1339" s="90">
        <v>2024</v>
      </c>
      <c r="H1339" s="101">
        <v>45324</v>
      </c>
      <c r="I1339" s="101">
        <v>45324</v>
      </c>
      <c r="J1339" s="94" t="s">
        <v>3088</v>
      </c>
      <c r="K1339" s="95"/>
      <c r="L1339" s="69" t="s">
        <v>76</v>
      </c>
      <c r="M1339" s="69"/>
      <c r="N1339" s="69"/>
      <c r="O1339" s="69" t="s">
        <v>1436</v>
      </c>
      <c r="P1339" s="78"/>
      <c r="Q1339" s="96"/>
      <c r="R1339" s="97"/>
      <c r="S1339" s="98"/>
    </row>
    <row r="1340" spans="1:19" ht="42.75">
      <c r="A1340" s="90" t="s">
        <v>50</v>
      </c>
      <c r="B1340" s="91" t="s">
        <v>345</v>
      </c>
      <c r="C1340" s="91" t="s">
        <v>3089</v>
      </c>
      <c r="D1340" s="90">
        <v>1396</v>
      </c>
      <c r="E1340" s="90">
        <v>1433</v>
      </c>
      <c r="F1340" s="90" t="s">
        <v>1454</v>
      </c>
      <c r="G1340" s="90"/>
      <c r="H1340" s="93"/>
      <c r="I1340" s="93"/>
      <c r="J1340" s="93"/>
      <c r="K1340" s="95"/>
      <c r="L1340" s="69"/>
      <c r="M1340" s="69"/>
      <c r="N1340" s="69"/>
      <c r="O1340" s="69"/>
      <c r="P1340" s="78"/>
      <c r="Q1340" s="96"/>
      <c r="R1340" s="97"/>
      <c r="S1340" s="98"/>
    </row>
    <row r="1341" spans="1:19" ht="42.75">
      <c r="A1341" s="90" t="s">
        <v>50</v>
      </c>
      <c r="B1341" s="91" t="s">
        <v>345</v>
      </c>
      <c r="C1341" s="91" t="s">
        <v>3090</v>
      </c>
      <c r="D1341" s="90">
        <v>2623</v>
      </c>
      <c r="E1341" s="90">
        <v>2920</v>
      </c>
      <c r="F1341" s="90" t="s">
        <v>1434</v>
      </c>
      <c r="G1341" s="90">
        <v>2024</v>
      </c>
      <c r="H1341" s="101">
        <v>45414</v>
      </c>
      <c r="I1341" s="101">
        <v>45415</v>
      </c>
      <c r="J1341" s="94" t="s">
        <v>3091</v>
      </c>
      <c r="K1341" s="100">
        <v>45420</v>
      </c>
      <c r="L1341" s="69" t="s">
        <v>78</v>
      </c>
      <c r="M1341" s="69"/>
      <c r="N1341" s="69"/>
      <c r="O1341" s="69" t="s">
        <v>1436</v>
      </c>
      <c r="P1341" s="78"/>
      <c r="Q1341" s="96"/>
      <c r="R1341" s="97"/>
      <c r="S1341" s="98"/>
    </row>
    <row r="1342" spans="1:19" ht="42.75">
      <c r="A1342" s="90" t="s">
        <v>50</v>
      </c>
      <c r="B1342" s="91" t="s">
        <v>345</v>
      </c>
      <c r="C1342" s="91" t="s">
        <v>643</v>
      </c>
      <c r="D1342" s="90">
        <v>6319</v>
      </c>
      <c r="E1342" s="90">
        <v>7377</v>
      </c>
      <c r="F1342" s="90" t="s">
        <v>1454</v>
      </c>
      <c r="G1342" s="90"/>
      <c r="H1342" s="93"/>
      <c r="I1342" s="93"/>
      <c r="J1342" s="93"/>
      <c r="K1342" s="95"/>
      <c r="L1342" s="69"/>
      <c r="M1342" s="69"/>
      <c r="N1342" s="69"/>
      <c r="O1342" s="69"/>
      <c r="P1342" s="78"/>
      <c r="Q1342" s="96"/>
      <c r="R1342" s="97"/>
      <c r="S1342" s="98"/>
    </row>
    <row r="1343" spans="1:19" ht="42.75">
      <c r="A1343" s="90" t="s">
        <v>50</v>
      </c>
      <c r="B1343" s="91" t="s">
        <v>345</v>
      </c>
      <c r="C1343" s="91" t="s">
        <v>3092</v>
      </c>
      <c r="D1343" s="90">
        <v>2146</v>
      </c>
      <c r="E1343" s="90">
        <v>2358</v>
      </c>
      <c r="F1343" s="90" t="s">
        <v>1454</v>
      </c>
      <c r="G1343" s="90"/>
      <c r="H1343" s="93"/>
      <c r="I1343" s="93"/>
      <c r="J1343" s="93"/>
      <c r="K1343" s="95"/>
      <c r="L1343" s="69"/>
      <c r="M1343" s="69"/>
      <c r="N1343" s="69"/>
      <c r="O1343" s="69"/>
      <c r="P1343" s="78"/>
      <c r="Q1343" s="96"/>
      <c r="R1343" s="97"/>
      <c r="S1343" s="98"/>
    </row>
    <row r="1344" spans="1:19" ht="42.75">
      <c r="A1344" s="90" t="s">
        <v>50</v>
      </c>
      <c r="B1344" s="91" t="s">
        <v>345</v>
      </c>
      <c r="C1344" s="91" t="s">
        <v>3093</v>
      </c>
      <c r="D1344" s="90">
        <v>1471</v>
      </c>
      <c r="E1344" s="90">
        <v>1751</v>
      </c>
      <c r="F1344" s="90" t="s">
        <v>1454</v>
      </c>
      <c r="G1344" s="90"/>
      <c r="H1344" s="93"/>
      <c r="I1344" s="93"/>
      <c r="J1344" s="93"/>
      <c r="K1344" s="95"/>
      <c r="L1344" s="69"/>
      <c r="M1344" s="69"/>
      <c r="N1344" s="69"/>
      <c r="O1344" s="69"/>
      <c r="P1344" s="78"/>
      <c r="Q1344" s="96"/>
      <c r="R1344" s="97"/>
      <c r="S1344" s="98"/>
    </row>
    <row r="1345" spans="1:19" ht="42.75">
      <c r="A1345" s="90" t="s">
        <v>50</v>
      </c>
      <c r="B1345" s="91" t="s">
        <v>345</v>
      </c>
      <c r="C1345" s="91" t="s">
        <v>3094</v>
      </c>
      <c r="D1345" s="90">
        <v>3415</v>
      </c>
      <c r="E1345" s="90">
        <v>3677</v>
      </c>
      <c r="F1345" s="90" t="s">
        <v>1454</v>
      </c>
      <c r="G1345" s="90"/>
      <c r="H1345" s="93"/>
      <c r="I1345" s="93"/>
      <c r="J1345" s="93"/>
      <c r="K1345" s="95"/>
      <c r="L1345" s="69"/>
      <c r="M1345" s="69"/>
      <c r="N1345" s="69"/>
      <c r="O1345" s="69"/>
      <c r="P1345" s="78"/>
      <c r="Q1345" s="96"/>
      <c r="R1345" s="97"/>
      <c r="S1345" s="98"/>
    </row>
    <row r="1346" spans="1:19" ht="42.75">
      <c r="A1346" s="90" t="s">
        <v>50</v>
      </c>
      <c r="B1346" s="91" t="s">
        <v>345</v>
      </c>
      <c r="C1346" s="91" t="s">
        <v>3095</v>
      </c>
      <c r="D1346" s="90">
        <v>2281</v>
      </c>
      <c r="E1346" s="90">
        <v>2466</v>
      </c>
      <c r="F1346" s="90" t="s">
        <v>1454</v>
      </c>
      <c r="G1346" s="90"/>
      <c r="H1346" s="93"/>
      <c r="I1346" s="93"/>
      <c r="J1346" s="93"/>
      <c r="K1346" s="95"/>
      <c r="L1346" s="69"/>
      <c r="M1346" s="69"/>
      <c r="N1346" s="69"/>
      <c r="O1346" s="69"/>
      <c r="P1346" s="78"/>
      <c r="Q1346" s="96"/>
      <c r="R1346" s="97"/>
      <c r="S1346" s="98"/>
    </row>
    <row r="1347" spans="1:19" ht="42.75">
      <c r="A1347" s="90" t="s">
        <v>50</v>
      </c>
      <c r="B1347" s="91" t="s">
        <v>345</v>
      </c>
      <c r="C1347" s="91" t="s">
        <v>3096</v>
      </c>
      <c r="D1347" s="90">
        <v>3503</v>
      </c>
      <c r="E1347" s="90">
        <v>3952</v>
      </c>
      <c r="F1347" s="90" t="s">
        <v>1434</v>
      </c>
      <c r="G1347" s="90">
        <v>2024</v>
      </c>
      <c r="H1347" s="101">
        <v>45408</v>
      </c>
      <c r="I1347" s="101">
        <v>45409</v>
      </c>
      <c r="J1347" s="94" t="s">
        <v>3097</v>
      </c>
      <c r="K1347" s="100">
        <v>45420</v>
      </c>
      <c r="L1347" s="69" t="s">
        <v>78</v>
      </c>
      <c r="M1347" s="69"/>
      <c r="N1347" s="69"/>
      <c r="O1347" s="69" t="s">
        <v>1436</v>
      </c>
      <c r="P1347" s="78"/>
      <c r="Q1347" s="96"/>
      <c r="R1347" s="97"/>
      <c r="S1347" s="98"/>
    </row>
    <row r="1348" spans="1:19" ht="42.75">
      <c r="A1348" s="90" t="s">
        <v>50</v>
      </c>
      <c r="B1348" s="91" t="s">
        <v>345</v>
      </c>
      <c r="C1348" s="91" t="s">
        <v>3098</v>
      </c>
      <c r="D1348" s="90">
        <v>699</v>
      </c>
      <c r="E1348" s="90">
        <v>727</v>
      </c>
      <c r="F1348" s="90" t="s">
        <v>1454</v>
      </c>
      <c r="G1348" s="90"/>
      <c r="H1348" s="93"/>
      <c r="I1348" s="93"/>
      <c r="J1348" s="93"/>
      <c r="K1348" s="95"/>
      <c r="L1348" s="69"/>
      <c r="M1348" s="69"/>
      <c r="N1348" s="69"/>
      <c r="O1348" s="69"/>
      <c r="P1348" s="78"/>
      <c r="Q1348" s="96"/>
      <c r="R1348" s="97"/>
      <c r="S1348" s="98"/>
    </row>
    <row r="1349" spans="1:19" ht="42.75">
      <c r="A1349" s="90" t="s">
        <v>50</v>
      </c>
      <c r="B1349" s="91" t="s">
        <v>345</v>
      </c>
      <c r="C1349" s="91" t="s">
        <v>427</v>
      </c>
      <c r="D1349" s="90">
        <v>3312</v>
      </c>
      <c r="E1349" s="90">
        <v>3604</v>
      </c>
      <c r="F1349" s="90" t="s">
        <v>1434</v>
      </c>
      <c r="G1349" s="90">
        <v>2024</v>
      </c>
      <c r="H1349" s="101">
        <v>45408</v>
      </c>
      <c r="I1349" s="101">
        <v>45409</v>
      </c>
      <c r="J1349" s="94" t="s">
        <v>3099</v>
      </c>
      <c r="K1349" s="100">
        <v>45420</v>
      </c>
      <c r="L1349" s="69" t="s">
        <v>78</v>
      </c>
      <c r="M1349" s="69"/>
      <c r="N1349" s="69"/>
      <c r="O1349" s="69" t="s">
        <v>1436</v>
      </c>
      <c r="P1349" s="78"/>
      <c r="Q1349" s="96"/>
      <c r="R1349" s="97"/>
      <c r="S1349" s="98"/>
    </row>
    <row r="1350" spans="1:19" ht="42.75">
      <c r="A1350" s="90" t="s">
        <v>50</v>
      </c>
      <c r="B1350" s="91" t="s">
        <v>345</v>
      </c>
      <c r="C1350" s="91" t="s">
        <v>1873</v>
      </c>
      <c r="D1350" s="90">
        <v>2033</v>
      </c>
      <c r="E1350" s="90">
        <v>2198</v>
      </c>
      <c r="F1350" s="90" t="s">
        <v>1454</v>
      </c>
      <c r="G1350" s="90"/>
      <c r="H1350" s="93"/>
      <c r="I1350" s="93"/>
      <c r="J1350" s="93"/>
      <c r="K1350" s="95"/>
      <c r="L1350" s="69"/>
      <c r="M1350" s="69"/>
      <c r="N1350" s="69"/>
      <c r="O1350" s="69"/>
      <c r="P1350" s="78"/>
      <c r="Q1350" s="96"/>
      <c r="R1350" s="97"/>
      <c r="S1350" s="98"/>
    </row>
    <row r="1351" spans="1:19" ht="42.75">
      <c r="A1351" s="90" t="s">
        <v>50</v>
      </c>
      <c r="B1351" s="91" t="s">
        <v>345</v>
      </c>
      <c r="C1351" s="91" t="s">
        <v>2234</v>
      </c>
      <c r="D1351" s="90">
        <v>1934</v>
      </c>
      <c r="E1351" s="90">
        <v>2210</v>
      </c>
      <c r="F1351" s="90" t="s">
        <v>1454</v>
      </c>
      <c r="G1351" s="90"/>
      <c r="H1351" s="93"/>
      <c r="I1351" s="93"/>
      <c r="J1351" s="93"/>
      <c r="K1351" s="95"/>
      <c r="L1351" s="69"/>
      <c r="M1351" s="69"/>
      <c r="N1351" s="69"/>
      <c r="O1351" s="69"/>
      <c r="P1351" s="78"/>
      <c r="Q1351" s="96"/>
      <c r="R1351" s="97"/>
      <c r="S1351" s="98"/>
    </row>
    <row r="1352" spans="1:19" ht="42.75">
      <c r="A1352" s="90" t="s">
        <v>50</v>
      </c>
      <c r="B1352" s="91" t="s">
        <v>345</v>
      </c>
      <c r="C1352" s="91" t="s">
        <v>653</v>
      </c>
      <c r="D1352" s="90">
        <v>1712</v>
      </c>
      <c r="E1352" s="90">
        <v>1126</v>
      </c>
      <c r="F1352" s="90" t="s">
        <v>1454</v>
      </c>
      <c r="G1352" s="90"/>
      <c r="H1352" s="93"/>
      <c r="I1352" s="93"/>
      <c r="J1352" s="93"/>
      <c r="K1352" s="95"/>
      <c r="L1352" s="69"/>
      <c r="M1352" s="69"/>
      <c r="N1352" s="69"/>
      <c r="O1352" s="69"/>
      <c r="P1352" s="78"/>
      <c r="Q1352" s="96"/>
      <c r="R1352" s="97"/>
      <c r="S1352" s="98"/>
    </row>
    <row r="1353" spans="1:19" ht="42.75">
      <c r="A1353" s="90" t="s">
        <v>50</v>
      </c>
      <c r="B1353" s="91" t="s">
        <v>345</v>
      </c>
      <c r="C1353" s="91" t="s">
        <v>539</v>
      </c>
      <c r="D1353" s="90">
        <v>1326</v>
      </c>
      <c r="E1353" s="90">
        <v>1483</v>
      </c>
      <c r="F1353" s="90" t="s">
        <v>1434</v>
      </c>
      <c r="G1353" s="90">
        <v>2024</v>
      </c>
      <c r="H1353" s="101">
        <v>45324</v>
      </c>
      <c r="I1353" s="101">
        <v>45324</v>
      </c>
      <c r="J1353" s="94" t="s">
        <v>3100</v>
      </c>
      <c r="K1353" s="95"/>
      <c r="L1353" s="69" t="s">
        <v>76</v>
      </c>
      <c r="M1353" s="69"/>
      <c r="N1353" s="69"/>
      <c r="O1353" s="69" t="s">
        <v>1436</v>
      </c>
      <c r="P1353" s="78"/>
      <c r="Q1353" s="96"/>
      <c r="R1353" s="97"/>
      <c r="S1353" s="98"/>
    </row>
    <row r="1354" spans="1:19" ht="42.75">
      <c r="A1354" s="90" t="s">
        <v>50</v>
      </c>
      <c r="B1354" s="91" t="s">
        <v>345</v>
      </c>
      <c r="C1354" s="91" t="s">
        <v>3101</v>
      </c>
      <c r="D1354" s="90">
        <v>3323</v>
      </c>
      <c r="E1354" s="90">
        <v>3464</v>
      </c>
      <c r="F1354" s="90" t="s">
        <v>1454</v>
      </c>
      <c r="G1354" s="90"/>
      <c r="H1354" s="93"/>
      <c r="I1354" s="93"/>
      <c r="J1354" s="93"/>
      <c r="K1354" s="95"/>
      <c r="L1354" s="69"/>
      <c r="M1354" s="69"/>
      <c r="N1354" s="69"/>
      <c r="O1354" s="69"/>
      <c r="P1354" s="78"/>
      <c r="Q1354" s="96"/>
      <c r="R1354" s="97"/>
      <c r="S1354" s="98"/>
    </row>
    <row r="1355" spans="1:19" ht="42.75">
      <c r="A1355" s="90" t="s">
        <v>50</v>
      </c>
      <c r="B1355" s="91" t="s">
        <v>345</v>
      </c>
      <c r="C1355" s="91" t="s">
        <v>3102</v>
      </c>
      <c r="D1355" s="90">
        <v>4675</v>
      </c>
      <c r="E1355" s="90">
        <v>4940</v>
      </c>
      <c r="F1355" s="90" t="s">
        <v>1454</v>
      </c>
      <c r="G1355" s="90"/>
      <c r="H1355" s="93"/>
      <c r="I1355" s="93"/>
      <c r="J1355" s="93"/>
      <c r="K1355" s="95"/>
      <c r="L1355" s="69"/>
      <c r="M1355" s="69"/>
      <c r="N1355" s="69"/>
      <c r="O1355" s="69"/>
      <c r="P1355" s="78"/>
      <c r="Q1355" s="96"/>
      <c r="R1355" s="97"/>
      <c r="S1355" s="98"/>
    </row>
    <row r="1356" spans="1:19" ht="42.75">
      <c r="A1356" s="90" t="s">
        <v>50</v>
      </c>
      <c r="B1356" s="91" t="s">
        <v>345</v>
      </c>
      <c r="C1356" s="91" t="s">
        <v>2667</v>
      </c>
      <c r="D1356" s="90">
        <v>3513</v>
      </c>
      <c r="E1356" s="90">
        <v>4109</v>
      </c>
      <c r="F1356" s="90" t="s">
        <v>1434</v>
      </c>
      <c r="G1356" s="90">
        <v>2024</v>
      </c>
      <c r="H1356" s="101">
        <v>45462</v>
      </c>
      <c r="I1356" s="101">
        <v>45463</v>
      </c>
      <c r="J1356" s="94" t="s">
        <v>3103</v>
      </c>
      <c r="K1356" s="100">
        <v>45474</v>
      </c>
      <c r="L1356" s="69" t="s">
        <v>80</v>
      </c>
      <c r="M1356" s="69" t="s">
        <v>4</v>
      </c>
      <c r="N1356" s="69" t="s">
        <v>101</v>
      </c>
      <c r="O1356" s="69" t="s">
        <v>1436</v>
      </c>
      <c r="P1356" s="78"/>
      <c r="Q1356" s="70">
        <v>45474</v>
      </c>
      <c r="R1356" s="97"/>
      <c r="S1356" s="98"/>
    </row>
    <row r="1357" spans="1:19" ht="42.75">
      <c r="A1357" s="90" t="s">
        <v>50</v>
      </c>
      <c r="B1357" s="91" t="s">
        <v>347</v>
      </c>
      <c r="C1357" s="91" t="s">
        <v>1433</v>
      </c>
      <c r="D1357" s="90">
        <v>2715</v>
      </c>
      <c r="E1357" s="90">
        <v>2715</v>
      </c>
      <c r="F1357" s="90" t="s">
        <v>1454</v>
      </c>
      <c r="G1357" s="90"/>
      <c r="H1357" s="93"/>
      <c r="I1357" s="93"/>
      <c r="J1357" s="93"/>
      <c r="K1357" s="95"/>
      <c r="L1357" s="69"/>
      <c r="M1357" s="69"/>
      <c r="N1357" s="69"/>
      <c r="O1357" s="69"/>
      <c r="P1357" s="78"/>
      <c r="Q1357" s="96"/>
      <c r="R1357" s="97"/>
      <c r="S1357" s="98"/>
    </row>
    <row r="1358" spans="1:19" ht="42.75">
      <c r="A1358" s="90" t="s">
        <v>50</v>
      </c>
      <c r="B1358" s="91" t="s">
        <v>347</v>
      </c>
      <c r="C1358" s="91" t="s">
        <v>1437</v>
      </c>
      <c r="D1358" s="90">
        <v>1524</v>
      </c>
      <c r="E1358" s="90">
        <v>1557</v>
      </c>
      <c r="F1358" s="90" t="s">
        <v>1454</v>
      </c>
      <c r="G1358" s="90"/>
      <c r="H1358" s="93"/>
      <c r="I1358" s="93"/>
      <c r="J1358" s="93"/>
      <c r="K1358" s="95"/>
      <c r="L1358" s="69"/>
      <c r="M1358" s="69"/>
      <c r="N1358" s="69"/>
      <c r="O1358" s="69"/>
      <c r="P1358" s="78"/>
      <c r="Q1358" s="96"/>
      <c r="R1358" s="97"/>
      <c r="S1358" s="98"/>
    </row>
    <row r="1359" spans="1:19" ht="42.75">
      <c r="A1359" s="90" t="s">
        <v>50</v>
      </c>
      <c r="B1359" s="91" t="s">
        <v>347</v>
      </c>
      <c r="C1359" s="91" t="s">
        <v>1439</v>
      </c>
      <c r="D1359" s="90">
        <v>1399</v>
      </c>
      <c r="E1359" s="90">
        <v>1278</v>
      </c>
      <c r="F1359" s="90" t="s">
        <v>1454</v>
      </c>
      <c r="G1359" s="90"/>
      <c r="H1359" s="93"/>
      <c r="I1359" s="93"/>
      <c r="J1359" s="93"/>
      <c r="K1359" s="95"/>
      <c r="L1359" s="69"/>
      <c r="M1359" s="69"/>
      <c r="N1359" s="69"/>
      <c r="O1359" s="69"/>
      <c r="P1359" s="78"/>
      <c r="Q1359" s="96"/>
      <c r="R1359" s="97"/>
      <c r="S1359" s="98"/>
    </row>
    <row r="1360" spans="1:19" ht="42.75">
      <c r="A1360" s="90" t="s">
        <v>50</v>
      </c>
      <c r="B1360" s="91" t="s">
        <v>347</v>
      </c>
      <c r="C1360" s="91" t="s">
        <v>1441</v>
      </c>
      <c r="D1360" s="90">
        <v>3054</v>
      </c>
      <c r="E1360" s="90">
        <v>3196</v>
      </c>
      <c r="F1360" s="90" t="s">
        <v>1454</v>
      </c>
      <c r="G1360" s="90"/>
      <c r="H1360" s="93"/>
      <c r="I1360" s="93"/>
      <c r="J1360" s="93"/>
      <c r="K1360" s="95"/>
      <c r="L1360" s="69"/>
      <c r="M1360" s="69"/>
      <c r="N1360" s="69"/>
      <c r="O1360" s="69"/>
      <c r="P1360" s="78"/>
      <c r="Q1360" s="96"/>
      <c r="R1360" s="97"/>
      <c r="S1360" s="98"/>
    </row>
    <row r="1361" spans="1:19" ht="42.75">
      <c r="A1361" s="90" t="s">
        <v>50</v>
      </c>
      <c r="B1361" s="91" t="s">
        <v>347</v>
      </c>
      <c r="C1361" s="91" t="s">
        <v>3104</v>
      </c>
      <c r="D1361" s="90">
        <v>586</v>
      </c>
      <c r="E1361" s="90">
        <v>625</v>
      </c>
      <c r="F1361" s="90" t="s">
        <v>1454</v>
      </c>
      <c r="G1361" s="90"/>
      <c r="H1361" s="93"/>
      <c r="I1361" s="93"/>
      <c r="J1361" s="93"/>
      <c r="K1361" s="95"/>
      <c r="L1361" s="69"/>
      <c r="M1361" s="69"/>
      <c r="N1361" s="69"/>
      <c r="O1361" s="69"/>
      <c r="P1361" s="78"/>
      <c r="Q1361" s="96"/>
      <c r="R1361" s="97"/>
      <c r="S1361" s="98"/>
    </row>
    <row r="1362" spans="1:19" ht="42.75">
      <c r="A1362" s="90" t="s">
        <v>50</v>
      </c>
      <c r="B1362" s="91" t="s">
        <v>347</v>
      </c>
      <c r="C1362" s="91" t="s">
        <v>3105</v>
      </c>
      <c r="D1362" s="90">
        <v>2471</v>
      </c>
      <c r="E1362" s="90">
        <v>2911</v>
      </c>
      <c r="F1362" s="90" t="s">
        <v>1454</v>
      </c>
      <c r="G1362" s="90"/>
      <c r="H1362" s="93"/>
      <c r="I1362" s="93"/>
      <c r="J1362" s="93"/>
      <c r="K1362" s="95"/>
      <c r="L1362" s="69"/>
      <c r="M1362" s="69"/>
      <c r="N1362" s="69"/>
      <c r="O1362" s="69"/>
      <c r="P1362" s="78"/>
      <c r="Q1362" s="96"/>
      <c r="R1362" s="97"/>
      <c r="S1362" s="98"/>
    </row>
    <row r="1363" spans="1:19" ht="42.75">
      <c r="A1363" s="90" t="s">
        <v>50</v>
      </c>
      <c r="B1363" s="91" t="s">
        <v>347</v>
      </c>
      <c r="C1363" s="91" t="s">
        <v>3106</v>
      </c>
      <c r="D1363" s="90">
        <v>857</v>
      </c>
      <c r="E1363" s="90">
        <v>930</v>
      </c>
      <c r="F1363" s="90" t="s">
        <v>1454</v>
      </c>
      <c r="G1363" s="90"/>
      <c r="H1363" s="93"/>
      <c r="I1363" s="93"/>
      <c r="J1363" s="93"/>
      <c r="K1363" s="95"/>
      <c r="L1363" s="69"/>
      <c r="M1363" s="69"/>
      <c r="N1363" s="69"/>
      <c r="O1363" s="69"/>
      <c r="P1363" s="78"/>
      <c r="Q1363" s="96"/>
      <c r="R1363" s="97"/>
      <c r="S1363" s="98"/>
    </row>
    <row r="1364" spans="1:19" ht="42.75">
      <c r="A1364" s="90" t="s">
        <v>50</v>
      </c>
      <c r="B1364" s="91" t="s">
        <v>347</v>
      </c>
      <c r="C1364" s="91" t="s">
        <v>3107</v>
      </c>
      <c r="D1364" s="90">
        <v>420</v>
      </c>
      <c r="E1364" s="90">
        <v>459</v>
      </c>
      <c r="F1364" s="90" t="s">
        <v>1454</v>
      </c>
      <c r="G1364" s="90"/>
      <c r="H1364" s="93"/>
      <c r="I1364" s="93"/>
      <c r="J1364" s="93"/>
      <c r="K1364" s="95"/>
      <c r="L1364" s="69"/>
      <c r="M1364" s="69"/>
      <c r="N1364" s="69"/>
      <c r="O1364" s="69"/>
      <c r="P1364" s="78"/>
      <c r="Q1364" s="96"/>
      <c r="R1364" s="97"/>
      <c r="S1364" s="98"/>
    </row>
    <row r="1365" spans="1:19" ht="42.75">
      <c r="A1365" s="90" t="s">
        <v>50</v>
      </c>
      <c r="B1365" s="91" t="s">
        <v>347</v>
      </c>
      <c r="C1365" s="91" t="s">
        <v>3108</v>
      </c>
      <c r="D1365" s="90">
        <v>1901</v>
      </c>
      <c r="E1365" s="90">
        <v>1927</v>
      </c>
      <c r="F1365" s="90" t="s">
        <v>1454</v>
      </c>
      <c r="G1365" s="90"/>
      <c r="H1365" s="93"/>
      <c r="I1365" s="93"/>
      <c r="J1365" s="93"/>
      <c r="K1365" s="95"/>
      <c r="L1365" s="69"/>
      <c r="M1365" s="69"/>
      <c r="N1365" s="69"/>
      <c r="O1365" s="69"/>
      <c r="P1365" s="78"/>
      <c r="Q1365" s="96"/>
      <c r="R1365" s="97"/>
      <c r="S1365" s="98"/>
    </row>
    <row r="1366" spans="1:19" ht="42.75">
      <c r="A1366" s="90" t="s">
        <v>50</v>
      </c>
      <c r="B1366" s="91" t="s">
        <v>347</v>
      </c>
      <c r="C1366" s="91" t="s">
        <v>1073</v>
      </c>
      <c r="D1366" s="90">
        <v>2916</v>
      </c>
      <c r="E1366" s="90">
        <v>3173</v>
      </c>
      <c r="F1366" s="90" t="s">
        <v>1434</v>
      </c>
      <c r="G1366" s="90">
        <v>2024</v>
      </c>
      <c r="H1366" s="101">
        <v>45377</v>
      </c>
      <c r="I1366" s="101">
        <v>45377</v>
      </c>
      <c r="J1366" s="94" t="s">
        <v>3109</v>
      </c>
      <c r="K1366" s="95"/>
      <c r="L1366" s="69" t="s">
        <v>77</v>
      </c>
      <c r="M1366" s="69"/>
      <c r="N1366" s="69"/>
      <c r="O1366" s="69"/>
      <c r="P1366" s="78"/>
      <c r="Q1366" s="96"/>
      <c r="R1366" s="97"/>
      <c r="S1366" s="98"/>
    </row>
    <row r="1367" spans="1:19" ht="42.75">
      <c r="A1367" s="90" t="s">
        <v>50</v>
      </c>
      <c r="B1367" s="91" t="s">
        <v>347</v>
      </c>
      <c r="C1367" s="91" t="s">
        <v>3110</v>
      </c>
      <c r="D1367" s="90">
        <v>3052</v>
      </c>
      <c r="E1367" s="90">
        <v>3183</v>
      </c>
      <c r="F1367" s="90" t="s">
        <v>1454</v>
      </c>
      <c r="G1367" s="90"/>
      <c r="H1367" s="93"/>
      <c r="I1367" s="93"/>
      <c r="J1367" s="93"/>
      <c r="K1367" s="95"/>
      <c r="L1367" s="69"/>
      <c r="M1367" s="69"/>
      <c r="N1367" s="69"/>
      <c r="O1367" s="69"/>
      <c r="P1367" s="78"/>
      <c r="Q1367" s="96"/>
      <c r="R1367" s="97"/>
      <c r="S1367" s="98"/>
    </row>
    <row r="1368" spans="1:19" ht="42.75">
      <c r="A1368" s="90" t="s">
        <v>50</v>
      </c>
      <c r="B1368" s="91" t="s">
        <v>347</v>
      </c>
      <c r="C1368" s="91" t="s">
        <v>520</v>
      </c>
      <c r="D1368" s="90">
        <v>3457</v>
      </c>
      <c r="E1368" s="90">
        <v>4136</v>
      </c>
      <c r="F1368" s="90" t="s">
        <v>1454</v>
      </c>
      <c r="G1368" s="90"/>
      <c r="H1368" s="93"/>
      <c r="I1368" s="93"/>
      <c r="J1368" s="93"/>
      <c r="K1368" s="95"/>
      <c r="L1368" s="69"/>
      <c r="M1368" s="69"/>
      <c r="N1368" s="69"/>
      <c r="O1368" s="69"/>
      <c r="P1368" s="78"/>
      <c r="Q1368" s="96"/>
      <c r="R1368" s="97"/>
      <c r="S1368" s="98"/>
    </row>
    <row r="1369" spans="1:19" ht="42.75">
      <c r="A1369" s="90" t="s">
        <v>50</v>
      </c>
      <c r="B1369" s="91" t="s">
        <v>347</v>
      </c>
      <c r="C1369" s="91" t="s">
        <v>3090</v>
      </c>
      <c r="D1369" s="90">
        <v>1736</v>
      </c>
      <c r="E1369" s="90">
        <v>1984</v>
      </c>
      <c r="F1369" s="90" t="s">
        <v>1454</v>
      </c>
      <c r="G1369" s="90"/>
      <c r="H1369" s="93"/>
      <c r="I1369" s="93"/>
      <c r="J1369" s="93"/>
      <c r="K1369" s="95"/>
      <c r="L1369" s="69"/>
      <c r="M1369" s="69"/>
      <c r="N1369" s="69"/>
      <c r="O1369" s="69"/>
      <c r="P1369" s="78"/>
      <c r="Q1369" s="96"/>
      <c r="R1369" s="97"/>
      <c r="S1369" s="98"/>
    </row>
    <row r="1370" spans="1:19" ht="42.75">
      <c r="A1370" s="90" t="s">
        <v>50</v>
      </c>
      <c r="B1370" s="91" t="s">
        <v>347</v>
      </c>
      <c r="C1370" s="91" t="s">
        <v>764</v>
      </c>
      <c r="D1370" s="90">
        <v>2115</v>
      </c>
      <c r="E1370" s="90">
        <v>2435</v>
      </c>
      <c r="F1370" s="90" t="s">
        <v>1454</v>
      </c>
      <c r="G1370" s="90"/>
      <c r="H1370" s="93"/>
      <c r="I1370" s="93"/>
      <c r="J1370" s="93"/>
      <c r="K1370" s="95"/>
      <c r="L1370" s="69"/>
      <c r="M1370" s="69"/>
      <c r="N1370" s="69"/>
      <c r="O1370" s="69"/>
      <c r="P1370" s="78"/>
      <c r="Q1370" s="96"/>
      <c r="R1370" s="97"/>
      <c r="S1370" s="98"/>
    </row>
    <row r="1371" spans="1:19" ht="42.75">
      <c r="A1371" s="90" t="s">
        <v>50</v>
      </c>
      <c r="B1371" s="91" t="s">
        <v>347</v>
      </c>
      <c r="C1371" s="91" t="s">
        <v>653</v>
      </c>
      <c r="D1371" s="90">
        <v>2315</v>
      </c>
      <c r="E1371" s="90">
        <v>2058</v>
      </c>
      <c r="F1371" s="90" t="s">
        <v>1434</v>
      </c>
      <c r="G1371" s="90">
        <v>2024</v>
      </c>
      <c r="H1371" s="101">
        <v>45351</v>
      </c>
      <c r="I1371" s="101">
        <v>45355</v>
      </c>
      <c r="J1371" s="94" t="s">
        <v>3111</v>
      </c>
      <c r="K1371" s="95"/>
      <c r="L1371" s="69" t="s">
        <v>76</v>
      </c>
      <c r="M1371" s="69"/>
      <c r="N1371" s="69"/>
      <c r="O1371" s="69"/>
      <c r="P1371" s="78"/>
      <c r="Q1371" s="96"/>
      <c r="R1371" s="97"/>
      <c r="S1371" s="98"/>
    </row>
    <row r="1372" spans="1:19" ht="42.75">
      <c r="A1372" s="90" t="s">
        <v>50</v>
      </c>
      <c r="B1372" s="91" t="s">
        <v>347</v>
      </c>
      <c r="C1372" s="91" t="s">
        <v>3112</v>
      </c>
      <c r="D1372" s="90">
        <v>3162</v>
      </c>
      <c r="E1372" s="90">
        <v>3399</v>
      </c>
      <c r="F1372" s="90" t="s">
        <v>1454</v>
      </c>
      <c r="G1372" s="90"/>
      <c r="H1372" s="93"/>
      <c r="I1372" s="93"/>
      <c r="J1372" s="93"/>
      <c r="K1372" s="95"/>
      <c r="L1372" s="69"/>
      <c r="M1372" s="69"/>
      <c r="N1372" s="69"/>
      <c r="O1372" s="69"/>
      <c r="P1372" s="78"/>
      <c r="Q1372" s="96"/>
      <c r="R1372" s="97"/>
      <c r="S1372" s="98"/>
    </row>
    <row r="1373" spans="1:19" ht="42.75">
      <c r="A1373" s="90" t="s">
        <v>50</v>
      </c>
      <c r="B1373" s="91" t="s">
        <v>347</v>
      </c>
      <c r="C1373" s="91" t="s">
        <v>550</v>
      </c>
      <c r="D1373" s="90">
        <v>1976</v>
      </c>
      <c r="E1373" s="90">
        <v>2297</v>
      </c>
      <c r="F1373" s="90" t="s">
        <v>1454</v>
      </c>
      <c r="G1373" s="90"/>
      <c r="H1373" s="101"/>
      <c r="I1373" s="101"/>
      <c r="J1373" s="93"/>
      <c r="K1373" s="100"/>
      <c r="L1373" s="69"/>
      <c r="M1373" s="69"/>
      <c r="N1373" s="69"/>
      <c r="O1373" s="69" t="s">
        <v>1436</v>
      </c>
      <c r="P1373" s="78"/>
      <c r="Q1373" s="96"/>
      <c r="R1373" s="97"/>
      <c r="S1373" s="98"/>
    </row>
    <row r="1374" spans="1:19" ht="42.75">
      <c r="A1374" s="90" t="s">
        <v>50</v>
      </c>
      <c r="B1374" s="91" t="s">
        <v>512</v>
      </c>
      <c r="C1374" s="91" t="s">
        <v>3113</v>
      </c>
      <c r="D1374" s="90">
        <v>1388</v>
      </c>
      <c r="E1374" s="90">
        <v>1498</v>
      </c>
      <c r="F1374" s="90" t="s">
        <v>1454</v>
      </c>
      <c r="G1374" s="90"/>
      <c r="H1374" s="93"/>
      <c r="I1374" s="93"/>
      <c r="J1374" s="93"/>
      <c r="K1374" s="95"/>
      <c r="L1374" s="69"/>
      <c r="M1374" s="69"/>
      <c r="N1374" s="69"/>
      <c r="O1374" s="69"/>
      <c r="P1374" s="78"/>
      <c r="Q1374" s="96"/>
      <c r="R1374" s="97"/>
      <c r="S1374" s="98"/>
    </row>
    <row r="1375" spans="1:19" ht="42.75">
      <c r="A1375" s="90" t="s">
        <v>50</v>
      </c>
      <c r="B1375" s="91" t="s">
        <v>512</v>
      </c>
      <c r="C1375" s="91" t="s">
        <v>1087</v>
      </c>
      <c r="D1375" s="90">
        <v>1393</v>
      </c>
      <c r="E1375" s="90">
        <v>1356</v>
      </c>
      <c r="F1375" s="90" t="s">
        <v>1454</v>
      </c>
      <c r="G1375" s="90"/>
      <c r="H1375" s="93"/>
      <c r="I1375" s="93"/>
      <c r="J1375" s="93"/>
      <c r="K1375" s="95"/>
      <c r="L1375" s="69"/>
      <c r="M1375" s="69"/>
      <c r="N1375" s="69"/>
      <c r="O1375" s="69"/>
      <c r="P1375" s="78"/>
      <c r="Q1375" s="96"/>
      <c r="R1375" s="97"/>
      <c r="S1375" s="98"/>
    </row>
    <row r="1376" spans="1:19" ht="42.75">
      <c r="A1376" s="90" t="s">
        <v>50</v>
      </c>
      <c r="B1376" s="91" t="s">
        <v>512</v>
      </c>
      <c r="C1376" s="91" t="s">
        <v>3114</v>
      </c>
      <c r="D1376" s="90">
        <v>2565</v>
      </c>
      <c r="E1376" s="90">
        <v>2561</v>
      </c>
      <c r="F1376" s="90" t="s">
        <v>1454</v>
      </c>
      <c r="G1376" s="90"/>
      <c r="H1376" s="93"/>
      <c r="I1376" s="93"/>
      <c r="J1376" s="93"/>
      <c r="K1376" s="95"/>
      <c r="L1376" s="69"/>
      <c r="M1376" s="69"/>
      <c r="N1376" s="69"/>
      <c r="O1376" s="69"/>
      <c r="P1376" s="78"/>
      <c r="Q1376" s="96"/>
      <c r="R1376" s="97"/>
      <c r="S1376" s="98"/>
    </row>
    <row r="1377" spans="1:19" ht="42.75">
      <c r="A1377" s="90" t="s">
        <v>50</v>
      </c>
      <c r="B1377" s="91" t="s">
        <v>512</v>
      </c>
      <c r="C1377" s="91" t="s">
        <v>3115</v>
      </c>
      <c r="D1377" s="90">
        <v>3268</v>
      </c>
      <c r="E1377" s="90">
        <v>3211</v>
      </c>
      <c r="F1377" s="90" t="s">
        <v>1454</v>
      </c>
      <c r="G1377" s="90"/>
      <c r="H1377" s="93"/>
      <c r="I1377" s="93"/>
      <c r="J1377" s="93"/>
      <c r="K1377" s="95"/>
      <c r="L1377" s="69"/>
      <c r="M1377" s="69"/>
      <c r="N1377" s="69"/>
      <c r="O1377" s="69"/>
      <c r="P1377" s="78"/>
      <c r="Q1377" s="96"/>
      <c r="R1377" s="97"/>
      <c r="S1377" s="98"/>
    </row>
    <row r="1378" spans="1:19" ht="42.75">
      <c r="A1378" s="90" t="s">
        <v>50</v>
      </c>
      <c r="B1378" s="91" t="s">
        <v>512</v>
      </c>
      <c r="C1378" s="91" t="s">
        <v>3116</v>
      </c>
      <c r="D1378" s="90">
        <v>3721</v>
      </c>
      <c r="E1378" s="90">
        <v>3863</v>
      </c>
      <c r="F1378" s="90" t="s">
        <v>1454</v>
      </c>
      <c r="G1378" s="90"/>
      <c r="H1378" s="93"/>
      <c r="I1378" s="93"/>
      <c r="J1378" s="93"/>
      <c r="K1378" s="95"/>
      <c r="L1378" s="69"/>
      <c r="M1378" s="69"/>
      <c r="N1378" s="69"/>
      <c r="O1378" s="69"/>
      <c r="P1378" s="78"/>
      <c r="Q1378" s="96"/>
      <c r="R1378" s="97"/>
      <c r="S1378" s="98"/>
    </row>
    <row r="1379" spans="1:19" ht="42.75">
      <c r="A1379" s="90" t="s">
        <v>50</v>
      </c>
      <c r="B1379" s="91" t="s">
        <v>512</v>
      </c>
      <c r="C1379" s="91" t="s">
        <v>427</v>
      </c>
      <c r="D1379" s="90">
        <v>1449</v>
      </c>
      <c r="E1379" s="90">
        <v>1624</v>
      </c>
      <c r="F1379" s="90" t="s">
        <v>1454</v>
      </c>
      <c r="G1379" s="90"/>
      <c r="H1379" s="93"/>
      <c r="I1379" s="93"/>
      <c r="J1379" s="93"/>
      <c r="K1379" s="95"/>
      <c r="L1379" s="69"/>
      <c r="M1379" s="69"/>
      <c r="N1379" s="69"/>
      <c r="O1379" s="69"/>
      <c r="P1379" s="78"/>
      <c r="Q1379" s="96"/>
      <c r="R1379" s="97"/>
      <c r="S1379" s="98"/>
    </row>
    <row r="1380" spans="1:19" ht="42.75">
      <c r="A1380" s="90" t="s">
        <v>50</v>
      </c>
      <c r="B1380" s="91" t="s">
        <v>512</v>
      </c>
      <c r="C1380" s="91" t="s">
        <v>764</v>
      </c>
      <c r="D1380" s="90">
        <v>3641</v>
      </c>
      <c r="E1380" s="90">
        <v>3758</v>
      </c>
      <c r="F1380" s="90" t="s">
        <v>1454</v>
      </c>
      <c r="G1380" s="90"/>
      <c r="H1380" s="93"/>
      <c r="I1380" s="93"/>
      <c r="J1380" s="93"/>
      <c r="K1380" s="95"/>
      <c r="L1380" s="69"/>
      <c r="M1380" s="69"/>
      <c r="N1380" s="69"/>
      <c r="O1380" s="69"/>
      <c r="P1380" s="78"/>
      <c r="Q1380" s="96"/>
      <c r="R1380" s="97"/>
      <c r="S1380" s="98"/>
    </row>
    <row r="1381" spans="1:19" ht="42.75">
      <c r="A1381" s="90" t="s">
        <v>50</v>
      </c>
      <c r="B1381" s="91" t="s">
        <v>512</v>
      </c>
      <c r="C1381" s="91" t="s">
        <v>380</v>
      </c>
      <c r="D1381" s="90">
        <v>4249</v>
      </c>
      <c r="E1381" s="90">
        <v>4347</v>
      </c>
      <c r="F1381" s="90" t="s">
        <v>1454</v>
      </c>
      <c r="G1381" s="90"/>
      <c r="H1381" s="93"/>
      <c r="I1381" s="93"/>
      <c r="J1381" s="93"/>
      <c r="K1381" s="95"/>
      <c r="L1381" s="69"/>
      <c r="M1381" s="69"/>
      <c r="N1381" s="69"/>
      <c r="O1381" s="69"/>
      <c r="P1381" s="78"/>
      <c r="Q1381" s="96"/>
      <c r="R1381" s="97"/>
      <c r="S1381" s="98"/>
    </row>
    <row r="1382" spans="1:19" ht="42.75">
      <c r="A1382" s="90" t="s">
        <v>50</v>
      </c>
      <c r="B1382" s="91" t="s">
        <v>512</v>
      </c>
      <c r="C1382" s="91" t="s">
        <v>2186</v>
      </c>
      <c r="D1382" s="90">
        <v>1031</v>
      </c>
      <c r="E1382" s="90">
        <v>1080</v>
      </c>
      <c r="F1382" s="90" t="s">
        <v>1454</v>
      </c>
      <c r="G1382" s="90"/>
      <c r="H1382" s="93"/>
      <c r="I1382" s="93"/>
      <c r="J1382" s="93"/>
      <c r="K1382" s="95"/>
      <c r="L1382" s="69"/>
      <c r="M1382" s="69"/>
      <c r="N1382" s="69"/>
      <c r="O1382" s="69"/>
      <c r="P1382" s="78"/>
      <c r="Q1382" s="96"/>
      <c r="R1382" s="97"/>
      <c r="S1382" s="98"/>
    </row>
    <row r="1383" spans="1:19" ht="42.75">
      <c r="A1383" s="90" t="s">
        <v>50</v>
      </c>
      <c r="B1383" s="91" t="s">
        <v>512</v>
      </c>
      <c r="C1383" s="91" t="s">
        <v>3117</v>
      </c>
      <c r="D1383" s="90">
        <v>3073</v>
      </c>
      <c r="E1383" s="90">
        <v>3236</v>
      </c>
      <c r="F1383" s="90" t="s">
        <v>1454</v>
      </c>
      <c r="G1383" s="90"/>
      <c r="H1383" s="93"/>
      <c r="I1383" s="93"/>
      <c r="J1383" s="93"/>
      <c r="K1383" s="95"/>
      <c r="L1383" s="69"/>
      <c r="M1383" s="69"/>
      <c r="N1383" s="69"/>
      <c r="O1383" s="69"/>
      <c r="P1383" s="78"/>
      <c r="Q1383" s="96"/>
      <c r="R1383" s="97"/>
      <c r="S1383" s="98"/>
    </row>
    <row r="1384" spans="1:19" ht="42.75">
      <c r="A1384" s="90" t="s">
        <v>50</v>
      </c>
      <c r="B1384" s="91" t="s">
        <v>512</v>
      </c>
      <c r="C1384" s="91" t="s">
        <v>1889</v>
      </c>
      <c r="D1384" s="90">
        <v>2476</v>
      </c>
      <c r="E1384" s="90">
        <v>2735</v>
      </c>
      <c r="F1384" s="90" t="s">
        <v>1454</v>
      </c>
      <c r="G1384" s="90"/>
      <c r="H1384" s="93"/>
      <c r="I1384" s="93"/>
      <c r="J1384" s="93"/>
      <c r="K1384" s="95"/>
      <c r="L1384" s="69"/>
      <c r="M1384" s="69"/>
      <c r="N1384" s="69"/>
      <c r="O1384" s="69"/>
      <c r="P1384" s="78"/>
      <c r="Q1384" s="96"/>
      <c r="R1384" s="97"/>
      <c r="S1384" s="98"/>
    </row>
    <row r="1385" spans="1:19" ht="42.75">
      <c r="A1385" s="90" t="s">
        <v>50</v>
      </c>
      <c r="B1385" s="91" t="s">
        <v>514</v>
      </c>
      <c r="C1385" s="91" t="s">
        <v>3118</v>
      </c>
      <c r="D1385" s="90">
        <v>2494</v>
      </c>
      <c r="E1385" s="90">
        <v>2538</v>
      </c>
      <c r="F1385" s="90" t="s">
        <v>1454</v>
      </c>
      <c r="G1385" s="90"/>
      <c r="H1385" s="93"/>
      <c r="I1385" s="93"/>
      <c r="J1385" s="93"/>
      <c r="K1385" s="95"/>
      <c r="L1385" s="69"/>
      <c r="M1385" s="69"/>
      <c r="N1385" s="69"/>
      <c r="O1385" s="69"/>
      <c r="P1385" s="78"/>
      <c r="Q1385" s="96"/>
      <c r="R1385" s="97"/>
      <c r="S1385" s="98"/>
    </row>
    <row r="1386" spans="1:19" ht="42.75">
      <c r="A1386" s="90" t="s">
        <v>50</v>
      </c>
      <c r="B1386" s="91" t="s">
        <v>514</v>
      </c>
      <c r="C1386" s="91" t="s">
        <v>3119</v>
      </c>
      <c r="D1386" s="90">
        <v>1236</v>
      </c>
      <c r="E1386" s="90">
        <v>1259</v>
      </c>
      <c r="F1386" s="90" t="s">
        <v>1434</v>
      </c>
      <c r="G1386" s="90">
        <v>2024</v>
      </c>
      <c r="H1386" s="167">
        <v>45397</v>
      </c>
      <c r="I1386" s="101">
        <v>45398</v>
      </c>
      <c r="J1386" s="117" t="s">
        <v>3120</v>
      </c>
      <c r="K1386" s="100">
        <v>45399</v>
      </c>
      <c r="L1386" s="69" t="s">
        <v>77</v>
      </c>
      <c r="M1386" s="69"/>
      <c r="N1386" s="69"/>
      <c r="O1386" s="69" t="s">
        <v>1436</v>
      </c>
      <c r="P1386" s="78"/>
      <c r="Q1386" s="96"/>
      <c r="R1386" s="97"/>
      <c r="S1386" s="98"/>
    </row>
    <row r="1387" spans="1:19" ht="42.75">
      <c r="A1387" s="90" t="s">
        <v>50</v>
      </c>
      <c r="B1387" s="91" t="s">
        <v>514</v>
      </c>
      <c r="C1387" s="91" t="s">
        <v>3121</v>
      </c>
      <c r="D1387" s="90">
        <v>1432</v>
      </c>
      <c r="E1387" s="90">
        <v>1572</v>
      </c>
      <c r="F1387" s="90" t="s">
        <v>1434</v>
      </c>
      <c r="G1387" s="90">
        <v>2024</v>
      </c>
      <c r="H1387" s="172">
        <v>45397</v>
      </c>
      <c r="I1387" s="147">
        <v>45398</v>
      </c>
      <c r="J1387" s="173" t="s">
        <v>3122</v>
      </c>
      <c r="K1387" s="100">
        <v>45399</v>
      </c>
      <c r="L1387" s="69" t="s">
        <v>77</v>
      </c>
      <c r="M1387" s="69"/>
      <c r="N1387" s="69"/>
      <c r="O1387" s="69" t="s">
        <v>1436</v>
      </c>
      <c r="P1387" s="78"/>
      <c r="Q1387" s="96"/>
      <c r="R1387" s="97"/>
      <c r="S1387" s="98"/>
    </row>
    <row r="1388" spans="1:19" ht="42.75">
      <c r="A1388" s="90" t="s">
        <v>50</v>
      </c>
      <c r="B1388" s="91" t="s">
        <v>514</v>
      </c>
      <c r="C1388" s="91" t="s">
        <v>3123</v>
      </c>
      <c r="D1388" s="90">
        <v>2174</v>
      </c>
      <c r="E1388" s="90">
        <v>2268</v>
      </c>
      <c r="F1388" s="90" t="s">
        <v>1454</v>
      </c>
      <c r="G1388" s="90"/>
      <c r="H1388" s="93"/>
      <c r="I1388" s="93"/>
      <c r="J1388" s="93"/>
      <c r="K1388" s="95"/>
      <c r="L1388" s="69"/>
      <c r="M1388" s="69"/>
      <c r="N1388" s="69"/>
      <c r="O1388" s="69"/>
      <c r="P1388" s="78"/>
      <c r="Q1388" s="96"/>
      <c r="R1388" s="97"/>
      <c r="S1388" s="98"/>
    </row>
    <row r="1389" spans="1:19" ht="42.75">
      <c r="A1389" s="90" t="s">
        <v>50</v>
      </c>
      <c r="B1389" s="91" t="s">
        <v>514</v>
      </c>
      <c r="C1389" s="91" t="s">
        <v>3124</v>
      </c>
      <c r="D1389" s="90">
        <v>889</v>
      </c>
      <c r="E1389" s="90">
        <v>933</v>
      </c>
      <c r="F1389" s="90" t="s">
        <v>1454</v>
      </c>
      <c r="G1389" s="90"/>
      <c r="H1389" s="93"/>
      <c r="I1389" s="93"/>
      <c r="J1389" s="93"/>
      <c r="K1389" s="95"/>
      <c r="L1389" s="69"/>
      <c r="M1389" s="69"/>
      <c r="N1389" s="69"/>
      <c r="O1389" s="69"/>
      <c r="P1389" s="78"/>
      <c r="Q1389" s="96"/>
      <c r="R1389" s="97"/>
      <c r="S1389" s="98"/>
    </row>
    <row r="1390" spans="1:19" ht="42.75">
      <c r="A1390" s="90" t="s">
        <v>50</v>
      </c>
      <c r="B1390" s="91" t="s">
        <v>514</v>
      </c>
      <c r="C1390" s="91" t="s">
        <v>2899</v>
      </c>
      <c r="D1390" s="90">
        <v>2763</v>
      </c>
      <c r="E1390" s="90">
        <v>3030</v>
      </c>
      <c r="F1390" s="90" t="s">
        <v>1434</v>
      </c>
      <c r="G1390" s="90">
        <v>2024</v>
      </c>
      <c r="H1390" s="101">
        <v>45419</v>
      </c>
      <c r="I1390" s="101">
        <v>45423</v>
      </c>
      <c r="J1390" s="94" t="s">
        <v>3125</v>
      </c>
      <c r="K1390" s="100">
        <v>45427</v>
      </c>
      <c r="L1390" s="69" t="s">
        <v>78</v>
      </c>
      <c r="M1390" s="69"/>
      <c r="N1390" s="69"/>
      <c r="O1390" s="69" t="s">
        <v>1436</v>
      </c>
      <c r="P1390" s="78"/>
      <c r="Q1390" s="96"/>
      <c r="R1390" s="97"/>
      <c r="S1390" s="98"/>
    </row>
    <row r="1391" spans="1:19" ht="42.75">
      <c r="A1391" s="90" t="s">
        <v>50</v>
      </c>
      <c r="B1391" s="91" t="s">
        <v>514</v>
      </c>
      <c r="C1391" s="91" t="s">
        <v>3126</v>
      </c>
      <c r="D1391" s="90">
        <v>2384</v>
      </c>
      <c r="E1391" s="90">
        <v>2500</v>
      </c>
      <c r="F1391" s="90" t="s">
        <v>1454</v>
      </c>
      <c r="G1391" s="90"/>
      <c r="H1391" s="93"/>
      <c r="I1391" s="93"/>
      <c r="J1391" s="93"/>
      <c r="K1391" s="95"/>
      <c r="L1391" s="69"/>
      <c r="M1391" s="69"/>
      <c r="N1391" s="69"/>
      <c r="O1391" s="69"/>
      <c r="P1391" s="78"/>
      <c r="Q1391" s="96"/>
      <c r="R1391" s="97"/>
      <c r="S1391" s="98"/>
    </row>
    <row r="1392" spans="1:19" ht="42.75">
      <c r="A1392" s="90" t="s">
        <v>50</v>
      </c>
      <c r="B1392" s="91" t="s">
        <v>514</v>
      </c>
      <c r="C1392" s="91" t="s">
        <v>3127</v>
      </c>
      <c r="D1392" s="90">
        <v>1040</v>
      </c>
      <c r="E1392" s="90">
        <v>1222</v>
      </c>
      <c r="F1392" s="90" t="s">
        <v>1454</v>
      </c>
      <c r="G1392" s="90"/>
      <c r="H1392" s="93"/>
      <c r="I1392" s="93"/>
      <c r="J1392" s="93"/>
      <c r="K1392" s="95"/>
      <c r="L1392" s="69"/>
      <c r="M1392" s="69"/>
      <c r="N1392" s="69"/>
      <c r="O1392" s="69"/>
      <c r="P1392" s="78"/>
      <c r="Q1392" s="96"/>
      <c r="R1392" s="97"/>
      <c r="S1392" s="98"/>
    </row>
    <row r="1393" spans="1:19" ht="42.75">
      <c r="A1393" s="90" t="s">
        <v>50</v>
      </c>
      <c r="B1393" s="91" t="s">
        <v>514</v>
      </c>
      <c r="C1393" s="91" t="s">
        <v>3128</v>
      </c>
      <c r="D1393" s="90">
        <v>1339</v>
      </c>
      <c r="E1393" s="90">
        <v>1481</v>
      </c>
      <c r="F1393" s="90" t="s">
        <v>1454</v>
      </c>
      <c r="G1393" s="90"/>
      <c r="H1393" s="93"/>
      <c r="I1393" s="93"/>
      <c r="J1393" s="93"/>
      <c r="K1393" s="95"/>
      <c r="L1393" s="69"/>
      <c r="M1393" s="69"/>
      <c r="N1393" s="69"/>
      <c r="O1393" s="69"/>
      <c r="P1393" s="78"/>
      <c r="Q1393" s="96"/>
      <c r="R1393" s="97"/>
      <c r="S1393" s="98"/>
    </row>
    <row r="1394" spans="1:19" ht="42.75">
      <c r="A1394" s="90" t="s">
        <v>50</v>
      </c>
      <c r="B1394" s="91" t="s">
        <v>514</v>
      </c>
      <c r="C1394" s="91" t="s">
        <v>2953</v>
      </c>
      <c r="D1394" s="90">
        <v>690</v>
      </c>
      <c r="E1394" s="90">
        <v>739</v>
      </c>
      <c r="F1394" s="90" t="s">
        <v>1454</v>
      </c>
      <c r="G1394" s="90"/>
      <c r="H1394" s="93"/>
      <c r="I1394" s="93"/>
      <c r="J1394" s="93"/>
      <c r="K1394" s="95"/>
      <c r="L1394" s="69"/>
      <c r="M1394" s="69"/>
      <c r="N1394" s="69"/>
      <c r="O1394" s="69"/>
      <c r="P1394" s="78"/>
      <c r="Q1394" s="96"/>
      <c r="R1394" s="97"/>
      <c r="S1394" s="98"/>
    </row>
    <row r="1395" spans="1:19" ht="42.75">
      <c r="A1395" s="90" t="s">
        <v>50</v>
      </c>
      <c r="B1395" s="91" t="s">
        <v>514</v>
      </c>
      <c r="C1395" s="91" t="s">
        <v>3129</v>
      </c>
      <c r="D1395" s="90">
        <v>1487</v>
      </c>
      <c r="E1395" s="90">
        <v>1629</v>
      </c>
      <c r="F1395" s="90" t="s">
        <v>1454</v>
      </c>
      <c r="G1395" s="90"/>
      <c r="H1395" s="93"/>
      <c r="I1395" s="93"/>
      <c r="J1395" s="93"/>
      <c r="K1395" s="95"/>
      <c r="L1395" s="69"/>
      <c r="M1395" s="69"/>
      <c r="N1395" s="69"/>
      <c r="O1395" s="69"/>
      <c r="P1395" s="78"/>
      <c r="Q1395" s="96"/>
      <c r="R1395" s="97"/>
      <c r="S1395" s="98"/>
    </row>
    <row r="1396" spans="1:19" ht="42.75">
      <c r="A1396" s="90" t="s">
        <v>50</v>
      </c>
      <c r="B1396" s="91" t="s">
        <v>514</v>
      </c>
      <c r="C1396" s="91" t="s">
        <v>3130</v>
      </c>
      <c r="D1396" s="90">
        <v>2175</v>
      </c>
      <c r="E1396" s="90">
        <v>2431</v>
      </c>
      <c r="F1396" s="90" t="s">
        <v>1434</v>
      </c>
      <c r="G1396" s="90">
        <v>2024</v>
      </c>
      <c r="H1396" s="101">
        <v>45419</v>
      </c>
      <c r="I1396" s="101">
        <v>45423</v>
      </c>
      <c r="J1396" s="94" t="s">
        <v>3131</v>
      </c>
      <c r="K1396" s="100">
        <v>45427</v>
      </c>
      <c r="L1396" s="69" t="s">
        <v>78</v>
      </c>
      <c r="M1396" s="69"/>
      <c r="N1396" s="69"/>
      <c r="O1396" s="69" t="s">
        <v>1436</v>
      </c>
      <c r="P1396" s="78"/>
      <c r="Q1396" s="96"/>
      <c r="R1396" s="97"/>
      <c r="S1396" s="98"/>
    </row>
    <row r="1397" spans="1:19" ht="42.75">
      <c r="A1397" s="90" t="s">
        <v>50</v>
      </c>
      <c r="B1397" s="91" t="s">
        <v>514</v>
      </c>
      <c r="C1397" s="91" t="s">
        <v>284</v>
      </c>
      <c r="D1397" s="90">
        <v>3492</v>
      </c>
      <c r="E1397" s="90">
        <v>3711</v>
      </c>
      <c r="F1397" s="90" t="s">
        <v>1434</v>
      </c>
      <c r="G1397" s="90">
        <v>2024</v>
      </c>
      <c r="H1397" s="101">
        <v>45504</v>
      </c>
      <c r="I1397" s="101">
        <v>45512</v>
      </c>
      <c r="J1397" s="94" t="s">
        <v>3132</v>
      </c>
      <c r="K1397" s="100">
        <v>45516</v>
      </c>
      <c r="L1397" s="69" t="s">
        <v>81</v>
      </c>
      <c r="M1397" s="69" t="s">
        <v>4</v>
      </c>
      <c r="N1397" s="69" t="s">
        <v>101</v>
      </c>
      <c r="O1397" s="69" t="s">
        <v>1436</v>
      </c>
      <c r="P1397" s="78"/>
      <c r="Q1397" s="96">
        <v>45517</v>
      </c>
      <c r="R1397" s="97" t="s">
        <v>1481</v>
      </c>
      <c r="S1397" s="98"/>
    </row>
    <row r="1398" spans="1:19" ht="42.75">
      <c r="A1398" s="90" t="s">
        <v>50</v>
      </c>
      <c r="B1398" s="91" t="s">
        <v>514</v>
      </c>
      <c r="C1398" s="91" t="s">
        <v>1724</v>
      </c>
      <c r="D1398" s="90">
        <v>3400</v>
      </c>
      <c r="E1398" s="90">
        <v>3551</v>
      </c>
      <c r="F1398" s="90" t="s">
        <v>1434</v>
      </c>
      <c r="G1398" s="90">
        <v>2024</v>
      </c>
      <c r="H1398" s="101">
        <v>45504</v>
      </c>
      <c r="I1398" s="101">
        <v>45512</v>
      </c>
      <c r="J1398" s="94" t="s">
        <v>3133</v>
      </c>
      <c r="K1398" s="100">
        <v>45516</v>
      </c>
      <c r="L1398" s="69" t="s">
        <v>81</v>
      </c>
      <c r="M1398" s="69" t="s">
        <v>4</v>
      </c>
      <c r="N1398" s="69" t="s">
        <v>101</v>
      </c>
      <c r="O1398" s="69" t="s">
        <v>1436</v>
      </c>
      <c r="P1398" s="78"/>
      <c r="Q1398" s="96">
        <v>45517</v>
      </c>
      <c r="R1398" s="97" t="s">
        <v>1481</v>
      </c>
      <c r="S1398" s="98"/>
    </row>
    <row r="1399" spans="1:19" ht="42.75">
      <c r="A1399" s="90" t="s">
        <v>50</v>
      </c>
      <c r="B1399" s="91" t="s">
        <v>514</v>
      </c>
      <c r="C1399" s="91" t="s">
        <v>550</v>
      </c>
      <c r="D1399" s="90">
        <v>1914</v>
      </c>
      <c r="E1399" s="90">
        <v>1984</v>
      </c>
      <c r="F1399" s="90" t="s">
        <v>1434</v>
      </c>
      <c r="G1399" s="90">
        <v>2024</v>
      </c>
      <c r="H1399" s="101">
        <v>45419</v>
      </c>
      <c r="I1399" s="101">
        <v>45423</v>
      </c>
      <c r="J1399" s="94" t="s">
        <v>3134</v>
      </c>
      <c r="K1399" s="100">
        <v>45427</v>
      </c>
      <c r="L1399" s="69" t="s">
        <v>78</v>
      </c>
      <c r="M1399" s="69"/>
      <c r="N1399" s="69"/>
      <c r="O1399" s="69" t="s">
        <v>1436</v>
      </c>
      <c r="P1399" s="78"/>
      <c r="Q1399" s="96"/>
      <c r="R1399" s="97"/>
      <c r="S1399" s="98"/>
    </row>
    <row r="1400" spans="1:19" ht="42.75">
      <c r="A1400" s="90" t="s">
        <v>50</v>
      </c>
      <c r="B1400" s="91" t="s">
        <v>514</v>
      </c>
      <c r="C1400" s="91" t="s">
        <v>2276</v>
      </c>
      <c r="D1400" s="90">
        <v>2177</v>
      </c>
      <c r="E1400" s="90">
        <v>2229</v>
      </c>
      <c r="F1400" s="90" t="s">
        <v>1454</v>
      </c>
      <c r="G1400" s="90"/>
      <c r="H1400" s="93"/>
      <c r="I1400" s="93"/>
      <c r="J1400" s="93"/>
      <c r="K1400" s="95"/>
      <c r="L1400" s="69"/>
      <c r="M1400" s="69"/>
      <c r="N1400" s="69"/>
      <c r="O1400" s="69"/>
      <c r="P1400" s="78"/>
      <c r="Q1400" s="96"/>
      <c r="R1400" s="97"/>
      <c r="S1400" s="98"/>
    </row>
    <row r="1401" spans="1:19" ht="42.75">
      <c r="A1401" s="90" t="s">
        <v>50</v>
      </c>
      <c r="B1401" s="91" t="s">
        <v>514</v>
      </c>
      <c r="C1401" s="91" t="s">
        <v>717</v>
      </c>
      <c r="D1401" s="90">
        <v>455</v>
      </c>
      <c r="E1401" s="90">
        <v>577</v>
      </c>
      <c r="F1401" s="90" t="s">
        <v>1434</v>
      </c>
      <c r="G1401" s="90">
        <v>2024</v>
      </c>
      <c r="H1401" s="101">
        <v>45611</v>
      </c>
      <c r="I1401" s="101">
        <v>45617</v>
      </c>
      <c r="J1401" s="94" t="s">
        <v>3135</v>
      </c>
      <c r="K1401" s="100">
        <v>45628</v>
      </c>
      <c r="L1401" s="69" t="s">
        <v>84</v>
      </c>
      <c r="M1401" s="69" t="s">
        <v>4</v>
      </c>
      <c r="N1401" s="69" t="s">
        <v>101</v>
      </c>
      <c r="O1401" s="69" t="s">
        <v>1436</v>
      </c>
      <c r="P1401" s="78"/>
      <c r="Q1401" s="96">
        <v>45628</v>
      </c>
      <c r="R1401" s="97" t="s">
        <v>1481</v>
      </c>
      <c r="S1401" s="98"/>
    </row>
    <row r="1402" spans="1:19" ht="42.75">
      <c r="A1402" s="90" t="s">
        <v>50</v>
      </c>
      <c r="B1402" s="91" t="s">
        <v>514</v>
      </c>
      <c r="C1402" s="91" t="s">
        <v>653</v>
      </c>
      <c r="D1402" s="90">
        <v>1356</v>
      </c>
      <c r="E1402" s="90">
        <v>1427</v>
      </c>
      <c r="F1402" s="90" t="s">
        <v>1454</v>
      </c>
      <c r="G1402" s="90"/>
      <c r="H1402" s="93"/>
      <c r="I1402" s="93"/>
      <c r="J1402" s="122"/>
      <c r="K1402" s="95"/>
      <c r="L1402" s="69"/>
      <c r="M1402" s="69"/>
      <c r="N1402" s="69"/>
      <c r="O1402" s="69"/>
      <c r="P1402" s="78"/>
      <c r="Q1402" s="96"/>
      <c r="R1402" s="97"/>
      <c r="S1402" s="98"/>
    </row>
    <row r="1403" spans="1:19" ht="42.75">
      <c r="A1403" s="90" t="s">
        <v>50</v>
      </c>
      <c r="B1403" s="91" t="s">
        <v>514</v>
      </c>
      <c r="C1403" s="91" t="s">
        <v>2235</v>
      </c>
      <c r="D1403" s="90">
        <v>1635</v>
      </c>
      <c r="E1403" s="90">
        <v>1910</v>
      </c>
      <c r="F1403" s="90" t="s">
        <v>1454</v>
      </c>
      <c r="G1403" s="90"/>
      <c r="H1403" s="93"/>
      <c r="I1403" s="162"/>
      <c r="J1403" s="95"/>
      <c r="K1403" s="163"/>
      <c r="L1403" s="69"/>
      <c r="M1403" s="69"/>
      <c r="N1403" s="69"/>
      <c r="O1403" s="69"/>
      <c r="P1403" s="78"/>
      <c r="Q1403" s="96"/>
      <c r="R1403" s="97"/>
      <c r="S1403" s="98"/>
    </row>
    <row r="1404" spans="1:19" ht="42.75">
      <c r="A1404" s="90" t="s">
        <v>50</v>
      </c>
      <c r="B1404" s="91" t="s">
        <v>514</v>
      </c>
      <c r="C1404" s="91" t="s">
        <v>360</v>
      </c>
      <c r="D1404" s="90">
        <v>3003</v>
      </c>
      <c r="E1404" s="90">
        <v>3185</v>
      </c>
      <c r="F1404" s="90" t="s">
        <v>1434</v>
      </c>
      <c r="G1404" s="90">
        <v>2024</v>
      </c>
      <c r="H1404" s="101">
        <v>45387</v>
      </c>
      <c r="I1404" s="147">
        <v>45390</v>
      </c>
      <c r="J1404" s="174" t="s">
        <v>3136</v>
      </c>
      <c r="K1404" s="119">
        <v>45394</v>
      </c>
      <c r="L1404" s="69" t="s">
        <v>77</v>
      </c>
      <c r="M1404" s="69"/>
      <c r="N1404" s="69"/>
      <c r="O1404" s="69" t="s">
        <v>1436</v>
      </c>
      <c r="P1404" s="78"/>
      <c r="Q1404" s="96"/>
      <c r="R1404" s="97"/>
      <c r="S1404" s="98"/>
    </row>
    <row r="1405" spans="1:19" ht="42.75">
      <c r="A1405" s="90" t="s">
        <v>50</v>
      </c>
      <c r="B1405" s="91" t="s">
        <v>514</v>
      </c>
      <c r="C1405" s="91" t="s">
        <v>3137</v>
      </c>
      <c r="D1405" s="90">
        <v>1153</v>
      </c>
      <c r="E1405" s="90">
        <v>1187</v>
      </c>
      <c r="F1405" s="90" t="s">
        <v>1454</v>
      </c>
      <c r="G1405" s="90"/>
      <c r="H1405" s="93"/>
      <c r="I1405" s="93"/>
      <c r="J1405" s="93"/>
      <c r="K1405" s="95"/>
      <c r="L1405" s="69"/>
      <c r="M1405" s="69"/>
      <c r="N1405" s="69"/>
      <c r="O1405" s="69"/>
      <c r="P1405" s="78"/>
      <c r="Q1405" s="96"/>
      <c r="R1405" s="97"/>
      <c r="S1405" s="98"/>
    </row>
    <row r="1406" spans="1:19" ht="42.75">
      <c r="A1406" s="90" t="s">
        <v>50</v>
      </c>
      <c r="B1406" s="91" t="s">
        <v>514</v>
      </c>
      <c r="C1406" s="91" t="s">
        <v>3138</v>
      </c>
      <c r="D1406" s="90">
        <v>1013</v>
      </c>
      <c r="E1406" s="90">
        <v>918</v>
      </c>
      <c r="F1406" s="90" t="s">
        <v>1434</v>
      </c>
      <c r="G1406" s="90">
        <v>2024</v>
      </c>
      <c r="H1406" s="101">
        <v>45419</v>
      </c>
      <c r="I1406" s="101">
        <v>45423</v>
      </c>
      <c r="J1406" s="94" t="s">
        <v>3139</v>
      </c>
      <c r="K1406" s="100">
        <v>45427</v>
      </c>
      <c r="L1406" s="69" t="s">
        <v>78</v>
      </c>
      <c r="M1406" s="69"/>
      <c r="N1406" s="69"/>
      <c r="O1406" s="69" t="s">
        <v>1436</v>
      </c>
      <c r="P1406" s="78"/>
      <c r="Q1406" s="96"/>
      <c r="R1406" s="97"/>
      <c r="S1406" s="98"/>
    </row>
    <row r="1407" spans="1:19" ht="42.75">
      <c r="A1407" s="90" t="s">
        <v>50</v>
      </c>
      <c r="B1407" s="91" t="s">
        <v>295</v>
      </c>
      <c r="C1407" s="91" t="s">
        <v>3140</v>
      </c>
      <c r="D1407" s="90">
        <v>1358</v>
      </c>
      <c r="E1407" s="90">
        <v>1485</v>
      </c>
      <c r="F1407" s="90" t="s">
        <v>1454</v>
      </c>
      <c r="G1407" s="90"/>
      <c r="H1407" s="93"/>
      <c r="I1407" s="93"/>
      <c r="J1407" s="93"/>
      <c r="K1407" s="95"/>
      <c r="L1407" s="69"/>
      <c r="M1407" s="69"/>
      <c r="N1407" s="69"/>
      <c r="O1407" s="69"/>
      <c r="P1407" s="78"/>
      <c r="Q1407" s="96"/>
      <c r="R1407" s="97"/>
      <c r="S1407" s="98"/>
    </row>
    <row r="1408" spans="1:19" ht="42.75">
      <c r="A1408" s="90" t="s">
        <v>50</v>
      </c>
      <c r="B1408" s="91" t="s">
        <v>295</v>
      </c>
      <c r="C1408" s="91" t="s">
        <v>3141</v>
      </c>
      <c r="D1408" s="90">
        <v>1675</v>
      </c>
      <c r="E1408" s="90">
        <v>1788</v>
      </c>
      <c r="F1408" s="90" t="s">
        <v>1434</v>
      </c>
      <c r="G1408" s="90">
        <v>2024</v>
      </c>
      <c r="H1408" s="101">
        <v>45517</v>
      </c>
      <c r="I1408" s="101">
        <v>45524</v>
      </c>
      <c r="J1408" s="94" t="s">
        <v>3142</v>
      </c>
      <c r="K1408" s="100">
        <v>45526</v>
      </c>
      <c r="L1408" s="69" t="s">
        <v>82</v>
      </c>
      <c r="M1408" s="69" t="s">
        <v>4</v>
      </c>
      <c r="N1408" s="69" t="s">
        <v>101</v>
      </c>
      <c r="O1408" s="69" t="s">
        <v>1436</v>
      </c>
      <c r="P1408" s="78"/>
      <c r="Q1408" s="96">
        <v>45526</v>
      </c>
      <c r="R1408" s="97" t="s">
        <v>1481</v>
      </c>
      <c r="S1408" s="98"/>
    </row>
    <row r="1409" spans="1:19" ht="42.75">
      <c r="A1409" s="90" t="s">
        <v>50</v>
      </c>
      <c r="B1409" s="91" t="s">
        <v>295</v>
      </c>
      <c r="C1409" s="91" t="s">
        <v>3143</v>
      </c>
      <c r="D1409" s="90">
        <v>945</v>
      </c>
      <c r="E1409" s="90">
        <v>922</v>
      </c>
      <c r="F1409" s="90" t="s">
        <v>1454</v>
      </c>
      <c r="G1409" s="90"/>
      <c r="H1409" s="93"/>
      <c r="I1409" s="93"/>
      <c r="J1409" s="93"/>
      <c r="K1409" s="95"/>
      <c r="L1409" s="69"/>
      <c r="M1409" s="69"/>
      <c r="N1409" s="69"/>
      <c r="O1409" s="69"/>
      <c r="P1409" s="78"/>
      <c r="Q1409" s="96"/>
      <c r="R1409" s="97"/>
      <c r="S1409" s="98"/>
    </row>
    <row r="1410" spans="1:19" ht="42.75">
      <c r="A1410" s="90" t="s">
        <v>50</v>
      </c>
      <c r="B1410" s="91" t="s">
        <v>295</v>
      </c>
      <c r="C1410" s="91" t="s">
        <v>3144</v>
      </c>
      <c r="D1410" s="90">
        <v>1840</v>
      </c>
      <c r="E1410" s="90">
        <v>1777</v>
      </c>
      <c r="F1410" s="90" t="s">
        <v>1454</v>
      </c>
      <c r="G1410" s="90"/>
      <c r="H1410" s="93"/>
      <c r="I1410" s="93"/>
      <c r="J1410" s="93"/>
      <c r="K1410" s="95"/>
      <c r="L1410" s="69"/>
      <c r="M1410" s="69"/>
      <c r="N1410" s="69"/>
      <c r="O1410" s="69"/>
      <c r="P1410" s="78"/>
      <c r="Q1410" s="96"/>
      <c r="R1410" s="97"/>
      <c r="S1410" s="98"/>
    </row>
    <row r="1411" spans="1:19" ht="42.75">
      <c r="A1411" s="90" t="s">
        <v>50</v>
      </c>
      <c r="B1411" s="91" t="s">
        <v>295</v>
      </c>
      <c r="C1411" s="91" t="s">
        <v>3145</v>
      </c>
      <c r="D1411" s="90">
        <v>1640</v>
      </c>
      <c r="E1411" s="90">
        <v>1817</v>
      </c>
      <c r="F1411" s="90" t="s">
        <v>1434</v>
      </c>
      <c r="G1411" s="90">
        <v>2024</v>
      </c>
      <c r="H1411" s="101">
        <v>45541</v>
      </c>
      <c r="I1411" s="101">
        <v>45552</v>
      </c>
      <c r="J1411" s="94" t="s">
        <v>3146</v>
      </c>
      <c r="K1411" s="100">
        <v>45553</v>
      </c>
      <c r="L1411" s="69" t="s">
        <v>82</v>
      </c>
      <c r="M1411" s="69" t="s">
        <v>4</v>
      </c>
      <c r="N1411" s="69" t="s">
        <v>101</v>
      </c>
      <c r="O1411" s="69" t="s">
        <v>1436</v>
      </c>
      <c r="P1411" s="78"/>
      <c r="Q1411" s="96">
        <v>45553</v>
      </c>
      <c r="R1411" s="97" t="s">
        <v>3147</v>
      </c>
      <c r="S1411" s="98"/>
    </row>
    <row r="1412" spans="1:19" ht="42.75">
      <c r="A1412" s="90" t="s">
        <v>50</v>
      </c>
      <c r="B1412" s="91" t="s">
        <v>295</v>
      </c>
      <c r="C1412" s="91" t="s">
        <v>3148</v>
      </c>
      <c r="D1412" s="90">
        <v>3816</v>
      </c>
      <c r="E1412" s="90">
        <v>3971</v>
      </c>
      <c r="F1412" s="90" t="s">
        <v>1434</v>
      </c>
      <c r="G1412" s="90">
        <v>2024</v>
      </c>
      <c r="H1412" s="101">
        <v>45517</v>
      </c>
      <c r="I1412" s="101">
        <v>45524</v>
      </c>
      <c r="J1412" s="94" t="s">
        <v>3149</v>
      </c>
      <c r="K1412" s="100">
        <v>45526</v>
      </c>
      <c r="L1412" s="69" t="s">
        <v>82</v>
      </c>
      <c r="M1412" s="69" t="s">
        <v>4</v>
      </c>
      <c r="N1412" s="69" t="s">
        <v>101</v>
      </c>
      <c r="O1412" s="69" t="s">
        <v>1436</v>
      </c>
      <c r="P1412" s="78"/>
      <c r="Q1412" s="96">
        <v>45526</v>
      </c>
      <c r="R1412" s="97" t="s">
        <v>1481</v>
      </c>
      <c r="S1412" s="98"/>
    </row>
    <row r="1413" spans="1:19" ht="42.75">
      <c r="A1413" s="90" t="s">
        <v>50</v>
      </c>
      <c r="B1413" s="91" t="s">
        <v>295</v>
      </c>
      <c r="C1413" s="91" t="s">
        <v>3150</v>
      </c>
      <c r="D1413" s="90">
        <v>2677</v>
      </c>
      <c r="E1413" s="90">
        <v>2454</v>
      </c>
      <c r="F1413" s="90" t="s">
        <v>1454</v>
      </c>
      <c r="G1413" s="90"/>
      <c r="H1413" s="93"/>
      <c r="I1413" s="93"/>
      <c r="J1413" s="93"/>
      <c r="K1413" s="95"/>
      <c r="L1413" s="69"/>
      <c r="M1413" s="69"/>
      <c r="N1413" s="69"/>
      <c r="O1413" s="69"/>
      <c r="P1413" s="78"/>
      <c r="Q1413" s="96"/>
      <c r="R1413" s="97"/>
      <c r="S1413" s="98"/>
    </row>
    <row r="1414" spans="1:19" ht="42.75">
      <c r="A1414" s="90" t="s">
        <v>50</v>
      </c>
      <c r="B1414" s="91" t="s">
        <v>295</v>
      </c>
      <c r="C1414" s="91" t="s">
        <v>1006</v>
      </c>
      <c r="D1414" s="90">
        <v>1502</v>
      </c>
      <c r="E1414" s="90">
        <v>1570</v>
      </c>
      <c r="F1414" s="90" t="s">
        <v>1434</v>
      </c>
      <c r="G1414" s="90">
        <v>2024</v>
      </c>
      <c r="H1414" s="101">
        <v>45518</v>
      </c>
      <c r="I1414" s="101">
        <v>45524</v>
      </c>
      <c r="J1414" s="94" t="s">
        <v>3151</v>
      </c>
      <c r="K1414" s="100">
        <v>45526</v>
      </c>
      <c r="L1414" s="69" t="s">
        <v>82</v>
      </c>
      <c r="M1414" s="69" t="s">
        <v>4</v>
      </c>
      <c r="N1414" s="69" t="s">
        <v>101</v>
      </c>
      <c r="O1414" s="69" t="s">
        <v>1436</v>
      </c>
      <c r="P1414" s="78"/>
      <c r="Q1414" s="96">
        <v>45526</v>
      </c>
      <c r="R1414" s="97" t="s">
        <v>1481</v>
      </c>
      <c r="S1414" s="98"/>
    </row>
    <row r="1415" spans="1:19" ht="42.75">
      <c r="A1415" s="90" t="s">
        <v>50</v>
      </c>
      <c r="B1415" s="91" t="s">
        <v>295</v>
      </c>
      <c r="C1415" s="91" t="s">
        <v>3152</v>
      </c>
      <c r="D1415" s="90">
        <v>1017</v>
      </c>
      <c r="E1415" s="90">
        <v>1075</v>
      </c>
      <c r="F1415" s="90" t="s">
        <v>1434</v>
      </c>
      <c r="G1415" s="90">
        <v>2024</v>
      </c>
      <c r="H1415" s="101">
        <v>45541</v>
      </c>
      <c r="I1415" s="101">
        <v>45552</v>
      </c>
      <c r="J1415" s="94" t="s">
        <v>3153</v>
      </c>
      <c r="K1415" s="100">
        <v>45553</v>
      </c>
      <c r="L1415" s="69" t="s">
        <v>82</v>
      </c>
      <c r="M1415" s="69" t="s">
        <v>4</v>
      </c>
      <c r="N1415" s="69" t="s">
        <v>101</v>
      </c>
      <c r="O1415" s="69" t="s">
        <v>1436</v>
      </c>
      <c r="P1415" s="78"/>
      <c r="Q1415" s="96">
        <v>45553</v>
      </c>
      <c r="R1415" s="97" t="s">
        <v>3147</v>
      </c>
      <c r="S1415" s="98"/>
    </row>
    <row r="1416" spans="1:19" ht="42.75">
      <c r="A1416" s="90" t="s">
        <v>50</v>
      </c>
      <c r="B1416" s="91" t="s">
        <v>295</v>
      </c>
      <c r="C1416" s="91" t="s">
        <v>3154</v>
      </c>
      <c r="D1416" s="90">
        <v>782</v>
      </c>
      <c r="E1416" s="90">
        <v>692</v>
      </c>
      <c r="F1416" s="90" t="s">
        <v>1454</v>
      </c>
      <c r="G1416" s="90"/>
      <c r="H1416" s="93"/>
      <c r="I1416" s="93"/>
      <c r="J1416" s="93"/>
      <c r="K1416" s="95"/>
      <c r="L1416" s="69"/>
      <c r="M1416" s="69"/>
      <c r="N1416" s="69"/>
      <c r="O1416" s="69"/>
      <c r="P1416" s="78"/>
      <c r="Q1416" s="96"/>
      <c r="R1416" s="97"/>
      <c r="S1416" s="98"/>
    </row>
    <row r="1417" spans="1:19" ht="42.75">
      <c r="A1417" s="90" t="s">
        <v>50</v>
      </c>
      <c r="B1417" s="91" t="s">
        <v>295</v>
      </c>
      <c r="C1417" s="91" t="s">
        <v>3155</v>
      </c>
      <c r="D1417" s="90">
        <v>1743</v>
      </c>
      <c r="E1417" s="90">
        <v>2058</v>
      </c>
      <c r="F1417" s="90" t="s">
        <v>1454</v>
      </c>
      <c r="G1417" s="90"/>
      <c r="H1417" s="93"/>
      <c r="I1417" s="93"/>
      <c r="J1417" s="93"/>
      <c r="K1417" s="95"/>
      <c r="L1417" s="69"/>
      <c r="M1417" s="69"/>
      <c r="N1417" s="69"/>
      <c r="O1417" s="69"/>
      <c r="P1417" s="78"/>
      <c r="Q1417" s="96"/>
      <c r="R1417" s="97"/>
      <c r="S1417" s="98"/>
    </row>
    <row r="1418" spans="1:19" ht="42.75">
      <c r="A1418" s="90" t="s">
        <v>50</v>
      </c>
      <c r="B1418" s="91" t="s">
        <v>295</v>
      </c>
      <c r="C1418" s="91" t="s">
        <v>3156</v>
      </c>
      <c r="D1418" s="90">
        <v>3998</v>
      </c>
      <c r="E1418" s="90">
        <v>4451</v>
      </c>
      <c r="F1418" s="90" t="s">
        <v>1454</v>
      </c>
      <c r="G1418" s="90"/>
      <c r="H1418" s="93"/>
      <c r="I1418" s="93"/>
      <c r="J1418" s="93"/>
      <c r="K1418" s="95"/>
      <c r="L1418" s="69"/>
      <c r="M1418" s="69"/>
      <c r="N1418" s="69"/>
      <c r="O1418" s="69"/>
      <c r="P1418" s="78"/>
      <c r="Q1418" s="96"/>
      <c r="R1418" s="97"/>
      <c r="S1418" s="98"/>
    </row>
    <row r="1419" spans="1:19" ht="42.75">
      <c r="A1419" s="90" t="s">
        <v>50</v>
      </c>
      <c r="B1419" s="91" t="s">
        <v>295</v>
      </c>
      <c r="C1419" s="91" t="s">
        <v>728</v>
      </c>
      <c r="D1419" s="90">
        <v>884</v>
      </c>
      <c r="E1419" s="90">
        <v>765</v>
      </c>
      <c r="F1419" s="90" t="s">
        <v>1454</v>
      </c>
      <c r="G1419" s="90"/>
      <c r="H1419" s="93"/>
      <c r="I1419" s="93"/>
      <c r="J1419" s="93"/>
      <c r="K1419" s="95"/>
      <c r="L1419" s="69"/>
      <c r="M1419" s="69"/>
      <c r="N1419" s="69"/>
      <c r="O1419" s="69"/>
      <c r="P1419" s="78"/>
      <c r="Q1419" s="96"/>
      <c r="R1419" s="97"/>
      <c r="S1419" s="98"/>
    </row>
    <row r="1420" spans="1:19" ht="42.75">
      <c r="A1420" s="90" t="s">
        <v>50</v>
      </c>
      <c r="B1420" s="91" t="s">
        <v>295</v>
      </c>
      <c r="C1420" s="91" t="s">
        <v>3157</v>
      </c>
      <c r="D1420" s="90">
        <v>659</v>
      </c>
      <c r="E1420" s="90">
        <v>566</v>
      </c>
      <c r="F1420" s="90" t="s">
        <v>1454</v>
      </c>
      <c r="G1420" s="90"/>
      <c r="H1420" s="93"/>
      <c r="I1420" s="93"/>
      <c r="J1420" s="93"/>
      <c r="K1420" s="95"/>
      <c r="L1420" s="69"/>
      <c r="M1420" s="69"/>
      <c r="N1420" s="69"/>
      <c r="O1420" s="69"/>
      <c r="P1420" s="78"/>
      <c r="Q1420" s="96"/>
      <c r="R1420" s="97"/>
      <c r="S1420" s="98"/>
    </row>
    <row r="1421" spans="1:19" ht="42.75">
      <c r="A1421" s="90" t="s">
        <v>50</v>
      </c>
      <c r="B1421" s="91" t="s">
        <v>295</v>
      </c>
      <c r="C1421" s="91" t="s">
        <v>1091</v>
      </c>
      <c r="D1421" s="90">
        <v>1392</v>
      </c>
      <c r="E1421" s="90">
        <v>1700</v>
      </c>
      <c r="F1421" s="90" t="s">
        <v>1454</v>
      </c>
      <c r="G1421" s="90"/>
      <c r="H1421" s="93"/>
      <c r="I1421" s="93"/>
      <c r="J1421" s="93"/>
      <c r="K1421" s="95"/>
      <c r="L1421" s="69"/>
      <c r="M1421" s="69"/>
      <c r="N1421" s="69"/>
      <c r="O1421" s="69"/>
      <c r="P1421" s="78"/>
      <c r="Q1421" s="96"/>
      <c r="R1421" s="97"/>
      <c r="S1421" s="98"/>
    </row>
    <row r="1422" spans="1:19" ht="42.75">
      <c r="A1422" s="90" t="s">
        <v>50</v>
      </c>
      <c r="B1422" s="91" t="s">
        <v>295</v>
      </c>
      <c r="C1422" s="91" t="s">
        <v>3013</v>
      </c>
      <c r="D1422" s="90">
        <v>1307</v>
      </c>
      <c r="E1422" s="90">
        <v>1387</v>
      </c>
      <c r="F1422" s="90" t="s">
        <v>1454</v>
      </c>
      <c r="G1422" s="90"/>
      <c r="H1422" s="93"/>
      <c r="I1422" s="93"/>
      <c r="J1422" s="93"/>
      <c r="K1422" s="95"/>
      <c r="L1422" s="69"/>
      <c r="M1422" s="69"/>
      <c r="N1422" s="69"/>
      <c r="O1422" s="69"/>
      <c r="P1422" s="78"/>
      <c r="Q1422" s="96"/>
      <c r="R1422" s="97"/>
      <c r="S1422" s="98"/>
    </row>
    <row r="1423" spans="1:19" ht="42.75">
      <c r="A1423" s="90" t="s">
        <v>50</v>
      </c>
      <c r="B1423" s="91" t="s">
        <v>295</v>
      </c>
      <c r="C1423" s="91" t="s">
        <v>3158</v>
      </c>
      <c r="D1423" s="90">
        <v>1818</v>
      </c>
      <c r="E1423" s="90">
        <v>2092</v>
      </c>
      <c r="F1423" s="90" t="s">
        <v>1454</v>
      </c>
      <c r="G1423" s="90"/>
      <c r="H1423" s="93"/>
      <c r="I1423" s="93"/>
      <c r="J1423" s="93"/>
      <c r="K1423" s="95"/>
      <c r="L1423" s="69"/>
      <c r="M1423" s="69"/>
      <c r="N1423" s="69"/>
      <c r="O1423" s="69"/>
      <c r="P1423" s="78"/>
      <c r="Q1423" s="96"/>
      <c r="R1423" s="97"/>
      <c r="S1423" s="98"/>
    </row>
    <row r="1424" spans="1:19" ht="42.75">
      <c r="A1424" s="90" t="s">
        <v>50</v>
      </c>
      <c r="B1424" s="91" t="s">
        <v>295</v>
      </c>
      <c r="C1424" s="91" t="s">
        <v>3159</v>
      </c>
      <c r="D1424" s="90">
        <v>1776</v>
      </c>
      <c r="E1424" s="90">
        <v>1798</v>
      </c>
      <c r="F1424" s="90" t="s">
        <v>1454</v>
      </c>
      <c r="G1424" s="90"/>
      <c r="H1424" s="93"/>
      <c r="I1424" s="93"/>
      <c r="J1424" s="122"/>
      <c r="K1424" s="95"/>
      <c r="L1424" s="69"/>
      <c r="M1424" s="69"/>
      <c r="N1424" s="69"/>
      <c r="O1424" s="69"/>
      <c r="P1424" s="78"/>
      <c r="Q1424" s="96"/>
      <c r="R1424" s="97"/>
      <c r="S1424" s="98"/>
    </row>
    <row r="1425" spans="1:19" ht="42.75">
      <c r="A1425" s="90" t="s">
        <v>50</v>
      </c>
      <c r="B1425" s="91" t="s">
        <v>295</v>
      </c>
      <c r="C1425" s="91" t="s">
        <v>1074</v>
      </c>
      <c r="D1425" s="90">
        <v>2119</v>
      </c>
      <c r="E1425" s="90">
        <v>2189</v>
      </c>
      <c r="F1425" s="90" t="s">
        <v>1434</v>
      </c>
      <c r="G1425" s="90">
        <v>2024</v>
      </c>
      <c r="H1425" s="101">
        <v>45385</v>
      </c>
      <c r="I1425" s="147">
        <v>45395</v>
      </c>
      <c r="J1425" s="161" t="s">
        <v>3160</v>
      </c>
      <c r="K1425" s="119">
        <v>45399</v>
      </c>
      <c r="L1425" s="69" t="s">
        <v>77</v>
      </c>
      <c r="M1425" s="69"/>
      <c r="N1425" s="69"/>
      <c r="O1425" s="69" t="s">
        <v>1436</v>
      </c>
      <c r="P1425" s="78"/>
      <c r="Q1425" s="96"/>
      <c r="R1425" s="97"/>
      <c r="S1425" s="98"/>
    </row>
    <row r="1426" spans="1:19" ht="42.75">
      <c r="A1426" s="90" t="s">
        <v>50</v>
      </c>
      <c r="B1426" s="91" t="s">
        <v>295</v>
      </c>
      <c r="C1426" s="91" t="s">
        <v>3161</v>
      </c>
      <c r="D1426" s="90">
        <v>1664</v>
      </c>
      <c r="E1426" s="90">
        <v>1823</v>
      </c>
      <c r="F1426" s="90" t="s">
        <v>1454</v>
      </c>
      <c r="G1426" s="90"/>
      <c r="H1426" s="93"/>
      <c r="I1426" s="93"/>
      <c r="J1426" s="93"/>
      <c r="K1426" s="95"/>
      <c r="L1426" s="69"/>
      <c r="M1426" s="69"/>
      <c r="N1426" s="69"/>
      <c r="O1426" s="69"/>
      <c r="P1426" s="78"/>
      <c r="Q1426" s="96"/>
      <c r="R1426" s="97"/>
      <c r="S1426" s="98"/>
    </row>
    <row r="1427" spans="1:19" ht="42.75">
      <c r="A1427" s="90" t="s">
        <v>50</v>
      </c>
      <c r="B1427" s="91" t="s">
        <v>295</v>
      </c>
      <c r="C1427" s="91" t="s">
        <v>520</v>
      </c>
      <c r="D1427" s="90">
        <v>4967</v>
      </c>
      <c r="E1427" s="90">
        <v>5239</v>
      </c>
      <c r="F1427" s="90" t="s">
        <v>1454</v>
      </c>
      <c r="G1427" s="90"/>
      <c r="H1427" s="93"/>
      <c r="I1427" s="93"/>
      <c r="J1427" s="93"/>
      <c r="K1427" s="95"/>
      <c r="L1427" s="69"/>
      <c r="M1427" s="69"/>
      <c r="N1427" s="69"/>
      <c r="O1427" s="69"/>
      <c r="P1427" s="78"/>
      <c r="Q1427" s="96"/>
      <c r="R1427" s="97"/>
      <c r="S1427" s="98"/>
    </row>
    <row r="1428" spans="1:19" ht="42.75">
      <c r="A1428" s="90" t="s">
        <v>50</v>
      </c>
      <c r="B1428" s="91" t="s">
        <v>295</v>
      </c>
      <c r="C1428" s="91" t="s">
        <v>881</v>
      </c>
      <c r="D1428" s="90">
        <v>1578</v>
      </c>
      <c r="E1428" s="90">
        <v>1660</v>
      </c>
      <c r="F1428" s="90" t="s">
        <v>1454</v>
      </c>
      <c r="G1428" s="90"/>
      <c r="H1428" s="93"/>
      <c r="I1428" s="93"/>
      <c r="J1428" s="93"/>
      <c r="K1428" s="95"/>
      <c r="L1428" s="69"/>
      <c r="M1428" s="69"/>
      <c r="N1428" s="69"/>
      <c r="O1428" s="69"/>
      <c r="P1428" s="78"/>
      <c r="Q1428" s="96"/>
      <c r="R1428" s="97"/>
      <c r="S1428" s="98"/>
    </row>
    <row r="1429" spans="1:19" ht="42.75">
      <c r="A1429" s="90" t="s">
        <v>50</v>
      </c>
      <c r="B1429" s="91" t="s">
        <v>295</v>
      </c>
      <c r="C1429" s="91" t="s">
        <v>2234</v>
      </c>
      <c r="D1429" s="90">
        <v>1980</v>
      </c>
      <c r="E1429" s="90">
        <v>1925</v>
      </c>
      <c r="F1429" s="90" t="s">
        <v>1454</v>
      </c>
      <c r="G1429" s="90"/>
      <c r="H1429" s="93"/>
      <c r="I1429" s="93"/>
      <c r="J1429" s="93"/>
      <c r="K1429" s="95"/>
      <c r="L1429" s="69"/>
      <c r="M1429" s="69"/>
      <c r="N1429" s="69"/>
      <c r="O1429" s="69"/>
      <c r="P1429" s="78"/>
      <c r="Q1429" s="96"/>
      <c r="R1429" s="97"/>
      <c r="S1429" s="98"/>
    </row>
    <row r="1430" spans="1:19" ht="42.75">
      <c r="A1430" s="90" t="s">
        <v>50</v>
      </c>
      <c r="B1430" s="91" t="s">
        <v>295</v>
      </c>
      <c r="C1430" s="91" t="s">
        <v>526</v>
      </c>
      <c r="D1430" s="90">
        <v>651</v>
      </c>
      <c r="E1430" s="90">
        <v>713</v>
      </c>
      <c r="F1430" s="90" t="s">
        <v>1454</v>
      </c>
      <c r="G1430" s="90"/>
      <c r="H1430" s="93"/>
      <c r="I1430" s="93"/>
      <c r="J1430" s="93"/>
      <c r="K1430" s="95"/>
      <c r="L1430" s="69"/>
      <c r="M1430" s="69"/>
      <c r="N1430" s="69"/>
      <c r="O1430" s="69"/>
      <c r="P1430" s="78"/>
      <c r="Q1430" s="96"/>
      <c r="R1430" s="97"/>
      <c r="S1430" s="98"/>
    </row>
    <row r="1431" spans="1:19" ht="42.75">
      <c r="A1431" s="90" t="s">
        <v>50</v>
      </c>
      <c r="B1431" s="91" t="s">
        <v>3162</v>
      </c>
      <c r="C1431" s="91" t="s">
        <v>2777</v>
      </c>
      <c r="D1431" s="90">
        <v>2033</v>
      </c>
      <c r="E1431" s="90">
        <v>2031</v>
      </c>
      <c r="F1431" s="90" t="s">
        <v>1454</v>
      </c>
      <c r="G1431" s="90"/>
      <c r="H1431" s="93"/>
      <c r="I1431" s="93"/>
      <c r="J1431" s="122"/>
      <c r="K1431" s="95"/>
      <c r="L1431" s="69"/>
      <c r="M1431" s="69"/>
      <c r="N1431" s="69"/>
      <c r="O1431" s="69"/>
      <c r="P1431" s="78"/>
      <c r="Q1431" s="96"/>
      <c r="R1431" s="97"/>
      <c r="S1431" s="98"/>
    </row>
    <row r="1432" spans="1:19" ht="42.75">
      <c r="A1432" s="90" t="s">
        <v>50</v>
      </c>
      <c r="B1432" s="91" t="s">
        <v>3162</v>
      </c>
      <c r="C1432" s="91" t="s">
        <v>2976</v>
      </c>
      <c r="D1432" s="90">
        <v>2039</v>
      </c>
      <c r="E1432" s="90">
        <v>1865</v>
      </c>
      <c r="F1432" s="90" t="s">
        <v>1434</v>
      </c>
      <c r="G1432" s="90">
        <v>2024</v>
      </c>
      <c r="H1432" s="101">
        <v>45603</v>
      </c>
      <c r="I1432" s="147">
        <v>45607</v>
      </c>
      <c r="J1432" s="107" t="s">
        <v>3163</v>
      </c>
      <c r="K1432" s="119">
        <v>45612</v>
      </c>
      <c r="L1432" s="69" t="s">
        <v>84</v>
      </c>
      <c r="M1432" s="69" t="s">
        <v>4</v>
      </c>
      <c r="N1432" s="69" t="s">
        <v>101</v>
      </c>
      <c r="O1432" s="69" t="s">
        <v>1436</v>
      </c>
      <c r="P1432" s="78"/>
      <c r="Q1432" s="96">
        <v>45614</v>
      </c>
      <c r="R1432" s="97" t="s">
        <v>929</v>
      </c>
      <c r="S1432" s="98"/>
    </row>
    <row r="1433" spans="1:19" ht="42.75">
      <c r="A1433" s="90" t="s">
        <v>50</v>
      </c>
      <c r="B1433" s="91" t="s">
        <v>3162</v>
      </c>
      <c r="C1433" s="91" t="s">
        <v>2750</v>
      </c>
      <c r="D1433" s="90">
        <v>10345</v>
      </c>
      <c r="E1433" s="90">
        <v>11104</v>
      </c>
      <c r="F1433" s="90" t="s">
        <v>1454</v>
      </c>
      <c r="G1433" s="90"/>
      <c r="H1433" s="93"/>
      <c r="I1433" s="93"/>
      <c r="J1433" s="93"/>
      <c r="K1433" s="95"/>
      <c r="L1433" s="69"/>
      <c r="M1433" s="69"/>
      <c r="N1433" s="69"/>
      <c r="O1433" s="69"/>
      <c r="P1433" s="78"/>
      <c r="Q1433" s="96"/>
      <c r="R1433" s="97"/>
      <c r="S1433" s="98"/>
    </row>
    <row r="1434" spans="1:19" ht="42.75">
      <c r="A1434" s="90" t="s">
        <v>50</v>
      </c>
      <c r="B1434" s="91" t="s">
        <v>3162</v>
      </c>
      <c r="C1434" s="91" t="s">
        <v>3164</v>
      </c>
      <c r="D1434" s="90">
        <v>2793</v>
      </c>
      <c r="E1434" s="90">
        <v>2868</v>
      </c>
      <c r="F1434" s="90" t="s">
        <v>1434</v>
      </c>
      <c r="G1434" s="90">
        <v>2024</v>
      </c>
      <c r="H1434" s="101">
        <v>45321</v>
      </c>
      <c r="I1434" s="101">
        <v>45321</v>
      </c>
      <c r="J1434" s="94" t="s">
        <v>3165</v>
      </c>
      <c r="K1434" s="95"/>
      <c r="L1434" s="69" t="s">
        <v>75</v>
      </c>
      <c r="M1434" s="69"/>
      <c r="N1434" s="69"/>
      <c r="O1434" s="69" t="s">
        <v>1436</v>
      </c>
      <c r="P1434" s="78"/>
      <c r="Q1434" s="96"/>
      <c r="R1434" s="97"/>
      <c r="S1434" s="98"/>
    </row>
    <row r="1435" spans="1:19" ht="42.75">
      <c r="A1435" s="90" t="s">
        <v>50</v>
      </c>
      <c r="B1435" s="91" t="s">
        <v>3162</v>
      </c>
      <c r="C1435" s="91" t="s">
        <v>3166</v>
      </c>
      <c r="D1435" s="90">
        <v>1264</v>
      </c>
      <c r="E1435" s="90">
        <v>1259</v>
      </c>
      <c r="F1435" s="90" t="s">
        <v>1454</v>
      </c>
      <c r="G1435" s="90"/>
      <c r="H1435" s="93"/>
      <c r="I1435" s="93"/>
      <c r="J1435" s="93"/>
      <c r="K1435" s="95"/>
      <c r="L1435" s="69"/>
      <c r="M1435" s="69"/>
      <c r="N1435" s="69"/>
      <c r="O1435" s="69"/>
      <c r="P1435" s="78"/>
      <c r="Q1435" s="96"/>
      <c r="R1435" s="97"/>
      <c r="S1435" s="98"/>
    </row>
    <row r="1436" spans="1:19" ht="42.75">
      <c r="A1436" s="90" t="s">
        <v>50</v>
      </c>
      <c r="B1436" s="91" t="s">
        <v>3162</v>
      </c>
      <c r="C1436" s="91" t="s">
        <v>3167</v>
      </c>
      <c r="D1436" s="90">
        <v>1080</v>
      </c>
      <c r="E1436" s="90">
        <v>1170</v>
      </c>
      <c r="F1436" s="90" t="s">
        <v>1454</v>
      </c>
      <c r="G1436" s="90"/>
      <c r="H1436" s="93"/>
      <c r="I1436" s="93"/>
      <c r="J1436" s="93"/>
      <c r="K1436" s="95"/>
      <c r="L1436" s="69"/>
      <c r="M1436" s="69"/>
      <c r="N1436" s="69"/>
      <c r="O1436" s="69"/>
      <c r="P1436" s="78"/>
      <c r="Q1436" s="96"/>
      <c r="R1436" s="97"/>
      <c r="S1436" s="98"/>
    </row>
    <row r="1437" spans="1:19" ht="42.75">
      <c r="A1437" s="90" t="s">
        <v>50</v>
      </c>
      <c r="B1437" s="91" t="s">
        <v>3162</v>
      </c>
      <c r="C1437" s="91" t="s">
        <v>3168</v>
      </c>
      <c r="D1437" s="90">
        <v>968</v>
      </c>
      <c r="E1437" s="90">
        <v>1009</v>
      </c>
      <c r="F1437" s="90" t="s">
        <v>1454</v>
      </c>
      <c r="G1437" s="90"/>
      <c r="H1437" s="93"/>
      <c r="I1437" s="93"/>
      <c r="J1437" s="93"/>
      <c r="K1437" s="95"/>
      <c r="L1437" s="69"/>
      <c r="M1437" s="69"/>
      <c r="N1437" s="69"/>
      <c r="O1437" s="69"/>
      <c r="P1437" s="78"/>
      <c r="Q1437" s="96"/>
      <c r="R1437" s="97"/>
      <c r="S1437" s="98"/>
    </row>
    <row r="1438" spans="1:19" ht="42.75">
      <c r="A1438" s="90" t="s">
        <v>50</v>
      </c>
      <c r="B1438" s="91" t="s">
        <v>3162</v>
      </c>
      <c r="C1438" s="91" t="s">
        <v>3169</v>
      </c>
      <c r="D1438" s="90">
        <v>3200</v>
      </c>
      <c r="E1438" s="90">
        <v>3783</v>
      </c>
      <c r="F1438" s="90" t="s">
        <v>1454</v>
      </c>
      <c r="G1438" s="90"/>
      <c r="H1438" s="93"/>
      <c r="I1438" s="93"/>
      <c r="J1438" s="93"/>
      <c r="K1438" s="95"/>
      <c r="L1438" s="69"/>
      <c r="M1438" s="69"/>
      <c r="N1438" s="69"/>
      <c r="O1438" s="69"/>
      <c r="P1438" s="78"/>
      <c r="Q1438" s="96"/>
      <c r="R1438" s="97"/>
      <c r="S1438" s="98"/>
    </row>
    <row r="1439" spans="1:19" ht="42.75">
      <c r="A1439" s="90" t="s">
        <v>50</v>
      </c>
      <c r="B1439" s="91" t="s">
        <v>3162</v>
      </c>
      <c r="C1439" s="91" t="s">
        <v>2755</v>
      </c>
      <c r="D1439" s="90">
        <v>1201</v>
      </c>
      <c r="E1439" s="90">
        <v>1305</v>
      </c>
      <c r="F1439" s="90" t="s">
        <v>1454</v>
      </c>
      <c r="G1439" s="90"/>
      <c r="H1439" s="93"/>
      <c r="I1439" s="93"/>
      <c r="J1439" s="122"/>
      <c r="K1439" s="95"/>
      <c r="L1439" s="69"/>
      <c r="M1439" s="69"/>
      <c r="N1439" s="69"/>
      <c r="O1439" s="69"/>
      <c r="P1439" s="78"/>
      <c r="Q1439" s="96"/>
      <c r="R1439" s="97"/>
      <c r="S1439" s="98"/>
    </row>
    <row r="1440" spans="1:19" ht="42.75">
      <c r="A1440" s="90" t="s">
        <v>50</v>
      </c>
      <c r="B1440" s="91" t="s">
        <v>3162</v>
      </c>
      <c r="C1440" s="91" t="s">
        <v>1053</v>
      </c>
      <c r="D1440" s="90">
        <v>2650</v>
      </c>
      <c r="E1440" s="90">
        <v>2822</v>
      </c>
      <c r="F1440" s="90" t="s">
        <v>1434</v>
      </c>
      <c r="G1440" s="90">
        <v>2024</v>
      </c>
      <c r="H1440" s="101">
        <v>45603</v>
      </c>
      <c r="I1440" s="147">
        <v>45607</v>
      </c>
      <c r="J1440" s="107" t="s">
        <v>3170</v>
      </c>
      <c r="K1440" s="119">
        <v>45612</v>
      </c>
      <c r="L1440" s="69" t="s">
        <v>84</v>
      </c>
      <c r="M1440" s="69" t="s">
        <v>4</v>
      </c>
      <c r="N1440" s="69" t="s">
        <v>101</v>
      </c>
      <c r="O1440" s="69" t="s">
        <v>1436</v>
      </c>
      <c r="P1440" s="78"/>
      <c r="Q1440" s="96">
        <v>45614</v>
      </c>
      <c r="R1440" s="97" t="s">
        <v>929</v>
      </c>
      <c r="S1440" s="98"/>
    </row>
    <row r="1441" spans="1:19" ht="42.75">
      <c r="A1441" s="90" t="s">
        <v>50</v>
      </c>
      <c r="B1441" s="91" t="s">
        <v>3162</v>
      </c>
      <c r="C1441" s="91" t="s">
        <v>386</v>
      </c>
      <c r="D1441" s="90">
        <v>2118</v>
      </c>
      <c r="E1441" s="90">
        <v>2309</v>
      </c>
      <c r="F1441" s="90" t="s">
        <v>1454</v>
      </c>
      <c r="G1441" s="90"/>
      <c r="H1441" s="93"/>
      <c r="I1441" s="93"/>
      <c r="J1441" s="93"/>
      <c r="K1441" s="95"/>
      <c r="L1441" s="69"/>
      <c r="M1441" s="69"/>
      <c r="N1441" s="69"/>
      <c r="O1441" s="69"/>
      <c r="P1441" s="78"/>
      <c r="Q1441" s="96"/>
      <c r="R1441" s="97"/>
      <c r="S1441" s="98"/>
    </row>
    <row r="1442" spans="1:19" ht="42.75">
      <c r="A1442" s="90" t="s">
        <v>50</v>
      </c>
      <c r="B1442" s="91" t="s">
        <v>3162</v>
      </c>
      <c r="C1442" s="91" t="s">
        <v>3171</v>
      </c>
      <c r="D1442" s="90">
        <v>940</v>
      </c>
      <c r="E1442" s="90">
        <v>1064</v>
      </c>
      <c r="F1442" s="90" t="s">
        <v>1454</v>
      </c>
      <c r="G1442" s="90"/>
      <c r="H1442" s="93"/>
      <c r="I1442" s="93"/>
      <c r="J1442" s="93"/>
      <c r="K1442" s="95"/>
      <c r="L1442" s="69"/>
      <c r="M1442" s="69"/>
      <c r="N1442" s="69"/>
      <c r="O1442" s="69"/>
      <c r="P1442" s="78"/>
      <c r="Q1442" s="96"/>
      <c r="R1442" s="97"/>
      <c r="S1442" s="98"/>
    </row>
    <row r="1443" spans="1:19" ht="42.75">
      <c r="A1443" s="90" t="s">
        <v>50</v>
      </c>
      <c r="B1443" s="91" t="s">
        <v>3162</v>
      </c>
      <c r="C1443" s="91" t="s">
        <v>3172</v>
      </c>
      <c r="D1443" s="90">
        <v>1613</v>
      </c>
      <c r="E1443" s="90">
        <v>1521</v>
      </c>
      <c r="F1443" s="90" t="s">
        <v>1454</v>
      </c>
      <c r="G1443" s="90"/>
      <c r="H1443" s="93"/>
      <c r="I1443" s="93"/>
      <c r="J1443" s="93"/>
      <c r="K1443" s="95"/>
      <c r="L1443" s="69"/>
      <c r="M1443" s="69"/>
      <c r="N1443" s="69"/>
      <c r="O1443" s="69"/>
      <c r="P1443" s="78"/>
      <c r="Q1443" s="96"/>
      <c r="R1443" s="97"/>
      <c r="S1443" s="98"/>
    </row>
    <row r="1444" spans="1:19" ht="42.75">
      <c r="A1444" s="90" t="s">
        <v>50</v>
      </c>
      <c r="B1444" s="91" t="s">
        <v>3162</v>
      </c>
      <c r="C1444" s="91" t="s">
        <v>3173</v>
      </c>
      <c r="D1444" s="90">
        <v>2985</v>
      </c>
      <c r="E1444" s="90">
        <v>3151</v>
      </c>
      <c r="F1444" s="90" t="s">
        <v>1434</v>
      </c>
      <c r="G1444" s="90">
        <v>2024</v>
      </c>
      <c r="H1444" s="101">
        <v>45541</v>
      </c>
      <c r="I1444" s="101">
        <v>45551</v>
      </c>
      <c r="J1444" s="94" t="s">
        <v>3174</v>
      </c>
      <c r="K1444" s="100">
        <v>45552</v>
      </c>
      <c r="L1444" s="69" t="s">
        <v>3175</v>
      </c>
      <c r="M1444" s="69" t="s">
        <v>672</v>
      </c>
      <c r="N1444" s="69" t="s">
        <v>685</v>
      </c>
      <c r="O1444" s="69" t="s">
        <v>1436</v>
      </c>
      <c r="P1444" s="78"/>
      <c r="Q1444" s="96">
        <v>45553</v>
      </c>
      <c r="R1444" s="97" t="s">
        <v>3147</v>
      </c>
      <c r="S1444" s="98"/>
    </row>
    <row r="1445" spans="1:19" ht="42.75">
      <c r="A1445" s="90" t="s">
        <v>50</v>
      </c>
      <c r="B1445" s="91" t="s">
        <v>3162</v>
      </c>
      <c r="C1445" s="91" t="s">
        <v>3176</v>
      </c>
      <c r="D1445" s="90">
        <v>1688</v>
      </c>
      <c r="E1445" s="90">
        <v>1819</v>
      </c>
      <c r="F1445" s="90" t="s">
        <v>1454</v>
      </c>
      <c r="G1445" s="90"/>
      <c r="H1445" s="93"/>
      <c r="I1445" s="93"/>
      <c r="J1445" s="93"/>
      <c r="K1445" s="95"/>
      <c r="L1445" s="69"/>
      <c r="M1445" s="69"/>
      <c r="N1445" s="69"/>
      <c r="O1445" s="69"/>
      <c r="P1445" s="78"/>
      <c r="Q1445" s="96"/>
      <c r="R1445" s="97"/>
      <c r="S1445" s="98"/>
    </row>
    <row r="1446" spans="1:19" ht="42.75">
      <c r="A1446" s="90" t="s">
        <v>50</v>
      </c>
      <c r="B1446" s="91" t="s">
        <v>3162</v>
      </c>
      <c r="C1446" s="91" t="s">
        <v>3177</v>
      </c>
      <c r="D1446" s="90">
        <v>2205</v>
      </c>
      <c r="E1446" s="90">
        <v>2452</v>
      </c>
      <c r="F1446" s="90" t="s">
        <v>1454</v>
      </c>
      <c r="G1446" s="90"/>
      <c r="H1446" s="93"/>
      <c r="I1446" s="93"/>
      <c r="J1446" s="93"/>
      <c r="K1446" s="95"/>
      <c r="L1446" s="69"/>
      <c r="M1446" s="69"/>
      <c r="N1446" s="69"/>
      <c r="O1446" s="69"/>
      <c r="P1446" s="78"/>
      <c r="Q1446" s="96"/>
      <c r="R1446" s="97"/>
      <c r="S1446" s="98"/>
    </row>
    <row r="1447" spans="1:19" ht="42.75">
      <c r="A1447" s="90" t="s">
        <v>50</v>
      </c>
      <c r="B1447" s="91" t="s">
        <v>3162</v>
      </c>
      <c r="C1447" s="91" t="s">
        <v>1059</v>
      </c>
      <c r="D1447" s="90">
        <v>4643</v>
      </c>
      <c r="E1447" s="90">
        <v>4656</v>
      </c>
      <c r="F1447" s="90" t="s">
        <v>1454</v>
      </c>
      <c r="G1447" s="90">
        <v>2025</v>
      </c>
      <c r="H1447" s="93"/>
      <c r="I1447" s="93"/>
      <c r="J1447" s="93"/>
      <c r="K1447" s="95"/>
      <c r="L1447" s="69" t="s">
        <v>74</v>
      </c>
      <c r="M1447" s="69"/>
      <c r="N1447" s="69"/>
      <c r="O1447" s="69"/>
      <c r="P1447" s="78"/>
      <c r="Q1447" s="96"/>
      <c r="R1447" s="97"/>
      <c r="S1447" s="98"/>
    </row>
    <row r="1448" spans="1:19" ht="42.75">
      <c r="A1448" s="90" t="s">
        <v>50</v>
      </c>
      <c r="B1448" s="91" t="s">
        <v>3162</v>
      </c>
      <c r="C1448" s="91" t="s">
        <v>3154</v>
      </c>
      <c r="D1448" s="90">
        <v>575</v>
      </c>
      <c r="E1448" s="90">
        <v>627</v>
      </c>
      <c r="F1448" s="90" t="s">
        <v>1454</v>
      </c>
      <c r="G1448" s="90"/>
      <c r="H1448" s="93"/>
      <c r="I1448" s="93"/>
      <c r="J1448" s="93"/>
      <c r="K1448" s="95"/>
      <c r="L1448" s="69"/>
      <c r="M1448" s="69"/>
      <c r="N1448" s="69"/>
      <c r="O1448" s="69"/>
      <c r="P1448" s="78"/>
      <c r="Q1448" s="96"/>
      <c r="R1448" s="97"/>
      <c r="S1448" s="98"/>
    </row>
    <row r="1449" spans="1:19" ht="42.75">
      <c r="A1449" s="90" t="s">
        <v>50</v>
      </c>
      <c r="B1449" s="91" t="s">
        <v>3162</v>
      </c>
      <c r="C1449" s="91" t="s">
        <v>3178</v>
      </c>
      <c r="D1449" s="90">
        <v>2935</v>
      </c>
      <c r="E1449" s="90">
        <v>2458</v>
      </c>
      <c r="F1449" s="90" t="s">
        <v>1454</v>
      </c>
      <c r="G1449" s="90"/>
      <c r="H1449" s="93"/>
      <c r="I1449" s="93"/>
      <c r="J1449" s="93"/>
      <c r="K1449" s="95"/>
      <c r="L1449" s="69"/>
      <c r="M1449" s="69"/>
      <c r="N1449" s="69"/>
      <c r="O1449" s="69"/>
      <c r="P1449" s="78"/>
      <c r="Q1449" s="96"/>
      <c r="R1449" s="97"/>
      <c r="S1449" s="98"/>
    </row>
    <row r="1450" spans="1:19" ht="42.75">
      <c r="A1450" s="90" t="s">
        <v>50</v>
      </c>
      <c r="B1450" s="91" t="s">
        <v>3162</v>
      </c>
      <c r="C1450" s="91" t="s">
        <v>3179</v>
      </c>
      <c r="D1450" s="90">
        <v>972</v>
      </c>
      <c r="E1450" s="90">
        <v>1093</v>
      </c>
      <c r="F1450" s="90" t="s">
        <v>1454</v>
      </c>
      <c r="G1450" s="90"/>
      <c r="H1450" s="93"/>
      <c r="I1450" s="93"/>
      <c r="J1450" s="93"/>
      <c r="K1450" s="95"/>
      <c r="L1450" s="69"/>
      <c r="M1450" s="69"/>
      <c r="N1450" s="69"/>
      <c r="O1450" s="69"/>
      <c r="P1450" s="78"/>
      <c r="Q1450" s="96"/>
      <c r="R1450" s="97"/>
      <c r="S1450" s="98"/>
    </row>
    <row r="1451" spans="1:19" ht="42.75">
      <c r="A1451" s="90" t="s">
        <v>50</v>
      </c>
      <c r="B1451" s="91" t="s">
        <v>3162</v>
      </c>
      <c r="C1451" s="91" t="s">
        <v>3053</v>
      </c>
      <c r="D1451" s="90">
        <v>586</v>
      </c>
      <c r="E1451" s="90">
        <v>584</v>
      </c>
      <c r="F1451" s="90" t="s">
        <v>1454</v>
      </c>
      <c r="G1451" s="90"/>
      <c r="H1451" s="93"/>
      <c r="I1451" s="93"/>
      <c r="J1451" s="93"/>
      <c r="K1451" s="95"/>
      <c r="L1451" s="69"/>
      <c r="M1451" s="69"/>
      <c r="N1451" s="69"/>
      <c r="O1451" s="69"/>
      <c r="P1451" s="78"/>
      <c r="Q1451" s="96"/>
      <c r="R1451" s="97"/>
      <c r="S1451" s="98"/>
    </row>
    <row r="1452" spans="1:19" ht="42.75">
      <c r="A1452" s="90" t="s">
        <v>50</v>
      </c>
      <c r="B1452" s="91" t="s">
        <v>3162</v>
      </c>
      <c r="C1452" s="91" t="s">
        <v>3180</v>
      </c>
      <c r="D1452" s="90">
        <v>2777</v>
      </c>
      <c r="E1452" s="90">
        <v>2987</v>
      </c>
      <c r="F1452" s="90" t="s">
        <v>1454</v>
      </c>
      <c r="G1452" s="90"/>
      <c r="H1452" s="93"/>
      <c r="I1452" s="93"/>
      <c r="J1452" s="93"/>
      <c r="K1452" s="95"/>
      <c r="L1452" s="69"/>
      <c r="M1452" s="69"/>
      <c r="N1452" s="69"/>
      <c r="O1452" s="69"/>
      <c r="P1452" s="78"/>
      <c r="Q1452" s="96"/>
      <c r="R1452" s="97"/>
      <c r="S1452" s="98"/>
    </row>
    <row r="1453" spans="1:19" ht="42.75">
      <c r="A1453" s="90" t="s">
        <v>50</v>
      </c>
      <c r="B1453" s="91" t="s">
        <v>3162</v>
      </c>
      <c r="C1453" s="91" t="s">
        <v>3181</v>
      </c>
      <c r="D1453" s="90">
        <v>963</v>
      </c>
      <c r="E1453" s="90">
        <v>990</v>
      </c>
      <c r="F1453" s="90" t="s">
        <v>1454</v>
      </c>
      <c r="G1453" s="90"/>
      <c r="H1453" s="93"/>
      <c r="I1453" s="93"/>
      <c r="J1453" s="122"/>
      <c r="K1453" s="95"/>
      <c r="L1453" s="69"/>
      <c r="M1453" s="69"/>
      <c r="N1453" s="69"/>
      <c r="O1453" s="69"/>
      <c r="P1453" s="78"/>
      <c r="Q1453" s="96"/>
      <c r="R1453" s="97"/>
      <c r="S1453" s="98"/>
    </row>
    <row r="1454" spans="1:19" ht="42.75">
      <c r="A1454" s="90" t="s">
        <v>50</v>
      </c>
      <c r="B1454" s="91" t="s">
        <v>3162</v>
      </c>
      <c r="C1454" s="91" t="s">
        <v>728</v>
      </c>
      <c r="D1454" s="90">
        <v>2080</v>
      </c>
      <c r="E1454" s="90">
        <v>2006</v>
      </c>
      <c r="F1454" s="90" t="s">
        <v>1434</v>
      </c>
      <c r="G1454" s="90">
        <v>2024</v>
      </c>
      <c r="H1454" s="101">
        <v>45603</v>
      </c>
      <c r="I1454" s="147">
        <v>45607</v>
      </c>
      <c r="J1454" s="107" t="s">
        <v>3182</v>
      </c>
      <c r="K1454" s="119">
        <v>45612</v>
      </c>
      <c r="L1454" s="69" t="s">
        <v>84</v>
      </c>
      <c r="M1454" s="69" t="s">
        <v>4</v>
      </c>
      <c r="N1454" s="69" t="s">
        <v>101</v>
      </c>
      <c r="O1454" s="69" t="s">
        <v>1436</v>
      </c>
      <c r="P1454" s="78"/>
      <c r="Q1454" s="96">
        <v>45614</v>
      </c>
      <c r="R1454" s="97" t="s">
        <v>929</v>
      </c>
      <c r="S1454" s="98"/>
    </row>
    <row r="1455" spans="1:19" ht="42.75">
      <c r="A1455" s="90" t="s">
        <v>50</v>
      </c>
      <c r="B1455" s="91" t="s">
        <v>3162</v>
      </c>
      <c r="C1455" s="91" t="s">
        <v>3157</v>
      </c>
      <c r="D1455" s="90">
        <v>2758</v>
      </c>
      <c r="E1455" s="90">
        <v>2707</v>
      </c>
      <c r="F1455" s="90" t="s">
        <v>1454</v>
      </c>
      <c r="G1455" s="90"/>
      <c r="H1455" s="93"/>
      <c r="I1455" s="93"/>
      <c r="J1455" s="122"/>
      <c r="K1455" s="95"/>
      <c r="L1455" s="69"/>
      <c r="M1455" s="69"/>
      <c r="N1455" s="69"/>
      <c r="O1455" s="69"/>
      <c r="P1455" s="78"/>
      <c r="Q1455" s="96"/>
      <c r="R1455" s="97"/>
      <c r="S1455" s="98"/>
    </row>
    <row r="1456" spans="1:19" ht="42.75">
      <c r="A1456" s="90" t="s">
        <v>50</v>
      </c>
      <c r="B1456" s="91" t="s">
        <v>3162</v>
      </c>
      <c r="C1456" s="91" t="s">
        <v>1091</v>
      </c>
      <c r="D1456" s="90">
        <v>2350</v>
      </c>
      <c r="E1456" s="90">
        <v>1790</v>
      </c>
      <c r="F1456" s="90" t="s">
        <v>1434</v>
      </c>
      <c r="G1456" s="90">
        <v>2024</v>
      </c>
      <c r="H1456" s="101">
        <v>45603</v>
      </c>
      <c r="I1456" s="147">
        <v>45607</v>
      </c>
      <c r="J1456" s="107" t="s">
        <v>3183</v>
      </c>
      <c r="K1456" s="119">
        <v>45612</v>
      </c>
      <c r="L1456" s="69" t="s">
        <v>84</v>
      </c>
      <c r="M1456" s="69" t="s">
        <v>4</v>
      </c>
      <c r="N1456" s="69" t="s">
        <v>101</v>
      </c>
      <c r="O1456" s="69" t="s">
        <v>1436</v>
      </c>
      <c r="P1456" s="78"/>
      <c r="Q1456" s="96">
        <v>45614</v>
      </c>
      <c r="R1456" s="97" t="s">
        <v>929</v>
      </c>
      <c r="S1456" s="98"/>
    </row>
    <row r="1457" spans="1:19" ht="42.75">
      <c r="A1457" s="90" t="s">
        <v>50</v>
      </c>
      <c r="B1457" s="91" t="s">
        <v>3162</v>
      </c>
      <c r="C1457" s="91" t="s">
        <v>3013</v>
      </c>
      <c r="D1457" s="90">
        <v>4085</v>
      </c>
      <c r="E1457" s="90">
        <v>3247</v>
      </c>
      <c r="F1457" s="90" t="s">
        <v>1454</v>
      </c>
      <c r="G1457" s="90"/>
      <c r="H1457" s="93"/>
      <c r="I1457" s="93"/>
      <c r="J1457" s="93"/>
      <c r="K1457" s="95"/>
      <c r="L1457" s="69"/>
      <c r="M1457" s="69"/>
      <c r="N1457" s="69"/>
      <c r="O1457" s="69"/>
      <c r="P1457" s="78"/>
      <c r="Q1457" s="96"/>
      <c r="R1457" s="97"/>
      <c r="S1457" s="98"/>
    </row>
    <row r="1458" spans="1:19" ht="42.75">
      <c r="A1458" s="90" t="s">
        <v>50</v>
      </c>
      <c r="B1458" s="91" t="s">
        <v>3162</v>
      </c>
      <c r="C1458" s="91" t="s">
        <v>3184</v>
      </c>
      <c r="D1458" s="90">
        <v>2139</v>
      </c>
      <c r="E1458" s="90">
        <v>2311</v>
      </c>
      <c r="F1458" s="90" t="s">
        <v>1454</v>
      </c>
      <c r="G1458" s="90"/>
      <c r="H1458" s="93"/>
      <c r="I1458" s="93"/>
      <c r="J1458" s="93"/>
      <c r="K1458" s="95"/>
      <c r="L1458" s="69"/>
      <c r="M1458" s="69"/>
      <c r="N1458" s="69"/>
      <c r="O1458" s="69"/>
      <c r="P1458" s="78"/>
      <c r="Q1458" s="96"/>
      <c r="R1458" s="97"/>
      <c r="S1458" s="98"/>
    </row>
    <row r="1459" spans="1:19" ht="42.75">
      <c r="A1459" s="90" t="s">
        <v>50</v>
      </c>
      <c r="B1459" s="91" t="s">
        <v>3162</v>
      </c>
      <c r="C1459" s="91" t="s">
        <v>444</v>
      </c>
      <c r="D1459" s="90">
        <v>1640</v>
      </c>
      <c r="E1459" s="90">
        <v>1751</v>
      </c>
      <c r="F1459" s="90" t="s">
        <v>1454</v>
      </c>
      <c r="G1459" s="90"/>
      <c r="H1459" s="93"/>
      <c r="I1459" s="93"/>
      <c r="J1459" s="93"/>
      <c r="K1459" s="95"/>
      <c r="L1459" s="69"/>
      <c r="M1459" s="69"/>
      <c r="N1459" s="69"/>
      <c r="O1459" s="69"/>
      <c r="P1459" s="78"/>
      <c r="Q1459" s="96"/>
      <c r="R1459" s="97"/>
      <c r="S1459" s="98"/>
    </row>
    <row r="1460" spans="1:19" ht="42.75">
      <c r="A1460" s="90" t="s">
        <v>50</v>
      </c>
      <c r="B1460" s="91" t="s">
        <v>3162</v>
      </c>
      <c r="C1460" s="91" t="s">
        <v>3062</v>
      </c>
      <c r="D1460" s="90">
        <v>1667</v>
      </c>
      <c r="E1460" s="90">
        <v>1798</v>
      </c>
      <c r="F1460" s="90" t="s">
        <v>1454</v>
      </c>
      <c r="G1460" s="90"/>
      <c r="H1460" s="93"/>
      <c r="I1460" s="93"/>
      <c r="J1460" s="93"/>
      <c r="K1460" s="95"/>
      <c r="L1460" s="69"/>
      <c r="M1460" s="69"/>
      <c r="N1460" s="69"/>
      <c r="O1460" s="69"/>
      <c r="P1460" s="78"/>
      <c r="Q1460" s="96"/>
      <c r="R1460" s="97"/>
      <c r="S1460" s="98"/>
    </row>
    <row r="1461" spans="1:19" ht="42.75">
      <c r="A1461" s="90" t="s">
        <v>50</v>
      </c>
      <c r="B1461" s="91" t="s">
        <v>3162</v>
      </c>
      <c r="C1461" s="91" t="s">
        <v>714</v>
      </c>
      <c r="D1461" s="90">
        <v>2166</v>
      </c>
      <c r="E1461" s="90">
        <v>2305</v>
      </c>
      <c r="F1461" s="90" t="s">
        <v>1454</v>
      </c>
      <c r="G1461" s="90"/>
      <c r="H1461" s="93"/>
      <c r="I1461" s="93"/>
      <c r="J1461" s="122"/>
      <c r="K1461" s="95"/>
      <c r="L1461" s="69"/>
      <c r="M1461" s="69"/>
      <c r="N1461" s="69"/>
      <c r="O1461" s="69"/>
      <c r="P1461" s="78"/>
      <c r="Q1461" s="96"/>
      <c r="R1461" s="97"/>
      <c r="S1461" s="98"/>
    </row>
    <row r="1462" spans="1:19" ht="42.75">
      <c r="A1462" s="90" t="s">
        <v>50</v>
      </c>
      <c r="B1462" s="91" t="s">
        <v>3162</v>
      </c>
      <c r="C1462" s="91" t="s">
        <v>550</v>
      </c>
      <c r="D1462" s="90">
        <v>1973</v>
      </c>
      <c r="E1462" s="90">
        <v>2020</v>
      </c>
      <c r="F1462" s="90" t="s">
        <v>1434</v>
      </c>
      <c r="G1462" s="90">
        <v>2024</v>
      </c>
      <c r="H1462" s="101">
        <v>45604</v>
      </c>
      <c r="I1462" s="147">
        <v>45607</v>
      </c>
      <c r="J1462" s="107" t="s">
        <v>3185</v>
      </c>
      <c r="K1462" s="119">
        <v>45612</v>
      </c>
      <c r="L1462" s="69" t="s">
        <v>84</v>
      </c>
      <c r="M1462" s="69" t="s">
        <v>4</v>
      </c>
      <c r="N1462" s="69" t="s">
        <v>101</v>
      </c>
      <c r="O1462" s="69" t="s">
        <v>1436</v>
      </c>
      <c r="P1462" s="78"/>
      <c r="Q1462" s="96">
        <v>45614</v>
      </c>
      <c r="R1462" s="97" t="s">
        <v>929</v>
      </c>
      <c r="S1462" s="98"/>
    </row>
    <row r="1463" spans="1:19" ht="42.75">
      <c r="A1463" s="90" t="s">
        <v>50</v>
      </c>
      <c r="B1463" s="91" t="s">
        <v>3162</v>
      </c>
      <c r="C1463" s="91" t="s">
        <v>3186</v>
      </c>
      <c r="D1463" s="90">
        <v>1483</v>
      </c>
      <c r="E1463" s="90">
        <v>1570</v>
      </c>
      <c r="F1463" s="90" t="s">
        <v>1454</v>
      </c>
      <c r="G1463" s="90"/>
      <c r="H1463" s="93"/>
      <c r="I1463" s="93"/>
      <c r="J1463" s="93"/>
      <c r="K1463" s="95"/>
      <c r="L1463" s="69"/>
      <c r="M1463" s="69"/>
      <c r="N1463" s="69"/>
      <c r="O1463" s="69"/>
      <c r="P1463" s="78"/>
      <c r="Q1463" s="96"/>
      <c r="R1463" s="97"/>
      <c r="S1463" s="98"/>
    </row>
    <row r="1464" spans="1:19" ht="42.75">
      <c r="A1464" s="90" t="s">
        <v>50</v>
      </c>
      <c r="B1464" s="91" t="s">
        <v>3162</v>
      </c>
      <c r="C1464" s="91" t="s">
        <v>3187</v>
      </c>
      <c r="D1464" s="90">
        <v>2811</v>
      </c>
      <c r="E1464" s="90">
        <v>2686</v>
      </c>
      <c r="F1464" s="90" t="s">
        <v>1454</v>
      </c>
      <c r="G1464" s="90"/>
      <c r="H1464" s="93"/>
      <c r="I1464" s="93"/>
      <c r="J1464" s="93"/>
      <c r="K1464" s="95"/>
      <c r="L1464" s="69"/>
      <c r="M1464" s="69"/>
      <c r="N1464" s="69"/>
      <c r="O1464" s="69"/>
      <c r="P1464" s="78"/>
      <c r="Q1464" s="96"/>
      <c r="R1464" s="97"/>
      <c r="S1464" s="98"/>
    </row>
    <row r="1465" spans="1:19" ht="42.75">
      <c r="A1465" s="90" t="s">
        <v>50</v>
      </c>
      <c r="B1465" s="91" t="s">
        <v>3162</v>
      </c>
      <c r="C1465" s="91" t="s">
        <v>3188</v>
      </c>
      <c r="D1465" s="90">
        <v>1301</v>
      </c>
      <c r="E1465" s="90">
        <v>2377</v>
      </c>
      <c r="F1465" s="90" t="s">
        <v>1454</v>
      </c>
      <c r="G1465" s="90"/>
      <c r="H1465" s="93"/>
      <c r="I1465" s="93"/>
      <c r="J1465" s="93"/>
      <c r="K1465" s="95"/>
      <c r="L1465" s="69"/>
      <c r="M1465" s="69"/>
      <c r="N1465" s="69"/>
      <c r="O1465" s="69"/>
      <c r="P1465" s="78"/>
      <c r="Q1465" s="96"/>
      <c r="R1465" s="97"/>
      <c r="S1465" s="98"/>
    </row>
    <row r="1466" spans="1:19" ht="42.75">
      <c r="A1466" s="90" t="s">
        <v>50</v>
      </c>
      <c r="B1466" s="91" t="s">
        <v>3162</v>
      </c>
      <c r="C1466" s="91" t="s">
        <v>3189</v>
      </c>
      <c r="D1466" s="90">
        <v>959</v>
      </c>
      <c r="E1466" s="90">
        <v>986</v>
      </c>
      <c r="F1466" s="90" t="s">
        <v>1454</v>
      </c>
      <c r="G1466" s="90"/>
      <c r="H1466" s="93"/>
      <c r="I1466" s="93"/>
      <c r="J1466" s="93"/>
      <c r="K1466" s="95"/>
      <c r="L1466" s="69"/>
      <c r="M1466" s="69"/>
      <c r="N1466" s="69"/>
      <c r="O1466" s="69"/>
      <c r="P1466" s="78"/>
      <c r="Q1466" s="96"/>
      <c r="R1466" s="97"/>
      <c r="S1466" s="98"/>
    </row>
    <row r="1467" spans="1:19" ht="42.75">
      <c r="A1467" s="90" t="s">
        <v>50</v>
      </c>
      <c r="B1467" s="91" t="s">
        <v>3162</v>
      </c>
      <c r="C1467" s="91" t="s">
        <v>3190</v>
      </c>
      <c r="D1467" s="90">
        <v>1498</v>
      </c>
      <c r="E1467" s="90">
        <v>1827</v>
      </c>
      <c r="F1467" s="90" t="s">
        <v>1454</v>
      </c>
      <c r="G1467" s="90"/>
      <c r="H1467" s="93"/>
      <c r="I1467" s="93"/>
      <c r="J1467" s="93"/>
      <c r="K1467" s="95"/>
      <c r="L1467" s="69"/>
      <c r="M1467" s="69"/>
      <c r="N1467" s="69"/>
      <c r="O1467" s="69"/>
      <c r="P1467" s="78"/>
      <c r="Q1467" s="96"/>
      <c r="R1467" s="97"/>
      <c r="S1467" s="98"/>
    </row>
    <row r="1468" spans="1:19" ht="42.75">
      <c r="A1468" s="90" t="s">
        <v>50</v>
      </c>
      <c r="B1468" s="91" t="s">
        <v>516</v>
      </c>
      <c r="C1468" s="91" t="s">
        <v>3191</v>
      </c>
      <c r="D1468" s="90">
        <v>377</v>
      </c>
      <c r="E1468" s="90">
        <v>123</v>
      </c>
      <c r="F1468" s="90" t="s">
        <v>1454</v>
      </c>
      <c r="G1468" s="90"/>
      <c r="H1468" s="93"/>
      <c r="I1468" s="93"/>
      <c r="J1468" s="93"/>
      <c r="K1468" s="95"/>
      <c r="L1468" s="69"/>
      <c r="M1468" s="69"/>
      <c r="N1468" s="69"/>
      <c r="O1468" s="69"/>
      <c r="P1468" s="78"/>
      <c r="Q1468" s="96"/>
      <c r="R1468" s="97"/>
      <c r="S1468" s="98"/>
    </row>
    <row r="1469" spans="1:19" ht="42.75">
      <c r="A1469" s="90" t="s">
        <v>50</v>
      </c>
      <c r="B1469" s="91" t="s">
        <v>516</v>
      </c>
      <c r="C1469" s="91" t="s">
        <v>3192</v>
      </c>
      <c r="D1469" s="90">
        <v>1573</v>
      </c>
      <c r="E1469" s="90">
        <v>1620</v>
      </c>
      <c r="F1469" s="90" t="s">
        <v>1454</v>
      </c>
      <c r="G1469" s="90"/>
      <c r="H1469" s="93"/>
      <c r="I1469" s="93"/>
      <c r="J1469" s="93"/>
      <c r="K1469" s="95"/>
      <c r="L1469" s="69"/>
      <c r="M1469" s="69"/>
      <c r="N1469" s="69"/>
      <c r="O1469" s="69"/>
      <c r="P1469" s="78"/>
      <c r="Q1469" s="96"/>
      <c r="R1469" s="97"/>
      <c r="S1469" s="98"/>
    </row>
    <row r="1470" spans="1:19" ht="42.75">
      <c r="A1470" s="90" t="s">
        <v>50</v>
      </c>
      <c r="B1470" s="91" t="s">
        <v>516</v>
      </c>
      <c r="C1470" s="91" t="s">
        <v>3193</v>
      </c>
      <c r="D1470" s="90">
        <v>1727</v>
      </c>
      <c r="E1470" s="90">
        <v>1707</v>
      </c>
      <c r="F1470" s="90" t="s">
        <v>1454</v>
      </c>
      <c r="G1470" s="90"/>
      <c r="H1470" s="93"/>
      <c r="I1470" s="93"/>
      <c r="J1470" s="93"/>
      <c r="K1470" s="95"/>
      <c r="L1470" s="69"/>
      <c r="M1470" s="69"/>
      <c r="N1470" s="69"/>
      <c r="O1470" s="69"/>
      <c r="P1470" s="78"/>
      <c r="Q1470" s="96"/>
      <c r="R1470" s="97"/>
      <c r="S1470" s="98"/>
    </row>
    <row r="1471" spans="1:19" ht="42.75">
      <c r="A1471" s="90" t="s">
        <v>50</v>
      </c>
      <c r="B1471" s="91" t="s">
        <v>516</v>
      </c>
      <c r="C1471" s="91" t="s">
        <v>3194</v>
      </c>
      <c r="D1471" s="90">
        <v>400</v>
      </c>
      <c r="E1471" s="90">
        <v>391</v>
      </c>
      <c r="F1471" s="90" t="s">
        <v>1454</v>
      </c>
      <c r="G1471" s="90"/>
      <c r="H1471" s="93"/>
      <c r="I1471" s="93"/>
      <c r="J1471" s="93"/>
      <c r="K1471" s="95"/>
      <c r="L1471" s="69"/>
      <c r="M1471" s="69"/>
      <c r="N1471" s="69"/>
      <c r="O1471" s="69"/>
      <c r="P1471" s="78"/>
      <c r="Q1471" s="96"/>
      <c r="R1471" s="97"/>
      <c r="S1471" s="98"/>
    </row>
    <row r="1472" spans="1:19" ht="42.75">
      <c r="A1472" s="90" t="s">
        <v>50</v>
      </c>
      <c r="B1472" s="91" t="s">
        <v>516</v>
      </c>
      <c r="C1472" s="91" t="s">
        <v>3195</v>
      </c>
      <c r="D1472" s="90">
        <v>896</v>
      </c>
      <c r="E1472" s="90">
        <v>957</v>
      </c>
      <c r="F1472" s="90" t="s">
        <v>1454</v>
      </c>
      <c r="G1472" s="90"/>
      <c r="H1472" s="93"/>
      <c r="I1472" s="93"/>
      <c r="J1472" s="93"/>
      <c r="K1472" s="95"/>
      <c r="L1472" s="69"/>
      <c r="M1472" s="69"/>
      <c r="N1472" s="69"/>
      <c r="O1472" s="69"/>
      <c r="P1472" s="78"/>
      <c r="Q1472" s="96"/>
      <c r="R1472" s="97"/>
      <c r="S1472" s="98"/>
    </row>
    <row r="1473" spans="1:19" ht="42.75">
      <c r="A1473" s="90" t="s">
        <v>50</v>
      </c>
      <c r="B1473" s="91" t="s">
        <v>516</v>
      </c>
      <c r="C1473" s="91" t="s">
        <v>3196</v>
      </c>
      <c r="D1473" s="90">
        <v>429</v>
      </c>
      <c r="E1473" s="90">
        <v>408</v>
      </c>
      <c r="F1473" s="90" t="s">
        <v>1454</v>
      </c>
      <c r="G1473" s="90"/>
      <c r="H1473" s="93"/>
      <c r="I1473" s="93"/>
      <c r="J1473" s="93"/>
      <c r="K1473" s="95"/>
      <c r="L1473" s="69"/>
      <c r="M1473" s="69"/>
      <c r="N1473" s="69"/>
      <c r="O1473" s="69"/>
      <c r="P1473" s="78"/>
      <c r="Q1473" s="96"/>
      <c r="R1473" s="97"/>
      <c r="S1473" s="98"/>
    </row>
    <row r="1474" spans="1:19" ht="42.75">
      <c r="A1474" s="90" t="s">
        <v>50</v>
      </c>
      <c r="B1474" s="91" t="s">
        <v>516</v>
      </c>
      <c r="C1474" s="91" t="s">
        <v>3197</v>
      </c>
      <c r="D1474" s="90">
        <v>179</v>
      </c>
      <c r="E1474" s="90">
        <v>128</v>
      </c>
      <c r="F1474" s="90" t="s">
        <v>1454</v>
      </c>
      <c r="G1474" s="90"/>
      <c r="H1474" s="93"/>
      <c r="I1474" s="93"/>
      <c r="J1474" s="93"/>
      <c r="K1474" s="95"/>
      <c r="L1474" s="69"/>
      <c r="M1474" s="69"/>
      <c r="N1474" s="69"/>
      <c r="O1474" s="69"/>
      <c r="P1474" s="78"/>
      <c r="Q1474" s="96"/>
      <c r="R1474" s="97"/>
      <c r="S1474" s="98"/>
    </row>
    <row r="1475" spans="1:19" ht="42.75">
      <c r="A1475" s="90" t="s">
        <v>50</v>
      </c>
      <c r="B1475" s="91" t="s">
        <v>516</v>
      </c>
      <c r="C1475" s="91" t="s">
        <v>3198</v>
      </c>
      <c r="D1475" s="90">
        <v>494</v>
      </c>
      <c r="E1475" s="90">
        <v>479</v>
      </c>
      <c r="F1475" s="90" t="s">
        <v>1454</v>
      </c>
      <c r="G1475" s="90"/>
      <c r="H1475" s="93"/>
      <c r="I1475" s="93"/>
      <c r="J1475" s="93"/>
      <c r="K1475" s="95"/>
      <c r="L1475" s="69"/>
      <c r="M1475" s="69"/>
      <c r="N1475" s="69"/>
      <c r="O1475" s="69"/>
      <c r="P1475" s="78"/>
      <c r="Q1475" s="96"/>
      <c r="R1475" s="97"/>
      <c r="S1475" s="98"/>
    </row>
    <row r="1476" spans="1:19" ht="42.75">
      <c r="A1476" s="90" t="s">
        <v>50</v>
      </c>
      <c r="B1476" s="91" t="s">
        <v>516</v>
      </c>
      <c r="C1476" s="91" t="s">
        <v>420</v>
      </c>
      <c r="D1476" s="90">
        <v>1186</v>
      </c>
      <c r="E1476" s="90">
        <v>1111</v>
      </c>
      <c r="F1476" s="90" t="s">
        <v>1454</v>
      </c>
      <c r="G1476" s="90"/>
      <c r="H1476" s="93"/>
      <c r="I1476" s="93"/>
      <c r="J1476" s="93"/>
      <c r="K1476" s="95"/>
      <c r="L1476" s="69"/>
      <c r="M1476" s="69"/>
      <c r="N1476" s="69"/>
      <c r="O1476" s="69"/>
      <c r="P1476" s="78"/>
      <c r="Q1476" s="96"/>
      <c r="R1476" s="97"/>
      <c r="S1476" s="98"/>
    </row>
    <row r="1477" spans="1:19" ht="42.75">
      <c r="A1477" s="90" t="s">
        <v>50</v>
      </c>
      <c r="B1477" s="91" t="s">
        <v>516</v>
      </c>
      <c r="C1477" s="91" t="s">
        <v>3199</v>
      </c>
      <c r="D1477" s="90">
        <v>542</v>
      </c>
      <c r="E1477" s="90">
        <v>656</v>
      </c>
      <c r="F1477" s="90" t="s">
        <v>1454</v>
      </c>
      <c r="G1477" s="90"/>
      <c r="H1477" s="93"/>
      <c r="I1477" s="93"/>
      <c r="J1477" s="93"/>
      <c r="K1477" s="95"/>
      <c r="L1477" s="69"/>
      <c r="M1477" s="69"/>
      <c r="N1477" s="69"/>
      <c r="O1477" s="69"/>
      <c r="P1477" s="78"/>
      <c r="Q1477" s="96"/>
      <c r="R1477" s="97"/>
      <c r="S1477" s="98"/>
    </row>
    <row r="1478" spans="1:19" ht="42.75">
      <c r="A1478" s="90" t="s">
        <v>50</v>
      </c>
      <c r="B1478" s="91" t="s">
        <v>516</v>
      </c>
      <c r="C1478" s="91" t="s">
        <v>3200</v>
      </c>
      <c r="D1478" s="90">
        <v>975</v>
      </c>
      <c r="E1478" s="90">
        <v>962</v>
      </c>
      <c r="F1478" s="90" t="s">
        <v>1454</v>
      </c>
      <c r="G1478" s="90"/>
      <c r="H1478" s="93"/>
      <c r="I1478" s="93"/>
      <c r="J1478" s="93"/>
      <c r="K1478" s="95"/>
      <c r="L1478" s="69"/>
      <c r="M1478" s="69"/>
      <c r="N1478" s="69"/>
      <c r="O1478" s="69"/>
      <c r="P1478" s="78"/>
      <c r="Q1478" s="96"/>
      <c r="R1478" s="97"/>
      <c r="S1478" s="98"/>
    </row>
    <row r="1479" spans="1:19" ht="42.75">
      <c r="A1479" s="90" t="s">
        <v>50</v>
      </c>
      <c r="B1479" s="91" t="s">
        <v>516</v>
      </c>
      <c r="C1479" s="91" t="s">
        <v>603</v>
      </c>
      <c r="D1479" s="90">
        <v>544</v>
      </c>
      <c r="E1479" s="90">
        <v>551</v>
      </c>
      <c r="F1479" s="90" t="s">
        <v>1454</v>
      </c>
      <c r="G1479" s="90"/>
      <c r="H1479" s="93"/>
      <c r="I1479" s="93"/>
      <c r="J1479" s="93"/>
      <c r="K1479" s="95"/>
      <c r="L1479" s="69"/>
      <c r="M1479" s="69"/>
      <c r="N1479" s="69"/>
      <c r="O1479" s="69"/>
      <c r="P1479" s="78"/>
      <c r="Q1479" s="96"/>
      <c r="R1479" s="97"/>
      <c r="S1479" s="98"/>
    </row>
    <row r="1480" spans="1:19" ht="42.75">
      <c r="A1480" s="90" t="s">
        <v>50</v>
      </c>
      <c r="B1480" s="91" t="s">
        <v>516</v>
      </c>
      <c r="C1480" s="91" t="s">
        <v>3201</v>
      </c>
      <c r="D1480" s="90">
        <v>507</v>
      </c>
      <c r="E1480" s="90">
        <v>513</v>
      </c>
      <c r="F1480" s="90" t="s">
        <v>1454</v>
      </c>
      <c r="G1480" s="90"/>
      <c r="H1480" s="93"/>
      <c r="I1480" s="93"/>
      <c r="J1480" s="93"/>
      <c r="K1480" s="95"/>
      <c r="L1480" s="69"/>
      <c r="M1480" s="69"/>
      <c r="N1480" s="69"/>
      <c r="O1480" s="69"/>
      <c r="P1480" s="78"/>
      <c r="Q1480" s="96"/>
      <c r="R1480" s="97"/>
      <c r="S1480" s="98"/>
    </row>
    <row r="1481" spans="1:19" ht="42.75">
      <c r="A1481" s="90" t="s">
        <v>50</v>
      </c>
      <c r="B1481" s="91" t="s">
        <v>516</v>
      </c>
      <c r="C1481" s="91" t="s">
        <v>3202</v>
      </c>
      <c r="D1481" s="90">
        <v>653</v>
      </c>
      <c r="E1481" s="90">
        <v>658</v>
      </c>
      <c r="F1481" s="90" t="s">
        <v>1454</v>
      </c>
      <c r="G1481" s="90"/>
      <c r="H1481" s="93"/>
      <c r="I1481" s="93"/>
      <c r="J1481" s="93"/>
      <c r="K1481" s="95"/>
      <c r="L1481" s="69"/>
      <c r="M1481" s="69"/>
      <c r="N1481" s="69"/>
      <c r="O1481" s="69"/>
      <c r="P1481" s="78"/>
      <c r="Q1481" s="96"/>
      <c r="R1481" s="97"/>
      <c r="S1481" s="98"/>
    </row>
    <row r="1482" spans="1:19" ht="42.75">
      <c r="A1482" s="90" t="s">
        <v>50</v>
      </c>
      <c r="B1482" s="91" t="s">
        <v>516</v>
      </c>
      <c r="C1482" s="91" t="s">
        <v>3203</v>
      </c>
      <c r="D1482" s="90">
        <v>555</v>
      </c>
      <c r="E1482" s="90">
        <v>744</v>
      </c>
      <c r="F1482" s="90" t="s">
        <v>1454</v>
      </c>
      <c r="G1482" s="90"/>
      <c r="H1482" s="93"/>
      <c r="I1482" s="93"/>
      <c r="J1482" s="93"/>
      <c r="K1482" s="95"/>
      <c r="L1482" s="69"/>
      <c r="M1482" s="69"/>
      <c r="N1482" s="69"/>
      <c r="O1482" s="69"/>
      <c r="P1482" s="78"/>
      <c r="Q1482" s="96"/>
      <c r="R1482" s="97"/>
      <c r="S1482" s="98"/>
    </row>
    <row r="1483" spans="1:19" ht="42.75">
      <c r="A1483" s="90" t="s">
        <v>50</v>
      </c>
      <c r="B1483" s="91" t="s">
        <v>516</v>
      </c>
      <c r="C1483" s="91" t="s">
        <v>3204</v>
      </c>
      <c r="D1483" s="90">
        <v>1359</v>
      </c>
      <c r="E1483" s="90">
        <v>1354</v>
      </c>
      <c r="F1483" s="90" t="s">
        <v>1454</v>
      </c>
      <c r="G1483" s="90"/>
      <c r="H1483" s="93"/>
      <c r="I1483" s="93"/>
      <c r="J1483" s="93"/>
      <c r="K1483" s="95"/>
      <c r="L1483" s="69"/>
      <c r="M1483" s="69"/>
      <c r="N1483" s="69"/>
      <c r="O1483" s="69"/>
      <c r="P1483" s="78"/>
      <c r="Q1483" s="96"/>
      <c r="R1483" s="97"/>
      <c r="S1483" s="98"/>
    </row>
    <row r="1484" spans="1:19" ht="42.75">
      <c r="A1484" s="90" t="s">
        <v>50</v>
      </c>
      <c r="B1484" s="91" t="s">
        <v>516</v>
      </c>
      <c r="C1484" s="91" t="s">
        <v>3205</v>
      </c>
      <c r="D1484" s="90">
        <v>648</v>
      </c>
      <c r="E1484" s="90">
        <v>541</v>
      </c>
      <c r="F1484" s="90" t="s">
        <v>1454</v>
      </c>
      <c r="G1484" s="90"/>
      <c r="H1484" s="93"/>
      <c r="I1484" s="93"/>
      <c r="J1484" s="93"/>
      <c r="K1484" s="95"/>
      <c r="L1484" s="69"/>
      <c r="M1484" s="69"/>
      <c r="N1484" s="69"/>
      <c r="O1484" s="69"/>
      <c r="P1484" s="78"/>
      <c r="Q1484" s="96"/>
      <c r="R1484" s="97"/>
      <c r="S1484" s="98"/>
    </row>
    <row r="1485" spans="1:19" ht="42.75">
      <c r="A1485" s="90" t="s">
        <v>50</v>
      </c>
      <c r="B1485" s="91" t="s">
        <v>516</v>
      </c>
      <c r="C1485" s="91" t="s">
        <v>3206</v>
      </c>
      <c r="D1485" s="90">
        <v>458</v>
      </c>
      <c r="E1485" s="90">
        <v>450</v>
      </c>
      <c r="F1485" s="90" t="s">
        <v>1454</v>
      </c>
      <c r="G1485" s="90"/>
      <c r="H1485" s="93"/>
      <c r="I1485" s="93"/>
      <c r="J1485" s="93"/>
      <c r="K1485" s="95"/>
      <c r="L1485" s="69"/>
      <c r="M1485" s="69"/>
      <c r="N1485" s="69"/>
      <c r="O1485" s="69"/>
      <c r="P1485" s="78"/>
      <c r="Q1485" s="96"/>
      <c r="R1485" s="97"/>
      <c r="S1485" s="98"/>
    </row>
    <row r="1486" spans="1:19" ht="42.75">
      <c r="A1486" s="90" t="s">
        <v>50</v>
      </c>
      <c r="B1486" s="91" t="s">
        <v>516</v>
      </c>
      <c r="C1486" s="91" t="s">
        <v>3207</v>
      </c>
      <c r="D1486" s="90">
        <v>847</v>
      </c>
      <c r="E1486" s="90">
        <v>816</v>
      </c>
      <c r="F1486" s="90" t="s">
        <v>1454</v>
      </c>
      <c r="G1486" s="90"/>
      <c r="H1486" s="93"/>
      <c r="I1486" s="93"/>
      <c r="J1486" s="93"/>
      <c r="K1486" s="95"/>
      <c r="L1486" s="69"/>
      <c r="M1486" s="69"/>
      <c r="N1486" s="69"/>
      <c r="O1486" s="69"/>
      <c r="P1486" s="78"/>
      <c r="Q1486" s="96"/>
      <c r="R1486" s="97"/>
      <c r="S1486" s="98"/>
    </row>
    <row r="1487" spans="1:19" ht="42.75">
      <c r="A1487" s="90" t="s">
        <v>50</v>
      </c>
      <c r="B1487" s="91" t="s">
        <v>516</v>
      </c>
      <c r="C1487" s="91" t="s">
        <v>3208</v>
      </c>
      <c r="D1487" s="90">
        <v>205</v>
      </c>
      <c r="E1487" s="90">
        <v>21</v>
      </c>
      <c r="F1487" s="90" t="s">
        <v>1454</v>
      </c>
      <c r="G1487" s="90"/>
      <c r="H1487" s="93"/>
      <c r="I1487" s="93"/>
      <c r="J1487" s="93"/>
      <c r="K1487" s="95"/>
      <c r="L1487" s="69"/>
      <c r="M1487" s="69"/>
      <c r="N1487" s="69"/>
      <c r="O1487" s="69"/>
      <c r="P1487" s="78"/>
      <c r="Q1487" s="96"/>
      <c r="R1487" s="97"/>
      <c r="S1487" s="98"/>
    </row>
    <row r="1488" spans="1:19" ht="42.75">
      <c r="A1488" s="90" t="s">
        <v>50</v>
      </c>
      <c r="B1488" s="91" t="s">
        <v>516</v>
      </c>
      <c r="C1488" s="91" t="s">
        <v>3209</v>
      </c>
      <c r="D1488" s="90">
        <v>400</v>
      </c>
      <c r="E1488" s="90">
        <v>281</v>
      </c>
      <c r="F1488" s="90" t="s">
        <v>1454</v>
      </c>
      <c r="G1488" s="90"/>
      <c r="H1488" s="93"/>
      <c r="I1488" s="93"/>
      <c r="J1488" s="93"/>
      <c r="K1488" s="95"/>
      <c r="L1488" s="69"/>
      <c r="M1488" s="69"/>
      <c r="N1488" s="69"/>
      <c r="O1488" s="69"/>
      <c r="P1488" s="78"/>
      <c r="Q1488" s="96"/>
      <c r="R1488" s="97"/>
      <c r="S1488" s="98"/>
    </row>
    <row r="1489" spans="1:19" ht="42.75">
      <c r="A1489" s="90" t="s">
        <v>50</v>
      </c>
      <c r="B1489" s="91" t="s">
        <v>3210</v>
      </c>
      <c r="C1489" s="91" t="s">
        <v>3211</v>
      </c>
      <c r="D1489" s="90">
        <v>1190</v>
      </c>
      <c r="E1489" s="90">
        <v>1289</v>
      </c>
      <c r="F1489" s="90" t="s">
        <v>1454</v>
      </c>
      <c r="G1489" s="90"/>
      <c r="H1489" s="93"/>
      <c r="I1489" s="93"/>
      <c r="J1489" s="93"/>
      <c r="K1489" s="95"/>
      <c r="L1489" s="69"/>
      <c r="M1489" s="69"/>
      <c r="N1489" s="69"/>
      <c r="O1489" s="69"/>
      <c r="P1489" s="78"/>
      <c r="Q1489" s="96"/>
      <c r="R1489" s="97"/>
      <c r="S1489" s="98"/>
    </row>
    <row r="1490" spans="1:19" ht="42.75">
      <c r="A1490" s="90" t="s">
        <v>50</v>
      </c>
      <c r="B1490" s="91" t="s">
        <v>3210</v>
      </c>
      <c r="C1490" s="91" t="s">
        <v>3212</v>
      </c>
      <c r="D1490" s="90">
        <v>5859</v>
      </c>
      <c r="E1490" s="90">
        <v>6876</v>
      </c>
      <c r="F1490" s="90" t="s">
        <v>1454</v>
      </c>
      <c r="G1490" s="90"/>
      <c r="H1490" s="93"/>
      <c r="I1490" s="93"/>
      <c r="J1490" s="93"/>
      <c r="K1490" s="95"/>
      <c r="L1490" s="69"/>
      <c r="M1490" s="69"/>
      <c r="N1490" s="69"/>
      <c r="O1490" s="69"/>
      <c r="P1490" s="78"/>
      <c r="Q1490" s="96"/>
      <c r="R1490" s="97"/>
      <c r="S1490" s="98"/>
    </row>
    <row r="1491" spans="1:19" ht="42.75">
      <c r="A1491" s="90" t="s">
        <v>50</v>
      </c>
      <c r="B1491" s="91" t="s">
        <v>3210</v>
      </c>
      <c r="C1491" s="91" t="s">
        <v>3213</v>
      </c>
      <c r="D1491" s="90">
        <v>1323</v>
      </c>
      <c r="E1491" s="90">
        <v>1354</v>
      </c>
      <c r="F1491" s="90" t="s">
        <v>1434</v>
      </c>
      <c r="G1491" s="90">
        <v>2024</v>
      </c>
      <c r="H1491" s="101">
        <v>45608</v>
      </c>
      <c r="I1491" s="101">
        <v>45617</v>
      </c>
      <c r="J1491" s="94" t="s">
        <v>3214</v>
      </c>
      <c r="K1491" s="100">
        <v>45630</v>
      </c>
      <c r="L1491" s="171">
        <v>45597</v>
      </c>
      <c r="M1491" s="69" t="s">
        <v>4</v>
      </c>
      <c r="N1491" s="69" t="s">
        <v>101</v>
      </c>
      <c r="O1491" s="69" t="s">
        <v>1436</v>
      </c>
      <c r="P1491" s="78"/>
      <c r="Q1491" s="96">
        <v>45630</v>
      </c>
      <c r="R1491" s="97" t="s">
        <v>1481</v>
      </c>
      <c r="S1491" s="98"/>
    </row>
    <row r="1492" spans="1:19" ht="42.75">
      <c r="A1492" s="90" t="s">
        <v>50</v>
      </c>
      <c r="B1492" s="91" t="s">
        <v>3210</v>
      </c>
      <c r="C1492" s="91" t="s">
        <v>1059</v>
      </c>
      <c r="D1492" s="90">
        <v>1406</v>
      </c>
      <c r="E1492" s="90">
        <v>1050</v>
      </c>
      <c r="F1492" s="90" t="s">
        <v>1454</v>
      </c>
      <c r="G1492" s="90"/>
      <c r="H1492" s="93"/>
      <c r="I1492" s="93"/>
      <c r="J1492" s="93"/>
      <c r="K1492" s="95"/>
      <c r="L1492" s="69"/>
      <c r="M1492" s="69"/>
      <c r="N1492" s="69"/>
      <c r="O1492" s="69"/>
      <c r="P1492" s="78"/>
      <c r="Q1492" s="96"/>
      <c r="R1492" s="97"/>
      <c r="S1492" s="98"/>
    </row>
    <row r="1493" spans="1:19" ht="42.75">
      <c r="A1493" s="90" t="s">
        <v>50</v>
      </c>
      <c r="B1493" s="91" t="s">
        <v>3210</v>
      </c>
      <c r="C1493" s="91" t="s">
        <v>3215</v>
      </c>
      <c r="D1493" s="90">
        <v>1929</v>
      </c>
      <c r="E1493" s="90">
        <v>2189</v>
      </c>
      <c r="F1493" s="90" t="s">
        <v>1454</v>
      </c>
      <c r="G1493" s="90"/>
      <c r="H1493" s="93"/>
      <c r="I1493" s="93"/>
      <c r="J1493" s="93"/>
      <c r="K1493" s="95"/>
      <c r="L1493" s="69"/>
      <c r="M1493" s="69"/>
      <c r="N1493" s="69"/>
      <c r="O1493" s="69"/>
      <c r="P1493" s="78"/>
      <c r="Q1493" s="96"/>
      <c r="R1493" s="97"/>
      <c r="S1493" s="98"/>
    </row>
    <row r="1494" spans="1:19" ht="42.75">
      <c r="A1494" s="90" t="s">
        <v>50</v>
      </c>
      <c r="B1494" s="91" t="s">
        <v>3210</v>
      </c>
      <c r="C1494" s="91" t="s">
        <v>3216</v>
      </c>
      <c r="D1494" s="90">
        <v>681</v>
      </c>
      <c r="E1494" s="90">
        <v>711</v>
      </c>
      <c r="F1494" s="90" t="s">
        <v>1454</v>
      </c>
      <c r="G1494" s="90"/>
      <c r="H1494" s="93"/>
      <c r="I1494" s="93"/>
      <c r="J1494" s="93"/>
      <c r="K1494" s="95"/>
      <c r="L1494" s="69"/>
      <c r="M1494" s="69"/>
      <c r="N1494" s="69"/>
      <c r="O1494" s="69"/>
      <c r="P1494" s="78"/>
      <c r="Q1494" s="96"/>
      <c r="R1494" s="97"/>
      <c r="S1494" s="98"/>
    </row>
    <row r="1495" spans="1:19" ht="42.75">
      <c r="A1495" s="90" t="s">
        <v>50</v>
      </c>
      <c r="B1495" s="91" t="s">
        <v>3210</v>
      </c>
      <c r="C1495" s="91" t="s">
        <v>3217</v>
      </c>
      <c r="D1495" s="90">
        <v>2393</v>
      </c>
      <c r="E1495" s="90">
        <v>2742</v>
      </c>
      <c r="F1495" s="90" t="s">
        <v>1454</v>
      </c>
      <c r="G1495" s="90"/>
      <c r="H1495" s="93"/>
      <c r="I1495" s="93"/>
      <c r="J1495" s="93"/>
      <c r="K1495" s="95"/>
      <c r="L1495" s="69"/>
      <c r="M1495" s="69"/>
      <c r="N1495" s="69"/>
      <c r="O1495" s="69"/>
      <c r="P1495" s="78"/>
      <c r="Q1495" s="96"/>
      <c r="R1495" s="97"/>
      <c r="S1495" s="98"/>
    </row>
    <row r="1496" spans="1:19" ht="42.75">
      <c r="A1496" s="90" t="s">
        <v>50</v>
      </c>
      <c r="B1496" s="91" t="s">
        <v>3210</v>
      </c>
      <c r="C1496" s="91" t="s">
        <v>3218</v>
      </c>
      <c r="D1496" s="90">
        <v>1893</v>
      </c>
      <c r="E1496" s="90">
        <v>2131</v>
      </c>
      <c r="F1496" s="90" t="s">
        <v>1434</v>
      </c>
      <c r="G1496" s="90">
        <v>2024</v>
      </c>
      <c r="H1496" s="101">
        <v>45608</v>
      </c>
      <c r="I1496" s="101">
        <v>45617</v>
      </c>
      <c r="J1496" s="94" t="s">
        <v>3219</v>
      </c>
      <c r="K1496" s="100">
        <v>45630</v>
      </c>
      <c r="L1496" s="171">
        <v>45597</v>
      </c>
      <c r="M1496" s="69" t="s">
        <v>4</v>
      </c>
      <c r="N1496" s="69" t="s">
        <v>101</v>
      </c>
      <c r="O1496" s="69" t="s">
        <v>1436</v>
      </c>
      <c r="P1496" s="78"/>
      <c r="Q1496" s="96">
        <v>45630</v>
      </c>
      <c r="R1496" s="97" t="s">
        <v>1481</v>
      </c>
      <c r="S1496" s="98"/>
    </row>
    <row r="1497" spans="1:19" ht="42.75">
      <c r="A1497" s="90" t="s">
        <v>50</v>
      </c>
      <c r="B1497" s="91" t="s">
        <v>3210</v>
      </c>
      <c r="C1497" s="91" t="s">
        <v>3220</v>
      </c>
      <c r="D1497" s="90">
        <v>3892</v>
      </c>
      <c r="E1497" s="90">
        <v>4496</v>
      </c>
      <c r="F1497" s="90" t="s">
        <v>1454</v>
      </c>
      <c r="G1497" s="90"/>
      <c r="H1497" s="93"/>
      <c r="I1497" s="93"/>
      <c r="J1497" s="93"/>
      <c r="K1497" s="95"/>
      <c r="L1497" s="69"/>
      <c r="M1497" s="69"/>
      <c r="N1497" s="69"/>
      <c r="O1497" s="69"/>
      <c r="P1497" s="78"/>
      <c r="Q1497" s="96"/>
      <c r="R1497" s="97"/>
      <c r="S1497" s="98"/>
    </row>
    <row r="1498" spans="1:19" ht="42.75">
      <c r="A1498" s="90" t="s">
        <v>50</v>
      </c>
      <c r="B1498" s="91" t="s">
        <v>3210</v>
      </c>
      <c r="C1498" s="91" t="s">
        <v>1052</v>
      </c>
      <c r="D1498" s="90">
        <v>2093</v>
      </c>
      <c r="E1498" s="90">
        <v>2568</v>
      </c>
      <c r="F1498" s="90" t="s">
        <v>1454</v>
      </c>
      <c r="G1498" s="90"/>
      <c r="H1498" s="93"/>
      <c r="I1498" s="93"/>
      <c r="J1498" s="93"/>
      <c r="K1498" s="95"/>
      <c r="L1498" s="69"/>
      <c r="M1498" s="69"/>
      <c r="N1498" s="69"/>
      <c r="O1498" s="69"/>
      <c r="P1498" s="78"/>
      <c r="Q1498" s="96"/>
      <c r="R1498" s="97"/>
      <c r="S1498" s="98"/>
    </row>
    <row r="1499" spans="1:19" ht="42.75">
      <c r="A1499" s="90" t="s">
        <v>50</v>
      </c>
      <c r="B1499" s="91" t="s">
        <v>3210</v>
      </c>
      <c r="C1499" s="91" t="s">
        <v>1336</v>
      </c>
      <c r="D1499" s="90">
        <v>3210</v>
      </c>
      <c r="E1499" s="90">
        <v>3942</v>
      </c>
      <c r="F1499" s="90" t="s">
        <v>1434</v>
      </c>
      <c r="G1499" s="90">
        <v>2024</v>
      </c>
      <c r="H1499" s="101">
        <v>45546</v>
      </c>
      <c r="I1499" s="101">
        <v>45546</v>
      </c>
      <c r="J1499" s="94" t="s">
        <v>3221</v>
      </c>
      <c r="K1499" s="100">
        <v>45552</v>
      </c>
      <c r="L1499" s="69" t="s">
        <v>82</v>
      </c>
      <c r="M1499" s="69" t="s">
        <v>4</v>
      </c>
      <c r="N1499" s="69" t="s">
        <v>101</v>
      </c>
      <c r="O1499" s="69" t="s">
        <v>1436</v>
      </c>
      <c r="P1499" s="78"/>
      <c r="Q1499" s="96">
        <v>45553</v>
      </c>
      <c r="R1499" s="97" t="s">
        <v>1481</v>
      </c>
      <c r="S1499" s="98"/>
    </row>
    <row r="1500" spans="1:19" ht="42.75">
      <c r="A1500" s="90" t="s">
        <v>50</v>
      </c>
      <c r="B1500" s="91" t="s">
        <v>3210</v>
      </c>
      <c r="C1500" s="91" t="s">
        <v>3029</v>
      </c>
      <c r="D1500" s="90">
        <v>2981</v>
      </c>
      <c r="E1500" s="90">
        <v>3614</v>
      </c>
      <c r="F1500" s="90" t="s">
        <v>1434</v>
      </c>
      <c r="G1500" s="90">
        <v>2024</v>
      </c>
      <c r="H1500" s="101">
        <v>45546</v>
      </c>
      <c r="I1500" s="101">
        <v>45546</v>
      </c>
      <c r="J1500" s="94" t="s">
        <v>3222</v>
      </c>
      <c r="K1500" s="100">
        <v>45552</v>
      </c>
      <c r="L1500" s="69" t="s">
        <v>82</v>
      </c>
      <c r="M1500" s="69" t="s">
        <v>4</v>
      </c>
      <c r="N1500" s="69" t="s">
        <v>101</v>
      </c>
      <c r="O1500" s="69" t="s">
        <v>1436</v>
      </c>
      <c r="P1500" s="78"/>
      <c r="Q1500" s="96">
        <v>45553</v>
      </c>
      <c r="R1500" s="97" t="s">
        <v>1481</v>
      </c>
      <c r="S1500" s="98"/>
    </row>
    <row r="1501" spans="1:19" ht="42.75">
      <c r="A1501" s="90" t="s">
        <v>50</v>
      </c>
      <c r="B1501" s="91" t="s">
        <v>3210</v>
      </c>
      <c r="C1501" s="91" t="s">
        <v>3223</v>
      </c>
      <c r="D1501" s="90">
        <v>2359</v>
      </c>
      <c r="E1501" s="90">
        <v>2553</v>
      </c>
      <c r="F1501" s="90" t="s">
        <v>1434</v>
      </c>
      <c r="G1501" s="90">
        <v>2024</v>
      </c>
      <c r="H1501" s="101">
        <v>45608</v>
      </c>
      <c r="I1501" s="101">
        <v>45617</v>
      </c>
      <c r="J1501" s="94" t="s">
        <v>3224</v>
      </c>
      <c r="K1501" s="100">
        <v>45630</v>
      </c>
      <c r="L1501" s="69" t="s">
        <v>84</v>
      </c>
      <c r="M1501" s="69" t="s">
        <v>4</v>
      </c>
      <c r="N1501" s="69" t="s">
        <v>101</v>
      </c>
      <c r="O1501" s="69" t="s">
        <v>1436</v>
      </c>
      <c r="P1501" s="78"/>
      <c r="Q1501" s="96">
        <v>45630</v>
      </c>
      <c r="R1501" s="97" t="s">
        <v>1481</v>
      </c>
      <c r="S1501" s="98"/>
    </row>
    <row r="1502" spans="1:19" ht="42.75">
      <c r="A1502" s="90" t="s">
        <v>50</v>
      </c>
      <c r="B1502" s="91" t="s">
        <v>3210</v>
      </c>
      <c r="C1502" s="91" t="s">
        <v>3225</v>
      </c>
      <c r="D1502" s="90">
        <v>2229</v>
      </c>
      <c r="E1502" s="90">
        <v>2024</v>
      </c>
      <c r="F1502" s="90" t="s">
        <v>1454</v>
      </c>
      <c r="G1502" s="90"/>
      <c r="H1502" s="93"/>
      <c r="I1502" s="93"/>
      <c r="J1502" s="93"/>
      <c r="K1502" s="95"/>
      <c r="L1502" s="69"/>
      <c r="M1502" s="69"/>
      <c r="N1502" s="69"/>
      <c r="O1502" s="69"/>
      <c r="P1502" s="78"/>
      <c r="Q1502" s="96"/>
      <c r="R1502" s="97"/>
      <c r="S1502" s="98"/>
    </row>
    <row r="1503" spans="1:19" ht="42.75">
      <c r="A1503" s="90" t="s">
        <v>50</v>
      </c>
      <c r="B1503" s="91" t="s">
        <v>3210</v>
      </c>
      <c r="C1503" s="91" t="s">
        <v>3226</v>
      </c>
      <c r="D1503" s="90">
        <v>2356</v>
      </c>
      <c r="E1503" s="90">
        <v>2596</v>
      </c>
      <c r="F1503" s="90" t="s">
        <v>1454</v>
      </c>
      <c r="G1503" s="90"/>
      <c r="H1503" s="93"/>
      <c r="I1503" s="93"/>
      <c r="J1503" s="93"/>
      <c r="K1503" s="95"/>
      <c r="L1503" s="69"/>
      <c r="M1503" s="69"/>
      <c r="N1503" s="69"/>
      <c r="O1503" s="69"/>
      <c r="P1503" s="78"/>
      <c r="Q1503" s="96"/>
      <c r="R1503" s="97"/>
      <c r="S1503" s="98"/>
    </row>
    <row r="1504" spans="1:19" ht="42.75">
      <c r="A1504" s="90" t="s">
        <v>50</v>
      </c>
      <c r="B1504" s="91" t="s">
        <v>3210</v>
      </c>
      <c r="C1504" s="91" t="s">
        <v>2431</v>
      </c>
      <c r="D1504" s="90">
        <v>1302</v>
      </c>
      <c r="E1504" s="90">
        <v>1349</v>
      </c>
      <c r="F1504" s="90" t="s">
        <v>1454</v>
      </c>
      <c r="G1504" s="90"/>
      <c r="H1504" s="93"/>
      <c r="I1504" s="93"/>
      <c r="J1504" s="93"/>
      <c r="K1504" s="95"/>
      <c r="L1504" s="69"/>
      <c r="M1504" s="69"/>
      <c r="N1504" s="69"/>
      <c r="O1504" s="69"/>
      <c r="P1504" s="78"/>
      <c r="Q1504" s="96"/>
      <c r="R1504" s="97"/>
      <c r="S1504" s="98"/>
    </row>
    <row r="1505" spans="1:19" ht="42.75">
      <c r="A1505" s="90" t="s">
        <v>50</v>
      </c>
      <c r="B1505" s="91" t="s">
        <v>3210</v>
      </c>
      <c r="C1505" s="91" t="s">
        <v>3227</v>
      </c>
      <c r="D1505" s="90">
        <v>1985</v>
      </c>
      <c r="E1505" s="90">
        <v>1996</v>
      </c>
      <c r="F1505" s="90" t="s">
        <v>1454</v>
      </c>
      <c r="G1505" s="90"/>
      <c r="H1505" s="93"/>
      <c r="I1505" s="93"/>
      <c r="J1505" s="93"/>
      <c r="K1505" s="95"/>
      <c r="L1505" s="69"/>
      <c r="M1505" s="69"/>
      <c r="N1505" s="69"/>
      <c r="O1505" s="69"/>
      <c r="P1505" s="78"/>
      <c r="Q1505" s="96"/>
      <c r="R1505" s="97"/>
      <c r="S1505" s="98"/>
    </row>
    <row r="1506" spans="1:19" ht="42.75">
      <c r="A1506" s="90" t="s">
        <v>50</v>
      </c>
      <c r="B1506" s="91" t="s">
        <v>3210</v>
      </c>
      <c r="C1506" s="91" t="s">
        <v>3228</v>
      </c>
      <c r="D1506" s="90">
        <v>997</v>
      </c>
      <c r="E1506" s="90">
        <v>1206</v>
      </c>
      <c r="F1506" s="90" t="s">
        <v>1454</v>
      </c>
      <c r="G1506" s="90"/>
      <c r="H1506" s="93"/>
      <c r="I1506" s="93"/>
      <c r="J1506" s="93"/>
      <c r="K1506" s="95"/>
      <c r="L1506" s="69"/>
      <c r="M1506" s="69"/>
      <c r="N1506" s="69"/>
      <c r="O1506" s="69"/>
      <c r="P1506" s="78"/>
      <c r="Q1506" s="96"/>
      <c r="R1506" s="97"/>
      <c r="S1506" s="98"/>
    </row>
    <row r="1507" spans="1:19" ht="42.75">
      <c r="A1507" s="90" t="s">
        <v>50</v>
      </c>
      <c r="B1507" s="91" t="s">
        <v>3210</v>
      </c>
      <c r="C1507" s="91" t="s">
        <v>2574</v>
      </c>
      <c r="D1507" s="90">
        <v>963</v>
      </c>
      <c r="E1507" s="90">
        <v>697</v>
      </c>
      <c r="F1507" s="90" t="s">
        <v>1454</v>
      </c>
      <c r="G1507" s="90"/>
      <c r="H1507" s="93"/>
      <c r="I1507" s="93"/>
      <c r="J1507" s="93"/>
      <c r="K1507" s="95"/>
      <c r="L1507" s="69"/>
      <c r="M1507" s="69"/>
      <c r="N1507" s="69"/>
      <c r="O1507" s="69"/>
      <c r="P1507" s="78"/>
      <c r="Q1507" s="96"/>
      <c r="R1507" s="97"/>
      <c r="S1507" s="98"/>
    </row>
    <row r="1508" spans="1:19" ht="42.75">
      <c r="A1508" s="90" t="s">
        <v>50</v>
      </c>
      <c r="B1508" s="91" t="s">
        <v>518</v>
      </c>
      <c r="C1508" s="91" t="s">
        <v>3229</v>
      </c>
      <c r="D1508" s="90">
        <v>2409</v>
      </c>
      <c r="E1508" s="90">
        <v>2632</v>
      </c>
      <c r="F1508" s="90" t="s">
        <v>1454</v>
      </c>
      <c r="G1508" s="90"/>
      <c r="H1508" s="93"/>
      <c r="I1508" s="93"/>
      <c r="J1508" s="93"/>
      <c r="K1508" s="95"/>
      <c r="L1508" s="69"/>
      <c r="M1508" s="69"/>
      <c r="N1508" s="69"/>
      <c r="O1508" s="69"/>
      <c r="P1508" s="78"/>
      <c r="Q1508" s="96"/>
      <c r="R1508" s="97"/>
      <c r="S1508" s="98"/>
    </row>
    <row r="1509" spans="1:19" ht="42.75">
      <c r="A1509" s="90" t="s">
        <v>50</v>
      </c>
      <c r="B1509" s="91" t="s">
        <v>518</v>
      </c>
      <c r="C1509" s="91" t="s">
        <v>3230</v>
      </c>
      <c r="D1509" s="90">
        <v>2069</v>
      </c>
      <c r="E1509" s="90">
        <v>2079</v>
      </c>
      <c r="F1509" s="90" t="s">
        <v>1454</v>
      </c>
      <c r="G1509" s="90"/>
      <c r="H1509" s="93"/>
      <c r="I1509" s="93"/>
      <c r="J1509" s="93"/>
      <c r="K1509" s="95"/>
      <c r="L1509" s="69"/>
      <c r="M1509" s="69"/>
      <c r="N1509" s="69"/>
      <c r="O1509" s="69"/>
      <c r="P1509" s="78"/>
      <c r="Q1509" s="96"/>
      <c r="R1509" s="97"/>
      <c r="S1509" s="98"/>
    </row>
    <row r="1510" spans="1:19" ht="42.75">
      <c r="A1510" s="90" t="s">
        <v>50</v>
      </c>
      <c r="B1510" s="91" t="s">
        <v>518</v>
      </c>
      <c r="C1510" s="91" t="s">
        <v>3231</v>
      </c>
      <c r="D1510" s="90">
        <v>2573</v>
      </c>
      <c r="E1510" s="90">
        <v>2743</v>
      </c>
      <c r="F1510" s="90" t="s">
        <v>1454</v>
      </c>
      <c r="G1510" s="90"/>
      <c r="H1510" s="93"/>
      <c r="I1510" s="93"/>
      <c r="J1510" s="93"/>
      <c r="K1510" s="95"/>
      <c r="L1510" s="69"/>
      <c r="M1510" s="69"/>
      <c r="N1510" s="69"/>
      <c r="O1510" s="69"/>
      <c r="P1510" s="78"/>
      <c r="Q1510" s="96"/>
      <c r="R1510" s="97"/>
      <c r="S1510" s="98"/>
    </row>
    <row r="1511" spans="1:19" ht="42.75">
      <c r="A1511" s="90" t="s">
        <v>50</v>
      </c>
      <c r="B1511" s="91" t="s">
        <v>518</v>
      </c>
      <c r="C1511" s="91" t="s">
        <v>3232</v>
      </c>
      <c r="D1511" s="90">
        <v>2461</v>
      </c>
      <c r="E1511" s="90">
        <v>2492</v>
      </c>
      <c r="F1511" s="90" t="s">
        <v>1454</v>
      </c>
      <c r="G1511" s="90"/>
      <c r="H1511" s="93"/>
      <c r="I1511" s="93"/>
      <c r="J1511" s="93"/>
      <c r="K1511" s="95"/>
      <c r="L1511" s="69"/>
      <c r="M1511" s="69"/>
      <c r="N1511" s="69"/>
      <c r="O1511" s="69"/>
      <c r="P1511" s="78"/>
      <c r="Q1511" s="96"/>
      <c r="R1511" s="97"/>
      <c r="S1511" s="98"/>
    </row>
    <row r="1512" spans="1:19" ht="42.75">
      <c r="A1512" s="90" t="s">
        <v>50</v>
      </c>
      <c r="B1512" s="91" t="s">
        <v>518</v>
      </c>
      <c r="C1512" s="91" t="s">
        <v>3233</v>
      </c>
      <c r="D1512" s="90">
        <v>1153</v>
      </c>
      <c r="E1512" s="90">
        <v>1193</v>
      </c>
      <c r="F1512" s="90" t="s">
        <v>1454</v>
      </c>
      <c r="G1512" s="90"/>
      <c r="H1512" s="93"/>
      <c r="I1512" s="93"/>
      <c r="J1512" s="93"/>
      <c r="K1512" s="95"/>
      <c r="L1512" s="69"/>
      <c r="M1512" s="69"/>
      <c r="N1512" s="69"/>
      <c r="O1512" s="69"/>
      <c r="P1512" s="78"/>
      <c r="Q1512" s="96"/>
      <c r="R1512" s="97"/>
      <c r="S1512" s="98"/>
    </row>
    <row r="1513" spans="1:19" ht="42.75">
      <c r="A1513" s="90" t="s">
        <v>50</v>
      </c>
      <c r="B1513" s="91" t="s">
        <v>518</v>
      </c>
      <c r="C1513" s="91" t="s">
        <v>3234</v>
      </c>
      <c r="D1513" s="90">
        <v>2387</v>
      </c>
      <c r="E1513" s="90">
        <v>2808</v>
      </c>
      <c r="F1513" s="90" t="s">
        <v>1434</v>
      </c>
      <c r="G1513" s="90">
        <v>2024</v>
      </c>
      <c r="H1513" s="101">
        <v>45469</v>
      </c>
      <c r="I1513" s="101">
        <v>45475</v>
      </c>
      <c r="J1513" s="94" t="s">
        <v>3235</v>
      </c>
      <c r="K1513" s="100">
        <v>45483</v>
      </c>
      <c r="L1513" s="69" t="s">
        <v>80</v>
      </c>
      <c r="M1513" s="69" t="s">
        <v>4</v>
      </c>
      <c r="N1513" s="69" t="s">
        <v>101</v>
      </c>
      <c r="O1513" s="69" t="s">
        <v>1436</v>
      </c>
      <c r="P1513" s="78"/>
      <c r="Q1513" s="96">
        <v>45483</v>
      </c>
      <c r="R1513" s="97"/>
      <c r="S1513" s="98"/>
    </row>
    <row r="1514" spans="1:19" ht="42.75">
      <c r="A1514" s="90" t="s">
        <v>50</v>
      </c>
      <c r="B1514" s="91" t="s">
        <v>518</v>
      </c>
      <c r="C1514" s="91" t="s">
        <v>1486</v>
      </c>
      <c r="D1514" s="90">
        <v>2313</v>
      </c>
      <c r="E1514" s="90">
        <v>2582</v>
      </c>
      <c r="F1514" s="90" t="s">
        <v>1454</v>
      </c>
      <c r="G1514" s="90"/>
      <c r="H1514" s="93"/>
      <c r="I1514" s="93"/>
      <c r="J1514" s="93"/>
      <c r="K1514" s="95"/>
      <c r="L1514" s="69"/>
      <c r="M1514" s="69"/>
      <c r="N1514" s="69"/>
      <c r="O1514" s="69"/>
      <c r="P1514" s="78"/>
      <c r="Q1514" s="96"/>
      <c r="R1514" s="97"/>
      <c r="S1514" s="98"/>
    </row>
    <row r="1515" spans="1:19" ht="42.75">
      <c r="A1515" s="90" t="s">
        <v>50</v>
      </c>
      <c r="B1515" s="91" t="s">
        <v>518</v>
      </c>
      <c r="C1515" s="91" t="s">
        <v>3236</v>
      </c>
      <c r="D1515" s="90">
        <v>1214</v>
      </c>
      <c r="E1515" s="90">
        <v>1226</v>
      </c>
      <c r="F1515" s="90" t="s">
        <v>1454</v>
      </c>
      <c r="G1515" s="90"/>
      <c r="H1515" s="93"/>
      <c r="I1515" s="93"/>
      <c r="J1515" s="93"/>
      <c r="K1515" s="95"/>
      <c r="L1515" s="69"/>
      <c r="M1515" s="69"/>
      <c r="N1515" s="69"/>
      <c r="O1515" s="69"/>
      <c r="P1515" s="78"/>
      <c r="Q1515" s="96"/>
      <c r="R1515" s="97"/>
      <c r="S1515" s="98"/>
    </row>
    <row r="1516" spans="1:19" ht="42.75">
      <c r="A1516" s="90" t="s">
        <v>50</v>
      </c>
      <c r="B1516" s="91" t="s">
        <v>518</v>
      </c>
      <c r="C1516" s="91" t="s">
        <v>728</v>
      </c>
      <c r="D1516" s="90">
        <v>3517</v>
      </c>
      <c r="E1516" s="90">
        <v>3757</v>
      </c>
      <c r="F1516" s="90" t="s">
        <v>1434</v>
      </c>
      <c r="G1516" s="90">
        <v>2024</v>
      </c>
      <c r="H1516" s="101">
        <v>45470</v>
      </c>
      <c r="I1516" s="101">
        <v>45475</v>
      </c>
      <c r="J1516" s="94" t="s">
        <v>3237</v>
      </c>
      <c r="K1516" s="100">
        <v>45483</v>
      </c>
      <c r="L1516" s="69" t="s">
        <v>80</v>
      </c>
      <c r="M1516" s="69" t="s">
        <v>4</v>
      </c>
      <c r="N1516" s="69" t="s">
        <v>101</v>
      </c>
      <c r="O1516" s="69" t="s">
        <v>1436</v>
      </c>
      <c r="P1516" s="78"/>
      <c r="Q1516" s="70">
        <v>45483</v>
      </c>
      <c r="R1516" s="97"/>
      <c r="S1516" s="98"/>
    </row>
    <row r="1517" spans="1:19" ht="42.75">
      <c r="A1517" s="90" t="s">
        <v>50</v>
      </c>
      <c r="B1517" s="91" t="s">
        <v>518</v>
      </c>
      <c r="C1517" s="91" t="s">
        <v>3013</v>
      </c>
      <c r="D1517" s="90">
        <v>3015</v>
      </c>
      <c r="E1517" s="90">
        <v>2625</v>
      </c>
      <c r="F1517" s="90" t="s">
        <v>1454</v>
      </c>
      <c r="G1517" s="90"/>
      <c r="H1517" s="93"/>
      <c r="I1517" s="93"/>
      <c r="J1517" s="93"/>
      <c r="K1517" s="95"/>
      <c r="L1517" s="69"/>
      <c r="M1517" s="69"/>
      <c r="N1517" s="69"/>
      <c r="O1517" s="69"/>
      <c r="P1517" s="78"/>
      <c r="Q1517" s="96"/>
      <c r="R1517" s="97"/>
      <c r="S1517" s="98"/>
    </row>
    <row r="1518" spans="1:19" ht="42.75">
      <c r="A1518" s="90" t="s">
        <v>50</v>
      </c>
      <c r="B1518" s="91" t="s">
        <v>518</v>
      </c>
      <c r="C1518" s="91" t="s">
        <v>2692</v>
      </c>
      <c r="D1518" s="90">
        <v>2056</v>
      </c>
      <c r="E1518" s="90">
        <v>2086</v>
      </c>
      <c r="F1518" s="90" t="s">
        <v>1454</v>
      </c>
      <c r="G1518" s="90"/>
      <c r="H1518" s="93"/>
      <c r="I1518" s="93"/>
      <c r="J1518" s="93"/>
      <c r="K1518" s="95"/>
      <c r="L1518" s="69"/>
      <c r="M1518" s="69"/>
      <c r="N1518" s="69"/>
      <c r="O1518" s="69"/>
      <c r="P1518" s="78"/>
      <c r="Q1518" s="96"/>
      <c r="R1518" s="97"/>
      <c r="S1518" s="98"/>
    </row>
    <row r="1519" spans="1:19" ht="42.75">
      <c r="A1519" s="90" t="s">
        <v>50</v>
      </c>
      <c r="B1519" s="91" t="s">
        <v>518</v>
      </c>
      <c r="C1519" s="91" t="s">
        <v>764</v>
      </c>
      <c r="D1519" s="90">
        <v>1717</v>
      </c>
      <c r="E1519" s="90">
        <v>2435</v>
      </c>
      <c r="F1519" s="90" t="s">
        <v>1454</v>
      </c>
      <c r="G1519" s="90"/>
      <c r="H1519" s="93"/>
      <c r="I1519" s="93"/>
      <c r="J1519" s="93"/>
      <c r="K1519" s="95"/>
      <c r="L1519" s="69"/>
      <c r="M1519" s="69"/>
      <c r="N1519" s="69"/>
      <c r="O1519" s="69"/>
      <c r="P1519" s="78"/>
      <c r="Q1519" s="96"/>
      <c r="R1519" s="97"/>
      <c r="S1519" s="98"/>
    </row>
    <row r="1520" spans="1:19" ht="42.75">
      <c r="A1520" s="90" t="s">
        <v>50</v>
      </c>
      <c r="B1520" s="91" t="s">
        <v>518</v>
      </c>
      <c r="C1520" s="91" t="s">
        <v>3238</v>
      </c>
      <c r="D1520" s="90">
        <v>1691</v>
      </c>
      <c r="E1520" s="90">
        <v>1913</v>
      </c>
      <c r="F1520" s="90" t="s">
        <v>1434</v>
      </c>
      <c r="G1520" s="90">
        <v>2024</v>
      </c>
      <c r="H1520" s="101">
        <v>45469</v>
      </c>
      <c r="I1520" s="101">
        <v>45475</v>
      </c>
      <c r="J1520" s="94" t="s">
        <v>3239</v>
      </c>
      <c r="K1520" s="95"/>
      <c r="L1520" s="69" t="s">
        <v>80</v>
      </c>
      <c r="M1520" s="69" t="s">
        <v>4</v>
      </c>
      <c r="N1520" s="69" t="s">
        <v>101</v>
      </c>
      <c r="O1520" s="69" t="s">
        <v>1436</v>
      </c>
      <c r="P1520" s="78"/>
      <c r="Q1520" s="96">
        <v>45483</v>
      </c>
      <c r="R1520" s="97"/>
      <c r="S1520" s="98"/>
    </row>
    <row r="1521" spans="1:19" ht="42.75">
      <c r="A1521" s="90" t="s">
        <v>50</v>
      </c>
      <c r="B1521" s="91" t="s">
        <v>518</v>
      </c>
      <c r="C1521" s="91" t="s">
        <v>2584</v>
      </c>
      <c r="D1521" s="90">
        <v>1350</v>
      </c>
      <c r="E1521" s="90">
        <v>1192</v>
      </c>
      <c r="F1521" s="90" t="s">
        <v>1454</v>
      </c>
      <c r="G1521" s="90"/>
      <c r="H1521" s="93"/>
      <c r="I1521" s="93"/>
      <c r="J1521" s="93"/>
      <c r="K1521" s="95"/>
      <c r="L1521" s="69"/>
      <c r="M1521" s="69"/>
      <c r="N1521" s="69"/>
      <c r="O1521" s="69"/>
      <c r="P1521" s="78"/>
      <c r="Q1521" s="96"/>
      <c r="R1521" s="97"/>
      <c r="S1521" s="98"/>
    </row>
    <row r="1522" spans="1:19" ht="42.75">
      <c r="A1522" s="90" t="s">
        <v>50</v>
      </c>
      <c r="B1522" s="91" t="s">
        <v>979</v>
      </c>
      <c r="C1522" s="91" t="s">
        <v>980</v>
      </c>
      <c r="D1522" s="90">
        <v>3322</v>
      </c>
      <c r="E1522" s="90">
        <v>3509</v>
      </c>
      <c r="F1522" s="90" t="s">
        <v>1434</v>
      </c>
      <c r="G1522" s="90">
        <v>2024</v>
      </c>
      <c r="H1522" s="101">
        <v>45510</v>
      </c>
      <c r="I1522" s="101">
        <v>45511</v>
      </c>
      <c r="J1522" s="94" t="s">
        <v>3240</v>
      </c>
      <c r="K1522" s="100">
        <v>45512</v>
      </c>
      <c r="L1522" s="69" t="s">
        <v>81</v>
      </c>
      <c r="M1522" s="69" t="s">
        <v>672</v>
      </c>
      <c r="N1522" s="69" t="s">
        <v>101</v>
      </c>
      <c r="O1522" s="69" t="s">
        <v>1436</v>
      </c>
      <c r="P1522" s="78"/>
      <c r="Q1522" s="96">
        <v>45512</v>
      </c>
      <c r="R1522" s="97" t="s">
        <v>1481</v>
      </c>
      <c r="S1522" s="98"/>
    </row>
    <row r="1523" spans="1:19" ht="42.75">
      <c r="A1523" s="90" t="s">
        <v>50</v>
      </c>
      <c r="B1523" s="91" t="s">
        <v>979</v>
      </c>
      <c r="C1523" s="91" t="s">
        <v>3241</v>
      </c>
      <c r="D1523" s="90">
        <v>3219</v>
      </c>
      <c r="E1523" s="90">
        <v>3362</v>
      </c>
      <c r="F1523" s="90" t="s">
        <v>1454</v>
      </c>
      <c r="G1523" s="90"/>
      <c r="H1523" s="93"/>
      <c r="I1523" s="93"/>
      <c r="J1523" s="93"/>
      <c r="K1523" s="95"/>
      <c r="L1523" s="69"/>
      <c r="M1523" s="69"/>
      <c r="N1523" s="69"/>
      <c r="O1523" s="69"/>
      <c r="P1523" s="78"/>
      <c r="Q1523" s="96"/>
      <c r="R1523" s="97"/>
      <c r="S1523" s="98"/>
    </row>
    <row r="1524" spans="1:19" ht="42.75">
      <c r="A1524" s="90" t="s">
        <v>50</v>
      </c>
      <c r="B1524" s="91" t="s">
        <v>979</v>
      </c>
      <c r="C1524" s="91" t="s">
        <v>2409</v>
      </c>
      <c r="D1524" s="90">
        <v>1731</v>
      </c>
      <c r="E1524" s="90">
        <v>1823</v>
      </c>
      <c r="F1524" s="90" t="s">
        <v>1454</v>
      </c>
      <c r="G1524" s="90"/>
      <c r="H1524" s="93"/>
      <c r="I1524" s="93"/>
      <c r="J1524" s="93"/>
      <c r="K1524" s="95"/>
      <c r="L1524" s="69"/>
      <c r="M1524" s="69"/>
      <c r="N1524" s="69"/>
      <c r="O1524" s="69"/>
      <c r="P1524" s="78"/>
      <c r="Q1524" s="96"/>
      <c r="R1524" s="97"/>
      <c r="S1524" s="98"/>
    </row>
    <row r="1525" spans="1:19" ht="42.75">
      <c r="A1525" s="90" t="s">
        <v>50</v>
      </c>
      <c r="B1525" s="91" t="s">
        <v>979</v>
      </c>
      <c r="C1525" s="91" t="s">
        <v>2410</v>
      </c>
      <c r="D1525" s="90">
        <v>1047</v>
      </c>
      <c r="E1525" s="90">
        <v>1144</v>
      </c>
      <c r="F1525" s="90" t="s">
        <v>1454</v>
      </c>
      <c r="G1525" s="90"/>
      <c r="H1525" s="93"/>
      <c r="I1525" s="93"/>
      <c r="J1525" s="93"/>
      <c r="K1525" s="95"/>
      <c r="L1525" s="69"/>
      <c r="M1525" s="69"/>
      <c r="N1525" s="69"/>
      <c r="O1525" s="69"/>
      <c r="P1525" s="78"/>
      <c r="Q1525" s="96"/>
      <c r="R1525" s="97"/>
      <c r="S1525" s="98"/>
    </row>
    <row r="1526" spans="1:19" ht="42.75">
      <c r="A1526" s="90" t="s">
        <v>50</v>
      </c>
      <c r="B1526" s="91" t="s">
        <v>979</v>
      </c>
      <c r="C1526" s="91" t="s">
        <v>3242</v>
      </c>
      <c r="D1526" s="90">
        <v>1139</v>
      </c>
      <c r="E1526" s="90">
        <v>1289</v>
      </c>
      <c r="F1526" s="90" t="s">
        <v>1454</v>
      </c>
      <c r="G1526" s="90"/>
      <c r="H1526" s="93"/>
      <c r="I1526" s="93"/>
      <c r="J1526" s="93"/>
      <c r="K1526" s="95"/>
      <c r="L1526" s="69"/>
      <c r="M1526" s="69"/>
      <c r="N1526" s="69"/>
      <c r="O1526" s="69"/>
      <c r="P1526" s="78"/>
      <c r="Q1526" s="96"/>
      <c r="R1526" s="97"/>
      <c r="S1526" s="98"/>
    </row>
    <row r="1527" spans="1:19" ht="42.75">
      <c r="A1527" s="90" t="s">
        <v>50</v>
      </c>
      <c r="B1527" s="91" t="s">
        <v>979</v>
      </c>
      <c r="C1527" s="91" t="s">
        <v>3243</v>
      </c>
      <c r="D1527" s="90">
        <v>1617</v>
      </c>
      <c r="E1527" s="90">
        <v>1700</v>
      </c>
      <c r="F1527" s="90" t="s">
        <v>1434</v>
      </c>
      <c r="G1527" s="90">
        <v>2024</v>
      </c>
      <c r="H1527" s="101">
        <v>45552</v>
      </c>
      <c r="I1527" s="101">
        <v>45552</v>
      </c>
      <c r="J1527" s="94" t="s">
        <v>3244</v>
      </c>
      <c r="K1527" s="100">
        <v>45553</v>
      </c>
      <c r="L1527" s="69" t="s">
        <v>82</v>
      </c>
      <c r="M1527" s="69" t="s">
        <v>4</v>
      </c>
      <c r="N1527" s="69" t="s">
        <v>101</v>
      </c>
      <c r="O1527" s="69" t="s">
        <v>1436</v>
      </c>
      <c r="P1527" s="78"/>
      <c r="Q1527" s="96">
        <v>45553</v>
      </c>
      <c r="R1527" s="97" t="s">
        <v>3245</v>
      </c>
      <c r="S1527" s="98"/>
    </row>
    <row r="1528" spans="1:19" ht="42.75">
      <c r="A1528" s="90" t="s">
        <v>50</v>
      </c>
      <c r="B1528" s="91" t="s">
        <v>979</v>
      </c>
      <c r="C1528" s="91" t="s">
        <v>1658</v>
      </c>
      <c r="D1528" s="90">
        <v>7417</v>
      </c>
      <c r="E1528" s="90">
        <v>7705</v>
      </c>
      <c r="F1528" s="90" t="s">
        <v>1454</v>
      </c>
      <c r="G1528" s="90"/>
      <c r="H1528" s="93"/>
      <c r="I1528" s="93"/>
      <c r="J1528" s="93"/>
      <c r="K1528" s="95"/>
      <c r="L1528" s="69"/>
      <c r="M1528" s="69"/>
      <c r="N1528" s="69"/>
      <c r="O1528" s="69"/>
      <c r="P1528" s="78"/>
      <c r="Q1528" s="96"/>
      <c r="R1528" s="97"/>
      <c r="S1528" s="98"/>
    </row>
    <row r="1529" spans="1:19" ht="42.75">
      <c r="A1529" s="90" t="s">
        <v>50</v>
      </c>
      <c r="B1529" s="91" t="s">
        <v>979</v>
      </c>
      <c r="C1529" s="91" t="s">
        <v>1340</v>
      </c>
      <c r="D1529" s="90">
        <v>4681</v>
      </c>
      <c r="E1529" s="90">
        <v>5130</v>
      </c>
      <c r="F1529" s="90" t="s">
        <v>1454</v>
      </c>
      <c r="G1529" s="90"/>
      <c r="H1529" s="93"/>
      <c r="I1529" s="93"/>
      <c r="J1529" s="93"/>
      <c r="K1529" s="95"/>
      <c r="L1529" s="69"/>
      <c r="M1529" s="69"/>
      <c r="N1529" s="69"/>
      <c r="O1529" s="69"/>
      <c r="P1529" s="78"/>
      <c r="Q1529" s="96"/>
      <c r="R1529" s="97"/>
      <c r="S1529" s="98"/>
    </row>
    <row r="1530" spans="1:19" ht="42.75">
      <c r="A1530" s="90" t="s">
        <v>50</v>
      </c>
      <c r="B1530" s="91" t="s">
        <v>979</v>
      </c>
      <c r="C1530" s="91" t="s">
        <v>3090</v>
      </c>
      <c r="D1530" s="90">
        <v>4862</v>
      </c>
      <c r="E1530" s="90">
        <v>5495</v>
      </c>
      <c r="F1530" s="90" t="s">
        <v>1454</v>
      </c>
      <c r="G1530" s="90"/>
      <c r="H1530" s="93"/>
      <c r="I1530" s="93"/>
      <c r="J1530" s="93"/>
      <c r="K1530" s="95"/>
      <c r="L1530" s="69"/>
      <c r="M1530" s="69"/>
      <c r="N1530" s="69"/>
      <c r="O1530" s="69"/>
      <c r="P1530" s="78"/>
      <c r="Q1530" s="96"/>
      <c r="R1530" s="97"/>
      <c r="S1530" s="98"/>
    </row>
    <row r="1531" spans="1:19" ht="42.75">
      <c r="A1531" s="90" t="s">
        <v>50</v>
      </c>
      <c r="B1531" s="91" t="s">
        <v>979</v>
      </c>
      <c r="C1531" s="91" t="s">
        <v>3246</v>
      </c>
      <c r="D1531" s="90">
        <v>847</v>
      </c>
      <c r="E1531" s="90">
        <v>1112</v>
      </c>
      <c r="F1531" s="90" t="s">
        <v>1434</v>
      </c>
      <c r="G1531" s="90">
        <v>2024</v>
      </c>
      <c r="H1531" s="101">
        <v>45426</v>
      </c>
      <c r="I1531" s="101">
        <v>45426</v>
      </c>
      <c r="J1531" s="94" t="s">
        <v>3247</v>
      </c>
      <c r="K1531" s="100">
        <v>45429</v>
      </c>
      <c r="L1531" s="69" t="s">
        <v>78</v>
      </c>
      <c r="M1531" s="69"/>
      <c r="N1531" s="69"/>
      <c r="O1531" s="69" t="s">
        <v>1436</v>
      </c>
      <c r="P1531" s="78"/>
      <c r="Q1531" s="96">
        <v>45432</v>
      </c>
      <c r="R1531" s="97"/>
      <c r="S1531" s="98"/>
    </row>
    <row r="1532" spans="1:19" ht="42.75">
      <c r="A1532" s="90" t="s">
        <v>50</v>
      </c>
      <c r="B1532" s="91" t="s">
        <v>410</v>
      </c>
      <c r="C1532" s="91" t="s">
        <v>3248</v>
      </c>
      <c r="D1532" s="90">
        <v>4827</v>
      </c>
      <c r="E1532" s="90">
        <v>4792</v>
      </c>
      <c r="F1532" s="90" t="s">
        <v>1454</v>
      </c>
      <c r="G1532" s="90"/>
      <c r="H1532" s="93"/>
      <c r="I1532" s="93"/>
      <c r="J1532" s="93"/>
      <c r="K1532" s="95"/>
      <c r="L1532" s="69"/>
      <c r="M1532" s="69"/>
      <c r="N1532" s="69"/>
      <c r="O1532" s="69"/>
      <c r="P1532" s="78"/>
      <c r="Q1532" s="96"/>
      <c r="R1532" s="97"/>
      <c r="S1532" s="98"/>
    </row>
    <row r="1533" spans="1:19" ht="42.75">
      <c r="A1533" s="90" t="s">
        <v>50</v>
      </c>
      <c r="B1533" s="91" t="s">
        <v>410</v>
      </c>
      <c r="C1533" s="91" t="s">
        <v>3249</v>
      </c>
      <c r="D1533" s="90">
        <v>2329</v>
      </c>
      <c r="E1533" s="90">
        <v>2506</v>
      </c>
      <c r="F1533" s="90" t="s">
        <v>1454</v>
      </c>
      <c r="G1533" s="90"/>
      <c r="H1533" s="93"/>
      <c r="I1533" s="93"/>
      <c r="J1533" s="93"/>
      <c r="K1533" s="95"/>
      <c r="L1533" s="69"/>
      <c r="M1533" s="69"/>
      <c r="N1533" s="69"/>
      <c r="O1533" s="69"/>
      <c r="P1533" s="78"/>
      <c r="Q1533" s="96"/>
      <c r="R1533" s="97"/>
      <c r="S1533" s="98"/>
    </row>
    <row r="1534" spans="1:19" ht="42.75">
      <c r="A1534" s="90" t="s">
        <v>50</v>
      </c>
      <c r="B1534" s="91" t="s">
        <v>410</v>
      </c>
      <c r="C1534" s="91" t="s">
        <v>2575</v>
      </c>
      <c r="D1534" s="90">
        <v>4458</v>
      </c>
      <c r="E1534" s="90">
        <v>4687</v>
      </c>
      <c r="F1534" s="90" t="s">
        <v>1454</v>
      </c>
      <c r="G1534" s="90"/>
      <c r="H1534" s="93"/>
      <c r="I1534" s="93"/>
      <c r="J1534" s="93"/>
      <c r="K1534" s="95"/>
      <c r="L1534" s="69"/>
      <c r="M1534" s="69"/>
      <c r="N1534" s="69"/>
      <c r="O1534" s="69"/>
      <c r="P1534" s="78"/>
      <c r="Q1534" s="96"/>
      <c r="R1534" s="97"/>
      <c r="S1534" s="98"/>
    </row>
    <row r="1535" spans="1:19" ht="42.75">
      <c r="A1535" s="90" t="s">
        <v>50</v>
      </c>
      <c r="B1535" s="91" t="s">
        <v>410</v>
      </c>
      <c r="C1535" s="91" t="s">
        <v>3250</v>
      </c>
      <c r="D1535" s="90">
        <v>3624</v>
      </c>
      <c r="E1535" s="90">
        <v>3771</v>
      </c>
      <c r="F1535" s="90" t="s">
        <v>1454</v>
      </c>
      <c r="G1535" s="90"/>
      <c r="H1535" s="93"/>
      <c r="I1535" s="93"/>
      <c r="J1535" s="93"/>
      <c r="K1535" s="95"/>
      <c r="L1535" s="69"/>
      <c r="M1535" s="69"/>
      <c r="N1535" s="69"/>
      <c r="O1535" s="69"/>
      <c r="P1535" s="78"/>
      <c r="Q1535" s="96"/>
      <c r="R1535" s="97"/>
      <c r="S1535" s="98"/>
    </row>
    <row r="1536" spans="1:19" ht="42.75">
      <c r="A1536" s="90" t="s">
        <v>50</v>
      </c>
      <c r="B1536" s="91" t="s">
        <v>410</v>
      </c>
      <c r="C1536" s="91" t="s">
        <v>1433</v>
      </c>
      <c r="D1536" s="90">
        <v>1487</v>
      </c>
      <c r="E1536" s="90">
        <v>1531</v>
      </c>
      <c r="F1536" s="90" t="s">
        <v>1454</v>
      </c>
      <c r="G1536" s="90"/>
      <c r="H1536" s="93"/>
      <c r="I1536" s="93"/>
      <c r="J1536" s="93"/>
      <c r="K1536" s="95"/>
      <c r="L1536" s="69"/>
      <c r="M1536" s="69"/>
      <c r="N1536" s="69"/>
      <c r="O1536" s="69"/>
      <c r="P1536" s="78"/>
      <c r="Q1536" s="96"/>
      <c r="R1536" s="97"/>
      <c r="S1536" s="98"/>
    </row>
    <row r="1537" spans="1:19" ht="42.75">
      <c r="A1537" s="90" t="s">
        <v>50</v>
      </c>
      <c r="B1537" s="91" t="s">
        <v>410</v>
      </c>
      <c r="C1537" s="91" t="s">
        <v>1437</v>
      </c>
      <c r="D1537" s="90">
        <v>705</v>
      </c>
      <c r="E1537" s="90">
        <v>686</v>
      </c>
      <c r="F1537" s="90" t="s">
        <v>1454</v>
      </c>
      <c r="G1537" s="90"/>
      <c r="H1537" s="93"/>
      <c r="I1537" s="93"/>
      <c r="J1537" s="93"/>
      <c r="K1537" s="95"/>
      <c r="L1537" s="69"/>
      <c r="M1537" s="69"/>
      <c r="N1537" s="69"/>
      <c r="O1537" s="69"/>
      <c r="P1537" s="78"/>
      <c r="Q1537" s="96"/>
      <c r="R1537" s="97"/>
      <c r="S1537" s="98"/>
    </row>
    <row r="1538" spans="1:19" ht="42.75">
      <c r="A1538" s="90" t="s">
        <v>50</v>
      </c>
      <c r="B1538" s="91" t="s">
        <v>410</v>
      </c>
      <c r="C1538" s="91" t="s">
        <v>3251</v>
      </c>
      <c r="D1538" s="90">
        <v>1739</v>
      </c>
      <c r="E1538" s="90">
        <v>1760</v>
      </c>
      <c r="F1538" s="90" t="s">
        <v>1454</v>
      </c>
      <c r="G1538" s="90"/>
      <c r="H1538" s="93"/>
      <c r="I1538" s="93"/>
      <c r="J1538" s="93"/>
      <c r="K1538" s="95"/>
      <c r="L1538" s="69"/>
      <c r="M1538" s="69"/>
      <c r="N1538" s="69"/>
      <c r="O1538" s="69"/>
      <c r="P1538" s="78"/>
      <c r="Q1538" s="96"/>
      <c r="R1538" s="97"/>
      <c r="S1538" s="98"/>
    </row>
    <row r="1539" spans="1:19" ht="42.75">
      <c r="A1539" s="90" t="s">
        <v>50</v>
      </c>
      <c r="B1539" s="91" t="s">
        <v>410</v>
      </c>
      <c r="C1539" s="91" t="s">
        <v>3252</v>
      </c>
      <c r="D1539" s="90">
        <v>3486</v>
      </c>
      <c r="E1539" s="90">
        <v>3308</v>
      </c>
      <c r="F1539" s="90" t="s">
        <v>1454</v>
      </c>
      <c r="G1539" s="90"/>
      <c r="H1539" s="93"/>
      <c r="I1539" s="93"/>
      <c r="J1539" s="93"/>
      <c r="K1539" s="95"/>
      <c r="L1539" s="69"/>
      <c r="M1539" s="69"/>
      <c r="N1539" s="69"/>
      <c r="O1539" s="69"/>
      <c r="P1539" s="78"/>
      <c r="Q1539" s="96"/>
      <c r="R1539" s="97"/>
      <c r="S1539" s="98"/>
    </row>
    <row r="1540" spans="1:19" ht="42.75">
      <c r="A1540" s="90" t="s">
        <v>50</v>
      </c>
      <c r="B1540" s="91" t="s">
        <v>410</v>
      </c>
      <c r="C1540" s="91" t="s">
        <v>3253</v>
      </c>
      <c r="D1540" s="90">
        <v>2027</v>
      </c>
      <c r="E1540" s="90">
        <v>2255</v>
      </c>
      <c r="F1540" s="90" t="s">
        <v>1454</v>
      </c>
      <c r="G1540" s="90"/>
      <c r="H1540" s="93"/>
      <c r="I1540" s="93"/>
      <c r="J1540" s="93"/>
      <c r="K1540" s="95"/>
      <c r="L1540" s="69"/>
      <c r="M1540" s="69"/>
      <c r="N1540" s="69"/>
      <c r="O1540" s="69"/>
      <c r="P1540" s="78"/>
      <c r="Q1540" s="96"/>
      <c r="R1540" s="97"/>
      <c r="S1540" s="98"/>
    </row>
    <row r="1541" spans="1:19" ht="42.75">
      <c r="A1541" s="90" t="s">
        <v>50</v>
      </c>
      <c r="B1541" s="91" t="s">
        <v>410</v>
      </c>
      <c r="C1541" s="91" t="s">
        <v>3254</v>
      </c>
      <c r="D1541" s="90">
        <v>1793</v>
      </c>
      <c r="E1541" s="90">
        <v>1823</v>
      </c>
      <c r="F1541" s="90" t="s">
        <v>1454</v>
      </c>
      <c r="G1541" s="90"/>
      <c r="H1541" s="93"/>
      <c r="I1541" s="93"/>
      <c r="J1541" s="93"/>
      <c r="K1541" s="95"/>
      <c r="L1541" s="69"/>
      <c r="M1541" s="69"/>
      <c r="N1541" s="69"/>
      <c r="O1541" s="69"/>
      <c r="P1541" s="78"/>
      <c r="Q1541" s="96"/>
      <c r="R1541" s="97"/>
      <c r="S1541" s="98"/>
    </row>
    <row r="1542" spans="1:19" ht="42.75">
      <c r="A1542" s="90" t="s">
        <v>50</v>
      </c>
      <c r="B1542" s="91" t="s">
        <v>410</v>
      </c>
      <c r="C1542" s="91" t="s">
        <v>357</v>
      </c>
      <c r="D1542" s="90">
        <v>1800</v>
      </c>
      <c r="E1542" s="90">
        <v>1963</v>
      </c>
      <c r="F1542" s="90" t="s">
        <v>1454</v>
      </c>
      <c r="G1542" s="90"/>
      <c r="H1542" s="93"/>
      <c r="I1542" s="93"/>
      <c r="J1542" s="93"/>
      <c r="K1542" s="95"/>
      <c r="L1542" s="69"/>
      <c r="M1542" s="69"/>
      <c r="N1542" s="69"/>
      <c r="O1542" s="69"/>
      <c r="P1542" s="78"/>
      <c r="Q1542" s="96"/>
      <c r="R1542" s="97"/>
      <c r="S1542" s="98"/>
    </row>
    <row r="1543" spans="1:19" ht="42.75">
      <c r="A1543" s="90" t="s">
        <v>50</v>
      </c>
      <c r="B1543" s="91" t="s">
        <v>410</v>
      </c>
      <c r="C1543" s="91" t="s">
        <v>2718</v>
      </c>
      <c r="D1543" s="90">
        <v>2401</v>
      </c>
      <c r="E1543" s="90">
        <v>2262</v>
      </c>
      <c r="F1543" s="90" t="s">
        <v>1454</v>
      </c>
      <c r="G1543" s="90"/>
      <c r="H1543" s="93"/>
      <c r="I1543" s="93"/>
      <c r="J1543" s="93"/>
      <c r="K1543" s="95"/>
      <c r="L1543" s="69"/>
      <c r="M1543" s="69"/>
      <c r="N1543" s="69"/>
      <c r="O1543" s="69"/>
      <c r="P1543" s="78"/>
      <c r="Q1543" s="96"/>
      <c r="R1543" s="97"/>
      <c r="S1543" s="98"/>
    </row>
    <row r="1544" spans="1:19" ht="42.75">
      <c r="A1544" s="90" t="s">
        <v>50</v>
      </c>
      <c r="B1544" s="91" t="s">
        <v>410</v>
      </c>
      <c r="C1544" s="91" t="s">
        <v>539</v>
      </c>
      <c r="D1544" s="90">
        <v>3868</v>
      </c>
      <c r="E1544" s="90">
        <v>4107</v>
      </c>
      <c r="F1544" s="90" t="s">
        <v>1454</v>
      </c>
      <c r="G1544" s="90"/>
      <c r="H1544" s="93"/>
      <c r="I1544" s="93"/>
      <c r="J1544" s="93"/>
      <c r="K1544" s="95"/>
      <c r="L1544" s="69"/>
      <c r="M1544" s="69"/>
      <c r="N1544" s="69"/>
      <c r="O1544" s="69"/>
      <c r="P1544" s="78"/>
      <c r="Q1544" s="96"/>
      <c r="R1544" s="97"/>
      <c r="S1544" s="98"/>
    </row>
    <row r="1545" spans="1:19" ht="42.75">
      <c r="A1545" s="90" t="s">
        <v>50</v>
      </c>
      <c r="B1545" s="91" t="s">
        <v>410</v>
      </c>
      <c r="C1545" s="91" t="s">
        <v>2236</v>
      </c>
      <c r="D1545" s="90">
        <v>1185</v>
      </c>
      <c r="E1545" s="90">
        <v>1269</v>
      </c>
      <c r="F1545" s="90" t="s">
        <v>1454</v>
      </c>
      <c r="G1545" s="90"/>
      <c r="H1545" s="93"/>
      <c r="I1545" s="93"/>
      <c r="J1545" s="93"/>
      <c r="K1545" s="95"/>
      <c r="L1545" s="69"/>
      <c r="M1545" s="69"/>
      <c r="N1545" s="69"/>
      <c r="O1545" s="69"/>
      <c r="P1545" s="78"/>
      <c r="Q1545" s="96"/>
      <c r="R1545" s="97"/>
      <c r="S1545" s="98"/>
    </row>
    <row r="1546" spans="1:19" ht="42.75">
      <c r="A1546" s="90" t="s">
        <v>50</v>
      </c>
      <c r="B1546" s="91" t="s">
        <v>410</v>
      </c>
      <c r="C1546" s="91" t="s">
        <v>3255</v>
      </c>
      <c r="D1546" s="90">
        <v>2111</v>
      </c>
      <c r="E1546" s="90">
        <v>2203</v>
      </c>
      <c r="F1546" s="90" t="s">
        <v>1454</v>
      </c>
      <c r="G1546" s="90"/>
      <c r="H1546" s="93"/>
      <c r="I1546" s="93"/>
      <c r="J1546" s="93"/>
      <c r="K1546" s="95"/>
      <c r="L1546" s="69"/>
      <c r="M1546" s="69"/>
      <c r="N1546" s="69"/>
      <c r="O1546" s="69"/>
      <c r="P1546" s="78"/>
      <c r="Q1546" s="96"/>
      <c r="R1546" s="97"/>
      <c r="S1546" s="98"/>
    </row>
    <row r="1547" spans="1:19" ht="42.75">
      <c r="A1547" s="90" t="s">
        <v>50</v>
      </c>
      <c r="B1547" s="91" t="s">
        <v>410</v>
      </c>
      <c r="C1547" s="91" t="s">
        <v>440</v>
      </c>
      <c r="D1547" s="90">
        <v>2752</v>
      </c>
      <c r="E1547" s="90">
        <v>2922</v>
      </c>
      <c r="F1547" s="90" t="s">
        <v>1454</v>
      </c>
      <c r="G1547" s="90"/>
      <c r="H1547" s="93"/>
      <c r="I1547" s="93"/>
      <c r="J1547" s="93"/>
      <c r="K1547" s="95"/>
      <c r="L1547" s="69"/>
      <c r="M1547" s="69"/>
      <c r="N1547" s="69"/>
      <c r="O1547" s="69"/>
      <c r="P1547" s="78"/>
      <c r="Q1547" s="96"/>
      <c r="R1547" s="97"/>
      <c r="S1547" s="98"/>
    </row>
    <row r="1548" spans="1:19" ht="42.75">
      <c r="A1548" s="90" t="s">
        <v>50</v>
      </c>
      <c r="B1548" s="91" t="s">
        <v>444</v>
      </c>
      <c r="C1548" s="91" t="s">
        <v>3256</v>
      </c>
      <c r="D1548" s="90">
        <v>4182</v>
      </c>
      <c r="E1548" s="90">
        <v>4292</v>
      </c>
      <c r="F1548" s="90" t="s">
        <v>1434</v>
      </c>
      <c r="G1548" s="90">
        <v>2024</v>
      </c>
      <c r="H1548" s="101">
        <v>45568</v>
      </c>
      <c r="I1548" s="101">
        <v>45571</v>
      </c>
      <c r="J1548" s="94" t="s">
        <v>3257</v>
      </c>
      <c r="K1548" s="100">
        <v>45574</v>
      </c>
      <c r="L1548" s="69" t="s">
        <v>83</v>
      </c>
      <c r="M1548" s="69" t="s">
        <v>4</v>
      </c>
      <c r="N1548" s="69" t="s">
        <v>101</v>
      </c>
      <c r="O1548" s="69" t="s">
        <v>1436</v>
      </c>
      <c r="P1548" s="78"/>
      <c r="Q1548" s="115">
        <v>45574</v>
      </c>
      <c r="R1548" s="65" t="s">
        <v>1481</v>
      </c>
      <c r="S1548" s="89"/>
    </row>
    <row r="1549" spans="1:19" ht="42.75">
      <c r="A1549" s="90" t="s">
        <v>50</v>
      </c>
      <c r="B1549" s="91" t="s">
        <v>444</v>
      </c>
      <c r="C1549" s="91" t="s">
        <v>3258</v>
      </c>
      <c r="D1549" s="90">
        <v>4641</v>
      </c>
      <c r="E1549" s="90">
        <v>5869</v>
      </c>
      <c r="F1549" s="90" t="s">
        <v>1434</v>
      </c>
      <c r="G1549" s="90">
        <v>2024</v>
      </c>
      <c r="H1549" s="101">
        <v>45470</v>
      </c>
      <c r="I1549" s="101">
        <v>45475</v>
      </c>
      <c r="J1549" s="94" t="s">
        <v>3259</v>
      </c>
      <c r="K1549" s="100">
        <v>45483</v>
      </c>
      <c r="L1549" s="69" t="s">
        <v>80</v>
      </c>
      <c r="M1549" s="69" t="s">
        <v>4</v>
      </c>
      <c r="N1549" s="69" t="s">
        <v>101</v>
      </c>
      <c r="O1549" s="69" t="s">
        <v>1436</v>
      </c>
      <c r="P1549" s="78"/>
      <c r="Q1549" s="96">
        <v>45483</v>
      </c>
      <c r="R1549" s="97"/>
      <c r="S1549" s="98"/>
    </row>
    <row r="1550" spans="1:19" ht="42.75">
      <c r="A1550" s="90" t="s">
        <v>50</v>
      </c>
      <c r="B1550" s="91" t="s">
        <v>444</v>
      </c>
      <c r="C1550" s="91" t="s">
        <v>3260</v>
      </c>
      <c r="D1550" s="90">
        <v>4641</v>
      </c>
      <c r="E1550" s="90">
        <v>5250</v>
      </c>
      <c r="F1550" s="90" t="s">
        <v>1434</v>
      </c>
      <c r="G1550" s="90">
        <v>2024</v>
      </c>
      <c r="H1550" s="101">
        <v>45568</v>
      </c>
      <c r="I1550" s="101">
        <v>45573</v>
      </c>
      <c r="J1550" s="94" t="s">
        <v>3261</v>
      </c>
      <c r="K1550" s="100">
        <v>45580</v>
      </c>
      <c r="L1550" s="69" t="s">
        <v>83</v>
      </c>
      <c r="M1550" s="69" t="s">
        <v>4</v>
      </c>
      <c r="N1550" s="69" t="s">
        <v>101</v>
      </c>
      <c r="O1550" s="69" t="s">
        <v>1436</v>
      </c>
      <c r="P1550" s="78"/>
      <c r="Q1550" s="96">
        <v>45580</v>
      </c>
      <c r="R1550" s="97" t="s">
        <v>1481</v>
      </c>
      <c r="S1550" s="98"/>
    </row>
    <row r="1551" spans="1:19" ht="42.75">
      <c r="A1551" s="90" t="s">
        <v>50</v>
      </c>
      <c r="B1551" s="91" t="s">
        <v>444</v>
      </c>
      <c r="C1551" s="91" t="s">
        <v>3262</v>
      </c>
      <c r="D1551" s="90">
        <v>3527</v>
      </c>
      <c r="E1551" s="90">
        <v>3842</v>
      </c>
      <c r="F1551" s="90" t="s">
        <v>1434</v>
      </c>
      <c r="G1551" s="90">
        <v>2024</v>
      </c>
      <c r="H1551" s="101">
        <v>45496</v>
      </c>
      <c r="I1551" s="101">
        <v>45499</v>
      </c>
      <c r="J1551" s="94" t="s">
        <v>3263</v>
      </c>
      <c r="K1551" s="100">
        <v>45503</v>
      </c>
      <c r="L1551" s="69" t="s">
        <v>81</v>
      </c>
      <c r="M1551" s="69" t="s">
        <v>4</v>
      </c>
      <c r="N1551" s="69" t="s">
        <v>101</v>
      </c>
      <c r="O1551" s="69" t="s">
        <v>1436</v>
      </c>
      <c r="P1551" s="78"/>
      <c r="Q1551" s="96">
        <v>45503</v>
      </c>
      <c r="R1551" s="97"/>
      <c r="S1551" s="98"/>
    </row>
    <row r="1552" spans="1:19" ht="42.75">
      <c r="A1552" s="90" t="s">
        <v>50</v>
      </c>
      <c r="B1552" s="91" t="s">
        <v>444</v>
      </c>
      <c r="C1552" s="91" t="s">
        <v>3264</v>
      </c>
      <c r="D1552" s="90">
        <v>2486</v>
      </c>
      <c r="E1552" s="90">
        <v>2787</v>
      </c>
      <c r="F1552" s="90" t="s">
        <v>1454</v>
      </c>
      <c r="G1552" s="90"/>
      <c r="H1552" s="93"/>
      <c r="I1552" s="93"/>
      <c r="J1552" s="93"/>
      <c r="K1552" s="95"/>
      <c r="L1552" s="69"/>
      <c r="M1552" s="69"/>
      <c r="N1552" s="69"/>
      <c r="O1552" s="69"/>
      <c r="P1552" s="78"/>
      <c r="Q1552" s="96"/>
      <c r="R1552" s="97"/>
      <c r="S1552" s="98"/>
    </row>
    <row r="1553" spans="1:19" ht="42.75">
      <c r="A1553" s="90" t="s">
        <v>50</v>
      </c>
      <c r="B1553" s="91" t="s">
        <v>444</v>
      </c>
      <c r="C1553" s="91" t="s">
        <v>3265</v>
      </c>
      <c r="D1553" s="90">
        <v>1006</v>
      </c>
      <c r="E1553" s="90">
        <v>1012</v>
      </c>
      <c r="F1553" s="90" t="s">
        <v>1454</v>
      </c>
      <c r="G1553" s="90"/>
      <c r="H1553" s="93"/>
      <c r="I1553" s="93"/>
      <c r="J1553" s="93"/>
      <c r="K1553" s="95"/>
      <c r="L1553" s="69"/>
      <c r="M1553" s="69"/>
      <c r="N1553" s="69"/>
      <c r="O1553" s="69"/>
      <c r="P1553" s="78"/>
      <c r="Q1553" s="96"/>
      <c r="R1553" s="97"/>
      <c r="S1553" s="98"/>
    </row>
    <row r="1554" spans="1:19" ht="42.75">
      <c r="A1554" s="90" t="s">
        <v>50</v>
      </c>
      <c r="B1554" s="91" t="s">
        <v>444</v>
      </c>
      <c r="C1554" s="91" t="s">
        <v>3266</v>
      </c>
      <c r="D1554" s="90">
        <v>776</v>
      </c>
      <c r="E1554" s="90">
        <v>846</v>
      </c>
      <c r="F1554" s="90" t="s">
        <v>1454</v>
      </c>
      <c r="G1554" s="90"/>
      <c r="H1554" s="93"/>
      <c r="I1554" s="93"/>
      <c r="J1554" s="93"/>
      <c r="K1554" s="95"/>
      <c r="L1554" s="69"/>
      <c r="M1554" s="69"/>
      <c r="N1554" s="69"/>
      <c r="O1554" s="69"/>
      <c r="P1554" s="78"/>
      <c r="Q1554" s="96"/>
      <c r="R1554" s="97"/>
      <c r="S1554" s="98"/>
    </row>
    <row r="1555" spans="1:19" ht="42.75">
      <c r="A1555" s="90" t="s">
        <v>50</v>
      </c>
      <c r="B1555" s="91" t="s">
        <v>444</v>
      </c>
      <c r="C1555" s="91" t="s">
        <v>3267</v>
      </c>
      <c r="D1555" s="90">
        <v>3111</v>
      </c>
      <c r="E1555" s="90">
        <v>3463</v>
      </c>
      <c r="F1555" s="90" t="s">
        <v>1454</v>
      </c>
      <c r="G1555" s="90"/>
      <c r="H1555" s="93"/>
      <c r="I1555" s="93"/>
      <c r="J1555" s="93"/>
      <c r="K1555" s="95"/>
      <c r="L1555" s="69"/>
      <c r="M1555" s="69"/>
      <c r="N1555" s="69"/>
      <c r="O1555" s="69"/>
      <c r="P1555" s="78"/>
      <c r="Q1555" s="96"/>
      <c r="R1555" s="97"/>
      <c r="S1555" s="98"/>
    </row>
    <row r="1556" spans="1:19" ht="42.75">
      <c r="A1556" s="90" t="s">
        <v>50</v>
      </c>
      <c r="B1556" s="91" t="s">
        <v>444</v>
      </c>
      <c r="C1556" s="91" t="s">
        <v>3268</v>
      </c>
      <c r="D1556" s="90">
        <v>1320</v>
      </c>
      <c r="E1556" s="90">
        <v>1425</v>
      </c>
      <c r="F1556" s="90" t="s">
        <v>1434</v>
      </c>
      <c r="G1556" s="90">
        <v>2024</v>
      </c>
      <c r="H1556" s="101">
        <v>45568</v>
      </c>
      <c r="I1556" s="101">
        <v>45571</v>
      </c>
      <c r="J1556" s="94" t="s">
        <v>3269</v>
      </c>
      <c r="K1556" s="100">
        <v>45574</v>
      </c>
      <c r="L1556" s="69" t="s">
        <v>83</v>
      </c>
      <c r="M1556" s="69" t="s">
        <v>4</v>
      </c>
      <c r="N1556" s="69" t="s">
        <v>101</v>
      </c>
      <c r="O1556" s="69" t="s">
        <v>1436</v>
      </c>
      <c r="P1556" s="78"/>
      <c r="Q1556" s="115">
        <v>45574</v>
      </c>
      <c r="R1556" s="65" t="s">
        <v>1481</v>
      </c>
      <c r="S1556" s="89"/>
    </row>
    <row r="1557" spans="1:19" ht="42.75">
      <c r="A1557" s="90" t="s">
        <v>50</v>
      </c>
      <c r="B1557" s="91" t="s">
        <v>444</v>
      </c>
      <c r="C1557" s="91" t="s">
        <v>3270</v>
      </c>
      <c r="D1557" s="90">
        <v>5175</v>
      </c>
      <c r="E1557" s="90">
        <v>5512</v>
      </c>
      <c r="F1557" s="90" t="s">
        <v>1434</v>
      </c>
      <c r="G1557" s="90">
        <v>2024</v>
      </c>
      <c r="H1557" s="101">
        <v>45568</v>
      </c>
      <c r="I1557" s="101">
        <v>45573</v>
      </c>
      <c r="J1557" s="94" t="s">
        <v>3271</v>
      </c>
      <c r="K1557" s="100">
        <v>45582</v>
      </c>
      <c r="L1557" s="69" t="s">
        <v>83</v>
      </c>
      <c r="M1557" s="69" t="s">
        <v>4</v>
      </c>
      <c r="N1557" s="69" t="s">
        <v>101</v>
      </c>
      <c r="O1557" s="69" t="s">
        <v>1436</v>
      </c>
      <c r="P1557" s="78"/>
      <c r="Q1557" s="96">
        <v>45580</v>
      </c>
      <c r="R1557" s="97" t="s">
        <v>1481</v>
      </c>
      <c r="S1557" s="98"/>
    </row>
    <row r="1558" spans="1:19" ht="42.75">
      <c r="A1558" s="90" t="s">
        <v>50</v>
      </c>
      <c r="B1558" s="91" t="s">
        <v>444</v>
      </c>
      <c r="C1558" s="91" t="s">
        <v>2899</v>
      </c>
      <c r="D1558" s="90">
        <v>2203</v>
      </c>
      <c r="E1558" s="90">
        <v>2511</v>
      </c>
      <c r="F1558" s="90" t="s">
        <v>1454</v>
      </c>
      <c r="G1558" s="90"/>
      <c r="H1558" s="93"/>
      <c r="I1558" s="93"/>
      <c r="J1558" s="93"/>
      <c r="K1558" s="95"/>
      <c r="L1558" s="69"/>
      <c r="M1558" s="69"/>
      <c r="N1558" s="69"/>
      <c r="O1558" s="69"/>
      <c r="P1558" s="78"/>
      <c r="Q1558" s="96"/>
      <c r="R1558" s="97"/>
      <c r="S1558" s="98"/>
    </row>
    <row r="1559" spans="1:19" ht="42.75">
      <c r="A1559" s="90" t="s">
        <v>50</v>
      </c>
      <c r="B1559" s="91" t="s">
        <v>444</v>
      </c>
      <c r="C1559" s="91" t="s">
        <v>3272</v>
      </c>
      <c r="D1559" s="90">
        <v>2813</v>
      </c>
      <c r="E1559" s="90">
        <v>2925</v>
      </c>
      <c r="F1559" s="90" t="s">
        <v>1454</v>
      </c>
      <c r="G1559" s="90"/>
      <c r="H1559" s="93"/>
      <c r="I1559" s="93"/>
      <c r="J1559" s="93"/>
      <c r="K1559" s="95"/>
      <c r="L1559" s="69"/>
      <c r="M1559" s="69"/>
      <c r="N1559" s="69"/>
      <c r="O1559" s="69"/>
      <c r="P1559" s="78"/>
      <c r="Q1559" s="96"/>
      <c r="R1559" s="97"/>
      <c r="S1559" s="98"/>
    </row>
    <row r="1560" spans="1:19" ht="42.75">
      <c r="A1560" s="90" t="s">
        <v>50</v>
      </c>
      <c r="B1560" s="91" t="s">
        <v>444</v>
      </c>
      <c r="C1560" s="91" t="s">
        <v>1059</v>
      </c>
      <c r="D1560" s="90">
        <v>1666</v>
      </c>
      <c r="E1560" s="90">
        <v>1924</v>
      </c>
      <c r="F1560" s="90" t="s">
        <v>1454</v>
      </c>
      <c r="G1560" s="90"/>
      <c r="H1560" s="93"/>
      <c r="I1560" s="93"/>
      <c r="J1560" s="93"/>
      <c r="K1560" s="95"/>
      <c r="L1560" s="69"/>
      <c r="M1560" s="69"/>
      <c r="N1560" s="69"/>
      <c r="O1560" s="69"/>
      <c r="P1560" s="78"/>
      <c r="Q1560" s="96"/>
      <c r="R1560" s="97"/>
      <c r="S1560" s="98"/>
    </row>
    <row r="1561" spans="1:19" ht="42.75">
      <c r="A1561" s="90" t="s">
        <v>50</v>
      </c>
      <c r="B1561" s="91" t="s">
        <v>444</v>
      </c>
      <c r="C1561" s="91" t="s">
        <v>3273</v>
      </c>
      <c r="D1561" s="90">
        <v>3278</v>
      </c>
      <c r="E1561" s="90">
        <v>3425</v>
      </c>
      <c r="F1561" s="90" t="s">
        <v>1434</v>
      </c>
      <c r="G1561" s="90">
        <v>2024</v>
      </c>
      <c r="H1561" s="101">
        <v>45568</v>
      </c>
      <c r="I1561" s="101">
        <v>45573</v>
      </c>
      <c r="J1561" s="94" t="s">
        <v>3274</v>
      </c>
      <c r="K1561" s="100">
        <v>45580</v>
      </c>
      <c r="L1561" s="69" t="s">
        <v>83</v>
      </c>
      <c r="M1561" s="69" t="s">
        <v>4</v>
      </c>
      <c r="N1561" s="69" t="s">
        <v>101</v>
      </c>
      <c r="O1561" s="69" t="s">
        <v>1436</v>
      </c>
      <c r="P1561" s="78"/>
      <c r="Q1561" s="96">
        <v>45580</v>
      </c>
      <c r="R1561" s="97" t="s">
        <v>1481</v>
      </c>
      <c r="S1561" s="98"/>
    </row>
    <row r="1562" spans="1:19" ht="42.75">
      <c r="A1562" s="90" t="s">
        <v>50</v>
      </c>
      <c r="B1562" s="91" t="s">
        <v>444</v>
      </c>
      <c r="C1562" s="91" t="s">
        <v>3275</v>
      </c>
      <c r="D1562" s="90">
        <v>1385</v>
      </c>
      <c r="E1562" s="90">
        <v>1466</v>
      </c>
      <c r="F1562" s="90" t="s">
        <v>1434</v>
      </c>
      <c r="G1562" s="90">
        <v>2024</v>
      </c>
      <c r="H1562" s="101">
        <v>45568</v>
      </c>
      <c r="I1562" s="101">
        <v>45571</v>
      </c>
      <c r="J1562" s="94" t="s">
        <v>3276</v>
      </c>
      <c r="K1562" s="100">
        <v>45580</v>
      </c>
      <c r="L1562" s="69" t="s">
        <v>83</v>
      </c>
      <c r="M1562" s="69" t="s">
        <v>4</v>
      </c>
      <c r="N1562" s="69" t="s">
        <v>101</v>
      </c>
      <c r="O1562" s="69" t="s">
        <v>1436</v>
      </c>
      <c r="P1562" s="78"/>
      <c r="Q1562" s="115">
        <v>45580</v>
      </c>
      <c r="R1562" s="65" t="s">
        <v>1481</v>
      </c>
      <c r="S1562" s="89"/>
    </row>
    <row r="1563" spans="1:19" ht="42.75">
      <c r="A1563" s="90" t="s">
        <v>50</v>
      </c>
      <c r="B1563" s="91" t="s">
        <v>444</v>
      </c>
      <c r="C1563" s="91" t="s">
        <v>3015</v>
      </c>
      <c r="D1563" s="90">
        <v>771</v>
      </c>
      <c r="E1563" s="90">
        <v>643</v>
      </c>
      <c r="F1563" s="90" t="s">
        <v>1454</v>
      </c>
      <c r="G1563" s="90"/>
      <c r="H1563" s="93"/>
      <c r="I1563" s="93"/>
      <c r="J1563" s="93"/>
      <c r="K1563" s="95"/>
      <c r="L1563" s="69"/>
      <c r="M1563" s="69"/>
      <c r="N1563" s="69"/>
      <c r="O1563" s="69"/>
      <c r="P1563" s="78"/>
      <c r="Q1563" s="96"/>
      <c r="R1563" s="97"/>
      <c r="S1563" s="98"/>
    </row>
    <row r="1564" spans="1:19" ht="42.75">
      <c r="A1564" s="90" t="s">
        <v>50</v>
      </c>
      <c r="B1564" s="91" t="s">
        <v>444</v>
      </c>
      <c r="C1564" s="91" t="s">
        <v>728</v>
      </c>
      <c r="D1564" s="90">
        <v>1969</v>
      </c>
      <c r="E1564" s="90">
        <v>2025</v>
      </c>
      <c r="F1564" s="90" t="s">
        <v>1454</v>
      </c>
      <c r="G1564" s="90"/>
      <c r="H1564" s="93"/>
      <c r="I1564" s="93"/>
      <c r="J1564" s="93"/>
      <c r="K1564" s="95"/>
      <c r="L1564" s="69"/>
      <c r="M1564" s="69"/>
      <c r="N1564" s="69"/>
      <c r="O1564" s="69"/>
      <c r="P1564" s="78"/>
      <c r="Q1564" s="96"/>
      <c r="R1564" s="97"/>
      <c r="S1564" s="98"/>
    </row>
    <row r="1565" spans="1:19" ht="42.75">
      <c r="A1565" s="90" t="s">
        <v>50</v>
      </c>
      <c r="B1565" s="91" t="s">
        <v>444</v>
      </c>
      <c r="C1565" s="91" t="s">
        <v>1087</v>
      </c>
      <c r="D1565" s="90">
        <v>3003</v>
      </c>
      <c r="E1565" s="90">
        <v>3356</v>
      </c>
      <c r="F1565" s="90" t="s">
        <v>1454</v>
      </c>
      <c r="G1565" s="90"/>
      <c r="H1565" s="93"/>
      <c r="I1565" s="93"/>
      <c r="J1565" s="93"/>
      <c r="K1565" s="95"/>
      <c r="L1565" s="69"/>
      <c r="M1565" s="69"/>
      <c r="N1565" s="69"/>
      <c r="O1565" s="69"/>
      <c r="P1565" s="78"/>
      <c r="Q1565" s="96"/>
      <c r="R1565" s="97"/>
      <c r="S1565" s="98"/>
    </row>
    <row r="1566" spans="1:19" ht="42.75">
      <c r="A1566" s="90" t="s">
        <v>50</v>
      </c>
      <c r="B1566" s="91" t="s">
        <v>444</v>
      </c>
      <c r="C1566" s="91" t="s">
        <v>3114</v>
      </c>
      <c r="D1566" s="90">
        <v>3160</v>
      </c>
      <c r="E1566" s="90">
        <v>3690</v>
      </c>
      <c r="F1566" s="90" t="s">
        <v>1454</v>
      </c>
      <c r="G1566" s="90"/>
      <c r="H1566" s="93"/>
      <c r="I1566" s="93"/>
      <c r="J1566" s="93"/>
      <c r="K1566" s="95"/>
      <c r="L1566" s="69"/>
      <c r="M1566" s="69"/>
      <c r="N1566" s="69"/>
      <c r="O1566" s="69"/>
      <c r="P1566" s="78"/>
      <c r="Q1566" s="96"/>
      <c r="R1566" s="97"/>
      <c r="S1566" s="98"/>
    </row>
    <row r="1567" spans="1:19" ht="42.75">
      <c r="A1567" s="90" t="s">
        <v>50</v>
      </c>
      <c r="B1567" s="91" t="s">
        <v>444</v>
      </c>
      <c r="C1567" s="91" t="s">
        <v>3013</v>
      </c>
      <c r="D1567" s="90">
        <v>3696</v>
      </c>
      <c r="E1567" s="90">
        <v>3814</v>
      </c>
      <c r="F1567" s="90" t="s">
        <v>1454</v>
      </c>
      <c r="G1567" s="90"/>
      <c r="H1567" s="93"/>
      <c r="I1567" s="93"/>
      <c r="J1567" s="93"/>
      <c r="K1567" s="95"/>
      <c r="L1567" s="69"/>
      <c r="M1567" s="69"/>
      <c r="N1567" s="69"/>
      <c r="O1567" s="69"/>
      <c r="P1567" s="78"/>
      <c r="Q1567" s="96"/>
      <c r="R1567" s="97"/>
      <c r="S1567" s="98"/>
    </row>
    <row r="1568" spans="1:19" ht="42.75">
      <c r="A1568" s="90" t="s">
        <v>50</v>
      </c>
      <c r="B1568" s="91" t="s">
        <v>444</v>
      </c>
      <c r="C1568" s="91" t="s">
        <v>3277</v>
      </c>
      <c r="D1568" s="90">
        <v>1932</v>
      </c>
      <c r="E1568" s="90">
        <v>2075</v>
      </c>
      <c r="F1568" s="90" t="s">
        <v>1454</v>
      </c>
      <c r="G1568" s="90"/>
      <c r="H1568" s="93"/>
      <c r="I1568" s="93"/>
      <c r="J1568" s="93"/>
      <c r="K1568" s="95"/>
      <c r="L1568" s="69"/>
      <c r="M1568" s="69"/>
      <c r="N1568" s="69"/>
      <c r="O1568" s="69"/>
      <c r="P1568" s="78"/>
      <c r="Q1568" s="96"/>
      <c r="R1568" s="97"/>
      <c r="S1568" s="98"/>
    </row>
    <row r="1569" spans="1:19" ht="42.75">
      <c r="A1569" s="90" t="s">
        <v>50</v>
      </c>
      <c r="B1569" s="91" t="s">
        <v>444</v>
      </c>
      <c r="C1569" s="91" t="s">
        <v>3278</v>
      </c>
      <c r="D1569" s="90">
        <v>1581</v>
      </c>
      <c r="E1569" s="90">
        <v>1655</v>
      </c>
      <c r="F1569" s="90" t="s">
        <v>1454</v>
      </c>
      <c r="G1569" s="90"/>
      <c r="H1569" s="93"/>
      <c r="I1569" s="93"/>
      <c r="J1569" s="93"/>
      <c r="K1569" s="95"/>
      <c r="L1569" s="69"/>
      <c r="M1569" s="69"/>
      <c r="N1569" s="69"/>
      <c r="O1569" s="69"/>
      <c r="P1569" s="78"/>
      <c r="Q1569" s="96"/>
      <c r="R1569" s="97"/>
      <c r="S1569" s="98"/>
    </row>
    <row r="1570" spans="1:19" ht="42.75">
      <c r="A1570" s="90" t="s">
        <v>50</v>
      </c>
      <c r="B1570" s="91" t="s">
        <v>444</v>
      </c>
      <c r="C1570" s="91" t="s">
        <v>2345</v>
      </c>
      <c r="D1570" s="90">
        <v>2570</v>
      </c>
      <c r="E1570" s="90">
        <v>2733</v>
      </c>
      <c r="F1570" s="90" t="s">
        <v>1434</v>
      </c>
      <c r="G1570" s="90">
        <v>2024</v>
      </c>
      <c r="H1570" s="101">
        <v>45496</v>
      </c>
      <c r="I1570" s="101">
        <v>45499</v>
      </c>
      <c r="J1570" s="94" t="s">
        <v>3279</v>
      </c>
      <c r="K1570" s="100">
        <v>45503</v>
      </c>
      <c r="L1570" s="69" t="s">
        <v>81</v>
      </c>
      <c r="M1570" s="69" t="s">
        <v>4</v>
      </c>
      <c r="N1570" s="69" t="s">
        <v>101</v>
      </c>
      <c r="O1570" s="69" t="s">
        <v>1436</v>
      </c>
      <c r="P1570" s="78"/>
      <c r="Q1570" s="96">
        <v>45503</v>
      </c>
      <c r="R1570" s="97"/>
      <c r="S1570" s="98"/>
    </row>
    <row r="1571" spans="1:19" ht="42.75">
      <c r="A1571" s="90" t="s">
        <v>50</v>
      </c>
      <c r="B1571" s="91" t="s">
        <v>444</v>
      </c>
      <c r="C1571" s="91" t="s">
        <v>3280</v>
      </c>
      <c r="D1571" s="90">
        <v>881</v>
      </c>
      <c r="E1571" s="90">
        <v>1014</v>
      </c>
      <c r="F1571" s="90" t="s">
        <v>1454</v>
      </c>
      <c r="G1571" s="90"/>
      <c r="H1571" s="93"/>
      <c r="I1571" s="93"/>
      <c r="J1571" s="93"/>
      <c r="K1571" s="95"/>
      <c r="L1571" s="69"/>
      <c r="M1571" s="69"/>
      <c r="N1571" s="69"/>
      <c r="O1571" s="69"/>
      <c r="P1571" s="78"/>
      <c r="Q1571" s="96"/>
      <c r="R1571" s="97"/>
      <c r="S1571" s="98"/>
    </row>
    <row r="1572" spans="1:19" ht="42.75">
      <c r="A1572" s="90" t="s">
        <v>50</v>
      </c>
      <c r="B1572" s="91" t="s">
        <v>444</v>
      </c>
      <c r="C1572" s="91" t="s">
        <v>3281</v>
      </c>
      <c r="D1572" s="90">
        <v>770</v>
      </c>
      <c r="E1572" s="90">
        <v>683</v>
      </c>
      <c r="F1572" s="90" t="s">
        <v>1454</v>
      </c>
      <c r="G1572" s="90"/>
      <c r="H1572" s="93"/>
      <c r="I1572" s="93"/>
      <c r="J1572" s="93"/>
      <c r="K1572" s="95"/>
      <c r="L1572" s="69"/>
      <c r="M1572" s="69"/>
      <c r="N1572" s="69"/>
      <c r="O1572" s="69"/>
      <c r="P1572" s="78"/>
      <c r="Q1572" s="96"/>
      <c r="R1572" s="97"/>
      <c r="S1572" s="98"/>
    </row>
    <row r="1573" spans="1:19" ht="42.75">
      <c r="A1573" s="90" t="s">
        <v>50</v>
      </c>
      <c r="B1573" s="91" t="s">
        <v>444</v>
      </c>
      <c r="C1573" s="91" t="s">
        <v>741</v>
      </c>
      <c r="D1573" s="90">
        <v>1544</v>
      </c>
      <c r="E1573" s="90">
        <v>1959</v>
      </c>
      <c r="F1573" s="90" t="s">
        <v>1454</v>
      </c>
      <c r="G1573" s="90"/>
      <c r="H1573" s="93"/>
      <c r="I1573" s="93"/>
      <c r="J1573" s="93"/>
      <c r="K1573" s="95"/>
      <c r="L1573" s="69"/>
      <c r="M1573" s="69"/>
      <c r="N1573" s="69"/>
      <c r="O1573" s="69"/>
      <c r="P1573" s="78"/>
      <c r="Q1573" s="96"/>
      <c r="R1573" s="97"/>
      <c r="S1573" s="98"/>
    </row>
    <row r="1574" spans="1:19" ht="42.75">
      <c r="A1574" s="90" t="s">
        <v>50</v>
      </c>
      <c r="B1574" s="91" t="s">
        <v>714</v>
      </c>
      <c r="C1574" s="91" t="s">
        <v>2642</v>
      </c>
      <c r="D1574" s="90">
        <v>4205</v>
      </c>
      <c r="E1574" s="90">
        <v>4631</v>
      </c>
      <c r="F1574" s="90" t="s">
        <v>1454</v>
      </c>
      <c r="G1574" s="90"/>
      <c r="H1574" s="93"/>
      <c r="I1574" s="93"/>
      <c r="J1574" s="122"/>
      <c r="K1574" s="95"/>
      <c r="L1574" s="69"/>
      <c r="M1574" s="69"/>
      <c r="N1574" s="69"/>
      <c r="O1574" s="69"/>
      <c r="P1574" s="78"/>
      <c r="Q1574" s="96"/>
      <c r="R1574" s="97"/>
      <c r="S1574" s="98"/>
    </row>
    <row r="1575" spans="1:19" ht="42.75">
      <c r="A1575" s="90" t="s">
        <v>50</v>
      </c>
      <c r="B1575" s="91" t="s">
        <v>714</v>
      </c>
      <c r="C1575" s="91" t="s">
        <v>3282</v>
      </c>
      <c r="D1575" s="90">
        <v>2778</v>
      </c>
      <c r="E1575" s="90">
        <v>2806</v>
      </c>
      <c r="F1575" s="90" t="s">
        <v>1434</v>
      </c>
      <c r="G1575" s="90">
        <v>2024</v>
      </c>
      <c r="H1575" s="101">
        <v>45582</v>
      </c>
      <c r="I1575" s="147">
        <v>45583</v>
      </c>
      <c r="J1575" s="107" t="s">
        <v>3283</v>
      </c>
      <c r="K1575" s="119">
        <v>45612</v>
      </c>
      <c r="L1575" s="69" t="s">
        <v>84</v>
      </c>
      <c r="M1575" s="69" t="s">
        <v>4</v>
      </c>
      <c r="N1575" s="69" t="s">
        <v>101</v>
      </c>
      <c r="O1575" s="69" t="s">
        <v>1436</v>
      </c>
      <c r="P1575" s="78"/>
      <c r="Q1575" s="96">
        <v>45614</v>
      </c>
      <c r="R1575" s="97" t="s">
        <v>1481</v>
      </c>
      <c r="S1575" s="98"/>
    </row>
    <row r="1576" spans="1:19" ht="42.75">
      <c r="A1576" s="90" t="s">
        <v>50</v>
      </c>
      <c r="B1576" s="91" t="s">
        <v>714</v>
      </c>
      <c r="C1576" s="91" t="s">
        <v>3284</v>
      </c>
      <c r="D1576" s="90">
        <v>5046</v>
      </c>
      <c r="E1576" s="90">
        <v>5082</v>
      </c>
      <c r="F1576" s="90" t="s">
        <v>1434</v>
      </c>
      <c r="G1576" s="90">
        <v>2024</v>
      </c>
      <c r="H1576" s="101">
        <v>45329</v>
      </c>
      <c r="I1576" s="101">
        <v>45329</v>
      </c>
      <c r="J1576" s="94" t="s">
        <v>3285</v>
      </c>
      <c r="K1576" s="95"/>
      <c r="L1576" s="69" t="s">
        <v>75</v>
      </c>
      <c r="M1576" s="69" t="s">
        <v>4</v>
      </c>
      <c r="N1576" s="69" t="s">
        <v>101</v>
      </c>
      <c r="O1576" s="69" t="s">
        <v>1436</v>
      </c>
      <c r="P1576" s="78"/>
      <c r="Q1576" s="96"/>
      <c r="R1576" s="97"/>
      <c r="S1576" s="98"/>
    </row>
    <row r="1577" spans="1:19" ht="42.75">
      <c r="A1577" s="90" t="s">
        <v>50</v>
      </c>
      <c r="B1577" s="91" t="s">
        <v>714</v>
      </c>
      <c r="C1577" s="91" t="s">
        <v>3286</v>
      </c>
      <c r="D1577" s="90">
        <v>2875</v>
      </c>
      <c r="E1577" s="90">
        <v>3152</v>
      </c>
      <c r="F1577" s="90" t="s">
        <v>1454</v>
      </c>
      <c r="G1577" s="90"/>
      <c r="H1577" s="93"/>
      <c r="I1577" s="93"/>
      <c r="J1577" s="93"/>
      <c r="K1577" s="95"/>
      <c r="L1577" s="69"/>
      <c r="M1577" s="69"/>
      <c r="N1577" s="69"/>
      <c r="O1577" s="69"/>
      <c r="P1577" s="78"/>
      <c r="Q1577" s="96"/>
      <c r="R1577" s="97"/>
      <c r="S1577" s="98"/>
    </row>
    <row r="1578" spans="1:19" ht="42.75">
      <c r="A1578" s="90" t="s">
        <v>50</v>
      </c>
      <c r="B1578" s="91" t="s">
        <v>714</v>
      </c>
      <c r="C1578" s="91" t="s">
        <v>1350</v>
      </c>
      <c r="D1578" s="90">
        <v>3550</v>
      </c>
      <c r="E1578" s="90">
        <v>3744</v>
      </c>
      <c r="F1578" s="90" t="s">
        <v>1454</v>
      </c>
      <c r="G1578" s="90"/>
      <c r="H1578" s="93"/>
      <c r="I1578" s="93"/>
      <c r="J1578" s="93"/>
      <c r="K1578" s="95"/>
      <c r="L1578" s="69"/>
      <c r="M1578" s="69"/>
      <c r="N1578" s="69"/>
      <c r="O1578" s="69"/>
      <c r="P1578" s="78"/>
      <c r="Q1578" s="96"/>
      <c r="R1578" s="97"/>
      <c r="S1578" s="98"/>
    </row>
    <row r="1579" spans="1:19" ht="42.75">
      <c r="A1579" s="90" t="s">
        <v>50</v>
      </c>
      <c r="B1579" s="91" t="s">
        <v>714</v>
      </c>
      <c r="C1579" s="91" t="s">
        <v>3287</v>
      </c>
      <c r="D1579" s="90">
        <v>4971</v>
      </c>
      <c r="E1579" s="90">
        <v>5383</v>
      </c>
      <c r="F1579" s="90" t="s">
        <v>1434</v>
      </c>
      <c r="G1579" s="90">
        <v>2024</v>
      </c>
      <c r="H1579" s="101">
        <v>45492</v>
      </c>
      <c r="I1579" s="101">
        <v>45492</v>
      </c>
      <c r="J1579" s="117" t="s">
        <v>3288</v>
      </c>
      <c r="K1579" s="100">
        <v>45503</v>
      </c>
      <c r="L1579" s="69" t="s">
        <v>81</v>
      </c>
      <c r="M1579" s="69" t="s">
        <v>4</v>
      </c>
      <c r="N1579" s="69" t="s">
        <v>101</v>
      </c>
      <c r="O1579" s="69" t="s">
        <v>1436</v>
      </c>
      <c r="P1579" s="78"/>
      <c r="Q1579" s="70">
        <v>45503</v>
      </c>
      <c r="R1579" s="97"/>
      <c r="S1579" s="98"/>
    </row>
    <row r="1580" spans="1:19" ht="42.75">
      <c r="A1580" s="90" t="s">
        <v>50</v>
      </c>
      <c r="B1580" s="91" t="s">
        <v>714</v>
      </c>
      <c r="C1580" s="91" t="s">
        <v>3289</v>
      </c>
      <c r="D1580" s="90">
        <v>2904</v>
      </c>
      <c r="E1580" s="90">
        <v>2937</v>
      </c>
      <c r="F1580" s="90" t="s">
        <v>1434</v>
      </c>
      <c r="G1580" s="90">
        <v>2024</v>
      </c>
      <c r="H1580" s="101">
        <v>45582</v>
      </c>
      <c r="I1580" s="147">
        <v>45583</v>
      </c>
      <c r="J1580" s="107" t="s">
        <v>3290</v>
      </c>
      <c r="K1580" s="119">
        <v>45601</v>
      </c>
      <c r="L1580" s="69" t="s">
        <v>84</v>
      </c>
      <c r="M1580" s="69" t="s">
        <v>4</v>
      </c>
      <c r="N1580" s="69" t="s">
        <v>101</v>
      </c>
      <c r="O1580" s="69" t="s">
        <v>1436</v>
      </c>
      <c r="P1580" s="78"/>
      <c r="Q1580" s="96">
        <v>45602</v>
      </c>
      <c r="R1580" s="97" t="s">
        <v>1481</v>
      </c>
      <c r="S1580" s="98"/>
    </row>
    <row r="1581" spans="1:19" ht="42.75">
      <c r="A1581" s="90" t="s">
        <v>50</v>
      </c>
      <c r="B1581" s="91" t="s">
        <v>714</v>
      </c>
      <c r="C1581" s="91" t="s">
        <v>3291</v>
      </c>
      <c r="D1581" s="90">
        <v>7862</v>
      </c>
      <c r="E1581" s="90">
        <v>8063</v>
      </c>
      <c r="F1581" s="90" t="s">
        <v>1434</v>
      </c>
      <c r="G1581" s="90">
        <v>2024</v>
      </c>
      <c r="H1581" s="101">
        <v>45400</v>
      </c>
      <c r="I1581" s="101">
        <v>45400</v>
      </c>
      <c r="J1581" s="94" t="s">
        <v>3292</v>
      </c>
      <c r="K1581" s="100">
        <v>45411</v>
      </c>
      <c r="L1581" s="69" t="s">
        <v>78</v>
      </c>
      <c r="M1581" s="69"/>
      <c r="N1581" s="69"/>
      <c r="O1581" s="69" t="s">
        <v>1436</v>
      </c>
      <c r="P1581" s="78"/>
      <c r="Q1581" s="96"/>
      <c r="R1581" s="97"/>
      <c r="S1581" s="98"/>
    </row>
    <row r="1582" spans="1:19" ht="42.75">
      <c r="A1582" s="90" t="s">
        <v>50</v>
      </c>
      <c r="B1582" s="91" t="s">
        <v>714</v>
      </c>
      <c r="C1582" s="91" t="s">
        <v>926</v>
      </c>
      <c r="D1582" s="90">
        <v>1955</v>
      </c>
      <c r="E1582" s="90">
        <v>1971</v>
      </c>
      <c r="F1582" s="90" t="s">
        <v>1434</v>
      </c>
      <c r="G1582" s="90">
        <v>2024</v>
      </c>
      <c r="H1582" s="101">
        <v>45482</v>
      </c>
      <c r="I1582" s="101">
        <v>45482</v>
      </c>
      <c r="J1582" s="94" t="s">
        <v>3293</v>
      </c>
      <c r="K1582" s="100">
        <v>45491</v>
      </c>
      <c r="L1582" s="69" t="s">
        <v>80</v>
      </c>
      <c r="M1582" s="69" t="s">
        <v>4</v>
      </c>
      <c r="N1582" s="69" t="s">
        <v>101</v>
      </c>
      <c r="O1582" s="69" t="s">
        <v>1436</v>
      </c>
      <c r="P1582" s="78"/>
      <c r="Q1582" s="96">
        <v>45491</v>
      </c>
      <c r="R1582" s="97"/>
      <c r="S1582" s="98"/>
    </row>
    <row r="1583" spans="1:19" ht="42.75">
      <c r="A1583" s="90" t="s">
        <v>50</v>
      </c>
      <c r="B1583" s="91" t="s">
        <v>714</v>
      </c>
      <c r="C1583" s="91" t="s">
        <v>2276</v>
      </c>
      <c r="D1583" s="90">
        <v>14533</v>
      </c>
      <c r="E1583" s="90">
        <v>15307</v>
      </c>
      <c r="F1583" s="90" t="s">
        <v>1454</v>
      </c>
      <c r="G1583" s="90"/>
      <c r="H1583" s="93"/>
      <c r="I1583" s="93"/>
      <c r="J1583" s="93"/>
      <c r="K1583" s="95"/>
      <c r="L1583" s="69"/>
      <c r="M1583" s="69"/>
      <c r="N1583" s="69"/>
      <c r="O1583" s="69"/>
      <c r="P1583" s="78"/>
      <c r="Q1583" s="96"/>
      <c r="R1583" s="97"/>
      <c r="S1583" s="98"/>
    </row>
    <row r="1584" spans="1:19" ht="42.75">
      <c r="A1584" s="90" t="s">
        <v>50</v>
      </c>
      <c r="B1584" s="91" t="s">
        <v>714</v>
      </c>
      <c r="C1584" s="91" t="s">
        <v>427</v>
      </c>
      <c r="D1584" s="90">
        <v>354</v>
      </c>
      <c r="E1584" s="90">
        <v>519</v>
      </c>
      <c r="F1584" s="90" t="s">
        <v>1454</v>
      </c>
      <c r="G1584" s="90"/>
      <c r="H1584" s="93"/>
      <c r="I1584" s="93"/>
      <c r="J1584" s="93"/>
      <c r="K1584" s="95"/>
      <c r="L1584" s="69"/>
      <c r="M1584" s="69"/>
      <c r="N1584" s="69"/>
      <c r="O1584" s="69"/>
      <c r="P1584" s="78"/>
      <c r="Q1584" s="96"/>
      <c r="R1584" s="97"/>
      <c r="S1584" s="98"/>
    </row>
    <row r="1585" spans="1:19" ht="42.75">
      <c r="A1585" s="90" t="s">
        <v>50</v>
      </c>
      <c r="B1585" s="91" t="s">
        <v>714</v>
      </c>
      <c r="C1585" s="91" t="s">
        <v>3246</v>
      </c>
      <c r="D1585" s="90">
        <v>6582</v>
      </c>
      <c r="E1585" s="90">
        <v>7271</v>
      </c>
      <c r="F1585" s="90" t="s">
        <v>1454</v>
      </c>
      <c r="G1585" s="90"/>
      <c r="H1585" s="93"/>
      <c r="I1585" s="93"/>
      <c r="J1585" s="93"/>
      <c r="K1585" s="95"/>
      <c r="L1585" s="69"/>
      <c r="M1585" s="69"/>
      <c r="N1585" s="69"/>
      <c r="O1585" s="69"/>
      <c r="P1585" s="78"/>
      <c r="Q1585" s="96"/>
      <c r="R1585" s="97"/>
      <c r="S1585" s="98"/>
    </row>
    <row r="1586" spans="1:19" ht="42.75">
      <c r="A1586" s="90" t="s">
        <v>50</v>
      </c>
      <c r="B1586" s="91" t="s">
        <v>714</v>
      </c>
      <c r="C1586" s="91" t="s">
        <v>554</v>
      </c>
      <c r="D1586" s="90">
        <v>1521</v>
      </c>
      <c r="E1586" s="90">
        <v>1782</v>
      </c>
      <c r="F1586" s="90" t="s">
        <v>1454</v>
      </c>
      <c r="G1586" s="90"/>
      <c r="H1586" s="93"/>
      <c r="I1586" s="93"/>
      <c r="J1586" s="93"/>
      <c r="K1586" s="95"/>
      <c r="L1586" s="69"/>
      <c r="M1586" s="69"/>
      <c r="N1586" s="69"/>
      <c r="O1586" s="69"/>
      <c r="P1586" s="78"/>
      <c r="Q1586" s="96"/>
      <c r="R1586" s="97"/>
      <c r="S1586" s="98"/>
    </row>
    <row r="1587" spans="1:19" ht="42.75">
      <c r="A1587" s="90" t="s">
        <v>50</v>
      </c>
      <c r="B1587" s="91" t="s">
        <v>714</v>
      </c>
      <c r="C1587" s="91" t="s">
        <v>2236</v>
      </c>
      <c r="D1587" s="90">
        <v>8273</v>
      </c>
      <c r="E1587" s="90">
        <v>9341</v>
      </c>
      <c r="F1587" s="90" t="s">
        <v>1454</v>
      </c>
      <c r="G1587" s="90"/>
      <c r="H1587" s="93"/>
      <c r="I1587" s="93"/>
      <c r="J1587" s="122"/>
      <c r="K1587" s="95"/>
      <c r="L1587" s="69"/>
      <c r="M1587" s="69"/>
      <c r="N1587" s="69"/>
      <c r="O1587" s="69"/>
      <c r="P1587" s="78"/>
      <c r="Q1587" s="96"/>
      <c r="R1587" s="97"/>
      <c r="S1587" s="98"/>
    </row>
    <row r="1588" spans="1:19" ht="42.75">
      <c r="A1588" s="90" t="s">
        <v>50</v>
      </c>
      <c r="B1588" s="91" t="s">
        <v>714</v>
      </c>
      <c r="C1588" s="91" t="s">
        <v>2235</v>
      </c>
      <c r="D1588" s="90">
        <v>7527</v>
      </c>
      <c r="E1588" s="90">
        <v>8161</v>
      </c>
      <c r="F1588" s="90" t="s">
        <v>1434</v>
      </c>
      <c r="G1588" s="90">
        <v>2024</v>
      </c>
      <c r="H1588" s="101">
        <v>45582</v>
      </c>
      <c r="I1588" s="147">
        <v>45583</v>
      </c>
      <c r="J1588" s="175" t="s">
        <v>3294</v>
      </c>
      <c r="K1588" s="119">
        <v>45612</v>
      </c>
      <c r="L1588" s="69" t="s">
        <v>84</v>
      </c>
      <c r="M1588" s="69" t="s">
        <v>4</v>
      </c>
      <c r="N1588" s="69" t="s">
        <v>101</v>
      </c>
      <c r="O1588" s="69" t="s">
        <v>1436</v>
      </c>
      <c r="P1588" s="78"/>
      <c r="Q1588" s="96">
        <v>45614</v>
      </c>
      <c r="R1588" s="97" t="s">
        <v>1481</v>
      </c>
      <c r="S1588" s="98"/>
    </row>
    <row r="1589" spans="1:19" ht="42.75">
      <c r="A1589" s="90" t="s">
        <v>50</v>
      </c>
      <c r="B1589" s="91" t="s">
        <v>714</v>
      </c>
      <c r="C1589" s="91" t="s">
        <v>3295</v>
      </c>
      <c r="D1589" s="90">
        <v>2900</v>
      </c>
      <c r="E1589" s="90">
        <v>2910</v>
      </c>
      <c r="F1589" s="90" t="s">
        <v>1454</v>
      </c>
      <c r="G1589" s="90"/>
      <c r="H1589" s="93"/>
      <c r="I1589" s="93"/>
      <c r="J1589" s="93"/>
      <c r="K1589" s="95"/>
      <c r="L1589" s="69"/>
      <c r="M1589" s="69"/>
      <c r="N1589" s="69"/>
      <c r="O1589" s="69"/>
      <c r="P1589" s="78"/>
      <c r="Q1589" s="96"/>
      <c r="R1589" s="97"/>
      <c r="S1589" s="98"/>
    </row>
    <row r="1590" spans="1:19" ht="42.75">
      <c r="A1590" s="90" t="s">
        <v>50</v>
      </c>
      <c r="B1590" s="91" t="s">
        <v>520</v>
      </c>
      <c r="C1590" s="91" t="s">
        <v>3296</v>
      </c>
      <c r="D1590" s="90">
        <v>4989</v>
      </c>
      <c r="E1590" s="90">
        <v>5157</v>
      </c>
      <c r="F1590" s="90" t="s">
        <v>1434</v>
      </c>
      <c r="G1590" s="90">
        <v>2024</v>
      </c>
      <c r="H1590" s="101">
        <v>45524</v>
      </c>
      <c r="I1590" s="101">
        <v>45524</v>
      </c>
      <c r="J1590" s="94" t="s">
        <v>3297</v>
      </c>
      <c r="K1590" s="100">
        <v>45526</v>
      </c>
      <c r="L1590" s="69" t="s">
        <v>82</v>
      </c>
      <c r="M1590" s="69" t="s">
        <v>4</v>
      </c>
      <c r="N1590" s="69" t="s">
        <v>101</v>
      </c>
      <c r="O1590" s="69" t="s">
        <v>1436</v>
      </c>
      <c r="P1590" s="78"/>
      <c r="Q1590" s="96">
        <v>45526</v>
      </c>
      <c r="R1590" s="97" t="s">
        <v>1481</v>
      </c>
      <c r="S1590" s="98"/>
    </row>
    <row r="1591" spans="1:19" ht="42.75">
      <c r="A1591" s="90" t="s">
        <v>50</v>
      </c>
      <c r="B1591" s="91" t="s">
        <v>520</v>
      </c>
      <c r="C1591" s="91" t="s">
        <v>3298</v>
      </c>
      <c r="D1591" s="90">
        <v>5129</v>
      </c>
      <c r="E1591" s="90">
        <v>5290</v>
      </c>
      <c r="F1591" s="90" t="s">
        <v>1454</v>
      </c>
      <c r="G1591" s="90"/>
      <c r="H1591" s="93"/>
      <c r="I1591" s="93"/>
      <c r="J1591" s="93"/>
      <c r="K1591" s="95"/>
      <c r="L1591" s="69"/>
      <c r="M1591" s="69"/>
      <c r="N1591" s="69"/>
      <c r="O1591" s="69"/>
      <c r="P1591" s="78"/>
      <c r="Q1591" s="96"/>
      <c r="R1591" s="97"/>
      <c r="S1591" s="98"/>
    </row>
    <row r="1592" spans="1:19" ht="42.75">
      <c r="A1592" s="90" t="s">
        <v>50</v>
      </c>
      <c r="B1592" s="91" t="s">
        <v>520</v>
      </c>
      <c r="C1592" s="91" t="s">
        <v>3299</v>
      </c>
      <c r="D1592" s="90">
        <v>9160</v>
      </c>
      <c r="E1592" s="90">
        <v>9596</v>
      </c>
      <c r="F1592" s="90" t="s">
        <v>1434</v>
      </c>
      <c r="G1592" s="90">
        <v>2024</v>
      </c>
      <c r="H1592" s="101">
        <v>45378</v>
      </c>
      <c r="I1592" s="101">
        <v>45378</v>
      </c>
      <c r="J1592" s="141" t="s">
        <v>3300</v>
      </c>
      <c r="K1592" s="100">
        <v>45397</v>
      </c>
      <c r="L1592" s="69" t="s">
        <v>77</v>
      </c>
      <c r="M1592" s="69"/>
      <c r="N1592" s="69"/>
      <c r="O1592" s="69" t="s">
        <v>1436</v>
      </c>
      <c r="P1592" s="78"/>
      <c r="Q1592" s="96"/>
      <c r="R1592" s="97"/>
      <c r="S1592" s="98"/>
    </row>
    <row r="1593" spans="1:19" ht="42.75">
      <c r="A1593" s="90" t="s">
        <v>50</v>
      </c>
      <c r="B1593" s="91" t="s">
        <v>520</v>
      </c>
      <c r="C1593" s="91" t="s">
        <v>3301</v>
      </c>
      <c r="D1593" s="90">
        <v>2533</v>
      </c>
      <c r="E1593" s="90">
        <v>2665</v>
      </c>
      <c r="F1593" s="90" t="s">
        <v>1434</v>
      </c>
      <c r="G1593" s="90">
        <v>2024</v>
      </c>
      <c r="H1593" s="101">
        <v>45393</v>
      </c>
      <c r="I1593" s="147">
        <v>45393</v>
      </c>
      <c r="J1593" s="161" t="s">
        <v>3302</v>
      </c>
      <c r="K1593" s="100">
        <v>45397</v>
      </c>
      <c r="L1593" s="69" t="s">
        <v>77</v>
      </c>
      <c r="M1593" s="69"/>
      <c r="N1593" s="69"/>
      <c r="O1593" s="69" t="s">
        <v>1436</v>
      </c>
      <c r="P1593" s="78"/>
      <c r="Q1593" s="96"/>
      <c r="R1593" s="97"/>
      <c r="S1593" s="98"/>
    </row>
    <row r="1594" spans="1:19" ht="42.75">
      <c r="A1594" s="90" t="s">
        <v>50</v>
      </c>
      <c r="B1594" s="91" t="s">
        <v>520</v>
      </c>
      <c r="C1594" s="91" t="s">
        <v>926</v>
      </c>
      <c r="D1594" s="90">
        <v>7214</v>
      </c>
      <c r="E1594" s="90">
        <v>7464</v>
      </c>
      <c r="F1594" s="90" t="s">
        <v>1434</v>
      </c>
      <c r="G1594" s="90">
        <v>2024</v>
      </c>
      <c r="H1594" s="101">
        <v>45378</v>
      </c>
      <c r="I1594" s="101">
        <v>45378</v>
      </c>
      <c r="J1594" s="94" t="s">
        <v>3303</v>
      </c>
      <c r="K1594" s="100">
        <v>45397</v>
      </c>
      <c r="L1594" s="69" t="s">
        <v>77</v>
      </c>
      <c r="M1594" s="69"/>
      <c r="N1594" s="69"/>
      <c r="O1594" s="69" t="s">
        <v>1436</v>
      </c>
      <c r="P1594" s="78"/>
      <c r="Q1594" s="96"/>
      <c r="R1594" s="97"/>
      <c r="S1594" s="98"/>
    </row>
    <row r="1595" spans="1:19" ht="42.75">
      <c r="A1595" s="90" t="s">
        <v>50</v>
      </c>
      <c r="B1595" s="91" t="s">
        <v>520</v>
      </c>
      <c r="C1595" s="91" t="s">
        <v>1941</v>
      </c>
      <c r="D1595" s="90">
        <v>5812</v>
      </c>
      <c r="E1595" s="90">
        <v>6021</v>
      </c>
      <c r="F1595" s="90" t="s">
        <v>1454</v>
      </c>
      <c r="G1595" s="90"/>
      <c r="H1595" s="93"/>
      <c r="I1595" s="93"/>
      <c r="J1595" s="93"/>
      <c r="K1595" s="95"/>
      <c r="L1595" s="69"/>
      <c r="M1595" s="69"/>
      <c r="N1595" s="69"/>
      <c r="O1595" s="69"/>
      <c r="P1595" s="78"/>
      <c r="Q1595" s="96"/>
      <c r="R1595" s="97"/>
      <c r="S1595" s="98"/>
    </row>
    <row r="1596" spans="1:19" ht="42.75">
      <c r="A1596" s="90" t="s">
        <v>50</v>
      </c>
      <c r="B1596" s="91" t="s">
        <v>520</v>
      </c>
      <c r="C1596" s="91" t="s">
        <v>2234</v>
      </c>
      <c r="D1596" s="90">
        <v>6745</v>
      </c>
      <c r="E1596" s="90">
        <v>7019</v>
      </c>
      <c r="F1596" s="90" t="s">
        <v>1434</v>
      </c>
      <c r="G1596" s="90">
        <v>2024</v>
      </c>
      <c r="H1596" s="101">
        <v>45399</v>
      </c>
      <c r="I1596" s="101">
        <v>45399</v>
      </c>
      <c r="J1596" s="94" t="s">
        <v>3304</v>
      </c>
      <c r="K1596" s="100">
        <v>45420</v>
      </c>
      <c r="L1596" s="69" t="s">
        <v>78</v>
      </c>
      <c r="M1596" s="69"/>
      <c r="N1596" s="69"/>
      <c r="O1596" s="69" t="s">
        <v>1436</v>
      </c>
      <c r="P1596" s="78"/>
      <c r="Q1596" s="96"/>
      <c r="R1596" s="97"/>
      <c r="S1596" s="98"/>
    </row>
    <row r="1597" spans="1:19" ht="42.75">
      <c r="A1597" s="90" t="s">
        <v>50</v>
      </c>
      <c r="B1597" s="91" t="s">
        <v>520</v>
      </c>
      <c r="C1597" s="91" t="s">
        <v>2236</v>
      </c>
      <c r="D1597" s="90">
        <v>6177</v>
      </c>
      <c r="E1597" s="90">
        <v>6772</v>
      </c>
      <c r="F1597" s="90" t="s">
        <v>1454</v>
      </c>
      <c r="G1597" s="90"/>
      <c r="H1597" s="93"/>
      <c r="I1597" s="93"/>
      <c r="J1597" s="93"/>
      <c r="K1597" s="95"/>
      <c r="L1597" s="69"/>
      <c r="M1597" s="69"/>
      <c r="N1597" s="69"/>
      <c r="O1597" s="69"/>
      <c r="P1597" s="78"/>
      <c r="Q1597" s="96"/>
      <c r="R1597" s="97"/>
      <c r="S1597" s="98"/>
    </row>
    <row r="1598" spans="1:19" ht="42.75">
      <c r="A1598" s="90" t="s">
        <v>50</v>
      </c>
      <c r="B1598" s="91" t="s">
        <v>520</v>
      </c>
      <c r="C1598" s="91" t="s">
        <v>682</v>
      </c>
      <c r="D1598" s="90">
        <v>3853</v>
      </c>
      <c r="E1598" s="90">
        <v>4388</v>
      </c>
      <c r="F1598" s="90" t="s">
        <v>1434</v>
      </c>
      <c r="G1598" s="90">
        <v>2024</v>
      </c>
      <c r="H1598" s="101">
        <v>45524</v>
      </c>
      <c r="I1598" s="101">
        <v>45524</v>
      </c>
      <c r="J1598" s="94" t="s">
        <v>3305</v>
      </c>
      <c r="K1598" s="100">
        <v>45526</v>
      </c>
      <c r="L1598" s="69" t="s">
        <v>82</v>
      </c>
      <c r="M1598" s="69" t="s">
        <v>4</v>
      </c>
      <c r="N1598" s="69" t="s">
        <v>101</v>
      </c>
      <c r="O1598" s="69" t="s">
        <v>1436</v>
      </c>
      <c r="P1598" s="78"/>
      <c r="Q1598" s="96">
        <v>45526</v>
      </c>
      <c r="R1598" s="97" t="s">
        <v>1481</v>
      </c>
      <c r="S1598" s="98"/>
    </row>
    <row r="1599" spans="1:19" ht="42.75">
      <c r="A1599" s="90" t="s">
        <v>50</v>
      </c>
      <c r="B1599" s="91" t="s">
        <v>388</v>
      </c>
      <c r="C1599" s="91" t="s">
        <v>3306</v>
      </c>
      <c r="D1599" s="90">
        <v>1514</v>
      </c>
      <c r="E1599" s="90">
        <v>1486</v>
      </c>
      <c r="F1599" s="90" t="s">
        <v>1454</v>
      </c>
      <c r="G1599" s="90"/>
      <c r="H1599" s="93"/>
      <c r="I1599" s="93"/>
      <c r="J1599" s="93"/>
      <c r="K1599" s="95"/>
      <c r="L1599" s="69"/>
      <c r="M1599" s="69"/>
      <c r="N1599" s="69"/>
      <c r="O1599" s="69"/>
      <c r="P1599" s="78"/>
      <c r="Q1599" s="96"/>
      <c r="R1599" s="97"/>
      <c r="S1599" s="98"/>
    </row>
    <row r="1600" spans="1:19" ht="42.75">
      <c r="A1600" s="90" t="s">
        <v>50</v>
      </c>
      <c r="B1600" s="91" t="s">
        <v>388</v>
      </c>
      <c r="C1600" s="91" t="s">
        <v>3307</v>
      </c>
      <c r="D1600" s="90">
        <v>20172</v>
      </c>
      <c r="E1600" s="90">
        <v>21214</v>
      </c>
      <c r="F1600" s="90" t="s">
        <v>1434</v>
      </c>
      <c r="G1600" s="90">
        <v>2024</v>
      </c>
      <c r="H1600" s="101">
        <v>45441</v>
      </c>
      <c r="I1600" s="101">
        <v>45443</v>
      </c>
      <c r="J1600" s="94" t="s">
        <v>3308</v>
      </c>
      <c r="K1600" s="100">
        <v>45447</v>
      </c>
      <c r="L1600" s="69" t="s">
        <v>79</v>
      </c>
      <c r="M1600" s="69"/>
      <c r="N1600" s="69"/>
      <c r="O1600" s="69" t="s">
        <v>1436</v>
      </c>
      <c r="P1600" s="78"/>
      <c r="Q1600" s="96">
        <v>45447</v>
      </c>
      <c r="R1600" s="97"/>
      <c r="S1600" s="98"/>
    </row>
    <row r="1601" spans="1:19" ht="42.75">
      <c r="A1601" s="90" t="s">
        <v>50</v>
      </c>
      <c r="B1601" s="91" t="s">
        <v>388</v>
      </c>
      <c r="C1601" s="91" t="s">
        <v>3309</v>
      </c>
      <c r="D1601" s="90">
        <v>2983</v>
      </c>
      <c r="E1601" s="90">
        <v>4031</v>
      </c>
      <c r="F1601" s="90" t="s">
        <v>1454</v>
      </c>
      <c r="G1601" s="90"/>
      <c r="H1601" s="93"/>
      <c r="I1601" s="93"/>
      <c r="J1601" s="93"/>
      <c r="K1601" s="95"/>
      <c r="L1601" s="69"/>
      <c r="M1601" s="69"/>
      <c r="N1601" s="69"/>
      <c r="O1601" s="69"/>
      <c r="P1601" s="78"/>
      <c r="Q1601" s="96"/>
      <c r="R1601" s="97"/>
      <c r="S1601" s="98"/>
    </row>
    <row r="1602" spans="1:19" ht="42.75">
      <c r="A1602" s="90" t="s">
        <v>50</v>
      </c>
      <c r="B1602" s="91" t="s">
        <v>388</v>
      </c>
      <c r="C1602" s="91" t="s">
        <v>2777</v>
      </c>
      <c r="D1602" s="90">
        <v>2215</v>
      </c>
      <c r="E1602" s="90">
        <v>2270</v>
      </c>
      <c r="F1602" s="90" t="s">
        <v>1454</v>
      </c>
      <c r="G1602" s="90"/>
      <c r="H1602" s="93"/>
      <c r="I1602" s="93"/>
      <c r="J1602" s="122"/>
      <c r="K1602" s="95"/>
      <c r="L1602" s="69"/>
      <c r="M1602" s="69"/>
      <c r="N1602" s="69"/>
      <c r="O1602" s="69"/>
      <c r="P1602" s="78"/>
      <c r="Q1602" s="96"/>
      <c r="R1602" s="97"/>
      <c r="S1602" s="98"/>
    </row>
    <row r="1603" spans="1:19" ht="42.75">
      <c r="A1603" s="90" t="s">
        <v>50</v>
      </c>
      <c r="B1603" s="91" t="s">
        <v>388</v>
      </c>
      <c r="C1603" s="91" t="s">
        <v>3310</v>
      </c>
      <c r="D1603" s="90">
        <v>5032</v>
      </c>
      <c r="E1603" s="90">
        <v>5217</v>
      </c>
      <c r="F1603" s="90" t="s">
        <v>1434</v>
      </c>
      <c r="G1603" s="90">
        <v>2024</v>
      </c>
      <c r="H1603" s="101">
        <v>45456</v>
      </c>
      <c r="I1603" s="147">
        <v>45457</v>
      </c>
      <c r="J1603" s="107" t="s">
        <v>3311</v>
      </c>
      <c r="K1603" s="119">
        <v>45462</v>
      </c>
      <c r="L1603" s="69" t="s">
        <v>79</v>
      </c>
      <c r="M1603" s="69"/>
      <c r="N1603" s="69"/>
      <c r="O1603" s="69" t="s">
        <v>1436</v>
      </c>
      <c r="P1603" s="78"/>
      <c r="Q1603" s="96">
        <v>45464</v>
      </c>
      <c r="R1603" s="97"/>
      <c r="S1603" s="98"/>
    </row>
    <row r="1604" spans="1:19" ht="42.75">
      <c r="A1604" s="90" t="s">
        <v>50</v>
      </c>
      <c r="B1604" s="91" t="s">
        <v>388</v>
      </c>
      <c r="C1604" s="91" t="s">
        <v>1561</v>
      </c>
      <c r="D1604" s="90">
        <v>6430</v>
      </c>
      <c r="E1604" s="90">
        <v>5945</v>
      </c>
      <c r="F1604" s="90" t="s">
        <v>1434</v>
      </c>
      <c r="G1604" s="90">
        <v>2024</v>
      </c>
      <c r="H1604" s="101">
        <v>45519</v>
      </c>
      <c r="I1604" s="101">
        <v>45524</v>
      </c>
      <c r="J1604" s="94" t="s">
        <v>3312</v>
      </c>
      <c r="K1604" s="119">
        <v>45462</v>
      </c>
      <c r="L1604" s="69" t="s">
        <v>81</v>
      </c>
      <c r="M1604" s="69" t="s">
        <v>4</v>
      </c>
      <c r="N1604" s="69" t="s">
        <v>101</v>
      </c>
      <c r="O1604" s="69" t="s">
        <v>1436</v>
      </c>
      <c r="P1604" s="78"/>
      <c r="Q1604" s="96">
        <v>45525</v>
      </c>
      <c r="R1604" s="97"/>
      <c r="S1604" s="98"/>
    </row>
    <row r="1605" spans="1:19" ht="42.75">
      <c r="A1605" s="90" t="s">
        <v>50</v>
      </c>
      <c r="B1605" s="91" t="s">
        <v>388</v>
      </c>
      <c r="C1605" s="91" t="s">
        <v>3313</v>
      </c>
      <c r="D1605" s="90">
        <v>1649</v>
      </c>
      <c r="E1605" s="90">
        <v>2887</v>
      </c>
      <c r="F1605" s="90" t="s">
        <v>1454</v>
      </c>
      <c r="G1605" s="90"/>
      <c r="H1605" s="93"/>
      <c r="I1605" s="93"/>
      <c r="J1605" s="93"/>
      <c r="K1605" s="95"/>
      <c r="L1605" s="69"/>
      <c r="M1605" s="69"/>
      <c r="N1605" s="69"/>
      <c r="O1605" s="69"/>
      <c r="P1605" s="78"/>
      <c r="Q1605" s="96"/>
      <c r="R1605" s="97"/>
      <c r="S1605" s="98"/>
    </row>
    <row r="1606" spans="1:19" ht="42.75">
      <c r="A1606" s="90" t="s">
        <v>50</v>
      </c>
      <c r="B1606" s="91" t="s">
        <v>388</v>
      </c>
      <c r="C1606" s="91" t="s">
        <v>3314</v>
      </c>
      <c r="D1606" s="90">
        <v>1886</v>
      </c>
      <c r="E1606" s="90">
        <v>1894</v>
      </c>
      <c r="F1606" s="90" t="s">
        <v>1454</v>
      </c>
      <c r="G1606" s="90"/>
      <c r="H1606" s="93"/>
      <c r="I1606" s="93"/>
      <c r="J1606" s="93"/>
      <c r="K1606" s="95"/>
      <c r="L1606" s="69"/>
      <c r="M1606" s="69"/>
      <c r="N1606" s="69"/>
      <c r="O1606" s="69"/>
      <c r="P1606" s="78"/>
      <c r="Q1606" s="96"/>
      <c r="R1606" s="97"/>
      <c r="S1606" s="98"/>
    </row>
    <row r="1607" spans="1:19" ht="42.75">
      <c r="A1607" s="90" t="s">
        <v>50</v>
      </c>
      <c r="B1607" s="91" t="s">
        <v>388</v>
      </c>
      <c r="C1607" s="91" t="s">
        <v>3315</v>
      </c>
      <c r="D1607" s="90">
        <v>912</v>
      </c>
      <c r="E1607" s="90">
        <v>1055</v>
      </c>
      <c r="F1607" s="90" t="s">
        <v>1454</v>
      </c>
      <c r="G1607" s="90"/>
      <c r="H1607" s="93"/>
      <c r="I1607" s="93"/>
      <c r="J1607" s="93"/>
      <c r="K1607" s="95"/>
      <c r="L1607" s="69"/>
      <c r="M1607" s="69"/>
      <c r="N1607" s="69"/>
      <c r="O1607" s="69"/>
      <c r="P1607" s="78"/>
      <c r="Q1607" s="96"/>
      <c r="R1607" s="97"/>
      <c r="S1607" s="98"/>
    </row>
    <row r="1608" spans="1:19" ht="42.75">
      <c r="A1608" s="90" t="s">
        <v>50</v>
      </c>
      <c r="B1608" s="91" t="s">
        <v>388</v>
      </c>
      <c r="C1608" s="91" t="s">
        <v>3316</v>
      </c>
      <c r="D1608" s="90">
        <v>2651</v>
      </c>
      <c r="E1608" s="90">
        <v>3048</v>
      </c>
      <c r="F1608" s="90" t="s">
        <v>1434</v>
      </c>
      <c r="G1608" s="90">
        <v>2024</v>
      </c>
      <c r="H1608" s="101">
        <v>45519</v>
      </c>
      <c r="I1608" s="101">
        <v>45524</v>
      </c>
      <c r="J1608" s="117" t="s">
        <v>3317</v>
      </c>
      <c r="K1608" s="100">
        <v>45523</v>
      </c>
      <c r="L1608" s="69" t="s">
        <v>81</v>
      </c>
      <c r="M1608" s="69" t="s">
        <v>4</v>
      </c>
      <c r="N1608" s="69" t="s">
        <v>101</v>
      </c>
      <c r="O1608" s="69" t="s">
        <v>1436</v>
      </c>
      <c r="P1608" s="78"/>
      <c r="Q1608" s="96">
        <v>45525</v>
      </c>
      <c r="R1608" s="97"/>
      <c r="S1608" s="98"/>
    </row>
    <row r="1609" spans="1:19" ht="42.75">
      <c r="A1609" s="90" t="s">
        <v>50</v>
      </c>
      <c r="B1609" s="91" t="s">
        <v>388</v>
      </c>
      <c r="C1609" s="91" t="s">
        <v>3318</v>
      </c>
      <c r="D1609" s="90">
        <v>5314</v>
      </c>
      <c r="E1609" s="90">
        <v>5772</v>
      </c>
      <c r="F1609" s="90" t="s">
        <v>1434</v>
      </c>
      <c r="G1609" s="90">
        <v>2024</v>
      </c>
      <c r="H1609" s="101">
        <v>45601</v>
      </c>
      <c r="I1609" s="147">
        <v>45605</v>
      </c>
      <c r="J1609" s="107" t="s">
        <v>3319</v>
      </c>
      <c r="K1609" s="119">
        <v>45612</v>
      </c>
      <c r="L1609" s="69" t="s">
        <v>84</v>
      </c>
      <c r="M1609" s="69" t="s">
        <v>4</v>
      </c>
      <c r="N1609" s="69" t="s">
        <v>101</v>
      </c>
      <c r="O1609" s="69" t="s">
        <v>1436</v>
      </c>
      <c r="P1609" s="78"/>
      <c r="Q1609" s="96">
        <v>45614</v>
      </c>
      <c r="R1609" s="97" t="s">
        <v>2415</v>
      </c>
      <c r="S1609" s="98"/>
    </row>
    <row r="1610" spans="1:19" ht="42.75">
      <c r="A1610" s="90" t="s">
        <v>50</v>
      </c>
      <c r="B1610" s="91" t="s">
        <v>388</v>
      </c>
      <c r="C1610" s="91" t="s">
        <v>939</v>
      </c>
      <c r="D1610" s="90">
        <v>7756</v>
      </c>
      <c r="E1610" s="90">
        <v>8614</v>
      </c>
      <c r="F1610" s="90" t="s">
        <v>1434</v>
      </c>
      <c r="G1610" s="90">
        <v>2024</v>
      </c>
      <c r="H1610" s="101">
        <v>45601</v>
      </c>
      <c r="I1610" s="147">
        <v>45605</v>
      </c>
      <c r="J1610" s="107" t="s">
        <v>3320</v>
      </c>
      <c r="K1610" s="119">
        <v>45612</v>
      </c>
      <c r="L1610" s="69" t="s">
        <v>84</v>
      </c>
      <c r="M1610" s="69" t="s">
        <v>4</v>
      </c>
      <c r="N1610" s="69" t="s">
        <v>101</v>
      </c>
      <c r="O1610" s="69" t="s">
        <v>1436</v>
      </c>
      <c r="P1610" s="78"/>
      <c r="Q1610" s="96">
        <v>45614</v>
      </c>
      <c r="R1610" s="97" t="s">
        <v>2415</v>
      </c>
      <c r="S1610" s="98"/>
    </row>
    <row r="1611" spans="1:19" ht="42.75">
      <c r="A1611" s="90" t="s">
        <v>50</v>
      </c>
      <c r="B1611" s="91" t="s">
        <v>388</v>
      </c>
      <c r="C1611" s="91" t="s">
        <v>3321</v>
      </c>
      <c r="D1611" s="90">
        <v>2036</v>
      </c>
      <c r="E1611" s="90">
        <v>2595</v>
      </c>
      <c r="F1611" s="90" t="s">
        <v>1454</v>
      </c>
      <c r="G1611" s="90"/>
      <c r="H1611" s="93"/>
      <c r="I1611" s="93"/>
      <c r="J1611" s="93"/>
      <c r="K1611" s="95"/>
      <c r="L1611" s="69"/>
      <c r="M1611" s="69"/>
      <c r="N1611" s="69"/>
      <c r="O1611" s="69"/>
      <c r="P1611" s="78"/>
      <c r="Q1611" s="96"/>
      <c r="R1611" s="97"/>
      <c r="S1611" s="98"/>
    </row>
    <row r="1612" spans="1:19" ht="42.75">
      <c r="A1612" s="90" t="s">
        <v>50</v>
      </c>
      <c r="B1612" s="91" t="s">
        <v>388</v>
      </c>
      <c r="C1612" s="91" t="s">
        <v>3322</v>
      </c>
      <c r="D1612" s="90">
        <v>4718</v>
      </c>
      <c r="E1612" s="90">
        <v>5317</v>
      </c>
      <c r="F1612" s="90" t="s">
        <v>1454</v>
      </c>
      <c r="G1612" s="90"/>
      <c r="H1612" s="93"/>
      <c r="I1612" s="93"/>
      <c r="J1612" s="93"/>
      <c r="K1612" s="95"/>
      <c r="L1612" s="69"/>
      <c r="M1612" s="69"/>
      <c r="N1612" s="69"/>
      <c r="O1612" s="69"/>
      <c r="P1612" s="78"/>
      <c r="Q1612" s="96"/>
      <c r="R1612" s="97"/>
      <c r="S1612" s="98"/>
    </row>
    <row r="1613" spans="1:19" ht="42.75">
      <c r="A1613" s="90" t="s">
        <v>50</v>
      </c>
      <c r="B1613" s="91" t="s">
        <v>388</v>
      </c>
      <c r="C1613" s="91" t="s">
        <v>3323</v>
      </c>
      <c r="D1613" s="90">
        <v>986</v>
      </c>
      <c r="E1613" s="90">
        <v>1062</v>
      </c>
      <c r="F1613" s="90" t="s">
        <v>1454</v>
      </c>
      <c r="G1613" s="90"/>
      <c r="H1613" s="93"/>
      <c r="I1613" s="93"/>
      <c r="J1613" s="93"/>
      <c r="K1613" s="95"/>
      <c r="L1613" s="69"/>
      <c r="M1613" s="69"/>
      <c r="N1613" s="69"/>
      <c r="O1613" s="69"/>
      <c r="P1613" s="78"/>
      <c r="Q1613" s="96"/>
      <c r="R1613" s="97"/>
      <c r="S1613" s="98"/>
    </row>
    <row r="1614" spans="1:19" ht="42.75">
      <c r="A1614" s="90" t="s">
        <v>50</v>
      </c>
      <c r="B1614" s="91" t="s">
        <v>388</v>
      </c>
      <c r="C1614" s="91" t="s">
        <v>3324</v>
      </c>
      <c r="D1614" s="90">
        <v>1851</v>
      </c>
      <c r="E1614" s="90">
        <v>2216</v>
      </c>
      <c r="F1614" s="90" t="s">
        <v>1454</v>
      </c>
      <c r="G1614" s="90"/>
      <c r="H1614" s="93"/>
      <c r="I1614" s="93"/>
      <c r="J1614" s="93"/>
      <c r="K1614" s="95"/>
      <c r="L1614" s="69"/>
      <c r="M1614" s="69"/>
      <c r="N1614" s="69"/>
      <c r="O1614" s="69"/>
      <c r="P1614" s="78"/>
      <c r="Q1614" s="96"/>
      <c r="R1614" s="97"/>
      <c r="S1614" s="98"/>
    </row>
    <row r="1615" spans="1:19" ht="42.75">
      <c r="A1615" s="90" t="s">
        <v>50</v>
      </c>
      <c r="B1615" s="91" t="s">
        <v>388</v>
      </c>
      <c r="C1615" s="91" t="s">
        <v>3325</v>
      </c>
      <c r="D1615" s="90">
        <v>3066</v>
      </c>
      <c r="E1615" s="90">
        <v>3968</v>
      </c>
      <c r="F1615" s="90" t="s">
        <v>1454</v>
      </c>
      <c r="G1615" s="90"/>
      <c r="H1615" s="93"/>
      <c r="I1615" s="93"/>
      <c r="J1615" s="122"/>
      <c r="K1615" s="95"/>
      <c r="L1615" s="69"/>
      <c r="M1615" s="69"/>
      <c r="N1615" s="69"/>
      <c r="O1615" s="69"/>
      <c r="P1615" s="78"/>
      <c r="Q1615" s="96"/>
      <c r="R1615" s="97"/>
      <c r="S1615" s="98"/>
    </row>
    <row r="1616" spans="1:19" ht="42.75">
      <c r="A1616" s="90" t="s">
        <v>50</v>
      </c>
      <c r="B1616" s="91" t="s">
        <v>388</v>
      </c>
      <c r="C1616" s="91" t="s">
        <v>3326</v>
      </c>
      <c r="D1616" s="90">
        <v>2139</v>
      </c>
      <c r="E1616" s="90">
        <v>1867</v>
      </c>
      <c r="F1616" s="90" t="s">
        <v>1434</v>
      </c>
      <c r="G1616" s="90">
        <v>2024</v>
      </c>
      <c r="H1616" s="101">
        <v>45456</v>
      </c>
      <c r="I1616" s="147">
        <v>45457</v>
      </c>
      <c r="J1616" s="161" t="s">
        <v>3327</v>
      </c>
      <c r="K1616" s="119">
        <v>45462</v>
      </c>
      <c r="L1616" s="69" t="s">
        <v>79</v>
      </c>
      <c r="M1616" s="69"/>
      <c r="N1616" s="69"/>
      <c r="O1616" s="69" t="s">
        <v>1436</v>
      </c>
      <c r="P1616" s="78"/>
      <c r="Q1616" s="96">
        <v>45464</v>
      </c>
      <c r="R1616" s="97"/>
      <c r="S1616" s="98"/>
    </row>
    <row r="1617" spans="1:19" ht="42.75">
      <c r="A1617" s="90" t="s">
        <v>50</v>
      </c>
      <c r="B1617" s="91" t="s">
        <v>388</v>
      </c>
      <c r="C1617" s="91" t="s">
        <v>3328</v>
      </c>
      <c r="D1617" s="90">
        <v>1929</v>
      </c>
      <c r="E1617" s="90">
        <v>1550</v>
      </c>
      <c r="F1617" s="90" t="s">
        <v>1434</v>
      </c>
      <c r="G1617" s="90">
        <v>2024</v>
      </c>
      <c r="H1617" s="101">
        <v>45552</v>
      </c>
      <c r="I1617" s="101">
        <v>45556</v>
      </c>
      <c r="J1617" s="94" t="s">
        <v>3329</v>
      </c>
      <c r="K1617" s="100">
        <v>45569</v>
      </c>
      <c r="L1617" s="69" t="s">
        <v>83</v>
      </c>
      <c r="M1617" s="69" t="s">
        <v>4</v>
      </c>
      <c r="N1617" s="69" t="s">
        <v>101</v>
      </c>
      <c r="O1617" s="69" t="s">
        <v>1436</v>
      </c>
      <c r="P1617" s="78"/>
      <c r="Q1617" s="115">
        <v>45569</v>
      </c>
      <c r="R1617" s="65" t="s">
        <v>2415</v>
      </c>
      <c r="S1617" s="89"/>
    </row>
    <row r="1618" spans="1:19" ht="42.75">
      <c r="A1618" s="90" t="s">
        <v>50</v>
      </c>
      <c r="B1618" s="91" t="s">
        <v>388</v>
      </c>
      <c r="C1618" s="91" t="s">
        <v>3330</v>
      </c>
      <c r="D1618" s="90">
        <v>2353</v>
      </c>
      <c r="E1618" s="90">
        <v>2069</v>
      </c>
      <c r="F1618" s="90" t="s">
        <v>1454</v>
      </c>
      <c r="G1618" s="90"/>
      <c r="H1618" s="93"/>
      <c r="I1618" s="93"/>
      <c r="J1618" s="122"/>
      <c r="K1618" s="95"/>
      <c r="L1618" s="69"/>
      <c r="M1618" s="69"/>
      <c r="N1618" s="69"/>
      <c r="O1618" s="69"/>
      <c r="P1618" s="78"/>
      <c r="Q1618" s="96"/>
      <c r="R1618" s="97"/>
      <c r="S1618" s="98"/>
    </row>
    <row r="1619" spans="1:19" ht="42.75">
      <c r="A1619" s="90" t="s">
        <v>50</v>
      </c>
      <c r="B1619" s="91" t="s">
        <v>388</v>
      </c>
      <c r="C1619" s="91" t="s">
        <v>3331</v>
      </c>
      <c r="D1619" s="90">
        <v>1246</v>
      </c>
      <c r="E1619" s="90">
        <v>1218</v>
      </c>
      <c r="F1619" s="90" t="s">
        <v>1434</v>
      </c>
      <c r="G1619" s="90">
        <v>2024</v>
      </c>
      <c r="H1619" s="101">
        <v>45456</v>
      </c>
      <c r="I1619" s="147">
        <v>45457</v>
      </c>
      <c r="J1619" s="107" t="s">
        <v>3332</v>
      </c>
      <c r="K1619" s="119">
        <v>45462</v>
      </c>
      <c r="L1619" s="69" t="s">
        <v>79</v>
      </c>
      <c r="M1619" s="69"/>
      <c r="N1619" s="69"/>
      <c r="O1619" s="69" t="s">
        <v>1436</v>
      </c>
      <c r="P1619" s="78"/>
      <c r="Q1619" s="96">
        <v>45464</v>
      </c>
      <c r="R1619" s="97"/>
      <c r="S1619" s="98"/>
    </row>
    <row r="1620" spans="1:19" ht="42.75">
      <c r="A1620" s="90" t="s">
        <v>50</v>
      </c>
      <c r="B1620" s="91" t="s">
        <v>388</v>
      </c>
      <c r="C1620" s="91" t="s">
        <v>3333</v>
      </c>
      <c r="D1620" s="90">
        <v>1251</v>
      </c>
      <c r="E1620" s="90">
        <v>1133</v>
      </c>
      <c r="F1620" s="90" t="s">
        <v>1454</v>
      </c>
      <c r="G1620" s="90"/>
      <c r="H1620" s="93"/>
      <c r="I1620" s="93"/>
      <c r="J1620" s="93"/>
      <c r="K1620" s="95"/>
      <c r="L1620" s="69"/>
      <c r="M1620" s="69"/>
      <c r="N1620" s="69"/>
      <c r="O1620" s="69"/>
      <c r="P1620" s="78"/>
      <c r="Q1620" s="96"/>
      <c r="R1620" s="97"/>
      <c r="S1620" s="98"/>
    </row>
    <row r="1621" spans="1:19" ht="42.75">
      <c r="A1621" s="90" t="s">
        <v>50</v>
      </c>
      <c r="B1621" s="91" t="s">
        <v>388</v>
      </c>
      <c r="C1621" s="91" t="s">
        <v>3334</v>
      </c>
      <c r="D1621" s="90">
        <v>3320</v>
      </c>
      <c r="E1621" s="90">
        <v>3435</v>
      </c>
      <c r="F1621" s="90" t="s">
        <v>1454</v>
      </c>
      <c r="G1621" s="90"/>
      <c r="H1621" s="93"/>
      <c r="I1621" s="93"/>
      <c r="J1621" s="93"/>
      <c r="K1621" s="95"/>
      <c r="L1621" s="69"/>
      <c r="M1621" s="69"/>
      <c r="N1621" s="69"/>
      <c r="O1621" s="69"/>
      <c r="P1621" s="78"/>
      <c r="Q1621" s="96"/>
      <c r="R1621" s="97"/>
      <c r="S1621" s="98"/>
    </row>
    <row r="1622" spans="1:19" ht="42.75">
      <c r="A1622" s="90" t="s">
        <v>50</v>
      </c>
      <c r="B1622" s="91" t="s">
        <v>388</v>
      </c>
      <c r="C1622" s="91" t="s">
        <v>2342</v>
      </c>
      <c r="D1622" s="90">
        <v>3475</v>
      </c>
      <c r="E1622" s="90">
        <v>4333</v>
      </c>
      <c r="F1622" s="90" t="s">
        <v>1454</v>
      </c>
      <c r="G1622" s="90">
        <v>2025</v>
      </c>
      <c r="H1622" s="93"/>
      <c r="I1622" s="93"/>
      <c r="J1622" s="93"/>
      <c r="K1622" s="95"/>
      <c r="L1622" s="69" t="s">
        <v>74</v>
      </c>
      <c r="M1622" s="69"/>
      <c r="N1622" s="69"/>
      <c r="O1622" s="69"/>
      <c r="P1622" s="78"/>
      <c r="Q1622" s="96"/>
      <c r="R1622" s="97"/>
      <c r="S1622" s="98"/>
    </row>
    <row r="1623" spans="1:19" ht="42.75">
      <c r="A1623" s="90" t="s">
        <v>50</v>
      </c>
      <c r="B1623" s="91" t="s">
        <v>388</v>
      </c>
      <c r="C1623" s="91" t="s">
        <v>764</v>
      </c>
      <c r="D1623" s="90">
        <v>2204</v>
      </c>
      <c r="E1623" s="90">
        <v>1890</v>
      </c>
      <c r="F1623" s="90" t="s">
        <v>1454</v>
      </c>
      <c r="G1623" s="90"/>
      <c r="H1623" s="93"/>
      <c r="I1623" s="93"/>
      <c r="J1623" s="93"/>
      <c r="K1623" s="95"/>
      <c r="L1623" s="69"/>
      <c r="M1623" s="69"/>
      <c r="N1623" s="69"/>
      <c r="O1623" s="69"/>
      <c r="P1623" s="78"/>
      <c r="Q1623" s="96"/>
      <c r="R1623" s="97"/>
      <c r="S1623" s="98"/>
    </row>
    <row r="1624" spans="1:19" ht="42.75">
      <c r="A1624" s="90" t="s">
        <v>50</v>
      </c>
      <c r="B1624" s="91" t="s">
        <v>388</v>
      </c>
      <c r="C1624" s="91" t="s">
        <v>3335</v>
      </c>
      <c r="D1624" s="90">
        <v>1039</v>
      </c>
      <c r="E1624" s="90">
        <v>1205</v>
      </c>
      <c r="F1624" s="90" t="s">
        <v>1454</v>
      </c>
      <c r="G1624" s="90"/>
      <c r="H1624" s="93"/>
      <c r="I1624" s="93"/>
      <c r="J1624" s="93"/>
      <c r="K1624" s="95"/>
      <c r="L1624" s="69"/>
      <c r="M1624" s="69"/>
      <c r="N1624" s="69"/>
      <c r="O1624" s="69"/>
      <c r="P1624" s="78"/>
      <c r="Q1624" s="96"/>
      <c r="R1624" s="97"/>
      <c r="S1624" s="98"/>
    </row>
    <row r="1625" spans="1:19" ht="42.75">
      <c r="A1625" s="90" t="s">
        <v>50</v>
      </c>
      <c r="B1625" s="91" t="s">
        <v>388</v>
      </c>
      <c r="C1625" s="91" t="s">
        <v>3336</v>
      </c>
      <c r="D1625" s="90">
        <v>7065</v>
      </c>
      <c r="E1625" s="90">
        <v>7294</v>
      </c>
      <c r="F1625" s="90" t="s">
        <v>1434</v>
      </c>
      <c r="G1625" s="90">
        <v>2024</v>
      </c>
      <c r="H1625" s="101">
        <v>45552</v>
      </c>
      <c r="I1625" s="101">
        <v>45556</v>
      </c>
      <c r="J1625" s="94" t="s">
        <v>3337</v>
      </c>
      <c r="K1625" s="100">
        <v>45569</v>
      </c>
      <c r="L1625" s="69" t="s">
        <v>83</v>
      </c>
      <c r="M1625" s="69" t="s">
        <v>4</v>
      </c>
      <c r="N1625" s="69" t="s">
        <v>101</v>
      </c>
      <c r="O1625" s="69" t="s">
        <v>1436</v>
      </c>
      <c r="P1625" s="78"/>
      <c r="Q1625" s="115">
        <v>45569</v>
      </c>
      <c r="R1625" s="65" t="s">
        <v>2415</v>
      </c>
      <c r="S1625" s="89"/>
    </row>
    <row r="1626" spans="1:19" ht="42.75">
      <c r="A1626" s="90" t="s">
        <v>50</v>
      </c>
      <c r="B1626" s="91" t="s">
        <v>388</v>
      </c>
      <c r="C1626" s="91" t="s">
        <v>3338</v>
      </c>
      <c r="D1626" s="90">
        <v>6252</v>
      </c>
      <c r="E1626" s="90">
        <v>6093</v>
      </c>
      <c r="F1626" s="90" t="s">
        <v>1434</v>
      </c>
      <c r="G1626" s="90">
        <v>2024</v>
      </c>
      <c r="H1626" s="101">
        <v>45552</v>
      </c>
      <c r="I1626" s="101">
        <v>45556</v>
      </c>
      <c r="J1626" s="94" t="s">
        <v>3339</v>
      </c>
      <c r="K1626" s="100">
        <v>45569</v>
      </c>
      <c r="L1626" s="69" t="s">
        <v>83</v>
      </c>
      <c r="M1626" s="69" t="s">
        <v>4</v>
      </c>
      <c r="N1626" s="69" t="s">
        <v>101</v>
      </c>
      <c r="O1626" s="69" t="s">
        <v>1436</v>
      </c>
      <c r="P1626" s="78"/>
      <c r="Q1626" s="115">
        <v>45569</v>
      </c>
      <c r="R1626" s="65" t="s">
        <v>2415</v>
      </c>
      <c r="S1626" s="89"/>
    </row>
    <row r="1627" spans="1:19" ht="42.75">
      <c r="A1627" s="90" t="s">
        <v>50</v>
      </c>
      <c r="B1627" s="91" t="s">
        <v>388</v>
      </c>
      <c r="C1627" s="91" t="s">
        <v>1658</v>
      </c>
      <c r="D1627" s="90">
        <v>6144</v>
      </c>
      <c r="E1627" s="90">
        <v>7290</v>
      </c>
      <c r="F1627" s="90" t="s">
        <v>1454</v>
      </c>
      <c r="G1627" s="90"/>
      <c r="H1627" s="93"/>
      <c r="I1627" s="93"/>
      <c r="J1627" s="93"/>
      <c r="K1627" s="95"/>
      <c r="L1627" s="69"/>
      <c r="M1627" s="69"/>
      <c r="N1627" s="69"/>
      <c r="O1627" s="69"/>
      <c r="P1627" s="78"/>
      <c r="Q1627" s="96"/>
      <c r="R1627" s="97"/>
      <c r="S1627" s="98"/>
    </row>
    <row r="1628" spans="1:19" ht="42.75">
      <c r="A1628" s="90" t="s">
        <v>50</v>
      </c>
      <c r="B1628" s="91" t="s">
        <v>388</v>
      </c>
      <c r="C1628" s="91" t="s">
        <v>3340</v>
      </c>
      <c r="D1628" s="90">
        <v>6333</v>
      </c>
      <c r="E1628" s="90">
        <v>6473</v>
      </c>
      <c r="F1628" s="90" t="s">
        <v>1454</v>
      </c>
      <c r="G1628" s="90"/>
      <c r="H1628" s="93"/>
      <c r="I1628" s="93"/>
      <c r="J1628" s="93"/>
      <c r="K1628" s="95"/>
      <c r="L1628" s="69"/>
      <c r="M1628" s="69"/>
      <c r="N1628" s="69"/>
      <c r="O1628" s="69"/>
      <c r="P1628" s="78"/>
      <c r="Q1628" s="96"/>
      <c r="R1628" s="97"/>
      <c r="S1628" s="98"/>
    </row>
    <row r="1629" spans="1:19" ht="42.75">
      <c r="A1629" s="90" t="s">
        <v>50</v>
      </c>
      <c r="B1629" s="91" t="s">
        <v>388</v>
      </c>
      <c r="C1629" s="91" t="s">
        <v>3341</v>
      </c>
      <c r="D1629" s="90">
        <v>1534</v>
      </c>
      <c r="E1629" s="90">
        <v>1800</v>
      </c>
      <c r="F1629" s="90" t="s">
        <v>1454</v>
      </c>
      <c r="G1629" s="90"/>
      <c r="H1629" s="93"/>
      <c r="I1629" s="93"/>
      <c r="J1629" s="93"/>
      <c r="K1629" s="95"/>
      <c r="L1629" s="69"/>
      <c r="M1629" s="69"/>
      <c r="N1629" s="69"/>
      <c r="O1629" s="69"/>
      <c r="P1629" s="78"/>
      <c r="Q1629" s="96"/>
      <c r="R1629" s="97"/>
      <c r="S1629" s="98"/>
    </row>
    <row r="1630" spans="1:19" ht="42.75">
      <c r="A1630" s="90" t="s">
        <v>50</v>
      </c>
      <c r="B1630" s="91" t="s">
        <v>388</v>
      </c>
      <c r="C1630" s="91" t="s">
        <v>3342</v>
      </c>
      <c r="D1630" s="90">
        <v>8780</v>
      </c>
      <c r="E1630" s="90">
        <v>9851</v>
      </c>
      <c r="F1630" s="90" t="s">
        <v>1454</v>
      </c>
      <c r="G1630" s="90"/>
      <c r="H1630" s="93"/>
      <c r="I1630" s="93"/>
      <c r="J1630" s="93"/>
      <c r="K1630" s="95"/>
      <c r="L1630" s="69"/>
      <c r="M1630" s="69"/>
      <c r="N1630" s="69"/>
      <c r="O1630" s="69"/>
      <c r="P1630" s="78"/>
      <c r="Q1630" s="96"/>
      <c r="R1630" s="97"/>
      <c r="S1630" s="98"/>
    </row>
    <row r="1631" spans="1:19" ht="42.75">
      <c r="A1631" s="90" t="s">
        <v>50</v>
      </c>
      <c r="B1631" s="91" t="s">
        <v>388</v>
      </c>
      <c r="C1631" s="91" t="s">
        <v>3343</v>
      </c>
      <c r="D1631" s="90">
        <v>1208</v>
      </c>
      <c r="E1631" s="90">
        <v>1258</v>
      </c>
      <c r="F1631" s="90" t="s">
        <v>1454</v>
      </c>
      <c r="G1631" s="90"/>
      <c r="H1631" s="93"/>
      <c r="I1631" s="93"/>
      <c r="J1631" s="93"/>
      <c r="K1631" s="95"/>
      <c r="L1631" s="69"/>
      <c r="M1631" s="69"/>
      <c r="N1631" s="69"/>
      <c r="O1631" s="69"/>
      <c r="P1631" s="78"/>
      <c r="Q1631" s="96"/>
      <c r="R1631" s="97"/>
      <c r="S1631" s="98"/>
    </row>
    <row r="1632" spans="1:19" ht="42.75">
      <c r="A1632" s="90" t="s">
        <v>50</v>
      </c>
      <c r="B1632" s="91" t="s">
        <v>388</v>
      </c>
      <c r="C1632" s="91" t="s">
        <v>3344</v>
      </c>
      <c r="D1632" s="90">
        <v>4758</v>
      </c>
      <c r="E1632" s="90">
        <v>5518</v>
      </c>
      <c r="F1632" s="90" t="s">
        <v>1454</v>
      </c>
      <c r="G1632" s="90"/>
      <c r="H1632" s="93"/>
      <c r="I1632" s="93"/>
      <c r="J1632" s="93"/>
      <c r="K1632" s="95"/>
      <c r="L1632" s="69"/>
      <c r="M1632" s="69"/>
      <c r="N1632" s="69"/>
      <c r="O1632" s="69"/>
      <c r="P1632" s="78"/>
      <c r="Q1632" s="96"/>
      <c r="R1632" s="97"/>
      <c r="S1632" s="98"/>
    </row>
    <row r="1633" spans="1:19" ht="42.75">
      <c r="A1633" s="90" t="s">
        <v>50</v>
      </c>
      <c r="B1633" s="91" t="s">
        <v>388</v>
      </c>
      <c r="C1633" s="91" t="s">
        <v>3345</v>
      </c>
      <c r="D1633" s="90">
        <v>3323</v>
      </c>
      <c r="E1633" s="90">
        <v>3468</v>
      </c>
      <c r="F1633" s="90" t="s">
        <v>1454</v>
      </c>
      <c r="G1633" s="90"/>
      <c r="H1633" s="93"/>
      <c r="I1633" s="93"/>
      <c r="J1633" s="93"/>
      <c r="K1633" s="95"/>
      <c r="L1633" s="69"/>
      <c r="M1633" s="69"/>
      <c r="N1633" s="69"/>
      <c r="O1633" s="69"/>
      <c r="P1633" s="78"/>
      <c r="Q1633" s="96"/>
      <c r="R1633" s="97"/>
      <c r="S1633" s="98"/>
    </row>
    <row r="1634" spans="1:19" ht="42.75">
      <c r="A1634" s="90" t="s">
        <v>50</v>
      </c>
      <c r="B1634" s="91" t="s">
        <v>388</v>
      </c>
      <c r="C1634" s="91" t="s">
        <v>3346</v>
      </c>
      <c r="D1634" s="90">
        <v>1634</v>
      </c>
      <c r="E1634" s="90">
        <v>1657</v>
      </c>
      <c r="F1634" s="90" t="s">
        <v>1454</v>
      </c>
      <c r="G1634" s="90"/>
      <c r="H1634" s="93"/>
      <c r="I1634" s="93"/>
      <c r="J1634" s="93"/>
      <c r="K1634" s="95"/>
      <c r="L1634" s="69"/>
      <c r="M1634" s="69"/>
      <c r="N1634" s="69"/>
      <c r="O1634" s="69"/>
      <c r="P1634" s="78"/>
      <c r="Q1634" s="96"/>
      <c r="R1634" s="97"/>
      <c r="S1634" s="98"/>
    </row>
    <row r="1635" spans="1:19" ht="42.75">
      <c r="A1635" s="90" t="s">
        <v>50</v>
      </c>
      <c r="B1635" s="91" t="s">
        <v>388</v>
      </c>
      <c r="C1635" s="91" t="s">
        <v>3347</v>
      </c>
      <c r="D1635" s="90">
        <v>762</v>
      </c>
      <c r="E1635" s="90">
        <v>960</v>
      </c>
      <c r="F1635" s="90" t="s">
        <v>1454</v>
      </c>
      <c r="G1635" s="90"/>
      <c r="H1635" s="93"/>
      <c r="I1635" s="93"/>
      <c r="J1635" s="93"/>
      <c r="K1635" s="95"/>
      <c r="L1635" s="69"/>
      <c r="M1635" s="69"/>
      <c r="N1635" s="69"/>
      <c r="O1635" s="69"/>
      <c r="P1635" s="78"/>
      <c r="Q1635" s="96"/>
      <c r="R1635" s="97"/>
      <c r="S1635" s="98"/>
    </row>
    <row r="1636" spans="1:19" ht="42.75">
      <c r="A1636" s="90" t="s">
        <v>50</v>
      </c>
      <c r="B1636" s="91" t="s">
        <v>388</v>
      </c>
      <c r="C1636" s="91" t="s">
        <v>3348</v>
      </c>
      <c r="D1636" s="90">
        <v>1818</v>
      </c>
      <c r="E1636" s="90">
        <v>1964</v>
      </c>
      <c r="F1636" s="90" t="s">
        <v>1454</v>
      </c>
      <c r="G1636" s="90"/>
      <c r="H1636" s="93"/>
      <c r="I1636" s="93"/>
      <c r="J1636" s="93"/>
      <c r="K1636" s="95"/>
      <c r="L1636" s="69"/>
      <c r="M1636" s="69"/>
      <c r="N1636" s="69"/>
      <c r="O1636" s="69"/>
      <c r="P1636" s="78"/>
      <c r="Q1636" s="96"/>
      <c r="R1636" s="97"/>
      <c r="S1636" s="98"/>
    </row>
    <row r="1637" spans="1:19" ht="42.75">
      <c r="A1637" s="90" t="s">
        <v>50</v>
      </c>
      <c r="B1637" s="91" t="s">
        <v>522</v>
      </c>
      <c r="C1637" s="91" t="s">
        <v>2788</v>
      </c>
      <c r="D1637" s="90">
        <v>3175</v>
      </c>
      <c r="E1637" s="90">
        <v>3294</v>
      </c>
      <c r="F1637" s="90" t="s">
        <v>1454</v>
      </c>
      <c r="G1637" s="90"/>
      <c r="H1637" s="93"/>
      <c r="I1637" s="93"/>
      <c r="J1637" s="93"/>
      <c r="K1637" s="95"/>
      <c r="L1637" s="69"/>
      <c r="M1637" s="69"/>
      <c r="N1637" s="69"/>
      <c r="O1637" s="69"/>
      <c r="P1637" s="78"/>
      <c r="Q1637" s="96"/>
      <c r="R1637" s="97"/>
      <c r="S1637" s="98"/>
    </row>
    <row r="1638" spans="1:19" ht="42.75">
      <c r="A1638" s="90" t="s">
        <v>50</v>
      </c>
      <c r="B1638" s="91" t="s">
        <v>522</v>
      </c>
      <c r="C1638" s="91" t="s">
        <v>3349</v>
      </c>
      <c r="D1638" s="90">
        <v>2423</v>
      </c>
      <c r="E1638" s="90">
        <v>2172</v>
      </c>
      <c r="F1638" s="90" t="s">
        <v>1454</v>
      </c>
      <c r="G1638" s="90"/>
      <c r="H1638" s="93"/>
      <c r="I1638" s="93"/>
      <c r="J1638" s="93"/>
      <c r="K1638" s="95"/>
      <c r="L1638" s="69"/>
      <c r="M1638" s="69"/>
      <c r="N1638" s="69"/>
      <c r="O1638" s="69"/>
      <c r="P1638" s="78"/>
      <c r="Q1638" s="96"/>
      <c r="R1638" s="97"/>
      <c r="S1638" s="98"/>
    </row>
    <row r="1639" spans="1:19" ht="42.75">
      <c r="A1639" s="90" t="s">
        <v>50</v>
      </c>
      <c r="B1639" s="91" t="s">
        <v>522</v>
      </c>
      <c r="C1639" s="91" t="s">
        <v>3350</v>
      </c>
      <c r="D1639" s="90">
        <v>4981</v>
      </c>
      <c r="E1639" s="90">
        <v>5548</v>
      </c>
      <c r="F1639" s="90" t="s">
        <v>1454</v>
      </c>
      <c r="G1639" s="90"/>
      <c r="H1639" s="93"/>
      <c r="I1639" s="93"/>
      <c r="J1639" s="93"/>
      <c r="K1639" s="95"/>
      <c r="L1639" s="69"/>
      <c r="M1639" s="69"/>
      <c r="N1639" s="69"/>
      <c r="O1639" s="69"/>
      <c r="P1639" s="78"/>
      <c r="Q1639" s="96"/>
      <c r="R1639" s="97"/>
      <c r="S1639" s="98"/>
    </row>
    <row r="1640" spans="1:19" ht="42.75">
      <c r="A1640" s="90" t="s">
        <v>50</v>
      </c>
      <c r="B1640" s="91" t="s">
        <v>522</v>
      </c>
      <c r="C1640" s="91" t="s">
        <v>3351</v>
      </c>
      <c r="D1640" s="90">
        <v>1534</v>
      </c>
      <c r="E1640" s="90">
        <v>1501</v>
      </c>
      <c r="F1640" s="90" t="s">
        <v>1454</v>
      </c>
      <c r="G1640" s="90"/>
      <c r="H1640" s="93"/>
      <c r="I1640" s="93"/>
      <c r="J1640" s="93"/>
      <c r="K1640" s="95"/>
      <c r="L1640" s="69"/>
      <c r="M1640" s="69"/>
      <c r="N1640" s="69"/>
      <c r="O1640" s="69"/>
      <c r="P1640" s="78"/>
      <c r="Q1640" s="96"/>
      <c r="R1640" s="97"/>
      <c r="S1640" s="98"/>
    </row>
    <row r="1641" spans="1:19" ht="42.75">
      <c r="A1641" s="90" t="s">
        <v>50</v>
      </c>
      <c r="B1641" s="91" t="s">
        <v>522</v>
      </c>
      <c r="C1641" s="91" t="s">
        <v>3352</v>
      </c>
      <c r="D1641" s="90">
        <v>5828</v>
      </c>
      <c r="E1641" s="90">
        <v>5867</v>
      </c>
      <c r="F1641" s="90" t="s">
        <v>1454</v>
      </c>
      <c r="G1641" s="90"/>
      <c r="H1641" s="93"/>
      <c r="I1641" s="93"/>
      <c r="J1641" s="93"/>
      <c r="K1641" s="95"/>
      <c r="L1641" s="69"/>
      <c r="M1641" s="69"/>
      <c r="N1641" s="69"/>
      <c r="O1641" s="69"/>
      <c r="P1641" s="78"/>
      <c r="Q1641" s="96"/>
      <c r="R1641" s="97"/>
      <c r="S1641" s="98"/>
    </row>
    <row r="1642" spans="1:19" ht="42.75">
      <c r="A1642" s="90" t="s">
        <v>50</v>
      </c>
      <c r="B1642" s="91" t="s">
        <v>522</v>
      </c>
      <c r="C1642" s="91" t="s">
        <v>3353</v>
      </c>
      <c r="D1642" s="90">
        <v>9159</v>
      </c>
      <c r="E1642" s="90">
        <v>9152</v>
      </c>
      <c r="F1642" s="90" t="s">
        <v>1454</v>
      </c>
      <c r="G1642" s="90"/>
      <c r="H1642" s="93"/>
      <c r="I1642" s="93"/>
      <c r="J1642" s="93"/>
      <c r="K1642" s="95"/>
      <c r="L1642" s="69"/>
      <c r="M1642" s="69"/>
      <c r="N1642" s="69"/>
      <c r="O1642" s="69"/>
      <c r="P1642" s="78"/>
      <c r="Q1642" s="96"/>
      <c r="R1642" s="97"/>
      <c r="S1642" s="98"/>
    </row>
    <row r="1643" spans="1:19" ht="42.75">
      <c r="A1643" s="90" t="s">
        <v>50</v>
      </c>
      <c r="B1643" s="91" t="s">
        <v>522</v>
      </c>
      <c r="C1643" s="91" t="s">
        <v>3354</v>
      </c>
      <c r="D1643" s="90">
        <v>8125</v>
      </c>
      <c r="E1643" s="90">
        <v>8597</v>
      </c>
      <c r="F1643" s="90" t="s">
        <v>1454</v>
      </c>
      <c r="G1643" s="90"/>
      <c r="H1643" s="93"/>
      <c r="I1643" s="93"/>
      <c r="J1643" s="93"/>
      <c r="K1643" s="95"/>
      <c r="L1643" s="69"/>
      <c r="M1643" s="69"/>
      <c r="N1643" s="69"/>
      <c r="O1643" s="69"/>
      <c r="P1643" s="78"/>
      <c r="Q1643" s="96"/>
      <c r="R1643" s="97"/>
      <c r="S1643" s="98"/>
    </row>
    <row r="1644" spans="1:19" ht="42.75">
      <c r="A1644" s="90" t="s">
        <v>50</v>
      </c>
      <c r="B1644" s="91" t="s">
        <v>522</v>
      </c>
      <c r="C1644" s="91" t="s">
        <v>3355</v>
      </c>
      <c r="D1644" s="90">
        <v>5426</v>
      </c>
      <c r="E1644" s="90">
        <v>5763</v>
      </c>
      <c r="F1644" s="90" t="s">
        <v>1454</v>
      </c>
      <c r="G1644" s="90"/>
      <c r="H1644" s="93"/>
      <c r="I1644" s="93"/>
      <c r="J1644" s="93"/>
      <c r="K1644" s="95"/>
      <c r="L1644" s="69"/>
      <c r="M1644" s="69"/>
      <c r="N1644" s="69"/>
      <c r="O1644" s="69"/>
      <c r="P1644" s="78"/>
      <c r="Q1644" s="96"/>
      <c r="R1644" s="97"/>
      <c r="S1644" s="98"/>
    </row>
    <row r="1645" spans="1:19" ht="42.75">
      <c r="A1645" s="90" t="s">
        <v>50</v>
      </c>
      <c r="B1645" s="91" t="s">
        <v>522</v>
      </c>
      <c r="C1645" s="91" t="s">
        <v>3356</v>
      </c>
      <c r="D1645" s="90">
        <v>2224</v>
      </c>
      <c r="E1645" s="90">
        <v>2270</v>
      </c>
      <c r="F1645" s="90" t="s">
        <v>1454</v>
      </c>
      <c r="G1645" s="90"/>
      <c r="H1645" s="93"/>
      <c r="I1645" s="93"/>
      <c r="J1645" s="93"/>
      <c r="K1645" s="95"/>
      <c r="L1645" s="69"/>
      <c r="M1645" s="69"/>
      <c r="N1645" s="69"/>
      <c r="O1645" s="69"/>
      <c r="P1645" s="78"/>
      <c r="Q1645" s="96"/>
      <c r="R1645" s="97"/>
      <c r="S1645" s="98"/>
    </row>
    <row r="1646" spans="1:19" ht="42.75">
      <c r="A1646" s="90" t="s">
        <v>50</v>
      </c>
      <c r="B1646" s="91" t="s">
        <v>522</v>
      </c>
      <c r="C1646" s="91" t="s">
        <v>3357</v>
      </c>
      <c r="D1646" s="90">
        <v>2428</v>
      </c>
      <c r="E1646" s="90">
        <v>2391</v>
      </c>
      <c r="F1646" s="90" t="s">
        <v>1454</v>
      </c>
      <c r="G1646" s="90"/>
      <c r="H1646" s="93"/>
      <c r="I1646" s="93"/>
      <c r="J1646" s="93"/>
      <c r="K1646" s="95"/>
      <c r="L1646" s="69"/>
      <c r="M1646" s="69"/>
      <c r="N1646" s="69"/>
      <c r="O1646" s="69"/>
      <c r="P1646" s="78"/>
      <c r="Q1646" s="96"/>
      <c r="R1646" s="97"/>
      <c r="S1646" s="98"/>
    </row>
    <row r="1647" spans="1:19" ht="42.75">
      <c r="A1647" s="90" t="s">
        <v>50</v>
      </c>
      <c r="B1647" s="91" t="s">
        <v>522</v>
      </c>
      <c r="C1647" s="91" t="s">
        <v>3358</v>
      </c>
      <c r="D1647" s="90">
        <v>5496</v>
      </c>
      <c r="E1647" s="90">
        <v>6993</v>
      </c>
      <c r="F1647" s="90" t="s">
        <v>1454</v>
      </c>
      <c r="G1647" s="90"/>
      <c r="H1647" s="93"/>
      <c r="I1647" s="93"/>
      <c r="J1647" s="93"/>
      <c r="K1647" s="95"/>
      <c r="L1647" s="69"/>
      <c r="M1647" s="69"/>
      <c r="N1647" s="69"/>
      <c r="O1647" s="69"/>
      <c r="P1647" s="78"/>
      <c r="Q1647" s="96"/>
      <c r="R1647" s="97"/>
      <c r="S1647" s="98"/>
    </row>
    <row r="1648" spans="1:19" ht="42.75">
      <c r="A1648" s="90" t="s">
        <v>50</v>
      </c>
      <c r="B1648" s="91" t="s">
        <v>522</v>
      </c>
      <c r="C1648" s="91" t="s">
        <v>2234</v>
      </c>
      <c r="D1648" s="90">
        <v>3373</v>
      </c>
      <c r="E1648" s="90">
        <v>3292</v>
      </c>
      <c r="F1648" s="90" t="s">
        <v>1454</v>
      </c>
      <c r="G1648" s="90"/>
      <c r="H1648" s="93"/>
      <c r="I1648" s="93"/>
      <c r="J1648" s="122"/>
      <c r="K1648" s="168"/>
      <c r="L1648" s="69"/>
      <c r="M1648" s="69"/>
      <c r="N1648" s="69"/>
      <c r="O1648" s="69"/>
      <c r="P1648" s="78"/>
      <c r="Q1648" s="96"/>
      <c r="R1648" s="97"/>
      <c r="S1648" s="98"/>
    </row>
    <row r="1649" spans="1:19" ht="42.75">
      <c r="A1649" s="90" t="s">
        <v>50</v>
      </c>
      <c r="B1649" s="91" t="s">
        <v>522</v>
      </c>
      <c r="C1649" s="91" t="s">
        <v>3359</v>
      </c>
      <c r="D1649" s="90">
        <v>4542</v>
      </c>
      <c r="E1649" s="90">
        <v>4638</v>
      </c>
      <c r="F1649" s="90" t="s">
        <v>1434</v>
      </c>
      <c r="G1649" s="90">
        <v>2024</v>
      </c>
      <c r="H1649" s="101">
        <v>45408</v>
      </c>
      <c r="I1649" s="147">
        <v>45408</v>
      </c>
      <c r="J1649" s="107" t="s">
        <v>3360</v>
      </c>
      <c r="K1649" s="119">
        <v>45420</v>
      </c>
      <c r="L1649" s="158" t="s">
        <v>78</v>
      </c>
      <c r="M1649" s="158"/>
      <c r="N1649" s="158"/>
      <c r="O1649" s="69" t="s">
        <v>1436</v>
      </c>
      <c r="P1649" s="78"/>
      <c r="Q1649" s="96"/>
      <c r="R1649" s="97"/>
      <c r="S1649" s="98"/>
    </row>
    <row r="1650" spans="1:19" ht="42.75">
      <c r="A1650" s="90" t="s">
        <v>50</v>
      </c>
      <c r="B1650" s="91" t="s">
        <v>522</v>
      </c>
      <c r="C1650" s="91" t="s">
        <v>1030</v>
      </c>
      <c r="D1650" s="90">
        <v>982</v>
      </c>
      <c r="E1650" s="90">
        <v>1188</v>
      </c>
      <c r="F1650" s="90" t="s">
        <v>1454</v>
      </c>
      <c r="G1650" s="90"/>
      <c r="H1650" s="93"/>
      <c r="I1650" s="93"/>
      <c r="J1650" s="93"/>
      <c r="K1650" s="169"/>
      <c r="L1650" s="69"/>
      <c r="M1650" s="69"/>
      <c r="N1650" s="69"/>
      <c r="O1650" s="69"/>
      <c r="P1650" s="78"/>
      <c r="Q1650" s="96"/>
      <c r="R1650" s="97"/>
      <c r="S1650" s="98"/>
    </row>
    <row r="1651" spans="1:19" ht="42.75">
      <c r="A1651" s="90" t="s">
        <v>50</v>
      </c>
      <c r="B1651" s="91" t="s">
        <v>522</v>
      </c>
      <c r="C1651" s="91" t="s">
        <v>3361</v>
      </c>
      <c r="D1651" s="90">
        <v>5603</v>
      </c>
      <c r="E1651" s="90">
        <v>5870</v>
      </c>
      <c r="F1651" s="90" t="s">
        <v>1454</v>
      </c>
      <c r="G1651" s="90"/>
      <c r="H1651" s="93"/>
      <c r="I1651" s="93"/>
      <c r="J1651" s="93"/>
      <c r="K1651" s="95"/>
      <c r="L1651" s="69"/>
      <c r="M1651" s="69"/>
      <c r="N1651" s="69"/>
      <c r="O1651" s="69"/>
      <c r="P1651" s="78"/>
      <c r="Q1651" s="96"/>
      <c r="R1651" s="97"/>
      <c r="S1651" s="98"/>
    </row>
    <row r="1652" spans="1:19" ht="42.75">
      <c r="A1652" s="90" t="s">
        <v>50</v>
      </c>
      <c r="B1652" s="91" t="s">
        <v>524</v>
      </c>
      <c r="C1652" s="91" t="s">
        <v>3362</v>
      </c>
      <c r="D1652" s="90">
        <v>2378</v>
      </c>
      <c r="E1652" s="90">
        <v>2604</v>
      </c>
      <c r="F1652" s="90" t="s">
        <v>1454</v>
      </c>
      <c r="G1652" s="90"/>
      <c r="H1652" s="93"/>
      <c r="I1652" s="93"/>
      <c r="J1652" s="93"/>
      <c r="K1652" s="95"/>
      <c r="L1652" s="69"/>
      <c r="M1652" s="69"/>
      <c r="N1652" s="69"/>
      <c r="O1652" s="69"/>
      <c r="P1652" s="78"/>
      <c r="Q1652" s="96"/>
      <c r="R1652" s="97"/>
      <c r="S1652" s="98"/>
    </row>
    <row r="1653" spans="1:19" ht="42.75">
      <c r="A1653" s="90" t="s">
        <v>50</v>
      </c>
      <c r="B1653" s="91" t="s">
        <v>524</v>
      </c>
      <c r="C1653" s="91" t="s">
        <v>3363</v>
      </c>
      <c r="D1653" s="90">
        <v>2927</v>
      </c>
      <c r="E1653" s="90">
        <v>3107</v>
      </c>
      <c r="F1653" s="90" t="s">
        <v>1454</v>
      </c>
      <c r="G1653" s="90"/>
      <c r="H1653" s="93"/>
      <c r="I1653" s="93"/>
      <c r="J1653" s="93"/>
      <c r="K1653" s="95"/>
      <c r="L1653" s="69"/>
      <c r="M1653" s="69"/>
      <c r="N1653" s="69"/>
      <c r="O1653" s="69"/>
      <c r="P1653" s="78"/>
      <c r="Q1653" s="96"/>
      <c r="R1653" s="97"/>
      <c r="S1653" s="98"/>
    </row>
    <row r="1654" spans="1:19" ht="42.75">
      <c r="A1654" s="90" t="s">
        <v>50</v>
      </c>
      <c r="B1654" s="91" t="s">
        <v>524</v>
      </c>
      <c r="C1654" s="91" t="s">
        <v>3364</v>
      </c>
      <c r="D1654" s="90">
        <v>3545</v>
      </c>
      <c r="E1654" s="90">
        <v>4039</v>
      </c>
      <c r="F1654" s="90" t="s">
        <v>1454</v>
      </c>
      <c r="G1654" s="90"/>
      <c r="H1654" s="93"/>
      <c r="I1654" s="93"/>
      <c r="J1654" s="93"/>
      <c r="K1654" s="95"/>
      <c r="L1654" s="69"/>
      <c r="M1654" s="69"/>
      <c r="N1654" s="69"/>
      <c r="O1654" s="69"/>
      <c r="P1654" s="78"/>
      <c r="Q1654" s="96"/>
      <c r="R1654" s="97"/>
      <c r="S1654" s="98"/>
    </row>
    <row r="1655" spans="1:19" ht="42.75">
      <c r="A1655" s="90" t="s">
        <v>50</v>
      </c>
      <c r="B1655" s="91" t="s">
        <v>524</v>
      </c>
      <c r="C1655" s="91" t="s">
        <v>3365</v>
      </c>
      <c r="D1655" s="90">
        <v>1760</v>
      </c>
      <c r="E1655" s="90">
        <v>1920</v>
      </c>
      <c r="F1655" s="90" t="s">
        <v>1454</v>
      </c>
      <c r="G1655" s="90"/>
      <c r="H1655" s="93"/>
      <c r="I1655" s="93"/>
      <c r="J1655" s="93"/>
      <c r="K1655" s="95"/>
      <c r="L1655" s="69"/>
      <c r="M1655" s="69"/>
      <c r="N1655" s="69"/>
      <c r="O1655" s="69"/>
      <c r="P1655" s="78"/>
      <c r="Q1655" s="96"/>
      <c r="R1655" s="97"/>
      <c r="S1655" s="98"/>
    </row>
    <row r="1656" spans="1:19" ht="42.75">
      <c r="A1656" s="90" t="s">
        <v>50</v>
      </c>
      <c r="B1656" s="91" t="s">
        <v>524</v>
      </c>
      <c r="C1656" s="91" t="s">
        <v>3366</v>
      </c>
      <c r="D1656" s="90">
        <v>1288</v>
      </c>
      <c r="E1656" s="90">
        <v>1605</v>
      </c>
      <c r="F1656" s="90" t="s">
        <v>1454</v>
      </c>
      <c r="G1656" s="90"/>
      <c r="H1656" s="93"/>
      <c r="I1656" s="93"/>
      <c r="J1656" s="93"/>
      <c r="K1656" s="95"/>
      <c r="L1656" s="69"/>
      <c r="M1656" s="69"/>
      <c r="N1656" s="69"/>
      <c r="O1656" s="69"/>
      <c r="P1656" s="78"/>
      <c r="Q1656" s="96"/>
      <c r="R1656" s="97"/>
      <c r="S1656" s="98"/>
    </row>
    <row r="1657" spans="1:19" ht="42.75">
      <c r="A1657" s="90" t="s">
        <v>50</v>
      </c>
      <c r="B1657" s="91" t="s">
        <v>524</v>
      </c>
      <c r="C1657" s="91" t="s">
        <v>1532</v>
      </c>
      <c r="D1657" s="90">
        <v>4089</v>
      </c>
      <c r="E1657" s="90">
        <v>4439</v>
      </c>
      <c r="F1657" s="90" t="s">
        <v>1454</v>
      </c>
      <c r="G1657" s="90"/>
      <c r="H1657" s="93"/>
      <c r="I1657" s="93"/>
      <c r="J1657" s="93"/>
      <c r="K1657" s="95"/>
      <c r="L1657" s="69"/>
      <c r="M1657" s="69"/>
      <c r="N1657" s="69"/>
      <c r="O1657" s="69"/>
      <c r="P1657" s="78"/>
      <c r="Q1657" s="96"/>
      <c r="R1657" s="97"/>
      <c r="S1657" s="98"/>
    </row>
    <row r="1658" spans="1:19" ht="42.75">
      <c r="A1658" s="90" t="s">
        <v>50</v>
      </c>
      <c r="B1658" s="91" t="s">
        <v>524</v>
      </c>
      <c r="C1658" s="91" t="s">
        <v>1862</v>
      </c>
      <c r="D1658" s="90">
        <v>1939</v>
      </c>
      <c r="E1658" s="90">
        <v>2083</v>
      </c>
      <c r="F1658" s="90" t="s">
        <v>1454</v>
      </c>
      <c r="G1658" s="90"/>
      <c r="H1658" s="93"/>
      <c r="I1658" s="93"/>
      <c r="J1658" s="93"/>
      <c r="K1658" s="95"/>
      <c r="L1658" s="69"/>
      <c r="M1658" s="69"/>
      <c r="N1658" s="69"/>
      <c r="O1658" s="69"/>
      <c r="P1658" s="78"/>
      <c r="Q1658" s="96"/>
      <c r="R1658" s="97"/>
      <c r="S1658" s="98"/>
    </row>
    <row r="1659" spans="1:19" ht="42.75">
      <c r="A1659" s="90" t="s">
        <v>50</v>
      </c>
      <c r="B1659" s="91" t="s">
        <v>524</v>
      </c>
      <c r="C1659" s="91" t="s">
        <v>3367</v>
      </c>
      <c r="D1659" s="90">
        <v>2018</v>
      </c>
      <c r="E1659" s="90">
        <v>2373</v>
      </c>
      <c r="F1659" s="90" t="s">
        <v>1454</v>
      </c>
      <c r="G1659" s="90"/>
      <c r="H1659" s="93"/>
      <c r="I1659" s="93"/>
      <c r="J1659" s="93"/>
      <c r="K1659" s="95"/>
      <c r="L1659" s="69"/>
      <c r="M1659" s="69"/>
      <c r="N1659" s="69"/>
      <c r="O1659" s="69"/>
      <c r="P1659" s="78"/>
      <c r="Q1659" s="96"/>
      <c r="R1659" s="97"/>
      <c r="S1659" s="98"/>
    </row>
    <row r="1660" spans="1:19" ht="42.75">
      <c r="A1660" s="90" t="s">
        <v>50</v>
      </c>
      <c r="B1660" s="91" t="s">
        <v>524</v>
      </c>
      <c r="C1660" s="91" t="s">
        <v>1076</v>
      </c>
      <c r="D1660" s="90">
        <v>1599</v>
      </c>
      <c r="E1660" s="90">
        <v>2034</v>
      </c>
      <c r="F1660" s="90" t="s">
        <v>1454</v>
      </c>
      <c r="G1660" s="90"/>
      <c r="H1660" s="93"/>
      <c r="I1660" s="93"/>
      <c r="J1660" s="93"/>
      <c r="K1660" s="95"/>
      <c r="L1660" s="69"/>
      <c r="M1660" s="69"/>
      <c r="N1660" s="69"/>
      <c r="O1660" s="69"/>
      <c r="P1660" s="78"/>
      <c r="Q1660" s="96"/>
      <c r="R1660" s="97"/>
      <c r="S1660" s="98"/>
    </row>
    <row r="1661" spans="1:19" ht="42.75">
      <c r="A1661" s="90" t="s">
        <v>50</v>
      </c>
      <c r="B1661" s="91" t="s">
        <v>524</v>
      </c>
      <c r="C1661" s="91" t="s">
        <v>3368</v>
      </c>
      <c r="D1661" s="90">
        <v>2390</v>
      </c>
      <c r="E1661" s="90">
        <v>2824</v>
      </c>
      <c r="F1661" s="90" t="s">
        <v>1454</v>
      </c>
      <c r="G1661" s="90"/>
      <c r="H1661" s="93"/>
      <c r="I1661" s="93"/>
      <c r="J1661" s="93"/>
      <c r="K1661" s="95"/>
      <c r="L1661" s="69"/>
      <c r="M1661" s="69"/>
      <c r="N1661" s="69"/>
      <c r="O1661" s="69"/>
      <c r="P1661" s="78"/>
      <c r="Q1661" s="96"/>
      <c r="R1661" s="97"/>
      <c r="S1661" s="98"/>
    </row>
    <row r="1662" spans="1:19" ht="42.75">
      <c r="A1662" s="90" t="s">
        <v>50</v>
      </c>
      <c r="B1662" s="91" t="s">
        <v>524</v>
      </c>
      <c r="C1662" s="91" t="s">
        <v>741</v>
      </c>
      <c r="D1662" s="90">
        <v>939</v>
      </c>
      <c r="E1662" s="90">
        <v>976</v>
      </c>
      <c r="F1662" s="90" t="s">
        <v>1454</v>
      </c>
      <c r="G1662" s="90"/>
      <c r="H1662" s="93"/>
      <c r="I1662" s="93"/>
      <c r="J1662" s="93"/>
      <c r="K1662" s="95"/>
      <c r="L1662" s="69"/>
      <c r="M1662" s="69"/>
      <c r="N1662" s="69"/>
      <c r="O1662" s="69"/>
      <c r="P1662" s="78"/>
      <c r="Q1662" s="96"/>
      <c r="R1662" s="97"/>
      <c r="S1662" s="98"/>
    </row>
    <row r="1663" spans="1:19" ht="42.75">
      <c r="A1663" s="90" t="s">
        <v>50</v>
      </c>
      <c r="B1663" s="91" t="s">
        <v>524</v>
      </c>
      <c r="C1663" s="91" t="s">
        <v>3246</v>
      </c>
      <c r="D1663" s="90">
        <v>1765</v>
      </c>
      <c r="E1663" s="90">
        <v>1693</v>
      </c>
      <c r="F1663" s="90" t="s">
        <v>1454</v>
      </c>
      <c r="G1663" s="90"/>
      <c r="H1663" s="93"/>
      <c r="I1663" s="93"/>
      <c r="J1663" s="93"/>
      <c r="K1663" s="95"/>
      <c r="L1663" s="69"/>
      <c r="M1663" s="69"/>
      <c r="N1663" s="69"/>
      <c r="O1663" s="69"/>
      <c r="P1663" s="78"/>
      <c r="Q1663" s="96"/>
      <c r="R1663" s="97"/>
      <c r="S1663" s="98"/>
    </row>
    <row r="1664" spans="1:19" ht="42.75">
      <c r="A1664" s="90" t="s">
        <v>50</v>
      </c>
      <c r="B1664" s="91" t="s">
        <v>524</v>
      </c>
      <c r="C1664" s="91" t="s">
        <v>881</v>
      </c>
      <c r="D1664" s="90">
        <v>1800</v>
      </c>
      <c r="E1664" s="90">
        <v>1867</v>
      </c>
      <c r="F1664" s="90" t="s">
        <v>1454</v>
      </c>
      <c r="G1664" s="90"/>
      <c r="H1664" s="93"/>
      <c r="I1664" s="93"/>
      <c r="J1664" s="93"/>
      <c r="K1664" s="95"/>
      <c r="L1664" s="69"/>
      <c r="M1664" s="69"/>
      <c r="N1664" s="69"/>
      <c r="O1664" s="69"/>
      <c r="P1664" s="78"/>
      <c r="Q1664" s="96"/>
      <c r="R1664" s="97"/>
      <c r="S1664" s="98"/>
    </row>
    <row r="1665" spans="1:19" ht="42.75">
      <c r="A1665" s="90" t="s">
        <v>50</v>
      </c>
      <c r="B1665" s="91" t="s">
        <v>524</v>
      </c>
      <c r="C1665" s="91" t="s">
        <v>2347</v>
      </c>
      <c r="D1665" s="90">
        <v>2840</v>
      </c>
      <c r="E1665" s="90">
        <v>2917</v>
      </c>
      <c r="F1665" s="90" t="s">
        <v>1454</v>
      </c>
      <c r="G1665" s="90"/>
      <c r="H1665" s="93"/>
      <c r="I1665" s="93"/>
      <c r="J1665" s="122"/>
      <c r="K1665" s="95"/>
      <c r="L1665" s="69"/>
      <c r="M1665" s="69"/>
      <c r="N1665" s="69"/>
      <c r="O1665" s="69"/>
      <c r="P1665" s="78"/>
      <c r="Q1665" s="96"/>
      <c r="R1665" s="97"/>
      <c r="S1665" s="98"/>
    </row>
    <row r="1666" spans="1:19" ht="42.75">
      <c r="A1666" s="90" t="s">
        <v>50</v>
      </c>
      <c r="B1666" s="91" t="s">
        <v>524</v>
      </c>
      <c r="C1666" s="91" t="s">
        <v>3369</v>
      </c>
      <c r="D1666" s="90">
        <v>5060</v>
      </c>
      <c r="E1666" s="90">
        <v>6784</v>
      </c>
      <c r="F1666" s="90" t="s">
        <v>1434</v>
      </c>
      <c r="G1666" s="90">
        <v>2024</v>
      </c>
      <c r="H1666" s="101">
        <v>45405</v>
      </c>
      <c r="I1666" s="147">
        <v>45408</v>
      </c>
      <c r="J1666" s="107" t="s">
        <v>3370</v>
      </c>
      <c r="K1666" s="119">
        <v>45420</v>
      </c>
      <c r="L1666" s="69" t="s">
        <v>78</v>
      </c>
      <c r="M1666" s="69"/>
      <c r="N1666" s="69"/>
      <c r="O1666" s="69" t="s">
        <v>1436</v>
      </c>
      <c r="P1666" s="78"/>
      <c r="Q1666" s="96"/>
      <c r="R1666" s="97"/>
      <c r="S1666" s="98"/>
    </row>
    <row r="1667" spans="1:19" ht="42.75">
      <c r="A1667" s="90" t="s">
        <v>50</v>
      </c>
      <c r="B1667" s="91" t="s">
        <v>524</v>
      </c>
      <c r="C1667" s="91" t="s">
        <v>3371</v>
      </c>
      <c r="D1667" s="90">
        <v>2737</v>
      </c>
      <c r="E1667" s="90">
        <v>2682</v>
      </c>
      <c r="F1667" s="90" t="s">
        <v>1454</v>
      </c>
      <c r="G1667" s="90"/>
      <c r="H1667" s="93"/>
      <c r="I1667" s="93"/>
      <c r="J1667" s="93"/>
      <c r="K1667" s="95"/>
      <c r="L1667" s="69"/>
      <c r="M1667" s="69"/>
      <c r="N1667" s="69"/>
      <c r="O1667" s="69"/>
      <c r="P1667" s="78"/>
      <c r="Q1667" s="96"/>
      <c r="R1667" s="97"/>
      <c r="S1667" s="98"/>
    </row>
    <row r="1668" spans="1:19" ht="42.75">
      <c r="A1668" s="90" t="s">
        <v>50</v>
      </c>
      <c r="B1668" s="91" t="s">
        <v>524</v>
      </c>
      <c r="C1668" s="91" t="s">
        <v>1886</v>
      </c>
      <c r="D1668" s="90">
        <v>1461</v>
      </c>
      <c r="E1668" s="90">
        <v>1306</v>
      </c>
      <c r="F1668" s="90" t="s">
        <v>1454</v>
      </c>
      <c r="G1668" s="90"/>
      <c r="H1668" s="93"/>
      <c r="I1668" s="93"/>
      <c r="J1668" s="93"/>
      <c r="K1668" s="95"/>
      <c r="L1668" s="69"/>
      <c r="M1668" s="69"/>
      <c r="N1668" s="69"/>
      <c r="O1668" s="69"/>
      <c r="P1668" s="78"/>
      <c r="Q1668" s="96"/>
      <c r="R1668" s="97"/>
      <c r="S1668" s="98"/>
    </row>
    <row r="1669" spans="1:19" ht="42.75">
      <c r="A1669" s="90" t="s">
        <v>50</v>
      </c>
      <c r="B1669" s="91" t="s">
        <v>524</v>
      </c>
      <c r="C1669" s="91" t="s">
        <v>3372</v>
      </c>
      <c r="D1669" s="90">
        <v>927</v>
      </c>
      <c r="E1669" s="90">
        <v>1040</v>
      </c>
      <c r="F1669" s="90" t="s">
        <v>1454</v>
      </c>
      <c r="G1669" s="90"/>
      <c r="H1669" s="93"/>
      <c r="I1669" s="93"/>
      <c r="J1669" s="93"/>
      <c r="K1669" s="95"/>
      <c r="L1669" s="69"/>
      <c r="M1669" s="69"/>
      <c r="N1669" s="69"/>
      <c r="O1669" s="69"/>
      <c r="P1669" s="78"/>
      <c r="Q1669" s="96"/>
      <c r="R1669" s="97"/>
      <c r="S1669" s="98"/>
    </row>
    <row r="1670" spans="1:19" ht="42.75">
      <c r="A1670" s="90" t="s">
        <v>50</v>
      </c>
      <c r="B1670" s="91" t="s">
        <v>524</v>
      </c>
      <c r="C1670" s="91" t="s">
        <v>3373</v>
      </c>
      <c r="D1670" s="90">
        <v>1339</v>
      </c>
      <c r="E1670" s="90">
        <v>1392</v>
      </c>
      <c r="F1670" s="90" t="s">
        <v>1454</v>
      </c>
      <c r="G1670" s="90"/>
      <c r="H1670" s="93"/>
      <c r="I1670" s="93"/>
      <c r="J1670" s="93"/>
      <c r="K1670" s="95"/>
      <c r="L1670" s="69"/>
      <c r="M1670" s="69"/>
      <c r="N1670" s="69"/>
      <c r="O1670" s="69"/>
      <c r="P1670" s="78"/>
      <c r="Q1670" s="96"/>
      <c r="R1670" s="97"/>
      <c r="S1670" s="98"/>
    </row>
    <row r="1671" spans="1:19" ht="42.75">
      <c r="A1671" s="90" t="s">
        <v>50</v>
      </c>
      <c r="B1671" s="91" t="s">
        <v>524</v>
      </c>
      <c r="C1671" s="91" t="s">
        <v>1006</v>
      </c>
      <c r="D1671" s="90">
        <v>1464</v>
      </c>
      <c r="E1671" s="90">
        <v>1422</v>
      </c>
      <c r="F1671" s="90" t="s">
        <v>1454</v>
      </c>
      <c r="G1671" s="90"/>
      <c r="H1671" s="93"/>
      <c r="I1671" s="93"/>
      <c r="J1671" s="93"/>
      <c r="K1671" s="95"/>
      <c r="L1671" s="69"/>
      <c r="M1671" s="69"/>
      <c r="N1671" s="69"/>
      <c r="O1671" s="69"/>
      <c r="P1671" s="78"/>
      <c r="Q1671" s="96"/>
      <c r="R1671" s="97"/>
      <c r="S1671" s="98"/>
    </row>
    <row r="1672" spans="1:19" ht="42.75">
      <c r="A1672" s="90" t="s">
        <v>50</v>
      </c>
      <c r="B1672" s="91" t="s">
        <v>524</v>
      </c>
      <c r="C1672" s="91" t="s">
        <v>3268</v>
      </c>
      <c r="D1672" s="90">
        <v>1342</v>
      </c>
      <c r="E1672" s="90">
        <v>1359</v>
      </c>
      <c r="F1672" s="90" t="s">
        <v>1454</v>
      </c>
      <c r="G1672" s="90"/>
      <c r="H1672" s="93"/>
      <c r="I1672" s="93"/>
      <c r="J1672" s="93"/>
      <c r="K1672" s="95"/>
      <c r="L1672" s="69"/>
      <c r="M1672" s="69"/>
      <c r="N1672" s="69"/>
      <c r="O1672" s="69"/>
      <c r="P1672" s="78"/>
      <c r="Q1672" s="96"/>
      <c r="R1672" s="97"/>
      <c r="S1672" s="98"/>
    </row>
    <row r="1673" spans="1:19" ht="42.75">
      <c r="A1673" s="90" t="s">
        <v>50</v>
      </c>
      <c r="B1673" s="91" t="s">
        <v>524</v>
      </c>
      <c r="C1673" s="91" t="s">
        <v>3127</v>
      </c>
      <c r="D1673" s="90">
        <v>1882</v>
      </c>
      <c r="E1673" s="90">
        <v>1856</v>
      </c>
      <c r="F1673" s="90" t="s">
        <v>1454</v>
      </c>
      <c r="G1673" s="90"/>
      <c r="H1673" s="93"/>
      <c r="I1673" s="93"/>
      <c r="J1673" s="93"/>
      <c r="K1673" s="95"/>
      <c r="L1673" s="69"/>
      <c r="M1673" s="69"/>
      <c r="N1673" s="69"/>
      <c r="O1673" s="69"/>
      <c r="P1673" s="78"/>
      <c r="Q1673" s="96"/>
      <c r="R1673" s="97"/>
      <c r="S1673" s="98"/>
    </row>
    <row r="1674" spans="1:19" ht="42.75">
      <c r="A1674" s="90" t="s">
        <v>50</v>
      </c>
      <c r="B1674" s="91" t="s">
        <v>524</v>
      </c>
      <c r="C1674" s="91" t="s">
        <v>3374</v>
      </c>
      <c r="D1674" s="90">
        <v>1984</v>
      </c>
      <c r="E1674" s="90">
        <v>2064</v>
      </c>
      <c r="F1674" s="90" t="s">
        <v>1454</v>
      </c>
      <c r="G1674" s="90"/>
      <c r="H1674" s="93"/>
      <c r="I1674" s="93"/>
      <c r="J1674" s="93"/>
      <c r="K1674" s="95"/>
      <c r="L1674" s="69"/>
      <c r="M1674" s="69"/>
      <c r="N1674" s="69"/>
      <c r="O1674" s="69"/>
      <c r="P1674" s="78"/>
      <c r="Q1674" s="96"/>
      <c r="R1674" s="97"/>
      <c r="S1674" s="98"/>
    </row>
    <row r="1675" spans="1:19" ht="42.75">
      <c r="A1675" s="90" t="s">
        <v>50</v>
      </c>
      <c r="B1675" s="91" t="s">
        <v>524</v>
      </c>
      <c r="C1675" s="91" t="s">
        <v>3375</v>
      </c>
      <c r="D1675" s="90">
        <v>2427</v>
      </c>
      <c r="E1675" s="90">
        <v>2510</v>
      </c>
      <c r="F1675" s="90" t="s">
        <v>1454</v>
      </c>
      <c r="G1675" s="90"/>
      <c r="H1675" s="93"/>
      <c r="I1675" s="93"/>
      <c r="J1675" s="93"/>
      <c r="K1675" s="95"/>
      <c r="L1675" s="69"/>
      <c r="M1675" s="69"/>
      <c r="N1675" s="69"/>
      <c r="O1675" s="69"/>
      <c r="P1675" s="78"/>
      <c r="Q1675" s="96"/>
      <c r="R1675" s="97"/>
      <c r="S1675" s="98"/>
    </row>
    <row r="1676" spans="1:19" ht="42.75">
      <c r="A1676" s="90" t="s">
        <v>50</v>
      </c>
      <c r="B1676" s="91" t="s">
        <v>524</v>
      </c>
      <c r="C1676" s="91" t="s">
        <v>2823</v>
      </c>
      <c r="D1676" s="90">
        <v>2647</v>
      </c>
      <c r="E1676" s="90">
        <v>2695</v>
      </c>
      <c r="F1676" s="90" t="s">
        <v>1454</v>
      </c>
      <c r="G1676" s="90"/>
      <c r="H1676" s="93"/>
      <c r="I1676" s="93"/>
      <c r="J1676" s="93"/>
      <c r="K1676" s="95"/>
      <c r="L1676" s="69"/>
      <c r="M1676" s="69"/>
      <c r="N1676" s="69"/>
      <c r="O1676" s="69"/>
      <c r="P1676" s="78"/>
      <c r="Q1676" s="96"/>
      <c r="R1676" s="97"/>
      <c r="S1676" s="98"/>
    </row>
    <row r="1677" spans="1:19" ht="42.75">
      <c r="A1677" s="90" t="s">
        <v>50</v>
      </c>
      <c r="B1677" s="91" t="s">
        <v>524</v>
      </c>
      <c r="C1677" s="91" t="s">
        <v>2932</v>
      </c>
      <c r="D1677" s="90">
        <v>1719</v>
      </c>
      <c r="E1677" s="90">
        <v>1864</v>
      </c>
      <c r="F1677" s="90" t="s">
        <v>1454</v>
      </c>
      <c r="G1677" s="90"/>
      <c r="H1677" s="93"/>
      <c r="I1677" s="93"/>
      <c r="J1677" s="93"/>
      <c r="K1677" s="95"/>
      <c r="L1677" s="69"/>
      <c r="M1677" s="69"/>
      <c r="N1677" s="69"/>
      <c r="O1677" s="69"/>
      <c r="P1677" s="78"/>
      <c r="Q1677" s="96"/>
      <c r="R1677" s="97"/>
      <c r="S1677" s="98"/>
    </row>
    <row r="1678" spans="1:19" ht="42.75">
      <c r="A1678" s="90" t="s">
        <v>50</v>
      </c>
      <c r="B1678" s="91" t="s">
        <v>524</v>
      </c>
      <c r="C1678" s="91" t="s">
        <v>3129</v>
      </c>
      <c r="D1678" s="90">
        <v>1786</v>
      </c>
      <c r="E1678" s="90">
        <v>1819</v>
      </c>
      <c r="F1678" s="90" t="s">
        <v>1454</v>
      </c>
      <c r="G1678" s="90"/>
      <c r="H1678" s="93"/>
      <c r="I1678" s="93"/>
      <c r="J1678" s="93"/>
      <c r="K1678" s="95"/>
      <c r="L1678" s="69"/>
      <c r="M1678" s="69"/>
      <c r="N1678" s="69"/>
      <c r="O1678" s="69"/>
      <c r="P1678" s="78"/>
      <c r="Q1678" s="96"/>
      <c r="R1678" s="97"/>
      <c r="S1678" s="98"/>
    </row>
    <row r="1679" spans="1:19" ht="42.75">
      <c r="A1679" s="90" t="s">
        <v>50</v>
      </c>
      <c r="B1679" s="91" t="s">
        <v>524</v>
      </c>
      <c r="C1679" s="91" t="s">
        <v>520</v>
      </c>
      <c r="D1679" s="90">
        <v>1842</v>
      </c>
      <c r="E1679" s="90">
        <v>2036</v>
      </c>
      <c r="F1679" s="90" t="s">
        <v>1454</v>
      </c>
      <c r="G1679" s="90"/>
      <c r="H1679" s="93"/>
      <c r="I1679" s="93"/>
      <c r="J1679" s="93"/>
      <c r="K1679" s="95"/>
      <c r="L1679" s="69"/>
      <c r="M1679" s="69"/>
      <c r="N1679" s="69"/>
      <c r="O1679" s="69"/>
      <c r="P1679" s="78"/>
      <c r="Q1679" s="96"/>
      <c r="R1679" s="97"/>
      <c r="S1679" s="98"/>
    </row>
    <row r="1680" spans="1:19" ht="42.75">
      <c r="A1680" s="90" t="s">
        <v>50</v>
      </c>
      <c r="B1680" s="91" t="s">
        <v>524</v>
      </c>
      <c r="C1680" s="91" t="s">
        <v>3376</v>
      </c>
      <c r="D1680" s="90">
        <v>2544</v>
      </c>
      <c r="E1680" s="90">
        <v>2695</v>
      </c>
      <c r="F1680" s="90" t="s">
        <v>1454</v>
      </c>
      <c r="G1680" s="90"/>
      <c r="H1680" s="93"/>
      <c r="I1680" s="93"/>
      <c r="J1680" s="93"/>
      <c r="K1680" s="95"/>
      <c r="L1680" s="69"/>
      <c r="M1680" s="69"/>
      <c r="N1680" s="69"/>
      <c r="O1680" s="69"/>
      <c r="P1680" s="78"/>
      <c r="Q1680" s="96"/>
      <c r="R1680" s="97"/>
      <c r="S1680" s="98"/>
    </row>
    <row r="1681" spans="1:19" ht="42.75">
      <c r="A1681" s="90" t="s">
        <v>50</v>
      </c>
      <c r="B1681" s="91" t="s">
        <v>524</v>
      </c>
      <c r="C1681" s="91" t="s">
        <v>3377</v>
      </c>
      <c r="D1681" s="90">
        <v>1626</v>
      </c>
      <c r="E1681" s="90">
        <v>1739</v>
      </c>
      <c r="F1681" s="90" t="s">
        <v>1454</v>
      </c>
      <c r="G1681" s="90"/>
      <c r="H1681" s="93"/>
      <c r="I1681" s="93"/>
      <c r="J1681" s="93"/>
      <c r="K1681" s="95"/>
      <c r="L1681" s="69"/>
      <c r="M1681" s="69"/>
      <c r="N1681" s="69"/>
      <c r="O1681" s="69"/>
      <c r="P1681" s="78"/>
      <c r="Q1681" s="96"/>
      <c r="R1681" s="97"/>
      <c r="S1681" s="98"/>
    </row>
    <row r="1682" spans="1:19" ht="42.75">
      <c r="A1682" s="90" t="s">
        <v>50</v>
      </c>
      <c r="B1682" s="91" t="s">
        <v>524</v>
      </c>
      <c r="C1682" s="91" t="s">
        <v>3378</v>
      </c>
      <c r="D1682" s="90">
        <v>838</v>
      </c>
      <c r="E1682" s="90">
        <v>884</v>
      </c>
      <c r="F1682" s="90" t="s">
        <v>1454</v>
      </c>
      <c r="G1682" s="90"/>
      <c r="H1682" s="93"/>
      <c r="I1682" s="93"/>
      <c r="J1682" s="93"/>
      <c r="K1682" s="95"/>
      <c r="L1682" s="69"/>
      <c r="M1682" s="69"/>
      <c r="N1682" s="69"/>
      <c r="O1682" s="69"/>
      <c r="P1682" s="78"/>
      <c r="Q1682" s="96"/>
      <c r="R1682" s="97"/>
      <c r="S1682" s="98"/>
    </row>
    <row r="1683" spans="1:19" ht="42.75">
      <c r="A1683" s="90" t="s">
        <v>50</v>
      </c>
      <c r="B1683" s="91" t="s">
        <v>524</v>
      </c>
      <c r="C1683" s="91" t="s">
        <v>3379</v>
      </c>
      <c r="D1683" s="90">
        <v>2977</v>
      </c>
      <c r="E1683" s="90">
        <v>3471</v>
      </c>
      <c r="F1683" s="90" t="s">
        <v>1454</v>
      </c>
      <c r="G1683" s="90"/>
      <c r="H1683" s="93"/>
      <c r="I1683" s="93"/>
      <c r="J1683" s="93"/>
      <c r="K1683" s="95"/>
      <c r="L1683" s="69"/>
      <c r="M1683" s="69"/>
      <c r="N1683" s="69"/>
      <c r="O1683" s="69"/>
      <c r="P1683" s="78"/>
      <c r="Q1683" s="96"/>
      <c r="R1683" s="97"/>
      <c r="S1683" s="98"/>
    </row>
    <row r="1684" spans="1:19" ht="42.75">
      <c r="A1684" s="90" t="s">
        <v>50</v>
      </c>
      <c r="B1684" s="91" t="s">
        <v>524</v>
      </c>
      <c r="C1684" s="91" t="s">
        <v>3380</v>
      </c>
      <c r="D1684" s="90">
        <v>1588</v>
      </c>
      <c r="E1684" s="90">
        <v>1550</v>
      </c>
      <c r="F1684" s="90" t="s">
        <v>1454</v>
      </c>
      <c r="G1684" s="90"/>
      <c r="H1684" s="93"/>
      <c r="I1684" s="93"/>
      <c r="J1684" s="93"/>
      <c r="K1684" s="95"/>
      <c r="L1684" s="69"/>
      <c r="M1684" s="69"/>
      <c r="N1684" s="69"/>
      <c r="O1684" s="69"/>
      <c r="P1684" s="78"/>
      <c r="Q1684" s="96"/>
      <c r="R1684" s="97"/>
      <c r="S1684" s="98"/>
    </row>
    <row r="1685" spans="1:19" ht="42.75">
      <c r="A1685" s="90" t="s">
        <v>50</v>
      </c>
      <c r="B1685" s="91" t="s">
        <v>526</v>
      </c>
      <c r="C1685" s="91" t="s">
        <v>3381</v>
      </c>
      <c r="D1685" s="90">
        <v>9274</v>
      </c>
      <c r="E1685" s="90">
        <v>9619</v>
      </c>
      <c r="F1685" s="90" t="s">
        <v>1454</v>
      </c>
      <c r="G1685" s="90"/>
      <c r="H1685" s="93"/>
      <c r="I1685" s="93"/>
      <c r="J1685" s="93"/>
      <c r="K1685" s="95"/>
      <c r="L1685" s="69"/>
      <c r="M1685" s="69"/>
      <c r="N1685" s="69"/>
      <c r="O1685" s="69"/>
      <c r="P1685" s="78"/>
      <c r="Q1685" s="96"/>
      <c r="R1685" s="97"/>
      <c r="S1685" s="98"/>
    </row>
    <row r="1686" spans="1:19" ht="42.75">
      <c r="A1686" s="90" t="s">
        <v>50</v>
      </c>
      <c r="B1686" s="91" t="s">
        <v>526</v>
      </c>
      <c r="C1686" s="91" t="s">
        <v>3382</v>
      </c>
      <c r="D1686" s="90">
        <v>1229</v>
      </c>
      <c r="E1686" s="90">
        <v>1317</v>
      </c>
      <c r="F1686" s="90" t="s">
        <v>1454</v>
      </c>
      <c r="G1686" s="90"/>
      <c r="H1686" s="93"/>
      <c r="I1686" s="93"/>
      <c r="J1686" s="93"/>
      <c r="K1686" s="95"/>
      <c r="L1686" s="69"/>
      <c r="M1686" s="69"/>
      <c r="N1686" s="69"/>
      <c r="O1686" s="69"/>
      <c r="P1686" s="78"/>
      <c r="Q1686" s="96"/>
      <c r="R1686" s="97"/>
      <c r="S1686" s="98"/>
    </row>
    <row r="1687" spans="1:19" ht="42.75">
      <c r="A1687" s="90" t="s">
        <v>50</v>
      </c>
      <c r="B1687" s="91" t="s">
        <v>526</v>
      </c>
      <c r="C1687" s="91" t="s">
        <v>1006</v>
      </c>
      <c r="D1687" s="90">
        <v>1787</v>
      </c>
      <c r="E1687" s="90">
        <v>1812</v>
      </c>
      <c r="F1687" s="90" t="s">
        <v>1454</v>
      </c>
      <c r="G1687" s="90"/>
      <c r="H1687" s="93"/>
      <c r="I1687" s="93"/>
      <c r="J1687" s="93"/>
      <c r="K1687" s="95"/>
      <c r="L1687" s="69"/>
      <c r="M1687" s="69"/>
      <c r="N1687" s="69"/>
      <c r="O1687" s="69"/>
      <c r="P1687" s="78"/>
      <c r="Q1687" s="96"/>
      <c r="R1687" s="97"/>
      <c r="S1687" s="98"/>
    </row>
    <row r="1688" spans="1:19" ht="42.75">
      <c r="A1688" s="90" t="s">
        <v>50</v>
      </c>
      <c r="B1688" s="91" t="s">
        <v>526</v>
      </c>
      <c r="C1688" s="91" t="s">
        <v>3383</v>
      </c>
      <c r="D1688" s="90">
        <v>2336</v>
      </c>
      <c r="E1688" s="90">
        <v>2441</v>
      </c>
      <c r="F1688" s="90" t="s">
        <v>1454</v>
      </c>
      <c r="G1688" s="90"/>
      <c r="H1688" s="93"/>
      <c r="I1688" s="93"/>
      <c r="J1688" s="93"/>
      <c r="K1688" s="95"/>
      <c r="L1688" s="69"/>
      <c r="M1688" s="69"/>
      <c r="N1688" s="69"/>
      <c r="O1688" s="69"/>
      <c r="P1688" s="78"/>
      <c r="Q1688" s="96"/>
      <c r="R1688" s="97"/>
      <c r="S1688" s="98"/>
    </row>
    <row r="1689" spans="1:19" ht="42.75">
      <c r="A1689" s="90" t="s">
        <v>50</v>
      </c>
      <c r="B1689" s="91" t="s">
        <v>526</v>
      </c>
      <c r="C1689" s="91" t="s">
        <v>3384</v>
      </c>
      <c r="D1689" s="90">
        <v>1352</v>
      </c>
      <c r="E1689" s="90">
        <v>1470</v>
      </c>
      <c r="F1689" s="90" t="s">
        <v>1454</v>
      </c>
      <c r="G1689" s="90"/>
      <c r="H1689" s="93"/>
      <c r="I1689" s="93"/>
      <c r="J1689" s="93"/>
      <c r="K1689" s="95"/>
      <c r="L1689" s="69"/>
      <c r="M1689" s="69"/>
      <c r="N1689" s="69"/>
      <c r="O1689" s="69"/>
      <c r="P1689" s="78"/>
      <c r="Q1689" s="96"/>
      <c r="R1689" s="97"/>
      <c r="S1689" s="98"/>
    </row>
    <row r="1690" spans="1:19" ht="42.75">
      <c r="A1690" s="90" t="s">
        <v>50</v>
      </c>
      <c r="B1690" s="91" t="s">
        <v>526</v>
      </c>
      <c r="C1690" s="91" t="s">
        <v>3385</v>
      </c>
      <c r="D1690" s="90">
        <v>1890</v>
      </c>
      <c r="E1690" s="90">
        <v>1934</v>
      </c>
      <c r="F1690" s="90" t="s">
        <v>1454</v>
      </c>
      <c r="G1690" s="90"/>
      <c r="H1690" s="93"/>
      <c r="I1690" s="93"/>
      <c r="J1690" s="93"/>
      <c r="K1690" s="95"/>
      <c r="L1690" s="69"/>
      <c r="M1690" s="69"/>
      <c r="N1690" s="69"/>
      <c r="O1690" s="69"/>
      <c r="P1690" s="78"/>
      <c r="Q1690" s="96"/>
      <c r="R1690" s="97"/>
      <c r="S1690" s="98"/>
    </row>
    <row r="1691" spans="1:19" ht="42.75">
      <c r="A1691" s="90" t="s">
        <v>50</v>
      </c>
      <c r="B1691" s="91" t="s">
        <v>526</v>
      </c>
      <c r="C1691" s="91" t="s">
        <v>250</v>
      </c>
      <c r="D1691" s="90">
        <v>1541</v>
      </c>
      <c r="E1691" s="90">
        <v>1575</v>
      </c>
      <c r="F1691" s="90" t="s">
        <v>1454</v>
      </c>
      <c r="G1691" s="90"/>
      <c r="H1691" s="93"/>
      <c r="I1691" s="93"/>
      <c r="J1691" s="93"/>
      <c r="K1691" s="95"/>
      <c r="L1691" s="69"/>
      <c r="M1691" s="69"/>
      <c r="N1691" s="69"/>
      <c r="O1691" s="69"/>
      <c r="P1691" s="78"/>
      <c r="Q1691" s="96"/>
      <c r="R1691" s="97"/>
      <c r="S1691" s="98"/>
    </row>
    <row r="1692" spans="1:19" ht="42.75">
      <c r="A1692" s="90" t="s">
        <v>50</v>
      </c>
      <c r="B1692" s="91" t="s">
        <v>526</v>
      </c>
      <c r="C1692" s="91" t="s">
        <v>3386</v>
      </c>
      <c r="D1692" s="90">
        <v>2045</v>
      </c>
      <c r="E1692" s="90">
        <v>2341</v>
      </c>
      <c r="F1692" s="90" t="s">
        <v>1454</v>
      </c>
      <c r="G1692" s="90"/>
      <c r="H1692" s="93"/>
      <c r="I1692" s="93"/>
      <c r="J1692" s="93"/>
      <c r="K1692" s="95"/>
      <c r="L1692" s="69"/>
      <c r="M1692" s="69"/>
      <c r="N1692" s="69"/>
      <c r="O1692" s="69"/>
      <c r="P1692" s="78"/>
      <c r="Q1692" s="96"/>
      <c r="R1692" s="97"/>
      <c r="S1692" s="98"/>
    </row>
    <row r="1693" spans="1:19" ht="42.75">
      <c r="A1693" s="90" t="s">
        <v>50</v>
      </c>
      <c r="B1693" s="91" t="s">
        <v>526</v>
      </c>
      <c r="C1693" s="91" t="s">
        <v>2899</v>
      </c>
      <c r="D1693" s="90">
        <v>1384</v>
      </c>
      <c r="E1693" s="90">
        <v>1482</v>
      </c>
      <c r="F1693" s="90" t="s">
        <v>1454</v>
      </c>
      <c r="G1693" s="90"/>
      <c r="H1693" s="93"/>
      <c r="I1693" s="93"/>
      <c r="J1693" s="93"/>
      <c r="K1693" s="95"/>
      <c r="L1693" s="69"/>
      <c r="M1693" s="69"/>
      <c r="N1693" s="69"/>
      <c r="O1693" s="69"/>
      <c r="P1693" s="78"/>
      <c r="Q1693" s="96"/>
      <c r="R1693" s="97"/>
      <c r="S1693" s="98"/>
    </row>
    <row r="1694" spans="1:19" ht="42.75">
      <c r="A1694" s="90" t="s">
        <v>50</v>
      </c>
      <c r="B1694" s="91" t="s">
        <v>526</v>
      </c>
      <c r="C1694" s="91" t="s">
        <v>2429</v>
      </c>
      <c r="D1694" s="90">
        <v>1963</v>
      </c>
      <c r="E1694" s="90">
        <v>2015</v>
      </c>
      <c r="F1694" s="90" t="s">
        <v>1454</v>
      </c>
      <c r="G1694" s="90"/>
      <c r="H1694" s="93"/>
      <c r="I1694" s="93"/>
      <c r="J1694" s="93"/>
      <c r="K1694" s="95"/>
      <c r="L1694" s="69"/>
      <c r="M1694" s="69"/>
      <c r="N1694" s="69"/>
      <c r="O1694" s="69"/>
      <c r="P1694" s="78"/>
      <c r="Q1694" s="96"/>
      <c r="R1694" s="97"/>
      <c r="S1694" s="98"/>
    </row>
    <row r="1695" spans="1:19" ht="42.75">
      <c r="A1695" s="90" t="s">
        <v>50</v>
      </c>
      <c r="B1695" s="91" t="s">
        <v>526</v>
      </c>
      <c r="C1695" s="91" t="s">
        <v>3129</v>
      </c>
      <c r="D1695" s="90">
        <v>1469</v>
      </c>
      <c r="E1695" s="90">
        <v>1507</v>
      </c>
      <c r="F1695" s="90" t="s">
        <v>1454</v>
      </c>
      <c r="G1695" s="90"/>
      <c r="H1695" s="93"/>
      <c r="I1695" s="93"/>
      <c r="J1695" s="122"/>
      <c r="K1695" s="95"/>
      <c r="L1695" s="69"/>
      <c r="M1695" s="69"/>
      <c r="N1695" s="69"/>
      <c r="O1695" s="69"/>
      <c r="P1695" s="78"/>
      <c r="Q1695" s="96"/>
      <c r="R1695" s="97"/>
      <c r="S1695" s="98"/>
    </row>
    <row r="1696" spans="1:19" ht="42.75">
      <c r="A1696" s="90" t="s">
        <v>50</v>
      </c>
      <c r="B1696" s="91" t="s">
        <v>526</v>
      </c>
      <c r="C1696" s="91" t="s">
        <v>939</v>
      </c>
      <c r="D1696" s="90">
        <v>1935</v>
      </c>
      <c r="E1696" s="90">
        <v>1945</v>
      </c>
      <c r="F1696" s="90" t="s">
        <v>1434</v>
      </c>
      <c r="G1696" s="90">
        <v>2024</v>
      </c>
      <c r="H1696" s="101">
        <v>45387</v>
      </c>
      <c r="I1696" s="147">
        <v>45389</v>
      </c>
      <c r="J1696" s="129" t="s">
        <v>3387</v>
      </c>
      <c r="K1696" s="119">
        <v>45393</v>
      </c>
      <c r="L1696" s="69" t="s">
        <v>77</v>
      </c>
      <c r="M1696" s="69" t="s">
        <v>4</v>
      </c>
      <c r="N1696" s="69"/>
      <c r="O1696" s="69" t="s">
        <v>1436</v>
      </c>
      <c r="P1696" s="78"/>
      <c r="Q1696" s="96"/>
      <c r="R1696" s="97"/>
      <c r="S1696" s="98"/>
    </row>
    <row r="1697" spans="1:19" ht="42.75">
      <c r="A1697" s="90" t="s">
        <v>50</v>
      </c>
      <c r="B1697" s="91" t="s">
        <v>526</v>
      </c>
      <c r="C1697" s="91" t="s">
        <v>3388</v>
      </c>
      <c r="D1697" s="90">
        <v>2656</v>
      </c>
      <c r="E1697" s="90">
        <v>3024</v>
      </c>
      <c r="F1697" s="90" t="s">
        <v>1454</v>
      </c>
      <c r="G1697" s="90"/>
      <c r="H1697" s="93"/>
      <c r="I1697" s="93"/>
      <c r="J1697" s="93"/>
      <c r="K1697" s="95"/>
      <c r="L1697" s="69"/>
      <c r="M1697" s="69"/>
      <c r="N1697" s="69"/>
      <c r="O1697" s="69"/>
      <c r="P1697" s="78"/>
      <c r="Q1697" s="96"/>
      <c r="R1697" s="97"/>
      <c r="S1697" s="98"/>
    </row>
    <row r="1698" spans="1:19" ht="42.75">
      <c r="A1698" s="90" t="s">
        <v>50</v>
      </c>
      <c r="B1698" s="91" t="s">
        <v>526</v>
      </c>
      <c r="C1698" s="91" t="s">
        <v>3389</v>
      </c>
      <c r="D1698" s="90">
        <v>2183</v>
      </c>
      <c r="E1698" s="90">
        <v>2233</v>
      </c>
      <c r="F1698" s="90" t="s">
        <v>1454</v>
      </c>
      <c r="G1698" s="90"/>
      <c r="H1698" s="93"/>
      <c r="I1698" s="93"/>
      <c r="J1698" s="93"/>
      <c r="K1698" s="95"/>
      <c r="L1698" s="69"/>
      <c r="M1698" s="69"/>
      <c r="N1698" s="69"/>
      <c r="O1698" s="69"/>
      <c r="P1698" s="78"/>
      <c r="Q1698" s="96"/>
      <c r="R1698" s="97"/>
      <c r="S1698" s="98"/>
    </row>
    <row r="1699" spans="1:19" ht="42.75">
      <c r="A1699" s="90" t="s">
        <v>50</v>
      </c>
      <c r="B1699" s="91" t="s">
        <v>526</v>
      </c>
      <c r="C1699" s="91" t="s">
        <v>926</v>
      </c>
      <c r="D1699" s="90">
        <v>768</v>
      </c>
      <c r="E1699" s="90">
        <v>774</v>
      </c>
      <c r="F1699" s="90" t="s">
        <v>1454</v>
      </c>
      <c r="G1699" s="90"/>
      <c r="H1699" s="93"/>
      <c r="I1699" s="93"/>
      <c r="J1699" s="93"/>
      <c r="K1699" s="95"/>
      <c r="L1699" s="69"/>
      <c r="M1699" s="69"/>
      <c r="N1699" s="69"/>
      <c r="O1699" s="69"/>
      <c r="P1699" s="78"/>
      <c r="Q1699" s="96"/>
      <c r="R1699" s="97"/>
      <c r="S1699" s="98"/>
    </row>
    <row r="1700" spans="1:19" ht="42.75">
      <c r="A1700" s="90" t="s">
        <v>50</v>
      </c>
      <c r="B1700" s="91" t="s">
        <v>526</v>
      </c>
      <c r="C1700" s="91" t="s">
        <v>762</v>
      </c>
      <c r="D1700" s="90">
        <v>3296</v>
      </c>
      <c r="E1700" s="90">
        <v>3495</v>
      </c>
      <c r="F1700" s="90" t="s">
        <v>1454</v>
      </c>
      <c r="G1700" s="90"/>
      <c r="H1700" s="93"/>
      <c r="I1700" s="93"/>
      <c r="J1700" s="93"/>
      <c r="K1700" s="95"/>
      <c r="L1700" s="69"/>
      <c r="M1700" s="69"/>
      <c r="N1700" s="69"/>
      <c r="O1700" s="69"/>
      <c r="P1700" s="78"/>
      <c r="Q1700" s="96"/>
      <c r="R1700" s="97"/>
      <c r="S1700" s="98"/>
    </row>
    <row r="1701" spans="1:19" ht="42.75">
      <c r="A1701" s="90" t="s">
        <v>50</v>
      </c>
      <c r="B1701" s="91" t="s">
        <v>526</v>
      </c>
      <c r="C1701" s="91" t="s">
        <v>3390</v>
      </c>
      <c r="D1701" s="90">
        <v>2150</v>
      </c>
      <c r="E1701" s="90">
        <v>2215</v>
      </c>
      <c r="F1701" s="90" t="s">
        <v>1454</v>
      </c>
      <c r="G1701" s="90"/>
      <c r="H1701" s="93"/>
      <c r="I1701" s="93"/>
      <c r="J1701" s="93"/>
      <c r="K1701" s="95"/>
      <c r="L1701" s="69"/>
      <c r="M1701" s="69"/>
      <c r="N1701" s="69"/>
      <c r="O1701" s="69"/>
      <c r="P1701" s="78"/>
      <c r="Q1701" s="96"/>
      <c r="R1701" s="97"/>
      <c r="S1701" s="98"/>
    </row>
    <row r="1702" spans="1:19" ht="42.75">
      <c r="A1702" s="90" t="s">
        <v>50</v>
      </c>
      <c r="B1702" s="91" t="s">
        <v>526</v>
      </c>
      <c r="C1702" s="91" t="s">
        <v>3391</v>
      </c>
      <c r="D1702" s="90">
        <v>2986</v>
      </c>
      <c r="E1702" s="90">
        <v>3534</v>
      </c>
      <c r="F1702" s="90" t="s">
        <v>1434</v>
      </c>
      <c r="G1702" s="90">
        <v>2024</v>
      </c>
      <c r="H1702" s="101">
        <v>45512</v>
      </c>
      <c r="I1702" s="101">
        <v>45514</v>
      </c>
      <c r="J1702" s="94" t="s">
        <v>3392</v>
      </c>
      <c r="K1702" s="100">
        <v>45516</v>
      </c>
      <c r="L1702" s="69" t="s">
        <v>81</v>
      </c>
      <c r="M1702" s="69" t="s">
        <v>4</v>
      </c>
      <c r="N1702" s="69" t="s">
        <v>101</v>
      </c>
      <c r="O1702" s="69" t="s">
        <v>1436</v>
      </c>
      <c r="P1702" s="78"/>
      <c r="Q1702" s="96">
        <v>45517</v>
      </c>
      <c r="R1702" s="97" t="s">
        <v>929</v>
      </c>
      <c r="S1702" s="98"/>
    </row>
    <row r="1703" spans="1:19" ht="42.75">
      <c r="A1703" s="90" t="s">
        <v>50</v>
      </c>
      <c r="B1703" s="91" t="s">
        <v>526</v>
      </c>
      <c r="C1703" s="91" t="s">
        <v>2342</v>
      </c>
      <c r="D1703" s="90">
        <v>1498</v>
      </c>
      <c r="E1703" s="90">
        <v>1579</v>
      </c>
      <c r="F1703" s="90" t="s">
        <v>1434</v>
      </c>
      <c r="G1703" s="90">
        <v>2024</v>
      </c>
      <c r="H1703" s="101">
        <v>45610</v>
      </c>
      <c r="I1703" s="101">
        <v>45611</v>
      </c>
      <c r="J1703" s="94" t="s">
        <v>3393</v>
      </c>
      <c r="K1703" s="100">
        <v>45616</v>
      </c>
      <c r="L1703" s="69" t="s">
        <v>84</v>
      </c>
      <c r="M1703" s="69" t="s">
        <v>4</v>
      </c>
      <c r="N1703" s="69" t="s">
        <v>101</v>
      </c>
      <c r="O1703" s="69" t="s">
        <v>1436</v>
      </c>
      <c r="P1703" s="78"/>
      <c r="Q1703" s="96">
        <v>45617</v>
      </c>
      <c r="R1703" s="97" t="s">
        <v>929</v>
      </c>
      <c r="S1703" s="98"/>
    </row>
    <row r="1704" spans="1:19" ht="42.75">
      <c r="A1704" s="90" t="s">
        <v>50</v>
      </c>
      <c r="B1704" s="91" t="s">
        <v>526</v>
      </c>
      <c r="C1704" s="91" t="s">
        <v>3394</v>
      </c>
      <c r="D1704" s="90">
        <v>2254</v>
      </c>
      <c r="E1704" s="90">
        <v>2595</v>
      </c>
      <c r="F1704" s="90" t="s">
        <v>1454</v>
      </c>
      <c r="G1704" s="90"/>
      <c r="H1704" s="93"/>
      <c r="I1704" s="93"/>
      <c r="J1704" s="93"/>
      <c r="K1704" s="95"/>
      <c r="L1704" s="69"/>
      <c r="M1704" s="69"/>
      <c r="N1704" s="69"/>
      <c r="O1704" s="69"/>
      <c r="P1704" s="78"/>
      <c r="Q1704" s="96"/>
      <c r="R1704" s="97"/>
      <c r="S1704" s="98"/>
    </row>
    <row r="1705" spans="1:19" ht="42.75">
      <c r="A1705" s="90" t="s">
        <v>50</v>
      </c>
      <c r="B1705" s="91" t="s">
        <v>526</v>
      </c>
      <c r="C1705" s="91" t="s">
        <v>2276</v>
      </c>
      <c r="D1705" s="90">
        <v>1180</v>
      </c>
      <c r="E1705" s="90">
        <v>1500</v>
      </c>
      <c r="F1705" s="90" t="s">
        <v>1434</v>
      </c>
      <c r="G1705" s="90">
        <v>2024</v>
      </c>
      <c r="H1705" s="101">
        <v>45615</v>
      </c>
      <c r="I1705" s="101">
        <v>45616</v>
      </c>
      <c r="J1705" s="94" t="s">
        <v>3395</v>
      </c>
      <c r="K1705" s="100">
        <v>45616</v>
      </c>
      <c r="L1705" s="69" t="s">
        <v>84</v>
      </c>
      <c r="M1705" s="69" t="s">
        <v>4</v>
      </c>
      <c r="N1705" s="69" t="s">
        <v>108</v>
      </c>
      <c r="O1705" s="69" t="s">
        <v>1436</v>
      </c>
      <c r="P1705" s="78"/>
      <c r="Q1705" s="96">
        <v>45617</v>
      </c>
      <c r="R1705" s="97" t="s">
        <v>929</v>
      </c>
      <c r="S1705" s="98"/>
    </row>
    <row r="1706" spans="1:19" ht="42.75">
      <c r="A1706" s="90" t="s">
        <v>50</v>
      </c>
      <c r="B1706" s="91" t="s">
        <v>526</v>
      </c>
      <c r="C1706" s="91" t="s">
        <v>694</v>
      </c>
      <c r="D1706" s="90">
        <v>3041</v>
      </c>
      <c r="E1706" s="90">
        <v>2992</v>
      </c>
      <c r="F1706" s="90" t="s">
        <v>1454</v>
      </c>
      <c r="G1706" s="90"/>
      <c r="H1706" s="93"/>
      <c r="I1706" s="93"/>
      <c r="J1706" s="93"/>
      <c r="K1706" s="95"/>
      <c r="L1706" s="69"/>
      <c r="M1706" s="69"/>
      <c r="N1706" s="69"/>
      <c r="O1706" s="69"/>
      <c r="P1706" s="78"/>
      <c r="Q1706" s="96"/>
      <c r="R1706" s="97"/>
      <c r="S1706" s="98"/>
    </row>
    <row r="1707" spans="1:19" ht="42.75">
      <c r="A1707" s="90" t="s">
        <v>50</v>
      </c>
      <c r="B1707" s="91" t="s">
        <v>526</v>
      </c>
      <c r="C1707" s="91" t="s">
        <v>539</v>
      </c>
      <c r="D1707" s="90">
        <v>1289</v>
      </c>
      <c r="E1707" s="90">
        <v>1418</v>
      </c>
      <c r="F1707" s="90" t="s">
        <v>1454</v>
      </c>
      <c r="G1707" s="90"/>
      <c r="H1707" s="93"/>
      <c r="I1707" s="93"/>
      <c r="J1707" s="93"/>
      <c r="K1707" s="95"/>
      <c r="L1707" s="69"/>
      <c r="M1707" s="69"/>
      <c r="N1707" s="69"/>
      <c r="O1707" s="69"/>
      <c r="P1707" s="78"/>
      <c r="Q1707" s="96"/>
      <c r="R1707" s="97"/>
      <c r="S1707" s="98"/>
    </row>
    <row r="1708" spans="1:19" ht="42.75">
      <c r="A1708" s="90" t="s">
        <v>50</v>
      </c>
      <c r="B1708" s="91" t="s">
        <v>526</v>
      </c>
      <c r="C1708" s="91" t="s">
        <v>2347</v>
      </c>
      <c r="D1708" s="90">
        <v>6437</v>
      </c>
      <c r="E1708" s="90">
        <v>6275</v>
      </c>
      <c r="F1708" s="90" t="s">
        <v>1454</v>
      </c>
      <c r="G1708" s="90"/>
      <c r="H1708" s="93"/>
      <c r="I1708" s="93"/>
      <c r="J1708" s="93"/>
      <c r="K1708" s="95"/>
      <c r="L1708" s="69"/>
      <c r="M1708" s="69"/>
      <c r="N1708" s="69"/>
      <c r="O1708" s="69"/>
      <c r="P1708" s="78"/>
      <c r="Q1708" s="96"/>
      <c r="R1708" s="97"/>
      <c r="S1708" s="98"/>
    </row>
    <row r="1709" spans="1:19" ht="42.75">
      <c r="A1709" s="90" t="s">
        <v>50</v>
      </c>
      <c r="B1709" s="91" t="s">
        <v>446</v>
      </c>
      <c r="C1709" s="91" t="s">
        <v>3396</v>
      </c>
      <c r="D1709" s="90">
        <v>1781</v>
      </c>
      <c r="E1709" s="90">
        <v>2105</v>
      </c>
      <c r="F1709" s="90" t="s">
        <v>1454</v>
      </c>
      <c r="G1709" s="90"/>
      <c r="H1709" s="93"/>
      <c r="I1709" s="93"/>
      <c r="J1709" s="93"/>
      <c r="K1709" s="95"/>
      <c r="L1709" s="69"/>
      <c r="M1709" s="69"/>
      <c r="N1709" s="69"/>
      <c r="O1709" s="69"/>
      <c r="P1709" s="78"/>
      <c r="Q1709" s="96"/>
      <c r="R1709" s="97"/>
      <c r="S1709" s="98"/>
    </row>
    <row r="1710" spans="1:19" ht="42.75">
      <c r="A1710" s="90" t="s">
        <v>50</v>
      </c>
      <c r="B1710" s="91" t="s">
        <v>446</v>
      </c>
      <c r="C1710" s="91" t="s">
        <v>2777</v>
      </c>
      <c r="D1710" s="90">
        <v>1965</v>
      </c>
      <c r="E1710" s="90">
        <v>2090</v>
      </c>
      <c r="F1710" s="90" t="s">
        <v>1454</v>
      </c>
      <c r="G1710" s="90"/>
      <c r="H1710" s="93"/>
      <c r="I1710" s="93"/>
      <c r="J1710" s="93"/>
      <c r="K1710" s="95"/>
      <c r="L1710" s="69"/>
      <c r="M1710" s="69"/>
      <c r="N1710" s="69"/>
      <c r="O1710" s="69"/>
      <c r="P1710" s="78"/>
      <c r="Q1710" s="96"/>
      <c r="R1710" s="97"/>
      <c r="S1710" s="98"/>
    </row>
    <row r="1711" spans="1:19" ht="42.75">
      <c r="A1711" s="90" t="s">
        <v>50</v>
      </c>
      <c r="B1711" s="91" t="s">
        <v>446</v>
      </c>
      <c r="C1711" s="91" t="s">
        <v>985</v>
      </c>
      <c r="D1711" s="90">
        <v>1691</v>
      </c>
      <c r="E1711" s="90">
        <v>1719</v>
      </c>
      <c r="F1711" s="90" t="s">
        <v>1454</v>
      </c>
      <c r="G1711" s="90"/>
      <c r="H1711" s="93"/>
      <c r="I1711" s="93"/>
      <c r="J1711" s="93"/>
      <c r="K1711" s="95"/>
      <c r="L1711" s="69"/>
      <c r="M1711" s="69"/>
      <c r="N1711" s="69"/>
      <c r="O1711" s="69"/>
      <c r="P1711" s="78"/>
      <c r="Q1711" s="96"/>
      <c r="R1711" s="97"/>
      <c r="S1711" s="98"/>
    </row>
    <row r="1712" spans="1:19" ht="42.75">
      <c r="A1712" s="90" t="s">
        <v>50</v>
      </c>
      <c r="B1712" s="91" t="s">
        <v>446</v>
      </c>
      <c r="C1712" s="91" t="s">
        <v>3397</v>
      </c>
      <c r="D1712" s="90">
        <v>2612</v>
      </c>
      <c r="E1712" s="90">
        <v>2671</v>
      </c>
      <c r="F1712" s="90" t="s">
        <v>1454</v>
      </c>
      <c r="G1712" s="90"/>
      <c r="H1712" s="93"/>
      <c r="I1712" s="93"/>
      <c r="J1712" s="93"/>
      <c r="K1712" s="95"/>
      <c r="L1712" s="69"/>
      <c r="M1712" s="69"/>
      <c r="N1712" s="69"/>
      <c r="O1712" s="69"/>
      <c r="P1712" s="78"/>
      <c r="Q1712" s="96"/>
      <c r="R1712" s="97"/>
      <c r="S1712" s="98"/>
    </row>
    <row r="1713" spans="1:19" ht="42.75">
      <c r="A1713" s="90" t="s">
        <v>50</v>
      </c>
      <c r="B1713" s="91" t="s">
        <v>446</v>
      </c>
      <c r="C1713" s="91" t="s">
        <v>3398</v>
      </c>
      <c r="D1713" s="90">
        <v>4003</v>
      </c>
      <c r="E1713" s="90">
        <v>3724</v>
      </c>
      <c r="F1713" s="90" t="s">
        <v>1454</v>
      </c>
      <c r="G1713" s="90"/>
      <c r="H1713" s="93"/>
      <c r="I1713" s="93"/>
      <c r="J1713" s="93"/>
      <c r="K1713" s="95"/>
      <c r="L1713" s="69"/>
      <c r="M1713" s="69"/>
      <c r="N1713" s="69"/>
      <c r="O1713" s="69"/>
      <c r="P1713" s="78"/>
      <c r="Q1713" s="96"/>
      <c r="R1713" s="97"/>
      <c r="S1713" s="98"/>
    </row>
    <row r="1714" spans="1:19" ht="42.75">
      <c r="A1714" s="90" t="s">
        <v>50</v>
      </c>
      <c r="B1714" s="91" t="s">
        <v>446</v>
      </c>
      <c r="C1714" s="91" t="s">
        <v>3399</v>
      </c>
      <c r="D1714" s="90">
        <v>6565</v>
      </c>
      <c r="E1714" s="90">
        <v>6555</v>
      </c>
      <c r="F1714" s="90" t="s">
        <v>1454</v>
      </c>
      <c r="G1714" s="90"/>
      <c r="H1714" s="93"/>
      <c r="I1714" s="93"/>
      <c r="J1714" s="93"/>
      <c r="K1714" s="95"/>
      <c r="L1714" s="69"/>
      <c r="M1714" s="69"/>
      <c r="N1714" s="69"/>
      <c r="O1714" s="69"/>
      <c r="P1714" s="78"/>
      <c r="Q1714" s="96"/>
      <c r="R1714" s="97"/>
      <c r="S1714" s="98"/>
    </row>
    <row r="1715" spans="1:19" ht="42.75">
      <c r="A1715" s="90" t="s">
        <v>50</v>
      </c>
      <c r="B1715" s="91" t="s">
        <v>446</v>
      </c>
      <c r="C1715" s="91" t="s">
        <v>3400</v>
      </c>
      <c r="D1715" s="90">
        <v>2489</v>
      </c>
      <c r="E1715" s="90">
        <v>2740</v>
      </c>
      <c r="F1715" s="90" t="s">
        <v>1434</v>
      </c>
      <c r="G1715" s="90">
        <v>2024</v>
      </c>
      <c r="H1715" s="101">
        <v>45617</v>
      </c>
      <c r="I1715" s="101">
        <v>45617</v>
      </c>
      <c r="J1715" s="94" t="s">
        <v>3401</v>
      </c>
      <c r="K1715" s="100">
        <v>45628</v>
      </c>
      <c r="L1715" s="69" t="s">
        <v>84</v>
      </c>
      <c r="M1715" s="69" t="s">
        <v>4</v>
      </c>
      <c r="N1715" s="69" t="s">
        <v>101</v>
      </c>
      <c r="O1715" s="69" t="s">
        <v>1436</v>
      </c>
      <c r="P1715" s="78"/>
      <c r="Q1715" s="96">
        <v>45628</v>
      </c>
      <c r="R1715" s="97" t="s">
        <v>929</v>
      </c>
      <c r="S1715" s="98"/>
    </row>
    <row r="1716" spans="1:19" ht="42.75">
      <c r="A1716" s="90" t="s">
        <v>50</v>
      </c>
      <c r="B1716" s="91" t="s">
        <v>446</v>
      </c>
      <c r="C1716" s="91" t="s">
        <v>2750</v>
      </c>
      <c r="D1716" s="90">
        <v>4724</v>
      </c>
      <c r="E1716" s="90">
        <v>4924</v>
      </c>
      <c r="F1716" s="90" t="s">
        <v>1454</v>
      </c>
      <c r="G1716" s="90"/>
      <c r="H1716" s="93"/>
      <c r="I1716" s="93"/>
      <c r="J1716" s="93"/>
      <c r="K1716" s="95"/>
      <c r="L1716" s="69"/>
      <c r="M1716" s="69"/>
      <c r="N1716" s="69"/>
      <c r="O1716" s="69"/>
      <c r="P1716" s="78"/>
      <c r="Q1716" s="96"/>
      <c r="R1716" s="97"/>
      <c r="S1716" s="98"/>
    </row>
    <row r="1717" spans="1:19" ht="42.75">
      <c r="A1717" s="90" t="s">
        <v>50</v>
      </c>
      <c r="B1717" s="91" t="s">
        <v>446</v>
      </c>
      <c r="C1717" s="91" t="s">
        <v>3402</v>
      </c>
      <c r="D1717" s="90">
        <v>1585</v>
      </c>
      <c r="E1717" s="90">
        <v>1651</v>
      </c>
      <c r="F1717" s="90" t="s">
        <v>1454</v>
      </c>
      <c r="G1717" s="90"/>
      <c r="H1717" s="93"/>
      <c r="I1717" s="93"/>
      <c r="J1717" s="93"/>
      <c r="K1717" s="95"/>
      <c r="L1717" s="69"/>
      <c r="M1717" s="69"/>
      <c r="N1717" s="69"/>
      <c r="O1717" s="69"/>
      <c r="P1717" s="78"/>
      <c r="Q1717" s="96"/>
      <c r="R1717" s="97"/>
      <c r="S1717" s="98"/>
    </row>
    <row r="1718" spans="1:19" ht="42.75">
      <c r="A1718" s="90" t="s">
        <v>50</v>
      </c>
      <c r="B1718" s="91" t="s">
        <v>446</v>
      </c>
      <c r="C1718" s="91" t="s">
        <v>3403</v>
      </c>
      <c r="D1718" s="90">
        <v>1914</v>
      </c>
      <c r="E1718" s="90">
        <v>2029</v>
      </c>
      <c r="F1718" s="90" t="s">
        <v>1454</v>
      </c>
      <c r="G1718" s="90"/>
      <c r="H1718" s="93"/>
      <c r="I1718" s="93"/>
      <c r="J1718" s="93"/>
      <c r="K1718" s="95"/>
      <c r="L1718" s="69"/>
      <c r="M1718" s="69"/>
      <c r="N1718" s="69"/>
      <c r="O1718" s="69"/>
      <c r="P1718" s="78"/>
      <c r="Q1718" s="96"/>
      <c r="R1718" s="97"/>
      <c r="S1718" s="98"/>
    </row>
    <row r="1719" spans="1:19" ht="42.75">
      <c r="A1719" s="90" t="s">
        <v>50</v>
      </c>
      <c r="B1719" s="91" t="s">
        <v>446</v>
      </c>
      <c r="C1719" s="91" t="s">
        <v>3404</v>
      </c>
      <c r="D1719" s="90">
        <v>1083</v>
      </c>
      <c r="E1719" s="90">
        <v>1110</v>
      </c>
      <c r="F1719" s="90" t="s">
        <v>1454</v>
      </c>
      <c r="G1719" s="90"/>
      <c r="H1719" s="93"/>
      <c r="I1719" s="93"/>
      <c r="J1719" s="93"/>
      <c r="K1719" s="95"/>
      <c r="L1719" s="69"/>
      <c r="M1719" s="69"/>
      <c r="N1719" s="69"/>
      <c r="O1719" s="69"/>
      <c r="P1719" s="78"/>
      <c r="Q1719" s="96"/>
      <c r="R1719" s="97"/>
      <c r="S1719" s="98"/>
    </row>
    <row r="1720" spans="1:19" ht="42.75">
      <c r="A1720" s="90" t="s">
        <v>50</v>
      </c>
      <c r="B1720" s="91" t="s">
        <v>446</v>
      </c>
      <c r="C1720" s="91" t="s">
        <v>2702</v>
      </c>
      <c r="D1720" s="90">
        <v>1678</v>
      </c>
      <c r="E1720" s="90">
        <v>1872</v>
      </c>
      <c r="F1720" s="90" t="s">
        <v>1454</v>
      </c>
      <c r="G1720" s="90"/>
      <c r="H1720" s="93"/>
      <c r="I1720" s="93"/>
      <c r="J1720" s="93"/>
      <c r="K1720" s="95"/>
      <c r="L1720" s="69"/>
      <c r="M1720" s="69"/>
      <c r="N1720" s="69"/>
      <c r="O1720" s="69"/>
      <c r="P1720" s="78"/>
      <c r="Q1720" s="96"/>
      <c r="R1720" s="97"/>
      <c r="S1720" s="98"/>
    </row>
    <row r="1721" spans="1:19" ht="42.75">
      <c r="A1721" s="90" t="s">
        <v>50</v>
      </c>
      <c r="B1721" s="91" t="s">
        <v>446</v>
      </c>
      <c r="C1721" s="91" t="s">
        <v>3405</v>
      </c>
      <c r="D1721" s="90">
        <v>2298</v>
      </c>
      <c r="E1721" s="90">
        <v>2477</v>
      </c>
      <c r="F1721" s="90" t="s">
        <v>1454</v>
      </c>
      <c r="G1721" s="90"/>
      <c r="H1721" s="93"/>
      <c r="I1721" s="93"/>
      <c r="J1721" s="93"/>
      <c r="K1721" s="95"/>
      <c r="L1721" s="69"/>
      <c r="M1721" s="69"/>
      <c r="N1721" s="69"/>
      <c r="O1721" s="69"/>
      <c r="P1721" s="78"/>
      <c r="Q1721" s="96"/>
      <c r="R1721" s="97"/>
      <c r="S1721" s="98"/>
    </row>
    <row r="1722" spans="1:19" ht="42.75">
      <c r="A1722" s="90" t="s">
        <v>50</v>
      </c>
      <c r="B1722" s="91" t="s">
        <v>446</v>
      </c>
      <c r="C1722" s="91" t="s">
        <v>3406</v>
      </c>
      <c r="D1722" s="90">
        <v>5208</v>
      </c>
      <c r="E1722" s="90">
        <v>5013</v>
      </c>
      <c r="F1722" s="90" t="s">
        <v>1434</v>
      </c>
      <c r="G1722" s="90">
        <v>2024</v>
      </c>
      <c r="H1722" s="101">
        <v>45519</v>
      </c>
      <c r="I1722" s="101">
        <v>45520</v>
      </c>
      <c r="J1722" s="94" t="s">
        <v>3407</v>
      </c>
      <c r="K1722" s="100">
        <v>45523</v>
      </c>
      <c r="L1722" s="69" t="s">
        <v>81</v>
      </c>
      <c r="M1722" s="69" t="s">
        <v>4</v>
      </c>
      <c r="N1722" s="69" t="s">
        <v>101</v>
      </c>
      <c r="O1722" s="69" t="s">
        <v>1436</v>
      </c>
      <c r="P1722" s="78"/>
      <c r="Q1722" s="96">
        <v>45531</v>
      </c>
      <c r="R1722" s="97" t="s">
        <v>929</v>
      </c>
      <c r="S1722" s="98"/>
    </row>
    <row r="1723" spans="1:19" ht="42.75">
      <c r="A1723" s="90" t="s">
        <v>50</v>
      </c>
      <c r="B1723" s="91" t="s">
        <v>446</v>
      </c>
      <c r="C1723" s="91" t="s">
        <v>3408</v>
      </c>
      <c r="D1723" s="90">
        <v>1971</v>
      </c>
      <c r="E1723" s="90">
        <v>2152</v>
      </c>
      <c r="F1723" s="90" t="s">
        <v>1454</v>
      </c>
      <c r="G1723" s="90"/>
      <c r="H1723" s="93"/>
      <c r="I1723" s="93"/>
      <c r="J1723" s="93"/>
      <c r="K1723" s="95"/>
      <c r="L1723" s="69"/>
      <c r="M1723" s="69"/>
      <c r="N1723" s="69"/>
      <c r="O1723" s="69"/>
      <c r="P1723" s="78"/>
      <c r="Q1723" s="96"/>
      <c r="R1723" s="97"/>
      <c r="S1723" s="98"/>
    </row>
    <row r="1724" spans="1:19" ht="42.75">
      <c r="A1724" s="90" t="s">
        <v>50</v>
      </c>
      <c r="B1724" s="91" t="s">
        <v>446</v>
      </c>
      <c r="C1724" s="91" t="s">
        <v>3409</v>
      </c>
      <c r="D1724" s="90">
        <v>953</v>
      </c>
      <c r="E1724" s="90">
        <v>904</v>
      </c>
      <c r="F1724" s="90" t="s">
        <v>1454</v>
      </c>
      <c r="G1724" s="90"/>
      <c r="H1724" s="93"/>
      <c r="I1724" s="93"/>
      <c r="J1724" s="93"/>
      <c r="K1724" s="95"/>
      <c r="L1724" s="69"/>
      <c r="M1724" s="69"/>
      <c r="N1724" s="69"/>
      <c r="O1724" s="69"/>
      <c r="P1724" s="78"/>
      <c r="Q1724" s="96"/>
      <c r="R1724" s="97"/>
      <c r="S1724" s="98"/>
    </row>
    <row r="1725" spans="1:19" ht="42.75">
      <c r="A1725" s="90" t="s">
        <v>50</v>
      </c>
      <c r="B1725" s="91" t="s">
        <v>446</v>
      </c>
      <c r="C1725" s="91" t="s">
        <v>3410</v>
      </c>
      <c r="D1725" s="90">
        <v>1822</v>
      </c>
      <c r="E1725" s="90">
        <v>1960</v>
      </c>
      <c r="F1725" s="90" t="s">
        <v>1454</v>
      </c>
      <c r="G1725" s="90"/>
      <c r="H1725" s="93"/>
      <c r="I1725" s="93"/>
      <c r="J1725" s="93"/>
      <c r="K1725" s="95"/>
      <c r="L1725" s="69"/>
      <c r="M1725" s="69"/>
      <c r="N1725" s="69"/>
      <c r="O1725" s="69"/>
      <c r="P1725" s="78"/>
      <c r="Q1725" s="96"/>
      <c r="R1725" s="97"/>
      <c r="S1725" s="98"/>
    </row>
    <row r="1726" spans="1:19" ht="42.75">
      <c r="A1726" s="90" t="s">
        <v>50</v>
      </c>
      <c r="B1726" s="91" t="s">
        <v>446</v>
      </c>
      <c r="C1726" s="91" t="s">
        <v>3411</v>
      </c>
      <c r="D1726" s="90">
        <v>1445</v>
      </c>
      <c r="E1726" s="90">
        <v>1536</v>
      </c>
      <c r="F1726" s="90" t="s">
        <v>1434</v>
      </c>
      <c r="G1726" s="90">
        <v>2024</v>
      </c>
      <c r="H1726" s="101">
        <v>45618</v>
      </c>
      <c r="I1726" s="101">
        <v>45618</v>
      </c>
      <c r="J1726" s="94" t="s">
        <v>3412</v>
      </c>
      <c r="K1726" s="100">
        <v>45628</v>
      </c>
      <c r="L1726" s="69" t="s">
        <v>84</v>
      </c>
      <c r="M1726" s="69" t="s">
        <v>4</v>
      </c>
      <c r="N1726" s="69" t="s">
        <v>101</v>
      </c>
      <c r="O1726" s="69" t="s">
        <v>1436</v>
      </c>
      <c r="P1726" s="78"/>
      <c r="Q1726" s="96">
        <v>45628</v>
      </c>
      <c r="R1726" s="97" t="s">
        <v>2415</v>
      </c>
      <c r="S1726" s="98"/>
    </row>
    <row r="1727" spans="1:19" ht="42.75">
      <c r="A1727" s="90" t="s">
        <v>50</v>
      </c>
      <c r="B1727" s="91" t="s">
        <v>446</v>
      </c>
      <c r="C1727" s="91" t="s">
        <v>3413</v>
      </c>
      <c r="D1727" s="90">
        <v>1657</v>
      </c>
      <c r="E1727" s="90">
        <v>1653</v>
      </c>
      <c r="F1727" s="90" t="s">
        <v>1454</v>
      </c>
      <c r="G1727" s="90"/>
      <c r="H1727" s="93"/>
      <c r="I1727" s="93"/>
      <c r="J1727" s="93"/>
      <c r="K1727" s="95"/>
      <c r="L1727" s="69"/>
      <c r="M1727" s="69"/>
      <c r="N1727" s="69"/>
      <c r="O1727" s="69"/>
      <c r="P1727" s="78"/>
      <c r="Q1727" s="96"/>
      <c r="R1727" s="97"/>
      <c r="S1727" s="98"/>
    </row>
    <row r="1728" spans="1:19" ht="42.75">
      <c r="A1728" s="90" t="s">
        <v>50</v>
      </c>
      <c r="B1728" s="91" t="s">
        <v>446</v>
      </c>
      <c r="C1728" s="91" t="s">
        <v>3414</v>
      </c>
      <c r="D1728" s="90">
        <v>1210</v>
      </c>
      <c r="E1728" s="90">
        <v>1302</v>
      </c>
      <c r="F1728" s="90" t="s">
        <v>1454</v>
      </c>
      <c r="G1728" s="90"/>
      <c r="H1728" s="93"/>
      <c r="I1728" s="93"/>
      <c r="J1728" s="93"/>
      <c r="K1728" s="95"/>
      <c r="L1728" s="69"/>
      <c r="M1728" s="69"/>
      <c r="N1728" s="69"/>
      <c r="O1728" s="69"/>
      <c r="P1728" s="78"/>
      <c r="Q1728" s="96"/>
      <c r="R1728" s="97"/>
      <c r="S1728" s="98"/>
    </row>
    <row r="1729" spans="1:19" ht="42.75">
      <c r="A1729" s="90" t="s">
        <v>50</v>
      </c>
      <c r="B1729" s="91" t="s">
        <v>446</v>
      </c>
      <c r="C1729" s="91" t="s">
        <v>3415</v>
      </c>
      <c r="D1729" s="90">
        <v>3202</v>
      </c>
      <c r="E1729" s="90">
        <v>3563</v>
      </c>
      <c r="F1729" s="90" t="s">
        <v>1454</v>
      </c>
      <c r="G1729" s="90"/>
      <c r="H1729" s="93"/>
      <c r="I1729" s="93"/>
      <c r="J1729" s="93"/>
      <c r="K1729" s="95"/>
      <c r="L1729" s="69"/>
      <c r="M1729" s="69"/>
      <c r="N1729" s="69"/>
      <c r="O1729" s="69"/>
      <c r="P1729" s="78"/>
      <c r="Q1729" s="96"/>
      <c r="R1729" s="97"/>
      <c r="S1729" s="98"/>
    </row>
    <row r="1730" spans="1:19" ht="42.75">
      <c r="A1730" s="90" t="s">
        <v>50</v>
      </c>
      <c r="B1730" s="91" t="s">
        <v>446</v>
      </c>
      <c r="C1730" s="91" t="s">
        <v>3416</v>
      </c>
      <c r="D1730" s="90">
        <v>1473</v>
      </c>
      <c r="E1730" s="90">
        <v>1535</v>
      </c>
      <c r="F1730" s="90" t="s">
        <v>1454</v>
      </c>
      <c r="G1730" s="90"/>
      <c r="H1730" s="93"/>
      <c r="I1730" s="93"/>
      <c r="J1730" s="93"/>
      <c r="K1730" s="95"/>
      <c r="L1730" s="69"/>
      <c r="M1730" s="69"/>
      <c r="N1730" s="69"/>
      <c r="O1730" s="69"/>
      <c r="P1730" s="78"/>
      <c r="Q1730" s="96"/>
      <c r="R1730" s="97"/>
      <c r="S1730" s="98"/>
    </row>
    <row r="1731" spans="1:19" ht="42.75">
      <c r="A1731" s="90" t="s">
        <v>50</v>
      </c>
      <c r="B1731" s="91" t="s">
        <v>446</v>
      </c>
      <c r="C1731" s="91" t="s">
        <v>3417</v>
      </c>
      <c r="D1731" s="90">
        <v>1755</v>
      </c>
      <c r="E1731" s="90">
        <v>2041</v>
      </c>
      <c r="F1731" s="90" t="s">
        <v>1454</v>
      </c>
      <c r="G1731" s="90"/>
      <c r="H1731" s="101"/>
      <c r="I1731" s="93"/>
      <c r="J1731" s="93"/>
      <c r="K1731" s="95"/>
      <c r="L1731" s="69"/>
      <c r="M1731" s="69"/>
      <c r="N1731" s="69"/>
      <c r="O1731" s="69"/>
      <c r="P1731" s="78"/>
      <c r="Q1731" s="96"/>
      <c r="R1731" s="97"/>
      <c r="S1731" s="98"/>
    </row>
    <row r="1732" spans="1:19" ht="42.75">
      <c r="A1732" s="90" t="s">
        <v>50</v>
      </c>
      <c r="B1732" s="91" t="s">
        <v>446</v>
      </c>
      <c r="C1732" s="91" t="s">
        <v>3418</v>
      </c>
      <c r="D1732" s="90">
        <v>1832</v>
      </c>
      <c r="E1732" s="90">
        <v>2019</v>
      </c>
      <c r="F1732" s="90" t="s">
        <v>1434</v>
      </c>
      <c r="G1732" s="90">
        <v>2024</v>
      </c>
      <c r="H1732" s="101">
        <v>45609</v>
      </c>
      <c r="I1732" s="101">
        <v>45611</v>
      </c>
      <c r="J1732" s="94" t="s">
        <v>3419</v>
      </c>
      <c r="K1732" s="100">
        <v>45616</v>
      </c>
      <c r="L1732" s="69" t="s">
        <v>84</v>
      </c>
      <c r="M1732" s="69" t="s">
        <v>4</v>
      </c>
      <c r="N1732" s="69" t="s">
        <v>101</v>
      </c>
      <c r="O1732" s="69" t="s">
        <v>1436</v>
      </c>
      <c r="P1732" s="78"/>
      <c r="Q1732" s="96">
        <v>45617</v>
      </c>
      <c r="R1732" s="97" t="s">
        <v>2415</v>
      </c>
      <c r="S1732" s="98"/>
    </row>
    <row r="1733" spans="1:19" ht="42.75">
      <c r="A1733" s="90" t="s">
        <v>50</v>
      </c>
      <c r="B1733" s="91" t="s">
        <v>446</v>
      </c>
      <c r="C1733" s="91" t="s">
        <v>3420</v>
      </c>
      <c r="D1733" s="90">
        <v>792</v>
      </c>
      <c r="E1733" s="90">
        <v>816</v>
      </c>
      <c r="F1733" s="90" t="s">
        <v>1454</v>
      </c>
      <c r="G1733" s="90"/>
      <c r="H1733" s="93"/>
      <c r="I1733" s="93"/>
      <c r="J1733" s="93"/>
      <c r="K1733" s="95"/>
      <c r="L1733" s="69"/>
      <c r="M1733" s="69"/>
      <c r="N1733" s="69"/>
      <c r="O1733" s="69"/>
      <c r="P1733" s="78"/>
      <c r="Q1733" s="96"/>
      <c r="R1733" s="97"/>
      <c r="S1733" s="98"/>
    </row>
    <row r="1734" spans="1:19" ht="42.75">
      <c r="A1734" s="90" t="s">
        <v>50</v>
      </c>
      <c r="B1734" s="91" t="s">
        <v>446</v>
      </c>
      <c r="C1734" s="91" t="s">
        <v>3421</v>
      </c>
      <c r="D1734" s="90">
        <v>1613</v>
      </c>
      <c r="E1734" s="90">
        <v>1697</v>
      </c>
      <c r="F1734" s="90" t="s">
        <v>1454</v>
      </c>
      <c r="G1734" s="90"/>
      <c r="H1734" s="93"/>
      <c r="I1734" s="93"/>
      <c r="J1734" s="93"/>
      <c r="K1734" s="95"/>
      <c r="L1734" s="69"/>
      <c r="M1734" s="69"/>
      <c r="N1734" s="69"/>
      <c r="O1734" s="69"/>
      <c r="P1734" s="78"/>
      <c r="Q1734" s="96"/>
      <c r="R1734" s="97"/>
      <c r="S1734" s="98"/>
    </row>
    <row r="1735" spans="1:19" ht="42.75">
      <c r="A1735" s="90" t="s">
        <v>50</v>
      </c>
      <c r="B1735" s="91" t="s">
        <v>446</v>
      </c>
      <c r="C1735" s="91" t="s">
        <v>3422</v>
      </c>
      <c r="D1735" s="90">
        <v>1713</v>
      </c>
      <c r="E1735" s="90">
        <v>1746</v>
      </c>
      <c r="F1735" s="90" t="s">
        <v>1454</v>
      </c>
      <c r="G1735" s="90"/>
      <c r="H1735" s="93"/>
      <c r="I1735" s="93"/>
      <c r="J1735" s="93"/>
      <c r="K1735" s="95"/>
      <c r="L1735" s="69"/>
      <c r="M1735" s="69"/>
      <c r="N1735" s="69"/>
      <c r="O1735" s="69"/>
      <c r="P1735" s="78"/>
      <c r="Q1735" s="96"/>
      <c r="R1735" s="97"/>
      <c r="S1735" s="98"/>
    </row>
    <row r="1736" spans="1:19" ht="42.75">
      <c r="A1736" s="90" t="s">
        <v>50</v>
      </c>
      <c r="B1736" s="91" t="s">
        <v>446</v>
      </c>
      <c r="C1736" s="91" t="s">
        <v>3423</v>
      </c>
      <c r="D1736" s="90">
        <v>1047</v>
      </c>
      <c r="E1736" s="90">
        <v>1172</v>
      </c>
      <c r="F1736" s="90" t="s">
        <v>1454</v>
      </c>
      <c r="G1736" s="90"/>
      <c r="H1736" s="93"/>
      <c r="I1736" s="93"/>
      <c r="J1736" s="93"/>
      <c r="K1736" s="95"/>
      <c r="L1736" s="69"/>
      <c r="M1736" s="69"/>
      <c r="N1736" s="69"/>
      <c r="O1736" s="69"/>
      <c r="P1736" s="78"/>
      <c r="Q1736" s="96"/>
      <c r="R1736" s="97"/>
      <c r="S1736" s="98"/>
    </row>
    <row r="1737" spans="1:19" ht="42.75">
      <c r="A1737" s="90" t="s">
        <v>50</v>
      </c>
      <c r="B1737" s="91" t="s">
        <v>446</v>
      </c>
      <c r="C1737" s="91" t="s">
        <v>3424</v>
      </c>
      <c r="D1737" s="90">
        <v>4427</v>
      </c>
      <c r="E1737" s="90">
        <v>4876</v>
      </c>
      <c r="F1737" s="90" t="s">
        <v>1454</v>
      </c>
      <c r="G1737" s="90"/>
      <c r="H1737" s="93"/>
      <c r="I1737" s="93"/>
      <c r="J1737" s="93"/>
      <c r="K1737" s="95"/>
      <c r="L1737" s="69"/>
      <c r="M1737" s="69"/>
      <c r="N1737" s="69"/>
      <c r="O1737" s="69"/>
      <c r="P1737" s="78"/>
      <c r="Q1737" s="96"/>
      <c r="R1737" s="97"/>
      <c r="S1737" s="98"/>
    </row>
    <row r="1738" spans="1:19" ht="42.75">
      <c r="A1738" s="90" t="s">
        <v>50</v>
      </c>
      <c r="B1738" s="91" t="s">
        <v>446</v>
      </c>
      <c r="C1738" s="91" t="s">
        <v>3425</v>
      </c>
      <c r="D1738" s="90">
        <v>1792</v>
      </c>
      <c r="E1738" s="90">
        <v>2022</v>
      </c>
      <c r="F1738" s="90" t="s">
        <v>1454</v>
      </c>
      <c r="G1738" s="90"/>
      <c r="H1738" s="93"/>
      <c r="I1738" s="93"/>
      <c r="J1738" s="93"/>
      <c r="K1738" s="95"/>
      <c r="L1738" s="69"/>
      <c r="M1738" s="69"/>
      <c r="N1738" s="69"/>
      <c r="O1738" s="69"/>
      <c r="P1738" s="78"/>
      <c r="Q1738" s="96"/>
      <c r="R1738" s="97"/>
      <c r="S1738" s="98"/>
    </row>
    <row r="1739" spans="1:19" ht="42.75">
      <c r="A1739" s="90" t="s">
        <v>50</v>
      </c>
      <c r="B1739" s="91" t="s">
        <v>446</v>
      </c>
      <c r="C1739" s="91" t="s">
        <v>3426</v>
      </c>
      <c r="D1739" s="90">
        <v>887</v>
      </c>
      <c r="E1739" s="90">
        <v>961</v>
      </c>
      <c r="F1739" s="90" t="s">
        <v>1454</v>
      </c>
      <c r="G1739" s="90">
        <v>2025</v>
      </c>
      <c r="H1739" s="93"/>
      <c r="I1739" s="93"/>
      <c r="J1739" s="93"/>
      <c r="K1739" s="95"/>
      <c r="L1739" s="69" t="s">
        <v>74</v>
      </c>
      <c r="M1739" s="69"/>
      <c r="N1739" s="69"/>
      <c r="O1739" s="69"/>
      <c r="P1739" s="78"/>
      <c r="Q1739" s="96"/>
      <c r="R1739" s="97"/>
      <c r="S1739" s="98"/>
    </row>
    <row r="1740" spans="1:19" ht="42.75">
      <c r="A1740" s="90" t="s">
        <v>50</v>
      </c>
      <c r="B1740" s="91" t="s">
        <v>446</v>
      </c>
      <c r="C1740" s="91" t="s">
        <v>3427</v>
      </c>
      <c r="D1740" s="90">
        <v>3536</v>
      </c>
      <c r="E1740" s="90">
        <v>3937</v>
      </c>
      <c r="F1740" s="90" t="s">
        <v>1454</v>
      </c>
      <c r="G1740" s="90"/>
      <c r="H1740" s="93"/>
      <c r="I1740" s="93"/>
      <c r="J1740" s="93"/>
      <c r="K1740" s="95"/>
      <c r="L1740" s="69"/>
      <c r="M1740" s="69"/>
      <c r="N1740" s="69"/>
      <c r="O1740" s="69"/>
      <c r="P1740" s="78"/>
      <c r="Q1740" s="96"/>
      <c r="R1740" s="97"/>
      <c r="S1740" s="98"/>
    </row>
    <row r="1741" spans="1:19" ht="42.75">
      <c r="A1741" s="90" t="s">
        <v>50</v>
      </c>
      <c r="B1741" s="91" t="s">
        <v>446</v>
      </c>
      <c r="C1741" s="91" t="s">
        <v>3428</v>
      </c>
      <c r="D1741" s="90">
        <v>1127</v>
      </c>
      <c r="E1741" s="90">
        <v>1301</v>
      </c>
      <c r="F1741" s="90" t="s">
        <v>1454</v>
      </c>
      <c r="G1741" s="90"/>
      <c r="H1741" s="93"/>
      <c r="I1741" s="93"/>
      <c r="J1741" s="93"/>
      <c r="K1741" s="95"/>
      <c r="L1741" s="69"/>
      <c r="M1741" s="69"/>
      <c r="N1741" s="69"/>
      <c r="O1741" s="69"/>
      <c r="P1741" s="78"/>
      <c r="Q1741" s="96"/>
      <c r="R1741" s="97"/>
      <c r="S1741" s="98"/>
    </row>
    <row r="1742" spans="1:19" ht="42.75">
      <c r="A1742" s="90" t="s">
        <v>50</v>
      </c>
      <c r="B1742" s="91" t="s">
        <v>446</v>
      </c>
      <c r="C1742" s="91" t="s">
        <v>3429</v>
      </c>
      <c r="D1742" s="90">
        <v>948</v>
      </c>
      <c r="E1742" s="90">
        <v>1156</v>
      </c>
      <c r="F1742" s="90" t="s">
        <v>1454</v>
      </c>
      <c r="G1742" s="90"/>
      <c r="H1742" s="93"/>
      <c r="I1742" s="93"/>
      <c r="J1742" s="93"/>
      <c r="K1742" s="95"/>
      <c r="L1742" s="69"/>
      <c r="M1742" s="69"/>
      <c r="N1742" s="69"/>
      <c r="O1742" s="69"/>
      <c r="P1742" s="78"/>
      <c r="Q1742" s="96"/>
      <c r="R1742" s="97"/>
      <c r="S1742" s="98"/>
    </row>
    <row r="1743" spans="1:19" ht="42.75">
      <c r="A1743" s="90" t="s">
        <v>50</v>
      </c>
      <c r="B1743" s="91" t="s">
        <v>446</v>
      </c>
      <c r="C1743" s="91" t="s">
        <v>3430</v>
      </c>
      <c r="D1743" s="90">
        <v>1638</v>
      </c>
      <c r="E1743" s="90">
        <v>1444</v>
      </c>
      <c r="F1743" s="90" t="s">
        <v>1454</v>
      </c>
      <c r="G1743" s="90"/>
      <c r="H1743" s="93"/>
      <c r="I1743" s="93"/>
      <c r="J1743" s="93"/>
      <c r="K1743" s="95"/>
      <c r="L1743" s="69"/>
      <c r="M1743" s="69"/>
      <c r="N1743" s="69"/>
      <c r="O1743" s="69"/>
      <c r="P1743" s="78"/>
      <c r="Q1743" s="96"/>
      <c r="R1743" s="97"/>
      <c r="S1743" s="98"/>
    </row>
    <row r="1744" spans="1:19" ht="42.75">
      <c r="A1744" s="90" t="s">
        <v>50</v>
      </c>
      <c r="B1744" s="91" t="s">
        <v>446</v>
      </c>
      <c r="C1744" s="91" t="s">
        <v>3179</v>
      </c>
      <c r="D1744" s="90">
        <v>1201</v>
      </c>
      <c r="E1744" s="90">
        <v>1405</v>
      </c>
      <c r="F1744" s="90" t="s">
        <v>1454</v>
      </c>
      <c r="G1744" s="90"/>
      <c r="H1744" s="93"/>
      <c r="I1744" s="93"/>
      <c r="J1744" s="93"/>
      <c r="K1744" s="95"/>
      <c r="L1744" s="69"/>
      <c r="M1744" s="69"/>
      <c r="N1744" s="69"/>
      <c r="O1744" s="69"/>
      <c r="P1744" s="78"/>
      <c r="Q1744" s="96"/>
      <c r="R1744" s="97"/>
      <c r="S1744" s="98"/>
    </row>
    <row r="1745" spans="1:19" ht="42.75">
      <c r="A1745" s="90" t="s">
        <v>50</v>
      </c>
      <c r="B1745" s="91" t="s">
        <v>446</v>
      </c>
      <c r="C1745" s="91" t="s">
        <v>3431</v>
      </c>
      <c r="D1745" s="90">
        <v>2227</v>
      </c>
      <c r="E1745" s="90">
        <v>2243</v>
      </c>
      <c r="F1745" s="90" t="s">
        <v>1434</v>
      </c>
      <c r="G1745" s="90">
        <v>2024</v>
      </c>
      <c r="H1745" s="101">
        <v>45553</v>
      </c>
      <c r="I1745" s="101">
        <v>45553</v>
      </c>
      <c r="J1745" s="94" t="s">
        <v>3432</v>
      </c>
      <c r="K1745" s="100">
        <v>45554</v>
      </c>
      <c r="L1745" s="69" t="s">
        <v>82</v>
      </c>
      <c r="M1745" s="69" t="s">
        <v>4</v>
      </c>
      <c r="N1745" s="69" t="s">
        <v>101</v>
      </c>
      <c r="O1745" s="69" t="s">
        <v>1436</v>
      </c>
      <c r="P1745" s="78"/>
      <c r="Q1745" s="96">
        <v>45555</v>
      </c>
      <c r="R1745" s="97" t="s">
        <v>2415</v>
      </c>
      <c r="S1745" s="98"/>
    </row>
    <row r="1746" spans="1:19" ht="42.75">
      <c r="A1746" s="90" t="s">
        <v>50</v>
      </c>
      <c r="B1746" s="91" t="s">
        <v>446</v>
      </c>
      <c r="C1746" s="91" t="s">
        <v>2464</v>
      </c>
      <c r="D1746" s="90">
        <v>4989</v>
      </c>
      <c r="E1746" s="90">
        <v>5162</v>
      </c>
      <c r="F1746" s="90" t="s">
        <v>1454</v>
      </c>
      <c r="G1746" s="90"/>
      <c r="H1746" s="93"/>
      <c r="I1746" s="93"/>
      <c r="J1746" s="93"/>
      <c r="K1746" s="95"/>
      <c r="L1746" s="69"/>
      <c r="M1746" s="69"/>
      <c r="N1746" s="69"/>
      <c r="O1746" s="69"/>
      <c r="P1746" s="78"/>
      <c r="Q1746" s="96"/>
      <c r="R1746" s="97"/>
      <c r="S1746" s="98"/>
    </row>
    <row r="1747" spans="1:19" ht="42.75">
      <c r="A1747" s="90" t="s">
        <v>50</v>
      </c>
      <c r="B1747" s="91" t="s">
        <v>446</v>
      </c>
      <c r="C1747" s="91" t="s">
        <v>3433</v>
      </c>
      <c r="D1747" s="90">
        <v>906</v>
      </c>
      <c r="E1747" s="90">
        <v>1016</v>
      </c>
      <c r="F1747" s="90" t="s">
        <v>1454</v>
      </c>
      <c r="G1747" s="90"/>
      <c r="H1747" s="93"/>
      <c r="I1747" s="93"/>
      <c r="J1747" s="93"/>
      <c r="K1747" s="95"/>
      <c r="L1747" s="69"/>
      <c r="M1747" s="69"/>
      <c r="N1747" s="69"/>
      <c r="O1747" s="69"/>
      <c r="P1747" s="78"/>
      <c r="Q1747" s="96"/>
      <c r="R1747" s="97"/>
      <c r="S1747" s="98"/>
    </row>
    <row r="1748" spans="1:19" ht="42.75">
      <c r="A1748" s="90" t="s">
        <v>50</v>
      </c>
      <c r="B1748" s="91" t="s">
        <v>446</v>
      </c>
      <c r="C1748" s="91" t="s">
        <v>3434</v>
      </c>
      <c r="D1748" s="90">
        <v>851</v>
      </c>
      <c r="E1748" s="90">
        <v>1017</v>
      </c>
      <c r="F1748" s="90" t="s">
        <v>1454</v>
      </c>
      <c r="G1748" s="90"/>
      <c r="H1748" s="93"/>
      <c r="I1748" s="93"/>
      <c r="J1748" s="122"/>
      <c r="K1748" s="95"/>
      <c r="L1748" s="69"/>
      <c r="M1748" s="69"/>
      <c r="N1748" s="69"/>
      <c r="O1748" s="69"/>
      <c r="P1748" s="78"/>
      <c r="Q1748" s="96"/>
      <c r="R1748" s="97"/>
      <c r="S1748" s="98"/>
    </row>
    <row r="1749" spans="1:19" ht="42.75">
      <c r="A1749" s="90" t="s">
        <v>50</v>
      </c>
      <c r="B1749" s="91" t="s">
        <v>446</v>
      </c>
      <c r="C1749" s="91" t="s">
        <v>3435</v>
      </c>
      <c r="D1749" s="90">
        <v>5581</v>
      </c>
      <c r="E1749" s="90">
        <v>5445</v>
      </c>
      <c r="F1749" s="90" t="s">
        <v>1434</v>
      </c>
      <c r="G1749" s="90">
        <v>2024</v>
      </c>
      <c r="H1749" s="101">
        <v>45433</v>
      </c>
      <c r="I1749" s="147">
        <v>45433</v>
      </c>
      <c r="J1749" s="107" t="s">
        <v>3436</v>
      </c>
      <c r="K1749" s="119">
        <v>45447</v>
      </c>
      <c r="L1749" s="69" t="s">
        <v>79</v>
      </c>
      <c r="M1749" s="69"/>
      <c r="N1749" s="69"/>
      <c r="O1749" s="69" t="s">
        <v>1436</v>
      </c>
      <c r="P1749" s="78"/>
      <c r="Q1749" s="96">
        <v>45448</v>
      </c>
      <c r="R1749" s="97"/>
      <c r="S1749" s="98"/>
    </row>
    <row r="1750" spans="1:19" ht="42.75">
      <c r="A1750" s="90" t="s">
        <v>50</v>
      </c>
      <c r="B1750" s="91" t="s">
        <v>446</v>
      </c>
      <c r="C1750" s="91" t="s">
        <v>3114</v>
      </c>
      <c r="D1750" s="90">
        <v>3409</v>
      </c>
      <c r="E1750" s="90">
        <v>3651</v>
      </c>
      <c r="F1750" s="90" t="s">
        <v>1454</v>
      </c>
      <c r="G1750" s="90"/>
      <c r="H1750" s="93"/>
      <c r="I1750" s="93"/>
      <c r="J1750" s="93"/>
      <c r="K1750" s="95"/>
      <c r="L1750" s="69"/>
      <c r="M1750" s="69"/>
      <c r="N1750" s="69"/>
      <c r="O1750" s="69"/>
      <c r="P1750" s="78"/>
      <c r="Q1750" s="96"/>
      <c r="R1750" s="97"/>
      <c r="S1750" s="98"/>
    </row>
    <row r="1751" spans="1:19" ht="42.75">
      <c r="A1751" s="90" t="s">
        <v>50</v>
      </c>
      <c r="B1751" s="91" t="s">
        <v>446</v>
      </c>
      <c r="C1751" s="91" t="s">
        <v>2835</v>
      </c>
      <c r="D1751" s="90">
        <v>2454</v>
      </c>
      <c r="E1751" s="90">
        <v>2667</v>
      </c>
      <c r="F1751" s="90" t="s">
        <v>1434</v>
      </c>
      <c r="G1751" s="90">
        <v>2024</v>
      </c>
      <c r="H1751" s="101">
        <v>45553</v>
      </c>
      <c r="I1751" s="101">
        <v>45553</v>
      </c>
      <c r="J1751" s="94" t="s">
        <v>3437</v>
      </c>
      <c r="K1751" s="100">
        <v>45554</v>
      </c>
      <c r="L1751" s="69" t="s">
        <v>82</v>
      </c>
      <c r="M1751" s="69" t="s">
        <v>4</v>
      </c>
      <c r="N1751" s="69" t="s">
        <v>101</v>
      </c>
      <c r="O1751" s="69" t="s">
        <v>1436</v>
      </c>
      <c r="P1751" s="78"/>
      <c r="Q1751" s="96">
        <v>45554</v>
      </c>
      <c r="R1751" s="97" t="s">
        <v>929</v>
      </c>
      <c r="S1751" s="98"/>
    </row>
    <row r="1752" spans="1:19" ht="42.75">
      <c r="A1752" s="90" t="s">
        <v>50</v>
      </c>
      <c r="B1752" s="91" t="s">
        <v>446</v>
      </c>
      <c r="C1752" s="91" t="s">
        <v>3438</v>
      </c>
      <c r="D1752" s="90">
        <v>1374</v>
      </c>
      <c r="E1752" s="90">
        <v>1481</v>
      </c>
      <c r="F1752" s="90" t="s">
        <v>1454</v>
      </c>
      <c r="G1752" s="90"/>
      <c r="H1752" s="93"/>
      <c r="I1752" s="93"/>
      <c r="J1752" s="93"/>
      <c r="K1752" s="95"/>
      <c r="L1752" s="69"/>
      <c r="M1752" s="69"/>
      <c r="N1752" s="69"/>
      <c r="O1752" s="69"/>
      <c r="P1752" s="78"/>
      <c r="Q1752" s="96"/>
      <c r="R1752" s="97"/>
      <c r="S1752" s="98"/>
    </row>
    <row r="1753" spans="1:19" ht="42.75">
      <c r="A1753" s="90" t="s">
        <v>50</v>
      </c>
      <c r="B1753" s="91" t="s">
        <v>446</v>
      </c>
      <c r="C1753" s="91" t="s">
        <v>2692</v>
      </c>
      <c r="D1753" s="90">
        <v>1470</v>
      </c>
      <c r="E1753" s="90">
        <v>1786</v>
      </c>
      <c r="F1753" s="90" t="s">
        <v>1454</v>
      </c>
      <c r="G1753" s="90"/>
      <c r="H1753" s="93"/>
      <c r="I1753" s="93"/>
      <c r="J1753" s="93"/>
      <c r="K1753" s="95"/>
      <c r="L1753" s="69"/>
      <c r="M1753" s="69"/>
      <c r="N1753" s="69"/>
      <c r="O1753" s="69"/>
      <c r="P1753" s="78"/>
      <c r="Q1753" s="96"/>
      <c r="R1753" s="97"/>
      <c r="S1753" s="98"/>
    </row>
    <row r="1754" spans="1:19" ht="42.75">
      <c r="A1754" s="90" t="s">
        <v>50</v>
      </c>
      <c r="B1754" s="91" t="s">
        <v>446</v>
      </c>
      <c r="C1754" s="91" t="s">
        <v>1359</v>
      </c>
      <c r="D1754" s="90">
        <v>3340</v>
      </c>
      <c r="E1754" s="90">
        <v>3750</v>
      </c>
      <c r="F1754" s="90" t="s">
        <v>1434</v>
      </c>
      <c r="G1754" s="90">
        <v>2024</v>
      </c>
      <c r="H1754" s="101">
        <v>45320</v>
      </c>
      <c r="I1754" s="101">
        <v>47148</v>
      </c>
      <c r="J1754" s="94" t="s">
        <v>3439</v>
      </c>
      <c r="K1754" s="95"/>
      <c r="L1754" s="69" t="s">
        <v>75</v>
      </c>
      <c r="M1754" s="69"/>
      <c r="N1754" s="69"/>
      <c r="O1754" s="69" t="s">
        <v>1436</v>
      </c>
      <c r="P1754" s="78"/>
      <c r="Q1754" s="96"/>
      <c r="R1754" s="97"/>
      <c r="S1754" s="98"/>
    </row>
    <row r="1755" spans="1:19" ht="42.75">
      <c r="A1755" s="90" t="s">
        <v>50</v>
      </c>
      <c r="B1755" s="91" t="s">
        <v>446</v>
      </c>
      <c r="C1755" s="91" t="s">
        <v>694</v>
      </c>
      <c r="D1755" s="90">
        <v>6435</v>
      </c>
      <c r="E1755" s="90">
        <v>6542</v>
      </c>
      <c r="F1755" s="90" t="s">
        <v>1434</v>
      </c>
      <c r="G1755" s="90">
        <v>2024</v>
      </c>
      <c r="H1755" s="101">
        <v>45365</v>
      </c>
      <c r="I1755" s="101">
        <v>45365</v>
      </c>
      <c r="J1755" s="94" t="s">
        <v>3440</v>
      </c>
      <c r="K1755" s="100">
        <v>45397</v>
      </c>
      <c r="L1755" s="69" t="s">
        <v>77</v>
      </c>
      <c r="M1755" s="69"/>
      <c r="N1755" s="69"/>
      <c r="O1755" s="69" t="s">
        <v>1436</v>
      </c>
      <c r="P1755" s="78"/>
      <c r="Q1755" s="96"/>
      <c r="R1755" s="97"/>
      <c r="S1755" s="98"/>
    </row>
    <row r="1756" spans="1:19" ht="42.75">
      <c r="A1756" s="90" t="s">
        <v>50</v>
      </c>
      <c r="B1756" s="91" t="s">
        <v>446</v>
      </c>
      <c r="C1756" s="91" t="s">
        <v>3441</v>
      </c>
      <c r="D1756" s="90">
        <v>2747</v>
      </c>
      <c r="E1756" s="90">
        <v>2769</v>
      </c>
      <c r="F1756" s="90" t="s">
        <v>1434</v>
      </c>
      <c r="G1756" s="90">
        <v>2024</v>
      </c>
      <c r="H1756" s="101">
        <v>45553</v>
      </c>
      <c r="I1756" s="101">
        <v>45553</v>
      </c>
      <c r="J1756" s="94" t="s">
        <v>3442</v>
      </c>
      <c r="K1756" s="100">
        <v>45553</v>
      </c>
      <c r="L1756" s="69" t="s">
        <v>82</v>
      </c>
      <c r="M1756" s="69" t="s">
        <v>4</v>
      </c>
      <c r="N1756" s="69" t="s">
        <v>101</v>
      </c>
      <c r="O1756" s="69" t="s">
        <v>1436</v>
      </c>
      <c r="P1756" s="78"/>
      <c r="Q1756" s="96">
        <v>45554</v>
      </c>
      <c r="R1756" s="97" t="s">
        <v>2415</v>
      </c>
      <c r="S1756" s="98"/>
    </row>
    <row r="1757" spans="1:19" ht="42.75">
      <c r="A1757" s="90" t="s">
        <v>50</v>
      </c>
      <c r="B1757" s="91" t="s">
        <v>446</v>
      </c>
      <c r="C1757" s="91" t="s">
        <v>2057</v>
      </c>
      <c r="D1757" s="90">
        <v>2771</v>
      </c>
      <c r="E1757" s="90">
        <v>3240</v>
      </c>
      <c r="F1757" s="90" t="s">
        <v>1454</v>
      </c>
      <c r="G1757" s="90"/>
      <c r="H1757" s="93"/>
      <c r="I1757" s="93"/>
      <c r="J1757" s="93"/>
      <c r="K1757" s="95"/>
      <c r="L1757" s="69"/>
      <c r="M1757" s="69"/>
      <c r="N1757" s="69"/>
      <c r="O1757" s="69"/>
      <c r="P1757" s="78"/>
      <c r="Q1757" s="96"/>
      <c r="R1757" s="97"/>
      <c r="S1757" s="98"/>
    </row>
    <row r="1758" spans="1:19" ht="42.75">
      <c r="A1758" s="90" t="s">
        <v>50</v>
      </c>
      <c r="B1758" s="91" t="s">
        <v>446</v>
      </c>
      <c r="C1758" s="91" t="s">
        <v>3443</v>
      </c>
      <c r="D1758" s="90">
        <v>2053</v>
      </c>
      <c r="E1758" s="90">
        <v>2411</v>
      </c>
      <c r="F1758" s="90" t="s">
        <v>1454</v>
      </c>
      <c r="G1758" s="90"/>
      <c r="H1758" s="93"/>
      <c r="I1758" s="93"/>
      <c r="J1758" s="93"/>
      <c r="K1758" s="95"/>
      <c r="L1758" s="69"/>
      <c r="M1758" s="69"/>
      <c r="N1758" s="69"/>
      <c r="O1758" s="69"/>
      <c r="P1758" s="78"/>
      <c r="Q1758" s="96"/>
      <c r="R1758" s="97"/>
      <c r="S1758" s="98"/>
    </row>
    <row r="1759" spans="1:19" ht="42.75">
      <c r="A1759" s="90" t="s">
        <v>50</v>
      </c>
      <c r="B1759" s="91" t="s">
        <v>446</v>
      </c>
      <c r="C1759" s="91" t="s">
        <v>3444</v>
      </c>
      <c r="D1759" s="90">
        <v>4042</v>
      </c>
      <c r="E1759" s="90">
        <v>4455</v>
      </c>
      <c r="F1759" s="90" t="s">
        <v>1454</v>
      </c>
      <c r="G1759" s="90"/>
      <c r="H1759" s="93"/>
      <c r="I1759" s="93"/>
      <c r="J1759" s="93"/>
      <c r="K1759" s="95"/>
      <c r="L1759" s="69"/>
      <c r="M1759" s="69"/>
      <c r="N1759" s="69"/>
      <c r="O1759" s="69"/>
      <c r="P1759" s="78"/>
      <c r="Q1759" s="96"/>
      <c r="R1759" s="97"/>
      <c r="S1759" s="98"/>
    </row>
    <row r="1760" spans="1:19" ht="42.75">
      <c r="A1760" s="90" t="s">
        <v>50</v>
      </c>
      <c r="B1760" s="91" t="s">
        <v>446</v>
      </c>
      <c r="C1760" s="91" t="s">
        <v>3445</v>
      </c>
      <c r="D1760" s="90">
        <v>1093</v>
      </c>
      <c r="E1760" s="90">
        <v>1200</v>
      </c>
      <c r="F1760" s="90" t="s">
        <v>1454</v>
      </c>
      <c r="G1760" s="90"/>
      <c r="H1760" s="93"/>
      <c r="I1760" s="93"/>
      <c r="J1760" s="93"/>
      <c r="K1760" s="95"/>
      <c r="L1760" s="69"/>
      <c r="M1760" s="69"/>
      <c r="N1760" s="69"/>
      <c r="O1760" s="69"/>
      <c r="P1760" s="78"/>
      <c r="Q1760" s="96"/>
      <c r="R1760" s="97"/>
      <c r="S1760" s="98"/>
    </row>
    <row r="1761" spans="1:19" ht="42.75">
      <c r="A1761" s="90" t="s">
        <v>50</v>
      </c>
      <c r="B1761" s="91" t="s">
        <v>446</v>
      </c>
      <c r="C1761" s="91" t="s">
        <v>3446</v>
      </c>
      <c r="D1761" s="90">
        <v>1450</v>
      </c>
      <c r="E1761" s="90">
        <v>1625</v>
      </c>
      <c r="F1761" s="90" t="s">
        <v>1454</v>
      </c>
      <c r="G1761" s="90"/>
      <c r="H1761" s="93"/>
      <c r="I1761" s="93"/>
      <c r="J1761" s="93"/>
      <c r="K1761" s="95"/>
      <c r="L1761" s="69"/>
      <c r="M1761" s="69"/>
      <c r="N1761" s="69"/>
      <c r="O1761" s="69"/>
      <c r="P1761" s="78"/>
      <c r="Q1761" s="96"/>
      <c r="R1761" s="97"/>
      <c r="S1761" s="98"/>
    </row>
    <row r="1762" spans="1:19" ht="42.75">
      <c r="A1762" s="90" t="s">
        <v>50</v>
      </c>
      <c r="B1762" s="91" t="s">
        <v>528</v>
      </c>
      <c r="C1762" s="91" t="s">
        <v>3447</v>
      </c>
      <c r="D1762" s="90">
        <v>1276</v>
      </c>
      <c r="E1762" s="90">
        <v>1247</v>
      </c>
      <c r="F1762" s="90" t="s">
        <v>1434</v>
      </c>
      <c r="G1762" s="90">
        <v>2024</v>
      </c>
      <c r="H1762" s="101">
        <v>45454</v>
      </c>
      <c r="I1762" s="101">
        <v>45460</v>
      </c>
      <c r="J1762" s="94" t="s">
        <v>3448</v>
      </c>
      <c r="K1762" s="100">
        <v>45462</v>
      </c>
      <c r="L1762" s="69" t="s">
        <v>79</v>
      </c>
      <c r="M1762" s="69"/>
      <c r="N1762" s="69"/>
      <c r="O1762" s="69" t="s">
        <v>1436</v>
      </c>
      <c r="P1762" s="78"/>
      <c r="Q1762" s="96">
        <v>45464</v>
      </c>
      <c r="R1762" s="97"/>
      <c r="S1762" s="98"/>
    </row>
    <row r="1763" spans="1:19" ht="42.75">
      <c r="A1763" s="90" t="s">
        <v>50</v>
      </c>
      <c r="B1763" s="91" t="s">
        <v>528</v>
      </c>
      <c r="C1763" s="91" t="s">
        <v>3449</v>
      </c>
      <c r="D1763" s="90">
        <v>1451</v>
      </c>
      <c r="E1763" s="90">
        <v>1663</v>
      </c>
      <c r="F1763" s="90" t="s">
        <v>1454</v>
      </c>
      <c r="G1763" s="90"/>
      <c r="H1763" s="93"/>
      <c r="I1763" s="93"/>
      <c r="J1763" s="93"/>
      <c r="K1763" s="95"/>
      <c r="L1763" s="69"/>
      <c r="M1763" s="69"/>
      <c r="N1763" s="69"/>
      <c r="O1763" s="69"/>
      <c r="P1763" s="78"/>
      <c r="Q1763" s="96"/>
      <c r="R1763" s="97"/>
      <c r="S1763" s="98"/>
    </row>
    <row r="1764" spans="1:19" ht="42.75">
      <c r="A1764" s="90" t="s">
        <v>50</v>
      </c>
      <c r="B1764" s="91" t="s">
        <v>528</v>
      </c>
      <c r="C1764" s="91" t="s">
        <v>1032</v>
      </c>
      <c r="D1764" s="90">
        <v>683</v>
      </c>
      <c r="E1764" s="90">
        <v>712</v>
      </c>
      <c r="F1764" s="90" t="s">
        <v>1454</v>
      </c>
      <c r="G1764" s="90"/>
      <c r="H1764" s="93"/>
      <c r="I1764" s="93"/>
      <c r="J1764" s="93"/>
      <c r="K1764" s="95"/>
      <c r="L1764" s="69"/>
      <c r="M1764" s="69"/>
      <c r="N1764" s="69"/>
      <c r="O1764" s="69"/>
      <c r="P1764" s="78"/>
      <c r="Q1764" s="96"/>
      <c r="R1764" s="97"/>
      <c r="S1764" s="98"/>
    </row>
    <row r="1765" spans="1:19" ht="42.75">
      <c r="A1765" s="90" t="s">
        <v>50</v>
      </c>
      <c r="B1765" s="91" t="s">
        <v>528</v>
      </c>
      <c r="C1765" s="91" t="s">
        <v>3450</v>
      </c>
      <c r="D1765" s="90">
        <v>597</v>
      </c>
      <c r="E1765" s="90">
        <v>658</v>
      </c>
      <c r="F1765" s="90" t="s">
        <v>1454</v>
      </c>
      <c r="G1765" s="90"/>
      <c r="H1765" s="93"/>
      <c r="I1765" s="93"/>
      <c r="J1765" s="93"/>
      <c r="K1765" s="95"/>
      <c r="L1765" s="69"/>
      <c r="M1765" s="69"/>
      <c r="N1765" s="69"/>
      <c r="O1765" s="69"/>
      <c r="P1765" s="78"/>
      <c r="Q1765" s="96"/>
      <c r="R1765" s="97"/>
      <c r="S1765" s="98"/>
    </row>
    <row r="1766" spans="1:19" ht="42.75">
      <c r="A1766" s="90" t="s">
        <v>50</v>
      </c>
      <c r="B1766" s="91" t="s">
        <v>528</v>
      </c>
      <c r="C1766" s="91" t="s">
        <v>3168</v>
      </c>
      <c r="D1766" s="90">
        <v>472</v>
      </c>
      <c r="E1766" s="90">
        <v>483</v>
      </c>
      <c r="F1766" s="90" t="s">
        <v>1454</v>
      </c>
      <c r="G1766" s="90"/>
      <c r="H1766" s="93"/>
      <c r="I1766" s="93"/>
      <c r="J1766" s="93"/>
      <c r="K1766" s="95"/>
      <c r="L1766" s="69"/>
      <c r="M1766" s="69"/>
      <c r="N1766" s="69"/>
      <c r="O1766" s="69"/>
      <c r="P1766" s="78"/>
      <c r="Q1766" s="96"/>
      <c r="R1766" s="97"/>
      <c r="S1766" s="98"/>
    </row>
    <row r="1767" spans="1:19" ht="42.75">
      <c r="A1767" s="90" t="s">
        <v>50</v>
      </c>
      <c r="B1767" s="91" t="s">
        <v>528</v>
      </c>
      <c r="C1767" s="91" t="s">
        <v>3451</v>
      </c>
      <c r="D1767" s="90">
        <v>800</v>
      </c>
      <c r="E1767" s="90">
        <v>780</v>
      </c>
      <c r="F1767" s="90" t="s">
        <v>1454</v>
      </c>
      <c r="G1767" s="90"/>
      <c r="H1767" s="93"/>
      <c r="I1767" s="93"/>
      <c r="J1767" s="93"/>
      <c r="K1767" s="95"/>
      <c r="L1767" s="69"/>
      <c r="M1767" s="69"/>
      <c r="N1767" s="69"/>
      <c r="O1767" s="69"/>
      <c r="P1767" s="78"/>
      <c r="Q1767" s="96"/>
      <c r="R1767" s="97"/>
      <c r="S1767" s="98"/>
    </row>
    <row r="1768" spans="1:19" ht="42.75">
      <c r="A1768" s="90" t="s">
        <v>50</v>
      </c>
      <c r="B1768" s="91" t="s">
        <v>528</v>
      </c>
      <c r="C1768" s="91" t="s">
        <v>3452</v>
      </c>
      <c r="D1768" s="90">
        <v>851</v>
      </c>
      <c r="E1768" s="90">
        <v>957</v>
      </c>
      <c r="F1768" s="90" t="s">
        <v>1454</v>
      </c>
      <c r="G1768" s="90"/>
      <c r="H1768" s="93"/>
      <c r="I1768" s="93"/>
      <c r="J1768" s="93"/>
      <c r="K1768" s="95"/>
      <c r="L1768" s="69"/>
      <c r="M1768" s="69"/>
      <c r="N1768" s="69"/>
      <c r="O1768" s="69"/>
      <c r="P1768" s="78"/>
      <c r="Q1768" s="96"/>
      <c r="R1768" s="97"/>
      <c r="S1768" s="98"/>
    </row>
    <row r="1769" spans="1:19" ht="42.75">
      <c r="A1769" s="90" t="s">
        <v>50</v>
      </c>
      <c r="B1769" s="91" t="s">
        <v>528</v>
      </c>
      <c r="C1769" s="91" t="s">
        <v>3453</v>
      </c>
      <c r="D1769" s="90">
        <v>778</v>
      </c>
      <c r="E1769" s="90">
        <v>842</v>
      </c>
      <c r="F1769" s="90" t="s">
        <v>1434</v>
      </c>
      <c r="G1769" s="90">
        <v>2024</v>
      </c>
      <c r="H1769" s="101">
        <v>45454</v>
      </c>
      <c r="I1769" s="101">
        <v>46555</v>
      </c>
      <c r="J1769" s="94" t="s">
        <v>3454</v>
      </c>
      <c r="K1769" s="100">
        <v>45462</v>
      </c>
      <c r="L1769" s="69" t="s">
        <v>79</v>
      </c>
      <c r="M1769" s="69"/>
      <c r="N1769" s="69"/>
      <c r="O1769" s="69" t="s">
        <v>1436</v>
      </c>
      <c r="P1769" s="78"/>
      <c r="Q1769" s="96">
        <v>45464</v>
      </c>
      <c r="R1769" s="97"/>
      <c r="S1769" s="98"/>
    </row>
    <row r="1770" spans="1:19" ht="42.75">
      <c r="A1770" s="90" t="s">
        <v>50</v>
      </c>
      <c r="B1770" s="91" t="s">
        <v>528</v>
      </c>
      <c r="C1770" s="91" t="s">
        <v>3455</v>
      </c>
      <c r="D1770" s="90">
        <v>1480</v>
      </c>
      <c r="E1770" s="90">
        <v>1520</v>
      </c>
      <c r="F1770" s="90" t="s">
        <v>1434</v>
      </c>
      <c r="G1770" s="90">
        <v>2024</v>
      </c>
      <c r="H1770" s="101">
        <v>45454</v>
      </c>
      <c r="I1770" s="101">
        <v>45460</v>
      </c>
      <c r="J1770" s="94" t="s">
        <v>3456</v>
      </c>
      <c r="K1770" s="100">
        <v>45463</v>
      </c>
      <c r="L1770" s="69" t="s">
        <v>79</v>
      </c>
      <c r="M1770" s="69"/>
      <c r="N1770" s="69"/>
      <c r="O1770" s="69" t="s">
        <v>1436</v>
      </c>
      <c r="P1770" s="78"/>
      <c r="Q1770" s="96">
        <v>45464</v>
      </c>
      <c r="R1770" s="97"/>
      <c r="S1770" s="98"/>
    </row>
    <row r="1771" spans="1:19" ht="42.75">
      <c r="A1771" s="90" t="s">
        <v>50</v>
      </c>
      <c r="B1771" s="91" t="s">
        <v>528</v>
      </c>
      <c r="C1771" s="91" t="s">
        <v>3457</v>
      </c>
      <c r="D1771" s="90">
        <v>658</v>
      </c>
      <c r="E1771" s="90">
        <v>730</v>
      </c>
      <c r="F1771" s="90" t="s">
        <v>1454</v>
      </c>
      <c r="G1771" s="90"/>
      <c r="H1771" s="93"/>
      <c r="I1771" s="93"/>
      <c r="J1771" s="93"/>
      <c r="K1771" s="95"/>
      <c r="L1771" s="69"/>
      <c r="M1771" s="69"/>
      <c r="N1771" s="69"/>
      <c r="O1771" s="69"/>
      <c r="P1771" s="78"/>
      <c r="Q1771" s="96"/>
      <c r="R1771" s="97"/>
      <c r="S1771" s="98"/>
    </row>
    <row r="1772" spans="1:19" ht="42.75">
      <c r="A1772" s="90" t="s">
        <v>50</v>
      </c>
      <c r="B1772" s="91" t="s">
        <v>528</v>
      </c>
      <c r="C1772" s="91" t="s">
        <v>3458</v>
      </c>
      <c r="D1772" s="90">
        <v>160</v>
      </c>
      <c r="E1772" s="90">
        <v>159</v>
      </c>
      <c r="F1772" s="90" t="s">
        <v>1454</v>
      </c>
      <c r="G1772" s="90"/>
      <c r="H1772" s="93"/>
      <c r="I1772" s="93"/>
      <c r="J1772" s="93"/>
      <c r="K1772" s="95"/>
      <c r="L1772" s="69"/>
      <c r="M1772" s="69"/>
      <c r="N1772" s="69"/>
      <c r="O1772" s="69"/>
      <c r="P1772" s="78"/>
      <c r="Q1772" s="96"/>
      <c r="R1772" s="97"/>
      <c r="S1772" s="98"/>
    </row>
    <row r="1773" spans="1:19" ht="42.75">
      <c r="A1773" s="90" t="s">
        <v>50</v>
      </c>
      <c r="B1773" s="91" t="s">
        <v>528</v>
      </c>
      <c r="C1773" s="91" t="s">
        <v>3459</v>
      </c>
      <c r="D1773" s="90">
        <v>893</v>
      </c>
      <c r="E1773" s="90">
        <v>936</v>
      </c>
      <c r="F1773" s="90" t="s">
        <v>1454</v>
      </c>
      <c r="G1773" s="90"/>
      <c r="H1773" s="93"/>
      <c r="I1773" s="93"/>
      <c r="J1773" s="93"/>
      <c r="K1773" s="95"/>
      <c r="L1773" s="69"/>
      <c r="M1773" s="69"/>
      <c r="N1773" s="69"/>
      <c r="O1773" s="69"/>
      <c r="P1773" s="78"/>
      <c r="Q1773" s="96"/>
      <c r="R1773" s="97"/>
      <c r="S1773" s="98"/>
    </row>
    <row r="1774" spans="1:19" ht="42.75">
      <c r="A1774" s="90" t="s">
        <v>50</v>
      </c>
      <c r="B1774" s="91" t="s">
        <v>528</v>
      </c>
      <c r="C1774" s="91" t="s">
        <v>3460</v>
      </c>
      <c r="D1774" s="90">
        <v>1091</v>
      </c>
      <c r="E1774" s="90">
        <v>1093</v>
      </c>
      <c r="F1774" s="90" t="s">
        <v>1434</v>
      </c>
      <c r="G1774" s="90">
        <v>2024</v>
      </c>
      <c r="H1774" s="101">
        <v>45454</v>
      </c>
      <c r="I1774" s="101">
        <v>45460</v>
      </c>
      <c r="J1774" s="94" t="s">
        <v>3461</v>
      </c>
      <c r="K1774" s="100">
        <v>45463</v>
      </c>
      <c r="L1774" s="69" t="s">
        <v>79</v>
      </c>
      <c r="M1774" s="69"/>
      <c r="N1774" s="69"/>
      <c r="O1774" s="69" t="s">
        <v>1436</v>
      </c>
      <c r="P1774" s="78"/>
      <c r="Q1774" s="96">
        <v>45464</v>
      </c>
      <c r="R1774" s="97"/>
      <c r="S1774" s="98"/>
    </row>
    <row r="1775" spans="1:19" ht="42.75">
      <c r="A1775" s="90" t="s">
        <v>50</v>
      </c>
      <c r="B1775" s="91" t="s">
        <v>528</v>
      </c>
      <c r="C1775" s="91" t="s">
        <v>3462</v>
      </c>
      <c r="D1775" s="90">
        <v>895</v>
      </c>
      <c r="E1775" s="90">
        <v>871</v>
      </c>
      <c r="F1775" s="90" t="s">
        <v>1454</v>
      </c>
      <c r="G1775" s="90"/>
      <c r="H1775" s="93"/>
      <c r="I1775" s="93"/>
      <c r="J1775" s="93"/>
      <c r="K1775" s="95"/>
      <c r="L1775" s="69"/>
      <c r="M1775" s="69"/>
      <c r="N1775" s="69"/>
      <c r="O1775" s="69"/>
      <c r="P1775" s="78"/>
      <c r="Q1775" s="96"/>
      <c r="R1775" s="97"/>
      <c r="S1775" s="98"/>
    </row>
    <row r="1776" spans="1:19" ht="42.75">
      <c r="A1776" s="90" t="s">
        <v>50</v>
      </c>
      <c r="B1776" s="91" t="s">
        <v>528</v>
      </c>
      <c r="C1776" s="91" t="s">
        <v>3463</v>
      </c>
      <c r="D1776" s="90">
        <v>1433</v>
      </c>
      <c r="E1776" s="90">
        <v>1455</v>
      </c>
      <c r="F1776" s="90" t="s">
        <v>1454</v>
      </c>
      <c r="G1776" s="90"/>
      <c r="H1776" s="93"/>
      <c r="I1776" s="93"/>
      <c r="J1776" s="93"/>
      <c r="K1776" s="95"/>
      <c r="L1776" s="69"/>
      <c r="M1776" s="69"/>
      <c r="N1776" s="69"/>
      <c r="O1776" s="69"/>
      <c r="P1776" s="78"/>
      <c r="Q1776" s="96"/>
      <c r="R1776" s="97"/>
      <c r="S1776" s="98"/>
    </row>
    <row r="1777" spans="1:19" ht="42.75">
      <c r="A1777" s="90" t="s">
        <v>50</v>
      </c>
      <c r="B1777" s="91" t="s">
        <v>528</v>
      </c>
      <c r="C1777" s="91" t="s">
        <v>3464</v>
      </c>
      <c r="D1777" s="90">
        <v>1062</v>
      </c>
      <c r="E1777" s="90">
        <v>1230</v>
      </c>
      <c r="F1777" s="90" t="s">
        <v>1434</v>
      </c>
      <c r="G1777" s="90">
        <v>2024</v>
      </c>
      <c r="H1777" s="101">
        <v>45454</v>
      </c>
      <c r="I1777" s="101">
        <v>45460</v>
      </c>
      <c r="J1777" s="94" t="s">
        <v>3465</v>
      </c>
      <c r="K1777" s="100">
        <v>45463</v>
      </c>
      <c r="L1777" s="69" t="s">
        <v>79</v>
      </c>
      <c r="M1777" s="69"/>
      <c r="N1777" s="69"/>
      <c r="O1777" s="69" t="s">
        <v>1436</v>
      </c>
      <c r="P1777" s="78"/>
      <c r="Q1777" s="96">
        <v>45464</v>
      </c>
      <c r="R1777" s="97"/>
      <c r="S1777" s="98"/>
    </row>
    <row r="1778" spans="1:19" ht="42.75">
      <c r="A1778" s="90" t="s">
        <v>50</v>
      </c>
      <c r="B1778" s="91" t="s">
        <v>528</v>
      </c>
      <c r="C1778" s="91" t="s">
        <v>3466</v>
      </c>
      <c r="D1778" s="90">
        <v>1071</v>
      </c>
      <c r="E1778" s="90">
        <v>1075</v>
      </c>
      <c r="F1778" s="90" t="s">
        <v>1434</v>
      </c>
      <c r="G1778" s="90">
        <v>2024</v>
      </c>
      <c r="H1778" s="101">
        <v>45454</v>
      </c>
      <c r="I1778" s="101">
        <v>45460</v>
      </c>
      <c r="J1778" s="94" t="s">
        <v>3467</v>
      </c>
      <c r="K1778" s="100">
        <v>45463</v>
      </c>
      <c r="L1778" s="69" t="s">
        <v>79</v>
      </c>
      <c r="M1778" s="69"/>
      <c r="N1778" s="69"/>
      <c r="O1778" s="69" t="s">
        <v>1436</v>
      </c>
      <c r="P1778" s="78"/>
      <c r="Q1778" s="96">
        <v>45464</v>
      </c>
      <c r="R1778" s="97"/>
      <c r="S1778" s="98"/>
    </row>
    <row r="1779" spans="1:19" ht="42.75">
      <c r="A1779" s="90" t="s">
        <v>50</v>
      </c>
      <c r="B1779" s="91" t="s">
        <v>528</v>
      </c>
      <c r="C1779" s="91" t="s">
        <v>1866</v>
      </c>
      <c r="D1779" s="90">
        <v>932</v>
      </c>
      <c r="E1779" s="90">
        <v>974</v>
      </c>
      <c r="F1779" s="90" t="s">
        <v>1454</v>
      </c>
      <c r="G1779" s="90"/>
      <c r="H1779" s="93"/>
      <c r="I1779" s="93"/>
      <c r="J1779" s="93"/>
      <c r="K1779" s="95"/>
      <c r="L1779" s="69"/>
      <c r="M1779" s="69"/>
      <c r="N1779" s="69"/>
      <c r="O1779" s="69"/>
      <c r="P1779" s="78"/>
      <c r="Q1779" s="96"/>
      <c r="R1779" s="97"/>
      <c r="S1779" s="98"/>
    </row>
    <row r="1780" spans="1:19" ht="42.75">
      <c r="A1780" s="90" t="s">
        <v>50</v>
      </c>
      <c r="B1780" s="91" t="s">
        <v>528</v>
      </c>
      <c r="C1780" s="91" t="s">
        <v>1867</v>
      </c>
      <c r="D1780" s="90">
        <v>155</v>
      </c>
      <c r="E1780" s="90">
        <v>195</v>
      </c>
      <c r="F1780" s="90" t="s">
        <v>1454</v>
      </c>
      <c r="G1780" s="90"/>
      <c r="H1780" s="93"/>
      <c r="I1780" s="93"/>
      <c r="J1780" s="93"/>
      <c r="K1780" s="95"/>
      <c r="L1780" s="69"/>
      <c r="M1780" s="69"/>
      <c r="N1780" s="69"/>
      <c r="O1780" s="69"/>
      <c r="P1780" s="78"/>
      <c r="Q1780" s="96"/>
      <c r="R1780" s="97"/>
      <c r="S1780" s="98"/>
    </row>
    <row r="1781" spans="1:19" ht="42.75">
      <c r="A1781" s="90" t="s">
        <v>50</v>
      </c>
      <c r="B1781" s="91" t="s">
        <v>528</v>
      </c>
      <c r="C1781" s="91" t="s">
        <v>2692</v>
      </c>
      <c r="D1781" s="90">
        <v>322</v>
      </c>
      <c r="E1781" s="90">
        <v>327</v>
      </c>
      <c r="F1781" s="90" t="s">
        <v>1454</v>
      </c>
      <c r="G1781" s="90"/>
      <c r="H1781" s="93"/>
      <c r="I1781" s="93"/>
      <c r="J1781" s="93"/>
      <c r="K1781" s="95"/>
      <c r="L1781" s="69"/>
      <c r="M1781" s="69"/>
      <c r="N1781" s="69"/>
      <c r="O1781" s="69"/>
      <c r="P1781" s="78"/>
      <c r="Q1781" s="96"/>
      <c r="R1781" s="97"/>
      <c r="S1781" s="98"/>
    </row>
    <row r="1782" spans="1:19" ht="42.75">
      <c r="A1782" s="90" t="s">
        <v>50</v>
      </c>
      <c r="B1782" s="91" t="s">
        <v>528</v>
      </c>
      <c r="C1782" s="91" t="s">
        <v>3468</v>
      </c>
      <c r="D1782" s="90">
        <v>622</v>
      </c>
      <c r="E1782" s="90">
        <v>698</v>
      </c>
      <c r="F1782" s="90" t="s">
        <v>1454</v>
      </c>
      <c r="G1782" s="90"/>
      <c r="H1782" s="93"/>
      <c r="I1782" s="93"/>
      <c r="J1782" s="93"/>
      <c r="K1782" s="95"/>
      <c r="L1782" s="69"/>
      <c r="M1782" s="69"/>
      <c r="N1782" s="69"/>
      <c r="O1782" s="69"/>
      <c r="P1782" s="78"/>
      <c r="Q1782" s="96"/>
      <c r="R1782" s="97"/>
      <c r="S1782" s="98"/>
    </row>
    <row r="1783" spans="1:19" ht="42.75">
      <c r="A1783" s="90" t="s">
        <v>50</v>
      </c>
      <c r="B1783" s="91" t="s">
        <v>528</v>
      </c>
      <c r="C1783" s="91" t="s">
        <v>526</v>
      </c>
      <c r="D1783" s="90">
        <v>665</v>
      </c>
      <c r="E1783" s="90">
        <v>682</v>
      </c>
      <c r="F1783" s="90" t="s">
        <v>1454</v>
      </c>
      <c r="G1783" s="90"/>
      <c r="H1783" s="93"/>
      <c r="I1783" s="93"/>
      <c r="J1783" s="93"/>
      <c r="K1783" s="95"/>
      <c r="L1783" s="69"/>
      <c r="M1783" s="69"/>
      <c r="N1783" s="69"/>
      <c r="O1783" s="69"/>
      <c r="P1783" s="78"/>
      <c r="Q1783" s="96"/>
      <c r="R1783" s="97"/>
      <c r="S1783" s="98"/>
    </row>
    <row r="1784" spans="1:19" ht="42.75">
      <c r="A1784" s="90" t="s">
        <v>50</v>
      </c>
      <c r="B1784" s="91" t="s">
        <v>528</v>
      </c>
      <c r="C1784" s="91" t="s">
        <v>3469</v>
      </c>
      <c r="D1784" s="90">
        <v>850</v>
      </c>
      <c r="E1784" s="90">
        <v>910</v>
      </c>
      <c r="F1784" s="90" t="s">
        <v>1454</v>
      </c>
      <c r="G1784" s="90"/>
      <c r="H1784" s="93"/>
      <c r="I1784" s="93"/>
      <c r="J1784" s="93"/>
      <c r="K1784" s="95"/>
      <c r="L1784" s="69"/>
      <c r="M1784" s="69"/>
      <c r="N1784" s="69"/>
      <c r="O1784" s="69"/>
      <c r="P1784" s="78"/>
      <c r="Q1784" s="96"/>
      <c r="R1784" s="97"/>
      <c r="S1784" s="98"/>
    </row>
    <row r="1785" spans="1:19" ht="42.75">
      <c r="A1785" s="90" t="s">
        <v>50</v>
      </c>
      <c r="B1785" s="91" t="s">
        <v>528</v>
      </c>
      <c r="C1785" s="91" t="s">
        <v>3470</v>
      </c>
      <c r="D1785" s="90">
        <v>1552</v>
      </c>
      <c r="E1785" s="90">
        <v>1762</v>
      </c>
      <c r="F1785" s="90" t="s">
        <v>1454</v>
      </c>
      <c r="G1785" s="90"/>
      <c r="H1785" s="93"/>
      <c r="I1785" s="93"/>
      <c r="J1785" s="93"/>
      <c r="K1785" s="95"/>
      <c r="L1785" s="69"/>
      <c r="M1785" s="69"/>
      <c r="N1785" s="69"/>
      <c r="O1785" s="69"/>
      <c r="P1785" s="78"/>
      <c r="Q1785" s="96"/>
      <c r="R1785" s="97"/>
      <c r="S1785" s="98"/>
    </row>
    <row r="1786" spans="1:19" ht="42.75">
      <c r="A1786" s="90" t="s">
        <v>50</v>
      </c>
      <c r="B1786" s="91" t="s">
        <v>528</v>
      </c>
      <c r="C1786" s="91" t="s">
        <v>3471</v>
      </c>
      <c r="D1786" s="90">
        <v>945</v>
      </c>
      <c r="E1786" s="90">
        <v>898</v>
      </c>
      <c r="F1786" s="90" t="s">
        <v>1454</v>
      </c>
      <c r="G1786" s="90"/>
      <c r="H1786" s="93"/>
      <c r="I1786" s="93"/>
      <c r="J1786" s="93"/>
      <c r="K1786" s="95"/>
      <c r="L1786" s="69"/>
      <c r="M1786" s="69"/>
      <c r="N1786" s="69"/>
      <c r="O1786" s="69"/>
      <c r="P1786" s="78"/>
      <c r="Q1786" s="96"/>
      <c r="R1786" s="97"/>
      <c r="S1786" s="98"/>
    </row>
    <row r="1787" spans="1:19" ht="42.75">
      <c r="A1787" s="90" t="s">
        <v>50</v>
      </c>
      <c r="B1787" s="91" t="s">
        <v>528</v>
      </c>
      <c r="C1787" s="91" t="s">
        <v>664</v>
      </c>
      <c r="D1787" s="90">
        <v>625</v>
      </c>
      <c r="E1787" s="90">
        <v>729</v>
      </c>
      <c r="F1787" s="90" t="s">
        <v>1454</v>
      </c>
      <c r="G1787" s="90"/>
      <c r="H1787" s="93"/>
      <c r="I1787" s="93"/>
      <c r="J1787" s="93"/>
      <c r="K1787" s="95"/>
      <c r="L1787" s="69"/>
      <c r="M1787" s="69"/>
      <c r="N1787" s="69"/>
      <c r="O1787" s="69"/>
      <c r="P1787" s="78"/>
      <c r="Q1787" s="96"/>
      <c r="R1787" s="97"/>
      <c r="S1787" s="98"/>
    </row>
    <row r="1788" spans="1:19" ht="42.75">
      <c r="A1788" s="90" t="s">
        <v>50</v>
      </c>
      <c r="B1788" s="91" t="s">
        <v>528</v>
      </c>
      <c r="C1788" s="91" t="s">
        <v>3472</v>
      </c>
      <c r="D1788" s="90">
        <v>445</v>
      </c>
      <c r="E1788" s="90">
        <v>458</v>
      </c>
      <c r="F1788" s="90" t="s">
        <v>1454</v>
      </c>
      <c r="G1788" s="90"/>
      <c r="H1788" s="93"/>
      <c r="I1788" s="93"/>
      <c r="J1788" s="93"/>
      <c r="K1788" s="95"/>
      <c r="L1788" s="69"/>
      <c r="M1788" s="69"/>
      <c r="N1788" s="69"/>
      <c r="O1788" s="69"/>
      <c r="P1788" s="78"/>
      <c r="Q1788" s="96"/>
      <c r="R1788" s="97"/>
      <c r="S1788" s="98"/>
    </row>
    <row r="1789" spans="1:19" ht="42.75">
      <c r="A1789" s="90" t="s">
        <v>50</v>
      </c>
      <c r="B1789" s="91" t="s">
        <v>528</v>
      </c>
      <c r="C1789" s="91" t="s">
        <v>3473</v>
      </c>
      <c r="D1789" s="90">
        <v>1053</v>
      </c>
      <c r="E1789" s="90">
        <v>1192</v>
      </c>
      <c r="F1789" s="90" t="s">
        <v>1454</v>
      </c>
      <c r="G1789" s="90"/>
      <c r="H1789" s="93"/>
      <c r="I1789" s="93"/>
      <c r="J1789" s="93"/>
      <c r="K1789" s="95"/>
      <c r="L1789" s="69"/>
      <c r="M1789" s="69"/>
      <c r="N1789" s="69"/>
      <c r="O1789" s="69"/>
      <c r="P1789" s="78"/>
      <c r="Q1789" s="96"/>
      <c r="R1789" s="97"/>
      <c r="S1789" s="98"/>
    </row>
    <row r="1790" spans="1:19" ht="42.75">
      <c r="A1790" s="90" t="s">
        <v>50</v>
      </c>
      <c r="B1790" s="91" t="s">
        <v>530</v>
      </c>
      <c r="C1790" s="91" t="s">
        <v>3474</v>
      </c>
      <c r="D1790" s="90">
        <v>3792</v>
      </c>
      <c r="E1790" s="90">
        <v>4241</v>
      </c>
      <c r="F1790" s="90" t="s">
        <v>1454</v>
      </c>
      <c r="G1790" s="90"/>
      <c r="H1790" s="93"/>
      <c r="I1790" s="93"/>
      <c r="J1790" s="93"/>
      <c r="K1790" s="95"/>
      <c r="L1790" s="69"/>
      <c r="M1790" s="69"/>
      <c r="N1790" s="69"/>
      <c r="O1790" s="69"/>
      <c r="P1790" s="78"/>
      <c r="Q1790" s="96"/>
      <c r="R1790" s="97"/>
      <c r="S1790" s="98"/>
    </row>
    <row r="1791" spans="1:19" ht="42.75">
      <c r="A1791" s="90" t="s">
        <v>50</v>
      </c>
      <c r="B1791" s="91" t="s">
        <v>530</v>
      </c>
      <c r="C1791" s="91" t="s">
        <v>3475</v>
      </c>
      <c r="D1791" s="90">
        <v>3405</v>
      </c>
      <c r="E1791" s="90">
        <v>3623</v>
      </c>
      <c r="F1791" s="90" t="s">
        <v>1454</v>
      </c>
      <c r="G1791" s="90"/>
      <c r="H1791" s="93"/>
      <c r="I1791" s="93"/>
      <c r="J1791" s="93"/>
      <c r="K1791" s="95"/>
      <c r="L1791" s="69"/>
      <c r="M1791" s="69"/>
      <c r="N1791" s="69"/>
      <c r="O1791" s="69"/>
      <c r="P1791" s="78"/>
      <c r="Q1791" s="96"/>
      <c r="R1791" s="97"/>
      <c r="S1791" s="98"/>
    </row>
    <row r="1792" spans="1:19" ht="42.75">
      <c r="A1792" s="90" t="s">
        <v>50</v>
      </c>
      <c r="B1792" s="91" t="s">
        <v>530</v>
      </c>
      <c r="C1792" s="91" t="s">
        <v>250</v>
      </c>
      <c r="D1792" s="90">
        <v>5534</v>
      </c>
      <c r="E1792" s="90">
        <v>5965</v>
      </c>
      <c r="F1792" s="90" t="s">
        <v>1454</v>
      </c>
      <c r="G1792" s="90"/>
      <c r="H1792" s="93"/>
      <c r="I1792" s="93"/>
      <c r="J1792" s="93"/>
      <c r="K1792" s="95"/>
      <c r="L1792" s="69"/>
      <c r="M1792" s="69"/>
      <c r="N1792" s="69"/>
      <c r="O1792" s="69"/>
      <c r="P1792" s="78"/>
      <c r="Q1792" s="96"/>
      <c r="R1792" s="97"/>
      <c r="S1792" s="98"/>
    </row>
    <row r="1793" spans="1:19" ht="42.75">
      <c r="A1793" s="90" t="s">
        <v>50</v>
      </c>
      <c r="B1793" s="91" t="s">
        <v>530</v>
      </c>
      <c r="C1793" s="91" t="s">
        <v>3268</v>
      </c>
      <c r="D1793" s="90">
        <v>3528</v>
      </c>
      <c r="E1793" s="90">
        <v>3746</v>
      </c>
      <c r="F1793" s="90" t="s">
        <v>1454</v>
      </c>
      <c r="G1793" s="90"/>
      <c r="H1793" s="93"/>
      <c r="I1793" s="93"/>
      <c r="J1793" s="93"/>
      <c r="K1793" s="95"/>
      <c r="L1793" s="69"/>
      <c r="M1793" s="69"/>
      <c r="N1793" s="69"/>
      <c r="O1793" s="69"/>
      <c r="P1793" s="78"/>
      <c r="Q1793" s="96"/>
      <c r="R1793" s="97"/>
      <c r="S1793" s="98"/>
    </row>
    <row r="1794" spans="1:19" ht="42.75">
      <c r="A1794" s="90" t="s">
        <v>50</v>
      </c>
      <c r="B1794" s="91" t="s">
        <v>530</v>
      </c>
      <c r="C1794" s="91" t="s">
        <v>2899</v>
      </c>
      <c r="D1794" s="90">
        <v>2285</v>
      </c>
      <c r="E1794" s="90">
        <v>2424</v>
      </c>
      <c r="F1794" s="90" t="s">
        <v>1454</v>
      </c>
      <c r="G1794" s="90"/>
      <c r="H1794" s="93"/>
      <c r="I1794" s="93"/>
      <c r="J1794" s="93"/>
      <c r="K1794" s="95"/>
      <c r="L1794" s="69"/>
      <c r="M1794" s="69"/>
      <c r="N1794" s="69"/>
      <c r="O1794" s="69"/>
      <c r="P1794" s="78"/>
      <c r="Q1794" s="96"/>
      <c r="R1794" s="97"/>
      <c r="S1794" s="98"/>
    </row>
    <row r="1795" spans="1:19" ht="42.75">
      <c r="A1795" s="90" t="s">
        <v>50</v>
      </c>
      <c r="B1795" s="91" t="s">
        <v>530</v>
      </c>
      <c r="C1795" s="91" t="s">
        <v>3476</v>
      </c>
      <c r="D1795" s="90">
        <v>757</v>
      </c>
      <c r="E1795" s="90">
        <v>860</v>
      </c>
      <c r="F1795" s="90" t="s">
        <v>1454</v>
      </c>
      <c r="G1795" s="90"/>
      <c r="H1795" s="93"/>
      <c r="I1795" s="93"/>
      <c r="J1795" s="93"/>
      <c r="K1795" s="95"/>
      <c r="L1795" s="69"/>
      <c r="M1795" s="69"/>
      <c r="N1795" s="69"/>
      <c r="O1795" s="69"/>
      <c r="P1795" s="78"/>
      <c r="Q1795" s="96"/>
      <c r="R1795" s="97"/>
      <c r="S1795" s="98"/>
    </row>
    <row r="1796" spans="1:19" ht="42.75">
      <c r="A1796" s="90" t="s">
        <v>50</v>
      </c>
      <c r="B1796" s="91" t="s">
        <v>530</v>
      </c>
      <c r="C1796" s="91" t="s">
        <v>3477</v>
      </c>
      <c r="D1796" s="90">
        <v>2884</v>
      </c>
      <c r="E1796" s="90">
        <v>3211</v>
      </c>
      <c r="F1796" s="90" t="s">
        <v>1454</v>
      </c>
      <c r="G1796" s="90"/>
      <c r="H1796" s="93"/>
      <c r="I1796" s="93"/>
      <c r="J1796" s="93"/>
      <c r="K1796" s="95"/>
      <c r="L1796" s="69"/>
      <c r="M1796" s="69"/>
      <c r="N1796" s="69"/>
      <c r="O1796" s="69"/>
      <c r="P1796" s="78"/>
      <c r="Q1796" s="96"/>
      <c r="R1796" s="97"/>
      <c r="S1796" s="98"/>
    </row>
    <row r="1797" spans="1:19" ht="42.75">
      <c r="A1797" s="90" t="s">
        <v>50</v>
      </c>
      <c r="B1797" s="91" t="s">
        <v>530</v>
      </c>
      <c r="C1797" s="91" t="s">
        <v>3478</v>
      </c>
      <c r="D1797" s="90">
        <v>1271</v>
      </c>
      <c r="E1797" s="90">
        <v>1375</v>
      </c>
      <c r="F1797" s="90" t="s">
        <v>1454</v>
      </c>
      <c r="G1797" s="90"/>
      <c r="H1797" s="93"/>
      <c r="I1797" s="93"/>
      <c r="J1797" s="93"/>
      <c r="K1797" s="95"/>
      <c r="L1797" s="69"/>
      <c r="M1797" s="69"/>
      <c r="N1797" s="69"/>
      <c r="O1797" s="69"/>
      <c r="P1797" s="78"/>
      <c r="Q1797" s="96"/>
      <c r="R1797" s="97"/>
      <c r="S1797" s="98"/>
    </row>
    <row r="1798" spans="1:19" ht="42.75">
      <c r="A1798" s="90" t="s">
        <v>50</v>
      </c>
      <c r="B1798" s="91" t="s">
        <v>530</v>
      </c>
      <c r="C1798" s="91" t="s">
        <v>3479</v>
      </c>
      <c r="D1798" s="90">
        <v>1357</v>
      </c>
      <c r="E1798" s="90">
        <v>1595</v>
      </c>
      <c r="F1798" s="90" t="s">
        <v>1454</v>
      </c>
      <c r="G1798" s="90"/>
      <c r="H1798" s="93"/>
      <c r="I1798" s="93"/>
      <c r="J1798" s="93"/>
      <c r="K1798" s="95"/>
      <c r="L1798" s="69"/>
      <c r="M1798" s="69"/>
      <c r="N1798" s="69"/>
      <c r="O1798" s="69"/>
      <c r="P1798" s="78"/>
      <c r="Q1798" s="96"/>
      <c r="R1798" s="97"/>
      <c r="S1798" s="98"/>
    </row>
    <row r="1799" spans="1:19" ht="42.75">
      <c r="A1799" s="90" t="s">
        <v>50</v>
      </c>
      <c r="B1799" s="91" t="s">
        <v>530</v>
      </c>
      <c r="C1799" s="91" t="s">
        <v>590</v>
      </c>
      <c r="D1799" s="90">
        <v>1317</v>
      </c>
      <c r="E1799" s="90">
        <v>1329</v>
      </c>
      <c r="F1799" s="90" t="s">
        <v>1454</v>
      </c>
      <c r="G1799" s="90"/>
      <c r="H1799" s="93"/>
      <c r="I1799" s="93"/>
      <c r="J1799" s="93"/>
      <c r="K1799" s="95"/>
      <c r="L1799" s="69"/>
      <c r="M1799" s="69"/>
      <c r="N1799" s="69"/>
      <c r="O1799" s="69"/>
      <c r="P1799" s="78"/>
      <c r="Q1799" s="96"/>
      <c r="R1799" s="97"/>
      <c r="S1799" s="98"/>
    </row>
    <row r="1800" spans="1:19" ht="42.75">
      <c r="A1800" s="90" t="s">
        <v>50</v>
      </c>
      <c r="B1800" s="91" t="s">
        <v>530</v>
      </c>
      <c r="C1800" s="91" t="s">
        <v>2117</v>
      </c>
      <c r="D1800" s="90">
        <v>1544</v>
      </c>
      <c r="E1800" s="90">
        <v>1562</v>
      </c>
      <c r="F1800" s="90" t="s">
        <v>1454</v>
      </c>
      <c r="G1800" s="90"/>
      <c r="H1800" s="93"/>
      <c r="I1800" s="93"/>
      <c r="J1800" s="93"/>
      <c r="K1800" s="95"/>
      <c r="L1800" s="69"/>
      <c r="M1800" s="69"/>
      <c r="N1800" s="69"/>
      <c r="O1800" s="69"/>
      <c r="P1800" s="78"/>
      <c r="Q1800" s="96"/>
      <c r="R1800" s="97"/>
      <c r="S1800" s="98"/>
    </row>
    <row r="1801" spans="1:19" ht="42.75">
      <c r="A1801" s="90" t="s">
        <v>50</v>
      </c>
      <c r="B1801" s="91" t="s">
        <v>530</v>
      </c>
      <c r="C1801" s="91" t="s">
        <v>520</v>
      </c>
      <c r="D1801" s="90">
        <v>5944</v>
      </c>
      <c r="E1801" s="90">
        <v>6130</v>
      </c>
      <c r="F1801" s="90" t="s">
        <v>1454</v>
      </c>
      <c r="G1801" s="90"/>
      <c r="H1801" s="93"/>
      <c r="I1801" s="93"/>
      <c r="J1801" s="93"/>
      <c r="K1801" s="95"/>
      <c r="L1801" s="69"/>
      <c r="M1801" s="69"/>
      <c r="N1801" s="69"/>
      <c r="O1801" s="69"/>
      <c r="P1801" s="78"/>
      <c r="Q1801" s="96"/>
      <c r="R1801" s="97"/>
      <c r="S1801" s="98"/>
    </row>
    <row r="1802" spans="1:19" ht="42.75">
      <c r="A1802" s="90" t="s">
        <v>50</v>
      </c>
      <c r="B1802" s="91" t="s">
        <v>530</v>
      </c>
      <c r="C1802" s="91" t="s">
        <v>378</v>
      </c>
      <c r="D1802" s="90">
        <v>1340</v>
      </c>
      <c r="E1802" s="90">
        <v>1366</v>
      </c>
      <c r="F1802" s="90" t="s">
        <v>1454</v>
      </c>
      <c r="G1802" s="90"/>
      <c r="H1802" s="93"/>
      <c r="I1802" s="93"/>
      <c r="J1802" s="93"/>
      <c r="K1802" s="95"/>
      <c r="L1802" s="69"/>
      <c r="M1802" s="69"/>
      <c r="N1802" s="69"/>
      <c r="O1802" s="69"/>
      <c r="P1802" s="78"/>
      <c r="Q1802" s="96"/>
      <c r="R1802" s="97"/>
      <c r="S1802" s="98"/>
    </row>
    <row r="1803" spans="1:19" ht="42.75">
      <c r="A1803" s="90" t="s">
        <v>50</v>
      </c>
      <c r="B1803" s="91" t="s">
        <v>530</v>
      </c>
      <c r="C1803" s="91" t="s">
        <v>554</v>
      </c>
      <c r="D1803" s="90">
        <v>1732</v>
      </c>
      <c r="E1803" s="90">
        <v>1849</v>
      </c>
      <c r="F1803" s="90" t="s">
        <v>1454</v>
      </c>
      <c r="G1803" s="90"/>
      <c r="H1803" s="93"/>
      <c r="I1803" s="93"/>
      <c r="J1803" s="93"/>
      <c r="K1803" s="95"/>
      <c r="L1803" s="69"/>
      <c r="M1803" s="69"/>
      <c r="N1803" s="69"/>
      <c r="O1803" s="69"/>
      <c r="P1803" s="78"/>
      <c r="Q1803" s="96"/>
      <c r="R1803" s="97"/>
      <c r="S1803" s="98"/>
    </row>
    <row r="1804" spans="1:19" ht="42.75">
      <c r="A1804" s="90" t="s">
        <v>50</v>
      </c>
      <c r="B1804" s="91" t="s">
        <v>530</v>
      </c>
      <c r="C1804" s="91" t="s">
        <v>3480</v>
      </c>
      <c r="D1804" s="90">
        <v>1759</v>
      </c>
      <c r="E1804" s="90">
        <v>1999</v>
      </c>
      <c r="F1804" s="90" t="s">
        <v>1454</v>
      </c>
      <c r="G1804" s="90"/>
      <c r="H1804" s="93"/>
      <c r="I1804" s="93"/>
      <c r="J1804" s="93"/>
      <c r="K1804" s="95"/>
      <c r="L1804" s="69"/>
      <c r="M1804" s="69"/>
      <c r="N1804" s="69"/>
      <c r="O1804" s="69"/>
      <c r="P1804" s="78"/>
      <c r="Q1804" s="96"/>
      <c r="R1804" s="97"/>
      <c r="S1804" s="98"/>
    </row>
    <row r="1805" spans="1:19" ht="42.75">
      <c r="A1805" s="90" t="s">
        <v>50</v>
      </c>
      <c r="B1805" s="91" t="s">
        <v>530</v>
      </c>
      <c r="C1805" s="91" t="s">
        <v>3481</v>
      </c>
      <c r="D1805" s="90">
        <v>3257</v>
      </c>
      <c r="E1805" s="90">
        <v>3784</v>
      </c>
      <c r="F1805" s="90" t="s">
        <v>1454</v>
      </c>
      <c r="G1805" s="90"/>
      <c r="H1805" s="93"/>
      <c r="I1805" s="93"/>
      <c r="J1805" s="93"/>
      <c r="K1805" s="95"/>
      <c r="L1805" s="69"/>
      <c r="M1805" s="69"/>
      <c r="N1805" s="69"/>
      <c r="O1805" s="69"/>
      <c r="P1805" s="78"/>
      <c r="Q1805" s="96"/>
      <c r="R1805" s="97"/>
      <c r="S1805" s="98"/>
    </row>
    <row r="1806" spans="1:19" ht="42.75">
      <c r="A1806" s="90" t="s">
        <v>50</v>
      </c>
      <c r="B1806" s="91" t="s">
        <v>530</v>
      </c>
      <c r="C1806" s="91" t="s">
        <v>3482</v>
      </c>
      <c r="D1806" s="90">
        <v>3228</v>
      </c>
      <c r="E1806" s="90">
        <v>3608</v>
      </c>
      <c r="F1806" s="90" t="s">
        <v>1454</v>
      </c>
      <c r="G1806" s="90"/>
      <c r="H1806" s="93"/>
      <c r="I1806" s="93"/>
      <c r="J1806" s="93"/>
      <c r="K1806" s="95"/>
      <c r="L1806" s="69"/>
      <c r="M1806" s="69"/>
      <c r="N1806" s="69"/>
      <c r="O1806" s="69"/>
      <c r="P1806" s="78"/>
      <c r="Q1806" s="96"/>
      <c r="R1806" s="97"/>
      <c r="S1806" s="98"/>
    </row>
    <row r="1807" spans="1:19" ht="42.75">
      <c r="A1807" s="90" t="s">
        <v>50</v>
      </c>
      <c r="B1807" s="91" t="s">
        <v>530</v>
      </c>
      <c r="C1807" s="91" t="s">
        <v>3483</v>
      </c>
      <c r="D1807" s="90">
        <v>3914</v>
      </c>
      <c r="E1807" s="90">
        <v>3884</v>
      </c>
      <c r="F1807" s="90" t="s">
        <v>1454</v>
      </c>
      <c r="G1807" s="90"/>
      <c r="H1807" s="93"/>
      <c r="I1807" s="93"/>
      <c r="J1807" s="93"/>
      <c r="K1807" s="95"/>
      <c r="L1807" s="69"/>
      <c r="M1807" s="69"/>
      <c r="N1807" s="69"/>
      <c r="O1807" s="69"/>
      <c r="P1807" s="78"/>
      <c r="Q1807" s="96"/>
      <c r="R1807" s="97"/>
      <c r="S1807" s="98"/>
    </row>
    <row r="1808" spans="1:19" ht="42.75">
      <c r="A1808" s="90" t="s">
        <v>50</v>
      </c>
      <c r="B1808" s="91" t="s">
        <v>530</v>
      </c>
      <c r="C1808" s="91" t="s">
        <v>3484</v>
      </c>
      <c r="D1808" s="90">
        <v>539</v>
      </c>
      <c r="E1808" s="90">
        <v>539</v>
      </c>
      <c r="F1808" s="90" t="s">
        <v>1454</v>
      </c>
      <c r="G1808" s="90"/>
      <c r="H1808" s="93"/>
      <c r="I1808" s="93"/>
      <c r="J1808" s="93"/>
      <c r="K1808" s="95"/>
      <c r="L1808" s="69"/>
      <c r="M1808" s="69"/>
      <c r="N1808" s="69"/>
      <c r="O1808" s="69"/>
      <c r="P1808" s="78"/>
      <c r="Q1808" s="96"/>
      <c r="R1808" s="97"/>
      <c r="S1808" s="98"/>
    </row>
    <row r="1809" spans="1:19" ht="42.75">
      <c r="A1809" s="90" t="s">
        <v>51</v>
      </c>
      <c r="B1809" s="91" t="s">
        <v>1364</v>
      </c>
      <c r="C1809" s="91" t="s">
        <v>3485</v>
      </c>
      <c r="D1809" s="90">
        <v>3230</v>
      </c>
      <c r="E1809" s="90">
        <v>2556</v>
      </c>
      <c r="F1809" s="90" t="s">
        <v>1454</v>
      </c>
      <c r="G1809" s="90"/>
      <c r="H1809" s="93"/>
      <c r="I1809" s="93"/>
      <c r="J1809" s="93"/>
      <c r="K1809" s="95"/>
      <c r="L1809" s="69"/>
      <c r="M1809" s="69"/>
      <c r="N1809" s="69"/>
      <c r="O1809" s="69"/>
      <c r="P1809" s="78"/>
      <c r="Q1809" s="96"/>
      <c r="R1809" s="97"/>
      <c r="S1809" s="98"/>
    </row>
    <row r="1810" spans="1:19" ht="42.75">
      <c r="A1810" s="90" t="s">
        <v>51</v>
      </c>
      <c r="B1810" s="91" t="s">
        <v>1364</v>
      </c>
      <c r="C1810" s="91" t="s">
        <v>3486</v>
      </c>
      <c r="D1810" s="90">
        <v>20911</v>
      </c>
      <c r="E1810" s="90">
        <v>26063</v>
      </c>
      <c r="F1810" s="90" t="s">
        <v>1454</v>
      </c>
      <c r="G1810" s="90"/>
      <c r="H1810" s="93"/>
      <c r="I1810" s="93"/>
      <c r="J1810" s="93"/>
      <c r="K1810" s="95"/>
      <c r="L1810" s="69"/>
      <c r="M1810" s="69"/>
      <c r="N1810" s="69"/>
      <c r="O1810" s="69"/>
      <c r="P1810" s="78"/>
      <c r="Q1810" s="96"/>
      <c r="R1810" s="97"/>
      <c r="S1810" s="98"/>
    </row>
    <row r="1811" spans="1:19" ht="42.75">
      <c r="A1811" s="90" t="s">
        <v>51</v>
      </c>
      <c r="B1811" s="91" t="s">
        <v>1364</v>
      </c>
      <c r="C1811" s="91" t="s">
        <v>3487</v>
      </c>
      <c r="D1811" s="90">
        <v>40087</v>
      </c>
      <c r="E1811" s="90">
        <v>42274</v>
      </c>
      <c r="F1811" s="90" t="s">
        <v>1454</v>
      </c>
      <c r="G1811" s="90"/>
      <c r="H1811" s="93"/>
      <c r="I1811" s="93"/>
      <c r="J1811" s="93"/>
      <c r="K1811" s="95"/>
      <c r="L1811" s="69"/>
      <c r="M1811" s="69"/>
      <c r="N1811" s="69"/>
      <c r="O1811" s="69"/>
      <c r="P1811" s="78"/>
      <c r="Q1811" s="96"/>
      <c r="R1811" s="97"/>
      <c r="S1811" s="98"/>
    </row>
    <row r="1812" spans="1:19" ht="42.75">
      <c r="A1812" s="90" t="s">
        <v>51</v>
      </c>
      <c r="B1812" s="91" t="s">
        <v>1364</v>
      </c>
      <c r="C1812" s="91" t="s">
        <v>3488</v>
      </c>
      <c r="D1812" s="90">
        <v>8870</v>
      </c>
      <c r="E1812" s="90">
        <v>12602</v>
      </c>
      <c r="F1812" s="90" t="s">
        <v>1454</v>
      </c>
      <c r="G1812" s="90"/>
      <c r="H1812" s="93"/>
      <c r="I1812" s="93"/>
      <c r="J1812" s="93"/>
      <c r="K1812" s="95"/>
      <c r="L1812" s="69"/>
      <c r="M1812" s="69"/>
      <c r="N1812" s="69"/>
      <c r="O1812" s="69"/>
      <c r="P1812" s="78"/>
      <c r="Q1812" s="96"/>
      <c r="R1812" s="97"/>
      <c r="S1812" s="98"/>
    </row>
    <row r="1813" spans="1:19" ht="42.75">
      <c r="A1813" s="90" t="s">
        <v>51</v>
      </c>
      <c r="B1813" s="91" t="s">
        <v>1364</v>
      </c>
      <c r="C1813" s="91" t="s">
        <v>3489</v>
      </c>
      <c r="D1813" s="90">
        <v>3981</v>
      </c>
      <c r="E1813" s="90">
        <v>5149</v>
      </c>
      <c r="F1813" s="90" t="s">
        <v>1454</v>
      </c>
      <c r="G1813" s="90"/>
      <c r="H1813" s="93"/>
      <c r="I1813" s="93"/>
      <c r="J1813" s="93"/>
      <c r="K1813" s="95"/>
      <c r="L1813" s="69"/>
      <c r="M1813" s="69"/>
      <c r="N1813" s="69"/>
      <c r="O1813" s="69"/>
      <c r="P1813" s="78"/>
      <c r="Q1813" s="96"/>
      <c r="R1813" s="97"/>
      <c r="S1813" s="98"/>
    </row>
    <row r="1814" spans="1:19" ht="42.75">
      <c r="A1814" s="90" t="s">
        <v>51</v>
      </c>
      <c r="B1814" s="91" t="s">
        <v>1364</v>
      </c>
      <c r="C1814" s="91" t="s">
        <v>3490</v>
      </c>
      <c r="D1814" s="90">
        <v>10363</v>
      </c>
      <c r="E1814" s="90">
        <v>15046</v>
      </c>
      <c r="F1814" s="90" t="s">
        <v>1434</v>
      </c>
      <c r="G1814" s="90">
        <v>2024</v>
      </c>
      <c r="H1814" s="101">
        <v>45546</v>
      </c>
      <c r="I1814" s="101">
        <v>45549</v>
      </c>
      <c r="J1814" s="94" t="s">
        <v>3491</v>
      </c>
      <c r="K1814" s="100">
        <v>45552</v>
      </c>
      <c r="L1814" s="69" t="s">
        <v>82</v>
      </c>
      <c r="M1814" s="69" t="s">
        <v>4</v>
      </c>
      <c r="N1814" s="69" t="s">
        <v>101</v>
      </c>
      <c r="O1814" s="69" t="s">
        <v>1436</v>
      </c>
      <c r="P1814" s="78"/>
      <c r="Q1814" s="96">
        <v>45553</v>
      </c>
      <c r="R1814" s="97" t="s">
        <v>929</v>
      </c>
      <c r="S1814" s="98"/>
    </row>
    <row r="1815" spans="1:19" ht="42.75">
      <c r="A1815" s="90" t="s">
        <v>51</v>
      </c>
      <c r="B1815" s="91" t="s">
        <v>1364</v>
      </c>
      <c r="C1815" s="91" t="s">
        <v>2322</v>
      </c>
      <c r="D1815" s="90">
        <v>27843</v>
      </c>
      <c r="E1815" s="90">
        <v>28296</v>
      </c>
      <c r="F1815" s="90" t="s">
        <v>1454</v>
      </c>
      <c r="G1815" s="90"/>
      <c r="H1815" s="93"/>
      <c r="I1815" s="93"/>
      <c r="J1815" s="93"/>
      <c r="K1815" s="95"/>
      <c r="L1815" s="69"/>
      <c r="M1815" s="69"/>
      <c r="N1815" s="69"/>
      <c r="O1815" s="69"/>
      <c r="P1815" s="78"/>
      <c r="Q1815" s="96"/>
      <c r="R1815" s="97"/>
      <c r="S1815" s="98"/>
    </row>
    <row r="1816" spans="1:19" ht="42.75">
      <c r="A1816" s="90" t="s">
        <v>51</v>
      </c>
      <c r="B1816" s="91" t="s">
        <v>1364</v>
      </c>
      <c r="C1816" s="91" t="s">
        <v>3492</v>
      </c>
      <c r="D1816" s="90">
        <v>23177</v>
      </c>
      <c r="E1816" s="90">
        <v>24821</v>
      </c>
      <c r="F1816" s="90" t="s">
        <v>1454</v>
      </c>
      <c r="G1816" s="90"/>
      <c r="H1816" s="93"/>
      <c r="I1816" s="93"/>
      <c r="J1816" s="93"/>
      <c r="K1816" s="95"/>
      <c r="L1816" s="69"/>
      <c r="M1816" s="69"/>
      <c r="N1816" s="69"/>
      <c r="O1816" s="69"/>
      <c r="P1816" s="78"/>
      <c r="Q1816" s="96"/>
      <c r="R1816" s="97"/>
      <c r="S1816" s="98"/>
    </row>
    <row r="1817" spans="1:19" ht="42.75">
      <c r="A1817" s="90" t="s">
        <v>51</v>
      </c>
      <c r="B1817" s="91" t="s">
        <v>1364</v>
      </c>
      <c r="C1817" s="91" t="s">
        <v>3493</v>
      </c>
      <c r="D1817" s="90">
        <v>9896</v>
      </c>
      <c r="E1817" s="90">
        <v>10054</v>
      </c>
      <c r="F1817" s="90" t="s">
        <v>1454</v>
      </c>
      <c r="G1817" s="90"/>
      <c r="H1817" s="93"/>
      <c r="I1817" s="93"/>
      <c r="J1817" s="93"/>
      <c r="K1817" s="95"/>
      <c r="L1817" s="69"/>
      <c r="M1817" s="69"/>
      <c r="N1817" s="69"/>
      <c r="O1817" s="69"/>
      <c r="P1817" s="78"/>
      <c r="Q1817" s="96"/>
      <c r="R1817" s="97"/>
      <c r="S1817" s="98"/>
    </row>
    <row r="1818" spans="1:19" ht="42.75">
      <c r="A1818" s="90" t="s">
        <v>51</v>
      </c>
      <c r="B1818" s="91" t="s">
        <v>1364</v>
      </c>
      <c r="C1818" s="91" t="s">
        <v>3494</v>
      </c>
      <c r="D1818" s="90">
        <v>4797</v>
      </c>
      <c r="E1818" s="90">
        <v>4879</v>
      </c>
      <c r="F1818" s="90" t="s">
        <v>1454</v>
      </c>
      <c r="G1818" s="90"/>
      <c r="H1818" s="93"/>
      <c r="I1818" s="93"/>
      <c r="J1818" s="93"/>
      <c r="K1818" s="95"/>
      <c r="L1818" s="69"/>
      <c r="M1818" s="69"/>
      <c r="N1818" s="69"/>
      <c r="O1818" s="69"/>
      <c r="P1818" s="78"/>
      <c r="Q1818" s="96"/>
      <c r="R1818" s="97"/>
      <c r="S1818" s="98"/>
    </row>
    <row r="1819" spans="1:19" ht="42.75">
      <c r="A1819" s="90" t="s">
        <v>51</v>
      </c>
      <c r="B1819" s="91" t="s">
        <v>1364</v>
      </c>
      <c r="C1819" s="91" t="s">
        <v>3495</v>
      </c>
      <c r="D1819" s="90">
        <v>4741</v>
      </c>
      <c r="E1819" s="90">
        <v>3639</v>
      </c>
      <c r="F1819" s="90" t="s">
        <v>1454</v>
      </c>
      <c r="G1819" s="90"/>
      <c r="H1819" s="93"/>
      <c r="I1819" s="93"/>
      <c r="J1819" s="93"/>
      <c r="K1819" s="95"/>
      <c r="L1819" s="69"/>
      <c r="M1819" s="69"/>
      <c r="N1819" s="69"/>
      <c r="O1819" s="69"/>
      <c r="P1819" s="78"/>
      <c r="Q1819" s="96"/>
      <c r="R1819" s="97"/>
      <c r="S1819" s="98"/>
    </row>
    <row r="1820" spans="1:19" ht="42.75">
      <c r="A1820" s="90" t="s">
        <v>51</v>
      </c>
      <c r="B1820" s="91" t="s">
        <v>1364</v>
      </c>
      <c r="C1820" s="91" t="s">
        <v>3496</v>
      </c>
      <c r="D1820" s="90">
        <v>33174</v>
      </c>
      <c r="E1820" s="90">
        <v>29841</v>
      </c>
      <c r="F1820" s="90" t="s">
        <v>1434</v>
      </c>
      <c r="G1820" s="90">
        <v>2024</v>
      </c>
      <c r="H1820" s="101">
        <v>45575</v>
      </c>
      <c r="I1820" s="101">
        <v>45577</v>
      </c>
      <c r="J1820" s="94" t="s">
        <v>3497</v>
      </c>
      <c r="K1820" s="100">
        <v>45581</v>
      </c>
      <c r="L1820" s="69" t="s">
        <v>83</v>
      </c>
      <c r="M1820" s="69" t="s">
        <v>4</v>
      </c>
      <c r="N1820" s="69" t="s">
        <v>101</v>
      </c>
      <c r="O1820" s="69" t="s">
        <v>1436</v>
      </c>
      <c r="P1820" s="78"/>
      <c r="Q1820" s="96">
        <v>45582</v>
      </c>
      <c r="R1820" s="97" t="s">
        <v>929</v>
      </c>
      <c r="S1820" s="98"/>
    </row>
    <row r="1821" spans="1:19" ht="42.75">
      <c r="A1821" s="90" t="s">
        <v>51</v>
      </c>
      <c r="B1821" s="91" t="s">
        <v>1364</v>
      </c>
      <c r="C1821" s="91" t="s">
        <v>3498</v>
      </c>
      <c r="D1821" s="90">
        <v>5239</v>
      </c>
      <c r="E1821" s="90">
        <v>12229</v>
      </c>
      <c r="F1821" s="90" t="s">
        <v>1434</v>
      </c>
      <c r="G1821" s="90">
        <v>2024</v>
      </c>
      <c r="H1821" s="101">
        <v>45546</v>
      </c>
      <c r="I1821" s="101">
        <v>45549</v>
      </c>
      <c r="J1821" s="94" t="s">
        <v>3499</v>
      </c>
      <c r="K1821" s="100">
        <v>45552</v>
      </c>
      <c r="L1821" s="69" t="s">
        <v>82</v>
      </c>
      <c r="M1821" s="69" t="s">
        <v>4</v>
      </c>
      <c r="N1821" s="69" t="s">
        <v>101</v>
      </c>
      <c r="O1821" s="69" t="s">
        <v>1436</v>
      </c>
      <c r="P1821" s="78"/>
      <c r="Q1821" s="96">
        <v>45553</v>
      </c>
      <c r="R1821" s="97" t="s">
        <v>929</v>
      </c>
      <c r="S1821" s="98"/>
    </row>
    <row r="1822" spans="1:19" ht="42.75">
      <c r="A1822" s="90" t="s">
        <v>51</v>
      </c>
      <c r="B1822" s="91" t="s">
        <v>1364</v>
      </c>
      <c r="C1822" s="91" t="s">
        <v>1079</v>
      </c>
      <c r="D1822" s="90">
        <v>3186</v>
      </c>
      <c r="E1822" s="90">
        <v>5265</v>
      </c>
      <c r="F1822" s="90" t="s">
        <v>1434</v>
      </c>
      <c r="G1822" s="90">
        <v>2024</v>
      </c>
      <c r="H1822" s="101">
        <v>45506</v>
      </c>
      <c r="I1822" s="101">
        <v>45521</v>
      </c>
      <c r="J1822" s="94" t="s">
        <v>3500</v>
      </c>
      <c r="K1822" s="100">
        <v>45523</v>
      </c>
      <c r="L1822" s="69" t="s">
        <v>81</v>
      </c>
      <c r="M1822" s="69" t="s">
        <v>4</v>
      </c>
      <c r="N1822" s="69" t="s">
        <v>101</v>
      </c>
      <c r="O1822" s="69" t="s">
        <v>1436</v>
      </c>
      <c r="P1822" s="78"/>
      <c r="Q1822" s="96"/>
      <c r="R1822" s="97"/>
      <c r="S1822" s="98"/>
    </row>
    <row r="1823" spans="1:19" ht="42.75">
      <c r="A1823" s="90" t="s">
        <v>51</v>
      </c>
      <c r="B1823" s="91" t="s">
        <v>1364</v>
      </c>
      <c r="C1823" s="91" t="s">
        <v>1365</v>
      </c>
      <c r="D1823" s="90">
        <v>20419</v>
      </c>
      <c r="E1823" s="90">
        <v>24653</v>
      </c>
      <c r="F1823" s="90" t="s">
        <v>1434</v>
      </c>
      <c r="G1823" s="90">
        <v>2024</v>
      </c>
      <c r="H1823" s="101">
        <v>45546</v>
      </c>
      <c r="I1823" s="101">
        <v>45549</v>
      </c>
      <c r="J1823" s="94" t="s">
        <v>3501</v>
      </c>
      <c r="K1823" s="100">
        <v>45552</v>
      </c>
      <c r="L1823" s="69" t="s">
        <v>82</v>
      </c>
      <c r="M1823" s="69" t="s">
        <v>4</v>
      </c>
      <c r="N1823" s="69" t="s">
        <v>101</v>
      </c>
      <c r="O1823" s="69" t="s">
        <v>1436</v>
      </c>
      <c r="P1823" s="78"/>
      <c r="Q1823" s="96">
        <v>45553</v>
      </c>
      <c r="R1823" s="97" t="s">
        <v>929</v>
      </c>
      <c r="S1823" s="98"/>
    </row>
    <row r="1824" spans="1:19" ht="42.75">
      <c r="A1824" s="90" t="s">
        <v>51</v>
      </c>
      <c r="B1824" s="91" t="s">
        <v>1364</v>
      </c>
      <c r="C1824" s="91" t="s">
        <v>3502</v>
      </c>
      <c r="D1824" s="90">
        <v>20598</v>
      </c>
      <c r="E1824" s="90">
        <v>23928</v>
      </c>
      <c r="F1824" s="90" t="s">
        <v>1434</v>
      </c>
      <c r="G1824" s="90">
        <v>2024</v>
      </c>
      <c r="H1824" s="101">
        <v>45506</v>
      </c>
      <c r="I1824" s="101">
        <v>45521</v>
      </c>
      <c r="J1824" s="94" t="s">
        <v>3503</v>
      </c>
      <c r="K1824" s="100">
        <v>45523</v>
      </c>
      <c r="L1824" s="69" t="s">
        <v>81</v>
      </c>
      <c r="M1824" s="69" t="s">
        <v>4</v>
      </c>
      <c r="N1824" s="69" t="s">
        <v>101</v>
      </c>
      <c r="O1824" s="69" t="s">
        <v>1436</v>
      </c>
      <c r="P1824" s="78"/>
      <c r="Q1824" s="96">
        <v>45525</v>
      </c>
      <c r="R1824" s="97"/>
      <c r="S1824" s="98"/>
    </row>
    <row r="1825" spans="1:19" ht="42.75">
      <c r="A1825" s="90" t="s">
        <v>51</v>
      </c>
      <c r="B1825" s="91" t="s">
        <v>1364</v>
      </c>
      <c r="C1825" s="91" t="s">
        <v>3504</v>
      </c>
      <c r="D1825" s="90">
        <v>18067</v>
      </c>
      <c r="E1825" s="90">
        <v>20675</v>
      </c>
      <c r="F1825" s="90" t="s">
        <v>1454</v>
      </c>
      <c r="G1825" s="90"/>
      <c r="H1825" s="93"/>
      <c r="I1825" s="93"/>
      <c r="J1825" s="93"/>
      <c r="K1825" s="95"/>
      <c r="L1825" s="69"/>
      <c r="M1825" s="69"/>
      <c r="N1825" s="69"/>
      <c r="O1825" s="69"/>
      <c r="P1825" s="78"/>
      <c r="Q1825" s="96"/>
      <c r="R1825" s="97"/>
      <c r="S1825" s="98"/>
    </row>
    <row r="1826" spans="1:19" ht="42.75">
      <c r="A1826" s="90" t="s">
        <v>51</v>
      </c>
      <c r="B1826" s="91" t="s">
        <v>1364</v>
      </c>
      <c r="C1826" s="91" t="s">
        <v>3505</v>
      </c>
      <c r="D1826" s="90">
        <v>12198</v>
      </c>
      <c r="E1826" s="90">
        <v>13025</v>
      </c>
      <c r="F1826" s="90" t="s">
        <v>1454</v>
      </c>
      <c r="G1826" s="90"/>
      <c r="H1826" s="93"/>
      <c r="I1826" s="93"/>
      <c r="J1826" s="93"/>
      <c r="K1826" s="95"/>
      <c r="L1826" s="69"/>
      <c r="M1826" s="69"/>
      <c r="N1826" s="69"/>
      <c r="O1826" s="69"/>
      <c r="P1826" s="78"/>
      <c r="Q1826" s="96"/>
      <c r="R1826" s="97"/>
      <c r="S1826" s="98"/>
    </row>
    <row r="1827" spans="1:19" ht="42.75">
      <c r="A1827" s="90" t="s">
        <v>51</v>
      </c>
      <c r="B1827" s="91" t="s">
        <v>1364</v>
      </c>
      <c r="C1827" s="91" t="s">
        <v>3506</v>
      </c>
      <c r="D1827" s="90">
        <v>23891</v>
      </c>
      <c r="E1827" s="90">
        <v>25385</v>
      </c>
      <c r="F1827" s="90" t="s">
        <v>1454</v>
      </c>
      <c r="G1827" s="90"/>
      <c r="H1827" s="93"/>
      <c r="I1827" s="93"/>
      <c r="J1827" s="93"/>
      <c r="K1827" s="95"/>
      <c r="L1827" s="69"/>
      <c r="M1827" s="69"/>
      <c r="N1827" s="69"/>
      <c r="O1827" s="69"/>
      <c r="P1827" s="78"/>
      <c r="Q1827" s="96"/>
      <c r="R1827" s="97"/>
      <c r="S1827" s="98"/>
    </row>
    <row r="1828" spans="1:19" ht="42.75">
      <c r="A1828" s="90" t="s">
        <v>51</v>
      </c>
      <c r="B1828" s="91" t="s">
        <v>1364</v>
      </c>
      <c r="C1828" s="91" t="s">
        <v>2691</v>
      </c>
      <c r="D1828" s="90">
        <v>5443</v>
      </c>
      <c r="E1828" s="90">
        <v>5298</v>
      </c>
      <c r="F1828" s="90" t="s">
        <v>1454</v>
      </c>
      <c r="G1828" s="90"/>
      <c r="H1828" s="93"/>
      <c r="I1828" s="93"/>
      <c r="J1828" s="93"/>
      <c r="K1828" s="95"/>
      <c r="L1828" s="69"/>
      <c r="M1828" s="69"/>
      <c r="N1828" s="69"/>
      <c r="O1828" s="69"/>
      <c r="P1828" s="78"/>
      <c r="Q1828" s="96"/>
      <c r="R1828" s="97"/>
      <c r="S1828" s="98"/>
    </row>
    <row r="1829" spans="1:19" ht="42.75">
      <c r="A1829" s="90" t="s">
        <v>51</v>
      </c>
      <c r="B1829" s="91" t="s">
        <v>1364</v>
      </c>
      <c r="C1829" s="91" t="s">
        <v>427</v>
      </c>
      <c r="D1829" s="90">
        <v>5579</v>
      </c>
      <c r="E1829" s="90">
        <v>7187</v>
      </c>
      <c r="F1829" s="90" t="s">
        <v>1454</v>
      </c>
      <c r="G1829" s="90"/>
      <c r="H1829" s="93"/>
      <c r="I1829" s="93"/>
      <c r="J1829" s="93"/>
      <c r="K1829" s="95"/>
      <c r="L1829" s="69"/>
      <c r="M1829" s="69"/>
      <c r="N1829" s="69"/>
      <c r="O1829" s="69"/>
      <c r="P1829" s="78"/>
      <c r="Q1829" s="96"/>
      <c r="R1829" s="97"/>
      <c r="S1829" s="98"/>
    </row>
    <row r="1830" spans="1:19" ht="42.75">
      <c r="A1830" s="90" t="s">
        <v>51</v>
      </c>
      <c r="B1830" s="91" t="s">
        <v>1364</v>
      </c>
      <c r="C1830" s="91" t="s">
        <v>717</v>
      </c>
      <c r="D1830" s="90">
        <v>3424</v>
      </c>
      <c r="E1830" s="90">
        <v>4811</v>
      </c>
      <c r="F1830" s="90" t="s">
        <v>1434</v>
      </c>
      <c r="G1830" s="90">
        <v>2024</v>
      </c>
      <c r="H1830" s="101">
        <v>45575</v>
      </c>
      <c r="I1830" s="101">
        <v>45577</v>
      </c>
      <c r="J1830" s="94" t="s">
        <v>3507</v>
      </c>
      <c r="K1830" s="100">
        <v>45581</v>
      </c>
      <c r="L1830" s="69" t="s">
        <v>83</v>
      </c>
      <c r="M1830" s="69" t="s">
        <v>4</v>
      </c>
      <c r="N1830" s="69" t="s">
        <v>101</v>
      </c>
      <c r="O1830" s="69" t="s">
        <v>1436</v>
      </c>
      <c r="P1830" s="78"/>
      <c r="Q1830" s="96">
        <v>45582</v>
      </c>
      <c r="R1830" s="97" t="s">
        <v>929</v>
      </c>
      <c r="S1830" s="98"/>
    </row>
    <row r="1831" spans="1:19" ht="42.75">
      <c r="A1831" s="90" t="s">
        <v>51</v>
      </c>
      <c r="B1831" s="91" t="s">
        <v>1364</v>
      </c>
      <c r="C1831" s="91" t="s">
        <v>3377</v>
      </c>
      <c r="D1831" s="90">
        <v>8402</v>
      </c>
      <c r="E1831" s="90">
        <v>9164</v>
      </c>
      <c r="F1831" s="90" t="s">
        <v>1434</v>
      </c>
      <c r="G1831" s="90">
        <v>2024</v>
      </c>
      <c r="H1831" s="101">
        <v>45575</v>
      </c>
      <c r="I1831" s="101">
        <v>45577</v>
      </c>
      <c r="J1831" s="94" t="s">
        <v>3508</v>
      </c>
      <c r="K1831" s="100">
        <v>45581</v>
      </c>
      <c r="L1831" s="69" t="s">
        <v>83</v>
      </c>
      <c r="M1831" s="69" t="s">
        <v>672</v>
      </c>
      <c r="N1831" s="69" t="s">
        <v>101</v>
      </c>
      <c r="O1831" s="69" t="s">
        <v>1436</v>
      </c>
      <c r="P1831" s="78"/>
      <c r="Q1831" s="96">
        <v>45582</v>
      </c>
      <c r="R1831" s="97" t="s">
        <v>929</v>
      </c>
      <c r="S1831" s="98"/>
    </row>
    <row r="1832" spans="1:19" ht="42.75">
      <c r="A1832" s="90" t="s">
        <v>51</v>
      </c>
      <c r="B1832" s="91" t="s">
        <v>1364</v>
      </c>
      <c r="C1832" s="91" t="s">
        <v>3509</v>
      </c>
      <c r="D1832" s="90">
        <v>5036</v>
      </c>
      <c r="E1832" s="90">
        <v>6208</v>
      </c>
      <c r="F1832" s="90" t="s">
        <v>1454</v>
      </c>
      <c r="G1832" s="90"/>
      <c r="H1832" s="93"/>
      <c r="I1832" s="93"/>
      <c r="J1832" s="93"/>
      <c r="K1832" s="95"/>
      <c r="L1832" s="69"/>
      <c r="M1832" s="69"/>
      <c r="N1832" s="69"/>
      <c r="O1832" s="69"/>
      <c r="P1832" s="78"/>
      <c r="Q1832" s="96"/>
      <c r="R1832" s="97"/>
      <c r="S1832" s="98"/>
    </row>
    <row r="1833" spans="1:19" ht="42.75">
      <c r="A1833" s="90" t="s">
        <v>51</v>
      </c>
      <c r="B1833" s="91" t="s">
        <v>1364</v>
      </c>
      <c r="C1833" s="91" t="s">
        <v>2236</v>
      </c>
      <c r="D1833" s="90">
        <v>4222</v>
      </c>
      <c r="E1833" s="90">
        <v>4060</v>
      </c>
      <c r="F1833" s="90" t="s">
        <v>1434</v>
      </c>
      <c r="G1833" s="90">
        <v>2024</v>
      </c>
      <c r="H1833" s="101">
        <v>45546</v>
      </c>
      <c r="I1833" s="101">
        <v>45549</v>
      </c>
      <c r="J1833" s="94" t="s">
        <v>3510</v>
      </c>
      <c r="K1833" s="100">
        <v>45552</v>
      </c>
      <c r="L1833" s="69" t="s">
        <v>82</v>
      </c>
      <c r="M1833" s="69" t="s">
        <v>4</v>
      </c>
      <c r="N1833" s="69" t="s">
        <v>101</v>
      </c>
      <c r="O1833" s="69" t="s">
        <v>1436</v>
      </c>
      <c r="P1833" s="78"/>
      <c r="Q1833" s="96">
        <v>45553</v>
      </c>
      <c r="R1833" s="97" t="s">
        <v>929</v>
      </c>
      <c r="S1833" s="98"/>
    </row>
    <row r="1834" spans="1:19" ht="42.75">
      <c r="A1834" s="90" t="s">
        <v>51</v>
      </c>
      <c r="B1834" s="91" t="s">
        <v>1364</v>
      </c>
      <c r="C1834" s="91" t="s">
        <v>526</v>
      </c>
      <c r="D1834" s="90">
        <v>17693</v>
      </c>
      <c r="E1834" s="90">
        <v>18672</v>
      </c>
      <c r="F1834" s="90" t="s">
        <v>1454</v>
      </c>
      <c r="G1834" s="90"/>
      <c r="H1834" s="93"/>
      <c r="I1834" s="93"/>
      <c r="J1834" s="93"/>
      <c r="K1834" s="95"/>
      <c r="L1834" s="69"/>
      <c r="M1834" s="69"/>
      <c r="N1834" s="69"/>
      <c r="O1834" s="69"/>
      <c r="P1834" s="78"/>
      <c r="Q1834" s="96"/>
      <c r="R1834" s="97"/>
      <c r="S1834" s="98"/>
    </row>
    <row r="1835" spans="1:19" ht="42.75">
      <c r="A1835" s="90" t="s">
        <v>51</v>
      </c>
      <c r="B1835" s="91" t="s">
        <v>1364</v>
      </c>
      <c r="C1835" s="91" t="s">
        <v>2395</v>
      </c>
      <c r="D1835" s="90">
        <v>4902</v>
      </c>
      <c r="E1835" s="90">
        <v>5835</v>
      </c>
      <c r="F1835" s="90" t="s">
        <v>1454</v>
      </c>
      <c r="G1835" s="90"/>
      <c r="H1835" s="93"/>
      <c r="I1835" s="93"/>
      <c r="J1835" s="93"/>
      <c r="K1835" s="95"/>
      <c r="L1835" s="69"/>
      <c r="M1835" s="69"/>
      <c r="N1835" s="69"/>
      <c r="O1835" s="69"/>
      <c r="P1835" s="78"/>
      <c r="Q1835" s="96"/>
      <c r="R1835" s="97"/>
      <c r="S1835" s="98"/>
    </row>
    <row r="1836" spans="1:19" ht="42.75">
      <c r="A1836" s="90" t="s">
        <v>51</v>
      </c>
      <c r="B1836" s="91" t="s">
        <v>1364</v>
      </c>
      <c r="C1836" s="91" t="s">
        <v>3511</v>
      </c>
      <c r="D1836" s="90">
        <v>12698</v>
      </c>
      <c r="E1836" s="90">
        <v>14280</v>
      </c>
      <c r="F1836" s="90" t="s">
        <v>1434</v>
      </c>
      <c r="G1836" s="90">
        <v>2024</v>
      </c>
      <c r="H1836" s="101">
        <v>45505</v>
      </c>
      <c r="I1836" s="101">
        <v>45521</v>
      </c>
      <c r="J1836" s="94" t="s">
        <v>3512</v>
      </c>
      <c r="K1836" s="100">
        <v>45523</v>
      </c>
      <c r="L1836" s="69" t="s">
        <v>81</v>
      </c>
      <c r="M1836" s="69" t="s">
        <v>4</v>
      </c>
      <c r="N1836" s="69" t="s">
        <v>108</v>
      </c>
      <c r="O1836" s="69" t="s">
        <v>1436</v>
      </c>
      <c r="P1836" s="78"/>
      <c r="Q1836" s="96">
        <v>45525</v>
      </c>
      <c r="R1836" s="97"/>
      <c r="S1836" s="98"/>
    </row>
    <row r="1837" spans="1:19" ht="42.75">
      <c r="A1837" s="90" t="s">
        <v>51</v>
      </c>
      <c r="B1837" s="91" t="s">
        <v>1364</v>
      </c>
      <c r="C1837" s="91" t="s">
        <v>3513</v>
      </c>
      <c r="D1837" s="90">
        <v>10965</v>
      </c>
      <c r="E1837" s="90">
        <v>13912</v>
      </c>
      <c r="F1837" s="90" t="s">
        <v>1454</v>
      </c>
      <c r="G1837" s="90"/>
      <c r="H1837" s="93"/>
      <c r="I1837" s="93"/>
      <c r="J1837" s="93"/>
      <c r="K1837" s="95"/>
      <c r="L1837" s="69"/>
      <c r="M1837" s="69"/>
      <c r="N1837" s="69"/>
      <c r="O1837" s="69"/>
      <c r="P1837" s="78"/>
      <c r="Q1837" s="96"/>
      <c r="R1837" s="97"/>
      <c r="S1837" s="98"/>
    </row>
    <row r="1838" spans="1:19" ht="42.75">
      <c r="A1838" s="90" t="s">
        <v>51</v>
      </c>
      <c r="B1838" s="91" t="s">
        <v>1364</v>
      </c>
      <c r="C1838" s="91" t="s">
        <v>3514</v>
      </c>
      <c r="D1838" s="90">
        <v>10914</v>
      </c>
      <c r="E1838" s="90">
        <v>13656</v>
      </c>
      <c r="F1838" s="90" t="s">
        <v>1454</v>
      </c>
      <c r="G1838" s="90"/>
      <c r="H1838" s="93"/>
      <c r="I1838" s="93"/>
      <c r="J1838" s="93"/>
      <c r="K1838" s="95"/>
      <c r="L1838" s="69"/>
      <c r="M1838" s="69"/>
      <c r="N1838" s="69"/>
      <c r="O1838" s="69"/>
      <c r="P1838" s="78"/>
      <c r="Q1838" s="96"/>
      <c r="R1838" s="97"/>
      <c r="S1838" s="98"/>
    </row>
    <row r="1839" spans="1:19" ht="42.75">
      <c r="A1839" s="90" t="s">
        <v>51</v>
      </c>
      <c r="B1839" s="91" t="s">
        <v>1364</v>
      </c>
      <c r="C1839" s="91" t="s">
        <v>3515</v>
      </c>
      <c r="D1839" s="90">
        <v>1651</v>
      </c>
      <c r="E1839" s="90">
        <v>1175</v>
      </c>
      <c r="F1839" s="90" t="s">
        <v>1454</v>
      </c>
      <c r="G1839" s="90"/>
      <c r="H1839" s="93"/>
      <c r="I1839" s="93"/>
      <c r="J1839" s="93"/>
      <c r="K1839" s="95"/>
      <c r="L1839" s="69"/>
      <c r="M1839" s="69"/>
      <c r="N1839" s="69"/>
      <c r="O1839" s="69"/>
      <c r="P1839" s="78"/>
      <c r="Q1839" s="96"/>
      <c r="R1839" s="97"/>
      <c r="S1839" s="98"/>
    </row>
    <row r="1840" spans="1:19" ht="42.75">
      <c r="A1840" s="90" t="s">
        <v>51</v>
      </c>
      <c r="B1840" s="91" t="s">
        <v>1364</v>
      </c>
      <c r="C1840" s="91" t="s">
        <v>3516</v>
      </c>
      <c r="D1840" s="90">
        <v>14379</v>
      </c>
      <c r="E1840" s="90">
        <v>16953</v>
      </c>
      <c r="F1840" s="90" t="s">
        <v>1454</v>
      </c>
      <c r="G1840" s="90"/>
      <c r="H1840" s="93"/>
      <c r="I1840" s="93"/>
      <c r="J1840" s="93"/>
      <c r="K1840" s="95"/>
      <c r="L1840" s="69"/>
      <c r="M1840" s="69"/>
      <c r="N1840" s="69"/>
      <c r="O1840" s="69"/>
      <c r="P1840" s="78"/>
      <c r="Q1840" s="96"/>
      <c r="R1840" s="97"/>
      <c r="S1840" s="98"/>
    </row>
    <row r="1841" spans="1:19" ht="42.75">
      <c r="A1841" s="90" t="s">
        <v>51</v>
      </c>
      <c r="B1841" s="91" t="s">
        <v>1364</v>
      </c>
      <c r="C1841" s="91" t="s">
        <v>3517</v>
      </c>
      <c r="D1841" s="90">
        <v>11658</v>
      </c>
      <c r="E1841" s="90">
        <v>11337</v>
      </c>
      <c r="F1841" s="90" t="s">
        <v>1434</v>
      </c>
      <c r="G1841" s="90">
        <v>2024</v>
      </c>
      <c r="H1841" s="101">
        <v>45505</v>
      </c>
      <c r="I1841" s="101">
        <v>45521</v>
      </c>
      <c r="J1841" s="94" t="s">
        <v>3518</v>
      </c>
      <c r="K1841" s="100">
        <v>45523</v>
      </c>
      <c r="L1841" s="69" t="s">
        <v>81</v>
      </c>
      <c r="M1841" s="69" t="s">
        <v>4</v>
      </c>
      <c r="N1841" s="69" t="s">
        <v>101</v>
      </c>
      <c r="O1841" s="69" t="s">
        <v>1436</v>
      </c>
      <c r="P1841" s="78"/>
      <c r="Q1841" s="96">
        <v>45525</v>
      </c>
      <c r="R1841" s="97"/>
      <c r="S1841" s="98"/>
    </row>
    <row r="1842" spans="1:19" ht="42.75">
      <c r="A1842" s="90" t="s">
        <v>51</v>
      </c>
      <c r="B1842" s="91" t="s">
        <v>351</v>
      </c>
      <c r="C1842" s="91" t="s">
        <v>3519</v>
      </c>
      <c r="D1842" s="90">
        <v>10104</v>
      </c>
      <c r="E1842" s="90">
        <v>10867</v>
      </c>
      <c r="F1842" s="90" t="s">
        <v>1454</v>
      </c>
      <c r="G1842" s="90"/>
      <c r="H1842" s="93"/>
      <c r="I1842" s="93"/>
      <c r="J1842" s="93"/>
      <c r="K1842" s="95"/>
      <c r="L1842" s="69"/>
      <c r="M1842" s="69"/>
      <c r="N1842" s="69"/>
      <c r="O1842" s="69"/>
      <c r="P1842" s="78"/>
      <c r="Q1842" s="96"/>
      <c r="R1842" s="97"/>
      <c r="S1842" s="98"/>
    </row>
    <row r="1843" spans="1:19" ht="42.75">
      <c r="A1843" s="90" t="s">
        <v>51</v>
      </c>
      <c r="B1843" s="91" t="s">
        <v>351</v>
      </c>
      <c r="C1843" s="91" t="s">
        <v>3520</v>
      </c>
      <c r="D1843" s="90">
        <v>3883</v>
      </c>
      <c r="E1843" s="90">
        <v>3998</v>
      </c>
      <c r="F1843" s="90" t="s">
        <v>1454</v>
      </c>
      <c r="G1843" s="90"/>
      <c r="H1843" s="93"/>
      <c r="I1843" s="93"/>
      <c r="J1843" s="93"/>
      <c r="K1843" s="95"/>
      <c r="L1843" s="69"/>
      <c r="M1843" s="69"/>
      <c r="N1843" s="69"/>
      <c r="O1843" s="69"/>
      <c r="P1843" s="78"/>
      <c r="Q1843" s="96"/>
      <c r="R1843" s="97"/>
      <c r="S1843" s="98"/>
    </row>
    <row r="1844" spans="1:19" ht="42.75">
      <c r="A1844" s="90" t="s">
        <v>51</v>
      </c>
      <c r="B1844" s="91" t="s">
        <v>351</v>
      </c>
      <c r="C1844" s="91" t="s">
        <v>3521</v>
      </c>
      <c r="D1844" s="90">
        <v>7329</v>
      </c>
      <c r="E1844" s="90">
        <v>7856</v>
      </c>
      <c r="F1844" s="90" t="s">
        <v>1454</v>
      </c>
      <c r="G1844" s="90"/>
      <c r="H1844" s="93"/>
      <c r="I1844" s="93"/>
      <c r="J1844" s="93"/>
      <c r="K1844" s="95"/>
      <c r="L1844" s="69"/>
      <c r="M1844" s="69"/>
      <c r="N1844" s="69"/>
      <c r="O1844" s="69"/>
      <c r="P1844" s="78"/>
      <c r="Q1844" s="96"/>
      <c r="R1844" s="97"/>
      <c r="S1844" s="98"/>
    </row>
    <row r="1845" spans="1:19" ht="42.75">
      <c r="A1845" s="90" t="s">
        <v>51</v>
      </c>
      <c r="B1845" s="91" t="s">
        <v>351</v>
      </c>
      <c r="C1845" s="91" t="s">
        <v>1369</v>
      </c>
      <c r="D1845" s="90">
        <v>7121</v>
      </c>
      <c r="E1845" s="90">
        <v>7394</v>
      </c>
      <c r="F1845" s="90" t="s">
        <v>1434</v>
      </c>
      <c r="G1845" s="90">
        <v>2024</v>
      </c>
      <c r="H1845" s="101">
        <v>45604</v>
      </c>
      <c r="I1845" s="101">
        <v>45613</v>
      </c>
      <c r="J1845" s="94" t="s">
        <v>3522</v>
      </c>
      <c r="K1845" s="100">
        <v>45616</v>
      </c>
      <c r="L1845" s="69" t="s">
        <v>84</v>
      </c>
      <c r="M1845" s="69" t="s">
        <v>1589</v>
      </c>
      <c r="N1845" s="69" t="s">
        <v>1676</v>
      </c>
      <c r="O1845" s="69" t="s">
        <v>1436</v>
      </c>
      <c r="P1845" s="78"/>
      <c r="Q1845" s="96">
        <v>45618</v>
      </c>
      <c r="R1845" s="97" t="s">
        <v>929</v>
      </c>
      <c r="S1845" s="98"/>
    </row>
    <row r="1846" spans="1:19" ht="42.75">
      <c r="A1846" s="90" t="s">
        <v>51</v>
      </c>
      <c r="B1846" s="91" t="s">
        <v>351</v>
      </c>
      <c r="C1846" s="91" t="s">
        <v>3523</v>
      </c>
      <c r="D1846" s="90">
        <v>7090</v>
      </c>
      <c r="E1846" s="90">
        <v>8307</v>
      </c>
      <c r="F1846" s="90" t="s">
        <v>1454</v>
      </c>
      <c r="G1846" s="90"/>
      <c r="H1846" s="93"/>
      <c r="I1846" s="93"/>
      <c r="J1846" s="93"/>
      <c r="K1846" s="95"/>
      <c r="L1846" s="69"/>
      <c r="M1846" s="69"/>
      <c r="N1846" s="69"/>
      <c r="O1846" s="69"/>
      <c r="P1846" s="78"/>
      <c r="Q1846" s="96"/>
      <c r="R1846" s="97"/>
      <c r="S1846" s="98"/>
    </row>
    <row r="1847" spans="1:19" ht="42.75">
      <c r="A1847" s="90" t="s">
        <v>51</v>
      </c>
      <c r="B1847" s="91" t="s">
        <v>351</v>
      </c>
      <c r="C1847" s="91" t="s">
        <v>3524</v>
      </c>
      <c r="D1847" s="90">
        <v>2701</v>
      </c>
      <c r="E1847" s="90">
        <v>3925</v>
      </c>
      <c r="F1847" s="90" t="s">
        <v>1454</v>
      </c>
      <c r="G1847" s="90"/>
      <c r="H1847" s="93"/>
      <c r="I1847" s="93"/>
      <c r="J1847" s="93"/>
      <c r="K1847" s="95"/>
      <c r="L1847" s="69"/>
      <c r="M1847" s="69"/>
      <c r="N1847" s="69"/>
      <c r="O1847" s="69"/>
      <c r="P1847" s="78"/>
      <c r="Q1847" s="96"/>
      <c r="R1847" s="97"/>
      <c r="S1847" s="98"/>
    </row>
    <row r="1848" spans="1:19" ht="42.75">
      <c r="A1848" s="90" t="s">
        <v>51</v>
      </c>
      <c r="B1848" s="91" t="s">
        <v>351</v>
      </c>
      <c r="C1848" s="91" t="s">
        <v>2692</v>
      </c>
      <c r="D1848" s="90">
        <v>11891</v>
      </c>
      <c r="E1848" s="90">
        <v>13408</v>
      </c>
      <c r="F1848" s="90" t="s">
        <v>1434</v>
      </c>
      <c r="G1848" s="90">
        <v>2024</v>
      </c>
      <c r="H1848" s="101">
        <v>45484</v>
      </c>
      <c r="I1848" s="101">
        <v>45490</v>
      </c>
      <c r="J1848" s="94" t="s">
        <v>3525</v>
      </c>
      <c r="K1848" s="100">
        <v>45491</v>
      </c>
      <c r="L1848" s="69" t="s">
        <v>80</v>
      </c>
      <c r="M1848" s="69" t="s">
        <v>4</v>
      </c>
      <c r="N1848" s="69" t="s">
        <v>101</v>
      </c>
      <c r="O1848" s="69" t="s">
        <v>1436</v>
      </c>
      <c r="P1848" s="78"/>
      <c r="Q1848" s="96">
        <v>45492</v>
      </c>
      <c r="R1848" s="97"/>
      <c r="S1848" s="98"/>
    </row>
    <row r="1849" spans="1:19" ht="42.75">
      <c r="A1849" s="90" t="s">
        <v>51</v>
      </c>
      <c r="B1849" s="91" t="s">
        <v>351</v>
      </c>
      <c r="C1849" s="91" t="s">
        <v>2178</v>
      </c>
      <c r="D1849" s="90">
        <v>8932</v>
      </c>
      <c r="E1849" s="90">
        <v>8861</v>
      </c>
      <c r="F1849" s="90" t="s">
        <v>1454</v>
      </c>
      <c r="G1849" s="90"/>
      <c r="H1849" s="93"/>
      <c r="I1849" s="93"/>
      <c r="J1849" s="93"/>
      <c r="K1849" s="95"/>
      <c r="L1849" s="69"/>
      <c r="M1849" s="69"/>
      <c r="N1849" s="69"/>
      <c r="O1849" s="69"/>
      <c r="P1849" s="78"/>
      <c r="Q1849" s="96"/>
      <c r="R1849" s="97"/>
      <c r="S1849" s="98"/>
    </row>
    <row r="1850" spans="1:19" ht="42.75">
      <c r="A1850" s="90" t="s">
        <v>51</v>
      </c>
      <c r="B1850" s="91" t="s">
        <v>351</v>
      </c>
      <c r="C1850" s="91" t="s">
        <v>653</v>
      </c>
      <c r="D1850" s="90">
        <v>22580</v>
      </c>
      <c r="E1850" s="90">
        <v>23686</v>
      </c>
      <c r="F1850" s="90" t="s">
        <v>1454</v>
      </c>
      <c r="G1850" s="90"/>
      <c r="H1850" s="93"/>
      <c r="I1850" s="93"/>
      <c r="J1850" s="93"/>
      <c r="K1850" s="95"/>
      <c r="L1850" s="69"/>
      <c r="M1850" s="69"/>
      <c r="N1850" s="69"/>
      <c r="O1850" s="69"/>
      <c r="P1850" s="78"/>
      <c r="Q1850" s="96"/>
      <c r="R1850" s="97"/>
      <c r="S1850" s="98"/>
    </row>
    <row r="1851" spans="1:19" ht="42.75">
      <c r="A1851" s="90" t="s">
        <v>51</v>
      </c>
      <c r="B1851" s="91" t="s">
        <v>351</v>
      </c>
      <c r="C1851" s="91" t="s">
        <v>3526</v>
      </c>
      <c r="D1851" s="90">
        <v>7246</v>
      </c>
      <c r="E1851" s="90">
        <v>7775</v>
      </c>
      <c r="F1851" s="90" t="s">
        <v>1434</v>
      </c>
      <c r="G1851" s="90">
        <v>2024</v>
      </c>
      <c r="H1851" s="101">
        <v>45604</v>
      </c>
      <c r="I1851" s="101">
        <v>45613</v>
      </c>
      <c r="J1851" s="176" t="s">
        <v>3527</v>
      </c>
      <c r="K1851" s="100">
        <v>45616</v>
      </c>
      <c r="L1851" s="69" t="s">
        <v>84</v>
      </c>
      <c r="M1851" s="69" t="s">
        <v>1589</v>
      </c>
      <c r="N1851" s="69" t="s">
        <v>1676</v>
      </c>
      <c r="O1851" s="69" t="s">
        <v>1436</v>
      </c>
      <c r="P1851" s="78"/>
      <c r="Q1851" s="96">
        <v>45617</v>
      </c>
      <c r="R1851" s="97" t="s">
        <v>929</v>
      </c>
      <c r="S1851" s="98"/>
    </row>
    <row r="1852" spans="1:19" ht="42.75">
      <c r="A1852" s="90" t="s">
        <v>51</v>
      </c>
      <c r="B1852" s="91" t="s">
        <v>351</v>
      </c>
      <c r="C1852" s="91" t="s">
        <v>786</v>
      </c>
      <c r="D1852" s="90">
        <v>9269</v>
      </c>
      <c r="E1852" s="90">
        <v>11693</v>
      </c>
      <c r="F1852" s="90" t="s">
        <v>1434</v>
      </c>
      <c r="G1852" s="90">
        <v>2024</v>
      </c>
      <c r="H1852" s="101">
        <v>45604</v>
      </c>
      <c r="I1852" s="101">
        <v>45613</v>
      </c>
      <c r="J1852" s="94" t="s">
        <v>3528</v>
      </c>
      <c r="K1852" s="100">
        <v>45616</v>
      </c>
      <c r="L1852" s="69" t="s">
        <v>84</v>
      </c>
      <c r="M1852" s="69" t="s">
        <v>1589</v>
      </c>
      <c r="N1852" s="69" t="s">
        <v>1676</v>
      </c>
      <c r="O1852" s="69" t="s">
        <v>1436</v>
      </c>
      <c r="P1852" s="78"/>
      <c r="Q1852" s="96">
        <v>45618</v>
      </c>
      <c r="R1852" s="97" t="s">
        <v>929</v>
      </c>
      <c r="S1852" s="98"/>
    </row>
    <row r="1853" spans="1:19" ht="42.75">
      <c r="A1853" s="90" t="s">
        <v>51</v>
      </c>
      <c r="B1853" s="91" t="s">
        <v>351</v>
      </c>
      <c r="C1853" s="91" t="s">
        <v>3529</v>
      </c>
      <c r="D1853" s="90">
        <v>9819</v>
      </c>
      <c r="E1853" s="90">
        <v>9390</v>
      </c>
      <c r="F1853" s="90" t="s">
        <v>1434</v>
      </c>
      <c r="G1853" s="90">
        <v>2024</v>
      </c>
      <c r="H1853" s="101">
        <v>45580</v>
      </c>
      <c r="I1853" s="101">
        <v>45582</v>
      </c>
      <c r="J1853" s="94" t="s">
        <v>3530</v>
      </c>
      <c r="K1853" s="100">
        <v>45584</v>
      </c>
      <c r="L1853" s="69" t="s">
        <v>83</v>
      </c>
      <c r="M1853" s="69" t="s">
        <v>1589</v>
      </c>
      <c r="N1853" s="69" t="s">
        <v>1676</v>
      </c>
      <c r="O1853" s="69" t="s">
        <v>1436</v>
      </c>
      <c r="P1853" s="78"/>
      <c r="Q1853" s="96">
        <v>45586</v>
      </c>
      <c r="R1853" s="97" t="s">
        <v>929</v>
      </c>
      <c r="S1853" s="98"/>
    </row>
    <row r="1854" spans="1:19" ht="42.75">
      <c r="A1854" s="90" t="s">
        <v>51</v>
      </c>
      <c r="B1854" s="91" t="s">
        <v>389</v>
      </c>
      <c r="C1854" s="91" t="s">
        <v>3531</v>
      </c>
      <c r="D1854" s="90">
        <v>4133</v>
      </c>
      <c r="E1854" s="90">
        <v>4429</v>
      </c>
      <c r="F1854" s="90" t="s">
        <v>1454</v>
      </c>
      <c r="G1854" s="90"/>
      <c r="H1854" s="93"/>
      <c r="I1854" s="93"/>
      <c r="J1854" s="93"/>
      <c r="K1854" s="95"/>
      <c r="L1854" s="69"/>
      <c r="M1854" s="69"/>
      <c r="N1854" s="69"/>
      <c r="O1854" s="69"/>
      <c r="P1854" s="78"/>
      <c r="Q1854" s="96"/>
      <c r="R1854" s="97"/>
      <c r="S1854" s="98"/>
    </row>
    <row r="1855" spans="1:19" ht="42.75">
      <c r="A1855" s="90" t="s">
        <v>51</v>
      </c>
      <c r="B1855" s="91" t="s">
        <v>389</v>
      </c>
      <c r="C1855" s="91" t="s">
        <v>3532</v>
      </c>
      <c r="D1855" s="90">
        <v>2582</v>
      </c>
      <c r="E1855" s="90">
        <v>2849</v>
      </c>
      <c r="F1855" s="90" t="s">
        <v>1454</v>
      </c>
      <c r="G1855" s="90"/>
      <c r="H1855" s="93"/>
      <c r="I1855" s="93"/>
      <c r="J1855" s="93"/>
      <c r="K1855" s="95"/>
      <c r="L1855" s="69"/>
      <c r="M1855" s="69"/>
      <c r="N1855" s="69"/>
      <c r="O1855" s="69"/>
      <c r="P1855" s="78"/>
      <c r="Q1855" s="96"/>
      <c r="R1855" s="97"/>
      <c r="S1855" s="98"/>
    </row>
    <row r="1856" spans="1:19" ht="42.75">
      <c r="A1856" s="90" t="s">
        <v>51</v>
      </c>
      <c r="B1856" s="91" t="s">
        <v>389</v>
      </c>
      <c r="C1856" s="91" t="s">
        <v>3533</v>
      </c>
      <c r="D1856" s="90">
        <v>2493</v>
      </c>
      <c r="E1856" s="90">
        <v>2882</v>
      </c>
      <c r="F1856" s="90" t="s">
        <v>1454</v>
      </c>
      <c r="G1856" s="90"/>
      <c r="H1856" s="93"/>
      <c r="I1856" s="93"/>
      <c r="J1856" s="93"/>
      <c r="K1856" s="95"/>
      <c r="L1856" s="69"/>
      <c r="M1856" s="69"/>
      <c r="N1856" s="69"/>
      <c r="O1856" s="69"/>
      <c r="P1856" s="78"/>
      <c r="Q1856" s="96"/>
      <c r="R1856" s="97"/>
      <c r="S1856" s="98"/>
    </row>
    <row r="1857" spans="1:19" ht="42.75">
      <c r="A1857" s="90" t="s">
        <v>51</v>
      </c>
      <c r="B1857" s="91" t="s">
        <v>389</v>
      </c>
      <c r="C1857" s="91" t="s">
        <v>3534</v>
      </c>
      <c r="D1857" s="90">
        <v>4322</v>
      </c>
      <c r="E1857" s="90">
        <v>5023</v>
      </c>
      <c r="F1857" s="90" t="s">
        <v>1434</v>
      </c>
      <c r="G1857" s="90">
        <v>2024</v>
      </c>
      <c r="H1857" s="101">
        <v>45539</v>
      </c>
      <c r="I1857" s="101">
        <v>45540</v>
      </c>
      <c r="J1857" s="94" t="s">
        <v>3535</v>
      </c>
      <c r="K1857" s="100">
        <v>45544</v>
      </c>
      <c r="L1857" s="69" t="s">
        <v>82</v>
      </c>
      <c r="M1857" s="69" t="s">
        <v>4</v>
      </c>
      <c r="N1857" s="69" t="s">
        <v>101</v>
      </c>
      <c r="O1857" s="69" t="s">
        <v>1436</v>
      </c>
      <c r="P1857" s="78"/>
      <c r="Q1857" s="96">
        <v>45545</v>
      </c>
      <c r="R1857" s="97" t="s">
        <v>929</v>
      </c>
      <c r="S1857" s="98"/>
    </row>
    <row r="1858" spans="1:19" ht="42.75">
      <c r="A1858" s="90" t="s">
        <v>51</v>
      </c>
      <c r="B1858" s="91" t="s">
        <v>389</v>
      </c>
      <c r="C1858" s="91" t="s">
        <v>3536</v>
      </c>
      <c r="D1858" s="90">
        <v>5029</v>
      </c>
      <c r="E1858" s="90">
        <v>5588</v>
      </c>
      <c r="F1858" s="90" t="s">
        <v>1454</v>
      </c>
      <c r="G1858" s="90"/>
      <c r="H1858" s="93"/>
      <c r="I1858" s="93"/>
      <c r="J1858" s="93"/>
      <c r="K1858" s="95"/>
      <c r="L1858" s="69"/>
      <c r="M1858" s="69"/>
      <c r="N1858" s="69"/>
      <c r="O1858" s="69"/>
      <c r="P1858" s="78"/>
      <c r="Q1858" s="96"/>
      <c r="R1858" s="97"/>
      <c r="S1858" s="98"/>
    </row>
    <row r="1859" spans="1:19" ht="42.75">
      <c r="A1859" s="90" t="s">
        <v>51</v>
      </c>
      <c r="B1859" s="91" t="s">
        <v>389</v>
      </c>
      <c r="C1859" s="91" t="s">
        <v>3537</v>
      </c>
      <c r="D1859" s="90">
        <v>6323</v>
      </c>
      <c r="E1859" s="90">
        <v>7121</v>
      </c>
      <c r="F1859" s="90" t="s">
        <v>1454</v>
      </c>
      <c r="G1859" s="90"/>
      <c r="H1859" s="93"/>
      <c r="I1859" s="93"/>
      <c r="J1859" s="93"/>
      <c r="K1859" s="95"/>
      <c r="L1859" s="69"/>
      <c r="M1859" s="69"/>
      <c r="N1859" s="69"/>
      <c r="O1859" s="69"/>
      <c r="P1859" s="78"/>
      <c r="Q1859" s="96"/>
      <c r="R1859" s="97"/>
      <c r="S1859" s="98"/>
    </row>
    <row r="1860" spans="1:19" ht="42.75">
      <c r="A1860" s="90" t="s">
        <v>51</v>
      </c>
      <c r="B1860" s="91" t="s">
        <v>389</v>
      </c>
      <c r="C1860" s="91" t="s">
        <v>3538</v>
      </c>
      <c r="D1860" s="90">
        <v>4118</v>
      </c>
      <c r="E1860" s="90">
        <v>4170</v>
      </c>
      <c r="F1860" s="90" t="s">
        <v>1454</v>
      </c>
      <c r="G1860" s="90"/>
      <c r="H1860" s="93"/>
      <c r="I1860" s="93"/>
      <c r="J1860" s="93"/>
      <c r="K1860" s="95"/>
      <c r="L1860" s="69"/>
      <c r="M1860" s="69"/>
      <c r="N1860" s="69"/>
      <c r="O1860" s="69"/>
      <c r="P1860" s="78"/>
      <c r="Q1860" s="96"/>
      <c r="R1860" s="97"/>
      <c r="S1860" s="98"/>
    </row>
    <row r="1861" spans="1:19" ht="42.75">
      <c r="A1861" s="90" t="s">
        <v>51</v>
      </c>
      <c r="B1861" s="91" t="s">
        <v>389</v>
      </c>
      <c r="C1861" s="91" t="s">
        <v>318</v>
      </c>
      <c r="D1861" s="90">
        <v>1059</v>
      </c>
      <c r="E1861" s="90">
        <v>964</v>
      </c>
      <c r="F1861" s="90" t="s">
        <v>1454</v>
      </c>
      <c r="G1861" s="90"/>
      <c r="H1861" s="93"/>
      <c r="I1861" s="93"/>
      <c r="J1861" s="93"/>
      <c r="K1861" s="95"/>
      <c r="L1861" s="69"/>
      <c r="M1861" s="69"/>
      <c r="N1861" s="69"/>
      <c r="O1861" s="69"/>
      <c r="P1861" s="78"/>
      <c r="Q1861" s="96"/>
      <c r="R1861" s="97"/>
      <c r="S1861" s="98"/>
    </row>
    <row r="1862" spans="1:19" ht="42.75">
      <c r="A1862" s="90" t="s">
        <v>51</v>
      </c>
      <c r="B1862" s="91" t="s">
        <v>389</v>
      </c>
      <c r="C1862" s="91" t="s">
        <v>3539</v>
      </c>
      <c r="D1862" s="90">
        <v>5124</v>
      </c>
      <c r="E1862" s="90">
        <v>5197</v>
      </c>
      <c r="F1862" s="90" t="s">
        <v>1454</v>
      </c>
      <c r="G1862" s="90"/>
      <c r="H1862" s="93"/>
      <c r="I1862" s="93"/>
      <c r="J1862" s="93"/>
      <c r="K1862" s="95"/>
      <c r="L1862" s="69"/>
      <c r="M1862" s="69"/>
      <c r="N1862" s="69"/>
      <c r="O1862" s="69"/>
      <c r="P1862" s="78"/>
      <c r="Q1862" s="96"/>
      <c r="R1862" s="97"/>
      <c r="S1862" s="98"/>
    </row>
    <row r="1863" spans="1:19" ht="42.75">
      <c r="A1863" s="90" t="s">
        <v>51</v>
      </c>
      <c r="B1863" s="91" t="s">
        <v>389</v>
      </c>
      <c r="C1863" s="91" t="s">
        <v>3540</v>
      </c>
      <c r="D1863" s="90">
        <v>3698</v>
      </c>
      <c r="E1863" s="90">
        <v>3736</v>
      </c>
      <c r="F1863" s="90" t="s">
        <v>1454</v>
      </c>
      <c r="G1863" s="90"/>
      <c r="H1863" s="93"/>
      <c r="I1863" s="93"/>
      <c r="J1863" s="93"/>
      <c r="K1863" s="95"/>
      <c r="L1863" s="69"/>
      <c r="M1863" s="69"/>
      <c r="N1863" s="69"/>
      <c r="O1863" s="69"/>
      <c r="P1863" s="78"/>
      <c r="Q1863" s="96"/>
      <c r="R1863" s="97"/>
      <c r="S1863" s="98"/>
    </row>
    <row r="1864" spans="1:19" ht="42.75">
      <c r="A1864" s="90" t="s">
        <v>51</v>
      </c>
      <c r="B1864" s="91" t="s">
        <v>389</v>
      </c>
      <c r="C1864" s="91" t="s">
        <v>3541</v>
      </c>
      <c r="D1864" s="90">
        <v>10133</v>
      </c>
      <c r="E1864" s="90">
        <v>10996</v>
      </c>
      <c r="F1864" s="90" t="s">
        <v>1434</v>
      </c>
      <c r="G1864" s="90">
        <v>2024</v>
      </c>
      <c r="H1864" s="101">
        <v>45447</v>
      </c>
      <c r="I1864" s="101">
        <v>45459</v>
      </c>
      <c r="J1864" s="94" t="s">
        <v>3542</v>
      </c>
      <c r="K1864" s="100">
        <v>45463</v>
      </c>
      <c r="L1864" s="69" t="s">
        <v>3543</v>
      </c>
      <c r="M1864" s="69"/>
      <c r="N1864" s="69"/>
      <c r="O1864" s="69" t="s">
        <v>1436</v>
      </c>
      <c r="P1864" s="78"/>
      <c r="Q1864" s="70">
        <v>45463</v>
      </c>
      <c r="R1864" s="97"/>
      <c r="S1864" s="98"/>
    </row>
    <row r="1865" spans="1:19" ht="42.75">
      <c r="A1865" s="90" t="s">
        <v>51</v>
      </c>
      <c r="B1865" s="91" t="s">
        <v>389</v>
      </c>
      <c r="C1865" s="91" t="s">
        <v>1532</v>
      </c>
      <c r="D1865" s="90">
        <v>3735</v>
      </c>
      <c r="E1865" s="90">
        <v>3955</v>
      </c>
      <c r="F1865" s="90" t="s">
        <v>1454</v>
      </c>
      <c r="G1865" s="90"/>
      <c r="H1865" s="93"/>
      <c r="I1865" s="93"/>
      <c r="J1865" s="93"/>
      <c r="K1865" s="95"/>
      <c r="L1865" s="69"/>
      <c r="M1865" s="69"/>
      <c r="N1865" s="69"/>
      <c r="O1865" s="69"/>
      <c r="P1865" s="78"/>
      <c r="Q1865" s="96"/>
      <c r="R1865" s="97"/>
      <c r="S1865" s="98"/>
    </row>
    <row r="1866" spans="1:19" ht="42.75">
      <c r="A1866" s="90" t="s">
        <v>51</v>
      </c>
      <c r="B1866" s="91" t="s">
        <v>389</v>
      </c>
      <c r="C1866" s="91" t="s">
        <v>3544</v>
      </c>
      <c r="D1866" s="90">
        <v>3214</v>
      </c>
      <c r="E1866" s="90">
        <v>3411</v>
      </c>
      <c r="F1866" s="90" t="s">
        <v>1434</v>
      </c>
      <c r="G1866" s="90">
        <v>2024</v>
      </c>
      <c r="H1866" s="101">
        <v>45485</v>
      </c>
      <c r="I1866" s="101">
        <v>45490</v>
      </c>
      <c r="J1866" s="94" t="s">
        <v>3545</v>
      </c>
      <c r="K1866" s="100">
        <v>45491</v>
      </c>
      <c r="L1866" s="69" t="s">
        <v>80</v>
      </c>
      <c r="M1866" s="69" t="s">
        <v>4</v>
      </c>
      <c r="N1866" s="69" t="s">
        <v>101</v>
      </c>
      <c r="O1866" s="69" t="s">
        <v>1436</v>
      </c>
      <c r="P1866" s="78"/>
      <c r="Q1866" s="96">
        <v>45492</v>
      </c>
      <c r="R1866" s="97"/>
      <c r="S1866" s="98"/>
    </row>
    <row r="1867" spans="1:19" ht="42.75">
      <c r="A1867" s="90" t="s">
        <v>51</v>
      </c>
      <c r="B1867" s="91" t="s">
        <v>389</v>
      </c>
      <c r="C1867" s="91" t="s">
        <v>3546</v>
      </c>
      <c r="D1867" s="90">
        <v>1913</v>
      </c>
      <c r="E1867" s="90">
        <v>2026</v>
      </c>
      <c r="F1867" s="90" t="s">
        <v>1454</v>
      </c>
      <c r="G1867" s="90"/>
      <c r="H1867" s="93"/>
      <c r="I1867" s="93"/>
      <c r="J1867" s="93"/>
      <c r="K1867" s="95"/>
      <c r="L1867" s="69"/>
      <c r="M1867" s="69"/>
      <c r="N1867" s="69"/>
      <c r="O1867" s="69"/>
      <c r="P1867" s="78"/>
      <c r="Q1867" s="96"/>
      <c r="R1867" s="97"/>
      <c r="S1867" s="98"/>
    </row>
    <row r="1868" spans="1:19" ht="42.75">
      <c r="A1868" s="90" t="s">
        <v>51</v>
      </c>
      <c r="B1868" s="91" t="s">
        <v>389</v>
      </c>
      <c r="C1868" s="91" t="s">
        <v>3547</v>
      </c>
      <c r="D1868" s="90">
        <v>5330</v>
      </c>
      <c r="E1868" s="90">
        <v>5362</v>
      </c>
      <c r="F1868" s="90" t="s">
        <v>1454</v>
      </c>
      <c r="G1868" s="90"/>
      <c r="H1868" s="93"/>
      <c r="I1868" s="93"/>
      <c r="J1868" s="93"/>
      <c r="K1868" s="95"/>
      <c r="L1868" s="69"/>
      <c r="M1868" s="69"/>
      <c r="N1868" s="69"/>
      <c r="O1868" s="69"/>
      <c r="P1868" s="78"/>
      <c r="Q1868" s="96"/>
      <c r="R1868" s="97"/>
      <c r="S1868" s="98"/>
    </row>
    <row r="1869" spans="1:19" ht="42.75">
      <c r="A1869" s="90" t="s">
        <v>51</v>
      </c>
      <c r="B1869" s="91" t="s">
        <v>389</v>
      </c>
      <c r="C1869" s="91" t="s">
        <v>926</v>
      </c>
      <c r="D1869" s="90">
        <v>3167</v>
      </c>
      <c r="E1869" s="90">
        <v>2197</v>
      </c>
      <c r="F1869" s="90" t="s">
        <v>1454</v>
      </c>
      <c r="G1869" s="90"/>
      <c r="H1869" s="93"/>
      <c r="I1869" s="93"/>
      <c r="J1869" s="93"/>
      <c r="K1869" s="95"/>
      <c r="L1869" s="69"/>
      <c r="M1869" s="69"/>
      <c r="N1869" s="69"/>
      <c r="O1869" s="69"/>
      <c r="P1869" s="78"/>
      <c r="Q1869" s="96"/>
      <c r="R1869" s="97"/>
      <c r="S1869" s="98"/>
    </row>
    <row r="1870" spans="1:19" ht="42.75">
      <c r="A1870" s="90" t="s">
        <v>51</v>
      </c>
      <c r="B1870" s="91" t="s">
        <v>389</v>
      </c>
      <c r="C1870" s="91" t="s">
        <v>3548</v>
      </c>
      <c r="D1870" s="90">
        <v>3593</v>
      </c>
      <c r="E1870" s="90">
        <v>3627</v>
      </c>
      <c r="F1870" s="90" t="s">
        <v>1454</v>
      </c>
      <c r="G1870" s="90"/>
      <c r="H1870" s="93"/>
      <c r="I1870" s="93"/>
      <c r="J1870" s="93"/>
      <c r="K1870" s="95"/>
      <c r="L1870" s="69"/>
      <c r="M1870" s="69"/>
      <c r="N1870" s="69"/>
      <c r="O1870" s="69"/>
      <c r="P1870" s="78"/>
      <c r="Q1870" s="96"/>
      <c r="R1870" s="97"/>
      <c r="S1870" s="98"/>
    </row>
    <row r="1871" spans="1:19" ht="42.75">
      <c r="A1871" s="90" t="s">
        <v>51</v>
      </c>
      <c r="B1871" s="91" t="s">
        <v>389</v>
      </c>
      <c r="C1871" s="91" t="s">
        <v>3549</v>
      </c>
      <c r="D1871" s="90">
        <v>1772</v>
      </c>
      <c r="E1871" s="90">
        <v>2011</v>
      </c>
      <c r="F1871" s="90" t="s">
        <v>1454</v>
      </c>
      <c r="G1871" s="90"/>
      <c r="H1871" s="93"/>
      <c r="I1871" s="93"/>
      <c r="J1871" s="93"/>
      <c r="K1871" s="95"/>
      <c r="L1871" s="69"/>
      <c r="M1871" s="69"/>
      <c r="N1871" s="69"/>
      <c r="O1871" s="69"/>
      <c r="P1871" s="78"/>
      <c r="Q1871" s="96"/>
      <c r="R1871" s="97"/>
      <c r="S1871" s="98"/>
    </row>
    <row r="1872" spans="1:19" ht="42.75">
      <c r="A1872" s="90" t="s">
        <v>51</v>
      </c>
      <c r="B1872" s="91" t="s">
        <v>389</v>
      </c>
      <c r="C1872" s="91" t="s">
        <v>714</v>
      </c>
      <c r="D1872" s="90">
        <v>3361</v>
      </c>
      <c r="E1872" s="90">
        <v>3351</v>
      </c>
      <c r="F1872" s="90" t="s">
        <v>1454</v>
      </c>
      <c r="G1872" s="90"/>
      <c r="H1872" s="93"/>
      <c r="I1872" s="93"/>
      <c r="J1872" s="93"/>
      <c r="K1872" s="95"/>
      <c r="L1872" s="69"/>
      <c r="M1872" s="69"/>
      <c r="N1872" s="69"/>
      <c r="O1872" s="69"/>
      <c r="P1872" s="78"/>
      <c r="Q1872" s="96"/>
      <c r="R1872" s="97"/>
      <c r="S1872" s="98"/>
    </row>
    <row r="1873" spans="1:19" ht="42.75">
      <c r="A1873" s="90" t="s">
        <v>51</v>
      </c>
      <c r="B1873" s="91" t="s">
        <v>389</v>
      </c>
      <c r="C1873" s="91" t="s">
        <v>3550</v>
      </c>
      <c r="D1873" s="90">
        <v>5004</v>
      </c>
      <c r="E1873" s="90">
        <v>5388</v>
      </c>
      <c r="F1873" s="90" t="s">
        <v>1454</v>
      </c>
      <c r="G1873" s="90"/>
      <c r="H1873" s="93"/>
      <c r="I1873" s="93"/>
      <c r="J1873" s="93"/>
      <c r="K1873" s="95"/>
      <c r="L1873" s="69"/>
      <c r="M1873" s="69"/>
      <c r="N1873" s="69"/>
      <c r="O1873" s="69"/>
      <c r="P1873" s="78"/>
      <c r="Q1873" s="96"/>
      <c r="R1873" s="97"/>
      <c r="S1873" s="98"/>
    </row>
    <row r="1874" spans="1:19" ht="42.75">
      <c r="A1874" s="90" t="s">
        <v>51</v>
      </c>
      <c r="B1874" s="91" t="s">
        <v>389</v>
      </c>
      <c r="C1874" s="91" t="s">
        <v>3551</v>
      </c>
      <c r="D1874" s="90">
        <v>9065</v>
      </c>
      <c r="E1874" s="90">
        <v>10476</v>
      </c>
      <c r="F1874" s="90" t="s">
        <v>1434</v>
      </c>
      <c r="G1874" s="90">
        <v>2024</v>
      </c>
      <c r="H1874" s="101">
        <v>45447</v>
      </c>
      <c r="I1874" s="101">
        <v>45459</v>
      </c>
      <c r="J1874" s="94" t="s">
        <v>3552</v>
      </c>
      <c r="K1874" s="100">
        <v>45463</v>
      </c>
      <c r="L1874" s="69" t="s">
        <v>3543</v>
      </c>
      <c r="M1874" s="69"/>
      <c r="N1874" s="69"/>
      <c r="O1874" s="69" t="s">
        <v>1436</v>
      </c>
      <c r="P1874" s="78"/>
      <c r="Q1874" s="96">
        <v>45463</v>
      </c>
      <c r="R1874" s="97"/>
      <c r="S1874" s="98"/>
    </row>
    <row r="1875" spans="1:19" ht="42.75">
      <c r="A1875" s="90" t="s">
        <v>51</v>
      </c>
      <c r="B1875" s="91" t="s">
        <v>389</v>
      </c>
      <c r="C1875" s="91" t="s">
        <v>2456</v>
      </c>
      <c r="D1875" s="90">
        <v>6382</v>
      </c>
      <c r="E1875" s="90">
        <v>6611</v>
      </c>
      <c r="F1875" s="90" t="s">
        <v>1454</v>
      </c>
      <c r="G1875" s="90"/>
      <c r="H1875" s="93"/>
      <c r="I1875" s="93"/>
      <c r="J1875" s="93"/>
      <c r="K1875" s="95"/>
      <c r="L1875" s="69"/>
      <c r="M1875" s="69"/>
      <c r="N1875" s="69"/>
      <c r="O1875" s="69"/>
      <c r="P1875" s="78"/>
      <c r="Q1875" s="96"/>
      <c r="R1875" s="97"/>
      <c r="S1875" s="98"/>
    </row>
    <row r="1876" spans="1:19" ht="42.75">
      <c r="A1876" s="90" t="s">
        <v>51</v>
      </c>
      <c r="B1876" s="91" t="s">
        <v>389</v>
      </c>
      <c r="C1876" s="91" t="s">
        <v>717</v>
      </c>
      <c r="D1876" s="90">
        <v>8227</v>
      </c>
      <c r="E1876" s="90">
        <v>8832</v>
      </c>
      <c r="F1876" s="90" t="s">
        <v>1454</v>
      </c>
      <c r="G1876" s="90"/>
      <c r="H1876" s="93"/>
      <c r="I1876" s="93"/>
      <c r="J1876" s="93"/>
      <c r="K1876" s="95"/>
      <c r="L1876" s="69"/>
      <c r="M1876" s="69"/>
      <c r="N1876" s="69"/>
      <c r="O1876" s="69"/>
      <c r="P1876" s="78"/>
      <c r="Q1876" s="96"/>
      <c r="R1876" s="97"/>
      <c r="S1876" s="98"/>
    </row>
    <row r="1877" spans="1:19" ht="42.75">
      <c r="A1877" s="90" t="s">
        <v>51</v>
      </c>
      <c r="B1877" s="91" t="s">
        <v>389</v>
      </c>
      <c r="C1877" s="91" t="s">
        <v>3553</v>
      </c>
      <c r="D1877" s="90">
        <v>5389</v>
      </c>
      <c r="E1877" s="90">
        <v>6389</v>
      </c>
      <c r="F1877" s="90" t="s">
        <v>1454</v>
      </c>
      <c r="G1877" s="90"/>
      <c r="H1877" s="93"/>
      <c r="I1877" s="93"/>
      <c r="J1877" s="93"/>
      <c r="K1877" s="95"/>
      <c r="L1877" s="69"/>
      <c r="M1877" s="69"/>
      <c r="N1877" s="69"/>
      <c r="O1877" s="69"/>
      <c r="P1877" s="78"/>
      <c r="Q1877" s="96"/>
      <c r="R1877" s="97"/>
      <c r="S1877" s="98"/>
    </row>
    <row r="1878" spans="1:19" ht="42.75">
      <c r="A1878" s="90" t="s">
        <v>51</v>
      </c>
      <c r="B1878" s="91" t="s">
        <v>389</v>
      </c>
      <c r="C1878" s="91" t="s">
        <v>2475</v>
      </c>
      <c r="D1878" s="90">
        <v>3763</v>
      </c>
      <c r="E1878" s="90">
        <v>4344</v>
      </c>
      <c r="F1878" s="90" t="s">
        <v>1454</v>
      </c>
      <c r="G1878" s="90"/>
      <c r="H1878" s="93"/>
      <c r="I1878" s="93"/>
      <c r="J1878" s="93"/>
      <c r="K1878" s="95"/>
      <c r="L1878" s="69"/>
      <c r="M1878" s="69"/>
      <c r="N1878" s="69"/>
      <c r="O1878" s="69"/>
      <c r="P1878" s="78"/>
      <c r="Q1878" s="96"/>
      <c r="R1878" s="97"/>
      <c r="S1878" s="98"/>
    </row>
    <row r="1879" spans="1:19" ht="42.75">
      <c r="A1879" s="90" t="s">
        <v>51</v>
      </c>
      <c r="B1879" s="91" t="s">
        <v>389</v>
      </c>
      <c r="C1879" s="91" t="s">
        <v>3554</v>
      </c>
      <c r="D1879" s="90">
        <v>3554</v>
      </c>
      <c r="E1879" s="90">
        <v>3820</v>
      </c>
      <c r="F1879" s="90" t="s">
        <v>1454</v>
      </c>
      <c r="G1879" s="90"/>
      <c r="H1879" s="93"/>
      <c r="I1879" s="93"/>
      <c r="J1879" s="93"/>
      <c r="K1879" s="95"/>
      <c r="L1879" s="69"/>
      <c r="M1879" s="69"/>
      <c r="N1879" s="69"/>
      <c r="O1879" s="69"/>
      <c r="P1879" s="78"/>
      <c r="Q1879" s="96"/>
      <c r="R1879" s="97"/>
      <c r="S1879" s="98"/>
    </row>
    <row r="1880" spans="1:19" ht="42.75">
      <c r="A1880" s="90" t="s">
        <v>51</v>
      </c>
      <c r="B1880" s="91" t="s">
        <v>389</v>
      </c>
      <c r="C1880" s="91" t="s">
        <v>3555</v>
      </c>
      <c r="D1880" s="90">
        <v>2725</v>
      </c>
      <c r="E1880" s="90">
        <v>3171</v>
      </c>
      <c r="F1880" s="90" t="s">
        <v>1454</v>
      </c>
      <c r="G1880" s="90"/>
      <c r="H1880" s="93"/>
      <c r="I1880" s="93"/>
      <c r="J1880" s="93"/>
      <c r="K1880" s="95"/>
      <c r="L1880" s="69"/>
      <c r="M1880" s="69"/>
      <c r="N1880" s="69"/>
      <c r="O1880" s="69"/>
      <c r="P1880" s="78"/>
      <c r="Q1880" s="96"/>
      <c r="R1880" s="97"/>
      <c r="S1880" s="98"/>
    </row>
    <row r="1881" spans="1:19" ht="42.75">
      <c r="A1881" s="90" t="s">
        <v>51</v>
      </c>
      <c r="B1881" s="91" t="s">
        <v>389</v>
      </c>
      <c r="C1881" s="91" t="s">
        <v>1453</v>
      </c>
      <c r="D1881" s="90">
        <v>3291</v>
      </c>
      <c r="E1881" s="90">
        <v>3445</v>
      </c>
      <c r="F1881" s="90" t="s">
        <v>1454</v>
      </c>
      <c r="G1881" s="90"/>
      <c r="H1881" s="93"/>
      <c r="I1881" s="93"/>
      <c r="J1881" s="93"/>
      <c r="K1881" s="95"/>
      <c r="L1881" s="69"/>
      <c r="M1881" s="69"/>
      <c r="N1881" s="69"/>
      <c r="O1881" s="69"/>
      <c r="P1881" s="78"/>
      <c r="Q1881" s="96"/>
      <c r="R1881" s="97"/>
      <c r="S1881" s="98"/>
    </row>
    <row r="1882" spans="1:19" ht="42.75">
      <c r="A1882" s="90" t="s">
        <v>51</v>
      </c>
      <c r="B1882" s="91" t="s">
        <v>389</v>
      </c>
      <c r="C1882" s="91" t="s">
        <v>3556</v>
      </c>
      <c r="D1882" s="90">
        <v>5570</v>
      </c>
      <c r="E1882" s="90">
        <v>7749</v>
      </c>
      <c r="F1882" s="90" t="s">
        <v>1454</v>
      </c>
      <c r="G1882" s="90"/>
      <c r="H1882" s="93"/>
      <c r="I1882" s="93"/>
      <c r="J1882" s="93"/>
      <c r="K1882" s="95"/>
      <c r="L1882" s="69"/>
      <c r="M1882" s="69"/>
      <c r="N1882" s="69"/>
      <c r="O1882" s="69"/>
      <c r="P1882" s="78"/>
      <c r="Q1882" s="96"/>
      <c r="R1882" s="97"/>
      <c r="S1882" s="98"/>
    </row>
    <row r="1883" spans="1:19" ht="42.75">
      <c r="A1883" s="90" t="s">
        <v>51</v>
      </c>
      <c r="B1883" s="91" t="s">
        <v>389</v>
      </c>
      <c r="C1883" s="91" t="s">
        <v>3557</v>
      </c>
      <c r="D1883" s="90">
        <v>5423</v>
      </c>
      <c r="E1883" s="90">
        <v>5755</v>
      </c>
      <c r="F1883" s="90" t="s">
        <v>1454</v>
      </c>
      <c r="G1883" s="90"/>
      <c r="H1883" s="93"/>
      <c r="I1883" s="93"/>
      <c r="J1883" s="93"/>
      <c r="K1883" s="95"/>
      <c r="L1883" s="69"/>
      <c r="M1883" s="69"/>
      <c r="N1883" s="69"/>
      <c r="O1883" s="69"/>
      <c r="P1883" s="78"/>
      <c r="Q1883" s="96"/>
      <c r="R1883" s="97"/>
      <c r="S1883" s="98"/>
    </row>
    <row r="1884" spans="1:19" ht="42.75">
      <c r="A1884" s="90" t="s">
        <v>51</v>
      </c>
      <c r="B1884" s="91" t="s">
        <v>414</v>
      </c>
      <c r="C1884" s="91" t="s">
        <v>3558</v>
      </c>
      <c r="D1884" s="90">
        <v>239</v>
      </c>
      <c r="E1884" s="90">
        <v>554</v>
      </c>
      <c r="F1884" s="90" t="s">
        <v>1434</v>
      </c>
      <c r="G1884" s="90">
        <v>2024</v>
      </c>
      <c r="H1884" s="101">
        <v>45608</v>
      </c>
      <c r="I1884" s="101">
        <v>45614</v>
      </c>
      <c r="J1884" s="176" t="s">
        <v>3559</v>
      </c>
      <c r="K1884" s="100">
        <v>45616</v>
      </c>
      <c r="L1884" s="69" t="s">
        <v>84</v>
      </c>
      <c r="M1884" s="69" t="s">
        <v>4</v>
      </c>
      <c r="N1884" s="69" t="s">
        <v>101</v>
      </c>
      <c r="O1884" s="69" t="s">
        <v>1436</v>
      </c>
      <c r="P1884" s="78"/>
      <c r="Q1884" s="96">
        <v>45617</v>
      </c>
      <c r="R1884" s="97" t="s">
        <v>929</v>
      </c>
      <c r="S1884" s="98"/>
    </row>
    <row r="1885" spans="1:19" ht="42.75">
      <c r="A1885" s="90" t="s">
        <v>51</v>
      </c>
      <c r="B1885" s="91" t="s">
        <v>414</v>
      </c>
      <c r="C1885" s="91" t="s">
        <v>3560</v>
      </c>
      <c r="D1885" s="90">
        <v>4466</v>
      </c>
      <c r="E1885" s="90">
        <v>6126</v>
      </c>
      <c r="F1885" s="90" t="s">
        <v>1434</v>
      </c>
      <c r="G1885" s="90">
        <v>2024</v>
      </c>
      <c r="H1885" s="101">
        <v>45541</v>
      </c>
      <c r="I1885" s="101">
        <v>45543</v>
      </c>
      <c r="J1885" s="94" t="s">
        <v>3561</v>
      </c>
      <c r="K1885" s="100">
        <v>45552</v>
      </c>
      <c r="L1885" s="69" t="s">
        <v>82</v>
      </c>
      <c r="M1885" s="69" t="s">
        <v>4</v>
      </c>
      <c r="N1885" s="69" t="s">
        <v>101</v>
      </c>
      <c r="O1885" s="69" t="s">
        <v>1436</v>
      </c>
      <c r="P1885" s="78"/>
      <c r="Q1885" s="96">
        <v>45552</v>
      </c>
      <c r="R1885" s="97" t="s">
        <v>929</v>
      </c>
      <c r="S1885" s="98"/>
    </row>
    <row r="1886" spans="1:19" ht="42.75">
      <c r="A1886" s="90" t="s">
        <v>51</v>
      </c>
      <c r="B1886" s="91" t="s">
        <v>414</v>
      </c>
      <c r="C1886" s="91" t="s">
        <v>3562</v>
      </c>
      <c r="D1886" s="90">
        <v>615</v>
      </c>
      <c r="E1886" s="90">
        <v>509</v>
      </c>
      <c r="F1886" s="90" t="s">
        <v>1454</v>
      </c>
      <c r="G1886" s="90"/>
      <c r="H1886" s="93"/>
      <c r="I1886" s="93"/>
      <c r="J1886" s="93"/>
      <c r="K1886" s="95"/>
      <c r="L1886" s="69"/>
      <c r="M1886" s="69"/>
      <c r="N1886" s="69"/>
      <c r="O1886" s="69"/>
      <c r="P1886" s="78"/>
      <c r="Q1886" s="96"/>
      <c r="R1886" s="97"/>
      <c r="S1886" s="98"/>
    </row>
    <row r="1887" spans="1:19" ht="42.75">
      <c r="A1887" s="90" t="s">
        <v>51</v>
      </c>
      <c r="B1887" s="91" t="s">
        <v>414</v>
      </c>
      <c r="C1887" s="91" t="s">
        <v>3563</v>
      </c>
      <c r="D1887" s="90">
        <v>3486</v>
      </c>
      <c r="E1887" s="90">
        <v>3510</v>
      </c>
      <c r="F1887" s="90" t="s">
        <v>1434</v>
      </c>
      <c r="G1887" s="90">
        <v>2024</v>
      </c>
      <c r="H1887" s="101">
        <v>45541</v>
      </c>
      <c r="I1887" s="101">
        <v>45543</v>
      </c>
      <c r="J1887" s="94" t="s">
        <v>3564</v>
      </c>
      <c r="K1887" s="100">
        <v>45552</v>
      </c>
      <c r="L1887" s="69" t="s">
        <v>82</v>
      </c>
      <c r="M1887" s="69" t="s">
        <v>4</v>
      </c>
      <c r="N1887" s="69" t="s">
        <v>101</v>
      </c>
      <c r="O1887" s="69" t="s">
        <v>1436</v>
      </c>
      <c r="P1887" s="78"/>
      <c r="Q1887" s="96">
        <v>45552</v>
      </c>
      <c r="R1887" s="97" t="s">
        <v>929</v>
      </c>
      <c r="S1887" s="98"/>
    </row>
    <row r="1888" spans="1:19" ht="42.75">
      <c r="A1888" s="90" t="s">
        <v>51</v>
      </c>
      <c r="B1888" s="91" t="s">
        <v>414</v>
      </c>
      <c r="C1888" s="91" t="s">
        <v>3565</v>
      </c>
      <c r="D1888" s="90">
        <v>12048</v>
      </c>
      <c r="E1888" s="90">
        <v>12701</v>
      </c>
      <c r="F1888" s="90" t="s">
        <v>1454</v>
      </c>
      <c r="G1888" s="90"/>
      <c r="H1888" s="93"/>
      <c r="I1888" s="93"/>
      <c r="J1888" s="93"/>
      <c r="K1888" s="95"/>
      <c r="L1888" s="69"/>
      <c r="M1888" s="69"/>
      <c r="N1888" s="69"/>
      <c r="O1888" s="69"/>
      <c r="P1888" s="78"/>
      <c r="Q1888" s="96"/>
      <c r="R1888" s="97"/>
      <c r="S1888" s="98"/>
    </row>
    <row r="1889" spans="1:19" ht="42.75">
      <c r="A1889" s="90" t="s">
        <v>51</v>
      </c>
      <c r="B1889" s="91" t="s">
        <v>414</v>
      </c>
      <c r="C1889" s="91" t="s">
        <v>250</v>
      </c>
      <c r="D1889" s="90">
        <v>160</v>
      </c>
      <c r="E1889" s="90">
        <v>223</v>
      </c>
      <c r="F1889" s="90" t="s">
        <v>1434</v>
      </c>
      <c r="G1889" s="90">
        <v>2024</v>
      </c>
      <c r="H1889" s="101">
        <v>45608</v>
      </c>
      <c r="I1889" s="101">
        <v>45614</v>
      </c>
      <c r="J1889" s="94" t="s">
        <v>3566</v>
      </c>
      <c r="K1889" s="100">
        <v>45616</v>
      </c>
      <c r="L1889" s="69" t="s">
        <v>84</v>
      </c>
      <c r="M1889" s="69" t="s">
        <v>4</v>
      </c>
      <c r="N1889" s="69" t="s">
        <v>101</v>
      </c>
      <c r="O1889" s="69" t="s">
        <v>1436</v>
      </c>
      <c r="P1889" s="78"/>
      <c r="Q1889" s="96">
        <v>45617</v>
      </c>
      <c r="R1889" s="97" t="s">
        <v>929</v>
      </c>
      <c r="S1889" s="98"/>
    </row>
    <row r="1890" spans="1:19" ht="42.75">
      <c r="A1890" s="90" t="s">
        <v>51</v>
      </c>
      <c r="B1890" s="91" t="s">
        <v>414</v>
      </c>
      <c r="C1890" s="91" t="s">
        <v>3386</v>
      </c>
      <c r="D1890" s="90">
        <v>544</v>
      </c>
      <c r="E1890" s="90">
        <v>724</v>
      </c>
      <c r="F1890" s="90" t="s">
        <v>1434</v>
      </c>
      <c r="G1890" s="90">
        <v>2024</v>
      </c>
      <c r="H1890" s="101">
        <v>45541</v>
      </c>
      <c r="I1890" s="101">
        <v>45543</v>
      </c>
      <c r="J1890" s="94" t="s">
        <v>3567</v>
      </c>
      <c r="K1890" s="100">
        <v>45552</v>
      </c>
      <c r="L1890" s="69" t="s">
        <v>82</v>
      </c>
      <c r="M1890" s="69" t="s">
        <v>4</v>
      </c>
      <c r="N1890" s="69" t="s">
        <v>101</v>
      </c>
      <c r="O1890" s="69" t="s">
        <v>1436</v>
      </c>
      <c r="P1890" s="78"/>
      <c r="Q1890" s="96">
        <v>45553</v>
      </c>
      <c r="R1890" s="97" t="s">
        <v>929</v>
      </c>
      <c r="S1890" s="98"/>
    </row>
    <row r="1891" spans="1:19" ht="42.75">
      <c r="A1891" s="90" t="s">
        <v>51</v>
      </c>
      <c r="B1891" s="91" t="s">
        <v>414</v>
      </c>
      <c r="C1891" s="91" t="s">
        <v>3568</v>
      </c>
      <c r="D1891" s="90">
        <v>210</v>
      </c>
      <c r="E1891" s="90">
        <v>358</v>
      </c>
      <c r="F1891" s="90" t="s">
        <v>1434</v>
      </c>
      <c r="G1891" s="90">
        <v>2024</v>
      </c>
      <c r="H1891" s="101">
        <v>45541</v>
      </c>
      <c r="I1891" s="101">
        <v>45543</v>
      </c>
      <c r="J1891" s="94" t="s">
        <v>3569</v>
      </c>
      <c r="K1891" s="100">
        <v>45552</v>
      </c>
      <c r="L1891" s="69" t="s">
        <v>82</v>
      </c>
      <c r="M1891" s="69" t="s">
        <v>672</v>
      </c>
      <c r="N1891" s="69" t="s">
        <v>101</v>
      </c>
      <c r="O1891" s="69" t="s">
        <v>1436</v>
      </c>
      <c r="P1891" s="78"/>
      <c r="Q1891" s="96">
        <v>45553</v>
      </c>
      <c r="R1891" s="97" t="s">
        <v>929</v>
      </c>
      <c r="S1891" s="98"/>
    </row>
    <row r="1892" spans="1:19" ht="42.75">
      <c r="A1892" s="90" t="s">
        <v>51</v>
      </c>
      <c r="B1892" s="91" t="s">
        <v>414</v>
      </c>
      <c r="C1892" s="91" t="s">
        <v>3570</v>
      </c>
      <c r="D1892" s="90">
        <v>780</v>
      </c>
      <c r="E1892" s="90">
        <v>1001</v>
      </c>
      <c r="F1892" s="90" t="s">
        <v>1434</v>
      </c>
      <c r="G1892" s="90">
        <v>2024</v>
      </c>
      <c r="H1892" s="101">
        <v>45608</v>
      </c>
      <c r="I1892" s="101">
        <v>45614</v>
      </c>
      <c r="J1892" s="94" t="s">
        <v>3571</v>
      </c>
      <c r="K1892" s="100">
        <v>45616</v>
      </c>
      <c r="L1892" s="69" t="s">
        <v>84</v>
      </c>
      <c r="M1892" s="69" t="s">
        <v>4</v>
      </c>
      <c r="N1892" s="69" t="s">
        <v>101</v>
      </c>
      <c r="O1892" s="69" t="s">
        <v>1436</v>
      </c>
      <c r="P1892" s="78"/>
      <c r="Q1892" s="96">
        <v>45617</v>
      </c>
      <c r="R1892" s="97" t="s">
        <v>929</v>
      </c>
      <c r="S1892" s="98"/>
    </row>
    <row r="1893" spans="1:19" ht="42.75">
      <c r="A1893" s="90" t="s">
        <v>51</v>
      </c>
      <c r="B1893" s="91" t="s">
        <v>414</v>
      </c>
      <c r="C1893" s="91" t="s">
        <v>3572</v>
      </c>
      <c r="D1893" s="90">
        <v>2156</v>
      </c>
      <c r="E1893" s="90">
        <v>2461</v>
      </c>
      <c r="F1893" s="90" t="s">
        <v>1434</v>
      </c>
      <c r="G1893" s="90">
        <v>2024</v>
      </c>
      <c r="H1893" s="101">
        <v>45541</v>
      </c>
      <c r="I1893" s="101">
        <v>45543</v>
      </c>
      <c r="J1893" s="94" t="s">
        <v>3573</v>
      </c>
      <c r="K1893" s="100">
        <v>45552</v>
      </c>
      <c r="L1893" s="69" t="s">
        <v>82</v>
      </c>
      <c r="M1893" s="69" t="s">
        <v>4</v>
      </c>
      <c r="N1893" s="69" t="s">
        <v>101</v>
      </c>
      <c r="O1893" s="69" t="s">
        <v>1436</v>
      </c>
      <c r="P1893" s="78"/>
      <c r="Q1893" s="96">
        <v>45553</v>
      </c>
      <c r="R1893" s="97" t="s">
        <v>929</v>
      </c>
      <c r="S1893" s="98"/>
    </row>
    <row r="1894" spans="1:19" ht="42.75">
      <c r="A1894" s="90" t="s">
        <v>51</v>
      </c>
      <c r="B1894" s="91" t="s">
        <v>414</v>
      </c>
      <c r="C1894" s="91" t="s">
        <v>3574</v>
      </c>
      <c r="D1894" s="90">
        <v>1203</v>
      </c>
      <c r="E1894" s="90">
        <v>1438</v>
      </c>
      <c r="F1894" s="90" t="s">
        <v>1434</v>
      </c>
      <c r="G1894" s="90">
        <v>2024</v>
      </c>
      <c r="H1894" s="101">
        <v>45482</v>
      </c>
      <c r="I1894" s="101">
        <v>45490</v>
      </c>
      <c r="J1894" s="94" t="s">
        <v>3575</v>
      </c>
      <c r="K1894" s="100">
        <v>45491</v>
      </c>
      <c r="L1894" s="69" t="s">
        <v>80</v>
      </c>
      <c r="M1894" s="69" t="s">
        <v>4</v>
      </c>
      <c r="N1894" s="69" t="s">
        <v>101</v>
      </c>
      <c r="O1894" s="69" t="s">
        <v>1436</v>
      </c>
      <c r="P1894" s="78"/>
      <c r="Q1894" s="96">
        <v>45493</v>
      </c>
      <c r="R1894" s="97"/>
      <c r="S1894" s="98"/>
    </row>
    <row r="1895" spans="1:19" ht="42.75">
      <c r="A1895" s="90" t="s">
        <v>51</v>
      </c>
      <c r="B1895" s="91" t="s">
        <v>414</v>
      </c>
      <c r="C1895" s="91" t="s">
        <v>3576</v>
      </c>
      <c r="D1895" s="90">
        <v>191</v>
      </c>
      <c r="E1895" s="90">
        <v>75</v>
      </c>
      <c r="F1895" s="90" t="s">
        <v>1454</v>
      </c>
      <c r="G1895" s="90"/>
      <c r="H1895" s="93"/>
      <c r="I1895" s="93"/>
      <c r="J1895" s="93"/>
      <c r="K1895" s="95"/>
      <c r="L1895" s="69"/>
      <c r="M1895" s="69"/>
      <c r="N1895" s="69"/>
      <c r="O1895" s="69"/>
      <c r="P1895" s="78"/>
      <c r="Q1895" s="96"/>
      <c r="R1895" s="97"/>
      <c r="S1895" s="98"/>
    </row>
    <row r="1896" spans="1:19" ht="42.75">
      <c r="A1896" s="90" t="s">
        <v>51</v>
      </c>
      <c r="B1896" s="91" t="s">
        <v>414</v>
      </c>
      <c r="C1896" s="91" t="s">
        <v>3577</v>
      </c>
      <c r="D1896" s="90">
        <v>656</v>
      </c>
      <c r="E1896" s="90">
        <v>967</v>
      </c>
      <c r="F1896" s="90" t="s">
        <v>1454</v>
      </c>
      <c r="G1896" s="90"/>
      <c r="H1896" s="93"/>
      <c r="I1896" s="93"/>
      <c r="J1896" s="93"/>
      <c r="K1896" s="95"/>
      <c r="L1896" s="69"/>
      <c r="M1896" s="69"/>
      <c r="N1896" s="69"/>
      <c r="O1896" s="69"/>
      <c r="P1896" s="78"/>
      <c r="Q1896" s="96"/>
      <c r="R1896" s="97"/>
      <c r="S1896" s="98"/>
    </row>
    <row r="1897" spans="1:19" ht="42.75">
      <c r="A1897" s="90" t="s">
        <v>51</v>
      </c>
      <c r="B1897" s="91" t="s">
        <v>414</v>
      </c>
      <c r="C1897" s="91" t="s">
        <v>3578</v>
      </c>
      <c r="D1897" s="90">
        <v>350</v>
      </c>
      <c r="E1897" s="90">
        <v>804</v>
      </c>
      <c r="F1897" s="90" t="s">
        <v>1434</v>
      </c>
      <c r="G1897" s="90">
        <v>2024</v>
      </c>
      <c r="H1897" s="101">
        <v>45545</v>
      </c>
      <c r="I1897" s="101">
        <v>45549</v>
      </c>
      <c r="J1897" s="94" t="s">
        <v>3579</v>
      </c>
      <c r="K1897" s="100">
        <v>45552</v>
      </c>
      <c r="L1897" s="69" t="s">
        <v>82</v>
      </c>
      <c r="M1897" s="69" t="s">
        <v>4</v>
      </c>
      <c r="N1897" s="69" t="s">
        <v>101</v>
      </c>
      <c r="O1897" s="69" t="s">
        <v>1436</v>
      </c>
      <c r="P1897" s="78"/>
      <c r="Q1897" s="96">
        <v>45553</v>
      </c>
      <c r="R1897" s="97" t="s">
        <v>929</v>
      </c>
      <c r="S1897" s="98"/>
    </row>
    <row r="1898" spans="1:19" ht="42.75">
      <c r="A1898" s="90" t="s">
        <v>51</v>
      </c>
      <c r="B1898" s="91" t="s">
        <v>414</v>
      </c>
      <c r="C1898" s="91" t="s">
        <v>714</v>
      </c>
      <c r="D1898" s="90">
        <v>747</v>
      </c>
      <c r="E1898" s="90">
        <v>1231</v>
      </c>
      <c r="F1898" s="90" t="s">
        <v>1454</v>
      </c>
      <c r="G1898" s="90"/>
      <c r="H1898" s="93"/>
      <c r="I1898" s="93"/>
      <c r="J1898" s="93"/>
      <c r="K1898" s="95"/>
      <c r="L1898" s="69"/>
      <c r="M1898" s="69"/>
      <c r="N1898" s="69"/>
      <c r="O1898" s="69"/>
      <c r="P1898" s="78"/>
      <c r="Q1898" s="96"/>
      <c r="R1898" s="97"/>
      <c r="S1898" s="98"/>
    </row>
    <row r="1899" spans="1:19" ht="42.75">
      <c r="A1899" s="90" t="s">
        <v>51</v>
      </c>
      <c r="B1899" s="91" t="s">
        <v>414</v>
      </c>
      <c r="C1899" s="91" t="s">
        <v>520</v>
      </c>
      <c r="D1899" s="90">
        <v>5703</v>
      </c>
      <c r="E1899" s="90">
        <v>6865</v>
      </c>
      <c r="F1899" s="90" t="s">
        <v>1434</v>
      </c>
      <c r="G1899" s="90">
        <v>2024</v>
      </c>
      <c r="H1899" s="101">
        <v>45546</v>
      </c>
      <c r="I1899" s="101">
        <v>45549</v>
      </c>
      <c r="J1899" s="94" t="s">
        <v>3580</v>
      </c>
      <c r="K1899" s="100">
        <v>45552</v>
      </c>
      <c r="L1899" s="69" t="s">
        <v>82</v>
      </c>
      <c r="M1899" s="69" t="s">
        <v>4</v>
      </c>
      <c r="N1899" s="69" t="s">
        <v>101</v>
      </c>
      <c r="O1899" s="69" t="s">
        <v>1436</v>
      </c>
      <c r="P1899" s="78"/>
      <c r="Q1899" s="96">
        <v>45553</v>
      </c>
      <c r="R1899" s="97" t="s">
        <v>929</v>
      </c>
      <c r="S1899" s="98"/>
    </row>
    <row r="1900" spans="1:19" ht="42.75">
      <c r="A1900" s="90" t="s">
        <v>51</v>
      </c>
      <c r="B1900" s="91" t="s">
        <v>414</v>
      </c>
      <c r="C1900" s="91" t="s">
        <v>653</v>
      </c>
      <c r="D1900" s="90">
        <v>2643</v>
      </c>
      <c r="E1900" s="90">
        <v>2905</v>
      </c>
      <c r="F1900" s="90" t="s">
        <v>1454</v>
      </c>
      <c r="G1900" s="90"/>
      <c r="H1900" s="93"/>
      <c r="I1900" s="93"/>
      <c r="J1900" s="122"/>
      <c r="K1900" s="95"/>
      <c r="L1900" s="69"/>
      <c r="M1900" s="69"/>
      <c r="N1900" s="69"/>
      <c r="O1900" s="69"/>
      <c r="P1900" s="78"/>
      <c r="Q1900" s="96"/>
      <c r="R1900" s="97"/>
      <c r="S1900" s="98"/>
    </row>
    <row r="1901" spans="1:19" ht="42.75">
      <c r="A1901" s="90" t="s">
        <v>51</v>
      </c>
      <c r="B1901" s="91" t="s">
        <v>414</v>
      </c>
      <c r="C1901" s="91" t="s">
        <v>2235</v>
      </c>
      <c r="D1901" s="90">
        <v>1061</v>
      </c>
      <c r="E1901" s="90">
        <v>1514</v>
      </c>
      <c r="F1901" s="90" t="s">
        <v>1454</v>
      </c>
      <c r="G1901" s="90"/>
      <c r="H1901" s="93"/>
      <c r="I1901" s="162"/>
      <c r="J1901" s="95"/>
      <c r="K1901" s="163"/>
      <c r="L1901" s="69"/>
      <c r="M1901" s="69"/>
      <c r="N1901" s="69"/>
      <c r="O1901" s="69"/>
      <c r="P1901" s="78"/>
      <c r="Q1901" s="96"/>
      <c r="R1901" s="97"/>
      <c r="S1901" s="98"/>
    </row>
    <row r="1902" spans="1:19" ht="42.75">
      <c r="A1902" s="90" t="s">
        <v>51</v>
      </c>
      <c r="B1902" s="91" t="s">
        <v>414</v>
      </c>
      <c r="C1902" s="91" t="s">
        <v>2282</v>
      </c>
      <c r="D1902" s="90">
        <v>1112</v>
      </c>
      <c r="E1902" s="90">
        <v>1400</v>
      </c>
      <c r="F1902" s="90" t="s">
        <v>1454</v>
      </c>
      <c r="G1902" s="90"/>
      <c r="H1902" s="93"/>
      <c r="I1902" s="93"/>
      <c r="J1902" s="93"/>
      <c r="K1902" s="95"/>
      <c r="L1902" s="69"/>
      <c r="M1902" s="69"/>
      <c r="N1902" s="69"/>
      <c r="O1902" s="69"/>
      <c r="P1902" s="78"/>
      <c r="Q1902" s="96"/>
      <c r="R1902" s="97"/>
      <c r="S1902" s="98"/>
    </row>
    <row r="1903" spans="1:19" ht="42.75">
      <c r="A1903" s="90" t="s">
        <v>51</v>
      </c>
      <c r="B1903" s="91" t="s">
        <v>414</v>
      </c>
      <c r="C1903" s="91" t="s">
        <v>1077</v>
      </c>
      <c r="D1903" s="90">
        <v>135</v>
      </c>
      <c r="E1903" s="90">
        <v>168</v>
      </c>
      <c r="F1903" s="90" t="s">
        <v>1434</v>
      </c>
      <c r="G1903" s="90">
        <v>2024</v>
      </c>
      <c r="H1903" s="101">
        <v>45608</v>
      </c>
      <c r="I1903" s="101">
        <v>45614</v>
      </c>
      <c r="J1903" s="94" t="s">
        <v>3581</v>
      </c>
      <c r="K1903" s="100">
        <v>45616</v>
      </c>
      <c r="L1903" s="69" t="s">
        <v>84</v>
      </c>
      <c r="M1903" s="69" t="s">
        <v>4</v>
      </c>
      <c r="N1903" s="69" t="s">
        <v>101</v>
      </c>
      <c r="O1903" s="69" t="s">
        <v>1436</v>
      </c>
      <c r="P1903" s="78"/>
      <c r="Q1903" s="96">
        <v>45617</v>
      </c>
      <c r="R1903" s="97" t="s">
        <v>929</v>
      </c>
      <c r="S1903" s="98"/>
    </row>
    <row r="1904" spans="1:19" ht="42.75">
      <c r="A1904" s="90" t="s">
        <v>51</v>
      </c>
      <c r="B1904" s="91" t="s">
        <v>414</v>
      </c>
      <c r="C1904" s="91" t="s">
        <v>3582</v>
      </c>
      <c r="D1904" s="90">
        <v>955</v>
      </c>
      <c r="E1904" s="90">
        <v>2532</v>
      </c>
      <c r="F1904" s="90" t="s">
        <v>1434</v>
      </c>
      <c r="G1904" s="90">
        <v>2024</v>
      </c>
      <c r="H1904" s="101">
        <v>45608</v>
      </c>
      <c r="I1904" s="101">
        <v>45614</v>
      </c>
      <c r="J1904" s="94" t="s">
        <v>3583</v>
      </c>
      <c r="K1904" s="100">
        <v>45616</v>
      </c>
      <c r="L1904" s="69" t="s">
        <v>84</v>
      </c>
      <c r="M1904" s="69" t="s">
        <v>4</v>
      </c>
      <c r="N1904" s="69" t="s">
        <v>101</v>
      </c>
      <c r="O1904" s="69" t="s">
        <v>1436</v>
      </c>
      <c r="P1904" s="78"/>
      <c r="Q1904" s="96">
        <v>45618</v>
      </c>
      <c r="R1904" s="97" t="s">
        <v>929</v>
      </c>
      <c r="S1904" s="98"/>
    </row>
    <row r="1905" spans="1:19" ht="42.75">
      <c r="A1905" s="90" t="s">
        <v>51</v>
      </c>
      <c r="B1905" s="91" t="s">
        <v>352</v>
      </c>
      <c r="C1905" s="91" t="s">
        <v>2419</v>
      </c>
      <c r="D1905" s="90">
        <v>11179</v>
      </c>
      <c r="E1905" s="90">
        <v>12159</v>
      </c>
      <c r="F1905" s="90" t="s">
        <v>1454</v>
      </c>
      <c r="G1905" s="90"/>
      <c r="H1905" s="93"/>
      <c r="I1905" s="93"/>
      <c r="J1905" s="93"/>
      <c r="K1905" s="95"/>
      <c r="L1905" s="69"/>
      <c r="M1905" s="69"/>
      <c r="N1905" s="69"/>
      <c r="O1905" s="69"/>
      <c r="P1905" s="78"/>
      <c r="Q1905" s="96"/>
      <c r="R1905" s="97"/>
      <c r="S1905" s="98"/>
    </row>
    <row r="1906" spans="1:19" ht="42.75">
      <c r="A1906" s="90" t="s">
        <v>51</v>
      </c>
      <c r="B1906" s="91" t="s">
        <v>352</v>
      </c>
      <c r="C1906" s="91" t="s">
        <v>2252</v>
      </c>
      <c r="D1906" s="90">
        <v>3084</v>
      </c>
      <c r="E1906" s="90">
        <v>3151</v>
      </c>
      <c r="F1906" s="90" t="s">
        <v>1434</v>
      </c>
      <c r="G1906" s="90">
        <v>2024</v>
      </c>
      <c r="H1906" s="101">
        <v>45610</v>
      </c>
      <c r="I1906" s="101">
        <v>45610</v>
      </c>
      <c r="J1906" s="103" t="s">
        <v>3584</v>
      </c>
      <c r="K1906" s="100">
        <v>45616</v>
      </c>
      <c r="L1906" s="69" t="s">
        <v>84</v>
      </c>
      <c r="M1906" s="69" t="s">
        <v>4</v>
      </c>
      <c r="N1906" s="69" t="s">
        <v>108</v>
      </c>
      <c r="O1906" s="69" t="s">
        <v>1436</v>
      </c>
      <c r="P1906" s="78"/>
      <c r="Q1906" s="96">
        <v>45618</v>
      </c>
      <c r="R1906" s="97" t="s">
        <v>929</v>
      </c>
      <c r="S1906" s="98"/>
    </row>
    <row r="1907" spans="1:19" ht="42.75">
      <c r="A1907" s="90" t="s">
        <v>51</v>
      </c>
      <c r="B1907" s="91" t="s">
        <v>352</v>
      </c>
      <c r="C1907" s="91" t="s">
        <v>2220</v>
      </c>
      <c r="D1907" s="90">
        <v>1895</v>
      </c>
      <c r="E1907" s="90">
        <v>2148</v>
      </c>
      <c r="F1907" s="90" t="s">
        <v>1454</v>
      </c>
      <c r="G1907" s="90"/>
      <c r="H1907" s="93"/>
      <c r="I1907" s="93"/>
      <c r="J1907" s="93"/>
      <c r="K1907" s="95"/>
      <c r="L1907" s="69"/>
      <c r="M1907" s="69"/>
      <c r="N1907" s="69"/>
      <c r="O1907" s="69"/>
      <c r="P1907" s="78"/>
      <c r="Q1907" s="96"/>
      <c r="R1907" s="97"/>
      <c r="S1907" s="98"/>
    </row>
    <row r="1908" spans="1:19" ht="42.75">
      <c r="A1908" s="90" t="s">
        <v>51</v>
      </c>
      <c r="B1908" s="91" t="s">
        <v>352</v>
      </c>
      <c r="C1908" s="91" t="s">
        <v>3585</v>
      </c>
      <c r="D1908" s="90">
        <v>2163</v>
      </c>
      <c r="E1908" s="90">
        <v>2743</v>
      </c>
      <c r="F1908" s="90" t="s">
        <v>1454</v>
      </c>
      <c r="G1908" s="90"/>
      <c r="H1908" s="93"/>
      <c r="I1908" s="93"/>
      <c r="J1908" s="93"/>
      <c r="K1908" s="95"/>
      <c r="L1908" s="69"/>
      <c r="M1908" s="69"/>
      <c r="N1908" s="69"/>
      <c r="O1908" s="69"/>
      <c r="P1908" s="78"/>
      <c r="Q1908" s="96"/>
      <c r="R1908" s="97"/>
      <c r="S1908" s="98"/>
    </row>
    <row r="1909" spans="1:19" ht="42.75">
      <c r="A1909" s="90" t="s">
        <v>51</v>
      </c>
      <c r="B1909" s="91" t="s">
        <v>352</v>
      </c>
      <c r="C1909" s="91" t="s">
        <v>3586</v>
      </c>
      <c r="D1909" s="90">
        <v>1797</v>
      </c>
      <c r="E1909" s="90">
        <v>1609</v>
      </c>
      <c r="F1909" s="90" t="s">
        <v>1454</v>
      </c>
      <c r="G1909" s="90"/>
      <c r="H1909" s="93"/>
      <c r="I1909" s="93"/>
      <c r="J1909" s="93"/>
      <c r="K1909" s="95"/>
      <c r="L1909" s="69"/>
      <c r="M1909" s="69"/>
      <c r="N1909" s="69"/>
      <c r="O1909" s="69"/>
      <c r="P1909" s="78"/>
      <c r="Q1909" s="96"/>
      <c r="R1909" s="97"/>
      <c r="S1909" s="98"/>
    </row>
    <row r="1910" spans="1:19" ht="42.75">
      <c r="A1910" s="90" t="s">
        <v>51</v>
      </c>
      <c r="B1910" s="91" t="s">
        <v>352</v>
      </c>
      <c r="C1910" s="91" t="s">
        <v>3587</v>
      </c>
      <c r="D1910" s="90">
        <v>1975</v>
      </c>
      <c r="E1910" s="90">
        <v>2113</v>
      </c>
      <c r="F1910" s="90" t="s">
        <v>1454</v>
      </c>
      <c r="G1910" s="90"/>
      <c r="H1910" s="93"/>
      <c r="I1910" s="93"/>
      <c r="J1910" s="93"/>
      <c r="K1910" s="95"/>
      <c r="L1910" s="69"/>
      <c r="M1910" s="69"/>
      <c r="N1910" s="69"/>
      <c r="O1910" s="69"/>
      <c r="P1910" s="78"/>
      <c r="Q1910" s="96"/>
      <c r="R1910" s="97"/>
      <c r="S1910" s="98"/>
    </row>
    <row r="1911" spans="1:19" ht="42.75">
      <c r="A1911" s="90" t="s">
        <v>51</v>
      </c>
      <c r="B1911" s="91" t="s">
        <v>352</v>
      </c>
      <c r="C1911" s="91" t="s">
        <v>3588</v>
      </c>
      <c r="D1911" s="90">
        <v>2086</v>
      </c>
      <c r="E1911" s="90">
        <v>2480</v>
      </c>
      <c r="F1911" s="90" t="s">
        <v>1454</v>
      </c>
      <c r="G1911" s="90"/>
      <c r="H1911" s="93"/>
      <c r="I1911" s="93"/>
      <c r="J1911" s="93"/>
      <c r="K1911" s="95"/>
      <c r="L1911" s="69"/>
      <c r="M1911" s="69"/>
      <c r="N1911" s="69"/>
      <c r="O1911" s="69"/>
      <c r="P1911" s="78"/>
      <c r="Q1911" s="96"/>
      <c r="R1911" s="97"/>
      <c r="S1911" s="98"/>
    </row>
    <row r="1912" spans="1:19" ht="42.75">
      <c r="A1912" s="90" t="s">
        <v>51</v>
      </c>
      <c r="B1912" s="91" t="s">
        <v>352</v>
      </c>
      <c r="C1912" s="91" t="s">
        <v>3589</v>
      </c>
      <c r="D1912" s="90">
        <v>4532</v>
      </c>
      <c r="E1912" s="90">
        <v>4790</v>
      </c>
      <c r="F1912" s="90" t="s">
        <v>1454</v>
      </c>
      <c r="G1912" s="90"/>
      <c r="H1912" s="93"/>
      <c r="I1912" s="93"/>
      <c r="J1912" s="93"/>
      <c r="K1912" s="95"/>
      <c r="L1912" s="69"/>
      <c r="M1912" s="69"/>
      <c r="N1912" s="69"/>
      <c r="O1912" s="69"/>
      <c r="P1912" s="78"/>
      <c r="Q1912" s="96"/>
      <c r="R1912" s="97"/>
      <c r="S1912" s="98"/>
    </row>
    <row r="1913" spans="1:19" ht="42.75">
      <c r="A1913" s="90" t="s">
        <v>51</v>
      </c>
      <c r="B1913" s="91" t="s">
        <v>352</v>
      </c>
      <c r="C1913" s="91" t="s">
        <v>3590</v>
      </c>
      <c r="D1913" s="90">
        <v>4408</v>
      </c>
      <c r="E1913" s="90">
        <v>4910</v>
      </c>
      <c r="F1913" s="90" t="s">
        <v>1434</v>
      </c>
      <c r="G1913" s="90">
        <v>2024</v>
      </c>
      <c r="H1913" s="101">
        <v>45390</v>
      </c>
      <c r="I1913" s="101">
        <v>45397</v>
      </c>
      <c r="J1913" s="94" t="s">
        <v>3591</v>
      </c>
      <c r="K1913" s="100">
        <v>45399</v>
      </c>
      <c r="L1913" s="69" t="s">
        <v>77</v>
      </c>
      <c r="M1913" s="69"/>
      <c r="N1913" s="69"/>
      <c r="O1913" s="69" t="s">
        <v>1436</v>
      </c>
      <c r="P1913" s="78"/>
      <c r="Q1913" s="96"/>
      <c r="R1913" s="97"/>
      <c r="S1913" s="98"/>
    </row>
    <row r="1914" spans="1:19" ht="42.75">
      <c r="A1914" s="90" t="s">
        <v>51</v>
      </c>
      <c r="B1914" s="91" t="s">
        <v>352</v>
      </c>
      <c r="C1914" s="91" t="s">
        <v>3592</v>
      </c>
      <c r="D1914" s="90">
        <v>3326</v>
      </c>
      <c r="E1914" s="90">
        <v>3352</v>
      </c>
      <c r="F1914" s="90" t="s">
        <v>1434</v>
      </c>
      <c r="G1914" s="90">
        <v>2024</v>
      </c>
      <c r="H1914" s="101">
        <v>45610</v>
      </c>
      <c r="I1914" s="101">
        <v>45610</v>
      </c>
      <c r="J1914" s="94" t="s">
        <v>3593</v>
      </c>
      <c r="K1914" s="100">
        <v>45616</v>
      </c>
      <c r="L1914" s="69" t="s">
        <v>84</v>
      </c>
      <c r="M1914" s="69" t="s">
        <v>4</v>
      </c>
      <c r="N1914" s="69" t="s">
        <v>108</v>
      </c>
      <c r="O1914" s="69" t="s">
        <v>1436</v>
      </c>
      <c r="P1914" s="78"/>
      <c r="Q1914" s="96">
        <v>45618</v>
      </c>
      <c r="R1914" s="97" t="s">
        <v>929</v>
      </c>
      <c r="S1914" s="98"/>
    </row>
    <row r="1915" spans="1:19" ht="42.75">
      <c r="A1915" s="90" t="s">
        <v>51</v>
      </c>
      <c r="B1915" s="91" t="s">
        <v>352</v>
      </c>
      <c r="C1915" s="91" t="s">
        <v>2823</v>
      </c>
      <c r="D1915" s="90">
        <v>2474</v>
      </c>
      <c r="E1915" s="90">
        <v>2809</v>
      </c>
      <c r="F1915" s="90" t="s">
        <v>1454</v>
      </c>
      <c r="G1915" s="90"/>
      <c r="H1915" s="93"/>
      <c r="I1915" s="93"/>
      <c r="J1915" s="93"/>
      <c r="K1915" s="95"/>
      <c r="L1915" s="69"/>
      <c r="M1915" s="69"/>
      <c r="N1915" s="69"/>
      <c r="O1915" s="69"/>
      <c r="P1915" s="78"/>
      <c r="Q1915" s="96"/>
      <c r="R1915" s="97"/>
      <c r="S1915" s="98"/>
    </row>
    <row r="1916" spans="1:19" ht="42.75">
      <c r="A1916" s="90" t="s">
        <v>51</v>
      </c>
      <c r="B1916" s="91" t="s">
        <v>352</v>
      </c>
      <c r="C1916" s="91" t="s">
        <v>3594</v>
      </c>
      <c r="D1916" s="90">
        <v>2166</v>
      </c>
      <c r="E1916" s="90">
        <v>2414</v>
      </c>
      <c r="F1916" s="90" t="s">
        <v>1454</v>
      </c>
      <c r="G1916" s="90"/>
      <c r="H1916" s="93"/>
      <c r="I1916" s="93"/>
      <c r="J1916" s="93"/>
      <c r="K1916" s="95"/>
      <c r="L1916" s="69"/>
      <c r="M1916" s="69"/>
      <c r="N1916" s="69"/>
      <c r="O1916" s="69"/>
      <c r="P1916" s="78"/>
      <c r="Q1916" s="96"/>
      <c r="R1916" s="97"/>
      <c r="S1916" s="98"/>
    </row>
    <row r="1917" spans="1:19" ht="42.75">
      <c r="A1917" s="90" t="s">
        <v>51</v>
      </c>
      <c r="B1917" s="91" t="s">
        <v>352</v>
      </c>
      <c r="C1917" s="91" t="s">
        <v>1078</v>
      </c>
      <c r="D1917" s="90">
        <v>4891</v>
      </c>
      <c r="E1917" s="90">
        <v>4837</v>
      </c>
      <c r="F1917" s="90" t="s">
        <v>1434</v>
      </c>
      <c r="G1917" s="90">
        <v>2024</v>
      </c>
      <c r="H1917" s="101">
        <v>45610</v>
      </c>
      <c r="I1917" s="101">
        <v>45610</v>
      </c>
      <c r="J1917" s="94" t="s">
        <v>3595</v>
      </c>
      <c r="K1917" s="100">
        <v>45616</v>
      </c>
      <c r="L1917" s="69" t="s">
        <v>84</v>
      </c>
      <c r="M1917" s="69" t="s">
        <v>4</v>
      </c>
      <c r="N1917" s="69" t="s">
        <v>101</v>
      </c>
      <c r="O1917" s="69" t="s">
        <v>1436</v>
      </c>
      <c r="P1917" s="78"/>
      <c r="Q1917" s="96">
        <v>45618</v>
      </c>
      <c r="R1917" s="97" t="s">
        <v>929</v>
      </c>
      <c r="S1917" s="98"/>
    </row>
    <row r="1918" spans="1:19" ht="42.75">
      <c r="A1918" s="90" t="s">
        <v>51</v>
      </c>
      <c r="B1918" s="91" t="s">
        <v>352</v>
      </c>
      <c r="C1918" s="91" t="s">
        <v>3596</v>
      </c>
      <c r="D1918" s="90">
        <v>5136</v>
      </c>
      <c r="E1918" s="90">
        <v>5462</v>
      </c>
      <c r="F1918" s="90" t="s">
        <v>1454</v>
      </c>
      <c r="G1918" s="90"/>
      <c r="H1918" s="93"/>
      <c r="I1918" s="93"/>
      <c r="J1918" s="93"/>
      <c r="K1918" s="95"/>
      <c r="L1918" s="69"/>
      <c r="M1918" s="69"/>
      <c r="N1918" s="69"/>
      <c r="O1918" s="69"/>
      <c r="P1918" s="78"/>
      <c r="Q1918" s="96"/>
      <c r="R1918" s="97"/>
      <c r="S1918" s="98"/>
    </row>
    <row r="1919" spans="1:19" ht="42.75">
      <c r="A1919" s="90" t="s">
        <v>51</v>
      </c>
      <c r="B1919" s="91" t="s">
        <v>352</v>
      </c>
      <c r="C1919" s="91" t="s">
        <v>3301</v>
      </c>
      <c r="D1919" s="90">
        <v>3322</v>
      </c>
      <c r="E1919" s="90">
        <v>4037</v>
      </c>
      <c r="F1919" s="90" t="s">
        <v>1454</v>
      </c>
      <c r="G1919" s="90"/>
      <c r="H1919" s="93"/>
      <c r="I1919" s="93"/>
      <c r="J1919" s="93"/>
      <c r="K1919" s="95"/>
      <c r="L1919" s="69"/>
      <c r="M1919" s="69"/>
      <c r="N1919" s="69"/>
      <c r="O1919" s="69"/>
      <c r="P1919" s="78"/>
      <c r="Q1919" s="96"/>
      <c r="R1919" s="97"/>
      <c r="S1919" s="98"/>
    </row>
    <row r="1920" spans="1:19" ht="42.75">
      <c r="A1920" s="90" t="s">
        <v>51</v>
      </c>
      <c r="B1920" s="91" t="s">
        <v>352</v>
      </c>
      <c r="C1920" s="91" t="s">
        <v>3597</v>
      </c>
      <c r="D1920" s="90">
        <v>4836</v>
      </c>
      <c r="E1920" s="90">
        <v>5395</v>
      </c>
      <c r="F1920" s="90" t="s">
        <v>1454</v>
      </c>
      <c r="G1920" s="90"/>
      <c r="H1920" s="93"/>
      <c r="I1920" s="93"/>
      <c r="J1920" s="93"/>
      <c r="K1920" s="95"/>
      <c r="L1920" s="69"/>
      <c r="M1920" s="69"/>
      <c r="N1920" s="69"/>
      <c r="O1920" s="69"/>
      <c r="P1920" s="78"/>
      <c r="Q1920" s="96"/>
      <c r="R1920" s="97"/>
      <c r="S1920" s="98"/>
    </row>
    <row r="1921" spans="1:19" ht="42.75">
      <c r="A1921" s="90" t="s">
        <v>51</v>
      </c>
      <c r="B1921" s="91" t="s">
        <v>352</v>
      </c>
      <c r="C1921" s="91" t="s">
        <v>3524</v>
      </c>
      <c r="D1921" s="90">
        <v>1553</v>
      </c>
      <c r="E1921" s="90">
        <v>1631</v>
      </c>
      <c r="F1921" s="90" t="s">
        <v>1454</v>
      </c>
      <c r="G1921" s="90"/>
      <c r="H1921" s="93"/>
      <c r="I1921" s="93"/>
      <c r="J1921" s="93"/>
      <c r="K1921" s="95"/>
      <c r="L1921" s="69"/>
      <c r="M1921" s="69"/>
      <c r="N1921" s="69"/>
      <c r="O1921" s="69"/>
      <c r="P1921" s="78"/>
      <c r="Q1921" s="96"/>
      <c r="R1921" s="97"/>
      <c r="S1921" s="98"/>
    </row>
    <row r="1922" spans="1:19" ht="42.75">
      <c r="A1922" s="90" t="s">
        <v>51</v>
      </c>
      <c r="B1922" s="91" t="s">
        <v>352</v>
      </c>
      <c r="C1922" s="91" t="s">
        <v>3598</v>
      </c>
      <c r="D1922" s="90">
        <v>1587</v>
      </c>
      <c r="E1922" s="90">
        <v>1679</v>
      </c>
      <c r="F1922" s="90" t="s">
        <v>1454</v>
      </c>
      <c r="G1922" s="90"/>
      <c r="H1922" s="93"/>
      <c r="I1922" s="93"/>
      <c r="J1922" s="93"/>
      <c r="K1922" s="95"/>
      <c r="L1922" s="69"/>
      <c r="M1922" s="69"/>
      <c r="N1922" s="69"/>
      <c r="O1922" s="69"/>
      <c r="P1922" s="78"/>
      <c r="Q1922" s="96"/>
      <c r="R1922" s="97"/>
      <c r="S1922" s="98"/>
    </row>
    <row r="1923" spans="1:19" ht="42.75">
      <c r="A1923" s="90" t="s">
        <v>51</v>
      </c>
      <c r="B1923" s="91" t="s">
        <v>352</v>
      </c>
      <c r="C1923" s="91" t="s">
        <v>1374</v>
      </c>
      <c r="D1923" s="90">
        <v>3295</v>
      </c>
      <c r="E1923" s="90">
        <v>3815</v>
      </c>
      <c r="F1923" s="90" t="s">
        <v>1454</v>
      </c>
      <c r="G1923" s="90"/>
      <c r="H1923" s="93"/>
      <c r="I1923" s="93"/>
      <c r="J1923" s="93"/>
      <c r="K1923" s="95"/>
      <c r="L1923" s="69"/>
      <c r="M1923" s="69"/>
      <c r="N1923" s="69"/>
      <c r="O1923" s="69"/>
      <c r="P1923" s="78"/>
      <c r="Q1923" s="96"/>
      <c r="R1923" s="97"/>
      <c r="S1923" s="98"/>
    </row>
    <row r="1924" spans="1:19" ht="42.75">
      <c r="A1924" s="90" t="s">
        <v>51</v>
      </c>
      <c r="B1924" s="91" t="s">
        <v>352</v>
      </c>
      <c r="C1924" s="91" t="s">
        <v>3599</v>
      </c>
      <c r="D1924" s="90">
        <v>5374</v>
      </c>
      <c r="E1924" s="90">
        <v>5318</v>
      </c>
      <c r="F1924" s="90" t="s">
        <v>1454</v>
      </c>
      <c r="G1924" s="90"/>
      <c r="H1924" s="93"/>
      <c r="I1924" s="93"/>
      <c r="J1924" s="93"/>
      <c r="K1924" s="95"/>
      <c r="L1924" s="69"/>
      <c r="M1924" s="69"/>
      <c r="N1924" s="69"/>
      <c r="O1924" s="69"/>
      <c r="P1924" s="78"/>
      <c r="Q1924" s="96"/>
      <c r="R1924" s="97"/>
      <c r="S1924" s="98"/>
    </row>
    <row r="1925" spans="1:19" ht="42.75">
      <c r="A1925" s="90" t="s">
        <v>51</v>
      </c>
      <c r="B1925" s="91" t="s">
        <v>352</v>
      </c>
      <c r="C1925" s="91" t="s">
        <v>3600</v>
      </c>
      <c r="D1925" s="90">
        <v>5383</v>
      </c>
      <c r="E1925" s="90">
        <v>5591</v>
      </c>
      <c r="F1925" s="90" t="s">
        <v>1454</v>
      </c>
      <c r="G1925" s="90"/>
      <c r="H1925" s="93"/>
      <c r="I1925" s="93"/>
      <c r="J1925" s="93"/>
      <c r="K1925" s="95"/>
      <c r="L1925" s="69"/>
      <c r="M1925" s="69"/>
      <c r="N1925" s="69"/>
      <c r="O1925" s="69"/>
      <c r="P1925" s="78"/>
      <c r="Q1925" s="96"/>
      <c r="R1925" s="97"/>
      <c r="S1925" s="98"/>
    </row>
    <row r="1926" spans="1:19" ht="42.75">
      <c r="A1926" s="90" t="s">
        <v>51</v>
      </c>
      <c r="B1926" s="91" t="s">
        <v>352</v>
      </c>
      <c r="C1926" s="91" t="s">
        <v>3601</v>
      </c>
      <c r="D1926" s="90">
        <v>1753</v>
      </c>
      <c r="E1926" s="90">
        <v>1872</v>
      </c>
      <c r="F1926" s="90" t="s">
        <v>1434</v>
      </c>
      <c r="G1926" s="90">
        <v>2024</v>
      </c>
      <c r="H1926" s="101">
        <v>45610</v>
      </c>
      <c r="I1926" s="101">
        <v>45610</v>
      </c>
      <c r="J1926" s="94" t="s">
        <v>3602</v>
      </c>
      <c r="K1926" s="100">
        <v>45616</v>
      </c>
      <c r="L1926" s="69" t="s">
        <v>84</v>
      </c>
      <c r="M1926" s="69" t="s">
        <v>4</v>
      </c>
      <c r="N1926" s="69" t="s">
        <v>108</v>
      </c>
      <c r="O1926" s="69" t="s">
        <v>1436</v>
      </c>
      <c r="P1926" s="78"/>
      <c r="Q1926" s="96">
        <v>45617</v>
      </c>
      <c r="R1926" s="97" t="s">
        <v>929</v>
      </c>
      <c r="S1926" s="98"/>
    </row>
    <row r="1927" spans="1:19" ht="42.75">
      <c r="A1927" s="90" t="s">
        <v>51</v>
      </c>
      <c r="B1927" s="91" t="s">
        <v>352</v>
      </c>
      <c r="C1927" s="91" t="s">
        <v>2213</v>
      </c>
      <c r="D1927" s="90">
        <v>2009</v>
      </c>
      <c r="E1927" s="90">
        <v>2134</v>
      </c>
      <c r="F1927" s="90" t="s">
        <v>1454</v>
      </c>
      <c r="G1927" s="90"/>
      <c r="H1927" s="93"/>
      <c r="I1927" s="93"/>
      <c r="J1927" s="93"/>
      <c r="K1927" s="95"/>
      <c r="L1927" s="69"/>
      <c r="M1927" s="69"/>
      <c r="N1927" s="69"/>
      <c r="O1927" s="69"/>
      <c r="P1927" s="78"/>
      <c r="Q1927" s="96"/>
      <c r="R1927" s="97"/>
      <c r="S1927" s="98"/>
    </row>
    <row r="1928" spans="1:19" ht="42.75">
      <c r="A1928" s="90" t="s">
        <v>51</v>
      </c>
      <c r="B1928" s="91" t="s">
        <v>352</v>
      </c>
      <c r="C1928" s="91" t="s">
        <v>3603</v>
      </c>
      <c r="D1928" s="90">
        <v>3471</v>
      </c>
      <c r="E1928" s="90">
        <v>3864</v>
      </c>
      <c r="F1928" s="90" t="s">
        <v>1454</v>
      </c>
      <c r="G1928" s="90"/>
      <c r="H1928" s="93"/>
      <c r="I1928" s="93"/>
      <c r="J1928" s="93"/>
      <c r="K1928" s="95"/>
      <c r="L1928" s="69"/>
      <c r="M1928" s="69"/>
      <c r="N1928" s="69"/>
      <c r="O1928" s="69"/>
      <c r="P1928" s="78"/>
      <c r="Q1928" s="96"/>
      <c r="R1928" s="97"/>
      <c r="S1928" s="98"/>
    </row>
    <row r="1929" spans="1:19" ht="42.75">
      <c r="A1929" s="90" t="s">
        <v>51</v>
      </c>
      <c r="B1929" s="91" t="s">
        <v>352</v>
      </c>
      <c r="C1929" s="91" t="s">
        <v>2691</v>
      </c>
      <c r="D1929" s="90">
        <v>5579</v>
      </c>
      <c r="E1929" s="90">
        <v>5019</v>
      </c>
      <c r="F1929" s="90" t="s">
        <v>1454</v>
      </c>
      <c r="G1929" s="90"/>
      <c r="H1929" s="93"/>
      <c r="I1929" s="93"/>
      <c r="J1929" s="93"/>
      <c r="K1929" s="95"/>
      <c r="L1929" s="69"/>
      <c r="M1929" s="69"/>
      <c r="N1929" s="69"/>
      <c r="O1929" s="69"/>
      <c r="P1929" s="78"/>
      <c r="Q1929" s="96"/>
      <c r="R1929" s="97"/>
      <c r="S1929" s="98"/>
    </row>
    <row r="1930" spans="1:19" ht="42.75">
      <c r="A1930" s="90" t="s">
        <v>51</v>
      </c>
      <c r="B1930" s="91" t="s">
        <v>352</v>
      </c>
      <c r="C1930" s="91" t="s">
        <v>3604</v>
      </c>
      <c r="D1930" s="90">
        <v>5068</v>
      </c>
      <c r="E1930" s="90">
        <v>5293</v>
      </c>
      <c r="F1930" s="90" t="s">
        <v>1434</v>
      </c>
      <c r="G1930" s="90">
        <v>2024</v>
      </c>
      <c r="H1930" s="101">
        <v>45610</v>
      </c>
      <c r="I1930" s="101">
        <v>45610</v>
      </c>
      <c r="J1930" s="94" t="s">
        <v>3605</v>
      </c>
      <c r="K1930" s="100">
        <v>45616</v>
      </c>
      <c r="L1930" s="69" t="s">
        <v>84</v>
      </c>
      <c r="M1930" s="69" t="s">
        <v>4</v>
      </c>
      <c r="N1930" s="69" t="s">
        <v>101</v>
      </c>
      <c r="O1930" s="69" t="s">
        <v>1436</v>
      </c>
      <c r="P1930" s="78"/>
      <c r="Q1930" s="96">
        <v>45617</v>
      </c>
      <c r="R1930" s="97" t="s">
        <v>929</v>
      </c>
      <c r="S1930" s="98"/>
    </row>
    <row r="1931" spans="1:19" ht="42.75">
      <c r="A1931" s="90" t="s">
        <v>51</v>
      </c>
      <c r="B1931" s="91" t="s">
        <v>352</v>
      </c>
      <c r="C1931" s="91" t="s">
        <v>2347</v>
      </c>
      <c r="D1931" s="90">
        <v>1157</v>
      </c>
      <c r="E1931" s="90">
        <v>1338</v>
      </c>
      <c r="F1931" s="90" t="s">
        <v>1454</v>
      </c>
      <c r="G1931" s="90"/>
      <c r="H1931" s="93"/>
      <c r="I1931" s="93"/>
      <c r="J1931" s="93"/>
      <c r="K1931" s="95"/>
      <c r="L1931" s="69"/>
      <c r="M1931" s="69"/>
      <c r="N1931" s="69"/>
      <c r="O1931" s="69"/>
      <c r="P1931" s="78"/>
      <c r="Q1931" s="96"/>
      <c r="R1931" s="97"/>
      <c r="S1931" s="98"/>
    </row>
    <row r="1932" spans="1:19" ht="42.75">
      <c r="A1932" s="90" t="s">
        <v>51</v>
      </c>
      <c r="B1932" s="91" t="s">
        <v>352</v>
      </c>
      <c r="C1932" s="91" t="s">
        <v>3606</v>
      </c>
      <c r="D1932" s="90">
        <v>2510</v>
      </c>
      <c r="E1932" s="90">
        <v>2570</v>
      </c>
      <c r="F1932" s="90" t="s">
        <v>1454</v>
      </c>
      <c r="G1932" s="90"/>
      <c r="H1932" s="93"/>
      <c r="I1932" s="93"/>
      <c r="J1932" s="93"/>
      <c r="K1932" s="95"/>
      <c r="L1932" s="69"/>
      <c r="M1932" s="69"/>
      <c r="N1932" s="69"/>
      <c r="O1932" s="69"/>
      <c r="P1932" s="78"/>
      <c r="Q1932" s="96"/>
      <c r="R1932" s="97"/>
      <c r="S1932" s="98"/>
    </row>
    <row r="1933" spans="1:19" ht="42.75">
      <c r="A1933" s="90" t="s">
        <v>51</v>
      </c>
      <c r="B1933" s="91" t="s">
        <v>352</v>
      </c>
      <c r="C1933" s="91" t="s">
        <v>3607</v>
      </c>
      <c r="D1933" s="90">
        <v>3107</v>
      </c>
      <c r="E1933" s="90">
        <v>3713</v>
      </c>
      <c r="F1933" s="90" t="s">
        <v>1454</v>
      </c>
      <c r="G1933" s="90"/>
      <c r="H1933" s="93"/>
      <c r="I1933" s="93"/>
      <c r="J1933" s="93"/>
      <c r="K1933" s="95"/>
      <c r="L1933" s="69"/>
      <c r="M1933" s="69"/>
      <c r="N1933" s="69"/>
      <c r="O1933" s="69"/>
      <c r="P1933" s="78"/>
      <c r="Q1933" s="96"/>
      <c r="R1933" s="97"/>
      <c r="S1933" s="98"/>
    </row>
    <row r="1934" spans="1:19" ht="42.75">
      <c r="A1934" s="90" t="s">
        <v>51</v>
      </c>
      <c r="B1934" s="91" t="s">
        <v>352</v>
      </c>
      <c r="C1934" s="91" t="s">
        <v>1793</v>
      </c>
      <c r="D1934" s="90">
        <v>2848</v>
      </c>
      <c r="E1934" s="90">
        <v>3266</v>
      </c>
      <c r="F1934" s="90" t="s">
        <v>1454</v>
      </c>
      <c r="G1934" s="90"/>
      <c r="H1934" s="93"/>
      <c r="I1934" s="93"/>
      <c r="J1934" s="93"/>
      <c r="K1934" s="95"/>
      <c r="L1934" s="69"/>
      <c r="M1934" s="69"/>
      <c r="N1934" s="69"/>
      <c r="O1934" s="69"/>
      <c r="P1934" s="78"/>
      <c r="Q1934" s="96"/>
      <c r="R1934" s="97"/>
      <c r="S1934" s="98"/>
    </row>
    <row r="1935" spans="1:19" ht="42.75">
      <c r="A1935" s="90" t="s">
        <v>51</v>
      </c>
      <c r="B1935" s="91" t="s">
        <v>352</v>
      </c>
      <c r="C1935" s="91" t="s">
        <v>3608</v>
      </c>
      <c r="D1935" s="90">
        <v>2565</v>
      </c>
      <c r="E1935" s="90">
        <v>2824</v>
      </c>
      <c r="F1935" s="90" t="s">
        <v>1454</v>
      </c>
      <c r="G1935" s="90"/>
      <c r="H1935" s="93"/>
      <c r="I1935" s="93"/>
      <c r="J1935" s="93"/>
      <c r="K1935" s="95"/>
      <c r="L1935" s="69"/>
      <c r="M1935" s="69"/>
      <c r="N1935" s="69"/>
      <c r="O1935" s="69"/>
      <c r="P1935" s="78"/>
      <c r="Q1935" s="96"/>
      <c r="R1935" s="97"/>
      <c r="S1935" s="98"/>
    </row>
    <row r="1936" spans="1:19" ht="42.75">
      <c r="A1936" s="90" t="s">
        <v>51</v>
      </c>
      <c r="B1936" s="91" t="s">
        <v>352</v>
      </c>
      <c r="C1936" s="91" t="s">
        <v>3609</v>
      </c>
      <c r="D1936" s="90">
        <v>2309</v>
      </c>
      <c r="E1936" s="90">
        <v>2461</v>
      </c>
      <c r="F1936" s="90" t="s">
        <v>1454</v>
      </c>
      <c r="G1936" s="90"/>
      <c r="H1936" s="93"/>
      <c r="I1936" s="93"/>
      <c r="J1936" s="93"/>
      <c r="K1936" s="95"/>
      <c r="L1936" s="69"/>
      <c r="M1936" s="69"/>
      <c r="N1936" s="69"/>
      <c r="O1936" s="69"/>
      <c r="P1936" s="78"/>
      <c r="Q1936" s="96"/>
      <c r="R1936" s="97"/>
      <c r="S1936" s="98"/>
    </row>
    <row r="1937" spans="1:19" ht="42.75">
      <c r="A1937" s="90" t="s">
        <v>51</v>
      </c>
      <c r="B1937" s="91" t="s">
        <v>352</v>
      </c>
      <c r="C1937" s="91" t="s">
        <v>3610</v>
      </c>
      <c r="D1937" s="90">
        <v>2748</v>
      </c>
      <c r="E1937" s="90">
        <v>2700</v>
      </c>
      <c r="F1937" s="90" t="s">
        <v>1454</v>
      </c>
      <c r="G1937" s="90"/>
      <c r="H1937" s="93"/>
      <c r="I1937" s="93"/>
      <c r="J1937" s="93"/>
      <c r="K1937" s="95"/>
      <c r="L1937" s="69"/>
      <c r="M1937" s="69"/>
      <c r="N1937" s="69"/>
      <c r="O1937" s="69"/>
      <c r="P1937" s="78"/>
      <c r="Q1937" s="96"/>
      <c r="R1937" s="97"/>
      <c r="S1937" s="98"/>
    </row>
    <row r="1938" spans="1:19" ht="42.75">
      <c r="A1938" s="90" t="s">
        <v>51</v>
      </c>
      <c r="B1938" s="91" t="s">
        <v>448</v>
      </c>
      <c r="C1938" s="91" t="s">
        <v>3611</v>
      </c>
      <c r="D1938" s="90">
        <v>2954</v>
      </c>
      <c r="E1938" s="90">
        <v>3252</v>
      </c>
      <c r="F1938" s="90" t="s">
        <v>1454</v>
      </c>
      <c r="G1938" s="90"/>
      <c r="H1938" s="93"/>
      <c r="I1938" s="93"/>
      <c r="J1938" s="93"/>
      <c r="K1938" s="95"/>
      <c r="L1938" s="69"/>
      <c r="M1938" s="69"/>
      <c r="N1938" s="69"/>
      <c r="O1938" s="69"/>
      <c r="P1938" s="78"/>
      <c r="Q1938" s="96"/>
      <c r="R1938" s="97"/>
      <c r="S1938" s="98"/>
    </row>
    <row r="1939" spans="1:19" ht="42.75">
      <c r="A1939" s="90" t="s">
        <v>51</v>
      </c>
      <c r="B1939" s="91" t="s">
        <v>448</v>
      </c>
      <c r="C1939" s="91" t="s">
        <v>351</v>
      </c>
      <c r="D1939" s="90">
        <v>9068</v>
      </c>
      <c r="E1939" s="90">
        <v>9298</v>
      </c>
      <c r="F1939" s="90" t="s">
        <v>1434</v>
      </c>
      <c r="G1939" s="90">
        <v>2024</v>
      </c>
      <c r="H1939" s="101">
        <v>45428</v>
      </c>
      <c r="I1939" s="101">
        <v>45428</v>
      </c>
      <c r="J1939" s="94" t="s">
        <v>3612</v>
      </c>
      <c r="K1939" s="100">
        <v>45429</v>
      </c>
      <c r="L1939" s="69" t="s">
        <v>78</v>
      </c>
      <c r="M1939" s="69"/>
      <c r="N1939" s="69"/>
      <c r="O1939" s="69" t="s">
        <v>1436</v>
      </c>
      <c r="P1939" s="78"/>
      <c r="Q1939" s="96">
        <v>45429</v>
      </c>
      <c r="R1939" s="97"/>
      <c r="S1939" s="98"/>
    </row>
    <row r="1940" spans="1:19" ht="42.75">
      <c r="A1940" s="90" t="s">
        <v>51</v>
      </c>
      <c r="B1940" s="91" t="s">
        <v>448</v>
      </c>
      <c r="C1940" s="91" t="s">
        <v>3613</v>
      </c>
      <c r="D1940" s="90">
        <v>2840</v>
      </c>
      <c r="E1940" s="90">
        <v>2504</v>
      </c>
      <c r="F1940" s="90" t="s">
        <v>1454</v>
      </c>
      <c r="G1940" s="90"/>
      <c r="H1940" s="93"/>
      <c r="I1940" s="93"/>
      <c r="J1940" s="93"/>
      <c r="K1940" s="95"/>
      <c r="L1940" s="69"/>
      <c r="M1940" s="69"/>
      <c r="N1940" s="69"/>
      <c r="O1940" s="69"/>
      <c r="P1940" s="78"/>
      <c r="Q1940" s="96"/>
      <c r="R1940" s="97"/>
      <c r="S1940" s="98"/>
    </row>
    <row r="1941" spans="1:19" ht="42.75">
      <c r="A1941" s="90" t="s">
        <v>51</v>
      </c>
      <c r="B1941" s="91" t="s">
        <v>448</v>
      </c>
      <c r="C1941" s="91" t="s">
        <v>3614</v>
      </c>
      <c r="D1941" s="90">
        <v>1655</v>
      </c>
      <c r="E1941" s="90">
        <v>1877</v>
      </c>
      <c r="F1941" s="90" t="s">
        <v>1434</v>
      </c>
      <c r="G1941" s="90">
        <v>2024</v>
      </c>
      <c r="H1941" s="101">
        <v>45428</v>
      </c>
      <c r="I1941" s="101">
        <v>45428</v>
      </c>
      <c r="J1941" s="94" t="s">
        <v>3615</v>
      </c>
      <c r="K1941" s="100">
        <v>45429</v>
      </c>
      <c r="L1941" s="69" t="s">
        <v>78</v>
      </c>
      <c r="M1941" s="69"/>
      <c r="N1941" s="69"/>
      <c r="O1941" s="69" t="s">
        <v>1436</v>
      </c>
      <c r="P1941" s="78"/>
      <c r="Q1941" s="96">
        <v>45429</v>
      </c>
      <c r="R1941" s="97"/>
      <c r="S1941" s="98"/>
    </row>
    <row r="1942" spans="1:19" ht="42.75">
      <c r="A1942" s="90" t="s">
        <v>51</v>
      </c>
      <c r="B1942" s="91" t="s">
        <v>448</v>
      </c>
      <c r="C1942" s="91" t="s">
        <v>3616</v>
      </c>
      <c r="D1942" s="90">
        <v>3812</v>
      </c>
      <c r="E1942" s="90">
        <v>3663</v>
      </c>
      <c r="F1942" s="90" t="s">
        <v>1434</v>
      </c>
      <c r="G1942" s="90">
        <v>2024</v>
      </c>
      <c r="H1942" s="101">
        <v>45428</v>
      </c>
      <c r="I1942" s="101">
        <v>45428</v>
      </c>
      <c r="J1942" s="176" t="s">
        <v>3617</v>
      </c>
      <c r="K1942" s="100">
        <v>45429</v>
      </c>
      <c r="L1942" s="69" t="s">
        <v>78</v>
      </c>
      <c r="M1942" s="69"/>
      <c r="N1942" s="69"/>
      <c r="O1942" s="69" t="s">
        <v>1436</v>
      </c>
      <c r="P1942" s="78"/>
      <c r="Q1942" s="96">
        <v>45429</v>
      </c>
      <c r="R1942" s="97"/>
      <c r="S1942" s="98"/>
    </row>
    <row r="1943" spans="1:19" ht="42.75">
      <c r="A1943" s="90" t="s">
        <v>51</v>
      </c>
      <c r="B1943" s="91" t="s">
        <v>448</v>
      </c>
      <c r="C1943" s="91" t="s">
        <v>3618</v>
      </c>
      <c r="D1943" s="90">
        <v>1904</v>
      </c>
      <c r="E1943" s="90">
        <v>2196</v>
      </c>
      <c r="F1943" s="90" t="s">
        <v>1454</v>
      </c>
      <c r="G1943" s="90"/>
      <c r="H1943" s="93"/>
      <c r="I1943" s="93"/>
      <c r="J1943" s="93"/>
      <c r="K1943" s="95"/>
      <c r="L1943" s="69"/>
      <c r="M1943" s="69"/>
      <c r="N1943" s="69"/>
      <c r="O1943" s="69"/>
      <c r="P1943" s="78"/>
      <c r="Q1943" s="96"/>
      <c r="R1943" s="97"/>
      <c r="S1943" s="98"/>
    </row>
    <row r="1944" spans="1:19" ht="42.75">
      <c r="A1944" s="90" t="s">
        <v>51</v>
      </c>
      <c r="B1944" s="91" t="s">
        <v>448</v>
      </c>
      <c r="C1944" s="91" t="s">
        <v>703</v>
      </c>
      <c r="D1944" s="90">
        <v>6719</v>
      </c>
      <c r="E1944" s="90">
        <v>6828</v>
      </c>
      <c r="F1944" s="90" t="s">
        <v>1454</v>
      </c>
      <c r="G1944" s="90"/>
      <c r="H1944" s="93"/>
      <c r="I1944" s="93"/>
      <c r="J1944" s="93"/>
      <c r="K1944" s="95"/>
      <c r="L1944" s="69"/>
      <c r="M1944" s="69"/>
      <c r="N1944" s="69"/>
      <c r="O1944" s="69"/>
      <c r="P1944" s="78"/>
      <c r="Q1944" s="96"/>
      <c r="R1944" s="97"/>
      <c r="S1944" s="98"/>
    </row>
    <row r="1945" spans="1:19" ht="42.75">
      <c r="A1945" s="90" t="s">
        <v>51</v>
      </c>
      <c r="B1945" s="91" t="s">
        <v>448</v>
      </c>
      <c r="C1945" s="91" t="s">
        <v>715</v>
      </c>
      <c r="D1945" s="90">
        <v>2307</v>
      </c>
      <c r="E1945" s="90">
        <v>2654</v>
      </c>
      <c r="F1945" s="90" t="s">
        <v>1454</v>
      </c>
      <c r="G1945" s="90"/>
      <c r="H1945" s="93"/>
      <c r="I1945" s="93"/>
      <c r="J1945" s="93"/>
      <c r="K1945" s="95"/>
      <c r="L1945" s="69"/>
      <c r="M1945" s="69"/>
      <c r="N1945" s="69"/>
      <c r="O1945" s="69"/>
      <c r="P1945" s="78"/>
      <c r="Q1945" s="96"/>
      <c r="R1945" s="97"/>
      <c r="S1945" s="98"/>
    </row>
    <row r="1946" spans="1:19" ht="42.75">
      <c r="A1946" s="90" t="s">
        <v>51</v>
      </c>
      <c r="B1946" s="91" t="s">
        <v>448</v>
      </c>
      <c r="C1946" s="91" t="s">
        <v>3039</v>
      </c>
      <c r="D1946" s="90">
        <v>2997</v>
      </c>
      <c r="E1946" s="90">
        <v>3609</v>
      </c>
      <c r="F1946" s="90" t="s">
        <v>1434</v>
      </c>
      <c r="G1946" s="90">
        <v>2024</v>
      </c>
      <c r="H1946" s="101">
        <v>45485</v>
      </c>
      <c r="I1946" s="101">
        <v>45490</v>
      </c>
      <c r="J1946" s="94" t="s">
        <v>3619</v>
      </c>
      <c r="K1946" s="100">
        <v>45491</v>
      </c>
      <c r="L1946" s="69" t="s">
        <v>80</v>
      </c>
      <c r="M1946" s="69" t="s">
        <v>4</v>
      </c>
      <c r="N1946" s="69" t="s">
        <v>101</v>
      </c>
      <c r="O1946" s="69" t="s">
        <v>1436</v>
      </c>
      <c r="P1946" s="78"/>
      <c r="Q1946" s="70">
        <v>45491</v>
      </c>
      <c r="R1946" s="97"/>
      <c r="S1946" s="98"/>
    </row>
    <row r="1947" spans="1:19" ht="42.75">
      <c r="A1947" s="90" t="s">
        <v>51</v>
      </c>
      <c r="B1947" s="91" t="s">
        <v>448</v>
      </c>
      <c r="C1947" s="91" t="s">
        <v>3620</v>
      </c>
      <c r="D1947" s="90">
        <v>3052</v>
      </c>
      <c r="E1947" s="90">
        <v>3268</v>
      </c>
      <c r="F1947" s="90" t="s">
        <v>1434</v>
      </c>
      <c r="G1947" s="90">
        <v>2024</v>
      </c>
      <c r="H1947" s="101">
        <v>45485</v>
      </c>
      <c r="I1947" s="101">
        <v>45490</v>
      </c>
      <c r="J1947" s="94" t="s">
        <v>3621</v>
      </c>
      <c r="K1947" s="100">
        <v>45491</v>
      </c>
      <c r="L1947" s="69" t="s">
        <v>80</v>
      </c>
      <c r="M1947" s="69" t="s">
        <v>4</v>
      </c>
      <c r="N1947" s="69" t="s">
        <v>101</v>
      </c>
      <c r="O1947" s="69" t="s">
        <v>1436</v>
      </c>
      <c r="P1947" s="78"/>
      <c r="Q1947" s="96">
        <v>45492</v>
      </c>
      <c r="R1947" s="97"/>
      <c r="S1947" s="98"/>
    </row>
    <row r="1948" spans="1:19" ht="42.75">
      <c r="A1948" s="90" t="s">
        <v>51</v>
      </c>
      <c r="B1948" s="91" t="s">
        <v>448</v>
      </c>
      <c r="C1948" s="91" t="s">
        <v>3622</v>
      </c>
      <c r="D1948" s="90">
        <v>3089</v>
      </c>
      <c r="E1948" s="90">
        <v>3152</v>
      </c>
      <c r="F1948" s="90" t="s">
        <v>1434</v>
      </c>
      <c r="G1948" s="90">
        <v>2024</v>
      </c>
      <c r="H1948" s="101">
        <v>45457</v>
      </c>
      <c r="I1948" s="101">
        <v>45459</v>
      </c>
      <c r="J1948" s="94" t="s">
        <v>3623</v>
      </c>
      <c r="K1948" s="100">
        <v>45463</v>
      </c>
      <c r="L1948" s="69" t="s">
        <v>79</v>
      </c>
      <c r="M1948" s="69"/>
      <c r="N1948" s="69"/>
      <c r="O1948" s="69" t="s">
        <v>1436</v>
      </c>
      <c r="P1948" s="78"/>
      <c r="Q1948" s="70">
        <v>45463</v>
      </c>
      <c r="R1948" s="97"/>
      <c r="S1948" s="98"/>
    </row>
    <row r="1949" spans="1:19" ht="42.75">
      <c r="A1949" s="90" t="s">
        <v>51</v>
      </c>
      <c r="B1949" s="91" t="s">
        <v>448</v>
      </c>
      <c r="C1949" s="91" t="s">
        <v>3624</v>
      </c>
      <c r="D1949" s="90">
        <v>4377</v>
      </c>
      <c r="E1949" s="90">
        <v>5414</v>
      </c>
      <c r="F1949" s="90" t="s">
        <v>1454</v>
      </c>
      <c r="G1949" s="90"/>
      <c r="H1949" s="93"/>
      <c r="I1949" s="93"/>
      <c r="J1949" s="93"/>
      <c r="K1949" s="95"/>
      <c r="L1949" s="69"/>
      <c r="M1949" s="69"/>
      <c r="N1949" s="69"/>
      <c r="O1949" s="69"/>
      <c r="P1949" s="78"/>
      <c r="Q1949" s="96"/>
      <c r="R1949" s="97"/>
      <c r="S1949" s="98"/>
    </row>
    <row r="1950" spans="1:19" ht="42.75">
      <c r="A1950" s="90" t="s">
        <v>51</v>
      </c>
      <c r="B1950" s="91" t="s">
        <v>448</v>
      </c>
      <c r="C1950" s="91" t="s">
        <v>3625</v>
      </c>
      <c r="D1950" s="90">
        <v>3656</v>
      </c>
      <c r="E1950" s="90">
        <v>4559</v>
      </c>
      <c r="F1950" s="90" t="s">
        <v>1454</v>
      </c>
      <c r="G1950" s="90"/>
      <c r="H1950" s="93"/>
      <c r="I1950" s="93"/>
      <c r="J1950" s="93"/>
      <c r="K1950" s="95"/>
      <c r="L1950" s="69"/>
      <c r="M1950" s="69"/>
      <c r="N1950" s="69"/>
      <c r="O1950" s="69"/>
      <c r="P1950" s="78"/>
      <c r="Q1950" s="96"/>
      <c r="R1950" s="97"/>
      <c r="S1950" s="98"/>
    </row>
    <row r="1951" spans="1:19" ht="42.75">
      <c r="A1951" s="90" t="s">
        <v>51</v>
      </c>
      <c r="B1951" s="91" t="s">
        <v>448</v>
      </c>
      <c r="C1951" s="91" t="s">
        <v>1042</v>
      </c>
      <c r="D1951" s="90">
        <v>3171</v>
      </c>
      <c r="E1951" s="90">
        <v>3195</v>
      </c>
      <c r="F1951" s="90" t="s">
        <v>1434</v>
      </c>
      <c r="G1951" s="90">
        <v>2024</v>
      </c>
      <c r="H1951" s="101">
        <v>45457</v>
      </c>
      <c r="I1951" s="101">
        <v>45459</v>
      </c>
      <c r="J1951" s="94" t="s">
        <v>3626</v>
      </c>
      <c r="K1951" s="100">
        <v>45463</v>
      </c>
      <c r="L1951" s="69" t="s">
        <v>79</v>
      </c>
      <c r="M1951" s="69"/>
      <c r="N1951" s="69"/>
      <c r="O1951" s="69" t="s">
        <v>1436</v>
      </c>
      <c r="P1951" s="78"/>
      <c r="Q1951" s="70">
        <v>45463</v>
      </c>
      <c r="R1951" s="97"/>
      <c r="S1951" s="98"/>
    </row>
    <row r="1952" spans="1:19" ht="42.75">
      <c r="A1952" s="90" t="s">
        <v>51</v>
      </c>
      <c r="B1952" s="91" t="s">
        <v>448</v>
      </c>
      <c r="C1952" s="91" t="s">
        <v>2347</v>
      </c>
      <c r="D1952" s="90">
        <v>2090</v>
      </c>
      <c r="E1952" s="90">
        <v>2097</v>
      </c>
      <c r="F1952" s="90" t="s">
        <v>1434</v>
      </c>
      <c r="G1952" s="90">
        <v>2024</v>
      </c>
      <c r="H1952" s="101">
        <v>45604</v>
      </c>
      <c r="I1952" s="101">
        <v>45611</v>
      </c>
      <c r="J1952" s="94" t="s">
        <v>3627</v>
      </c>
      <c r="K1952" s="100">
        <v>45616</v>
      </c>
      <c r="L1952" s="69" t="s">
        <v>84</v>
      </c>
      <c r="M1952" s="69" t="s">
        <v>672</v>
      </c>
      <c r="N1952" s="69" t="s">
        <v>101</v>
      </c>
      <c r="O1952" s="69" t="s">
        <v>1436</v>
      </c>
      <c r="P1952" s="78"/>
      <c r="Q1952" s="96">
        <v>45618</v>
      </c>
      <c r="R1952" s="97" t="s">
        <v>929</v>
      </c>
      <c r="S1952" s="98"/>
    </row>
    <row r="1953" spans="1:19" ht="42.75">
      <c r="A1953" s="90" t="s">
        <v>51</v>
      </c>
      <c r="B1953" s="91" t="s">
        <v>448</v>
      </c>
      <c r="C1953" s="91" t="s">
        <v>1059</v>
      </c>
      <c r="D1953" s="90">
        <v>969</v>
      </c>
      <c r="E1953" s="90">
        <v>996</v>
      </c>
      <c r="F1953" s="90" t="s">
        <v>1454</v>
      </c>
      <c r="G1953" s="90"/>
      <c r="H1953" s="93"/>
      <c r="I1953" s="93"/>
      <c r="J1953" s="93"/>
      <c r="K1953" s="95"/>
      <c r="L1953" s="69"/>
      <c r="M1953" s="69"/>
      <c r="N1953" s="69"/>
      <c r="O1953" s="69"/>
      <c r="P1953" s="78"/>
      <c r="Q1953" s="96"/>
      <c r="R1953" s="97"/>
      <c r="S1953" s="98"/>
    </row>
    <row r="1954" spans="1:19" ht="42.75">
      <c r="A1954" s="90" t="s">
        <v>51</v>
      </c>
      <c r="B1954" s="91" t="s">
        <v>448</v>
      </c>
      <c r="C1954" s="91" t="s">
        <v>3628</v>
      </c>
      <c r="D1954" s="90">
        <v>4020</v>
      </c>
      <c r="E1954" s="90">
        <v>4413</v>
      </c>
      <c r="F1954" s="90" t="s">
        <v>1454</v>
      </c>
      <c r="G1954" s="90"/>
      <c r="H1954" s="93"/>
      <c r="I1954" s="93"/>
      <c r="J1954" s="93"/>
      <c r="K1954" s="95"/>
      <c r="L1954" s="69"/>
      <c r="M1954" s="69"/>
      <c r="N1954" s="69"/>
      <c r="O1954" s="69"/>
      <c r="P1954" s="78"/>
      <c r="Q1954" s="96"/>
      <c r="R1954" s="97"/>
      <c r="S1954" s="98"/>
    </row>
    <row r="1955" spans="1:19" ht="42.75">
      <c r="A1955" s="90" t="s">
        <v>51</v>
      </c>
      <c r="B1955" s="91" t="s">
        <v>448</v>
      </c>
      <c r="C1955" s="91" t="s">
        <v>890</v>
      </c>
      <c r="D1955" s="90">
        <v>1828</v>
      </c>
      <c r="E1955" s="90">
        <v>3347</v>
      </c>
      <c r="F1955" s="90" t="s">
        <v>1454</v>
      </c>
      <c r="G1955" s="90"/>
      <c r="H1955" s="93"/>
      <c r="I1955" s="93"/>
      <c r="J1955" s="93"/>
      <c r="K1955" s="95"/>
      <c r="L1955" s="69"/>
      <c r="M1955" s="69"/>
      <c r="N1955" s="69"/>
      <c r="O1955" s="69"/>
      <c r="P1955" s="78"/>
      <c r="Q1955" s="96"/>
      <c r="R1955" s="97"/>
      <c r="S1955" s="98"/>
    </row>
    <row r="1956" spans="1:19" ht="42.75">
      <c r="A1956" s="90" t="s">
        <v>51</v>
      </c>
      <c r="B1956" s="91" t="s">
        <v>448</v>
      </c>
      <c r="C1956" s="91" t="s">
        <v>3629</v>
      </c>
      <c r="D1956" s="90">
        <v>6833</v>
      </c>
      <c r="E1956" s="90">
        <v>6907</v>
      </c>
      <c r="F1956" s="90" t="s">
        <v>1434</v>
      </c>
      <c r="G1956" s="90">
        <v>2024</v>
      </c>
      <c r="H1956" s="101">
        <v>45569</v>
      </c>
      <c r="I1956" s="101">
        <v>45577</v>
      </c>
      <c r="J1956" s="94" t="s">
        <v>3630</v>
      </c>
      <c r="K1956" s="100">
        <v>45581</v>
      </c>
      <c r="L1956" s="69" t="s">
        <v>83</v>
      </c>
      <c r="M1956" s="69" t="s">
        <v>672</v>
      </c>
      <c r="N1956" s="69" t="s">
        <v>101</v>
      </c>
      <c r="O1956" s="69" t="s">
        <v>1436</v>
      </c>
      <c r="P1956" s="78"/>
      <c r="Q1956" s="96">
        <v>45582</v>
      </c>
      <c r="R1956" s="97" t="s">
        <v>929</v>
      </c>
      <c r="S1956" s="98"/>
    </row>
    <row r="1957" spans="1:19" ht="42.75">
      <c r="A1957" s="90" t="s">
        <v>51</v>
      </c>
      <c r="B1957" s="91" t="s">
        <v>448</v>
      </c>
      <c r="C1957" s="91" t="s">
        <v>3631</v>
      </c>
      <c r="D1957" s="90">
        <v>6025</v>
      </c>
      <c r="E1957" s="90">
        <v>6655</v>
      </c>
      <c r="F1957" s="90" t="s">
        <v>1434</v>
      </c>
      <c r="G1957" s="90">
        <v>2024</v>
      </c>
      <c r="H1957" s="101">
        <v>45457</v>
      </c>
      <c r="I1957" s="101">
        <v>45459</v>
      </c>
      <c r="J1957" s="365" t="s">
        <v>3632</v>
      </c>
      <c r="K1957" s="100">
        <v>45463</v>
      </c>
      <c r="L1957" s="69" t="s">
        <v>79</v>
      </c>
      <c r="M1957" s="69"/>
      <c r="N1957" s="69"/>
      <c r="O1957" s="69" t="s">
        <v>1436</v>
      </c>
      <c r="P1957" s="78"/>
      <c r="Q1957" s="70">
        <v>45463</v>
      </c>
      <c r="R1957" s="97"/>
      <c r="S1957" s="98"/>
    </row>
    <row r="1958" spans="1:19" ht="42.75">
      <c r="A1958" s="90" t="s">
        <v>51</v>
      </c>
      <c r="B1958" s="91" t="s">
        <v>448</v>
      </c>
      <c r="C1958" s="91" t="s">
        <v>3633</v>
      </c>
      <c r="D1958" s="90">
        <v>3293</v>
      </c>
      <c r="E1958" s="90">
        <v>3578</v>
      </c>
      <c r="F1958" s="90" t="s">
        <v>1454</v>
      </c>
      <c r="G1958" s="90"/>
      <c r="H1958" s="93"/>
      <c r="I1958" s="93"/>
      <c r="J1958" s="93"/>
      <c r="K1958" s="95"/>
      <c r="L1958" s="69"/>
      <c r="M1958" s="69"/>
      <c r="N1958" s="69"/>
      <c r="O1958" s="69"/>
      <c r="P1958" s="78"/>
      <c r="Q1958" s="96"/>
      <c r="R1958" s="97"/>
      <c r="S1958" s="98"/>
    </row>
    <row r="1959" spans="1:19" ht="42.75">
      <c r="A1959" s="90" t="s">
        <v>51</v>
      </c>
      <c r="B1959" s="91" t="s">
        <v>448</v>
      </c>
      <c r="C1959" s="91" t="s">
        <v>926</v>
      </c>
      <c r="D1959" s="90">
        <v>3337</v>
      </c>
      <c r="E1959" s="90">
        <v>3535</v>
      </c>
      <c r="F1959" s="90" t="s">
        <v>1454</v>
      </c>
      <c r="G1959" s="90"/>
      <c r="H1959" s="93"/>
      <c r="I1959" s="93"/>
      <c r="J1959" s="93"/>
      <c r="K1959" s="95"/>
      <c r="L1959" s="69"/>
      <c r="M1959" s="69"/>
      <c r="N1959" s="69"/>
      <c r="O1959" s="69"/>
      <c r="P1959" s="78"/>
      <c r="Q1959" s="96"/>
      <c r="R1959" s="97"/>
      <c r="S1959" s="98"/>
    </row>
    <row r="1960" spans="1:19" ht="42.75">
      <c r="A1960" s="90" t="s">
        <v>51</v>
      </c>
      <c r="B1960" s="91" t="s">
        <v>448</v>
      </c>
      <c r="C1960" s="91" t="s">
        <v>714</v>
      </c>
      <c r="D1960" s="90">
        <v>3126</v>
      </c>
      <c r="E1960" s="90">
        <v>3575</v>
      </c>
      <c r="F1960" s="90" t="s">
        <v>1434</v>
      </c>
      <c r="G1960" s="90">
        <v>2024</v>
      </c>
      <c r="H1960" s="101">
        <v>45603</v>
      </c>
      <c r="I1960" s="101">
        <v>45611</v>
      </c>
      <c r="J1960" s="94" t="s">
        <v>3634</v>
      </c>
      <c r="K1960" s="100">
        <v>45616</v>
      </c>
      <c r="L1960" s="69" t="s">
        <v>84</v>
      </c>
      <c r="M1960" s="69" t="s">
        <v>672</v>
      </c>
      <c r="N1960" s="69" t="s">
        <v>101</v>
      </c>
      <c r="O1960" s="69" t="s">
        <v>1436</v>
      </c>
      <c r="P1960" s="78"/>
      <c r="Q1960" s="96">
        <v>45618</v>
      </c>
      <c r="R1960" s="97" t="s">
        <v>929</v>
      </c>
      <c r="S1960" s="98"/>
    </row>
    <row r="1961" spans="1:19" ht="42.75">
      <c r="A1961" s="90" t="s">
        <v>51</v>
      </c>
      <c r="B1961" s="91" t="s">
        <v>448</v>
      </c>
      <c r="C1961" s="91" t="s">
        <v>520</v>
      </c>
      <c r="D1961" s="90">
        <v>2424</v>
      </c>
      <c r="E1961" s="90">
        <v>2504</v>
      </c>
      <c r="F1961" s="90" t="s">
        <v>1434</v>
      </c>
      <c r="G1961" s="90">
        <v>2024</v>
      </c>
      <c r="H1961" s="101">
        <v>45457</v>
      </c>
      <c r="I1961" s="101">
        <v>45459</v>
      </c>
      <c r="J1961" s="94" t="s">
        <v>3635</v>
      </c>
      <c r="K1961" s="100">
        <v>45463</v>
      </c>
      <c r="L1961" s="69" t="s">
        <v>79</v>
      </c>
      <c r="M1961" s="69"/>
      <c r="N1961" s="69"/>
      <c r="O1961" s="69"/>
      <c r="P1961" s="78"/>
      <c r="Q1961" s="70">
        <v>45463</v>
      </c>
      <c r="R1961" s="97"/>
      <c r="S1961" s="98"/>
    </row>
    <row r="1962" spans="1:19" ht="42.75">
      <c r="A1962" s="90" t="s">
        <v>51</v>
      </c>
      <c r="B1962" s="91" t="s">
        <v>448</v>
      </c>
      <c r="C1962" s="91" t="s">
        <v>427</v>
      </c>
      <c r="D1962" s="90">
        <v>7656</v>
      </c>
      <c r="E1962" s="90">
        <v>8812</v>
      </c>
      <c r="F1962" s="90" t="s">
        <v>1454</v>
      </c>
      <c r="G1962" s="90"/>
      <c r="H1962" s="93"/>
      <c r="I1962" s="93"/>
      <c r="J1962" s="93"/>
      <c r="K1962" s="95"/>
      <c r="L1962" s="69"/>
      <c r="M1962" s="69"/>
      <c r="N1962" s="69"/>
      <c r="O1962" s="69"/>
      <c r="P1962" s="78"/>
      <c r="Q1962" s="96"/>
      <c r="R1962" s="97"/>
      <c r="S1962" s="98"/>
    </row>
    <row r="1963" spans="1:19" ht="42.75">
      <c r="A1963" s="90" t="s">
        <v>51</v>
      </c>
      <c r="B1963" s="91" t="s">
        <v>448</v>
      </c>
      <c r="C1963" s="91" t="s">
        <v>717</v>
      </c>
      <c r="D1963" s="90">
        <v>6053</v>
      </c>
      <c r="E1963" s="90">
        <v>5885</v>
      </c>
      <c r="F1963" s="90" t="s">
        <v>1434</v>
      </c>
      <c r="G1963" s="90">
        <v>2024</v>
      </c>
      <c r="H1963" s="101">
        <v>45603</v>
      </c>
      <c r="I1963" s="101">
        <v>45611</v>
      </c>
      <c r="J1963" s="94" t="s">
        <v>3636</v>
      </c>
      <c r="K1963" s="100">
        <v>45616</v>
      </c>
      <c r="L1963" s="69" t="s">
        <v>84</v>
      </c>
      <c r="M1963" s="69" t="s">
        <v>672</v>
      </c>
      <c r="N1963" s="69" t="s">
        <v>101</v>
      </c>
      <c r="O1963" s="69" t="s">
        <v>1436</v>
      </c>
      <c r="P1963" s="78"/>
      <c r="Q1963" s="96">
        <v>45618</v>
      </c>
      <c r="R1963" s="97" t="s">
        <v>929</v>
      </c>
      <c r="S1963" s="98"/>
    </row>
    <row r="1964" spans="1:19" ht="42.75">
      <c r="A1964" s="90" t="s">
        <v>51</v>
      </c>
      <c r="B1964" s="91" t="s">
        <v>448</v>
      </c>
      <c r="C1964" s="91" t="s">
        <v>881</v>
      </c>
      <c r="D1964" s="90">
        <v>4186</v>
      </c>
      <c r="E1964" s="90">
        <v>4118</v>
      </c>
      <c r="F1964" s="90" t="s">
        <v>1454</v>
      </c>
      <c r="G1964" s="90"/>
      <c r="H1964" s="93"/>
      <c r="I1964" s="93"/>
      <c r="J1964" s="93"/>
      <c r="K1964" s="95"/>
      <c r="L1964" s="69"/>
      <c r="M1964" s="69"/>
      <c r="N1964" s="69"/>
      <c r="O1964" s="69"/>
      <c r="P1964" s="78"/>
      <c r="Q1964" s="96"/>
      <c r="R1964" s="97"/>
      <c r="S1964" s="98"/>
    </row>
    <row r="1965" spans="1:19" ht="42.75">
      <c r="A1965" s="90" t="s">
        <v>51</v>
      </c>
      <c r="B1965" s="91" t="s">
        <v>448</v>
      </c>
      <c r="C1965" s="91" t="s">
        <v>1876</v>
      </c>
      <c r="D1965" s="90">
        <v>2089</v>
      </c>
      <c r="E1965" s="90">
        <v>2241</v>
      </c>
      <c r="F1965" s="90" t="s">
        <v>1454</v>
      </c>
      <c r="G1965" s="90"/>
      <c r="H1965" s="93"/>
      <c r="I1965" s="93"/>
      <c r="J1965" s="93"/>
      <c r="K1965" s="95"/>
      <c r="L1965" s="69"/>
      <c r="M1965" s="69"/>
      <c r="N1965" s="69"/>
      <c r="O1965" s="69"/>
      <c r="P1965" s="78"/>
      <c r="Q1965" s="96"/>
      <c r="R1965" s="97"/>
      <c r="S1965" s="98"/>
    </row>
    <row r="1966" spans="1:19" ht="42.75">
      <c r="A1966" s="90" t="s">
        <v>51</v>
      </c>
      <c r="B1966" s="91" t="s">
        <v>448</v>
      </c>
      <c r="C1966" s="91" t="s">
        <v>2234</v>
      </c>
      <c r="D1966" s="90">
        <v>2127</v>
      </c>
      <c r="E1966" s="90">
        <v>2257</v>
      </c>
      <c r="F1966" s="90" t="s">
        <v>1454</v>
      </c>
      <c r="G1966" s="90"/>
      <c r="H1966" s="93"/>
      <c r="I1966" s="93"/>
      <c r="J1966" s="93"/>
      <c r="K1966" s="95"/>
      <c r="L1966" s="69"/>
      <c r="M1966" s="69"/>
      <c r="N1966" s="69"/>
      <c r="O1966" s="69"/>
      <c r="P1966" s="78"/>
      <c r="Q1966" s="96"/>
      <c r="R1966" s="97"/>
      <c r="S1966" s="98"/>
    </row>
    <row r="1967" spans="1:19" ht="42.75">
      <c r="A1967" s="90" t="s">
        <v>51</v>
      </c>
      <c r="B1967" s="91" t="s">
        <v>448</v>
      </c>
      <c r="C1967" s="91" t="s">
        <v>2345</v>
      </c>
      <c r="D1967" s="90">
        <v>3403</v>
      </c>
      <c r="E1967" s="90">
        <v>3920</v>
      </c>
      <c r="F1967" s="90" t="s">
        <v>1454</v>
      </c>
      <c r="G1967" s="90"/>
      <c r="H1967" s="93"/>
      <c r="I1967" s="93"/>
      <c r="J1967" s="93"/>
      <c r="K1967" s="95"/>
      <c r="L1967" s="69"/>
      <c r="M1967" s="69"/>
      <c r="N1967" s="69"/>
      <c r="O1967" s="69"/>
      <c r="P1967" s="78"/>
      <c r="Q1967" s="96"/>
      <c r="R1967" s="97"/>
      <c r="S1967" s="98"/>
    </row>
    <row r="1968" spans="1:19" ht="42.75">
      <c r="A1968" s="90" t="s">
        <v>51</v>
      </c>
      <c r="B1968" s="91" t="s">
        <v>448</v>
      </c>
      <c r="C1968" s="91" t="s">
        <v>3637</v>
      </c>
      <c r="D1968" s="90">
        <v>4825</v>
      </c>
      <c r="E1968" s="90">
        <v>5615</v>
      </c>
      <c r="F1968" s="90" t="s">
        <v>1434</v>
      </c>
      <c r="G1968" s="90">
        <v>2024</v>
      </c>
      <c r="H1968" s="101">
        <v>45603</v>
      </c>
      <c r="I1968" s="101">
        <v>45611</v>
      </c>
      <c r="J1968" s="94" t="s">
        <v>3638</v>
      </c>
      <c r="K1968" s="100">
        <v>45616</v>
      </c>
      <c r="L1968" s="69" t="s">
        <v>84</v>
      </c>
      <c r="M1968" s="69" t="s">
        <v>672</v>
      </c>
      <c r="N1968" s="69" t="s">
        <v>101</v>
      </c>
      <c r="O1968" s="69" t="s">
        <v>1436</v>
      </c>
      <c r="P1968" s="78"/>
      <c r="Q1968" s="96">
        <v>45618</v>
      </c>
      <c r="R1968" s="97" t="s">
        <v>929</v>
      </c>
      <c r="S1968" s="98"/>
    </row>
    <row r="1969" spans="1:19" ht="42.75">
      <c r="A1969" s="90" t="s">
        <v>51</v>
      </c>
      <c r="B1969" s="91" t="s">
        <v>448</v>
      </c>
      <c r="C1969" s="91" t="s">
        <v>3639</v>
      </c>
      <c r="D1969" s="90">
        <v>7722</v>
      </c>
      <c r="E1969" s="90">
        <v>7891</v>
      </c>
      <c r="F1969" s="90" t="s">
        <v>1434</v>
      </c>
      <c r="G1969" s="90">
        <v>2024</v>
      </c>
      <c r="H1969" s="101">
        <v>45603</v>
      </c>
      <c r="I1969" s="101">
        <v>45611</v>
      </c>
      <c r="J1969" s="94" t="s">
        <v>3640</v>
      </c>
      <c r="K1969" s="100">
        <v>45616</v>
      </c>
      <c r="L1969" s="69" t="s">
        <v>84</v>
      </c>
      <c r="M1969" s="69" t="s">
        <v>4</v>
      </c>
      <c r="N1969" s="69" t="s">
        <v>108</v>
      </c>
      <c r="O1969" s="69" t="s">
        <v>1436</v>
      </c>
      <c r="P1969" s="78"/>
      <c r="Q1969" s="96">
        <v>45618</v>
      </c>
      <c r="R1969" s="97" t="s">
        <v>929</v>
      </c>
      <c r="S1969" s="98"/>
    </row>
    <row r="1970" spans="1:19" ht="42.75">
      <c r="A1970" s="90" t="s">
        <v>51</v>
      </c>
      <c r="B1970" s="91" t="s">
        <v>448</v>
      </c>
      <c r="C1970" s="91" t="s">
        <v>3641</v>
      </c>
      <c r="D1970" s="90">
        <v>1556</v>
      </c>
      <c r="E1970" s="90">
        <v>1727</v>
      </c>
      <c r="F1970" s="90" t="s">
        <v>1454</v>
      </c>
      <c r="G1970" s="90"/>
      <c r="H1970" s="93"/>
      <c r="I1970" s="93"/>
      <c r="J1970" s="93"/>
      <c r="K1970" s="95"/>
      <c r="L1970" s="69"/>
      <c r="M1970" s="69"/>
      <c r="N1970" s="69"/>
      <c r="O1970" s="69"/>
      <c r="P1970" s="78"/>
      <c r="Q1970" s="96"/>
      <c r="R1970" s="97"/>
      <c r="S1970" s="98"/>
    </row>
    <row r="1971" spans="1:19" ht="42.75">
      <c r="A1971" s="90" t="s">
        <v>51</v>
      </c>
      <c r="B1971" s="91" t="s">
        <v>354</v>
      </c>
      <c r="C1971" s="91" t="s">
        <v>2421</v>
      </c>
      <c r="D1971" s="90">
        <v>6675</v>
      </c>
      <c r="E1971" s="90">
        <v>6777</v>
      </c>
      <c r="F1971" s="90" t="s">
        <v>1454</v>
      </c>
      <c r="G1971" s="90"/>
      <c r="H1971" s="93"/>
      <c r="I1971" s="93"/>
      <c r="J1971" s="93"/>
      <c r="K1971" s="95"/>
      <c r="L1971" s="69"/>
      <c r="M1971" s="69"/>
      <c r="N1971" s="69"/>
      <c r="O1971" s="69"/>
      <c r="P1971" s="78"/>
      <c r="Q1971" s="96"/>
      <c r="R1971" s="97"/>
      <c r="S1971" s="98"/>
    </row>
    <row r="1972" spans="1:19" ht="42.75">
      <c r="A1972" s="90" t="s">
        <v>51</v>
      </c>
      <c r="B1972" s="91" t="s">
        <v>354</v>
      </c>
      <c r="C1972" s="91" t="s">
        <v>3642</v>
      </c>
      <c r="D1972" s="90">
        <v>2103</v>
      </c>
      <c r="E1972" s="90">
        <v>2297</v>
      </c>
      <c r="F1972" s="90" t="s">
        <v>1454</v>
      </c>
      <c r="G1972" s="90"/>
      <c r="H1972" s="93"/>
      <c r="I1972" s="93"/>
      <c r="J1972" s="93"/>
      <c r="K1972" s="95"/>
      <c r="L1972" s="69"/>
      <c r="M1972" s="69"/>
      <c r="N1972" s="69"/>
      <c r="O1972" s="69"/>
      <c r="P1972" s="78"/>
      <c r="Q1972" s="96"/>
      <c r="R1972" s="97"/>
      <c r="S1972" s="98"/>
    </row>
    <row r="1973" spans="1:19" ht="42.75">
      <c r="A1973" s="90" t="s">
        <v>51</v>
      </c>
      <c r="B1973" s="91" t="s">
        <v>354</v>
      </c>
      <c r="C1973" s="91" t="s">
        <v>3643</v>
      </c>
      <c r="D1973" s="90">
        <v>3377</v>
      </c>
      <c r="E1973" s="90">
        <v>3588</v>
      </c>
      <c r="F1973" s="90" t="s">
        <v>1454</v>
      </c>
      <c r="G1973" s="90"/>
      <c r="H1973" s="93"/>
      <c r="I1973" s="93"/>
      <c r="J1973" s="93"/>
      <c r="K1973" s="95"/>
      <c r="L1973" s="69"/>
      <c r="M1973" s="69"/>
      <c r="N1973" s="69"/>
      <c r="O1973" s="69"/>
      <c r="P1973" s="78"/>
      <c r="Q1973" s="96"/>
      <c r="R1973" s="97"/>
      <c r="S1973" s="98"/>
    </row>
    <row r="1974" spans="1:19" ht="42.75">
      <c r="A1974" s="90" t="s">
        <v>51</v>
      </c>
      <c r="B1974" s="91" t="s">
        <v>354</v>
      </c>
      <c r="C1974" s="91" t="s">
        <v>1850</v>
      </c>
      <c r="D1974" s="90">
        <v>3319</v>
      </c>
      <c r="E1974" s="90">
        <v>3568</v>
      </c>
      <c r="F1974" s="90" t="s">
        <v>1454</v>
      </c>
      <c r="G1974" s="90"/>
      <c r="H1974" s="93"/>
      <c r="I1974" s="93"/>
      <c r="J1974" s="93"/>
      <c r="K1974" s="95"/>
      <c r="L1974" s="69"/>
      <c r="M1974" s="69"/>
      <c r="N1974" s="69"/>
      <c r="O1974" s="69"/>
      <c r="P1974" s="78"/>
      <c r="Q1974" s="96"/>
      <c r="R1974" s="97"/>
      <c r="S1974" s="98"/>
    </row>
    <row r="1975" spans="1:19" ht="42.75">
      <c r="A1975" s="90" t="s">
        <v>51</v>
      </c>
      <c r="B1975" s="91" t="s">
        <v>354</v>
      </c>
      <c r="C1975" s="91" t="s">
        <v>3644</v>
      </c>
      <c r="D1975" s="90">
        <v>3378</v>
      </c>
      <c r="E1975" s="90">
        <v>3974</v>
      </c>
      <c r="F1975" s="90" t="s">
        <v>1454</v>
      </c>
      <c r="G1975" s="90"/>
      <c r="H1975" s="93"/>
      <c r="I1975" s="93"/>
      <c r="J1975" s="93"/>
      <c r="K1975" s="95"/>
      <c r="L1975" s="69"/>
      <c r="M1975" s="69"/>
      <c r="N1975" s="69"/>
      <c r="O1975" s="69"/>
      <c r="P1975" s="78"/>
      <c r="Q1975" s="96"/>
      <c r="R1975" s="97"/>
      <c r="S1975" s="98"/>
    </row>
    <row r="1976" spans="1:19" ht="42.75">
      <c r="A1976" s="90" t="s">
        <v>51</v>
      </c>
      <c r="B1976" s="91" t="s">
        <v>354</v>
      </c>
      <c r="C1976" s="91" t="s">
        <v>3645</v>
      </c>
      <c r="D1976" s="90">
        <v>6151</v>
      </c>
      <c r="E1976" s="90">
        <v>8005</v>
      </c>
      <c r="F1976" s="90" t="s">
        <v>1454</v>
      </c>
      <c r="G1976" s="90"/>
      <c r="H1976" s="93"/>
      <c r="I1976" s="93"/>
      <c r="J1976" s="93"/>
      <c r="K1976" s="95"/>
      <c r="L1976" s="69"/>
      <c r="M1976" s="69"/>
      <c r="N1976" s="69"/>
      <c r="O1976" s="69"/>
      <c r="P1976" s="78"/>
      <c r="Q1976" s="96"/>
      <c r="R1976" s="97"/>
      <c r="S1976" s="98"/>
    </row>
    <row r="1977" spans="1:19" ht="42.75">
      <c r="A1977" s="90" t="s">
        <v>51</v>
      </c>
      <c r="B1977" s="91" t="s">
        <v>354</v>
      </c>
      <c r="C1977" s="91" t="s">
        <v>3646</v>
      </c>
      <c r="D1977" s="90">
        <v>269</v>
      </c>
      <c r="E1977" s="90">
        <v>296</v>
      </c>
      <c r="F1977" s="90" t="s">
        <v>1454</v>
      </c>
      <c r="G1977" s="90"/>
      <c r="H1977" s="93"/>
      <c r="I1977" s="93"/>
      <c r="J1977" s="93"/>
      <c r="K1977" s="95"/>
      <c r="L1977" s="69"/>
      <c r="M1977" s="69"/>
      <c r="N1977" s="69"/>
      <c r="O1977" s="69"/>
      <c r="P1977" s="78"/>
      <c r="Q1977" s="96"/>
      <c r="R1977" s="97"/>
      <c r="S1977" s="98"/>
    </row>
    <row r="1978" spans="1:19" ht="42.75">
      <c r="A1978" s="90" t="s">
        <v>51</v>
      </c>
      <c r="B1978" s="91" t="s">
        <v>354</v>
      </c>
      <c r="C1978" s="91" t="s">
        <v>3647</v>
      </c>
      <c r="D1978" s="90">
        <v>9359</v>
      </c>
      <c r="E1978" s="90">
        <v>10105</v>
      </c>
      <c r="F1978" s="90" t="s">
        <v>1454</v>
      </c>
      <c r="G1978" s="90"/>
      <c r="H1978" s="93"/>
      <c r="I1978" s="93"/>
      <c r="J1978" s="93"/>
      <c r="K1978" s="95"/>
      <c r="L1978" s="69"/>
      <c r="M1978" s="69"/>
      <c r="N1978" s="69"/>
      <c r="O1978" s="69"/>
      <c r="P1978" s="78"/>
      <c r="Q1978" s="96"/>
      <c r="R1978" s="97"/>
      <c r="S1978" s="98"/>
    </row>
    <row r="1979" spans="1:19" ht="42.75">
      <c r="A1979" s="90" t="s">
        <v>51</v>
      </c>
      <c r="B1979" s="91" t="s">
        <v>354</v>
      </c>
      <c r="C1979" s="91" t="s">
        <v>444</v>
      </c>
      <c r="D1979" s="90">
        <v>3943</v>
      </c>
      <c r="E1979" s="90">
        <v>4241</v>
      </c>
      <c r="F1979" s="90" t="s">
        <v>1454</v>
      </c>
      <c r="G1979" s="90"/>
      <c r="H1979" s="93"/>
      <c r="I1979" s="93"/>
      <c r="J1979" s="93"/>
      <c r="K1979" s="95"/>
      <c r="L1979" s="69"/>
      <c r="M1979" s="69"/>
      <c r="N1979" s="69"/>
      <c r="O1979" s="69"/>
      <c r="P1979" s="78"/>
      <c r="Q1979" s="96"/>
      <c r="R1979" s="97"/>
      <c r="S1979" s="98"/>
    </row>
    <row r="1980" spans="1:19" ht="42.75">
      <c r="A1980" s="90" t="s">
        <v>51</v>
      </c>
      <c r="B1980" s="91" t="s">
        <v>354</v>
      </c>
      <c r="C1980" s="91" t="s">
        <v>2342</v>
      </c>
      <c r="D1980" s="90">
        <v>5792</v>
      </c>
      <c r="E1980" s="90">
        <v>6863</v>
      </c>
      <c r="F1980" s="90" t="s">
        <v>1454</v>
      </c>
      <c r="G1980" s="90"/>
      <c r="H1980" s="93"/>
      <c r="I1980" s="93"/>
      <c r="J1980" s="93"/>
      <c r="K1980" s="95"/>
      <c r="L1980" s="69"/>
      <c r="M1980" s="69"/>
      <c r="N1980" s="69"/>
      <c r="O1980" s="69"/>
      <c r="P1980" s="78"/>
      <c r="Q1980" s="96"/>
      <c r="R1980" s="97"/>
      <c r="S1980" s="98"/>
    </row>
    <row r="1981" spans="1:19" ht="42.75">
      <c r="A1981" s="90" t="s">
        <v>51</v>
      </c>
      <c r="B1981" s="91" t="s">
        <v>354</v>
      </c>
      <c r="C1981" s="91" t="s">
        <v>714</v>
      </c>
      <c r="D1981" s="90">
        <v>4436</v>
      </c>
      <c r="E1981" s="90">
        <v>4886</v>
      </c>
      <c r="F1981" s="90" t="s">
        <v>1434</v>
      </c>
      <c r="G1981" s="90">
        <v>2024</v>
      </c>
      <c r="H1981" s="101">
        <v>45581</v>
      </c>
      <c r="I1981" s="101">
        <v>45582</v>
      </c>
      <c r="J1981" s="94" t="s">
        <v>3648</v>
      </c>
      <c r="K1981" s="100">
        <v>45584</v>
      </c>
      <c r="L1981" s="69" t="s">
        <v>83</v>
      </c>
      <c r="M1981" s="69" t="s">
        <v>672</v>
      </c>
      <c r="N1981" s="69" t="s">
        <v>101</v>
      </c>
      <c r="O1981" s="69" t="s">
        <v>1436</v>
      </c>
      <c r="P1981" s="78"/>
      <c r="Q1981" s="96">
        <v>45586</v>
      </c>
      <c r="R1981" s="97" t="s">
        <v>929</v>
      </c>
      <c r="S1981" s="98"/>
    </row>
    <row r="1982" spans="1:19" ht="42.75">
      <c r="A1982" s="90" t="s">
        <v>51</v>
      </c>
      <c r="B1982" s="91" t="s">
        <v>354</v>
      </c>
      <c r="C1982" s="91" t="s">
        <v>520</v>
      </c>
      <c r="D1982" s="90">
        <v>1346</v>
      </c>
      <c r="E1982" s="90">
        <v>1463</v>
      </c>
      <c r="F1982" s="90" t="s">
        <v>1454</v>
      </c>
      <c r="G1982" s="90"/>
      <c r="H1982" s="93"/>
      <c r="I1982" s="93"/>
      <c r="J1982" s="93"/>
      <c r="K1982" s="95"/>
      <c r="L1982" s="69"/>
      <c r="M1982" s="69"/>
      <c r="N1982" s="69"/>
      <c r="O1982" s="69"/>
      <c r="P1982" s="78"/>
      <c r="Q1982" s="96"/>
      <c r="R1982" s="97"/>
      <c r="S1982" s="98"/>
    </row>
    <row r="1983" spans="1:19" ht="42.75">
      <c r="A1983" s="90" t="s">
        <v>51</v>
      </c>
      <c r="B1983" s="91" t="s">
        <v>354</v>
      </c>
      <c r="C1983" s="91" t="s">
        <v>427</v>
      </c>
      <c r="D1983" s="90">
        <v>2076</v>
      </c>
      <c r="E1983" s="90">
        <v>2256</v>
      </c>
      <c r="F1983" s="90" t="s">
        <v>1454</v>
      </c>
      <c r="G1983" s="90"/>
      <c r="H1983" s="93"/>
      <c r="I1983" s="93"/>
      <c r="J1983" s="93"/>
      <c r="K1983" s="95"/>
      <c r="L1983" s="69"/>
      <c r="M1983" s="69"/>
      <c r="N1983" s="69"/>
      <c r="O1983" s="69"/>
      <c r="P1983" s="78"/>
      <c r="Q1983" s="96"/>
      <c r="R1983" s="97"/>
      <c r="S1983" s="98"/>
    </row>
    <row r="1984" spans="1:19" ht="42.75">
      <c r="A1984" s="90" t="s">
        <v>51</v>
      </c>
      <c r="B1984" s="91" t="s">
        <v>354</v>
      </c>
      <c r="C1984" s="91" t="s">
        <v>3649</v>
      </c>
      <c r="D1984" s="90">
        <v>2537</v>
      </c>
      <c r="E1984" s="90">
        <v>2657</v>
      </c>
      <c r="F1984" s="90" t="s">
        <v>1454</v>
      </c>
      <c r="G1984" s="90"/>
      <c r="H1984" s="93"/>
      <c r="I1984" s="93"/>
      <c r="J1984" s="93"/>
      <c r="K1984" s="95"/>
      <c r="L1984" s="69"/>
      <c r="M1984" s="69"/>
      <c r="N1984" s="69"/>
      <c r="O1984" s="69"/>
      <c r="P1984" s="78"/>
      <c r="Q1984" s="96"/>
      <c r="R1984" s="97"/>
      <c r="S1984" s="98"/>
    </row>
    <row r="1985" spans="1:19" ht="42.75">
      <c r="A1985" s="90" t="s">
        <v>51</v>
      </c>
      <c r="B1985" s="91" t="s">
        <v>354</v>
      </c>
      <c r="C1985" s="91" t="s">
        <v>3650</v>
      </c>
      <c r="D1985" s="90">
        <v>6060</v>
      </c>
      <c r="E1985" s="90">
        <v>6640</v>
      </c>
      <c r="F1985" s="90" t="s">
        <v>1454</v>
      </c>
      <c r="G1985" s="90"/>
      <c r="H1985" s="93"/>
      <c r="I1985" s="93"/>
      <c r="J1985" s="93"/>
      <c r="K1985" s="95"/>
      <c r="L1985" s="69"/>
      <c r="M1985" s="69"/>
      <c r="N1985" s="69"/>
      <c r="O1985" s="69"/>
      <c r="P1985" s="78"/>
      <c r="Q1985" s="96"/>
      <c r="R1985" s="97"/>
      <c r="S1985" s="98"/>
    </row>
    <row r="1986" spans="1:19" ht="42.75">
      <c r="A1986" s="90" t="s">
        <v>51</v>
      </c>
      <c r="B1986" s="91" t="s">
        <v>354</v>
      </c>
      <c r="C1986" s="91" t="s">
        <v>3651</v>
      </c>
      <c r="D1986" s="90">
        <v>3500</v>
      </c>
      <c r="E1986" s="90">
        <v>4240</v>
      </c>
      <c r="F1986" s="90" t="s">
        <v>1454</v>
      </c>
      <c r="G1986" s="90"/>
      <c r="H1986" s="93"/>
      <c r="I1986" s="93"/>
      <c r="J1986" s="93"/>
      <c r="K1986" s="95"/>
      <c r="L1986" s="69"/>
      <c r="M1986" s="69"/>
      <c r="N1986" s="69"/>
      <c r="O1986" s="69"/>
      <c r="P1986" s="78"/>
      <c r="Q1986" s="96"/>
      <c r="R1986" s="97"/>
      <c r="S1986" s="98"/>
    </row>
    <row r="1987" spans="1:19" ht="42.75">
      <c r="A1987" s="90" t="s">
        <v>51</v>
      </c>
      <c r="B1987" s="91" t="s">
        <v>354</v>
      </c>
      <c r="C1987" s="91" t="s">
        <v>440</v>
      </c>
      <c r="D1987" s="90">
        <v>4710</v>
      </c>
      <c r="E1987" s="90">
        <v>5108</v>
      </c>
      <c r="F1987" s="90" t="s">
        <v>1454</v>
      </c>
      <c r="G1987" s="90"/>
      <c r="H1987" s="93"/>
      <c r="I1987" s="93"/>
      <c r="J1987" s="93"/>
      <c r="K1987" s="95"/>
      <c r="L1987" s="69"/>
      <c r="M1987" s="69"/>
      <c r="N1987" s="69"/>
      <c r="O1987" s="69"/>
      <c r="P1987" s="78"/>
      <c r="Q1987" s="96"/>
      <c r="R1987" s="97"/>
      <c r="S1987" s="98"/>
    </row>
    <row r="1988" spans="1:19" ht="42.75">
      <c r="A1988" s="90" t="s">
        <v>51</v>
      </c>
      <c r="B1988" s="91" t="s">
        <v>354</v>
      </c>
      <c r="C1988" s="91" t="s">
        <v>3652</v>
      </c>
      <c r="D1988" s="90">
        <v>1632</v>
      </c>
      <c r="E1988" s="90">
        <v>1822</v>
      </c>
      <c r="F1988" s="90" t="s">
        <v>1454</v>
      </c>
      <c r="G1988" s="90"/>
      <c r="H1988" s="93"/>
      <c r="I1988" s="93"/>
      <c r="J1988" s="93"/>
      <c r="K1988" s="95"/>
      <c r="L1988" s="69"/>
      <c r="M1988" s="69"/>
      <c r="N1988" s="69"/>
      <c r="O1988" s="69"/>
      <c r="P1988" s="78"/>
      <c r="Q1988" s="96"/>
      <c r="R1988" s="97"/>
      <c r="S1988" s="98"/>
    </row>
    <row r="1989" spans="1:19" ht="42.75">
      <c r="A1989" s="90" t="s">
        <v>51</v>
      </c>
      <c r="B1989" s="91" t="s">
        <v>354</v>
      </c>
      <c r="C1989" s="91" t="s">
        <v>3653</v>
      </c>
      <c r="D1989" s="90">
        <v>2611</v>
      </c>
      <c r="E1989" s="90">
        <v>3275</v>
      </c>
      <c r="F1989" s="90" t="s">
        <v>1454</v>
      </c>
      <c r="G1989" s="90"/>
      <c r="H1989" s="93"/>
      <c r="I1989" s="93"/>
      <c r="J1989" s="93"/>
      <c r="K1989" s="95"/>
      <c r="L1989" s="69"/>
      <c r="M1989" s="69"/>
      <c r="N1989" s="69"/>
      <c r="O1989" s="69"/>
      <c r="P1989" s="78"/>
      <c r="Q1989" s="96"/>
      <c r="R1989" s="97"/>
      <c r="S1989" s="98"/>
    </row>
    <row r="1990" spans="1:19" ht="42.75">
      <c r="A1990" s="90" t="s">
        <v>51</v>
      </c>
      <c r="B1990" s="91" t="s">
        <v>354</v>
      </c>
      <c r="C1990" s="91" t="s">
        <v>1873</v>
      </c>
      <c r="D1990" s="90">
        <v>2966</v>
      </c>
      <c r="E1990" s="90">
        <v>3209</v>
      </c>
      <c r="F1990" s="90" t="s">
        <v>1454</v>
      </c>
      <c r="G1990" s="90"/>
      <c r="H1990" s="93"/>
      <c r="I1990" s="93"/>
      <c r="J1990" s="93"/>
      <c r="K1990" s="95"/>
      <c r="L1990" s="69"/>
      <c r="M1990" s="69"/>
      <c r="N1990" s="69"/>
      <c r="O1990" s="69"/>
      <c r="P1990" s="78"/>
      <c r="Q1990" s="96"/>
      <c r="R1990" s="97"/>
      <c r="S1990" s="98"/>
    </row>
    <row r="1991" spans="1:19" ht="42.75">
      <c r="A1991" s="90" t="s">
        <v>51</v>
      </c>
      <c r="B1991" s="91" t="s">
        <v>354</v>
      </c>
      <c r="C1991" s="91" t="s">
        <v>881</v>
      </c>
      <c r="D1991" s="90">
        <v>5314</v>
      </c>
      <c r="E1991" s="90">
        <v>5447</v>
      </c>
      <c r="F1991" s="90" t="s">
        <v>1454</v>
      </c>
      <c r="G1991" s="90"/>
      <c r="H1991" s="93"/>
      <c r="I1991" s="93"/>
      <c r="J1991" s="93"/>
      <c r="K1991" s="95"/>
      <c r="L1991" s="69"/>
      <c r="M1991" s="69"/>
      <c r="N1991" s="69"/>
      <c r="O1991" s="69"/>
      <c r="P1991" s="78"/>
      <c r="Q1991" s="96"/>
      <c r="R1991" s="97"/>
      <c r="S1991" s="98"/>
    </row>
    <row r="1992" spans="1:19" ht="42.75">
      <c r="A1992" s="90" t="s">
        <v>51</v>
      </c>
      <c r="B1992" s="91" t="s">
        <v>354</v>
      </c>
      <c r="C1992" s="91" t="s">
        <v>378</v>
      </c>
      <c r="D1992" s="90">
        <v>3943</v>
      </c>
      <c r="E1992" s="90">
        <v>4251</v>
      </c>
      <c r="F1992" s="90" t="s">
        <v>1454</v>
      </c>
      <c r="G1992" s="90"/>
      <c r="H1992" s="93"/>
      <c r="I1992" s="93"/>
      <c r="J1992" s="93"/>
      <c r="K1992" s="95"/>
      <c r="L1992" s="69"/>
      <c r="M1992" s="69"/>
      <c r="N1992" s="69"/>
      <c r="O1992" s="69"/>
      <c r="P1992" s="78"/>
      <c r="Q1992" s="96"/>
      <c r="R1992" s="97"/>
      <c r="S1992" s="98"/>
    </row>
    <row r="1993" spans="1:19" ht="42.75">
      <c r="A1993" s="90" t="s">
        <v>51</v>
      </c>
      <c r="B1993" s="91" t="s">
        <v>354</v>
      </c>
      <c r="C1993" s="91" t="s">
        <v>2234</v>
      </c>
      <c r="D1993" s="90">
        <v>3251</v>
      </c>
      <c r="E1993" s="90">
        <v>3474</v>
      </c>
      <c r="F1993" s="90" t="s">
        <v>1454</v>
      </c>
      <c r="G1993" s="90"/>
      <c r="H1993" s="93"/>
      <c r="I1993" s="93"/>
      <c r="J1993" s="93"/>
      <c r="K1993" s="95"/>
      <c r="L1993" s="69"/>
      <c r="M1993" s="69"/>
      <c r="N1993" s="69"/>
      <c r="O1993" s="69"/>
      <c r="P1993" s="78"/>
      <c r="Q1993" s="96"/>
      <c r="R1993" s="97"/>
      <c r="S1993" s="98"/>
    </row>
    <row r="1994" spans="1:19" ht="42.75">
      <c r="A1994" s="90" t="s">
        <v>51</v>
      </c>
      <c r="B1994" s="91" t="s">
        <v>354</v>
      </c>
      <c r="C1994" s="91" t="s">
        <v>653</v>
      </c>
      <c r="D1994" s="90">
        <v>5972</v>
      </c>
      <c r="E1994" s="90">
        <v>6098</v>
      </c>
      <c r="F1994" s="90" t="s">
        <v>1454</v>
      </c>
      <c r="G1994" s="90"/>
      <c r="H1994" s="93"/>
      <c r="I1994" s="93"/>
      <c r="J1994" s="93"/>
      <c r="K1994" s="95"/>
      <c r="L1994" s="69"/>
      <c r="M1994" s="69"/>
      <c r="N1994" s="69"/>
      <c r="O1994" s="69"/>
      <c r="P1994" s="78"/>
      <c r="Q1994" s="96"/>
      <c r="R1994" s="97"/>
      <c r="S1994" s="98"/>
    </row>
    <row r="1995" spans="1:19" ht="42.75">
      <c r="A1995" s="90" t="s">
        <v>51</v>
      </c>
      <c r="B1995" s="91" t="s">
        <v>354</v>
      </c>
      <c r="C1995" s="91" t="s">
        <v>764</v>
      </c>
      <c r="D1995" s="90">
        <v>2509</v>
      </c>
      <c r="E1995" s="90">
        <v>2738</v>
      </c>
      <c r="F1995" s="90" t="s">
        <v>1454</v>
      </c>
      <c r="G1995" s="90"/>
      <c r="H1995" s="93"/>
      <c r="I1995" s="93"/>
      <c r="J1995" s="93"/>
      <c r="K1995" s="95"/>
      <c r="L1995" s="69"/>
      <c r="M1995" s="69"/>
      <c r="N1995" s="69"/>
      <c r="O1995" s="69"/>
      <c r="P1995" s="78"/>
      <c r="Q1995" s="96"/>
      <c r="R1995" s="97"/>
      <c r="S1995" s="98"/>
    </row>
    <row r="1996" spans="1:19" ht="42.75">
      <c r="A1996" s="90" t="s">
        <v>51</v>
      </c>
      <c r="B1996" s="91" t="s">
        <v>354</v>
      </c>
      <c r="C1996" s="91" t="s">
        <v>3654</v>
      </c>
      <c r="D1996" s="90">
        <v>1888</v>
      </c>
      <c r="E1996" s="90">
        <v>1741</v>
      </c>
      <c r="F1996" s="90" t="s">
        <v>1454</v>
      </c>
      <c r="G1996" s="90"/>
      <c r="H1996" s="93"/>
      <c r="I1996" s="93"/>
      <c r="J1996" s="93"/>
      <c r="K1996" s="95"/>
      <c r="L1996" s="69"/>
      <c r="M1996" s="69"/>
      <c r="N1996" s="69"/>
      <c r="O1996" s="69"/>
      <c r="P1996" s="78"/>
      <c r="Q1996" s="96"/>
      <c r="R1996" s="97"/>
      <c r="S1996" s="98"/>
    </row>
    <row r="1997" spans="1:19" ht="42.75">
      <c r="A1997" s="90" t="s">
        <v>51</v>
      </c>
      <c r="B1997" s="91" t="s">
        <v>354</v>
      </c>
      <c r="C1997" s="91" t="s">
        <v>2282</v>
      </c>
      <c r="D1997" s="90">
        <v>3438</v>
      </c>
      <c r="E1997" s="90">
        <v>3920</v>
      </c>
      <c r="F1997" s="90" t="s">
        <v>1454</v>
      </c>
      <c r="G1997" s="90"/>
      <c r="H1997" s="93"/>
      <c r="I1997" s="93"/>
      <c r="J1997" s="93"/>
      <c r="K1997" s="95"/>
      <c r="L1997" s="69"/>
      <c r="M1997" s="69"/>
      <c r="N1997" s="69"/>
      <c r="O1997" s="69"/>
      <c r="P1997" s="78"/>
      <c r="Q1997" s="96"/>
      <c r="R1997" s="97"/>
      <c r="S1997" s="98"/>
    </row>
    <row r="1998" spans="1:19" ht="42.75">
      <c r="A1998" s="90" t="s">
        <v>51</v>
      </c>
      <c r="B1998" s="91" t="s">
        <v>354</v>
      </c>
      <c r="C1998" s="91" t="s">
        <v>3655</v>
      </c>
      <c r="D1998" s="90">
        <v>5961</v>
      </c>
      <c r="E1998" s="90">
        <v>6014</v>
      </c>
      <c r="F1998" s="90" t="s">
        <v>1454</v>
      </c>
      <c r="G1998" s="90"/>
      <c r="H1998" s="93"/>
      <c r="I1998" s="93"/>
      <c r="J1998" s="93"/>
      <c r="K1998" s="95"/>
      <c r="L1998" s="69"/>
      <c r="M1998" s="69"/>
      <c r="N1998" s="69"/>
      <c r="O1998" s="69"/>
      <c r="P1998" s="78"/>
      <c r="Q1998" s="96"/>
      <c r="R1998" s="97"/>
      <c r="S1998" s="98"/>
    </row>
    <row r="1999" spans="1:19" ht="42.75">
      <c r="A1999" s="90" t="s">
        <v>51</v>
      </c>
      <c r="B1999" s="91" t="s">
        <v>354</v>
      </c>
      <c r="C1999" s="91" t="s">
        <v>2236</v>
      </c>
      <c r="D1999" s="90">
        <v>3605</v>
      </c>
      <c r="E1999" s="90">
        <v>3767</v>
      </c>
      <c r="F1999" s="90" t="s">
        <v>1454</v>
      </c>
      <c r="G1999" s="90"/>
      <c r="H1999" s="93"/>
      <c r="I1999" s="93"/>
      <c r="J1999" s="93"/>
      <c r="K1999" s="95"/>
      <c r="L1999" s="69"/>
      <c r="M1999" s="69"/>
      <c r="N1999" s="69"/>
      <c r="O1999" s="69"/>
      <c r="P1999" s="78"/>
      <c r="Q1999" s="96"/>
      <c r="R1999" s="97"/>
      <c r="S1999" s="98"/>
    </row>
    <row r="2000" spans="1:19" ht="42.75">
      <c r="A2000" s="90" t="s">
        <v>51</v>
      </c>
      <c r="B2000" s="91" t="s">
        <v>354</v>
      </c>
      <c r="C2000" s="91" t="s">
        <v>2346</v>
      </c>
      <c r="D2000" s="90">
        <v>2099</v>
      </c>
      <c r="E2000" s="90">
        <v>2175</v>
      </c>
      <c r="F2000" s="90" t="s">
        <v>1454</v>
      </c>
      <c r="G2000" s="90"/>
      <c r="H2000" s="93"/>
      <c r="I2000" s="93"/>
      <c r="J2000" s="93"/>
      <c r="K2000" s="95"/>
      <c r="L2000" s="69"/>
      <c r="M2000" s="69"/>
      <c r="N2000" s="69"/>
      <c r="O2000" s="69"/>
      <c r="P2000" s="78"/>
      <c r="Q2000" s="96"/>
      <c r="R2000" s="97"/>
      <c r="S2000" s="98"/>
    </row>
    <row r="2001" spans="1:19" ht="42.75">
      <c r="A2001" s="90" t="s">
        <v>51</v>
      </c>
      <c r="B2001" s="91" t="s">
        <v>354</v>
      </c>
      <c r="C2001" s="91" t="s">
        <v>3656</v>
      </c>
      <c r="D2001" s="90">
        <v>3210</v>
      </c>
      <c r="E2001" s="90">
        <v>3998</v>
      </c>
      <c r="F2001" s="90" t="s">
        <v>1454</v>
      </c>
      <c r="G2001" s="90"/>
      <c r="H2001" s="93"/>
      <c r="I2001" s="93"/>
      <c r="J2001" s="93"/>
      <c r="K2001" s="95"/>
      <c r="L2001" s="69"/>
      <c r="M2001" s="69"/>
      <c r="N2001" s="69"/>
      <c r="O2001" s="69"/>
      <c r="P2001" s="78"/>
      <c r="Q2001" s="96"/>
      <c r="R2001" s="97"/>
      <c r="S2001" s="98"/>
    </row>
    <row r="2002" spans="1:19" ht="42.75">
      <c r="A2002" s="90" t="s">
        <v>51</v>
      </c>
      <c r="B2002" s="91" t="s">
        <v>532</v>
      </c>
      <c r="C2002" s="91" t="s">
        <v>3657</v>
      </c>
      <c r="D2002" s="90">
        <v>2165</v>
      </c>
      <c r="E2002" s="90">
        <v>2492</v>
      </c>
      <c r="F2002" s="90" t="s">
        <v>1454</v>
      </c>
      <c r="G2002" s="90"/>
      <c r="H2002" s="93"/>
      <c r="I2002" s="93"/>
      <c r="J2002" s="93"/>
      <c r="K2002" s="95"/>
      <c r="L2002" s="69"/>
      <c r="M2002" s="69"/>
      <c r="N2002" s="69"/>
      <c r="O2002" s="69"/>
      <c r="P2002" s="78"/>
      <c r="Q2002" s="96"/>
      <c r="R2002" s="97"/>
      <c r="S2002" s="98"/>
    </row>
    <row r="2003" spans="1:19" ht="42.75">
      <c r="A2003" s="90" t="s">
        <v>51</v>
      </c>
      <c r="B2003" s="91" t="s">
        <v>532</v>
      </c>
      <c r="C2003" s="91" t="s">
        <v>3658</v>
      </c>
      <c r="D2003" s="90">
        <v>758</v>
      </c>
      <c r="E2003" s="90">
        <v>800</v>
      </c>
      <c r="F2003" s="90" t="s">
        <v>1454</v>
      </c>
      <c r="G2003" s="90"/>
      <c r="H2003" s="93"/>
      <c r="I2003" s="93"/>
      <c r="J2003" s="93"/>
      <c r="K2003" s="95"/>
      <c r="L2003" s="69"/>
      <c r="M2003" s="69"/>
      <c r="N2003" s="69"/>
      <c r="O2003" s="69"/>
      <c r="P2003" s="78"/>
      <c r="Q2003" s="96"/>
      <c r="R2003" s="97"/>
      <c r="S2003" s="98"/>
    </row>
    <row r="2004" spans="1:19" ht="42.75">
      <c r="A2004" s="90" t="s">
        <v>51</v>
      </c>
      <c r="B2004" s="91" t="s">
        <v>532</v>
      </c>
      <c r="C2004" s="91" t="s">
        <v>3659</v>
      </c>
      <c r="D2004" s="90">
        <v>839</v>
      </c>
      <c r="E2004" s="90">
        <v>1374</v>
      </c>
      <c r="F2004" s="90" t="s">
        <v>1454</v>
      </c>
      <c r="G2004" s="90"/>
      <c r="H2004" s="93"/>
      <c r="I2004" s="93"/>
      <c r="J2004" s="93"/>
      <c r="K2004" s="95"/>
      <c r="L2004" s="69"/>
      <c r="M2004" s="69"/>
      <c r="N2004" s="69"/>
      <c r="O2004" s="69"/>
      <c r="P2004" s="78"/>
      <c r="Q2004" s="96"/>
      <c r="R2004" s="97"/>
      <c r="S2004" s="98"/>
    </row>
    <row r="2005" spans="1:19" ht="42.75">
      <c r="A2005" s="90" t="s">
        <v>51</v>
      </c>
      <c r="B2005" s="91" t="s">
        <v>532</v>
      </c>
      <c r="C2005" s="91" t="s">
        <v>3660</v>
      </c>
      <c r="D2005" s="90">
        <v>4548</v>
      </c>
      <c r="E2005" s="90">
        <v>4425</v>
      </c>
      <c r="F2005" s="90" t="s">
        <v>1454</v>
      </c>
      <c r="G2005" s="90"/>
      <c r="H2005" s="93"/>
      <c r="I2005" s="93"/>
      <c r="J2005" s="93"/>
      <c r="K2005" s="95"/>
      <c r="L2005" s="69"/>
      <c r="M2005" s="69"/>
      <c r="N2005" s="69"/>
      <c r="O2005" s="69"/>
      <c r="P2005" s="78"/>
      <c r="Q2005" s="96"/>
      <c r="R2005" s="97"/>
      <c r="S2005" s="98"/>
    </row>
    <row r="2006" spans="1:19" ht="42.75">
      <c r="A2006" s="90" t="s">
        <v>51</v>
      </c>
      <c r="B2006" s="91" t="s">
        <v>532</v>
      </c>
      <c r="C2006" s="91" t="s">
        <v>3661</v>
      </c>
      <c r="D2006" s="90">
        <v>2784</v>
      </c>
      <c r="E2006" s="90">
        <v>2975</v>
      </c>
      <c r="F2006" s="90" t="s">
        <v>1434</v>
      </c>
      <c r="G2006" s="90">
        <v>2024</v>
      </c>
      <c r="H2006" s="101">
        <v>45485</v>
      </c>
      <c r="I2006" s="101">
        <v>45490</v>
      </c>
      <c r="J2006" s="94" t="s">
        <v>3662</v>
      </c>
      <c r="K2006" s="100">
        <v>45491</v>
      </c>
      <c r="L2006" s="69" t="s">
        <v>80</v>
      </c>
      <c r="M2006" s="69" t="s">
        <v>4</v>
      </c>
      <c r="N2006" s="69" t="s">
        <v>101</v>
      </c>
      <c r="O2006" s="69" t="s">
        <v>1436</v>
      </c>
      <c r="P2006" s="78"/>
      <c r="Q2006" s="96">
        <v>45492</v>
      </c>
      <c r="R2006" s="97"/>
      <c r="S2006" s="98"/>
    </row>
    <row r="2007" spans="1:19" ht="42.75">
      <c r="A2007" s="90" t="s">
        <v>51</v>
      </c>
      <c r="B2007" s="91" t="s">
        <v>532</v>
      </c>
      <c r="C2007" s="91" t="s">
        <v>250</v>
      </c>
      <c r="D2007" s="90">
        <v>7493</v>
      </c>
      <c r="E2007" s="90">
        <v>8473</v>
      </c>
      <c r="F2007" s="90" t="s">
        <v>1454</v>
      </c>
      <c r="G2007" s="90"/>
      <c r="H2007" s="93"/>
      <c r="I2007" s="93"/>
      <c r="J2007" s="93"/>
      <c r="K2007" s="95"/>
      <c r="L2007" s="69"/>
      <c r="M2007" s="69"/>
      <c r="N2007" s="69"/>
      <c r="O2007" s="69"/>
      <c r="P2007" s="78"/>
      <c r="Q2007" s="96"/>
      <c r="R2007" s="97"/>
      <c r="S2007" s="98"/>
    </row>
    <row r="2008" spans="1:19" ht="42.75">
      <c r="A2008" s="90" t="s">
        <v>51</v>
      </c>
      <c r="B2008" s="91" t="s">
        <v>532</v>
      </c>
      <c r="C2008" s="91" t="s">
        <v>3622</v>
      </c>
      <c r="D2008" s="90">
        <v>1936</v>
      </c>
      <c r="E2008" s="90">
        <v>2312</v>
      </c>
      <c r="F2008" s="90" t="s">
        <v>1454</v>
      </c>
      <c r="G2008" s="90"/>
      <c r="H2008" s="93"/>
      <c r="I2008" s="93"/>
      <c r="J2008" s="93"/>
      <c r="K2008" s="95"/>
      <c r="L2008" s="69"/>
      <c r="M2008" s="69"/>
      <c r="N2008" s="69"/>
      <c r="O2008" s="69"/>
      <c r="P2008" s="78"/>
      <c r="Q2008" s="96"/>
      <c r="R2008" s="97"/>
      <c r="S2008" s="98"/>
    </row>
    <row r="2009" spans="1:19" ht="42.75">
      <c r="A2009" s="90" t="s">
        <v>51</v>
      </c>
      <c r="B2009" s="91" t="s">
        <v>532</v>
      </c>
      <c r="C2009" s="91" t="s">
        <v>3663</v>
      </c>
      <c r="D2009" s="90">
        <v>1564</v>
      </c>
      <c r="E2009" s="90">
        <v>1636</v>
      </c>
      <c r="F2009" s="90" t="s">
        <v>1454</v>
      </c>
      <c r="G2009" s="90"/>
      <c r="H2009" s="101"/>
      <c r="I2009" s="101"/>
      <c r="J2009" s="159"/>
      <c r="K2009" s="100"/>
      <c r="L2009" s="69"/>
      <c r="M2009" s="69"/>
      <c r="N2009" s="69"/>
      <c r="O2009" s="69" t="s">
        <v>1436</v>
      </c>
      <c r="P2009" s="78"/>
      <c r="Q2009" s="70">
        <v>45463</v>
      </c>
      <c r="R2009" s="97"/>
      <c r="S2009" s="98"/>
    </row>
    <row r="2010" spans="1:19" ht="42.75">
      <c r="A2010" s="90" t="s">
        <v>51</v>
      </c>
      <c r="B2010" s="91" t="s">
        <v>532</v>
      </c>
      <c r="C2010" s="91" t="s">
        <v>3664</v>
      </c>
      <c r="D2010" s="90">
        <v>4629</v>
      </c>
      <c r="E2010" s="90">
        <v>5703</v>
      </c>
      <c r="F2010" s="90" t="s">
        <v>1454</v>
      </c>
      <c r="G2010" s="90"/>
      <c r="H2010" s="93"/>
      <c r="I2010" s="93"/>
      <c r="J2010" s="93"/>
      <c r="K2010" s="95"/>
      <c r="L2010" s="69"/>
      <c r="M2010" s="69"/>
      <c r="N2010" s="69"/>
      <c r="O2010" s="69"/>
      <c r="P2010" s="78"/>
      <c r="Q2010" s="96"/>
      <c r="R2010" s="97"/>
      <c r="S2010" s="98"/>
    </row>
    <row r="2011" spans="1:19" ht="42.75">
      <c r="A2011" s="90" t="s">
        <v>51</v>
      </c>
      <c r="B2011" s="91" t="s">
        <v>532</v>
      </c>
      <c r="C2011" s="91" t="s">
        <v>2823</v>
      </c>
      <c r="D2011" s="90">
        <v>6344</v>
      </c>
      <c r="E2011" s="90">
        <v>7084</v>
      </c>
      <c r="F2011" s="90" t="s">
        <v>1454</v>
      </c>
      <c r="G2011" s="90"/>
      <c r="H2011" s="93"/>
      <c r="I2011" s="93"/>
      <c r="J2011" s="93"/>
      <c r="K2011" s="95"/>
      <c r="L2011" s="69"/>
      <c r="M2011" s="69"/>
      <c r="N2011" s="69"/>
      <c r="O2011" s="69"/>
      <c r="P2011" s="78"/>
      <c r="Q2011" s="96"/>
      <c r="R2011" s="97"/>
      <c r="S2011" s="98"/>
    </row>
    <row r="2012" spans="1:19" ht="42.75">
      <c r="A2012" s="90" t="s">
        <v>51</v>
      </c>
      <c r="B2012" s="91" t="s">
        <v>532</v>
      </c>
      <c r="C2012" s="91" t="s">
        <v>3665</v>
      </c>
      <c r="D2012" s="90">
        <v>4333</v>
      </c>
      <c r="E2012" s="90">
        <v>4440</v>
      </c>
      <c r="F2012" s="90" t="s">
        <v>1454</v>
      </c>
      <c r="G2012" s="90"/>
      <c r="H2012" s="93"/>
      <c r="I2012" s="93"/>
      <c r="J2012" s="93"/>
      <c r="K2012" s="95"/>
      <c r="L2012" s="69"/>
      <c r="M2012" s="69"/>
      <c r="N2012" s="69"/>
      <c r="O2012" s="69"/>
      <c r="P2012" s="78"/>
      <c r="Q2012" s="96"/>
      <c r="R2012" s="97"/>
      <c r="S2012" s="98"/>
    </row>
    <row r="2013" spans="1:19" ht="42.75">
      <c r="A2013" s="90" t="s">
        <v>51</v>
      </c>
      <c r="B2013" s="91" t="s">
        <v>532</v>
      </c>
      <c r="C2013" s="91" t="s">
        <v>3666</v>
      </c>
      <c r="D2013" s="90">
        <v>4222</v>
      </c>
      <c r="E2013" s="90">
        <v>4481</v>
      </c>
      <c r="F2013" s="90" t="s">
        <v>1454</v>
      </c>
      <c r="G2013" s="90"/>
      <c r="H2013" s="93"/>
      <c r="I2013" s="93"/>
      <c r="J2013" s="93"/>
      <c r="K2013" s="95"/>
      <c r="L2013" s="69"/>
      <c r="M2013" s="69"/>
      <c r="N2013" s="69"/>
      <c r="O2013" s="69"/>
      <c r="P2013" s="78"/>
      <c r="Q2013" s="96"/>
      <c r="R2013" s="97"/>
      <c r="S2013" s="98"/>
    </row>
    <row r="2014" spans="1:19" ht="42.75">
      <c r="A2014" s="90" t="s">
        <v>51</v>
      </c>
      <c r="B2014" s="91" t="s">
        <v>532</v>
      </c>
      <c r="C2014" s="91" t="s">
        <v>2342</v>
      </c>
      <c r="D2014" s="90">
        <v>2798</v>
      </c>
      <c r="E2014" s="90">
        <v>2796</v>
      </c>
      <c r="F2014" s="90" t="s">
        <v>1454</v>
      </c>
      <c r="G2014" s="90"/>
      <c r="H2014" s="93"/>
      <c r="I2014" s="93"/>
      <c r="J2014" s="93"/>
      <c r="K2014" s="95"/>
      <c r="L2014" s="69"/>
      <c r="M2014" s="69"/>
      <c r="N2014" s="69"/>
      <c r="O2014" s="69"/>
      <c r="P2014" s="78"/>
      <c r="Q2014" s="96"/>
      <c r="R2014" s="97"/>
      <c r="S2014" s="98"/>
    </row>
    <row r="2015" spans="1:19" ht="42.75">
      <c r="A2015" s="90" t="s">
        <v>51</v>
      </c>
      <c r="B2015" s="91" t="s">
        <v>532</v>
      </c>
      <c r="C2015" s="91" t="s">
        <v>714</v>
      </c>
      <c r="D2015" s="90">
        <v>3230</v>
      </c>
      <c r="E2015" s="90">
        <v>3127</v>
      </c>
      <c r="F2015" s="90" t="s">
        <v>1454</v>
      </c>
      <c r="G2015" s="90"/>
      <c r="H2015" s="93"/>
      <c r="I2015" s="93"/>
      <c r="J2015" s="93"/>
      <c r="K2015" s="95"/>
      <c r="L2015" s="69"/>
      <c r="M2015" s="69"/>
      <c r="N2015" s="69"/>
      <c r="O2015" s="69"/>
      <c r="P2015" s="78"/>
      <c r="Q2015" s="96"/>
      <c r="R2015" s="97"/>
      <c r="S2015" s="98"/>
    </row>
    <row r="2016" spans="1:19" ht="42.75">
      <c r="A2016" s="90" t="s">
        <v>51</v>
      </c>
      <c r="B2016" s="91" t="s">
        <v>532</v>
      </c>
      <c r="C2016" s="91" t="s">
        <v>2276</v>
      </c>
      <c r="D2016" s="90">
        <v>4929</v>
      </c>
      <c r="E2016" s="90">
        <v>5643</v>
      </c>
      <c r="F2016" s="90" t="s">
        <v>1454</v>
      </c>
      <c r="G2016" s="90"/>
      <c r="H2016" s="93"/>
      <c r="I2016" s="93"/>
      <c r="J2016" s="93"/>
      <c r="K2016" s="95"/>
      <c r="L2016" s="69"/>
      <c r="M2016" s="69"/>
      <c r="N2016" s="69"/>
      <c r="O2016" s="69"/>
      <c r="P2016" s="78"/>
      <c r="Q2016" s="96"/>
      <c r="R2016" s="97"/>
      <c r="S2016" s="98"/>
    </row>
    <row r="2017" spans="1:19" ht="42.75">
      <c r="A2017" s="90" t="s">
        <v>51</v>
      </c>
      <c r="B2017" s="91" t="s">
        <v>532</v>
      </c>
      <c r="C2017" s="91" t="s">
        <v>520</v>
      </c>
      <c r="D2017" s="90">
        <v>3289</v>
      </c>
      <c r="E2017" s="90">
        <v>4197</v>
      </c>
      <c r="F2017" s="90" t="s">
        <v>1454</v>
      </c>
      <c r="G2017" s="90"/>
      <c r="H2017" s="93"/>
      <c r="I2017" s="93"/>
      <c r="J2017" s="93"/>
      <c r="K2017" s="95"/>
      <c r="L2017" s="69"/>
      <c r="M2017" s="69"/>
      <c r="N2017" s="69"/>
      <c r="O2017" s="69"/>
      <c r="P2017" s="78"/>
      <c r="Q2017" s="96"/>
      <c r="R2017" s="97"/>
      <c r="S2017" s="98"/>
    </row>
    <row r="2018" spans="1:19" ht="42.75">
      <c r="A2018" s="90" t="s">
        <v>51</v>
      </c>
      <c r="B2018" s="91" t="s">
        <v>532</v>
      </c>
      <c r="C2018" s="91" t="s">
        <v>3667</v>
      </c>
      <c r="D2018" s="90">
        <v>1342</v>
      </c>
      <c r="E2018" s="90">
        <v>1138</v>
      </c>
      <c r="F2018" s="90" t="s">
        <v>1454</v>
      </c>
      <c r="G2018" s="90"/>
      <c r="H2018" s="93"/>
      <c r="I2018" s="93"/>
      <c r="J2018" s="93"/>
      <c r="K2018" s="95"/>
      <c r="L2018" s="69"/>
      <c r="M2018" s="69"/>
      <c r="N2018" s="69"/>
      <c r="O2018" s="69"/>
      <c r="P2018" s="78"/>
      <c r="Q2018" s="96"/>
      <c r="R2018" s="97"/>
      <c r="S2018" s="98"/>
    </row>
    <row r="2019" spans="1:19" ht="42.75">
      <c r="A2019" s="90" t="s">
        <v>51</v>
      </c>
      <c r="B2019" s="91" t="s">
        <v>532</v>
      </c>
      <c r="C2019" s="91" t="s">
        <v>3668</v>
      </c>
      <c r="D2019" s="90">
        <v>2176</v>
      </c>
      <c r="E2019" s="90">
        <v>2334</v>
      </c>
      <c r="F2019" s="90" t="s">
        <v>1454</v>
      </c>
      <c r="G2019" s="90"/>
      <c r="H2019" s="93"/>
      <c r="I2019" s="93"/>
      <c r="J2019" s="93"/>
      <c r="K2019" s="95"/>
      <c r="L2019" s="69"/>
      <c r="M2019" s="69"/>
      <c r="N2019" s="69"/>
      <c r="O2019" s="69"/>
      <c r="P2019" s="78"/>
      <c r="Q2019" s="96"/>
      <c r="R2019" s="97"/>
      <c r="S2019" s="98"/>
    </row>
    <row r="2020" spans="1:19" ht="42.75">
      <c r="A2020" s="90" t="s">
        <v>51</v>
      </c>
      <c r="B2020" s="91" t="s">
        <v>532</v>
      </c>
      <c r="C2020" s="91" t="s">
        <v>2178</v>
      </c>
      <c r="D2020" s="90">
        <v>2423</v>
      </c>
      <c r="E2020" s="90">
        <v>2586</v>
      </c>
      <c r="F2020" s="90" t="s">
        <v>1434</v>
      </c>
      <c r="G2020" s="90">
        <v>2024</v>
      </c>
      <c r="H2020" s="101">
        <v>45485</v>
      </c>
      <c r="I2020" s="101">
        <v>45490</v>
      </c>
      <c r="J2020" s="94" t="s">
        <v>3669</v>
      </c>
      <c r="K2020" s="100">
        <v>45491</v>
      </c>
      <c r="L2020" s="69" t="s">
        <v>80</v>
      </c>
      <c r="M2020" s="69" t="s">
        <v>4</v>
      </c>
      <c r="N2020" s="69" t="s">
        <v>101</v>
      </c>
      <c r="O2020" s="69" t="s">
        <v>1436</v>
      </c>
      <c r="P2020" s="78"/>
      <c r="Q2020" s="70">
        <v>45491</v>
      </c>
      <c r="R2020" s="97"/>
      <c r="S2020" s="98"/>
    </row>
    <row r="2021" spans="1:19" ht="42.75">
      <c r="A2021" s="90" t="s">
        <v>51</v>
      </c>
      <c r="B2021" s="91" t="s">
        <v>532</v>
      </c>
      <c r="C2021" s="91" t="s">
        <v>3651</v>
      </c>
      <c r="D2021" s="90">
        <v>1259</v>
      </c>
      <c r="E2021" s="90">
        <v>1369</v>
      </c>
      <c r="F2021" s="90" t="s">
        <v>1454</v>
      </c>
      <c r="G2021" s="90"/>
      <c r="H2021" s="93"/>
      <c r="I2021" s="93"/>
      <c r="J2021" s="93"/>
      <c r="K2021" s="95"/>
      <c r="L2021" s="69"/>
      <c r="M2021" s="69"/>
      <c r="N2021" s="69"/>
      <c r="O2021" s="69"/>
      <c r="P2021" s="78"/>
      <c r="Q2021" s="96"/>
      <c r="R2021" s="97"/>
      <c r="S2021" s="98"/>
    </row>
    <row r="2022" spans="1:19" ht="42.75">
      <c r="A2022" s="90" t="s">
        <v>51</v>
      </c>
      <c r="B2022" s="91" t="s">
        <v>532</v>
      </c>
      <c r="C2022" s="91" t="s">
        <v>440</v>
      </c>
      <c r="D2022" s="90">
        <v>3540</v>
      </c>
      <c r="E2022" s="90">
        <v>2940</v>
      </c>
      <c r="F2022" s="90" t="s">
        <v>1434</v>
      </c>
      <c r="G2022" s="90">
        <v>2024</v>
      </c>
      <c r="H2022" s="101">
        <v>45393</v>
      </c>
      <c r="I2022" s="101">
        <v>45397</v>
      </c>
      <c r="J2022" s="176" t="s">
        <v>3670</v>
      </c>
      <c r="K2022" s="100">
        <v>45399</v>
      </c>
      <c r="L2022" s="69" t="s">
        <v>77</v>
      </c>
      <c r="M2022" s="69"/>
      <c r="N2022" s="69"/>
      <c r="O2022" s="69" t="s">
        <v>1436</v>
      </c>
      <c r="P2022" s="78"/>
      <c r="Q2022" s="96"/>
      <c r="R2022" s="97"/>
      <c r="S2022" s="98"/>
    </row>
    <row r="2023" spans="1:19" ht="42.75">
      <c r="A2023" s="90" t="s">
        <v>51</v>
      </c>
      <c r="B2023" s="91" t="s">
        <v>532</v>
      </c>
      <c r="C2023" s="91" t="s">
        <v>3671</v>
      </c>
      <c r="D2023" s="90">
        <v>2958</v>
      </c>
      <c r="E2023" s="90">
        <v>3242</v>
      </c>
      <c r="F2023" s="90" t="s">
        <v>1434</v>
      </c>
      <c r="G2023" s="90">
        <v>2024</v>
      </c>
      <c r="H2023" s="101">
        <v>45394</v>
      </c>
      <c r="I2023" s="101">
        <v>45397</v>
      </c>
      <c r="J2023" s="94" t="s">
        <v>3672</v>
      </c>
      <c r="K2023" s="100">
        <v>45399</v>
      </c>
      <c r="L2023" s="69" t="s">
        <v>77</v>
      </c>
      <c r="M2023" s="69"/>
      <c r="N2023" s="69"/>
      <c r="O2023" s="69" t="s">
        <v>1436</v>
      </c>
      <c r="P2023" s="78"/>
      <c r="Q2023" s="96"/>
      <c r="R2023" s="97"/>
      <c r="S2023" s="98"/>
    </row>
    <row r="2024" spans="1:19" ht="42.75">
      <c r="A2024" s="90" t="s">
        <v>51</v>
      </c>
      <c r="B2024" s="91" t="s">
        <v>532</v>
      </c>
      <c r="C2024" s="91" t="s">
        <v>3653</v>
      </c>
      <c r="D2024" s="90">
        <v>2000</v>
      </c>
      <c r="E2024" s="90">
        <v>1860</v>
      </c>
      <c r="F2024" s="90" t="s">
        <v>1434</v>
      </c>
      <c r="G2024" s="90">
        <v>2024</v>
      </c>
      <c r="H2024" s="101">
        <v>45387</v>
      </c>
      <c r="I2024" s="101">
        <v>45397</v>
      </c>
      <c r="J2024" s="94" t="s">
        <v>3673</v>
      </c>
      <c r="K2024" s="100">
        <v>45399</v>
      </c>
      <c r="L2024" s="69" t="s">
        <v>77</v>
      </c>
      <c r="M2024" s="69"/>
      <c r="N2024" s="69"/>
      <c r="O2024" s="69" t="s">
        <v>1436</v>
      </c>
      <c r="P2024" s="78"/>
      <c r="Q2024" s="96"/>
      <c r="R2024" s="97"/>
      <c r="S2024" s="98"/>
    </row>
    <row r="2025" spans="1:19" ht="42.75">
      <c r="A2025" s="90" t="s">
        <v>51</v>
      </c>
      <c r="B2025" s="91" t="s">
        <v>532</v>
      </c>
      <c r="C2025" s="91" t="s">
        <v>3674</v>
      </c>
      <c r="D2025" s="90">
        <v>1631</v>
      </c>
      <c r="E2025" s="90">
        <v>1575</v>
      </c>
      <c r="F2025" s="90" t="s">
        <v>1454</v>
      </c>
      <c r="G2025" s="90"/>
      <c r="H2025" s="93"/>
      <c r="I2025" s="93"/>
      <c r="J2025" s="93"/>
      <c r="K2025" s="95"/>
      <c r="L2025" s="69"/>
      <c r="M2025" s="69"/>
      <c r="N2025" s="69"/>
      <c r="O2025" s="69"/>
      <c r="P2025" s="78"/>
      <c r="Q2025" s="96"/>
      <c r="R2025" s="97"/>
      <c r="S2025" s="98"/>
    </row>
    <row r="2026" spans="1:19" ht="42.75">
      <c r="A2026" s="90" t="s">
        <v>51</v>
      </c>
      <c r="B2026" s="91" t="s">
        <v>532</v>
      </c>
      <c r="C2026" s="91" t="s">
        <v>3675</v>
      </c>
      <c r="D2026" s="90">
        <v>5130</v>
      </c>
      <c r="E2026" s="90">
        <v>4340</v>
      </c>
      <c r="F2026" s="90" t="s">
        <v>1454</v>
      </c>
      <c r="G2026" s="90"/>
      <c r="H2026" s="93"/>
      <c r="I2026" s="93"/>
      <c r="J2026" s="93"/>
      <c r="K2026" s="95"/>
      <c r="L2026" s="69"/>
      <c r="M2026" s="69"/>
      <c r="N2026" s="69"/>
      <c r="O2026" s="69"/>
      <c r="P2026" s="78"/>
      <c r="Q2026" s="96"/>
      <c r="R2026" s="97"/>
      <c r="S2026" s="98"/>
    </row>
    <row r="2027" spans="1:19" ht="42.75">
      <c r="A2027" s="90" t="s">
        <v>51</v>
      </c>
      <c r="B2027" s="91" t="s">
        <v>532</v>
      </c>
      <c r="C2027" s="91" t="s">
        <v>3676</v>
      </c>
      <c r="D2027" s="90">
        <v>3335</v>
      </c>
      <c r="E2027" s="90">
        <v>4002</v>
      </c>
      <c r="F2027" s="90" t="s">
        <v>1454</v>
      </c>
      <c r="G2027" s="90"/>
      <c r="H2027" s="93"/>
      <c r="I2027" s="93"/>
      <c r="J2027" s="93"/>
      <c r="K2027" s="95"/>
      <c r="L2027" s="69"/>
      <c r="M2027" s="69"/>
      <c r="N2027" s="69"/>
      <c r="O2027" s="69"/>
      <c r="P2027" s="78"/>
      <c r="Q2027" s="96"/>
      <c r="R2027" s="97"/>
      <c r="S2027" s="98"/>
    </row>
    <row r="2028" spans="1:19" ht="42.75">
      <c r="A2028" s="90" t="s">
        <v>51</v>
      </c>
      <c r="B2028" s="91" t="s">
        <v>532</v>
      </c>
      <c r="C2028" s="91" t="s">
        <v>3677</v>
      </c>
      <c r="D2028" s="90">
        <v>1565</v>
      </c>
      <c r="E2028" s="90">
        <v>1811</v>
      </c>
      <c r="F2028" s="90" t="s">
        <v>1454</v>
      </c>
      <c r="G2028" s="90"/>
      <c r="H2028" s="93"/>
      <c r="I2028" s="93"/>
      <c r="J2028" s="93"/>
      <c r="K2028" s="95"/>
      <c r="L2028" s="69"/>
      <c r="M2028" s="69"/>
      <c r="N2028" s="69"/>
      <c r="O2028" s="69"/>
      <c r="P2028" s="78"/>
      <c r="Q2028" s="96"/>
      <c r="R2028" s="97"/>
      <c r="S2028" s="98"/>
    </row>
    <row r="2029" spans="1:19" ht="42.75">
      <c r="A2029" s="90" t="s">
        <v>51</v>
      </c>
      <c r="B2029" s="91" t="s">
        <v>532</v>
      </c>
      <c r="C2029" s="91" t="s">
        <v>3678</v>
      </c>
      <c r="D2029" s="90">
        <v>3154</v>
      </c>
      <c r="E2029" s="90">
        <v>3405</v>
      </c>
      <c r="F2029" s="90" t="s">
        <v>1454</v>
      </c>
      <c r="G2029" s="90"/>
      <c r="H2029" s="93"/>
      <c r="I2029" s="93"/>
      <c r="J2029" s="93"/>
      <c r="K2029" s="95"/>
      <c r="L2029" s="69"/>
      <c r="M2029" s="69"/>
      <c r="N2029" s="69"/>
      <c r="O2029" s="69"/>
      <c r="P2029" s="78"/>
      <c r="Q2029" s="96"/>
      <c r="R2029" s="97"/>
      <c r="S2029" s="98"/>
    </row>
    <row r="2030" spans="1:19" ht="42.75">
      <c r="A2030" s="90" t="s">
        <v>51</v>
      </c>
      <c r="B2030" s="91" t="s">
        <v>532</v>
      </c>
      <c r="C2030" s="91" t="s">
        <v>3679</v>
      </c>
      <c r="D2030" s="90">
        <v>12061</v>
      </c>
      <c r="E2030" s="90">
        <v>12955</v>
      </c>
      <c r="F2030" s="90" t="s">
        <v>1434</v>
      </c>
      <c r="G2030" s="90">
        <v>2024</v>
      </c>
      <c r="H2030" s="101">
        <v>45540</v>
      </c>
      <c r="I2030" s="101">
        <v>45550</v>
      </c>
      <c r="J2030" s="94" t="s">
        <v>3680</v>
      </c>
      <c r="K2030" s="100">
        <v>45552</v>
      </c>
      <c r="L2030" s="69" t="s">
        <v>82</v>
      </c>
      <c r="M2030" s="69" t="s">
        <v>4</v>
      </c>
      <c r="N2030" s="69" t="s">
        <v>101</v>
      </c>
      <c r="O2030" s="69" t="s">
        <v>1436</v>
      </c>
      <c r="P2030" s="78"/>
      <c r="Q2030" s="96">
        <v>45553</v>
      </c>
      <c r="R2030" s="97" t="s">
        <v>2415</v>
      </c>
      <c r="S2030" s="98"/>
    </row>
    <row r="2031" spans="1:19" ht="42.75">
      <c r="A2031" s="90" t="s">
        <v>51</v>
      </c>
      <c r="B2031" s="91" t="s">
        <v>532</v>
      </c>
      <c r="C2031" s="91" t="s">
        <v>653</v>
      </c>
      <c r="D2031" s="90">
        <v>1751</v>
      </c>
      <c r="E2031" s="90">
        <v>1391</v>
      </c>
      <c r="F2031" s="90" t="s">
        <v>1434</v>
      </c>
      <c r="G2031" s="90">
        <v>2024</v>
      </c>
      <c r="H2031" s="101">
        <v>45386</v>
      </c>
      <c r="I2031" s="101">
        <v>45397</v>
      </c>
      <c r="J2031" s="94" t="s">
        <v>3681</v>
      </c>
      <c r="K2031" s="100">
        <v>45399</v>
      </c>
      <c r="L2031" s="69" t="s">
        <v>77</v>
      </c>
      <c r="M2031" s="69"/>
      <c r="N2031" s="69"/>
      <c r="O2031" s="69" t="s">
        <v>1436</v>
      </c>
      <c r="P2031" s="78"/>
      <c r="Q2031" s="96"/>
      <c r="R2031" s="97"/>
      <c r="S2031" s="98"/>
    </row>
    <row r="2032" spans="1:19" ht="42.75">
      <c r="A2032" s="90" t="s">
        <v>51</v>
      </c>
      <c r="B2032" s="91" t="s">
        <v>532</v>
      </c>
      <c r="C2032" s="91" t="s">
        <v>2235</v>
      </c>
      <c r="D2032" s="90">
        <v>1902</v>
      </c>
      <c r="E2032" s="90">
        <v>2120</v>
      </c>
      <c r="F2032" s="90" t="s">
        <v>1434</v>
      </c>
      <c r="G2032" s="90">
        <v>2024</v>
      </c>
      <c r="H2032" s="101">
        <v>45573</v>
      </c>
      <c r="I2032" s="101">
        <v>111325</v>
      </c>
      <c r="J2032" s="94" t="s">
        <v>3682</v>
      </c>
      <c r="K2032" s="100">
        <v>45584</v>
      </c>
      <c r="L2032" s="69" t="s">
        <v>83</v>
      </c>
      <c r="M2032" s="69" t="s">
        <v>672</v>
      </c>
      <c r="N2032" s="69" t="s">
        <v>101</v>
      </c>
      <c r="O2032" s="69" t="s">
        <v>1436</v>
      </c>
      <c r="P2032" s="78"/>
      <c r="Q2032" s="96">
        <v>45586</v>
      </c>
      <c r="R2032" s="97" t="s">
        <v>929</v>
      </c>
      <c r="S2032" s="98"/>
    </row>
    <row r="2033" spans="1:19" ht="42.75">
      <c r="A2033" s="90" t="s">
        <v>51</v>
      </c>
      <c r="B2033" s="91" t="s">
        <v>532</v>
      </c>
      <c r="C2033" s="91" t="s">
        <v>3468</v>
      </c>
      <c r="D2033" s="90">
        <v>4928</v>
      </c>
      <c r="E2033" s="90">
        <v>5648</v>
      </c>
      <c r="F2033" s="90" t="s">
        <v>1434</v>
      </c>
      <c r="G2033" s="90">
        <v>2024</v>
      </c>
      <c r="H2033" s="101">
        <v>45573</v>
      </c>
      <c r="I2033" s="101">
        <v>111325</v>
      </c>
      <c r="J2033" s="94" t="s">
        <v>3683</v>
      </c>
      <c r="K2033" s="100">
        <v>45584</v>
      </c>
      <c r="L2033" s="69" t="s">
        <v>83</v>
      </c>
      <c r="M2033" s="69" t="s">
        <v>1589</v>
      </c>
      <c r="N2033" s="69" t="s">
        <v>1676</v>
      </c>
      <c r="O2033" s="69" t="s">
        <v>1436</v>
      </c>
      <c r="P2033" s="78"/>
      <c r="Q2033" s="96">
        <v>45586</v>
      </c>
      <c r="R2033" s="97" t="s">
        <v>929</v>
      </c>
      <c r="S2033" s="98"/>
    </row>
    <row r="2034" spans="1:19" ht="42.75">
      <c r="A2034" s="90" t="s">
        <v>51</v>
      </c>
      <c r="B2034" s="91" t="s">
        <v>532</v>
      </c>
      <c r="C2034" s="91" t="s">
        <v>554</v>
      </c>
      <c r="D2034" s="90">
        <v>16416</v>
      </c>
      <c r="E2034" s="90">
        <v>17700</v>
      </c>
      <c r="F2034" s="90" t="s">
        <v>1454</v>
      </c>
      <c r="G2034" s="90"/>
      <c r="H2034" s="93"/>
      <c r="I2034" s="93"/>
      <c r="J2034" s="93"/>
      <c r="K2034" s="95"/>
      <c r="L2034" s="69"/>
      <c r="M2034" s="69"/>
      <c r="N2034" s="69"/>
      <c r="O2034" s="69"/>
      <c r="P2034" s="78"/>
      <c r="Q2034" s="96"/>
      <c r="R2034" s="97"/>
      <c r="S2034" s="98"/>
    </row>
    <row r="2035" spans="1:19" ht="42.75">
      <c r="A2035" s="90" t="s">
        <v>51</v>
      </c>
      <c r="B2035" s="91" t="s">
        <v>532</v>
      </c>
      <c r="C2035" s="91" t="s">
        <v>3684</v>
      </c>
      <c r="D2035" s="90">
        <v>2168</v>
      </c>
      <c r="E2035" s="90">
        <v>2535</v>
      </c>
      <c r="F2035" s="90" t="s">
        <v>1454</v>
      </c>
      <c r="G2035" s="90"/>
      <c r="H2035" s="93"/>
      <c r="I2035" s="93"/>
      <c r="J2035" s="93"/>
      <c r="K2035" s="95"/>
      <c r="L2035" s="69"/>
      <c r="M2035" s="69"/>
      <c r="N2035" s="69"/>
      <c r="O2035" s="69"/>
      <c r="P2035" s="78"/>
      <c r="Q2035" s="96"/>
      <c r="R2035" s="97"/>
      <c r="S2035" s="98"/>
    </row>
    <row r="2036" spans="1:19" ht="42.75">
      <c r="A2036" s="90" t="s">
        <v>51</v>
      </c>
      <c r="B2036" s="91" t="s">
        <v>532</v>
      </c>
      <c r="C2036" s="91" t="s">
        <v>380</v>
      </c>
      <c r="D2036" s="90">
        <v>1564</v>
      </c>
      <c r="E2036" s="90">
        <v>1698</v>
      </c>
      <c r="F2036" s="90" t="s">
        <v>1454</v>
      </c>
      <c r="G2036" s="90"/>
      <c r="H2036" s="93"/>
      <c r="I2036" s="93"/>
      <c r="J2036" s="93"/>
      <c r="K2036" s="95"/>
      <c r="L2036" s="69"/>
      <c r="M2036" s="69"/>
      <c r="N2036" s="69"/>
      <c r="O2036" s="69"/>
      <c r="P2036" s="78"/>
      <c r="Q2036" s="96"/>
      <c r="R2036" s="97"/>
      <c r="S2036" s="98"/>
    </row>
    <row r="2037" spans="1:19" ht="42.75">
      <c r="A2037" s="90" t="s">
        <v>51</v>
      </c>
      <c r="B2037" s="91" t="s">
        <v>532</v>
      </c>
      <c r="C2037" s="91" t="s">
        <v>2345</v>
      </c>
      <c r="D2037" s="90">
        <v>5724</v>
      </c>
      <c r="E2037" s="90">
        <v>6006</v>
      </c>
      <c r="F2037" s="90" t="s">
        <v>1434</v>
      </c>
      <c r="G2037" s="90">
        <v>2024</v>
      </c>
      <c r="H2037" s="101">
        <v>45573</v>
      </c>
      <c r="I2037" s="101">
        <v>111325</v>
      </c>
      <c r="J2037" s="94" t="s">
        <v>3685</v>
      </c>
      <c r="K2037" s="100">
        <v>45584</v>
      </c>
      <c r="L2037" s="69" t="s">
        <v>83</v>
      </c>
      <c r="M2037" s="69" t="s">
        <v>1589</v>
      </c>
      <c r="N2037" s="69" t="s">
        <v>1676</v>
      </c>
      <c r="O2037" s="69" t="s">
        <v>1436</v>
      </c>
      <c r="P2037" s="78"/>
      <c r="Q2037" s="96">
        <v>45586</v>
      </c>
      <c r="R2037" s="97" t="s">
        <v>929</v>
      </c>
      <c r="S2037" s="98"/>
    </row>
    <row r="2038" spans="1:19" ht="42.75">
      <c r="A2038" s="90" t="s">
        <v>51</v>
      </c>
      <c r="B2038" s="91" t="s">
        <v>532</v>
      </c>
      <c r="C2038" s="91" t="s">
        <v>539</v>
      </c>
      <c r="D2038" s="90">
        <v>3516</v>
      </c>
      <c r="E2038" s="90">
        <v>2956</v>
      </c>
      <c r="F2038" s="90" t="s">
        <v>1454</v>
      </c>
      <c r="G2038" s="90"/>
      <c r="H2038" s="93"/>
      <c r="I2038" s="93"/>
      <c r="J2038" s="93"/>
      <c r="K2038" s="95"/>
      <c r="L2038" s="69"/>
      <c r="M2038" s="69"/>
      <c r="N2038" s="69"/>
      <c r="O2038" s="69"/>
      <c r="P2038" s="78"/>
      <c r="Q2038" s="96"/>
      <c r="R2038" s="97"/>
      <c r="S2038" s="98"/>
    </row>
    <row r="2039" spans="1:19" ht="42.75">
      <c r="A2039" s="90" t="s">
        <v>51</v>
      </c>
      <c r="B2039" s="91" t="s">
        <v>532</v>
      </c>
      <c r="C2039" s="91" t="s">
        <v>3686</v>
      </c>
      <c r="D2039" s="90">
        <v>2856</v>
      </c>
      <c r="E2039" s="90">
        <v>3606</v>
      </c>
      <c r="F2039" s="90" t="s">
        <v>1454</v>
      </c>
      <c r="G2039" s="90"/>
      <c r="H2039" s="93"/>
      <c r="I2039" s="93"/>
      <c r="J2039" s="93"/>
      <c r="K2039" s="95"/>
      <c r="L2039" s="69"/>
      <c r="M2039" s="69"/>
      <c r="N2039" s="69"/>
      <c r="O2039" s="69"/>
      <c r="P2039" s="78"/>
      <c r="Q2039" s="96"/>
      <c r="R2039" s="97"/>
      <c r="S2039" s="98"/>
    </row>
    <row r="2040" spans="1:19" ht="42.75">
      <c r="A2040" s="90" t="s">
        <v>51</v>
      </c>
      <c r="B2040" s="91" t="s">
        <v>532</v>
      </c>
      <c r="C2040" s="91" t="s">
        <v>3687</v>
      </c>
      <c r="D2040" s="90">
        <v>3373</v>
      </c>
      <c r="E2040" s="90">
        <v>4255</v>
      </c>
      <c r="F2040" s="90" t="s">
        <v>1454</v>
      </c>
      <c r="G2040" s="90"/>
      <c r="H2040" s="93"/>
      <c r="I2040" s="93"/>
      <c r="J2040" s="93"/>
      <c r="K2040" s="95"/>
      <c r="L2040" s="69"/>
      <c r="M2040" s="69"/>
      <c r="N2040" s="69"/>
      <c r="O2040" s="69"/>
      <c r="P2040" s="78"/>
      <c r="Q2040" s="96"/>
      <c r="R2040" s="97"/>
      <c r="S2040" s="98"/>
    </row>
    <row r="2041" spans="1:19" ht="42.75">
      <c r="A2041" s="90" t="s">
        <v>51</v>
      </c>
      <c r="B2041" s="91" t="s">
        <v>532</v>
      </c>
      <c r="C2041" s="91" t="s">
        <v>1020</v>
      </c>
      <c r="D2041" s="90">
        <v>3940</v>
      </c>
      <c r="E2041" s="90">
        <v>4575</v>
      </c>
      <c r="F2041" s="90" t="s">
        <v>1454</v>
      </c>
      <c r="G2041" s="90"/>
      <c r="H2041" s="93"/>
      <c r="I2041" s="93"/>
      <c r="J2041" s="93"/>
      <c r="K2041" s="95"/>
      <c r="L2041" s="69"/>
      <c r="M2041" s="69"/>
      <c r="N2041" s="69"/>
      <c r="O2041" s="69"/>
      <c r="P2041" s="78"/>
      <c r="Q2041" s="96"/>
      <c r="R2041" s="97"/>
      <c r="S2041" s="98"/>
    </row>
    <row r="2042" spans="1:19" ht="42.75">
      <c r="A2042" s="90" t="s">
        <v>51</v>
      </c>
      <c r="B2042" s="91" t="s">
        <v>532</v>
      </c>
      <c r="C2042" s="91" t="s">
        <v>526</v>
      </c>
      <c r="D2042" s="90">
        <v>3688</v>
      </c>
      <c r="E2042" s="90">
        <v>4525</v>
      </c>
      <c r="F2042" s="90" t="s">
        <v>1434</v>
      </c>
      <c r="G2042" s="90">
        <v>2024</v>
      </c>
      <c r="H2042" s="101">
        <v>45426</v>
      </c>
      <c r="I2042" s="101">
        <v>45428</v>
      </c>
      <c r="J2042" s="94" t="s">
        <v>3688</v>
      </c>
      <c r="K2042" s="100">
        <v>45429</v>
      </c>
      <c r="L2042" s="69" t="s">
        <v>3689</v>
      </c>
      <c r="M2042" s="69"/>
      <c r="N2042" s="69"/>
      <c r="O2042" s="69" t="s">
        <v>1436</v>
      </c>
      <c r="P2042" s="78"/>
      <c r="Q2042" s="96">
        <v>45429</v>
      </c>
      <c r="R2042" s="97"/>
      <c r="S2042" s="98"/>
    </row>
    <row r="2043" spans="1:19" ht="42.75">
      <c r="A2043" s="90" t="s">
        <v>51</v>
      </c>
      <c r="B2043" s="91" t="s">
        <v>532</v>
      </c>
      <c r="C2043" s="91" t="s">
        <v>1879</v>
      </c>
      <c r="D2043" s="90">
        <v>3110</v>
      </c>
      <c r="E2043" s="90">
        <v>3852</v>
      </c>
      <c r="F2043" s="90" t="s">
        <v>1454</v>
      </c>
      <c r="G2043" s="90"/>
      <c r="H2043" s="93"/>
      <c r="I2043" s="93"/>
      <c r="J2043" s="93"/>
      <c r="K2043" s="95"/>
      <c r="L2043" s="69"/>
      <c r="M2043" s="69"/>
      <c r="N2043" s="69"/>
      <c r="O2043" s="69"/>
      <c r="P2043" s="78"/>
      <c r="Q2043" s="96"/>
      <c r="R2043" s="97"/>
      <c r="S2043" s="98"/>
    </row>
    <row r="2044" spans="1:19" ht="42.75">
      <c r="A2044" s="90" t="s">
        <v>51</v>
      </c>
      <c r="B2044" s="91" t="s">
        <v>532</v>
      </c>
      <c r="C2044" s="91" t="s">
        <v>3690</v>
      </c>
      <c r="D2044" s="90">
        <v>6365</v>
      </c>
      <c r="E2044" s="90">
        <v>5983</v>
      </c>
      <c r="F2044" s="90" t="s">
        <v>1454</v>
      </c>
      <c r="G2044" s="90"/>
      <c r="H2044" s="93"/>
      <c r="I2044" s="93"/>
      <c r="J2044" s="93"/>
      <c r="K2044" s="95"/>
      <c r="L2044" s="69"/>
      <c r="M2044" s="69"/>
      <c r="N2044" s="69"/>
      <c r="O2044" s="69"/>
      <c r="P2044" s="78"/>
      <c r="Q2044" s="96"/>
      <c r="R2044" s="97"/>
      <c r="S2044" s="98"/>
    </row>
    <row r="2045" spans="1:19" ht="42.75">
      <c r="A2045" s="90" t="s">
        <v>51</v>
      </c>
      <c r="B2045" s="91" t="s">
        <v>532</v>
      </c>
      <c r="C2045" s="91" t="s">
        <v>2236</v>
      </c>
      <c r="D2045" s="90">
        <v>1102</v>
      </c>
      <c r="E2045" s="90">
        <v>1137</v>
      </c>
      <c r="F2045" s="90" t="s">
        <v>1454</v>
      </c>
      <c r="G2045" s="90"/>
      <c r="H2045" s="93"/>
      <c r="I2045" s="93"/>
      <c r="J2045" s="93"/>
      <c r="K2045" s="95"/>
      <c r="L2045" s="69"/>
      <c r="M2045" s="69"/>
      <c r="N2045" s="69"/>
      <c r="O2045" s="69"/>
      <c r="P2045" s="78"/>
      <c r="Q2045" s="96"/>
      <c r="R2045" s="97"/>
      <c r="S2045" s="98"/>
    </row>
    <row r="2046" spans="1:19" ht="42.75">
      <c r="A2046" s="90" t="s">
        <v>51</v>
      </c>
      <c r="B2046" s="91" t="s">
        <v>534</v>
      </c>
      <c r="C2046" s="91" t="s">
        <v>3691</v>
      </c>
      <c r="D2046" s="90">
        <v>9704</v>
      </c>
      <c r="E2046" s="90">
        <v>11411</v>
      </c>
      <c r="F2046" s="90" t="s">
        <v>1454</v>
      </c>
      <c r="G2046" s="90"/>
      <c r="H2046" s="93"/>
      <c r="I2046" s="93"/>
      <c r="J2046" s="93"/>
      <c r="K2046" s="95"/>
      <c r="L2046" s="69"/>
      <c r="M2046" s="69"/>
      <c r="N2046" s="69"/>
      <c r="O2046" s="69"/>
      <c r="P2046" s="78"/>
      <c r="Q2046" s="96"/>
      <c r="R2046" s="97"/>
      <c r="S2046" s="98"/>
    </row>
    <row r="2047" spans="1:19" ht="42.75">
      <c r="A2047" s="90" t="s">
        <v>51</v>
      </c>
      <c r="B2047" s="91" t="s">
        <v>534</v>
      </c>
      <c r="C2047" s="91" t="s">
        <v>3164</v>
      </c>
      <c r="D2047" s="90">
        <v>3901</v>
      </c>
      <c r="E2047" s="90">
        <v>4786</v>
      </c>
      <c r="F2047" s="90" t="s">
        <v>1454</v>
      </c>
      <c r="G2047" s="90"/>
      <c r="H2047" s="93"/>
      <c r="I2047" s="93"/>
      <c r="J2047" s="93"/>
      <c r="K2047" s="95"/>
      <c r="L2047" s="69"/>
      <c r="M2047" s="69"/>
      <c r="N2047" s="69"/>
      <c r="O2047" s="69"/>
      <c r="P2047" s="78"/>
      <c r="Q2047" s="96"/>
      <c r="R2047" s="97"/>
      <c r="S2047" s="98"/>
    </row>
    <row r="2048" spans="1:19" ht="42.75">
      <c r="A2048" s="90" t="s">
        <v>51</v>
      </c>
      <c r="B2048" s="91" t="s">
        <v>534</v>
      </c>
      <c r="C2048" s="91" t="s">
        <v>3692</v>
      </c>
      <c r="D2048" s="90">
        <v>3151</v>
      </c>
      <c r="E2048" s="90">
        <v>3885</v>
      </c>
      <c r="F2048" s="90" t="s">
        <v>1454</v>
      </c>
      <c r="G2048" s="90"/>
      <c r="H2048" s="93"/>
      <c r="I2048" s="93"/>
      <c r="J2048" s="93"/>
      <c r="K2048" s="95"/>
      <c r="L2048" s="69"/>
      <c r="M2048" s="69"/>
      <c r="N2048" s="69"/>
      <c r="O2048" s="69"/>
      <c r="P2048" s="78"/>
      <c r="Q2048" s="96"/>
      <c r="R2048" s="97"/>
      <c r="S2048" s="98"/>
    </row>
    <row r="2049" spans="1:19" ht="42.75">
      <c r="A2049" s="90" t="s">
        <v>51</v>
      </c>
      <c r="B2049" s="91" t="s">
        <v>534</v>
      </c>
      <c r="C2049" s="91" t="s">
        <v>3693</v>
      </c>
      <c r="D2049" s="90">
        <v>1927</v>
      </c>
      <c r="E2049" s="90">
        <v>2997</v>
      </c>
      <c r="F2049" s="90" t="s">
        <v>1454</v>
      </c>
      <c r="G2049" s="90"/>
      <c r="H2049" s="93"/>
      <c r="I2049" s="93"/>
      <c r="J2049" s="93"/>
      <c r="K2049" s="95"/>
      <c r="L2049" s="69"/>
      <c r="M2049" s="69"/>
      <c r="N2049" s="69"/>
      <c r="O2049" s="69"/>
      <c r="P2049" s="78"/>
      <c r="Q2049" s="96"/>
      <c r="R2049" s="97"/>
      <c r="S2049" s="98"/>
    </row>
    <row r="2050" spans="1:19" ht="42.75">
      <c r="A2050" s="90" t="s">
        <v>51</v>
      </c>
      <c r="B2050" s="91" t="s">
        <v>534</v>
      </c>
      <c r="C2050" s="91" t="s">
        <v>2306</v>
      </c>
      <c r="D2050" s="90">
        <v>1812</v>
      </c>
      <c r="E2050" s="90">
        <v>2017</v>
      </c>
      <c r="F2050" s="90" t="s">
        <v>1454</v>
      </c>
      <c r="G2050" s="90"/>
      <c r="H2050" s="93"/>
      <c r="I2050" s="93"/>
      <c r="J2050" s="93"/>
      <c r="K2050" s="95"/>
      <c r="L2050" s="69"/>
      <c r="M2050" s="69"/>
      <c r="N2050" s="69"/>
      <c r="O2050" s="69"/>
      <c r="P2050" s="78"/>
      <c r="Q2050" s="96"/>
      <c r="R2050" s="97"/>
      <c r="S2050" s="98"/>
    </row>
    <row r="2051" spans="1:19" ht="42.75">
      <c r="A2051" s="90" t="s">
        <v>51</v>
      </c>
      <c r="B2051" s="91" t="s">
        <v>534</v>
      </c>
      <c r="C2051" s="91" t="s">
        <v>3694</v>
      </c>
      <c r="D2051" s="90">
        <v>11387</v>
      </c>
      <c r="E2051" s="90">
        <v>13063</v>
      </c>
      <c r="F2051" s="90" t="s">
        <v>1454</v>
      </c>
      <c r="G2051" s="90"/>
      <c r="H2051" s="93"/>
      <c r="I2051" s="93"/>
      <c r="J2051" s="93"/>
      <c r="K2051" s="95"/>
      <c r="L2051" s="69"/>
      <c r="M2051" s="69"/>
      <c r="N2051" s="69"/>
      <c r="O2051" s="69"/>
      <c r="P2051" s="78"/>
      <c r="Q2051" s="96"/>
      <c r="R2051" s="97"/>
      <c r="S2051" s="98"/>
    </row>
    <row r="2052" spans="1:19" ht="42.75">
      <c r="A2052" s="90" t="s">
        <v>51</v>
      </c>
      <c r="B2052" s="91" t="s">
        <v>534</v>
      </c>
      <c r="C2052" s="91" t="s">
        <v>950</v>
      </c>
      <c r="D2052" s="90">
        <v>37789</v>
      </c>
      <c r="E2052" s="90">
        <v>41695</v>
      </c>
      <c r="F2052" s="90" t="s">
        <v>1454</v>
      </c>
      <c r="G2052" s="90"/>
      <c r="H2052" s="93"/>
      <c r="I2052" s="93"/>
      <c r="J2052" s="93"/>
      <c r="K2052" s="95"/>
      <c r="L2052" s="69"/>
      <c r="M2052" s="69"/>
      <c r="N2052" s="69"/>
      <c r="O2052" s="69"/>
      <c r="P2052" s="78"/>
      <c r="Q2052" s="96"/>
      <c r="R2052" s="97"/>
      <c r="S2052" s="98"/>
    </row>
    <row r="2053" spans="1:19" ht="42.75">
      <c r="A2053" s="90" t="s">
        <v>51</v>
      </c>
      <c r="B2053" s="91" t="s">
        <v>534</v>
      </c>
      <c r="C2053" s="91" t="s">
        <v>3695</v>
      </c>
      <c r="D2053" s="90">
        <v>54541</v>
      </c>
      <c r="E2053" s="90">
        <v>62378</v>
      </c>
      <c r="F2053" s="90" t="s">
        <v>1454</v>
      </c>
      <c r="G2053" s="90"/>
      <c r="H2053" s="93"/>
      <c r="I2053" s="93"/>
      <c r="J2053" s="93"/>
      <c r="K2053" s="95"/>
      <c r="L2053" s="69"/>
      <c r="M2053" s="69"/>
      <c r="N2053" s="69"/>
      <c r="O2053" s="69"/>
      <c r="P2053" s="78"/>
      <c r="Q2053" s="96"/>
      <c r="R2053" s="97"/>
      <c r="S2053" s="98"/>
    </row>
    <row r="2054" spans="1:19" ht="42.75">
      <c r="A2054" s="90" t="s">
        <v>51</v>
      </c>
      <c r="B2054" s="91" t="s">
        <v>534</v>
      </c>
      <c r="C2054" s="91" t="s">
        <v>3386</v>
      </c>
      <c r="D2054" s="90">
        <v>2841</v>
      </c>
      <c r="E2054" s="90">
        <v>4305</v>
      </c>
      <c r="F2054" s="90" t="s">
        <v>1454</v>
      </c>
      <c r="G2054" s="90"/>
      <c r="H2054" s="93"/>
      <c r="I2054" s="93"/>
      <c r="J2054" s="93"/>
      <c r="K2054" s="95"/>
      <c r="L2054" s="69"/>
      <c r="M2054" s="69"/>
      <c r="N2054" s="69"/>
      <c r="O2054" s="69"/>
      <c r="P2054" s="78"/>
      <c r="Q2054" s="96"/>
      <c r="R2054" s="97"/>
      <c r="S2054" s="98"/>
    </row>
    <row r="2055" spans="1:19" ht="42.75">
      <c r="A2055" s="90" t="s">
        <v>51</v>
      </c>
      <c r="B2055" s="91" t="s">
        <v>534</v>
      </c>
      <c r="C2055" s="91" t="s">
        <v>3696</v>
      </c>
      <c r="D2055" s="90">
        <v>12268</v>
      </c>
      <c r="E2055" s="90">
        <v>13899</v>
      </c>
      <c r="F2055" s="90" t="s">
        <v>1454</v>
      </c>
      <c r="G2055" s="90"/>
      <c r="H2055" s="93"/>
      <c r="I2055" s="93"/>
      <c r="J2055" s="93"/>
      <c r="K2055" s="95"/>
      <c r="L2055" s="69"/>
      <c r="M2055" s="69"/>
      <c r="N2055" s="69"/>
      <c r="O2055" s="69"/>
      <c r="P2055" s="78"/>
      <c r="Q2055" s="96"/>
      <c r="R2055" s="97"/>
      <c r="S2055" s="98"/>
    </row>
    <row r="2056" spans="1:19" ht="42.75">
      <c r="A2056" s="90" t="s">
        <v>51</v>
      </c>
      <c r="B2056" s="91" t="s">
        <v>534</v>
      </c>
      <c r="C2056" s="91" t="s">
        <v>3697</v>
      </c>
      <c r="D2056" s="90">
        <v>6786</v>
      </c>
      <c r="E2056" s="90">
        <v>8387</v>
      </c>
      <c r="F2056" s="90" t="s">
        <v>1454</v>
      </c>
      <c r="G2056" s="90"/>
      <c r="H2056" s="93"/>
      <c r="I2056" s="93"/>
      <c r="J2056" s="93"/>
      <c r="K2056" s="95"/>
      <c r="L2056" s="69"/>
      <c r="M2056" s="69"/>
      <c r="N2056" s="69"/>
      <c r="O2056" s="69"/>
      <c r="P2056" s="78"/>
      <c r="Q2056" s="96"/>
      <c r="R2056" s="97"/>
      <c r="S2056" s="98"/>
    </row>
    <row r="2057" spans="1:19" ht="42.75">
      <c r="A2057" s="90" t="s">
        <v>51</v>
      </c>
      <c r="B2057" s="91" t="s">
        <v>534</v>
      </c>
      <c r="C2057" s="91" t="s">
        <v>1923</v>
      </c>
      <c r="D2057" s="90">
        <v>19056</v>
      </c>
      <c r="E2057" s="90">
        <v>24042</v>
      </c>
      <c r="F2057" s="90" t="s">
        <v>1454</v>
      </c>
      <c r="G2057" s="90"/>
      <c r="H2057" s="93"/>
      <c r="I2057" s="93"/>
      <c r="J2057" s="93"/>
      <c r="K2057" s="95"/>
      <c r="L2057" s="69"/>
      <c r="M2057" s="69"/>
      <c r="N2057" s="69"/>
      <c r="O2057" s="69"/>
      <c r="P2057" s="78"/>
      <c r="Q2057" s="96"/>
      <c r="R2057" s="97"/>
      <c r="S2057" s="98"/>
    </row>
    <row r="2058" spans="1:19" ht="42.75">
      <c r="A2058" s="90" t="s">
        <v>51</v>
      </c>
      <c r="B2058" s="91" t="s">
        <v>534</v>
      </c>
      <c r="C2058" s="91" t="s">
        <v>3698</v>
      </c>
      <c r="D2058" s="90">
        <v>3768</v>
      </c>
      <c r="E2058" s="90">
        <v>4202</v>
      </c>
      <c r="F2058" s="90" t="s">
        <v>1454</v>
      </c>
      <c r="G2058" s="90"/>
      <c r="H2058" s="93"/>
      <c r="I2058" s="93"/>
      <c r="J2058" s="93"/>
      <c r="K2058" s="95"/>
      <c r="L2058" s="69"/>
      <c r="M2058" s="69"/>
      <c r="N2058" s="69"/>
      <c r="O2058" s="69"/>
      <c r="P2058" s="78"/>
      <c r="Q2058" s="96"/>
      <c r="R2058" s="97"/>
      <c r="S2058" s="98"/>
    </row>
    <row r="2059" spans="1:19" ht="42.75">
      <c r="A2059" s="90" t="s">
        <v>51</v>
      </c>
      <c r="B2059" s="91" t="s">
        <v>534</v>
      </c>
      <c r="C2059" s="91" t="s">
        <v>3699</v>
      </c>
      <c r="D2059" s="90">
        <v>2250</v>
      </c>
      <c r="E2059" s="90">
        <v>2284</v>
      </c>
      <c r="F2059" s="90" t="s">
        <v>1454</v>
      </c>
      <c r="G2059" s="90"/>
      <c r="H2059" s="93"/>
      <c r="I2059" s="93"/>
      <c r="J2059" s="93"/>
      <c r="K2059" s="95"/>
      <c r="L2059" s="69"/>
      <c r="M2059" s="69"/>
      <c r="N2059" s="69"/>
      <c r="O2059" s="69"/>
      <c r="P2059" s="78"/>
      <c r="Q2059" s="96"/>
      <c r="R2059" s="97"/>
      <c r="S2059" s="98"/>
    </row>
    <row r="2060" spans="1:19" ht="42.75">
      <c r="A2060" s="90" t="s">
        <v>51</v>
      </c>
      <c r="B2060" s="91" t="s">
        <v>534</v>
      </c>
      <c r="C2060" s="91" t="s">
        <v>3700</v>
      </c>
      <c r="D2060" s="90">
        <v>940</v>
      </c>
      <c r="E2060" s="90">
        <v>954</v>
      </c>
      <c r="F2060" s="90" t="s">
        <v>1454</v>
      </c>
      <c r="G2060" s="90"/>
      <c r="H2060" s="93"/>
      <c r="I2060" s="93"/>
      <c r="J2060" s="93"/>
      <c r="K2060" s="95"/>
      <c r="L2060" s="69"/>
      <c r="M2060" s="69"/>
      <c r="N2060" s="69"/>
      <c r="O2060" s="69"/>
      <c r="P2060" s="78"/>
      <c r="Q2060" s="96"/>
      <c r="R2060" s="97"/>
      <c r="S2060" s="98"/>
    </row>
    <row r="2061" spans="1:19" ht="42.75">
      <c r="A2061" s="90" t="s">
        <v>51</v>
      </c>
      <c r="B2061" s="91" t="s">
        <v>534</v>
      </c>
      <c r="C2061" s="91" t="s">
        <v>3217</v>
      </c>
      <c r="D2061" s="90">
        <v>2924</v>
      </c>
      <c r="E2061" s="90">
        <v>4957</v>
      </c>
      <c r="F2061" s="90" t="s">
        <v>1454</v>
      </c>
      <c r="G2061" s="90"/>
      <c r="H2061" s="93"/>
      <c r="I2061" s="93"/>
      <c r="J2061" s="93"/>
      <c r="K2061" s="95"/>
      <c r="L2061" s="69"/>
      <c r="M2061" s="69"/>
      <c r="N2061" s="69"/>
      <c r="O2061" s="69"/>
      <c r="P2061" s="78"/>
      <c r="Q2061" s="96"/>
      <c r="R2061" s="97"/>
      <c r="S2061" s="98"/>
    </row>
    <row r="2062" spans="1:19" ht="42.75">
      <c r="A2062" s="90" t="s">
        <v>51</v>
      </c>
      <c r="B2062" s="91" t="s">
        <v>534</v>
      </c>
      <c r="C2062" s="91" t="s">
        <v>3701</v>
      </c>
      <c r="D2062" s="90">
        <v>3056</v>
      </c>
      <c r="E2062" s="90">
        <v>3692</v>
      </c>
      <c r="F2062" s="90" t="s">
        <v>1454</v>
      </c>
      <c r="G2062" s="90"/>
      <c r="H2062" s="93"/>
      <c r="I2062" s="93"/>
      <c r="J2062" s="93"/>
      <c r="K2062" s="95"/>
      <c r="L2062" s="69"/>
      <c r="M2062" s="69"/>
      <c r="N2062" s="69"/>
      <c r="O2062" s="69"/>
      <c r="P2062" s="78"/>
      <c r="Q2062" s="96"/>
      <c r="R2062" s="97"/>
      <c r="S2062" s="98"/>
    </row>
    <row r="2063" spans="1:19" ht="42.75">
      <c r="A2063" s="90" t="s">
        <v>51</v>
      </c>
      <c r="B2063" s="91" t="s">
        <v>534</v>
      </c>
      <c r="C2063" s="91" t="s">
        <v>3702</v>
      </c>
      <c r="D2063" s="90">
        <v>1588</v>
      </c>
      <c r="E2063" s="90">
        <v>1830</v>
      </c>
      <c r="F2063" s="90" t="s">
        <v>1454</v>
      </c>
      <c r="G2063" s="90"/>
      <c r="H2063" s="93"/>
      <c r="I2063" s="93"/>
      <c r="J2063" s="93"/>
      <c r="K2063" s="95"/>
      <c r="L2063" s="69"/>
      <c r="M2063" s="69"/>
      <c r="N2063" s="69"/>
      <c r="O2063" s="69"/>
      <c r="P2063" s="78"/>
      <c r="Q2063" s="96"/>
      <c r="R2063" s="97"/>
      <c r="S2063" s="98"/>
    </row>
    <row r="2064" spans="1:19" ht="42.75">
      <c r="A2064" s="90" t="s">
        <v>51</v>
      </c>
      <c r="B2064" s="91" t="s">
        <v>534</v>
      </c>
      <c r="C2064" s="91" t="s">
        <v>926</v>
      </c>
      <c r="D2064" s="90">
        <v>2782</v>
      </c>
      <c r="E2064" s="90">
        <v>2759</v>
      </c>
      <c r="F2064" s="90" t="s">
        <v>1454</v>
      </c>
      <c r="G2064" s="90"/>
      <c r="H2064" s="93"/>
      <c r="I2064" s="93"/>
      <c r="J2064" s="93"/>
      <c r="K2064" s="95"/>
      <c r="L2064" s="69"/>
      <c r="M2064" s="69"/>
      <c r="N2064" s="69"/>
      <c r="O2064" s="69"/>
      <c r="P2064" s="78"/>
      <c r="Q2064" s="96"/>
      <c r="R2064" s="97"/>
      <c r="S2064" s="98"/>
    </row>
    <row r="2065" spans="1:19" ht="42.75">
      <c r="A2065" s="90" t="s">
        <v>51</v>
      </c>
      <c r="B2065" s="91" t="s">
        <v>534</v>
      </c>
      <c r="C2065" s="91" t="s">
        <v>2276</v>
      </c>
      <c r="D2065" s="90">
        <v>12354</v>
      </c>
      <c r="E2065" s="90">
        <v>14661</v>
      </c>
      <c r="F2065" s="90" t="s">
        <v>1454</v>
      </c>
      <c r="G2065" s="90"/>
      <c r="H2065" s="93"/>
      <c r="I2065" s="93"/>
      <c r="J2065" s="93"/>
      <c r="K2065" s="95"/>
      <c r="L2065" s="69"/>
      <c r="M2065" s="69"/>
      <c r="N2065" s="69"/>
      <c r="O2065" s="69"/>
      <c r="P2065" s="78"/>
      <c r="Q2065" s="96"/>
      <c r="R2065" s="97"/>
      <c r="S2065" s="98"/>
    </row>
    <row r="2066" spans="1:19" ht="42.75">
      <c r="A2066" s="90" t="s">
        <v>51</v>
      </c>
      <c r="B2066" s="91" t="s">
        <v>534</v>
      </c>
      <c r="C2066" s="91" t="s">
        <v>610</v>
      </c>
      <c r="D2066" s="90">
        <v>4977</v>
      </c>
      <c r="E2066" s="90">
        <v>5325</v>
      </c>
      <c r="F2066" s="90" t="s">
        <v>1454</v>
      </c>
      <c r="G2066" s="90"/>
      <c r="H2066" s="93"/>
      <c r="I2066" s="93"/>
      <c r="J2066" s="93"/>
      <c r="K2066" s="95"/>
      <c r="L2066" s="69"/>
      <c r="M2066" s="69"/>
      <c r="N2066" s="69"/>
      <c r="O2066" s="69"/>
      <c r="P2066" s="78"/>
      <c r="Q2066" s="96"/>
      <c r="R2066" s="97"/>
      <c r="S2066" s="98"/>
    </row>
    <row r="2067" spans="1:19" ht="42.75">
      <c r="A2067" s="90" t="s">
        <v>51</v>
      </c>
      <c r="B2067" s="91" t="s">
        <v>534</v>
      </c>
      <c r="C2067" s="91" t="s">
        <v>2282</v>
      </c>
      <c r="D2067" s="90">
        <v>3476</v>
      </c>
      <c r="E2067" s="90">
        <v>4535</v>
      </c>
      <c r="F2067" s="90" t="s">
        <v>1454</v>
      </c>
      <c r="G2067" s="90"/>
      <c r="H2067" s="93"/>
      <c r="I2067" s="93"/>
      <c r="J2067" s="93"/>
      <c r="K2067" s="95"/>
      <c r="L2067" s="69"/>
      <c r="M2067" s="69"/>
      <c r="N2067" s="69"/>
      <c r="O2067" s="69"/>
      <c r="P2067" s="78"/>
      <c r="Q2067" s="96"/>
      <c r="R2067" s="97"/>
      <c r="S2067" s="98"/>
    </row>
    <row r="2068" spans="1:19" ht="42.75">
      <c r="A2068" s="90" t="s">
        <v>51</v>
      </c>
      <c r="B2068" s="91" t="s">
        <v>534</v>
      </c>
      <c r="C2068" s="91" t="s">
        <v>380</v>
      </c>
      <c r="D2068" s="90">
        <v>2091</v>
      </c>
      <c r="E2068" s="90">
        <v>3167</v>
      </c>
      <c r="F2068" s="90" t="s">
        <v>1454</v>
      </c>
      <c r="G2068" s="90"/>
      <c r="H2068" s="93"/>
      <c r="I2068" s="93"/>
      <c r="J2068" s="93"/>
      <c r="K2068" s="95"/>
      <c r="L2068" s="69"/>
      <c r="M2068" s="69"/>
      <c r="N2068" s="69"/>
      <c r="O2068" s="69"/>
      <c r="P2068" s="78"/>
      <c r="Q2068" s="96"/>
      <c r="R2068" s="97"/>
      <c r="S2068" s="98"/>
    </row>
    <row r="2069" spans="1:19" ht="42.75">
      <c r="A2069" s="90" t="s">
        <v>51</v>
      </c>
      <c r="B2069" s="91" t="s">
        <v>534</v>
      </c>
      <c r="C2069" s="91" t="s">
        <v>2347</v>
      </c>
      <c r="D2069" s="90">
        <v>2039</v>
      </c>
      <c r="E2069" s="90">
        <v>1675</v>
      </c>
      <c r="F2069" s="90" t="s">
        <v>1454</v>
      </c>
      <c r="G2069" s="90"/>
      <c r="H2069" s="93"/>
      <c r="I2069" s="93"/>
      <c r="J2069" s="93"/>
      <c r="K2069" s="95"/>
      <c r="L2069" s="69"/>
      <c r="M2069" s="69"/>
      <c r="N2069" s="69"/>
      <c r="O2069" s="69"/>
      <c r="P2069" s="78"/>
      <c r="Q2069" s="96"/>
      <c r="R2069" s="97"/>
      <c r="S2069" s="98"/>
    </row>
    <row r="2070" spans="1:19" ht="42.75">
      <c r="A2070" s="90" t="s">
        <v>51</v>
      </c>
      <c r="B2070" s="91" t="s">
        <v>534</v>
      </c>
      <c r="C2070" s="91" t="s">
        <v>687</v>
      </c>
      <c r="D2070" s="90">
        <v>168</v>
      </c>
      <c r="E2070" s="90">
        <v>275</v>
      </c>
      <c r="F2070" s="90" t="s">
        <v>1454</v>
      </c>
      <c r="G2070" s="90"/>
      <c r="H2070" s="93"/>
      <c r="I2070" s="93"/>
      <c r="J2070" s="93"/>
      <c r="K2070" s="95"/>
      <c r="L2070" s="69"/>
      <c r="M2070" s="69"/>
      <c r="N2070" s="69"/>
      <c r="O2070" s="69"/>
      <c r="P2070" s="78"/>
      <c r="Q2070" s="96"/>
      <c r="R2070" s="97"/>
      <c r="S2070" s="98"/>
    </row>
    <row r="2071" spans="1:19" ht="42.75">
      <c r="A2071" s="90" t="s">
        <v>51</v>
      </c>
      <c r="B2071" s="91" t="s">
        <v>534</v>
      </c>
      <c r="C2071" s="91" t="s">
        <v>3703</v>
      </c>
      <c r="D2071" s="90">
        <v>28464</v>
      </c>
      <c r="E2071" s="90">
        <v>29096</v>
      </c>
      <c r="F2071" s="90" t="s">
        <v>1454</v>
      </c>
      <c r="G2071" s="90"/>
      <c r="H2071" s="93"/>
      <c r="I2071" s="93"/>
      <c r="J2071" s="93"/>
      <c r="K2071" s="95"/>
      <c r="L2071" s="69"/>
      <c r="M2071" s="69"/>
      <c r="N2071" s="69"/>
      <c r="O2071" s="69"/>
      <c r="P2071" s="78"/>
      <c r="Q2071" s="96"/>
      <c r="R2071" s="97"/>
      <c r="S2071" s="98"/>
    </row>
    <row r="2072" spans="1:19" ht="42.75">
      <c r="A2072" s="90" t="s">
        <v>51</v>
      </c>
      <c r="B2072" s="91" t="s">
        <v>534</v>
      </c>
      <c r="C2072" s="91" t="s">
        <v>3514</v>
      </c>
      <c r="D2072" s="90">
        <v>14759</v>
      </c>
      <c r="E2072" s="90">
        <v>20967</v>
      </c>
      <c r="F2072" s="90" t="s">
        <v>1454</v>
      </c>
      <c r="G2072" s="90"/>
      <c r="H2072" s="93"/>
      <c r="I2072" s="93"/>
      <c r="J2072" s="93"/>
      <c r="K2072" s="95"/>
      <c r="L2072" s="69"/>
      <c r="M2072" s="69"/>
      <c r="N2072" s="69"/>
      <c r="O2072" s="69"/>
      <c r="P2072" s="78"/>
      <c r="Q2072" s="96"/>
      <c r="R2072" s="97"/>
      <c r="S2072" s="98"/>
    </row>
    <row r="2073" spans="1:19" ht="42.75">
      <c r="A2073" s="90" t="s">
        <v>51</v>
      </c>
      <c r="B2073" s="91" t="s">
        <v>1080</v>
      </c>
      <c r="C2073" s="91" t="s">
        <v>3533</v>
      </c>
      <c r="D2073" s="90">
        <v>4494</v>
      </c>
      <c r="E2073" s="90">
        <v>4450</v>
      </c>
      <c r="F2073" s="90" t="s">
        <v>1454</v>
      </c>
      <c r="G2073" s="90"/>
      <c r="H2073" s="93"/>
      <c r="I2073" s="93"/>
      <c r="J2073" s="93"/>
      <c r="K2073" s="95"/>
      <c r="L2073" s="69"/>
      <c r="M2073" s="69"/>
      <c r="N2073" s="69"/>
      <c r="O2073" s="69"/>
      <c r="P2073" s="78"/>
      <c r="Q2073" s="96"/>
      <c r="R2073" s="97"/>
      <c r="S2073" s="98"/>
    </row>
    <row r="2074" spans="1:19" ht="42.75">
      <c r="A2074" s="90" t="s">
        <v>51</v>
      </c>
      <c r="B2074" s="91" t="s">
        <v>1080</v>
      </c>
      <c r="C2074" s="91" t="s">
        <v>3704</v>
      </c>
      <c r="D2074" s="90">
        <v>6561</v>
      </c>
      <c r="E2074" s="90">
        <v>7104</v>
      </c>
      <c r="F2074" s="90" t="s">
        <v>1434</v>
      </c>
      <c r="G2074" s="90">
        <v>2024</v>
      </c>
      <c r="H2074" s="101">
        <v>45569</v>
      </c>
      <c r="I2074" s="101">
        <v>45582</v>
      </c>
      <c r="J2074" s="94" t="s">
        <v>3705</v>
      </c>
      <c r="K2074" s="100">
        <v>45584</v>
      </c>
      <c r="L2074" s="69" t="s">
        <v>83</v>
      </c>
      <c r="M2074" s="69" t="s">
        <v>1589</v>
      </c>
      <c r="N2074" s="69" t="s">
        <v>1676</v>
      </c>
      <c r="O2074" s="69" t="s">
        <v>1436</v>
      </c>
      <c r="P2074" s="78"/>
      <c r="Q2074" s="96">
        <v>45586</v>
      </c>
      <c r="R2074" s="97" t="s">
        <v>929</v>
      </c>
      <c r="S2074" s="98"/>
    </row>
    <row r="2075" spans="1:19" ht="42.75">
      <c r="A2075" s="90" t="s">
        <v>51</v>
      </c>
      <c r="B2075" s="91" t="s">
        <v>1080</v>
      </c>
      <c r="C2075" s="91" t="s">
        <v>546</v>
      </c>
      <c r="D2075" s="90">
        <v>2905</v>
      </c>
      <c r="E2075" s="90">
        <v>3030</v>
      </c>
      <c r="F2075" s="90" t="s">
        <v>1454</v>
      </c>
      <c r="G2075" s="90"/>
      <c r="H2075" s="93"/>
      <c r="I2075" s="93"/>
      <c r="J2075" s="93"/>
      <c r="K2075" s="95"/>
      <c r="L2075" s="69"/>
      <c r="M2075" s="69"/>
      <c r="N2075" s="69"/>
      <c r="O2075" s="69"/>
      <c r="P2075" s="78"/>
      <c r="Q2075" s="96"/>
      <c r="R2075" s="97"/>
      <c r="S2075" s="98"/>
    </row>
    <row r="2076" spans="1:19" ht="42.75">
      <c r="A2076" s="90" t="s">
        <v>51</v>
      </c>
      <c r="B2076" s="91" t="s">
        <v>1080</v>
      </c>
      <c r="C2076" s="91" t="s">
        <v>3706</v>
      </c>
      <c r="D2076" s="90">
        <v>1219</v>
      </c>
      <c r="E2076" s="90">
        <v>1081</v>
      </c>
      <c r="F2076" s="90" t="s">
        <v>1454</v>
      </c>
      <c r="G2076" s="90"/>
      <c r="H2076" s="93"/>
      <c r="I2076" s="93"/>
      <c r="J2076" s="93"/>
      <c r="K2076" s="95"/>
      <c r="L2076" s="69"/>
      <c r="M2076" s="69"/>
      <c r="N2076" s="69"/>
      <c r="O2076" s="69"/>
      <c r="P2076" s="78"/>
      <c r="Q2076" s="96"/>
      <c r="R2076" s="97"/>
      <c r="S2076" s="98"/>
    </row>
    <row r="2077" spans="1:19" ht="42.75">
      <c r="A2077" s="90" t="s">
        <v>51</v>
      </c>
      <c r="B2077" s="91" t="s">
        <v>1080</v>
      </c>
      <c r="C2077" s="91" t="s">
        <v>3039</v>
      </c>
      <c r="D2077" s="90">
        <v>2720</v>
      </c>
      <c r="E2077" s="90">
        <v>2669</v>
      </c>
      <c r="F2077" s="90" t="s">
        <v>1454</v>
      </c>
      <c r="G2077" s="90"/>
      <c r="H2077" s="93"/>
      <c r="I2077" s="93"/>
      <c r="J2077" s="93"/>
      <c r="K2077" s="95"/>
      <c r="L2077" s="69"/>
      <c r="M2077" s="69"/>
      <c r="N2077" s="69"/>
      <c r="O2077" s="69"/>
      <c r="P2077" s="78"/>
      <c r="Q2077" s="96"/>
      <c r="R2077" s="97"/>
      <c r="S2077" s="98"/>
    </row>
    <row r="2078" spans="1:19" ht="42.75">
      <c r="A2078" s="90" t="s">
        <v>51</v>
      </c>
      <c r="B2078" s="91" t="s">
        <v>1080</v>
      </c>
      <c r="C2078" s="91" t="s">
        <v>3588</v>
      </c>
      <c r="D2078" s="90">
        <v>2574</v>
      </c>
      <c r="E2078" s="90">
        <v>2668</v>
      </c>
      <c r="F2078" s="90" t="s">
        <v>1454</v>
      </c>
      <c r="G2078" s="90"/>
      <c r="H2078" s="93"/>
      <c r="I2078" s="93"/>
      <c r="J2078" s="93"/>
      <c r="K2078" s="95"/>
      <c r="L2078" s="69"/>
      <c r="M2078" s="69"/>
      <c r="N2078" s="69"/>
      <c r="O2078" s="69"/>
      <c r="P2078" s="78"/>
      <c r="Q2078" s="96"/>
      <c r="R2078" s="97"/>
      <c r="S2078" s="98"/>
    </row>
    <row r="2079" spans="1:19" ht="42.75">
      <c r="A2079" s="90" t="s">
        <v>51</v>
      </c>
      <c r="B2079" s="91" t="s">
        <v>1080</v>
      </c>
      <c r="C2079" s="91" t="s">
        <v>3707</v>
      </c>
      <c r="D2079" s="90">
        <v>819</v>
      </c>
      <c r="E2079" s="90">
        <v>1118</v>
      </c>
      <c r="F2079" s="90" t="s">
        <v>1454</v>
      </c>
      <c r="G2079" s="90"/>
      <c r="H2079" s="93"/>
      <c r="I2079" s="93"/>
      <c r="J2079" s="93"/>
      <c r="K2079" s="95"/>
      <c r="L2079" s="69"/>
      <c r="M2079" s="69"/>
      <c r="N2079" s="69"/>
      <c r="O2079" s="69"/>
      <c r="P2079" s="78"/>
      <c r="Q2079" s="96"/>
      <c r="R2079" s="97"/>
      <c r="S2079" s="98"/>
    </row>
    <row r="2080" spans="1:19" ht="42.75">
      <c r="A2080" s="90" t="s">
        <v>51</v>
      </c>
      <c r="B2080" s="91" t="s">
        <v>1080</v>
      </c>
      <c r="C2080" s="91" t="s">
        <v>3278</v>
      </c>
      <c r="D2080" s="90">
        <v>5002</v>
      </c>
      <c r="E2080" s="90">
        <v>6553</v>
      </c>
      <c r="F2080" s="90" t="s">
        <v>1454</v>
      </c>
      <c r="G2080" s="90"/>
      <c r="H2080" s="93"/>
      <c r="I2080" s="93"/>
      <c r="J2080" s="93"/>
      <c r="K2080" s="95"/>
      <c r="L2080" s="69"/>
      <c r="M2080" s="69"/>
      <c r="N2080" s="69"/>
      <c r="O2080" s="69"/>
      <c r="P2080" s="78"/>
      <c r="Q2080" s="96"/>
      <c r="R2080" s="97"/>
      <c r="S2080" s="98"/>
    </row>
    <row r="2081" spans="1:19" ht="42.75">
      <c r="A2081" s="90" t="s">
        <v>51</v>
      </c>
      <c r="B2081" s="91" t="s">
        <v>1080</v>
      </c>
      <c r="C2081" s="91" t="s">
        <v>2276</v>
      </c>
      <c r="D2081" s="90">
        <v>1820</v>
      </c>
      <c r="E2081" s="90">
        <v>2024</v>
      </c>
      <c r="F2081" s="90" t="s">
        <v>1454</v>
      </c>
      <c r="G2081" s="90"/>
      <c r="H2081" s="93"/>
      <c r="I2081" s="93"/>
      <c r="J2081" s="93"/>
      <c r="K2081" s="95"/>
      <c r="L2081" s="69"/>
      <c r="M2081" s="69"/>
      <c r="N2081" s="69"/>
      <c r="O2081" s="69"/>
      <c r="P2081" s="78"/>
      <c r="Q2081" s="96"/>
      <c r="R2081" s="97"/>
      <c r="S2081" s="98"/>
    </row>
    <row r="2082" spans="1:19" ht="42.75">
      <c r="A2082" s="90" t="s">
        <v>51</v>
      </c>
      <c r="B2082" s="91" t="s">
        <v>1080</v>
      </c>
      <c r="C2082" s="91" t="s">
        <v>3708</v>
      </c>
      <c r="D2082" s="90">
        <v>3948</v>
      </c>
      <c r="E2082" s="90">
        <v>4025</v>
      </c>
      <c r="F2082" s="90" t="s">
        <v>1434</v>
      </c>
      <c r="G2082" s="90">
        <v>2024</v>
      </c>
      <c r="H2082" s="101">
        <v>45569</v>
      </c>
      <c r="I2082" s="101">
        <v>45582</v>
      </c>
      <c r="J2082" s="94" t="s">
        <v>3709</v>
      </c>
      <c r="K2082" s="100">
        <v>45584</v>
      </c>
      <c r="L2082" s="69" t="s">
        <v>83</v>
      </c>
      <c r="M2082" s="69" t="s">
        <v>1589</v>
      </c>
      <c r="N2082" s="69" t="s">
        <v>1676</v>
      </c>
      <c r="O2082" s="69" t="s">
        <v>1436</v>
      </c>
      <c r="P2082" s="78"/>
      <c r="Q2082" s="96">
        <v>45586</v>
      </c>
      <c r="R2082" s="97" t="s">
        <v>929</v>
      </c>
      <c r="S2082" s="98"/>
    </row>
    <row r="2083" spans="1:19" ht="42.75">
      <c r="A2083" s="90" t="s">
        <v>51</v>
      </c>
      <c r="B2083" s="91" t="s">
        <v>1080</v>
      </c>
      <c r="C2083" s="91" t="s">
        <v>520</v>
      </c>
      <c r="D2083" s="90">
        <v>2001</v>
      </c>
      <c r="E2083" s="90">
        <v>2412</v>
      </c>
      <c r="F2083" s="90" t="s">
        <v>1454</v>
      </c>
      <c r="G2083" s="90"/>
      <c r="H2083" s="93"/>
      <c r="I2083" s="93"/>
      <c r="J2083" s="93"/>
      <c r="K2083" s="95"/>
      <c r="L2083" s="69"/>
      <c r="M2083" s="69"/>
      <c r="N2083" s="69"/>
      <c r="O2083" s="69"/>
      <c r="P2083" s="78"/>
      <c r="Q2083" s="96"/>
      <c r="R2083" s="97"/>
      <c r="S2083" s="98"/>
    </row>
    <row r="2084" spans="1:19" ht="42.75">
      <c r="A2084" s="90" t="s">
        <v>51</v>
      </c>
      <c r="B2084" s="91" t="s">
        <v>1080</v>
      </c>
      <c r="C2084" s="91" t="s">
        <v>427</v>
      </c>
      <c r="D2084" s="90">
        <v>3751</v>
      </c>
      <c r="E2084" s="90">
        <v>3984</v>
      </c>
      <c r="F2084" s="90" t="s">
        <v>1454</v>
      </c>
      <c r="G2084" s="90"/>
      <c r="H2084" s="93"/>
      <c r="I2084" s="93"/>
      <c r="J2084" s="93"/>
      <c r="K2084" s="95"/>
      <c r="L2084" s="69"/>
      <c r="M2084" s="69"/>
      <c r="N2084" s="69"/>
      <c r="O2084" s="69"/>
      <c r="P2084" s="78"/>
      <c r="Q2084" s="96"/>
      <c r="R2084" s="97"/>
      <c r="S2084" s="98"/>
    </row>
    <row r="2085" spans="1:19" ht="42.75">
      <c r="A2085" s="90" t="s">
        <v>51</v>
      </c>
      <c r="B2085" s="91" t="s">
        <v>1080</v>
      </c>
      <c r="C2085" s="91" t="s">
        <v>764</v>
      </c>
      <c r="D2085" s="90">
        <v>2504</v>
      </c>
      <c r="E2085" s="90">
        <v>2827</v>
      </c>
      <c r="F2085" s="90" t="s">
        <v>1454</v>
      </c>
      <c r="G2085" s="90"/>
      <c r="H2085" s="93"/>
      <c r="I2085" s="93"/>
      <c r="J2085" s="93"/>
      <c r="K2085" s="95"/>
      <c r="L2085" s="69"/>
      <c r="M2085" s="69"/>
      <c r="N2085" s="69"/>
      <c r="O2085" s="69"/>
      <c r="P2085" s="78"/>
      <c r="Q2085" s="96"/>
      <c r="R2085" s="97"/>
      <c r="S2085" s="98"/>
    </row>
    <row r="2086" spans="1:19" ht="42.75">
      <c r="A2086" s="90" t="s">
        <v>51</v>
      </c>
      <c r="B2086" s="91" t="s">
        <v>1080</v>
      </c>
      <c r="C2086" s="91" t="s">
        <v>378</v>
      </c>
      <c r="D2086" s="90">
        <v>3411</v>
      </c>
      <c r="E2086" s="90">
        <v>3592</v>
      </c>
      <c r="F2086" s="90" t="s">
        <v>1454</v>
      </c>
      <c r="G2086" s="90"/>
      <c r="H2086" s="93"/>
      <c r="I2086" s="93"/>
      <c r="J2086" s="93"/>
      <c r="K2086" s="95"/>
      <c r="L2086" s="69"/>
      <c r="M2086" s="69"/>
      <c r="N2086" s="69"/>
      <c r="O2086" s="69"/>
      <c r="P2086" s="78"/>
      <c r="Q2086" s="96"/>
      <c r="R2086" s="97"/>
      <c r="S2086" s="98"/>
    </row>
    <row r="2087" spans="1:19" ht="42.75">
      <c r="A2087" s="90" t="s">
        <v>51</v>
      </c>
      <c r="B2087" s="91" t="s">
        <v>1080</v>
      </c>
      <c r="C2087" s="91" t="s">
        <v>2234</v>
      </c>
      <c r="D2087" s="90">
        <v>4304</v>
      </c>
      <c r="E2087" s="90">
        <v>4127</v>
      </c>
      <c r="F2087" s="90" t="s">
        <v>1454</v>
      </c>
      <c r="G2087" s="90"/>
      <c r="H2087" s="93"/>
      <c r="I2087" s="93"/>
      <c r="J2087" s="93"/>
      <c r="K2087" s="95"/>
      <c r="L2087" s="69"/>
      <c r="M2087" s="69"/>
      <c r="N2087" s="69"/>
      <c r="O2087" s="69"/>
      <c r="P2087" s="78"/>
      <c r="Q2087" s="96"/>
      <c r="R2087" s="97"/>
      <c r="S2087" s="98"/>
    </row>
    <row r="2088" spans="1:19" ht="42.75">
      <c r="A2088" s="90" t="s">
        <v>51</v>
      </c>
      <c r="B2088" s="91" t="s">
        <v>1080</v>
      </c>
      <c r="C2088" s="91" t="s">
        <v>653</v>
      </c>
      <c r="D2088" s="90">
        <v>2808</v>
      </c>
      <c r="E2088" s="90">
        <v>3281</v>
      </c>
      <c r="F2088" s="90" t="s">
        <v>1454</v>
      </c>
      <c r="G2088" s="90"/>
      <c r="H2088" s="93"/>
      <c r="I2088" s="93"/>
      <c r="J2088" s="93"/>
      <c r="K2088" s="95"/>
      <c r="L2088" s="69"/>
      <c r="M2088" s="69"/>
      <c r="N2088" s="69"/>
      <c r="O2088" s="69"/>
      <c r="P2088" s="78"/>
      <c r="Q2088" s="96"/>
      <c r="R2088" s="97"/>
      <c r="S2088" s="98"/>
    </row>
    <row r="2089" spans="1:19" ht="42.75">
      <c r="A2089" s="90" t="s">
        <v>51</v>
      </c>
      <c r="B2089" s="91" t="s">
        <v>1080</v>
      </c>
      <c r="C2089" s="91" t="s">
        <v>2202</v>
      </c>
      <c r="D2089" s="90">
        <v>1208</v>
      </c>
      <c r="E2089" s="90">
        <v>442</v>
      </c>
      <c r="F2089" s="90" t="s">
        <v>1454</v>
      </c>
      <c r="G2089" s="90"/>
      <c r="H2089" s="93"/>
      <c r="I2089" s="93"/>
      <c r="J2089" s="93"/>
      <c r="K2089" s="95"/>
      <c r="L2089" s="69"/>
      <c r="M2089" s="69"/>
      <c r="N2089" s="69"/>
      <c r="O2089" s="69"/>
      <c r="P2089" s="78"/>
      <c r="Q2089" s="96"/>
      <c r="R2089" s="97"/>
      <c r="S2089" s="98"/>
    </row>
    <row r="2090" spans="1:19" ht="42.75">
      <c r="A2090" s="90" t="s">
        <v>51</v>
      </c>
      <c r="B2090" s="91" t="s">
        <v>1080</v>
      </c>
      <c r="C2090" s="91" t="s">
        <v>3710</v>
      </c>
      <c r="D2090" s="90">
        <v>991</v>
      </c>
      <c r="E2090" s="90">
        <v>1098</v>
      </c>
      <c r="F2090" s="90" t="s">
        <v>1454</v>
      </c>
      <c r="G2090" s="90"/>
      <c r="H2090" s="93"/>
      <c r="I2090" s="93"/>
      <c r="J2090" s="93"/>
      <c r="K2090" s="95"/>
      <c r="L2090" s="69"/>
      <c r="M2090" s="69"/>
      <c r="N2090" s="69"/>
      <c r="O2090" s="69"/>
      <c r="P2090" s="78"/>
      <c r="Q2090" s="96"/>
      <c r="R2090" s="97"/>
      <c r="S2090" s="98"/>
    </row>
    <row r="2091" spans="1:19" ht="42.75">
      <c r="A2091" s="90" t="s">
        <v>51</v>
      </c>
      <c r="B2091" s="91" t="s">
        <v>1080</v>
      </c>
      <c r="C2091" s="91" t="s">
        <v>380</v>
      </c>
      <c r="D2091" s="90">
        <v>5756</v>
      </c>
      <c r="E2091" s="90">
        <v>5128</v>
      </c>
      <c r="F2091" s="90" t="s">
        <v>1454</v>
      </c>
      <c r="G2091" s="90"/>
      <c r="H2091" s="93"/>
      <c r="I2091" s="93"/>
      <c r="J2091" s="93"/>
      <c r="K2091" s="95"/>
      <c r="L2091" s="69"/>
      <c r="M2091" s="69"/>
      <c r="N2091" s="69"/>
      <c r="O2091" s="69"/>
      <c r="P2091" s="78"/>
      <c r="Q2091" s="96"/>
      <c r="R2091" s="97"/>
      <c r="S2091" s="98"/>
    </row>
    <row r="2092" spans="1:19" ht="42.75">
      <c r="A2092" s="90" t="s">
        <v>51</v>
      </c>
      <c r="B2092" s="91" t="s">
        <v>1080</v>
      </c>
      <c r="C2092" s="91" t="s">
        <v>3711</v>
      </c>
      <c r="D2092" s="90">
        <v>3470</v>
      </c>
      <c r="E2092" s="90">
        <v>3603</v>
      </c>
      <c r="F2092" s="90" t="s">
        <v>1454</v>
      </c>
      <c r="G2092" s="90"/>
      <c r="H2092" s="93"/>
      <c r="I2092" s="93"/>
      <c r="J2092" s="93"/>
      <c r="K2092" s="95"/>
      <c r="L2092" s="69"/>
      <c r="M2092" s="69"/>
      <c r="N2092" s="69"/>
      <c r="O2092" s="69"/>
      <c r="P2092" s="78"/>
      <c r="Q2092" s="96"/>
      <c r="R2092" s="97"/>
      <c r="S2092" s="98"/>
    </row>
    <row r="2093" spans="1:19" ht="42.75">
      <c r="A2093" s="90" t="s">
        <v>51</v>
      </c>
      <c r="B2093" s="91" t="s">
        <v>1080</v>
      </c>
      <c r="C2093" s="91" t="s">
        <v>1879</v>
      </c>
      <c r="D2093" s="90">
        <v>2720</v>
      </c>
      <c r="E2093" s="90">
        <v>2625</v>
      </c>
      <c r="F2093" s="90" t="s">
        <v>1454</v>
      </c>
      <c r="G2093" s="90"/>
      <c r="H2093" s="93"/>
      <c r="I2093" s="93"/>
      <c r="J2093" s="93"/>
      <c r="K2093" s="95"/>
      <c r="L2093" s="69"/>
      <c r="M2093" s="69"/>
      <c r="N2093" s="69"/>
      <c r="O2093" s="69"/>
      <c r="P2093" s="78"/>
      <c r="Q2093" s="96"/>
      <c r="R2093" s="97"/>
      <c r="S2093" s="98"/>
    </row>
    <row r="2094" spans="1:19" ht="42.75">
      <c r="A2094" s="90" t="s">
        <v>51</v>
      </c>
      <c r="B2094" s="91" t="s">
        <v>1080</v>
      </c>
      <c r="C2094" s="91" t="s">
        <v>2395</v>
      </c>
      <c r="D2094" s="90">
        <v>3114</v>
      </c>
      <c r="E2094" s="90">
        <v>2561</v>
      </c>
      <c r="F2094" s="90" t="s">
        <v>1454</v>
      </c>
      <c r="G2094" s="90"/>
      <c r="H2094" s="93"/>
      <c r="I2094" s="93"/>
      <c r="J2094" s="93"/>
      <c r="K2094" s="95"/>
      <c r="L2094" s="69"/>
      <c r="M2094" s="69"/>
      <c r="N2094" s="69"/>
      <c r="O2094" s="69"/>
      <c r="P2094" s="78"/>
      <c r="Q2094" s="96"/>
      <c r="R2094" s="97"/>
      <c r="S2094" s="98"/>
    </row>
    <row r="2095" spans="1:19" ht="42.75">
      <c r="A2095" s="90" t="s">
        <v>51</v>
      </c>
      <c r="B2095" s="91" t="s">
        <v>1080</v>
      </c>
      <c r="C2095" s="91" t="s">
        <v>3712</v>
      </c>
      <c r="D2095" s="90">
        <v>1516</v>
      </c>
      <c r="E2095" s="90">
        <v>1239</v>
      </c>
      <c r="F2095" s="90" t="s">
        <v>1454</v>
      </c>
      <c r="G2095" s="90"/>
      <c r="H2095" s="93"/>
      <c r="I2095" s="93"/>
      <c r="J2095" s="93"/>
      <c r="K2095" s="95"/>
      <c r="L2095" s="69"/>
      <c r="M2095" s="69"/>
      <c r="N2095" s="69"/>
      <c r="O2095" s="69"/>
      <c r="P2095" s="78"/>
      <c r="Q2095" s="96"/>
      <c r="R2095" s="97"/>
      <c r="S2095" s="98"/>
    </row>
    <row r="2096" spans="1:19" ht="42.75">
      <c r="A2096" s="90" t="s">
        <v>51</v>
      </c>
      <c r="B2096" s="91" t="s">
        <v>1080</v>
      </c>
      <c r="C2096" s="91" t="s">
        <v>3713</v>
      </c>
      <c r="D2096" s="90">
        <v>2416</v>
      </c>
      <c r="E2096" s="90">
        <v>2453</v>
      </c>
      <c r="F2096" s="90" t="s">
        <v>1454</v>
      </c>
      <c r="G2096" s="90"/>
      <c r="H2096" s="93"/>
      <c r="I2096" s="93"/>
      <c r="J2096" s="93"/>
      <c r="K2096" s="95"/>
      <c r="L2096" s="69"/>
      <c r="M2096" s="69"/>
      <c r="N2096" s="69"/>
      <c r="O2096" s="69"/>
      <c r="P2096" s="78"/>
      <c r="Q2096" s="96"/>
      <c r="R2096" s="97"/>
      <c r="S2096" s="98"/>
    </row>
    <row r="2097" spans="1:19" ht="42.75">
      <c r="A2097" s="90" t="s">
        <v>51</v>
      </c>
      <c r="B2097" s="91" t="s">
        <v>1080</v>
      </c>
      <c r="C2097" s="91" t="s">
        <v>3714</v>
      </c>
      <c r="D2097" s="90">
        <v>3818</v>
      </c>
      <c r="E2097" s="90">
        <v>4057</v>
      </c>
      <c r="F2097" s="90" t="s">
        <v>1454</v>
      </c>
      <c r="G2097" s="90"/>
      <c r="H2097" s="93"/>
      <c r="I2097" s="93"/>
      <c r="J2097" s="93"/>
      <c r="K2097" s="95"/>
      <c r="L2097" s="69"/>
      <c r="M2097" s="69"/>
      <c r="N2097" s="69"/>
      <c r="O2097" s="69"/>
      <c r="P2097" s="78"/>
      <c r="Q2097" s="96"/>
      <c r="R2097" s="97"/>
      <c r="S2097" s="98"/>
    </row>
    <row r="2098" spans="1:19" ht="42.75">
      <c r="A2098" s="90" t="s">
        <v>51</v>
      </c>
      <c r="B2098" s="91" t="s">
        <v>535</v>
      </c>
      <c r="C2098" s="91" t="s">
        <v>2647</v>
      </c>
      <c r="D2098" s="90">
        <v>1963</v>
      </c>
      <c r="E2098" s="90">
        <v>2194</v>
      </c>
      <c r="F2098" s="90" t="s">
        <v>1454</v>
      </c>
      <c r="G2098" s="90"/>
      <c r="H2098" s="93"/>
      <c r="I2098" s="93"/>
      <c r="J2098" s="93"/>
      <c r="K2098" s="95"/>
      <c r="L2098" s="69"/>
      <c r="M2098" s="69"/>
      <c r="N2098" s="69"/>
      <c r="O2098" s="69"/>
      <c r="P2098" s="78"/>
      <c r="Q2098" s="96"/>
      <c r="R2098" s="97"/>
      <c r="S2098" s="98"/>
    </row>
    <row r="2099" spans="1:19" ht="42.75">
      <c r="A2099" s="90" t="s">
        <v>51</v>
      </c>
      <c r="B2099" s="91" t="s">
        <v>535</v>
      </c>
      <c r="C2099" s="91" t="s">
        <v>3386</v>
      </c>
      <c r="D2099" s="90">
        <v>1717</v>
      </c>
      <c r="E2099" s="90">
        <v>1640</v>
      </c>
      <c r="F2099" s="90" t="s">
        <v>1434</v>
      </c>
      <c r="G2099" s="90">
        <v>2024</v>
      </c>
      <c r="H2099" s="101">
        <v>45576</v>
      </c>
      <c r="I2099" s="101">
        <v>45576</v>
      </c>
      <c r="J2099" s="94" t="s">
        <v>3715</v>
      </c>
      <c r="K2099" s="100">
        <v>45580</v>
      </c>
      <c r="L2099" s="69" t="s">
        <v>83</v>
      </c>
      <c r="M2099" s="69" t="s">
        <v>4</v>
      </c>
      <c r="N2099" s="69" t="s">
        <v>101</v>
      </c>
      <c r="O2099" s="69" t="s">
        <v>1436</v>
      </c>
      <c r="P2099" s="78"/>
      <c r="Q2099" s="96">
        <v>45581</v>
      </c>
      <c r="R2099" s="97" t="s">
        <v>929</v>
      </c>
      <c r="S2099" s="98"/>
    </row>
    <row r="2100" spans="1:19" ht="42.75">
      <c r="A2100" s="90" t="s">
        <v>51</v>
      </c>
      <c r="B2100" s="91" t="s">
        <v>535</v>
      </c>
      <c r="C2100" s="91" t="s">
        <v>3716</v>
      </c>
      <c r="D2100" s="90">
        <v>1826</v>
      </c>
      <c r="E2100" s="90">
        <v>1952</v>
      </c>
      <c r="F2100" s="90" t="s">
        <v>1454</v>
      </c>
      <c r="G2100" s="90"/>
      <c r="H2100" s="93"/>
      <c r="I2100" s="93"/>
      <c r="J2100" s="93"/>
      <c r="K2100" s="95"/>
      <c r="L2100" s="69"/>
      <c r="M2100" s="69"/>
      <c r="N2100" s="69"/>
      <c r="O2100" s="69"/>
      <c r="P2100" s="78"/>
      <c r="Q2100" s="96"/>
      <c r="R2100" s="97"/>
      <c r="S2100" s="98"/>
    </row>
    <row r="2101" spans="1:19" ht="42.75">
      <c r="A2101" s="90" t="s">
        <v>51</v>
      </c>
      <c r="B2101" s="91" t="s">
        <v>535</v>
      </c>
      <c r="C2101" s="91" t="s">
        <v>318</v>
      </c>
      <c r="D2101" s="90">
        <v>2100</v>
      </c>
      <c r="E2101" s="90">
        <v>2472</v>
      </c>
      <c r="F2101" s="90" t="s">
        <v>1454</v>
      </c>
      <c r="G2101" s="90"/>
      <c r="H2101" s="93"/>
      <c r="I2101" s="93"/>
      <c r="J2101" s="93"/>
      <c r="K2101" s="95"/>
      <c r="L2101" s="69"/>
      <c r="M2101" s="69"/>
      <c r="N2101" s="69"/>
      <c r="O2101" s="69"/>
      <c r="P2101" s="78"/>
      <c r="Q2101" s="96"/>
      <c r="R2101" s="97"/>
      <c r="S2101" s="98"/>
    </row>
    <row r="2102" spans="1:19" ht="42.75">
      <c r="A2102" s="90" t="s">
        <v>51</v>
      </c>
      <c r="B2102" s="91" t="s">
        <v>535</v>
      </c>
      <c r="C2102" s="91" t="s">
        <v>3717</v>
      </c>
      <c r="D2102" s="90">
        <v>1522</v>
      </c>
      <c r="E2102" s="90">
        <v>1474</v>
      </c>
      <c r="F2102" s="90" t="s">
        <v>1434</v>
      </c>
      <c r="G2102" s="90">
        <v>2024</v>
      </c>
      <c r="H2102" s="101">
        <v>45576</v>
      </c>
      <c r="I2102" s="101">
        <v>45576</v>
      </c>
      <c r="J2102" s="94" t="s">
        <v>3718</v>
      </c>
      <c r="K2102" s="100">
        <v>45580</v>
      </c>
      <c r="L2102" s="69" t="s">
        <v>83</v>
      </c>
      <c r="M2102" s="69" t="s">
        <v>4</v>
      </c>
      <c r="N2102" s="69" t="s">
        <v>101</v>
      </c>
      <c r="O2102" s="69" t="s">
        <v>1436</v>
      </c>
      <c r="P2102" s="78"/>
      <c r="Q2102" s="96">
        <v>45581</v>
      </c>
      <c r="R2102" s="97" t="s">
        <v>929</v>
      </c>
      <c r="S2102" s="98"/>
    </row>
    <row r="2103" spans="1:19" ht="42.75">
      <c r="A2103" s="90" t="s">
        <v>51</v>
      </c>
      <c r="B2103" s="91" t="s">
        <v>535</v>
      </c>
      <c r="C2103" s="91" t="s">
        <v>2342</v>
      </c>
      <c r="D2103" s="90">
        <v>3324</v>
      </c>
      <c r="E2103" s="90">
        <v>3820</v>
      </c>
      <c r="F2103" s="90" t="s">
        <v>1454</v>
      </c>
      <c r="G2103" s="90"/>
      <c r="H2103" s="93"/>
      <c r="I2103" s="93"/>
      <c r="J2103" s="93"/>
      <c r="K2103" s="95"/>
      <c r="L2103" s="69"/>
      <c r="M2103" s="69"/>
      <c r="N2103" s="69"/>
      <c r="O2103" s="69"/>
      <c r="P2103" s="78"/>
      <c r="Q2103" s="96"/>
      <c r="R2103" s="97"/>
      <c r="S2103" s="98"/>
    </row>
    <row r="2104" spans="1:19" ht="42.75">
      <c r="A2104" s="90" t="s">
        <v>51</v>
      </c>
      <c r="B2104" s="91" t="s">
        <v>535</v>
      </c>
      <c r="C2104" s="91" t="s">
        <v>714</v>
      </c>
      <c r="D2104" s="90">
        <v>1754</v>
      </c>
      <c r="E2104" s="90">
        <v>2083</v>
      </c>
      <c r="F2104" s="90" t="s">
        <v>1454</v>
      </c>
      <c r="G2104" s="90"/>
      <c r="H2104" s="93"/>
      <c r="I2104" s="93"/>
      <c r="J2104" s="93"/>
      <c r="K2104" s="95"/>
      <c r="L2104" s="69"/>
      <c r="M2104" s="69"/>
      <c r="N2104" s="69"/>
      <c r="O2104" s="69"/>
      <c r="P2104" s="78"/>
      <c r="Q2104" s="96"/>
      <c r="R2104" s="97"/>
      <c r="S2104" s="98"/>
    </row>
    <row r="2105" spans="1:19" ht="42.75">
      <c r="A2105" s="90" t="s">
        <v>51</v>
      </c>
      <c r="B2105" s="91" t="s">
        <v>535</v>
      </c>
      <c r="C2105" s="91" t="s">
        <v>3719</v>
      </c>
      <c r="D2105" s="90">
        <v>5077</v>
      </c>
      <c r="E2105" s="90">
        <v>4948</v>
      </c>
      <c r="F2105" s="90" t="s">
        <v>1454</v>
      </c>
      <c r="G2105" s="90"/>
      <c r="H2105" s="93"/>
      <c r="I2105" s="93"/>
      <c r="J2105" s="93"/>
      <c r="K2105" s="95"/>
      <c r="L2105" s="69"/>
      <c r="M2105" s="69"/>
      <c r="N2105" s="69"/>
      <c r="O2105" s="69"/>
      <c r="P2105" s="78"/>
      <c r="Q2105" s="96"/>
      <c r="R2105" s="97"/>
      <c r="S2105" s="98"/>
    </row>
    <row r="2106" spans="1:19" ht="42.75">
      <c r="A2106" s="90" t="s">
        <v>51</v>
      </c>
      <c r="B2106" s="91" t="s">
        <v>535</v>
      </c>
      <c r="C2106" s="91" t="s">
        <v>439</v>
      </c>
      <c r="D2106" s="90">
        <v>6752</v>
      </c>
      <c r="E2106" s="90">
        <v>7593</v>
      </c>
      <c r="F2106" s="90" t="s">
        <v>1454</v>
      </c>
      <c r="G2106" s="90"/>
      <c r="H2106" s="93"/>
      <c r="I2106" s="93"/>
      <c r="J2106" s="93"/>
      <c r="K2106" s="95"/>
      <c r="L2106" s="69"/>
      <c r="M2106" s="69"/>
      <c r="N2106" s="69"/>
      <c r="O2106" s="69"/>
      <c r="P2106" s="78"/>
      <c r="Q2106" s="96"/>
      <c r="R2106" s="97"/>
      <c r="S2106" s="98"/>
    </row>
    <row r="2107" spans="1:19" ht="42.75">
      <c r="A2107" s="90" t="s">
        <v>51</v>
      </c>
      <c r="B2107" s="91" t="s">
        <v>535</v>
      </c>
      <c r="C2107" s="91" t="s">
        <v>520</v>
      </c>
      <c r="D2107" s="90">
        <v>24786</v>
      </c>
      <c r="E2107" s="90">
        <v>26787</v>
      </c>
      <c r="F2107" s="90" t="s">
        <v>1454</v>
      </c>
      <c r="G2107" s="90"/>
      <c r="H2107" s="93"/>
      <c r="I2107" s="93"/>
      <c r="J2107" s="93"/>
      <c r="K2107" s="95"/>
      <c r="L2107" s="69"/>
      <c r="M2107" s="69"/>
      <c r="N2107" s="69"/>
      <c r="O2107" s="69"/>
      <c r="P2107" s="78"/>
      <c r="Q2107" s="96"/>
      <c r="R2107" s="97"/>
      <c r="S2107" s="98"/>
    </row>
    <row r="2108" spans="1:19" ht="42.75">
      <c r="A2108" s="90" t="s">
        <v>51</v>
      </c>
      <c r="B2108" s="91" t="s">
        <v>535</v>
      </c>
      <c r="C2108" s="91" t="s">
        <v>427</v>
      </c>
      <c r="D2108" s="90">
        <v>3579</v>
      </c>
      <c r="E2108" s="90">
        <v>3563</v>
      </c>
      <c r="F2108" s="90" t="s">
        <v>1454</v>
      </c>
      <c r="G2108" s="90"/>
      <c r="H2108" s="93"/>
      <c r="I2108" s="93"/>
      <c r="J2108" s="93"/>
      <c r="K2108" s="95"/>
      <c r="L2108" s="69"/>
      <c r="M2108" s="69"/>
      <c r="N2108" s="69"/>
      <c r="O2108" s="69"/>
      <c r="P2108" s="78"/>
      <c r="Q2108" s="96"/>
      <c r="R2108" s="97"/>
      <c r="S2108" s="98"/>
    </row>
    <row r="2109" spans="1:19" ht="42.75">
      <c r="A2109" s="90" t="s">
        <v>51</v>
      </c>
      <c r="B2109" s="91" t="s">
        <v>535</v>
      </c>
      <c r="C2109" s="91" t="s">
        <v>440</v>
      </c>
      <c r="D2109" s="90">
        <v>2714</v>
      </c>
      <c r="E2109" s="90">
        <v>2790</v>
      </c>
      <c r="F2109" s="90" t="s">
        <v>1434</v>
      </c>
      <c r="G2109" s="90">
        <v>2024</v>
      </c>
      <c r="H2109" s="101">
        <v>45539</v>
      </c>
      <c r="I2109" s="101">
        <v>45540</v>
      </c>
      <c r="J2109" s="94" t="s">
        <v>3720</v>
      </c>
      <c r="K2109" s="100">
        <v>45544</v>
      </c>
      <c r="L2109" s="69" t="s">
        <v>82</v>
      </c>
      <c r="M2109" s="69" t="s">
        <v>4</v>
      </c>
      <c r="N2109" s="69" t="s">
        <v>101</v>
      </c>
      <c r="O2109" s="69" t="s">
        <v>1436</v>
      </c>
      <c r="P2109" s="78"/>
      <c r="Q2109" s="96">
        <v>45545</v>
      </c>
      <c r="R2109" s="97" t="s">
        <v>929</v>
      </c>
      <c r="S2109" s="98"/>
    </row>
    <row r="2110" spans="1:19" ht="42.75">
      <c r="A2110" s="90" t="s">
        <v>51</v>
      </c>
      <c r="B2110" s="91" t="s">
        <v>535</v>
      </c>
      <c r="C2110" s="91" t="s">
        <v>3671</v>
      </c>
      <c r="D2110" s="90">
        <v>3458</v>
      </c>
      <c r="E2110" s="90">
        <v>3576</v>
      </c>
      <c r="F2110" s="90" t="s">
        <v>1454</v>
      </c>
      <c r="G2110" s="90"/>
      <c r="H2110" s="93"/>
      <c r="I2110" s="93"/>
      <c r="J2110" s="93"/>
      <c r="K2110" s="95"/>
      <c r="L2110" s="69"/>
      <c r="M2110" s="69"/>
      <c r="N2110" s="69"/>
      <c r="O2110" s="69"/>
      <c r="P2110" s="78"/>
      <c r="Q2110" s="96"/>
      <c r="R2110" s="97"/>
      <c r="S2110" s="98"/>
    </row>
    <row r="2111" spans="1:19" ht="42.75">
      <c r="A2111" s="90" t="s">
        <v>51</v>
      </c>
      <c r="B2111" s="91" t="s">
        <v>535</v>
      </c>
      <c r="C2111" s="91" t="s">
        <v>3653</v>
      </c>
      <c r="D2111" s="90">
        <v>2856</v>
      </c>
      <c r="E2111" s="90">
        <v>4288</v>
      </c>
      <c r="F2111" s="90" t="s">
        <v>1454</v>
      </c>
      <c r="G2111" s="90"/>
      <c r="H2111" s="93"/>
      <c r="I2111" s="93"/>
      <c r="J2111" s="93"/>
      <c r="K2111" s="95"/>
      <c r="L2111" s="69"/>
      <c r="M2111" s="69"/>
      <c r="N2111" s="69"/>
      <c r="O2111" s="69"/>
      <c r="P2111" s="78"/>
      <c r="Q2111" s="96"/>
      <c r="R2111" s="97"/>
      <c r="S2111" s="98"/>
    </row>
    <row r="2112" spans="1:19" ht="42.75">
      <c r="A2112" s="90" t="s">
        <v>51</v>
      </c>
      <c r="B2112" s="91" t="s">
        <v>535</v>
      </c>
      <c r="C2112" s="91" t="s">
        <v>3721</v>
      </c>
      <c r="D2112" s="90">
        <v>3420</v>
      </c>
      <c r="E2112" s="90">
        <v>4389</v>
      </c>
      <c r="F2112" s="90" t="s">
        <v>1434</v>
      </c>
      <c r="G2112" s="90">
        <v>2024</v>
      </c>
      <c r="H2112" s="101">
        <v>45539</v>
      </c>
      <c r="I2112" s="101">
        <v>45539</v>
      </c>
      <c r="J2112" s="94" t="s">
        <v>3722</v>
      </c>
      <c r="K2112" s="100">
        <v>45544</v>
      </c>
      <c r="L2112" s="69" t="s">
        <v>82</v>
      </c>
      <c r="M2112" s="69" t="s">
        <v>4</v>
      </c>
      <c r="N2112" s="69" t="s">
        <v>101</v>
      </c>
      <c r="O2112" s="69" t="s">
        <v>1436</v>
      </c>
      <c r="P2112" s="78"/>
      <c r="Q2112" s="96">
        <v>45545</v>
      </c>
      <c r="R2112" s="97" t="s">
        <v>929</v>
      </c>
      <c r="S2112" s="98"/>
    </row>
    <row r="2113" spans="1:19" ht="42.75">
      <c r="A2113" s="90" t="s">
        <v>51</v>
      </c>
      <c r="B2113" s="91" t="s">
        <v>535</v>
      </c>
      <c r="C2113" s="91" t="s">
        <v>3723</v>
      </c>
      <c r="D2113" s="90">
        <v>1760</v>
      </c>
      <c r="E2113" s="90">
        <v>1756</v>
      </c>
      <c r="F2113" s="90" t="s">
        <v>1434</v>
      </c>
      <c r="G2113" s="90">
        <v>2024</v>
      </c>
      <c r="H2113" s="101">
        <v>45576</v>
      </c>
      <c r="I2113" s="101">
        <v>45576</v>
      </c>
      <c r="J2113" s="94" t="s">
        <v>3724</v>
      </c>
      <c r="K2113" s="100">
        <v>45580</v>
      </c>
      <c r="L2113" s="69" t="s">
        <v>83</v>
      </c>
      <c r="M2113" s="69" t="s">
        <v>4</v>
      </c>
      <c r="N2113" s="69" t="s">
        <v>101</v>
      </c>
      <c r="O2113" s="69" t="s">
        <v>1436</v>
      </c>
      <c r="P2113" s="78"/>
      <c r="Q2113" s="96">
        <v>45581</v>
      </c>
      <c r="R2113" s="97" t="s">
        <v>929</v>
      </c>
      <c r="S2113" s="98"/>
    </row>
    <row r="2114" spans="1:19" ht="42.75">
      <c r="A2114" s="90" t="s">
        <v>51</v>
      </c>
      <c r="B2114" s="91" t="s">
        <v>535</v>
      </c>
      <c r="C2114" s="91" t="s">
        <v>3725</v>
      </c>
      <c r="D2114" s="90">
        <v>5435</v>
      </c>
      <c r="E2114" s="90">
        <v>5392</v>
      </c>
      <c r="F2114" s="90" t="s">
        <v>1454</v>
      </c>
      <c r="G2114" s="90"/>
      <c r="H2114" s="93"/>
      <c r="I2114" s="93"/>
      <c r="J2114" s="93"/>
      <c r="K2114" s="95"/>
      <c r="L2114" s="69"/>
      <c r="M2114" s="69"/>
      <c r="N2114" s="69"/>
      <c r="O2114" s="69"/>
      <c r="P2114" s="78"/>
      <c r="Q2114" s="96"/>
      <c r="R2114" s="97"/>
      <c r="S2114" s="98"/>
    </row>
    <row r="2115" spans="1:19" ht="42.75">
      <c r="A2115" s="90" t="s">
        <v>51</v>
      </c>
      <c r="B2115" s="91" t="s">
        <v>535</v>
      </c>
      <c r="C2115" s="91" t="s">
        <v>2234</v>
      </c>
      <c r="D2115" s="90">
        <v>2525</v>
      </c>
      <c r="E2115" s="90">
        <v>2833</v>
      </c>
      <c r="F2115" s="90" t="s">
        <v>1434</v>
      </c>
      <c r="G2115" s="90">
        <v>2024</v>
      </c>
      <c r="H2115" s="101">
        <v>45576</v>
      </c>
      <c r="I2115" s="101">
        <v>45576</v>
      </c>
      <c r="J2115" s="94" t="s">
        <v>3726</v>
      </c>
      <c r="K2115" s="100">
        <v>45580</v>
      </c>
      <c r="L2115" s="69" t="s">
        <v>83</v>
      </c>
      <c r="M2115" s="69" t="s">
        <v>4</v>
      </c>
      <c r="N2115" s="69" t="s">
        <v>101</v>
      </c>
      <c r="O2115" s="69" t="s">
        <v>1436</v>
      </c>
      <c r="P2115" s="78"/>
      <c r="Q2115" s="96">
        <v>45581</v>
      </c>
      <c r="R2115" s="97" t="s">
        <v>929</v>
      </c>
      <c r="S2115" s="98"/>
    </row>
    <row r="2116" spans="1:19" ht="42.75">
      <c r="A2116" s="90" t="s">
        <v>51</v>
      </c>
      <c r="B2116" s="91" t="s">
        <v>535</v>
      </c>
      <c r="C2116" s="91" t="s">
        <v>653</v>
      </c>
      <c r="D2116" s="90">
        <v>3726</v>
      </c>
      <c r="E2116" s="90">
        <v>4305</v>
      </c>
      <c r="F2116" s="90" t="s">
        <v>1454</v>
      </c>
      <c r="G2116" s="90"/>
      <c r="H2116" s="93"/>
      <c r="I2116" s="93"/>
      <c r="J2116" s="93"/>
      <c r="K2116" s="95"/>
      <c r="L2116" s="69"/>
      <c r="M2116" s="69"/>
      <c r="N2116" s="69"/>
      <c r="O2116" s="69"/>
      <c r="P2116" s="78"/>
      <c r="Q2116" s="96"/>
      <c r="R2116" s="97"/>
      <c r="S2116" s="98"/>
    </row>
    <row r="2117" spans="1:19" ht="42.75">
      <c r="A2117" s="90" t="s">
        <v>51</v>
      </c>
      <c r="B2117" s="91" t="s">
        <v>535</v>
      </c>
      <c r="C2117" s="91" t="s">
        <v>2202</v>
      </c>
      <c r="D2117" s="90">
        <v>6396</v>
      </c>
      <c r="E2117" s="90">
        <v>7318</v>
      </c>
      <c r="F2117" s="90" t="s">
        <v>1434</v>
      </c>
      <c r="G2117" s="90">
        <v>2024</v>
      </c>
      <c r="H2117" s="101">
        <v>45576</v>
      </c>
      <c r="I2117" s="101">
        <v>45576</v>
      </c>
      <c r="J2117" s="94" t="s">
        <v>3727</v>
      </c>
      <c r="K2117" s="100">
        <v>45581</v>
      </c>
      <c r="L2117" s="69" t="s">
        <v>83</v>
      </c>
      <c r="M2117" s="69" t="s">
        <v>4</v>
      </c>
      <c r="N2117" s="69" t="s">
        <v>101</v>
      </c>
      <c r="O2117" s="69" t="s">
        <v>1436</v>
      </c>
      <c r="P2117" s="78"/>
      <c r="Q2117" s="96">
        <v>45582</v>
      </c>
      <c r="R2117" s="97" t="s">
        <v>929</v>
      </c>
      <c r="S2117" s="98"/>
    </row>
    <row r="2118" spans="1:19" ht="42.75">
      <c r="A2118" s="90" t="s">
        <v>51</v>
      </c>
      <c r="B2118" s="91" t="s">
        <v>535</v>
      </c>
      <c r="C2118" s="91" t="s">
        <v>1656</v>
      </c>
      <c r="D2118" s="90">
        <v>8883</v>
      </c>
      <c r="E2118" s="90">
        <v>9673</v>
      </c>
      <c r="F2118" s="90" t="s">
        <v>1434</v>
      </c>
      <c r="G2118" s="90">
        <v>2024</v>
      </c>
      <c r="H2118" s="101">
        <v>45482</v>
      </c>
      <c r="I2118" s="101">
        <v>45490</v>
      </c>
      <c r="J2118" s="94" t="s">
        <v>3728</v>
      </c>
      <c r="K2118" s="100">
        <v>45491</v>
      </c>
      <c r="L2118" s="69" t="s">
        <v>80</v>
      </c>
      <c r="M2118" s="69" t="s">
        <v>4</v>
      </c>
      <c r="N2118" s="69" t="s">
        <v>108</v>
      </c>
      <c r="O2118" s="69" t="s">
        <v>1436</v>
      </c>
      <c r="P2118" s="78"/>
      <c r="Q2118" s="96">
        <v>45492</v>
      </c>
      <c r="R2118" s="97"/>
      <c r="S2118" s="98"/>
    </row>
    <row r="2119" spans="1:19" ht="42.75">
      <c r="A2119" s="90" t="s">
        <v>51</v>
      </c>
      <c r="B2119" s="91" t="s">
        <v>535</v>
      </c>
      <c r="C2119" s="91" t="s">
        <v>380</v>
      </c>
      <c r="D2119" s="90">
        <v>2740</v>
      </c>
      <c r="E2119" s="90">
        <v>2974</v>
      </c>
      <c r="F2119" s="90" t="s">
        <v>1454</v>
      </c>
      <c r="G2119" s="90">
        <v>2025</v>
      </c>
      <c r="H2119" s="93"/>
      <c r="I2119" s="93"/>
      <c r="J2119" s="93"/>
      <c r="K2119" s="95"/>
      <c r="L2119" s="69" t="s">
        <v>74</v>
      </c>
      <c r="M2119" s="69"/>
      <c r="N2119" s="69"/>
      <c r="O2119" s="69"/>
      <c r="P2119" s="78"/>
      <c r="Q2119" s="96"/>
      <c r="R2119" s="97"/>
      <c r="S2119" s="98"/>
    </row>
    <row r="2120" spans="1:19" ht="42.75">
      <c r="A2120" s="90" t="s">
        <v>51</v>
      </c>
      <c r="B2120" s="91" t="s">
        <v>535</v>
      </c>
      <c r="C2120" s="91" t="s">
        <v>1879</v>
      </c>
      <c r="D2120" s="90">
        <v>3185</v>
      </c>
      <c r="E2120" s="90">
        <v>3494</v>
      </c>
      <c r="F2120" s="90" t="s">
        <v>1434</v>
      </c>
      <c r="G2120" s="90">
        <v>2024</v>
      </c>
      <c r="H2120" s="101">
        <v>45447</v>
      </c>
      <c r="I2120" s="101">
        <v>45459</v>
      </c>
      <c r="J2120" s="94" t="s">
        <v>3729</v>
      </c>
      <c r="K2120" s="95"/>
      <c r="L2120" s="69" t="s">
        <v>79</v>
      </c>
      <c r="M2120" s="69"/>
      <c r="N2120" s="69"/>
      <c r="O2120" s="69" t="s">
        <v>1436</v>
      </c>
      <c r="P2120" s="78"/>
      <c r="Q2120" s="96">
        <v>45463</v>
      </c>
      <c r="R2120" s="97"/>
      <c r="S2120" s="98"/>
    </row>
    <row r="2121" spans="1:19" ht="42.75">
      <c r="A2121" s="90" t="s">
        <v>51</v>
      </c>
      <c r="B2121" s="91" t="s">
        <v>535</v>
      </c>
      <c r="C2121" s="91" t="s">
        <v>2347</v>
      </c>
      <c r="D2121" s="90">
        <v>4624</v>
      </c>
      <c r="E2121" s="90">
        <v>5235</v>
      </c>
      <c r="F2121" s="90" t="s">
        <v>1454</v>
      </c>
      <c r="G2121" s="90"/>
      <c r="H2121" s="93"/>
      <c r="I2121" s="93"/>
      <c r="J2121" s="93"/>
      <c r="K2121" s="95"/>
      <c r="L2121" s="69"/>
      <c r="M2121" s="69"/>
      <c r="N2121" s="69"/>
      <c r="O2121" s="69"/>
      <c r="P2121" s="78"/>
      <c r="Q2121" s="96"/>
      <c r="R2121" s="97"/>
      <c r="S2121" s="98"/>
    </row>
    <row r="2122" spans="1:19" ht="42.75">
      <c r="A2122" s="90" t="s">
        <v>51</v>
      </c>
      <c r="B2122" s="91" t="s">
        <v>535</v>
      </c>
      <c r="C2122" s="91" t="s">
        <v>3730</v>
      </c>
      <c r="D2122" s="90">
        <v>1703</v>
      </c>
      <c r="E2122" s="90">
        <v>2184</v>
      </c>
      <c r="F2122" s="90" t="s">
        <v>1454</v>
      </c>
      <c r="G2122" s="90"/>
      <c r="H2122" s="93"/>
      <c r="I2122" s="93"/>
      <c r="J2122" s="93"/>
      <c r="K2122" s="95"/>
      <c r="L2122" s="69"/>
      <c r="M2122" s="69"/>
      <c r="N2122" s="69"/>
      <c r="O2122" s="69"/>
      <c r="P2122" s="78"/>
      <c r="Q2122" s="96"/>
      <c r="R2122" s="97"/>
      <c r="S2122" s="98"/>
    </row>
    <row r="2123" spans="1:19" ht="42.75">
      <c r="A2123" s="90" t="s">
        <v>51</v>
      </c>
      <c r="B2123" s="91" t="s">
        <v>535</v>
      </c>
      <c r="C2123" s="91" t="s">
        <v>3731</v>
      </c>
      <c r="D2123" s="90">
        <v>2052</v>
      </c>
      <c r="E2123" s="90">
        <v>1962</v>
      </c>
      <c r="F2123" s="90" t="s">
        <v>1454</v>
      </c>
      <c r="G2123" s="90"/>
      <c r="H2123" s="93"/>
      <c r="I2123" s="93"/>
      <c r="J2123" s="93"/>
      <c r="K2123" s="95"/>
      <c r="L2123" s="69"/>
      <c r="M2123" s="69"/>
      <c r="N2123" s="69"/>
      <c r="O2123" s="69"/>
      <c r="P2123" s="78"/>
      <c r="Q2123" s="96"/>
      <c r="R2123" s="97"/>
      <c r="S2123" s="98"/>
    </row>
    <row r="2124" spans="1:19" ht="42.75">
      <c r="A2124" s="90" t="s">
        <v>51</v>
      </c>
      <c r="B2124" s="91" t="s">
        <v>535</v>
      </c>
      <c r="C2124" s="91" t="s">
        <v>3732</v>
      </c>
      <c r="D2124" s="90">
        <v>3270</v>
      </c>
      <c r="E2124" s="90">
        <v>3493</v>
      </c>
      <c r="F2124" s="90" t="s">
        <v>1454</v>
      </c>
      <c r="G2124" s="90"/>
      <c r="H2124" s="93"/>
      <c r="I2124" s="93"/>
      <c r="J2124" s="93"/>
      <c r="K2124" s="95"/>
      <c r="L2124" s="69"/>
      <c r="M2124" s="69"/>
      <c r="N2124" s="69"/>
      <c r="O2124" s="69"/>
      <c r="P2124" s="78"/>
      <c r="Q2124" s="96"/>
      <c r="R2124" s="97"/>
      <c r="S2124" s="98"/>
    </row>
    <row r="2125" spans="1:19" ht="42.75">
      <c r="A2125" s="90" t="s">
        <v>51</v>
      </c>
      <c r="B2125" s="91" t="s">
        <v>312</v>
      </c>
      <c r="C2125" s="91" t="s">
        <v>763</v>
      </c>
      <c r="D2125" s="90">
        <v>1397</v>
      </c>
      <c r="E2125" s="90">
        <v>1773</v>
      </c>
      <c r="F2125" s="90" t="s">
        <v>1454</v>
      </c>
      <c r="G2125" s="90"/>
      <c r="H2125" s="93"/>
      <c r="I2125" s="93"/>
      <c r="J2125" s="93"/>
      <c r="K2125" s="95"/>
      <c r="L2125" s="69"/>
      <c r="M2125" s="69"/>
      <c r="N2125" s="69"/>
      <c r="O2125" s="69"/>
      <c r="P2125" s="78"/>
      <c r="Q2125" s="96"/>
      <c r="R2125" s="97"/>
      <c r="S2125" s="98"/>
    </row>
    <row r="2126" spans="1:19" ht="42.75">
      <c r="A2126" s="90" t="s">
        <v>51</v>
      </c>
      <c r="B2126" s="91" t="s">
        <v>312</v>
      </c>
      <c r="C2126" s="91" t="s">
        <v>3733</v>
      </c>
      <c r="D2126" s="90">
        <v>1708</v>
      </c>
      <c r="E2126" s="90">
        <v>1676</v>
      </c>
      <c r="F2126" s="90" t="s">
        <v>1434</v>
      </c>
      <c r="G2126" s="90">
        <v>2024</v>
      </c>
      <c r="H2126" s="101">
        <v>45545</v>
      </c>
      <c r="I2126" s="101">
        <v>45545</v>
      </c>
      <c r="J2126" s="94" t="s">
        <v>3734</v>
      </c>
      <c r="K2126" s="100">
        <v>45552</v>
      </c>
      <c r="L2126" s="69" t="s">
        <v>82</v>
      </c>
      <c r="M2126" s="69" t="s">
        <v>4</v>
      </c>
      <c r="N2126" s="69" t="s">
        <v>101</v>
      </c>
      <c r="O2126" s="69" t="s">
        <v>1436</v>
      </c>
      <c r="P2126" s="78"/>
      <c r="Q2126" s="96">
        <v>45553</v>
      </c>
      <c r="R2126" s="97" t="s">
        <v>929</v>
      </c>
      <c r="S2126" s="98"/>
    </row>
    <row r="2127" spans="1:19" ht="42.75">
      <c r="A2127" s="90" t="s">
        <v>51</v>
      </c>
      <c r="B2127" s="91" t="s">
        <v>312</v>
      </c>
      <c r="C2127" s="91" t="s">
        <v>3487</v>
      </c>
      <c r="D2127" s="90">
        <v>2094</v>
      </c>
      <c r="E2127" s="90">
        <v>1890</v>
      </c>
      <c r="F2127" s="90" t="s">
        <v>1454</v>
      </c>
      <c r="G2127" s="90"/>
      <c r="H2127" s="93"/>
      <c r="I2127" s="93"/>
      <c r="J2127" s="93"/>
      <c r="K2127" s="95"/>
      <c r="L2127" s="69"/>
      <c r="M2127" s="69"/>
      <c r="N2127" s="69"/>
      <c r="O2127" s="69"/>
      <c r="P2127" s="78"/>
      <c r="Q2127" s="96"/>
      <c r="R2127" s="97"/>
      <c r="S2127" s="98"/>
    </row>
    <row r="2128" spans="1:19" ht="42.75">
      <c r="A2128" s="90" t="s">
        <v>51</v>
      </c>
      <c r="B2128" s="91" t="s">
        <v>312</v>
      </c>
      <c r="C2128" s="91" t="s">
        <v>1044</v>
      </c>
      <c r="D2128" s="90">
        <v>6952</v>
      </c>
      <c r="E2128" s="90">
        <v>6786</v>
      </c>
      <c r="F2128" s="90" t="s">
        <v>1454</v>
      </c>
      <c r="G2128" s="90"/>
      <c r="H2128" s="93"/>
      <c r="I2128" s="93"/>
      <c r="J2128" s="93"/>
      <c r="K2128" s="95"/>
      <c r="L2128" s="69"/>
      <c r="M2128" s="69"/>
      <c r="N2128" s="69"/>
      <c r="O2128" s="69"/>
      <c r="P2128" s="78"/>
      <c r="Q2128" s="96"/>
      <c r="R2128" s="97"/>
      <c r="S2128" s="98"/>
    </row>
    <row r="2129" spans="1:19" ht="42.75">
      <c r="A2129" s="90" t="s">
        <v>51</v>
      </c>
      <c r="B2129" s="91" t="s">
        <v>312</v>
      </c>
      <c r="C2129" s="91" t="s">
        <v>3735</v>
      </c>
      <c r="D2129" s="90">
        <v>1402</v>
      </c>
      <c r="E2129" s="90">
        <v>1628</v>
      </c>
      <c r="F2129" s="90" t="s">
        <v>1454</v>
      </c>
      <c r="G2129" s="90"/>
      <c r="H2129" s="93"/>
      <c r="I2129" s="93"/>
      <c r="J2129" s="93"/>
      <c r="K2129" s="95"/>
      <c r="L2129" s="69"/>
      <c r="M2129" s="69"/>
      <c r="N2129" s="69"/>
      <c r="O2129" s="69"/>
      <c r="P2129" s="78"/>
      <c r="Q2129" s="96"/>
      <c r="R2129" s="97"/>
      <c r="S2129" s="98"/>
    </row>
    <row r="2130" spans="1:19" ht="42.75">
      <c r="A2130" s="90" t="s">
        <v>51</v>
      </c>
      <c r="B2130" s="91" t="s">
        <v>312</v>
      </c>
      <c r="C2130" s="91" t="s">
        <v>3736</v>
      </c>
      <c r="D2130" s="90">
        <v>1578</v>
      </c>
      <c r="E2130" s="90">
        <v>1618</v>
      </c>
      <c r="F2130" s="90" t="s">
        <v>1454</v>
      </c>
      <c r="G2130" s="90"/>
      <c r="H2130" s="93"/>
      <c r="I2130" s="93"/>
      <c r="J2130" s="93"/>
      <c r="K2130" s="95"/>
      <c r="L2130" s="69"/>
      <c r="M2130" s="69"/>
      <c r="N2130" s="69"/>
      <c r="O2130" s="69"/>
      <c r="P2130" s="78"/>
      <c r="Q2130" s="96"/>
      <c r="R2130" s="97"/>
      <c r="S2130" s="98"/>
    </row>
    <row r="2131" spans="1:19" ht="42.75">
      <c r="A2131" s="90" t="s">
        <v>51</v>
      </c>
      <c r="B2131" s="91" t="s">
        <v>312</v>
      </c>
      <c r="C2131" s="91" t="s">
        <v>2342</v>
      </c>
      <c r="D2131" s="90">
        <v>1534</v>
      </c>
      <c r="E2131" s="90">
        <v>1782</v>
      </c>
      <c r="F2131" s="90" t="s">
        <v>1454</v>
      </c>
      <c r="G2131" s="90"/>
      <c r="H2131" s="93"/>
      <c r="I2131" s="93"/>
      <c r="J2131" s="93"/>
      <c r="K2131" s="95"/>
      <c r="L2131" s="69"/>
      <c r="M2131" s="69"/>
      <c r="N2131" s="69"/>
      <c r="O2131" s="69"/>
      <c r="P2131" s="78"/>
      <c r="Q2131" s="96"/>
      <c r="R2131" s="97"/>
      <c r="S2131" s="98"/>
    </row>
    <row r="2132" spans="1:19" ht="42.75">
      <c r="A2132" s="90" t="s">
        <v>51</v>
      </c>
      <c r="B2132" s="91" t="s">
        <v>312</v>
      </c>
      <c r="C2132" s="91" t="s">
        <v>2345</v>
      </c>
      <c r="D2132" s="90">
        <v>901</v>
      </c>
      <c r="E2132" s="90">
        <v>856</v>
      </c>
      <c r="F2132" s="90" t="s">
        <v>1454</v>
      </c>
      <c r="G2132" s="90"/>
      <c r="H2132" s="93"/>
      <c r="I2132" s="93"/>
      <c r="J2132" s="93"/>
      <c r="K2132" s="95"/>
      <c r="L2132" s="69"/>
      <c r="M2132" s="69"/>
      <c r="N2132" s="69"/>
      <c r="O2132" s="69"/>
      <c r="P2132" s="78"/>
      <c r="Q2132" s="96"/>
      <c r="R2132" s="97"/>
      <c r="S2132" s="98"/>
    </row>
    <row r="2133" spans="1:19" ht="42.75">
      <c r="A2133" s="90" t="s">
        <v>51</v>
      </c>
      <c r="B2133" s="91" t="s">
        <v>312</v>
      </c>
      <c r="C2133" s="91" t="s">
        <v>3737</v>
      </c>
      <c r="D2133" s="90">
        <v>1412</v>
      </c>
      <c r="E2133" s="90">
        <v>1232</v>
      </c>
      <c r="F2133" s="90" t="s">
        <v>1434</v>
      </c>
      <c r="G2133" s="90">
        <v>2024</v>
      </c>
      <c r="H2133" s="101">
        <v>45545</v>
      </c>
      <c r="I2133" s="101">
        <v>45545</v>
      </c>
      <c r="J2133" s="94" t="s">
        <v>3738</v>
      </c>
      <c r="K2133" s="100">
        <v>45552</v>
      </c>
      <c r="L2133" s="69" t="s">
        <v>82</v>
      </c>
      <c r="M2133" s="69" t="s">
        <v>4</v>
      </c>
      <c r="N2133" s="69" t="s">
        <v>101</v>
      </c>
      <c r="O2133" s="69" t="s">
        <v>1436</v>
      </c>
      <c r="P2133" s="78"/>
      <c r="Q2133" s="96">
        <v>45553</v>
      </c>
      <c r="R2133" s="97" t="s">
        <v>929</v>
      </c>
      <c r="S2133" s="98"/>
    </row>
    <row r="2134" spans="1:19" ht="42.75">
      <c r="A2134" s="90" t="s">
        <v>51</v>
      </c>
      <c r="B2134" s="91" t="s">
        <v>312</v>
      </c>
      <c r="C2134" s="91" t="s">
        <v>3739</v>
      </c>
      <c r="D2134" s="90">
        <v>1612</v>
      </c>
      <c r="E2134" s="90">
        <v>1939</v>
      </c>
      <c r="F2134" s="90" t="s">
        <v>1434</v>
      </c>
      <c r="G2134" s="90">
        <v>2024</v>
      </c>
      <c r="H2134" s="101">
        <v>45518</v>
      </c>
      <c r="I2134" s="101">
        <v>45522</v>
      </c>
      <c r="J2134" s="94" t="s">
        <v>3740</v>
      </c>
      <c r="K2134" s="100">
        <v>45523</v>
      </c>
      <c r="L2134" s="69" t="s">
        <v>81</v>
      </c>
      <c r="M2134" s="69" t="s">
        <v>4</v>
      </c>
      <c r="N2134" s="69" t="s">
        <v>101</v>
      </c>
      <c r="O2134" s="69" t="s">
        <v>1436</v>
      </c>
      <c r="P2134" s="78"/>
      <c r="Q2134" s="96">
        <v>45525</v>
      </c>
      <c r="R2134" s="97"/>
      <c r="S2134" s="98"/>
    </row>
    <row r="2135" spans="1:19" ht="42.75">
      <c r="A2135" s="90" t="s">
        <v>51</v>
      </c>
      <c r="B2135" s="91" t="s">
        <v>312</v>
      </c>
      <c r="C2135" s="91" t="s">
        <v>3741</v>
      </c>
      <c r="D2135" s="90">
        <v>2216</v>
      </c>
      <c r="E2135" s="90">
        <v>2507</v>
      </c>
      <c r="F2135" s="90" t="s">
        <v>1454</v>
      </c>
      <c r="G2135" s="90"/>
      <c r="H2135" s="93"/>
      <c r="I2135" s="93"/>
      <c r="J2135" s="93"/>
      <c r="K2135" s="95"/>
      <c r="L2135" s="69"/>
      <c r="M2135" s="69"/>
      <c r="N2135" s="69"/>
      <c r="O2135" s="69"/>
      <c r="P2135" s="78"/>
      <c r="Q2135" s="96"/>
      <c r="R2135" s="97"/>
      <c r="S2135" s="98"/>
    </row>
    <row r="2136" spans="1:19" ht="42.75">
      <c r="A2136" s="90" t="s">
        <v>51</v>
      </c>
      <c r="B2136" s="91" t="s">
        <v>312</v>
      </c>
      <c r="C2136" s="91" t="s">
        <v>3742</v>
      </c>
      <c r="D2136" s="90">
        <v>1999</v>
      </c>
      <c r="E2136" s="90">
        <v>2515</v>
      </c>
      <c r="F2136" s="90" t="s">
        <v>1454</v>
      </c>
      <c r="G2136" s="90"/>
      <c r="H2136" s="93"/>
      <c r="I2136" s="93"/>
      <c r="J2136" s="93"/>
      <c r="K2136" s="95"/>
      <c r="L2136" s="69"/>
      <c r="M2136" s="69"/>
      <c r="N2136" s="69"/>
      <c r="O2136" s="69"/>
      <c r="P2136" s="78"/>
      <c r="Q2136" s="96"/>
      <c r="R2136" s="97"/>
      <c r="S2136" s="98"/>
    </row>
    <row r="2137" spans="1:19" ht="42.75">
      <c r="A2137" s="90" t="s">
        <v>51</v>
      </c>
      <c r="B2137" s="91" t="s">
        <v>312</v>
      </c>
      <c r="C2137" s="91" t="s">
        <v>3743</v>
      </c>
      <c r="D2137" s="90">
        <v>1123</v>
      </c>
      <c r="E2137" s="90">
        <v>1551</v>
      </c>
      <c r="F2137" s="90" t="s">
        <v>1434</v>
      </c>
      <c r="G2137" s="90">
        <v>2024</v>
      </c>
      <c r="H2137" s="101">
        <v>45518</v>
      </c>
      <c r="I2137" s="101">
        <v>45522</v>
      </c>
      <c r="J2137" s="94" t="s">
        <v>3744</v>
      </c>
      <c r="K2137" s="100">
        <v>45523</v>
      </c>
      <c r="L2137" s="69" t="s">
        <v>81</v>
      </c>
      <c r="M2137" s="69" t="s">
        <v>4</v>
      </c>
      <c r="N2137" s="69" t="s">
        <v>101</v>
      </c>
      <c r="O2137" s="69" t="s">
        <v>1436</v>
      </c>
      <c r="P2137" s="78"/>
      <c r="Q2137" s="96">
        <v>45525</v>
      </c>
      <c r="R2137" s="97"/>
      <c r="S2137" s="98"/>
    </row>
    <row r="2138" spans="1:19" ht="42.75">
      <c r="A2138" s="90" t="s">
        <v>51</v>
      </c>
      <c r="B2138" s="91" t="s">
        <v>312</v>
      </c>
      <c r="C2138" s="91" t="s">
        <v>3745</v>
      </c>
      <c r="D2138" s="90">
        <v>1288</v>
      </c>
      <c r="E2138" s="90">
        <v>863</v>
      </c>
      <c r="F2138" s="90" t="s">
        <v>1434</v>
      </c>
      <c r="G2138" s="90">
        <v>2024</v>
      </c>
      <c r="H2138" s="101">
        <v>45518</v>
      </c>
      <c r="I2138" s="101">
        <v>45522</v>
      </c>
      <c r="J2138" s="94" t="s">
        <v>3746</v>
      </c>
      <c r="K2138" s="100">
        <v>45523</v>
      </c>
      <c r="L2138" s="69" t="s">
        <v>81</v>
      </c>
      <c r="M2138" s="69" t="s">
        <v>4</v>
      </c>
      <c r="N2138" s="69" t="s">
        <v>101</v>
      </c>
      <c r="O2138" s="69" t="s">
        <v>1436</v>
      </c>
      <c r="P2138" s="78"/>
      <c r="Q2138" s="96">
        <v>45525</v>
      </c>
      <c r="R2138" s="97"/>
      <c r="S2138" s="98"/>
    </row>
    <row r="2139" spans="1:19" ht="42.75">
      <c r="A2139" s="90" t="s">
        <v>51</v>
      </c>
      <c r="B2139" s="91" t="s">
        <v>312</v>
      </c>
      <c r="C2139" s="91" t="s">
        <v>3747</v>
      </c>
      <c r="D2139" s="90">
        <v>1144</v>
      </c>
      <c r="E2139" s="90">
        <v>1100</v>
      </c>
      <c r="F2139" s="90" t="s">
        <v>1454</v>
      </c>
      <c r="G2139" s="90"/>
      <c r="H2139" s="93"/>
      <c r="I2139" s="93"/>
      <c r="J2139" s="93"/>
      <c r="K2139" s="95"/>
      <c r="L2139" s="69"/>
      <c r="M2139" s="69"/>
      <c r="N2139" s="69"/>
      <c r="O2139" s="69"/>
      <c r="P2139" s="78"/>
      <c r="Q2139" s="96"/>
      <c r="R2139" s="97"/>
      <c r="S2139" s="98"/>
    </row>
    <row r="2140" spans="1:19" ht="42.75">
      <c r="A2140" s="90" t="s">
        <v>51</v>
      </c>
      <c r="B2140" s="91" t="s">
        <v>312</v>
      </c>
      <c r="C2140" s="91" t="s">
        <v>3748</v>
      </c>
      <c r="D2140" s="90">
        <v>4552</v>
      </c>
      <c r="E2140" s="90">
        <v>3520</v>
      </c>
      <c r="F2140" s="90" t="s">
        <v>1454</v>
      </c>
      <c r="G2140" s="90"/>
      <c r="H2140" s="93"/>
      <c r="I2140" s="93"/>
      <c r="J2140" s="93"/>
      <c r="K2140" s="95"/>
      <c r="L2140" s="69"/>
      <c r="M2140" s="69"/>
      <c r="N2140" s="69"/>
      <c r="O2140" s="69"/>
      <c r="P2140" s="78"/>
      <c r="Q2140" s="96"/>
      <c r="R2140" s="97"/>
      <c r="S2140" s="98"/>
    </row>
    <row r="2141" spans="1:19" ht="42.75">
      <c r="A2141" s="90" t="s">
        <v>51</v>
      </c>
      <c r="B2141" s="91" t="s">
        <v>312</v>
      </c>
      <c r="C2141" s="91" t="s">
        <v>3749</v>
      </c>
      <c r="D2141" s="90">
        <v>3494</v>
      </c>
      <c r="E2141" s="90">
        <v>3751</v>
      </c>
      <c r="F2141" s="90" t="s">
        <v>1454</v>
      </c>
      <c r="G2141" s="90"/>
      <c r="H2141" s="93"/>
      <c r="I2141" s="93"/>
      <c r="J2141" s="93"/>
      <c r="K2141" s="95"/>
      <c r="L2141" s="69"/>
      <c r="M2141" s="69"/>
      <c r="N2141" s="69"/>
      <c r="O2141" s="69"/>
      <c r="P2141" s="78"/>
      <c r="Q2141" s="96"/>
      <c r="R2141" s="97"/>
      <c r="S2141" s="98"/>
    </row>
    <row r="2142" spans="1:19" ht="42.75">
      <c r="A2142" s="90" t="s">
        <v>51</v>
      </c>
      <c r="B2142" s="91" t="s">
        <v>312</v>
      </c>
      <c r="C2142" s="91" t="s">
        <v>881</v>
      </c>
      <c r="D2142" s="90">
        <v>1056</v>
      </c>
      <c r="E2142" s="90">
        <v>1238</v>
      </c>
      <c r="F2142" s="90" t="s">
        <v>1454</v>
      </c>
      <c r="G2142" s="90"/>
      <c r="H2142" s="93"/>
      <c r="I2142" s="93"/>
      <c r="J2142" s="93"/>
      <c r="K2142" s="95"/>
      <c r="L2142" s="69"/>
      <c r="M2142" s="69"/>
      <c r="N2142" s="69"/>
      <c r="O2142" s="69"/>
      <c r="P2142" s="78"/>
      <c r="Q2142" s="96"/>
      <c r="R2142" s="97"/>
      <c r="S2142" s="98"/>
    </row>
    <row r="2143" spans="1:19" ht="42.75">
      <c r="A2143" s="90" t="s">
        <v>51</v>
      </c>
      <c r="B2143" s="91" t="s">
        <v>312</v>
      </c>
      <c r="C2143" s="91" t="s">
        <v>554</v>
      </c>
      <c r="D2143" s="90">
        <v>2171</v>
      </c>
      <c r="E2143" s="90">
        <v>2452</v>
      </c>
      <c r="F2143" s="90" t="s">
        <v>1434</v>
      </c>
      <c r="G2143" s="90">
        <v>2024</v>
      </c>
      <c r="H2143" s="101">
        <v>45545</v>
      </c>
      <c r="I2143" s="101">
        <v>45545</v>
      </c>
      <c r="J2143" s="94" t="s">
        <v>3750</v>
      </c>
      <c r="K2143" s="100">
        <v>45553</v>
      </c>
      <c r="L2143" s="69" t="s">
        <v>82</v>
      </c>
      <c r="M2143" s="69" t="s">
        <v>4</v>
      </c>
      <c r="N2143" s="69" t="s">
        <v>101</v>
      </c>
      <c r="O2143" s="69" t="s">
        <v>1436</v>
      </c>
      <c r="P2143" s="78"/>
      <c r="Q2143" s="96">
        <v>45553</v>
      </c>
      <c r="R2143" s="97" t="s">
        <v>929</v>
      </c>
      <c r="S2143" s="98"/>
    </row>
    <row r="2144" spans="1:19" ht="42.75">
      <c r="A2144" s="90" t="s">
        <v>51</v>
      </c>
      <c r="B2144" s="91" t="s">
        <v>312</v>
      </c>
      <c r="C2144" s="91" t="s">
        <v>3751</v>
      </c>
      <c r="D2144" s="90">
        <v>3439</v>
      </c>
      <c r="E2144" s="90">
        <v>3262</v>
      </c>
      <c r="F2144" s="90" t="s">
        <v>1454</v>
      </c>
      <c r="G2144" s="90"/>
      <c r="H2144" s="93"/>
      <c r="I2144" s="93"/>
      <c r="J2144" s="93"/>
      <c r="K2144" s="95"/>
      <c r="L2144" s="69"/>
      <c r="M2144" s="69"/>
      <c r="N2144" s="69"/>
      <c r="O2144" s="69"/>
      <c r="P2144" s="78"/>
      <c r="Q2144" s="96"/>
      <c r="R2144" s="97"/>
      <c r="S2144" s="98"/>
    </row>
    <row r="2145" spans="1:19" ht="42.75">
      <c r="A2145" s="90" t="s">
        <v>51</v>
      </c>
      <c r="B2145" s="91" t="s">
        <v>312</v>
      </c>
      <c r="C2145" s="91" t="s">
        <v>3752</v>
      </c>
      <c r="D2145" s="90">
        <v>2216</v>
      </c>
      <c r="E2145" s="90">
        <v>2217</v>
      </c>
      <c r="F2145" s="90" t="s">
        <v>1454</v>
      </c>
      <c r="G2145" s="90"/>
      <c r="H2145" s="93"/>
      <c r="I2145" s="93"/>
      <c r="J2145" s="93"/>
      <c r="K2145" s="95"/>
      <c r="L2145" s="69"/>
      <c r="M2145" s="69"/>
      <c r="N2145" s="69"/>
      <c r="O2145" s="69"/>
      <c r="P2145" s="78"/>
      <c r="Q2145" s="96"/>
      <c r="R2145" s="97"/>
      <c r="S2145" s="98"/>
    </row>
    <row r="2146" spans="1:19" ht="42.75">
      <c r="A2146" s="90" t="s">
        <v>51</v>
      </c>
      <c r="B2146" s="91" t="s">
        <v>312</v>
      </c>
      <c r="C2146" s="91" t="s">
        <v>3753</v>
      </c>
      <c r="D2146" s="90">
        <v>2001</v>
      </c>
      <c r="E2146" s="90">
        <v>1932</v>
      </c>
      <c r="F2146" s="90" t="s">
        <v>1454</v>
      </c>
      <c r="G2146" s="90"/>
      <c r="H2146" s="93"/>
      <c r="I2146" s="93"/>
      <c r="J2146" s="93"/>
      <c r="K2146" s="95"/>
      <c r="L2146" s="69"/>
      <c r="M2146" s="69"/>
      <c r="N2146" s="69"/>
      <c r="O2146" s="69"/>
      <c r="P2146" s="78"/>
      <c r="Q2146" s="96"/>
      <c r="R2146" s="97"/>
      <c r="S2146" s="98"/>
    </row>
    <row r="2147" spans="1:19" ht="42.75">
      <c r="A2147" s="90" t="s">
        <v>51</v>
      </c>
      <c r="B2147" s="91" t="s">
        <v>312</v>
      </c>
      <c r="C2147" s="91" t="s">
        <v>3754</v>
      </c>
      <c r="D2147" s="90">
        <v>1373</v>
      </c>
      <c r="E2147" s="90">
        <v>1212</v>
      </c>
      <c r="F2147" s="90" t="s">
        <v>1454</v>
      </c>
      <c r="G2147" s="90"/>
      <c r="H2147" s="93"/>
      <c r="I2147" s="93"/>
      <c r="J2147" s="93"/>
      <c r="K2147" s="95"/>
      <c r="L2147" s="69"/>
      <c r="M2147" s="69"/>
      <c r="N2147" s="69"/>
      <c r="O2147" s="69"/>
      <c r="P2147" s="78"/>
      <c r="Q2147" s="96"/>
      <c r="R2147" s="97"/>
      <c r="S2147" s="98"/>
    </row>
    <row r="2148" spans="1:19" ht="42.75">
      <c r="A2148" s="90" t="s">
        <v>51</v>
      </c>
      <c r="B2148" s="91" t="s">
        <v>312</v>
      </c>
      <c r="C2148" s="91" t="s">
        <v>3755</v>
      </c>
      <c r="D2148" s="90">
        <v>3022</v>
      </c>
      <c r="E2148" s="90">
        <v>3251</v>
      </c>
      <c r="F2148" s="90" t="s">
        <v>1454</v>
      </c>
      <c r="G2148" s="90"/>
      <c r="H2148" s="93"/>
      <c r="I2148" s="93"/>
      <c r="J2148" s="93"/>
      <c r="K2148" s="95"/>
      <c r="L2148" s="69"/>
      <c r="M2148" s="69"/>
      <c r="N2148" s="69"/>
      <c r="O2148" s="69"/>
      <c r="P2148" s="78"/>
      <c r="Q2148" s="96"/>
      <c r="R2148" s="97"/>
      <c r="S2148" s="98"/>
    </row>
    <row r="2149" spans="1:19" ht="42.75">
      <c r="A2149" s="90" t="s">
        <v>51</v>
      </c>
      <c r="B2149" s="91" t="s">
        <v>312</v>
      </c>
      <c r="C2149" s="91" t="s">
        <v>3756</v>
      </c>
      <c r="D2149" s="90">
        <v>1719</v>
      </c>
      <c r="E2149" s="90">
        <v>1835</v>
      </c>
      <c r="F2149" s="90" t="s">
        <v>1454</v>
      </c>
      <c r="G2149" s="90"/>
      <c r="H2149" s="93"/>
      <c r="I2149" s="93"/>
      <c r="J2149" s="93"/>
      <c r="K2149" s="95"/>
      <c r="L2149" s="69"/>
      <c r="M2149" s="69"/>
      <c r="N2149" s="69"/>
      <c r="O2149" s="69"/>
      <c r="P2149" s="78"/>
      <c r="Q2149" s="96"/>
      <c r="R2149" s="97"/>
      <c r="S2149" s="98"/>
    </row>
    <row r="2150" spans="1:19" ht="42.75">
      <c r="A2150" s="90" t="s">
        <v>51</v>
      </c>
      <c r="B2150" s="91" t="s">
        <v>312</v>
      </c>
      <c r="C2150" s="91" t="s">
        <v>1879</v>
      </c>
      <c r="D2150" s="90">
        <v>3660</v>
      </c>
      <c r="E2150" s="90">
        <v>3604</v>
      </c>
      <c r="F2150" s="90" t="s">
        <v>1454</v>
      </c>
      <c r="G2150" s="90"/>
      <c r="H2150" s="93"/>
      <c r="I2150" s="93"/>
      <c r="J2150" s="93"/>
      <c r="K2150" s="95"/>
      <c r="L2150" s="69"/>
      <c r="M2150" s="69"/>
      <c r="N2150" s="69"/>
      <c r="O2150" s="69"/>
      <c r="P2150" s="78"/>
      <c r="Q2150" s="96"/>
      <c r="R2150" s="97"/>
      <c r="S2150" s="98"/>
    </row>
    <row r="2151" spans="1:19" ht="42.75">
      <c r="A2151" s="90" t="s">
        <v>51</v>
      </c>
      <c r="B2151" s="91" t="s">
        <v>537</v>
      </c>
      <c r="C2151" s="91" t="s">
        <v>3757</v>
      </c>
      <c r="D2151" s="90">
        <v>2932</v>
      </c>
      <c r="E2151" s="90">
        <v>2922</v>
      </c>
      <c r="F2151" s="90" t="s">
        <v>1454</v>
      </c>
      <c r="G2151" s="90"/>
      <c r="H2151" s="93"/>
      <c r="I2151" s="93"/>
      <c r="J2151" s="93"/>
      <c r="K2151" s="95"/>
      <c r="L2151" s="69"/>
      <c r="M2151" s="69"/>
      <c r="N2151" s="69"/>
      <c r="O2151" s="69"/>
      <c r="P2151" s="78"/>
      <c r="Q2151" s="96"/>
      <c r="R2151" s="97"/>
      <c r="S2151" s="98"/>
    </row>
    <row r="2152" spans="1:19" ht="42.75">
      <c r="A2152" s="90" t="s">
        <v>51</v>
      </c>
      <c r="B2152" s="91" t="s">
        <v>537</v>
      </c>
      <c r="C2152" s="91" t="s">
        <v>430</v>
      </c>
      <c r="D2152" s="90">
        <v>5065</v>
      </c>
      <c r="E2152" s="90">
        <v>5858</v>
      </c>
      <c r="F2152" s="90" t="s">
        <v>1454</v>
      </c>
      <c r="G2152" s="90"/>
      <c r="H2152" s="93"/>
      <c r="I2152" s="93"/>
      <c r="J2152" s="93"/>
      <c r="K2152" s="95"/>
      <c r="L2152" s="69"/>
      <c r="M2152" s="69"/>
      <c r="N2152" s="69"/>
      <c r="O2152" s="69"/>
      <c r="P2152" s="78"/>
      <c r="Q2152" s="96"/>
      <c r="R2152" s="97"/>
      <c r="S2152" s="98"/>
    </row>
    <row r="2153" spans="1:19" ht="42.75">
      <c r="A2153" s="90" t="s">
        <v>51</v>
      </c>
      <c r="B2153" s="91" t="s">
        <v>537</v>
      </c>
      <c r="C2153" s="91" t="s">
        <v>3558</v>
      </c>
      <c r="D2153" s="90">
        <v>2690</v>
      </c>
      <c r="E2153" s="90">
        <v>2638</v>
      </c>
      <c r="F2153" s="90" t="s">
        <v>1454</v>
      </c>
      <c r="G2153" s="90"/>
      <c r="H2153" s="93"/>
      <c r="I2153" s="93"/>
      <c r="J2153" s="93"/>
      <c r="K2153" s="95"/>
      <c r="L2153" s="69"/>
      <c r="M2153" s="69"/>
      <c r="N2153" s="69"/>
      <c r="O2153" s="69"/>
      <c r="P2153" s="78"/>
      <c r="Q2153" s="96"/>
      <c r="R2153" s="97"/>
      <c r="S2153" s="98"/>
    </row>
    <row r="2154" spans="1:19" ht="42.75">
      <c r="A2154" s="90" t="s">
        <v>51</v>
      </c>
      <c r="B2154" s="91" t="s">
        <v>537</v>
      </c>
      <c r="C2154" s="91" t="s">
        <v>1557</v>
      </c>
      <c r="D2154" s="90">
        <v>1211</v>
      </c>
      <c r="E2154" s="90">
        <v>1320</v>
      </c>
      <c r="F2154" s="90" t="s">
        <v>1454</v>
      </c>
      <c r="G2154" s="90"/>
      <c r="H2154" s="93"/>
      <c r="I2154" s="93"/>
      <c r="J2154" s="93"/>
      <c r="K2154" s="95"/>
      <c r="L2154" s="69"/>
      <c r="M2154" s="69"/>
      <c r="N2154" s="69"/>
      <c r="O2154" s="69"/>
      <c r="P2154" s="78"/>
      <c r="Q2154" s="96"/>
      <c r="R2154" s="97"/>
      <c r="S2154" s="98"/>
    </row>
    <row r="2155" spans="1:19" ht="42.75">
      <c r="A2155" s="90" t="s">
        <v>51</v>
      </c>
      <c r="B2155" s="91" t="s">
        <v>537</v>
      </c>
      <c r="C2155" s="91" t="s">
        <v>3758</v>
      </c>
      <c r="D2155" s="90">
        <v>2744</v>
      </c>
      <c r="E2155" s="90">
        <v>2835</v>
      </c>
      <c r="F2155" s="90" t="s">
        <v>1454</v>
      </c>
      <c r="G2155" s="90"/>
      <c r="H2155" s="93"/>
      <c r="I2155" s="93"/>
      <c r="J2155" s="93"/>
      <c r="K2155" s="95"/>
      <c r="L2155" s="69"/>
      <c r="M2155" s="69"/>
      <c r="N2155" s="69"/>
      <c r="O2155" s="69"/>
      <c r="P2155" s="78"/>
      <c r="Q2155" s="96"/>
      <c r="R2155" s="97"/>
      <c r="S2155" s="98"/>
    </row>
    <row r="2156" spans="1:19" ht="42.75">
      <c r="A2156" s="90" t="s">
        <v>51</v>
      </c>
      <c r="B2156" s="91" t="s">
        <v>537</v>
      </c>
      <c r="C2156" s="91" t="s">
        <v>3759</v>
      </c>
      <c r="D2156" s="90">
        <v>1158</v>
      </c>
      <c r="E2156" s="90">
        <v>1239</v>
      </c>
      <c r="F2156" s="90" t="s">
        <v>1454</v>
      </c>
      <c r="G2156" s="90"/>
      <c r="H2156" s="93"/>
      <c r="I2156" s="93"/>
      <c r="J2156" s="93"/>
      <c r="K2156" s="95"/>
      <c r="L2156" s="69"/>
      <c r="M2156" s="69"/>
      <c r="N2156" s="69"/>
      <c r="O2156" s="69"/>
      <c r="P2156" s="78"/>
      <c r="Q2156" s="96"/>
      <c r="R2156" s="97"/>
      <c r="S2156" s="98"/>
    </row>
    <row r="2157" spans="1:19" ht="42.75">
      <c r="A2157" s="90" t="s">
        <v>51</v>
      </c>
      <c r="B2157" s="91" t="s">
        <v>537</v>
      </c>
      <c r="C2157" s="91" t="s">
        <v>250</v>
      </c>
      <c r="D2157" s="90">
        <v>1900</v>
      </c>
      <c r="E2157" s="90">
        <v>2252</v>
      </c>
      <c r="F2157" s="90" t="s">
        <v>1454</v>
      </c>
      <c r="G2157" s="90"/>
      <c r="H2157" s="93"/>
      <c r="I2157" s="93"/>
      <c r="J2157" s="93"/>
      <c r="K2157" s="95"/>
      <c r="L2157" s="69"/>
      <c r="M2157" s="69"/>
      <c r="N2157" s="69"/>
      <c r="O2157" s="69"/>
      <c r="P2157" s="78"/>
      <c r="Q2157" s="96"/>
      <c r="R2157" s="97"/>
      <c r="S2157" s="98"/>
    </row>
    <row r="2158" spans="1:19" ht="42.75">
      <c r="A2158" s="90" t="s">
        <v>51</v>
      </c>
      <c r="B2158" s="91" t="s">
        <v>537</v>
      </c>
      <c r="C2158" s="91" t="s">
        <v>3760</v>
      </c>
      <c r="D2158" s="90">
        <v>2565</v>
      </c>
      <c r="E2158" s="90">
        <v>3086</v>
      </c>
      <c r="F2158" s="90" t="s">
        <v>1454</v>
      </c>
      <c r="G2158" s="90"/>
      <c r="H2158" s="93"/>
      <c r="I2158" s="93"/>
      <c r="J2158" s="93"/>
      <c r="K2158" s="95"/>
      <c r="L2158" s="69"/>
      <c r="M2158" s="69"/>
      <c r="N2158" s="69"/>
      <c r="O2158" s="69"/>
      <c r="P2158" s="78"/>
      <c r="Q2158" s="96"/>
      <c r="R2158" s="97"/>
      <c r="S2158" s="98"/>
    </row>
    <row r="2159" spans="1:19" ht="42.75">
      <c r="A2159" s="90" t="s">
        <v>51</v>
      </c>
      <c r="B2159" s="91" t="s">
        <v>537</v>
      </c>
      <c r="C2159" s="91" t="s">
        <v>3761</v>
      </c>
      <c r="D2159" s="90">
        <v>2277</v>
      </c>
      <c r="E2159" s="90">
        <v>2617</v>
      </c>
      <c r="F2159" s="90" t="s">
        <v>1454</v>
      </c>
      <c r="G2159" s="90"/>
      <c r="H2159" s="93"/>
      <c r="I2159" s="93"/>
      <c r="J2159" s="93"/>
      <c r="K2159" s="95"/>
      <c r="L2159" s="69"/>
      <c r="M2159" s="69"/>
      <c r="N2159" s="69"/>
      <c r="O2159" s="69"/>
      <c r="P2159" s="78"/>
      <c r="Q2159" s="96"/>
      <c r="R2159" s="97"/>
      <c r="S2159" s="98"/>
    </row>
    <row r="2160" spans="1:19" ht="42.75">
      <c r="A2160" s="90" t="s">
        <v>51</v>
      </c>
      <c r="B2160" s="91" t="s">
        <v>537</v>
      </c>
      <c r="C2160" s="91" t="s">
        <v>3386</v>
      </c>
      <c r="D2160" s="90">
        <v>2373</v>
      </c>
      <c r="E2160" s="90">
        <v>2513</v>
      </c>
      <c r="F2160" s="90" t="s">
        <v>1454</v>
      </c>
      <c r="G2160" s="90"/>
      <c r="H2160" s="93"/>
      <c r="I2160" s="93"/>
      <c r="J2160" s="93"/>
      <c r="K2160" s="95"/>
      <c r="L2160" s="69"/>
      <c r="M2160" s="69"/>
      <c r="N2160" s="69"/>
      <c r="O2160" s="69"/>
      <c r="P2160" s="78"/>
      <c r="Q2160" s="96"/>
      <c r="R2160" s="97"/>
      <c r="S2160" s="98"/>
    </row>
    <row r="2161" spans="1:19" ht="42.75">
      <c r="A2161" s="90" t="s">
        <v>51</v>
      </c>
      <c r="B2161" s="91" t="s">
        <v>537</v>
      </c>
      <c r="C2161" s="91" t="s">
        <v>3762</v>
      </c>
      <c r="D2161" s="90">
        <v>649</v>
      </c>
      <c r="E2161" s="90">
        <v>863</v>
      </c>
      <c r="F2161" s="90" t="s">
        <v>1454</v>
      </c>
      <c r="G2161" s="90"/>
      <c r="H2161" s="93"/>
      <c r="I2161" s="93"/>
      <c r="J2161" s="93"/>
      <c r="K2161" s="95"/>
      <c r="L2161" s="69"/>
      <c r="M2161" s="69"/>
      <c r="N2161" s="69"/>
      <c r="O2161" s="69"/>
      <c r="P2161" s="78"/>
      <c r="Q2161" s="96"/>
      <c r="R2161" s="97"/>
      <c r="S2161" s="98"/>
    </row>
    <row r="2162" spans="1:19" ht="42.75">
      <c r="A2162" s="90" t="s">
        <v>51</v>
      </c>
      <c r="B2162" s="91" t="s">
        <v>537</v>
      </c>
      <c r="C2162" s="91" t="s">
        <v>3763</v>
      </c>
      <c r="D2162" s="90">
        <v>706</v>
      </c>
      <c r="E2162" s="90">
        <v>848</v>
      </c>
      <c r="F2162" s="90" t="s">
        <v>1454</v>
      </c>
      <c r="G2162" s="90"/>
      <c r="H2162" s="93"/>
      <c r="I2162" s="93"/>
      <c r="J2162" s="93"/>
      <c r="K2162" s="95"/>
      <c r="L2162" s="69"/>
      <c r="M2162" s="69"/>
      <c r="N2162" s="69"/>
      <c r="O2162" s="69"/>
      <c r="P2162" s="78"/>
      <c r="Q2162" s="96"/>
      <c r="R2162" s="97"/>
      <c r="S2162" s="98"/>
    </row>
    <row r="2163" spans="1:19" ht="42.75">
      <c r="A2163" s="90" t="s">
        <v>51</v>
      </c>
      <c r="B2163" s="91" t="s">
        <v>537</v>
      </c>
      <c r="C2163" s="91" t="s">
        <v>2509</v>
      </c>
      <c r="D2163" s="90">
        <v>5032</v>
      </c>
      <c r="E2163" s="90">
        <v>4799</v>
      </c>
      <c r="F2163" s="90" t="s">
        <v>1454</v>
      </c>
      <c r="G2163" s="90"/>
      <c r="H2163" s="93"/>
      <c r="I2163" s="93"/>
      <c r="J2163" s="93"/>
      <c r="K2163" s="95"/>
      <c r="L2163" s="69"/>
      <c r="M2163" s="69"/>
      <c r="N2163" s="69"/>
      <c r="O2163" s="69"/>
      <c r="P2163" s="78"/>
      <c r="Q2163" s="96"/>
      <c r="R2163" s="97"/>
      <c r="S2163" s="98"/>
    </row>
    <row r="2164" spans="1:19" ht="42.75">
      <c r="A2164" s="90" t="s">
        <v>51</v>
      </c>
      <c r="B2164" s="91" t="s">
        <v>537</v>
      </c>
      <c r="C2164" s="91" t="s">
        <v>3764</v>
      </c>
      <c r="D2164" s="90">
        <v>2279</v>
      </c>
      <c r="E2164" s="90">
        <v>2411</v>
      </c>
      <c r="F2164" s="90" t="s">
        <v>1454</v>
      </c>
      <c r="G2164" s="90"/>
      <c r="H2164" s="93"/>
      <c r="I2164" s="93"/>
      <c r="J2164" s="93"/>
      <c r="K2164" s="95"/>
      <c r="L2164" s="69"/>
      <c r="M2164" s="69"/>
      <c r="N2164" s="69"/>
      <c r="O2164" s="69"/>
      <c r="P2164" s="78"/>
      <c r="Q2164" s="96"/>
      <c r="R2164" s="97"/>
      <c r="S2164" s="98"/>
    </row>
    <row r="2165" spans="1:19" ht="42.75">
      <c r="A2165" s="90" t="s">
        <v>51</v>
      </c>
      <c r="B2165" s="91" t="s">
        <v>537</v>
      </c>
      <c r="C2165" s="91" t="s">
        <v>3765</v>
      </c>
      <c r="D2165" s="90">
        <v>3784</v>
      </c>
      <c r="E2165" s="90">
        <v>4136</v>
      </c>
      <c r="F2165" s="90" t="s">
        <v>1454</v>
      </c>
      <c r="G2165" s="90"/>
      <c r="H2165" s="93"/>
      <c r="I2165" s="93"/>
      <c r="J2165" s="93"/>
      <c r="K2165" s="95"/>
      <c r="L2165" s="69"/>
      <c r="M2165" s="69"/>
      <c r="N2165" s="69"/>
      <c r="O2165" s="69"/>
      <c r="P2165" s="78"/>
      <c r="Q2165" s="96"/>
      <c r="R2165" s="97"/>
      <c r="S2165" s="98"/>
    </row>
    <row r="2166" spans="1:19" ht="42.75">
      <c r="A2166" s="90" t="s">
        <v>51</v>
      </c>
      <c r="B2166" s="91" t="s">
        <v>537</v>
      </c>
      <c r="C2166" s="91" t="s">
        <v>3766</v>
      </c>
      <c r="D2166" s="90">
        <v>1550</v>
      </c>
      <c r="E2166" s="90">
        <v>1950</v>
      </c>
      <c r="F2166" s="90" t="s">
        <v>1454</v>
      </c>
      <c r="G2166" s="90"/>
      <c r="H2166" s="93"/>
      <c r="I2166" s="93"/>
      <c r="J2166" s="93"/>
      <c r="K2166" s="95"/>
      <c r="L2166" s="69"/>
      <c r="M2166" s="69"/>
      <c r="N2166" s="69"/>
      <c r="O2166" s="69"/>
      <c r="P2166" s="78"/>
      <c r="Q2166" s="96"/>
      <c r="R2166" s="97"/>
      <c r="S2166" s="98"/>
    </row>
    <row r="2167" spans="1:19" ht="42.75">
      <c r="A2167" s="90" t="s">
        <v>51</v>
      </c>
      <c r="B2167" s="91" t="s">
        <v>537</v>
      </c>
      <c r="C2167" s="91" t="s">
        <v>3767</v>
      </c>
      <c r="D2167" s="90">
        <v>3175</v>
      </c>
      <c r="E2167" s="90">
        <v>3194</v>
      </c>
      <c r="F2167" s="90" t="s">
        <v>1454</v>
      </c>
      <c r="G2167" s="90"/>
      <c r="H2167" s="93"/>
      <c r="I2167" s="93"/>
      <c r="J2167" s="93"/>
      <c r="K2167" s="95"/>
      <c r="L2167" s="69"/>
      <c r="M2167" s="69"/>
      <c r="N2167" s="69"/>
      <c r="O2167" s="69"/>
      <c r="P2167" s="78"/>
      <c r="Q2167" s="96"/>
      <c r="R2167" s="97"/>
      <c r="S2167" s="98"/>
    </row>
    <row r="2168" spans="1:19" ht="42.75">
      <c r="A2168" s="90" t="s">
        <v>51</v>
      </c>
      <c r="B2168" s="91" t="s">
        <v>537</v>
      </c>
      <c r="C2168" s="91" t="s">
        <v>3768</v>
      </c>
      <c r="D2168" s="90">
        <v>2028</v>
      </c>
      <c r="E2168" s="90">
        <v>2285</v>
      </c>
      <c r="F2168" s="90" t="s">
        <v>1454</v>
      </c>
      <c r="G2168" s="90"/>
      <c r="H2168" s="93"/>
      <c r="I2168" s="93"/>
      <c r="J2168" s="93"/>
      <c r="K2168" s="95"/>
      <c r="L2168" s="69"/>
      <c r="M2168" s="69"/>
      <c r="N2168" s="69"/>
      <c r="O2168" s="69"/>
      <c r="P2168" s="78"/>
      <c r="Q2168" s="96"/>
      <c r="R2168" s="97"/>
      <c r="S2168" s="98"/>
    </row>
    <row r="2169" spans="1:19" ht="42.75">
      <c r="A2169" s="90" t="s">
        <v>51</v>
      </c>
      <c r="B2169" s="91" t="s">
        <v>537</v>
      </c>
      <c r="C2169" s="91" t="s">
        <v>3769</v>
      </c>
      <c r="D2169" s="90">
        <v>28524</v>
      </c>
      <c r="E2169" s="90">
        <v>29027</v>
      </c>
      <c r="F2169" s="90" t="s">
        <v>1454</v>
      </c>
      <c r="G2169" s="90"/>
      <c r="H2169" s="93"/>
      <c r="I2169" s="93"/>
      <c r="J2169" s="93"/>
      <c r="K2169" s="95"/>
      <c r="L2169" s="69"/>
      <c r="M2169" s="69"/>
      <c r="N2169" s="69"/>
      <c r="O2169" s="69"/>
      <c r="P2169" s="78"/>
      <c r="Q2169" s="96"/>
      <c r="R2169" s="97"/>
      <c r="S2169" s="98"/>
    </row>
    <row r="2170" spans="1:19" ht="42.75">
      <c r="A2170" s="90" t="s">
        <v>51</v>
      </c>
      <c r="B2170" s="91" t="s">
        <v>537</v>
      </c>
      <c r="C2170" s="91" t="s">
        <v>3770</v>
      </c>
      <c r="D2170" s="90">
        <v>2374</v>
      </c>
      <c r="E2170" s="90">
        <v>2699</v>
      </c>
      <c r="F2170" s="90" t="s">
        <v>1454</v>
      </c>
      <c r="G2170" s="90"/>
      <c r="H2170" s="93"/>
      <c r="I2170" s="93"/>
      <c r="J2170" s="93"/>
      <c r="K2170" s="95"/>
      <c r="L2170" s="69"/>
      <c r="M2170" s="69"/>
      <c r="N2170" s="69"/>
      <c r="O2170" s="69"/>
      <c r="P2170" s="78"/>
      <c r="Q2170" s="96"/>
      <c r="R2170" s="97"/>
      <c r="S2170" s="98"/>
    </row>
    <row r="2171" spans="1:19" ht="42.75">
      <c r="A2171" s="90" t="s">
        <v>51</v>
      </c>
      <c r="B2171" s="91" t="s">
        <v>537</v>
      </c>
      <c r="C2171" s="91" t="s">
        <v>3771</v>
      </c>
      <c r="D2171" s="90">
        <v>2371</v>
      </c>
      <c r="E2171" s="90">
        <v>4016</v>
      </c>
      <c r="F2171" s="90" t="s">
        <v>1454</v>
      </c>
      <c r="G2171" s="90"/>
      <c r="H2171" s="93"/>
      <c r="I2171" s="93"/>
      <c r="J2171" s="93"/>
      <c r="K2171" s="95"/>
      <c r="L2171" s="69"/>
      <c r="M2171" s="69"/>
      <c r="N2171" s="69"/>
      <c r="O2171" s="69"/>
      <c r="P2171" s="78"/>
      <c r="Q2171" s="96"/>
      <c r="R2171" s="97"/>
      <c r="S2171" s="98"/>
    </row>
    <row r="2172" spans="1:19" ht="42.75">
      <c r="A2172" s="90" t="s">
        <v>51</v>
      </c>
      <c r="B2172" s="91" t="s">
        <v>537</v>
      </c>
      <c r="C2172" s="91" t="s">
        <v>3772</v>
      </c>
      <c r="D2172" s="90">
        <v>4231</v>
      </c>
      <c r="E2172" s="90">
        <v>5756</v>
      </c>
      <c r="F2172" s="90" t="s">
        <v>1454</v>
      </c>
      <c r="G2172" s="90"/>
      <c r="H2172" s="93"/>
      <c r="I2172" s="93"/>
      <c r="J2172" s="93"/>
      <c r="K2172" s="95"/>
      <c r="L2172" s="69"/>
      <c r="M2172" s="69"/>
      <c r="N2172" s="69"/>
      <c r="O2172" s="69"/>
      <c r="P2172" s="78"/>
      <c r="Q2172" s="96"/>
      <c r="R2172" s="97"/>
      <c r="S2172" s="98"/>
    </row>
    <row r="2173" spans="1:19" ht="42.75">
      <c r="A2173" s="90" t="s">
        <v>51</v>
      </c>
      <c r="B2173" s="91" t="s">
        <v>537</v>
      </c>
      <c r="C2173" s="91" t="s">
        <v>3773</v>
      </c>
      <c r="D2173" s="90">
        <v>2368</v>
      </c>
      <c r="E2173" s="90">
        <v>4919</v>
      </c>
      <c r="F2173" s="90" t="s">
        <v>1454</v>
      </c>
      <c r="G2173" s="90"/>
      <c r="H2173" s="93"/>
      <c r="I2173" s="93"/>
      <c r="J2173" s="93"/>
      <c r="K2173" s="95"/>
      <c r="L2173" s="69"/>
      <c r="M2173" s="69"/>
      <c r="N2173" s="69"/>
      <c r="O2173" s="69"/>
      <c r="P2173" s="78"/>
      <c r="Q2173" s="96"/>
      <c r="R2173" s="97"/>
      <c r="S2173" s="98"/>
    </row>
    <row r="2174" spans="1:19" ht="42.75">
      <c r="A2174" s="90" t="s">
        <v>51</v>
      </c>
      <c r="B2174" s="91" t="s">
        <v>537</v>
      </c>
      <c r="C2174" s="91" t="s">
        <v>714</v>
      </c>
      <c r="D2174" s="90">
        <v>5544</v>
      </c>
      <c r="E2174" s="90">
        <v>5759</v>
      </c>
      <c r="F2174" s="90" t="s">
        <v>1454</v>
      </c>
      <c r="G2174" s="90"/>
      <c r="H2174" s="93"/>
      <c r="I2174" s="93"/>
      <c r="J2174" s="93"/>
      <c r="K2174" s="95"/>
      <c r="L2174" s="69"/>
      <c r="M2174" s="69"/>
      <c r="N2174" s="69"/>
      <c r="O2174" s="69"/>
      <c r="P2174" s="78"/>
      <c r="Q2174" s="96"/>
      <c r="R2174" s="97"/>
      <c r="S2174" s="98"/>
    </row>
    <row r="2175" spans="1:19" ht="42.75">
      <c r="A2175" s="90" t="s">
        <v>51</v>
      </c>
      <c r="B2175" s="91" t="s">
        <v>537</v>
      </c>
      <c r="C2175" s="91" t="s">
        <v>1998</v>
      </c>
      <c r="D2175" s="90">
        <v>3072</v>
      </c>
      <c r="E2175" s="90">
        <v>3076</v>
      </c>
      <c r="F2175" s="90" t="s">
        <v>1454</v>
      </c>
      <c r="G2175" s="90"/>
      <c r="H2175" s="93"/>
      <c r="I2175" s="93"/>
      <c r="J2175" s="93"/>
      <c r="K2175" s="95"/>
      <c r="L2175" s="69"/>
      <c r="M2175" s="69"/>
      <c r="N2175" s="69"/>
      <c r="O2175" s="69"/>
      <c r="P2175" s="78"/>
      <c r="Q2175" s="96"/>
      <c r="R2175" s="97"/>
      <c r="S2175" s="98"/>
    </row>
    <row r="2176" spans="1:19" ht="42.75">
      <c r="A2176" s="90" t="s">
        <v>51</v>
      </c>
      <c r="B2176" s="91" t="s">
        <v>537</v>
      </c>
      <c r="C2176" s="91" t="s">
        <v>3774</v>
      </c>
      <c r="D2176" s="90">
        <v>6294</v>
      </c>
      <c r="E2176" s="90">
        <v>6853</v>
      </c>
      <c r="F2176" s="90" t="s">
        <v>1454</v>
      </c>
      <c r="G2176" s="90"/>
      <c r="H2176" s="93"/>
      <c r="I2176" s="93"/>
      <c r="J2176" s="93"/>
      <c r="K2176" s="95"/>
      <c r="L2176" s="69"/>
      <c r="M2176" s="69"/>
      <c r="N2176" s="69"/>
      <c r="O2176" s="69"/>
      <c r="P2176" s="78"/>
      <c r="Q2176" s="96"/>
      <c r="R2176" s="97"/>
      <c r="S2176" s="98"/>
    </row>
    <row r="2177" spans="1:19" ht="42.75">
      <c r="A2177" s="90" t="s">
        <v>51</v>
      </c>
      <c r="B2177" s="91" t="s">
        <v>537</v>
      </c>
      <c r="C2177" s="91" t="s">
        <v>3775</v>
      </c>
      <c r="D2177" s="90">
        <v>5808</v>
      </c>
      <c r="E2177" s="90">
        <v>6826</v>
      </c>
      <c r="F2177" s="90" t="s">
        <v>1454</v>
      </c>
      <c r="G2177" s="90"/>
      <c r="H2177" s="93"/>
      <c r="I2177" s="93"/>
      <c r="J2177" s="93"/>
      <c r="K2177" s="95"/>
      <c r="L2177" s="69"/>
      <c r="M2177" s="69"/>
      <c r="N2177" s="69"/>
      <c r="O2177" s="69"/>
      <c r="P2177" s="78"/>
      <c r="Q2177" s="96"/>
      <c r="R2177" s="97"/>
      <c r="S2177" s="98"/>
    </row>
    <row r="2178" spans="1:19" ht="42.75">
      <c r="A2178" s="90" t="s">
        <v>51</v>
      </c>
      <c r="B2178" s="91" t="s">
        <v>537</v>
      </c>
      <c r="C2178" s="91" t="s">
        <v>764</v>
      </c>
      <c r="D2178" s="90">
        <v>3984</v>
      </c>
      <c r="E2178" s="90">
        <v>4492</v>
      </c>
      <c r="F2178" s="90" t="s">
        <v>1454</v>
      </c>
      <c r="G2178" s="90"/>
      <c r="H2178" s="93"/>
      <c r="I2178" s="93"/>
      <c r="J2178" s="93"/>
      <c r="K2178" s="95"/>
      <c r="L2178" s="69"/>
      <c r="M2178" s="69"/>
      <c r="N2178" s="69"/>
      <c r="O2178" s="69"/>
      <c r="P2178" s="78"/>
      <c r="Q2178" s="96"/>
      <c r="R2178" s="97"/>
      <c r="S2178" s="98"/>
    </row>
    <row r="2179" spans="1:19" ht="42.75">
      <c r="A2179" s="90" t="s">
        <v>51</v>
      </c>
      <c r="B2179" s="91" t="s">
        <v>537</v>
      </c>
      <c r="C2179" s="91" t="s">
        <v>790</v>
      </c>
      <c r="D2179" s="90">
        <v>2673</v>
      </c>
      <c r="E2179" s="90">
        <v>2817</v>
      </c>
      <c r="F2179" s="90" t="s">
        <v>1454</v>
      </c>
      <c r="G2179" s="90"/>
      <c r="H2179" s="93"/>
      <c r="I2179" s="93"/>
      <c r="J2179" s="93"/>
      <c r="K2179" s="95"/>
      <c r="L2179" s="69"/>
      <c r="M2179" s="69"/>
      <c r="N2179" s="69"/>
      <c r="O2179" s="69"/>
      <c r="P2179" s="78"/>
      <c r="Q2179" s="96"/>
      <c r="R2179" s="97"/>
      <c r="S2179" s="98"/>
    </row>
    <row r="2180" spans="1:19" ht="42.75">
      <c r="A2180" s="90" t="s">
        <v>51</v>
      </c>
      <c r="B2180" s="91" t="s">
        <v>537</v>
      </c>
      <c r="C2180" s="91" t="s">
        <v>440</v>
      </c>
      <c r="D2180" s="90">
        <v>2508</v>
      </c>
      <c r="E2180" s="90">
        <v>3313</v>
      </c>
      <c r="F2180" s="90" t="s">
        <v>1454</v>
      </c>
      <c r="G2180" s="90"/>
      <c r="H2180" s="93"/>
      <c r="I2180" s="93"/>
      <c r="J2180" s="93"/>
      <c r="K2180" s="95"/>
      <c r="L2180" s="69"/>
      <c r="M2180" s="69"/>
      <c r="N2180" s="69"/>
      <c r="O2180" s="69"/>
      <c r="P2180" s="78"/>
      <c r="Q2180" s="96"/>
      <c r="R2180" s="97"/>
      <c r="S2180" s="98"/>
    </row>
    <row r="2181" spans="1:19" ht="42.75">
      <c r="A2181" s="90" t="s">
        <v>51</v>
      </c>
      <c r="B2181" s="91" t="s">
        <v>537</v>
      </c>
      <c r="C2181" s="91" t="s">
        <v>717</v>
      </c>
      <c r="D2181" s="90">
        <v>2776</v>
      </c>
      <c r="E2181" s="90">
        <v>2714</v>
      </c>
      <c r="F2181" s="90" t="s">
        <v>1454</v>
      </c>
      <c r="G2181" s="90"/>
      <c r="H2181" s="93"/>
      <c r="I2181" s="93"/>
      <c r="J2181" s="93"/>
      <c r="K2181" s="95"/>
      <c r="L2181" s="69"/>
      <c r="M2181" s="69"/>
      <c r="N2181" s="69"/>
      <c r="O2181" s="69"/>
      <c r="P2181" s="78"/>
      <c r="Q2181" s="96"/>
      <c r="R2181" s="97"/>
      <c r="S2181" s="98"/>
    </row>
    <row r="2182" spans="1:19" ht="42.75">
      <c r="A2182" s="90" t="s">
        <v>51</v>
      </c>
      <c r="B2182" s="91" t="s">
        <v>537</v>
      </c>
      <c r="C2182" s="91" t="s">
        <v>1873</v>
      </c>
      <c r="D2182" s="90">
        <v>2561</v>
      </c>
      <c r="E2182" s="90">
        <v>2894</v>
      </c>
      <c r="F2182" s="90" t="s">
        <v>1454</v>
      </c>
      <c r="G2182" s="90"/>
      <c r="H2182" s="93"/>
      <c r="I2182" s="93"/>
      <c r="J2182" s="93"/>
      <c r="K2182" s="95"/>
      <c r="L2182" s="69"/>
      <c r="M2182" s="69"/>
      <c r="N2182" s="69"/>
      <c r="O2182" s="69"/>
      <c r="P2182" s="78"/>
      <c r="Q2182" s="96"/>
      <c r="R2182" s="97"/>
      <c r="S2182" s="98"/>
    </row>
    <row r="2183" spans="1:19" ht="42.75">
      <c r="A2183" s="90" t="s">
        <v>51</v>
      </c>
      <c r="B2183" s="91" t="s">
        <v>537</v>
      </c>
      <c r="C2183" s="91" t="s">
        <v>3776</v>
      </c>
      <c r="D2183" s="90">
        <v>4173</v>
      </c>
      <c r="E2183" s="90">
        <v>4854</v>
      </c>
      <c r="F2183" s="90" t="s">
        <v>1454</v>
      </c>
      <c r="G2183" s="90"/>
      <c r="H2183" s="93"/>
      <c r="I2183" s="93"/>
      <c r="J2183" s="93"/>
      <c r="K2183" s="95"/>
      <c r="L2183" s="69"/>
      <c r="M2183" s="69"/>
      <c r="N2183" s="69"/>
      <c r="O2183" s="69"/>
      <c r="P2183" s="78"/>
      <c r="Q2183" s="96"/>
      <c r="R2183" s="97"/>
      <c r="S2183" s="98"/>
    </row>
    <row r="2184" spans="1:19" ht="42.75">
      <c r="A2184" s="90" t="s">
        <v>51</v>
      </c>
      <c r="B2184" s="91" t="s">
        <v>537</v>
      </c>
      <c r="C2184" s="91" t="s">
        <v>378</v>
      </c>
      <c r="D2184" s="90">
        <v>3158</v>
      </c>
      <c r="E2184" s="90">
        <v>4805</v>
      </c>
      <c r="F2184" s="90" t="s">
        <v>1454</v>
      </c>
      <c r="G2184" s="90"/>
      <c r="H2184" s="93"/>
      <c r="I2184" s="93"/>
      <c r="J2184" s="93"/>
      <c r="K2184" s="95"/>
      <c r="L2184" s="69"/>
      <c r="M2184" s="69"/>
      <c r="N2184" s="69"/>
      <c r="O2184" s="69"/>
      <c r="P2184" s="78"/>
      <c r="Q2184" s="96"/>
      <c r="R2184" s="97"/>
      <c r="S2184" s="98"/>
    </row>
    <row r="2185" spans="1:19" ht="42.75">
      <c r="A2185" s="90" t="s">
        <v>51</v>
      </c>
      <c r="B2185" s="91" t="s">
        <v>537</v>
      </c>
      <c r="C2185" s="91" t="s">
        <v>2234</v>
      </c>
      <c r="D2185" s="90">
        <v>1155</v>
      </c>
      <c r="E2185" s="90">
        <v>1341</v>
      </c>
      <c r="F2185" s="90" t="s">
        <v>1454</v>
      </c>
      <c r="G2185" s="90"/>
      <c r="H2185" s="93"/>
      <c r="I2185" s="93"/>
      <c r="J2185" s="93"/>
      <c r="K2185" s="95"/>
      <c r="L2185" s="69"/>
      <c r="M2185" s="69"/>
      <c r="N2185" s="69"/>
      <c r="O2185" s="69"/>
      <c r="P2185" s="78"/>
      <c r="Q2185" s="96"/>
      <c r="R2185" s="97"/>
      <c r="S2185" s="98"/>
    </row>
    <row r="2186" spans="1:19" ht="42.75">
      <c r="A2186" s="90" t="s">
        <v>51</v>
      </c>
      <c r="B2186" s="91" t="s">
        <v>537</v>
      </c>
      <c r="C2186" s="91" t="s">
        <v>653</v>
      </c>
      <c r="D2186" s="90">
        <v>3949</v>
      </c>
      <c r="E2186" s="90">
        <v>4449</v>
      </c>
      <c r="F2186" s="90" t="s">
        <v>1454</v>
      </c>
      <c r="G2186" s="90"/>
      <c r="H2186" s="93"/>
      <c r="I2186" s="93"/>
      <c r="J2186" s="93"/>
      <c r="K2186" s="95"/>
      <c r="L2186" s="69"/>
      <c r="M2186" s="69"/>
      <c r="N2186" s="69"/>
      <c r="O2186" s="69"/>
      <c r="P2186" s="78"/>
      <c r="Q2186" s="96"/>
      <c r="R2186" s="97"/>
      <c r="S2186" s="98"/>
    </row>
    <row r="2187" spans="1:19" ht="42.75">
      <c r="A2187" s="90" t="s">
        <v>51</v>
      </c>
      <c r="B2187" s="91" t="s">
        <v>537</v>
      </c>
      <c r="C2187" s="91" t="s">
        <v>554</v>
      </c>
      <c r="D2187" s="90">
        <v>2338</v>
      </c>
      <c r="E2187" s="90">
        <v>2019</v>
      </c>
      <c r="F2187" s="90" t="s">
        <v>1454</v>
      </c>
      <c r="G2187" s="90"/>
      <c r="H2187" s="93"/>
      <c r="I2187" s="93"/>
      <c r="J2187" s="93"/>
      <c r="K2187" s="95"/>
      <c r="L2187" s="69"/>
      <c r="M2187" s="69"/>
      <c r="N2187" s="69"/>
      <c r="O2187" s="69"/>
      <c r="P2187" s="78"/>
      <c r="Q2187" s="96"/>
      <c r="R2187" s="97"/>
      <c r="S2187" s="98"/>
    </row>
    <row r="2188" spans="1:19" ht="42.75">
      <c r="A2188" s="90" t="s">
        <v>51</v>
      </c>
      <c r="B2188" s="91" t="s">
        <v>537</v>
      </c>
      <c r="C2188" s="91" t="s">
        <v>380</v>
      </c>
      <c r="D2188" s="90">
        <v>2842</v>
      </c>
      <c r="E2188" s="90">
        <v>2944</v>
      </c>
      <c r="F2188" s="90" t="s">
        <v>1454</v>
      </c>
      <c r="G2188" s="90"/>
      <c r="H2188" s="93"/>
      <c r="I2188" s="93"/>
      <c r="J2188" s="93"/>
      <c r="K2188" s="95"/>
      <c r="L2188" s="69"/>
      <c r="M2188" s="69"/>
      <c r="N2188" s="69"/>
      <c r="O2188" s="69"/>
      <c r="P2188" s="78"/>
      <c r="Q2188" s="96"/>
      <c r="R2188" s="97"/>
      <c r="S2188" s="98"/>
    </row>
    <row r="2189" spans="1:19" ht="42.75">
      <c r="A2189" s="90" t="s">
        <v>51</v>
      </c>
      <c r="B2189" s="91" t="s">
        <v>537</v>
      </c>
      <c r="C2189" s="91" t="s">
        <v>526</v>
      </c>
      <c r="D2189" s="90">
        <v>2621</v>
      </c>
      <c r="E2189" s="90">
        <v>2461</v>
      </c>
      <c r="F2189" s="90" t="s">
        <v>1454</v>
      </c>
      <c r="G2189" s="90"/>
      <c r="H2189" s="93"/>
      <c r="I2189" s="93"/>
      <c r="J2189" s="93"/>
      <c r="K2189" s="95"/>
      <c r="L2189" s="69"/>
      <c r="M2189" s="69"/>
      <c r="N2189" s="69"/>
      <c r="O2189" s="69"/>
      <c r="P2189" s="78"/>
      <c r="Q2189" s="96"/>
      <c r="R2189" s="97"/>
      <c r="S2189" s="98"/>
    </row>
    <row r="2190" spans="1:19" ht="42.75">
      <c r="A2190" s="90" t="s">
        <v>51</v>
      </c>
      <c r="B2190" s="91" t="s">
        <v>537</v>
      </c>
      <c r="C2190" s="91" t="s">
        <v>2347</v>
      </c>
      <c r="D2190" s="90">
        <v>3621</v>
      </c>
      <c r="E2190" s="90">
        <v>4163</v>
      </c>
      <c r="F2190" s="90" t="s">
        <v>1454</v>
      </c>
      <c r="G2190" s="90"/>
      <c r="H2190" s="93"/>
      <c r="I2190" s="93"/>
      <c r="J2190" s="93"/>
      <c r="K2190" s="95"/>
      <c r="L2190" s="69"/>
      <c r="M2190" s="69"/>
      <c r="N2190" s="69"/>
      <c r="O2190" s="69"/>
      <c r="P2190" s="78"/>
      <c r="Q2190" s="96"/>
      <c r="R2190" s="97"/>
      <c r="S2190" s="98"/>
    </row>
    <row r="2191" spans="1:19" ht="42.75">
      <c r="A2191" s="90" t="s">
        <v>51</v>
      </c>
      <c r="B2191" s="91" t="s">
        <v>537</v>
      </c>
      <c r="C2191" s="91" t="s">
        <v>3777</v>
      </c>
      <c r="D2191" s="90">
        <v>6695</v>
      </c>
      <c r="E2191" s="90">
        <v>8085</v>
      </c>
      <c r="F2191" s="90" t="s">
        <v>1454</v>
      </c>
      <c r="G2191" s="90"/>
      <c r="H2191" s="93"/>
      <c r="I2191" s="93"/>
      <c r="J2191" s="93"/>
      <c r="K2191" s="95"/>
      <c r="L2191" s="69"/>
      <c r="M2191" s="69"/>
      <c r="N2191" s="69"/>
      <c r="O2191" s="69"/>
      <c r="P2191" s="78"/>
      <c r="Q2191" s="96"/>
      <c r="R2191" s="97"/>
      <c r="S2191" s="98"/>
    </row>
    <row r="2192" spans="1:19" ht="42.75">
      <c r="A2192" s="90" t="s">
        <v>51</v>
      </c>
      <c r="B2192" s="91" t="s">
        <v>537</v>
      </c>
      <c r="C2192" s="91" t="s">
        <v>1033</v>
      </c>
      <c r="D2192" s="90">
        <v>1056</v>
      </c>
      <c r="E2192" s="90">
        <v>1393</v>
      </c>
      <c r="F2192" s="90" t="s">
        <v>1454</v>
      </c>
      <c r="G2192" s="90"/>
      <c r="H2192" s="93"/>
      <c r="I2192" s="93"/>
      <c r="J2192" s="93"/>
      <c r="K2192" s="95"/>
      <c r="L2192" s="69"/>
      <c r="M2192" s="69"/>
      <c r="N2192" s="69"/>
      <c r="O2192" s="69"/>
      <c r="P2192" s="78"/>
      <c r="Q2192" s="96"/>
      <c r="R2192" s="97"/>
      <c r="S2192" s="98"/>
    </row>
    <row r="2193" spans="1:19" ht="42.75">
      <c r="A2193" s="90" t="s">
        <v>51</v>
      </c>
      <c r="B2193" s="91" t="s">
        <v>537</v>
      </c>
      <c r="C2193" s="91" t="s">
        <v>3778</v>
      </c>
      <c r="D2193" s="90">
        <v>3810</v>
      </c>
      <c r="E2193" s="90">
        <v>3962</v>
      </c>
      <c r="F2193" s="90" t="s">
        <v>1454</v>
      </c>
      <c r="G2193" s="90"/>
      <c r="H2193" s="93"/>
      <c r="I2193" s="93"/>
      <c r="J2193" s="93"/>
      <c r="K2193" s="95"/>
      <c r="L2193" s="69"/>
      <c r="M2193" s="69"/>
      <c r="N2193" s="69"/>
      <c r="O2193" s="69"/>
      <c r="P2193" s="78"/>
      <c r="Q2193" s="96"/>
      <c r="R2193" s="97"/>
      <c r="S2193" s="98"/>
    </row>
    <row r="2194" spans="1:19" ht="42.75">
      <c r="A2194" s="90" t="s">
        <v>51</v>
      </c>
      <c r="B2194" s="91" t="s">
        <v>392</v>
      </c>
      <c r="C2194" s="91" t="s">
        <v>2702</v>
      </c>
      <c r="D2194" s="90">
        <v>1015</v>
      </c>
      <c r="E2194" s="90">
        <v>1036</v>
      </c>
      <c r="F2194" s="90" t="s">
        <v>1434</v>
      </c>
      <c r="G2194" s="90">
        <v>2024</v>
      </c>
      <c r="H2194" s="101">
        <v>45426</v>
      </c>
      <c r="I2194" s="101">
        <v>45428</v>
      </c>
      <c r="J2194" s="94" t="s">
        <v>3779</v>
      </c>
      <c r="K2194" s="100">
        <v>45428</v>
      </c>
      <c r="L2194" s="69" t="s">
        <v>78</v>
      </c>
      <c r="M2194" s="69"/>
      <c r="N2194" s="69"/>
      <c r="O2194" s="69" t="s">
        <v>1436</v>
      </c>
      <c r="P2194" s="78"/>
      <c r="Q2194" s="96">
        <v>45429</v>
      </c>
      <c r="R2194" s="97"/>
      <c r="S2194" s="98"/>
    </row>
    <row r="2195" spans="1:19" ht="42.75">
      <c r="A2195" s="90" t="s">
        <v>51</v>
      </c>
      <c r="B2195" s="91" t="s">
        <v>392</v>
      </c>
      <c r="C2195" s="91" t="s">
        <v>3780</v>
      </c>
      <c r="D2195" s="90">
        <v>1224</v>
      </c>
      <c r="E2195" s="90">
        <v>1072</v>
      </c>
      <c r="F2195" s="90" t="s">
        <v>1454</v>
      </c>
      <c r="G2195" s="90"/>
      <c r="H2195" s="93"/>
      <c r="I2195" s="93"/>
      <c r="J2195" s="93"/>
      <c r="K2195" s="95"/>
      <c r="L2195" s="69"/>
      <c r="M2195" s="69"/>
      <c r="N2195" s="69"/>
      <c r="O2195" s="69"/>
      <c r="P2195" s="78"/>
      <c r="Q2195" s="96"/>
      <c r="R2195" s="97"/>
      <c r="S2195" s="98"/>
    </row>
    <row r="2196" spans="1:19" ht="42.75">
      <c r="A2196" s="90" t="s">
        <v>51</v>
      </c>
      <c r="B2196" s="91" t="s">
        <v>392</v>
      </c>
      <c r="C2196" s="91" t="s">
        <v>2823</v>
      </c>
      <c r="D2196" s="90">
        <v>6088</v>
      </c>
      <c r="E2196" s="90">
        <v>6862</v>
      </c>
      <c r="F2196" s="90" t="s">
        <v>1434</v>
      </c>
      <c r="G2196" s="90">
        <v>2024</v>
      </c>
      <c r="H2196" s="101">
        <v>45393</v>
      </c>
      <c r="I2196" s="101">
        <v>45397</v>
      </c>
      <c r="J2196" s="94" t="s">
        <v>3781</v>
      </c>
      <c r="K2196" s="100">
        <v>45399</v>
      </c>
      <c r="L2196" s="69" t="s">
        <v>77</v>
      </c>
      <c r="M2196" s="69"/>
      <c r="N2196" s="69"/>
      <c r="O2196" s="69" t="s">
        <v>1436</v>
      </c>
      <c r="P2196" s="78"/>
      <c r="Q2196" s="96"/>
      <c r="R2196" s="97"/>
      <c r="S2196" s="98"/>
    </row>
    <row r="2197" spans="1:19" ht="42.75">
      <c r="A2197" s="90" t="s">
        <v>51</v>
      </c>
      <c r="B2197" s="91" t="s">
        <v>392</v>
      </c>
      <c r="C2197" s="91" t="s">
        <v>3782</v>
      </c>
      <c r="D2197" s="90">
        <v>2108</v>
      </c>
      <c r="E2197" s="90">
        <v>2077</v>
      </c>
      <c r="F2197" s="90" t="s">
        <v>1434</v>
      </c>
      <c r="G2197" s="90">
        <v>2024</v>
      </c>
      <c r="H2197" s="101">
        <v>45457</v>
      </c>
      <c r="I2197" s="101">
        <v>45463</v>
      </c>
      <c r="J2197" s="94" t="s">
        <v>3783</v>
      </c>
      <c r="K2197" s="100">
        <v>45463</v>
      </c>
      <c r="L2197" s="69" t="s">
        <v>79</v>
      </c>
      <c r="M2197" s="69"/>
      <c r="N2197" s="69"/>
      <c r="O2197" s="69" t="s">
        <v>1436</v>
      </c>
      <c r="P2197" s="78"/>
      <c r="Q2197" s="70">
        <v>45463</v>
      </c>
      <c r="R2197" s="97"/>
      <c r="S2197" s="98"/>
    </row>
    <row r="2198" spans="1:19" ht="42.75">
      <c r="A2198" s="90" t="s">
        <v>51</v>
      </c>
      <c r="B2198" s="91" t="s">
        <v>392</v>
      </c>
      <c r="C2198" s="91" t="s">
        <v>3784</v>
      </c>
      <c r="D2198" s="90">
        <v>1838</v>
      </c>
      <c r="E2198" s="90">
        <v>1949</v>
      </c>
      <c r="F2198" s="90" t="s">
        <v>1434</v>
      </c>
      <c r="G2198" s="90">
        <v>2024</v>
      </c>
      <c r="H2198" s="101">
        <v>45426</v>
      </c>
      <c r="I2198" s="101">
        <v>45428</v>
      </c>
      <c r="J2198" s="94" t="s">
        <v>3785</v>
      </c>
      <c r="K2198" s="100">
        <v>45428</v>
      </c>
      <c r="L2198" s="69" t="s">
        <v>78</v>
      </c>
      <c r="M2198" s="69"/>
      <c r="N2198" s="69"/>
      <c r="O2198" s="69" t="s">
        <v>1436</v>
      </c>
      <c r="P2198" s="78"/>
      <c r="Q2198" s="96"/>
      <c r="R2198" s="97"/>
      <c r="S2198" s="98"/>
    </row>
    <row r="2199" spans="1:19" ht="42.75">
      <c r="A2199" s="90" t="s">
        <v>51</v>
      </c>
      <c r="B2199" s="91" t="s">
        <v>392</v>
      </c>
      <c r="C2199" s="91" t="s">
        <v>3786</v>
      </c>
      <c r="D2199" s="90">
        <v>1228</v>
      </c>
      <c r="E2199" s="90">
        <v>1183</v>
      </c>
      <c r="F2199" s="90" t="s">
        <v>1434</v>
      </c>
      <c r="G2199" s="90">
        <v>2024</v>
      </c>
      <c r="H2199" s="101">
        <v>45426</v>
      </c>
      <c r="I2199" s="101">
        <v>45428</v>
      </c>
      <c r="J2199" s="94" t="s">
        <v>3787</v>
      </c>
      <c r="K2199" s="100">
        <v>45428</v>
      </c>
      <c r="L2199" s="69" t="s">
        <v>78</v>
      </c>
      <c r="M2199" s="69"/>
      <c r="N2199" s="69"/>
      <c r="O2199" s="69" t="s">
        <v>1436</v>
      </c>
      <c r="P2199" s="78"/>
      <c r="Q2199" s="96">
        <v>45429</v>
      </c>
      <c r="R2199" s="97"/>
      <c r="S2199" s="98"/>
    </row>
    <row r="2200" spans="1:19" ht="42.75">
      <c r="A2200" s="90" t="s">
        <v>51</v>
      </c>
      <c r="B2200" s="91" t="s">
        <v>392</v>
      </c>
      <c r="C2200" s="91" t="s">
        <v>520</v>
      </c>
      <c r="D2200" s="90">
        <v>4748</v>
      </c>
      <c r="E2200" s="90">
        <v>6007</v>
      </c>
      <c r="F2200" s="90" t="s">
        <v>1454</v>
      </c>
      <c r="G2200" s="90"/>
      <c r="H2200" s="93"/>
      <c r="I2200" s="93"/>
      <c r="J2200" s="93"/>
      <c r="K2200" s="95"/>
      <c r="L2200" s="69"/>
      <c r="M2200" s="69"/>
      <c r="N2200" s="69"/>
      <c r="O2200" s="69"/>
      <c r="P2200" s="78"/>
      <c r="Q2200" s="96"/>
      <c r="R2200" s="97"/>
      <c r="S2200" s="98"/>
    </row>
    <row r="2201" spans="1:19" ht="42.75">
      <c r="A2201" s="90" t="s">
        <v>51</v>
      </c>
      <c r="B2201" s="91" t="s">
        <v>392</v>
      </c>
      <c r="C2201" s="91" t="s">
        <v>3749</v>
      </c>
      <c r="D2201" s="90">
        <v>3245</v>
      </c>
      <c r="E2201" s="90">
        <v>2972</v>
      </c>
      <c r="F2201" s="90" t="s">
        <v>1434</v>
      </c>
      <c r="G2201" s="90">
        <v>2024</v>
      </c>
      <c r="H2201" s="101">
        <v>45457</v>
      </c>
      <c r="I2201" s="101">
        <v>45459</v>
      </c>
      <c r="J2201" s="94" t="s">
        <v>3788</v>
      </c>
      <c r="K2201" s="100">
        <v>45463</v>
      </c>
      <c r="L2201" s="69" t="s">
        <v>79</v>
      </c>
      <c r="M2201" s="69"/>
      <c r="N2201" s="69"/>
      <c r="O2201" s="69" t="s">
        <v>1436</v>
      </c>
      <c r="P2201" s="78"/>
      <c r="Q2201" s="70">
        <v>45463</v>
      </c>
      <c r="R2201" s="97"/>
      <c r="S2201" s="98"/>
    </row>
    <row r="2202" spans="1:19" ht="42.75">
      <c r="A2202" s="90" t="s">
        <v>51</v>
      </c>
      <c r="B2202" s="91" t="s">
        <v>392</v>
      </c>
      <c r="C2202" s="91" t="s">
        <v>881</v>
      </c>
      <c r="D2202" s="90">
        <v>2677</v>
      </c>
      <c r="E2202" s="90">
        <v>2534</v>
      </c>
      <c r="F2202" s="90" t="s">
        <v>1434</v>
      </c>
      <c r="G2202" s="90">
        <v>2024</v>
      </c>
      <c r="H2202" s="101">
        <v>45457</v>
      </c>
      <c r="I2202" s="101">
        <v>45459</v>
      </c>
      <c r="J2202" s="94" t="s">
        <v>3789</v>
      </c>
      <c r="K2202" s="100">
        <v>45463</v>
      </c>
      <c r="L2202" s="69" t="s">
        <v>79</v>
      </c>
      <c r="M2202" s="69"/>
      <c r="N2202" s="69"/>
      <c r="O2202" s="69" t="s">
        <v>1436</v>
      </c>
      <c r="P2202" s="78"/>
      <c r="Q2202" s="70">
        <v>45463</v>
      </c>
      <c r="R2202" s="97"/>
      <c r="S2202" s="98"/>
    </row>
    <row r="2203" spans="1:19" ht="42.75">
      <c r="A2203" s="90" t="s">
        <v>51</v>
      </c>
      <c r="B2203" s="91" t="s">
        <v>392</v>
      </c>
      <c r="C2203" s="91" t="s">
        <v>3468</v>
      </c>
      <c r="D2203" s="90">
        <v>2319</v>
      </c>
      <c r="E2203" s="90">
        <v>2695</v>
      </c>
      <c r="F2203" s="90" t="s">
        <v>1434</v>
      </c>
      <c r="G2203" s="90">
        <v>2024</v>
      </c>
      <c r="H2203" s="101">
        <v>45426</v>
      </c>
      <c r="I2203" s="101">
        <v>45428</v>
      </c>
      <c r="J2203" s="94" t="s">
        <v>3790</v>
      </c>
      <c r="K2203" s="100">
        <v>45428</v>
      </c>
      <c r="L2203" s="69" t="s">
        <v>78</v>
      </c>
      <c r="M2203" s="69"/>
      <c r="N2203" s="69"/>
      <c r="O2203" s="69" t="s">
        <v>1436</v>
      </c>
      <c r="P2203" s="78"/>
      <c r="Q2203" s="96">
        <v>45429</v>
      </c>
      <c r="R2203" s="97"/>
      <c r="S2203" s="98"/>
    </row>
    <row r="2204" spans="1:19" ht="42.75">
      <c r="A2204" s="90" t="s">
        <v>51</v>
      </c>
      <c r="B2204" s="91" t="s">
        <v>392</v>
      </c>
      <c r="C2204" s="91" t="s">
        <v>380</v>
      </c>
      <c r="D2204" s="90">
        <v>6159</v>
      </c>
      <c r="E2204" s="90">
        <v>5798</v>
      </c>
      <c r="F2204" s="90" t="s">
        <v>1434</v>
      </c>
      <c r="G2204" s="90">
        <v>2024</v>
      </c>
      <c r="H2204" s="101">
        <v>45393</v>
      </c>
      <c r="I2204" s="101">
        <v>45397</v>
      </c>
      <c r="J2204" s="94" t="s">
        <v>3791</v>
      </c>
      <c r="K2204" s="100">
        <v>45399</v>
      </c>
      <c r="L2204" s="69" t="s">
        <v>77</v>
      </c>
      <c r="M2204" s="69"/>
      <c r="N2204" s="69"/>
      <c r="O2204" s="69" t="s">
        <v>1436</v>
      </c>
      <c r="P2204" s="78"/>
      <c r="Q2204" s="96"/>
      <c r="R2204" s="97"/>
      <c r="S2204" s="98"/>
    </row>
    <row r="2205" spans="1:19" ht="42.75">
      <c r="A2205" s="90" t="s">
        <v>51</v>
      </c>
      <c r="B2205" s="91" t="s">
        <v>392</v>
      </c>
      <c r="C2205" s="91" t="s">
        <v>539</v>
      </c>
      <c r="D2205" s="90">
        <v>4530</v>
      </c>
      <c r="E2205" s="90">
        <v>4516</v>
      </c>
      <c r="F2205" s="90" t="s">
        <v>1434</v>
      </c>
      <c r="G2205" s="90">
        <v>2024</v>
      </c>
      <c r="H2205" s="101">
        <v>45393</v>
      </c>
      <c r="I2205" s="101">
        <v>45397</v>
      </c>
      <c r="J2205" s="94" t="s">
        <v>3792</v>
      </c>
      <c r="K2205" s="100">
        <v>45399</v>
      </c>
      <c r="L2205" s="69" t="s">
        <v>77</v>
      </c>
      <c r="M2205" s="69"/>
      <c r="N2205" s="69"/>
      <c r="O2205" s="69" t="s">
        <v>1436</v>
      </c>
      <c r="P2205" s="78"/>
      <c r="Q2205" s="96"/>
      <c r="R2205" s="97"/>
      <c r="S2205" s="98"/>
    </row>
    <row r="2206" spans="1:19" ht="42.75">
      <c r="A2206" s="90" t="s">
        <v>51</v>
      </c>
      <c r="B2206" s="91" t="s">
        <v>392</v>
      </c>
      <c r="C2206" s="91" t="s">
        <v>526</v>
      </c>
      <c r="D2206" s="90">
        <v>5689</v>
      </c>
      <c r="E2206" s="90">
        <v>5432</v>
      </c>
      <c r="F2206" s="90" t="s">
        <v>1434</v>
      </c>
      <c r="G2206" s="90">
        <v>2024</v>
      </c>
      <c r="H2206" s="101">
        <v>45393</v>
      </c>
      <c r="I2206" s="101">
        <v>45397</v>
      </c>
      <c r="J2206" s="94" t="s">
        <v>3793</v>
      </c>
      <c r="K2206" s="100">
        <v>45399</v>
      </c>
      <c r="L2206" s="69" t="s">
        <v>77</v>
      </c>
      <c r="M2206" s="69"/>
      <c r="N2206" s="69"/>
      <c r="O2206" s="69" t="s">
        <v>1436</v>
      </c>
      <c r="P2206" s="78"/>
      <c r="Q2206" s="96"/>
      <c r="R2206" s="97"/>
      <c r="S2206" s="98"/>
    </row>
    <row r="2207" spans="1:19" ht="42.75">
      <c r="A2207" s="90" t="s">
        <v>51</v>
      </c>
      <c r="B2207" s="91" t="s">
        <v>392</v>
      </c>
      <c r="C2207" s="91" t="s">
        <v>2395</v>
      </c>
      <c r="D2207" s="90">
        <v>3166</v>
      </c>
      <c r="E2207" s="90">
        <v>3041</v>
      </c>
      <c r="F2207" s="90" t="s">
        <v>1434</v>
      </c>
      <c r="G2207" s="90">
        <v>2024</v>
      </c>
      <c r="H2207" s="101">
        <v>45457</v>
      </c>
      <c r="I2207" s="101">
        <v>45459</v>
      </c>
      <c r="J2207" s="94" t="s">
        <v>3794</v>
      </c>
      <c r="K2207" s="100">
        <v>45463</v>
      </c>
      <c r="L2207" s="69" t="s">
        <v>79</v>
      </c>
      <c r="M2207" s="69"/>
      <c r="N2207" s="69"/>
      <c r="O2207" s="69" t="s">
        <v>1436</v>
      </c>
      <c r="P2207" s="78"/>
      <c r="Q2207" s="70">
        <v>45463</v>
      </c>
      <c r="R2207" s="97"/>
      <c r="S2207" s="98"/>
    </row>
    <row r="2208" spans="1:19" ht="42.75">
      <c r="A2208" s="90" t="s">
        <v>51</v>
      </c>
      <c r="B2208" s="91" t="s">
        <v>392</v>
      </c>
      <c r="C2208" s="91" t="s">
        <v>3795</v>
      </c>
      <c r="D2208" s="90">
        <v>1679</v>
      </c>
      <c r="E2208" s="90">
        <v>1206</v>
      </c>
      <c r="F2208" s="90" t="s">
        <v>1434</v>
      </c>
      <c r="G2208" s="90">
        <v>2024</v>
      </c>
      <c r="H2208" s="101">
        <v>45426</v>
      </c>
      <c r="I2208" s="101">
        <v>45428</v>
      </c>
      <c r="J2208" s="365" t="s">
        <v>3796</v>
      </c>
      <c r="K2208" s="100">
        <v>45428</v>
      </c>
      <c r="L2208" s="69" t="s">
        <v>78</v>
      </c>
      <c r="M2208" s="69"/>
      <c r="N2208" s="69"/>
      <c r="O2208" s="69" t="s">
        <v>1436</v>
      </c>
      <c r="P2208" s="78"/>
      <c r="Q2208" s="96">
        <v>45429</v>
      </c>
      <c r="R2208" s="97"/>
      <c r="S2208" s="98"/>
    </row>
    <row r="2209" spans="1:19" ht="42.75">
      <c r="A2209" s="90" t="s">
        <v>51</v>
      </c>
      <c r="B2209" s="91" t="s">
        <v>416</v>
      </c>
      <c r="C2209" s="91" t="s">
        <v>3797</v>
      </c>
      <c r="D2209" s="90">
        <v>3324</v>
      </c>
      <c r="E2209" s="90">
        <v>4040</v>
      </c>
      <c r="F2209" s="90" t="s">
        <v>1454</v>
      </c>
      <c r="G2209" s="90"/>
      <c r="H2209" s="93"/>
      <c r="I2209" s="93"/>
      <c r="J2209" s="93"/>
      <c r="K2209" s="95"/>
      <c r="L2209" s="69"/>
      <c r="M2209" s="69"/>
      <c r="N2209" s="69"/>
      <c r="O2209" s="69"/>
      <c r="P2209" s="78"/>
      <c r="Q2209" s="96"/>
      <c r="R2209" s="97"/>
      <c r="S2209" s="98"/>
    </row>
    <row r="2210" spans="1:19" ht="42.75">
      <c r="A2210" s="90" t="s">
        <v>51</v>
      </c>
      <c r="B2210" s="91" t="s">
        <v>416</v>
      </c>
      <c r="C2210" s="91" t="s">
        <v>3798</v>
      </c>
      <c r="D2210" s="90">
        <v>5434</v>
      </c>
      <c r="E2210" s="90">
        <v>5916</v>
      </c>
      <c r="F2210" s="90" t="s">
        <v>1454</v>
      </c>
      <c r="G2210" s="90"/>
      <c r="H2210" s="93"/>
      <c r="I2210" s="93"/>
      <c r="J2210" s="93"/>
      <c r="K2210" s="95"/>
      <c r="L2210" s="69"/>
      <c r="M2210" s="69"/>
      <c r="N2210" s="69"/>
      <c r="O2210" s="69"/>
      <c r="P2210" s="78"/>
      <c r="Q2210" s="96"/>
      <c r="R2210" s="97"/>
      <c r="S2210" s="98"/>
    </row>
    <row r="2211" spans="1:19" ht="42.75">
      <c r="A2211" s="90" t="s">
        <v>51</v>
      </c>
      <c r="B2211" s="91" t="s">
        <v>416</v>
      </c>
      <c r="C2211" s="91" t="s">
        <v>2265</v>
      </c>
      <c r="D2211" s="90">
        <v>2398</v>
      </c>
      <c r="E2211" s="90">
        <v>2543</v>
      </c>
      <c r="F2211" s="90" t="s">
        <v>1454</v>
      </c>
      <c r="G2211" s="90"/>
      <c r="H2211" s="93"/>
      <c r="I2211" s="93"/>
      <c r="J2211" s="93"/>
      <c r="K2211" s="95"/>
      <c r="L2211" s="69"/>
      <c r="M2211" s="69"/>
      <c r="N2211" s="69"/>
      <c r="O2211" s="69"/>
      <c r="P2211" s="78"/>
      <c r="Q2211" s="96"/>
      <c r="R2211" s="97"/>
      <c r="S2211" s="98"/>
    </row>
    <row r="2212" spans="1:19" ht="42.75">
      <c r="A2212" s="90" t="s">
        <v>51</v>
      </c>
      <c r="B2212" s="91" t="s">
        <v>416</v>
      </c>
      <c r="C2212" s="91" t="s">
        <v>3799</v>
      </c>
      <c r="D2212" s="90">
        <v>6450</v>
      </c>
      <c r="E2212" s="90">
        <v>7779</v>
      </c>
      <c r="F2212" s="90" t="s">
        <v>1454</v>
      </c>
      <c r="G2212" s="90"/>
      <c r="H2212" s="93"/>
      <c r="I2212" s="93"/>
      <c r="J2212" s="93"/>
      <c r="K2212" s="95"/>
      <c r="L2212" s="69"/>
      <c r="M2212" s="69"/>
      <c r="N2212" s="69"/>
      <c r="O2212" s="69"/>
      <c r="P2212" s="78"/>
      <c r="Q2212" s="96"/>
      <c r="R2212" s="97"/>
      <c r="S2212" s="98"/>
    </row>
    <row r="2213" spans="1:19" ht="42.75">
      <c r="A2213" s="90" t="s">
        <v>51</v>
      </c>
      <c r="B2213" s="91" t="s">
        <v>416</v>
      </c>
      <c r="C2213" s="91" t="s">
        <v>2647</v>
      </c>
      <c r="D2213" s="90">
        <v>1883</v>
      </c>
      <c r="E2213" s="90">
        <v>2431</v>
      </c>
      <c r="F2213" s="90" t="s">
        <v>1454</v>
      </c>
      <c r="G2213" s="90"/>
      <c r="H2213" s="93"/>
      <c r="I2213" s="93"/>
      <c r="J2213" s="93"/>
      <c r="K2213" s="95"/>
      <c r="L2213" s="69"/>
      <c r="M2213" s="69"/>
      <c r="N2213" s="69"/>
      <c r="O2213" s="69"/>
      <c r="P2213" s="78"/>
      <c r="Q2213" s="96"/>
      <c r="R2213" s="97"/>
      <c r="S2213" s="98"/>
    </row>
    <row r="2214" spans="1:19" ht="42.75">
      <c r="A2214" s="90" t="s">
        <v>51</v>
      </c>
      <c r="B2214" s="91" t="s">
        <v>416</v>
      </c>
      <c r="C2214" s="91" t="s">
        <v>3800</v>
      </c>
      <c r="D2214" s="90">
        <v>2891</v>
      </c>
      <c r="E2214" s="90">
        <v>2937</v>
      </c>
      <c r="F2214" s="90" t="s">
        <v>1434</v>
      </c>
      <c r="G2214" s="90">
        <v>2024</v>
      </c>
      <c r="H2214" s="101">
        <v>45393</v>
      </c>
      <c r="I2214" s="101">
        <v>45397</v>
      </c>
      <c r="J2214" s="94" t="s">
        <v>3801</v>
      </c>
      <c r="K2214" s="100">
        <v>45399</v>
      </c>
      <c r="L2214" s="69" t="s">
        <v>77</v>
      </c>
      <c r="M2214" s="69"/>
      <c r="N2214" s="69"/>
      <c r="O2214" s="69" t="s">
        <v>1436</v>
      </c>
      <c r="P2214" s="78"/>
      <c r="Q2214" s="96"/>
      <c r="R2214" s="97"/>
      <c r="S2214" s="98"/>
    </row>
    <row r="2215" spans="1:19" ht="42.75">
      <c r="A2215" s="90" t="s">
        <v>51</v>
      </c>
      <c r="B2215" s="91" t="s">
        <v>416</v>
      </c>
      <c r="C2215" s="91" t="s">
        <v>3802</v>
      </c>
      <c r="D2215" s="90">
        <v>270</v>
      </c>
      <c r="E2215" s="90">
        <v>443</v>
      </c>
      <c r="F2215" s="90" t="s">
        <v>1454</v>
      </c>
      <c r="G2215" s="90"/>
      <c r="H2215" s="93"/>
      <c r="I2215" s="93"/>
      <c r="J2215" s="93"/>
      <c r="K2215" s="95"/>
      <c r="L2215" s="69"/>
      <c r="M2215" s="69"/>
      <c r="N2215" s="69"/>
      <c r="O2215" s="69"/>
      <c r="P2215" s="78"/>
      <c r="Q2215" s="96"/>
      <c r="R2215" s="97"/>
      <c r="S2215" s="98"/>
    </row>
    <row r="2216" spans="1:19" ht="42.75">
      <c r="A2216" s="90" t="s">
        <v>51</v>
      </c>
      <c r="B2216" s="91" t="s">
        <v>416</v>
      </c>
      <c r="C2216" s="91" t="s">
        <v>3386</v>
      </c>
      <c r="D2216" s="90">
        <v>5709</v>
      </c>
      <c r="E2216" s="90">
        <v>6138</v>
      </c>
      <c r="F2216" s="90" t="s">
        <v>1454</v>
      </c>
      <c r="G2216" s="90"/>
      <c r="H2216" s="93"/>
      <c r="I2216" s="93"/>
      <c r="J2216" s="93"/>
      <c r="K2216" s="95"/>
      <c r="L2216" s="69"/>
      <c r="M2216" s="69"/>
      <c r="N2216" s="69"/>
      <c r="O2216" s="69"/>
      <c r="P2216" s="78"/>
      <c r="Q2216" s="96"/>
      <c r="R2216" s="97"/>
      <c r="S2216" s="98"/>
    </row>
    <row r="2217" spans="1:19" ht="42.75">
      <c r="A2217" s="90" t="s">
        <v>51</v>
      </c>
      <c r="B2217" s="91" t="s">
        <v>416</v>
      </c>
      <c r="C2217" s="91" t="s">
        <v>3803</v>
      </c>
      <c r="D2217" s="90">
        <v>3695</v>
      </c>
      <c r="E2217" s="90">
        <v>4803</v>
      </c>
      <c r="F2217" s="90" t="s">
        <v>1434</v>
      </c>
      <c r="G2217" s="90">
        <v>2024</v>
      </c>
      <c r="H2217" s="101">
        <v>45393</v>
      </c>
      <c r="I2217" s="101">
        <v>45397</v>
      </c>
      <c r="J2217" s="94" t="s">
        <v>3804</v>
      </c>
      <c r="K2217" s="100">
        <v>45399</v>
      </c>
      <c r="L2217" s="69" t="s">
        <v>77</v>
      </c>
      <c r="M2217" s="69"/>
      <c r="N2217" s="69"/>
      <c r="O2217" s="69" t="s">
        <v>1436</v>
      </c>
      <c r="P2217" s="78"/>
      <c r="Q2217" s="96"/>
      <c r="R2217" s="97"/>
      <c r="S2217" s="98"/>
    </row>
    <row r="2218" spans="1:19" ht="42.75">
      <c r="A2218" s="90" t="s">
        <v>51</v>
      </c>
      <c r="B2218" s="91" t="s">
        <v>416</v>
      </c>
      <c r="C2218" s="91" t="s">
        <v>3805</v>
      </c>
      <c r="D2218" s="90">
        <v>1743</v>
      </c>
      <c r="E2218" s="90">
        <v>2707</v>
      </c>
      <c r="F2218" s="90" t="s">
        <v>1454</v>
      </c>
      <c r="G2218" s="90"/>
      <c r="H2218" s="93"/>
      <c r="I2218" s="93"/>
      <c r="J2218" s="93"/>
      <c r="K2218" s="95"/>
      <c r="L2218" s="69"/>
      <c r="M2218" s="69"/>
      <c r="N2218" s="69"/>
      <c r="O2218" s="69"/>
      <c r="P2218" s="78"/>
      <c r="Q2218" s="96"/>
      <c r="R2218" s="97"/>
      <c r="S2218" s="98"/>
    </row>
    <row r="2219" spans="1:19" ht="42.75">
      <c r="A2219" s="90" t="s">
        <v>51</v>
      </c>
      <c r="B2219" s="91" t="s">
        <v>416</v>
      </c>
      <c r="C2219" s="91" t="s">
        <v>3806</v>
      </c>
      <c r="D2219" s="90">
        <v>4627</v>
      </c>
      <c r="E2219" s="90">
        <v>5576</v>
      </c>
      <c r="F2219" s="90" t="s">
        <v>1454</v>
      </c>
      <c r="G2219" s="90"/>
      <c r="H2219" s="93"/>
      <c r="I2219" s="93"/>
      <c r="J2219" s="93"/>
      <c r="K2219" s="95"/>
      <c r="L2219" s="69"/>
      <c r="M2219" s="69"/>
      <c r="N2219" s="69"/>
      <c r="O2219" s="69"/>
      <c r="P2219" s="78"/>
      <c r="Q2219" s="96"/>
      <c r="R2219" s="97"/>
      <c r="S2219" s="98"/>
    </row>
    <row r="2220" spans="1:19" ht="42.75">
      <c r="A2220" s="90" t="s">
        <v>51</v>
      </c>
      <c r="B2220" s="91" t="s">
        <v>416</v>
      </c>
      <c r="C2220" s="91" t="s">
        <v>3807</v>
      </c>
      <c r="D2220" s="90">
        <v>13606</v>
      </c>
      <c r="E2220" s="90">
        <v>13487</v>
      </c>
      <c r="F2220" s="90" t="s">
        <v>1454</v>
      </c>
      <c r="G2220" s="90"/>
      <c r="H2220" s="93"/>
      <c r="I2220" s="93"/>
      <c r="J2220" s="93"/>
      <c r="K2220" s="95"/>
      <c r="L2220" s="69"/>
      <c r="M2220" s="69"/>
      <c r="N2220" s="69"/>
      <c r="O2220" s="69"/>
      <c r="P2220" s="78"/>
      <c r="Q2220" s="96"/>
      <c r="R2220" s="97"/>
      <c r="S2220" s="98"/>
    </row>
    <row r="2221" spans="1:19" ht="42.75">
      <c r="A2221" s="90" t="s">
        <v>51</v>
      </c>
      <c r="B2221" s="91" t="s">
        <v>416</v>
      </c>
      <c r="C2221" s="91" t="s">
        <v>3808</v>
      </c>
      <c r="D2221" s="90">
        <v>4141</v>
      </c>
      <c r="E2221" s="90">
        <v>5039</v>
      </c>
      <c r="F2221" s="90" t="s">
        <v>1454</v>
      </c>
      <c r="G2221" s="90"/>
      <c r="H2221" s="93"/>
      <c r="I2221" s="93"/>
      <c r="J2221" s="93"/>
      <c r="K2221" s="95"/>
      <c r="L2221" s="69"/>
      <c r="M2221" s="69"/>
      <c r="N2221" s="69"/>
      <c r="O2221" s="69"/>
      <c r="P2221" s="78"/>
      <c r="Q2221" s="96"/>
      <c r="R2221" s="97"/>
      <c r="S2221" s="98"/>
    </row>
    <row r="2222" spans="1:19" ht="42.75">
      <c r="A2222" s="90" t="s">
        <v>51</v>
      </c>
      <c r="B2222" s="91" t="s">
        <v>416</v>
      </c>
      <c r="C2222" s="91" t="s">
        <v>3809</v>
      </c>
      <c r="D2222" s="90">
        <v>519</v>
      </c>
      <c r="E2222" s="90">
        <v>980</v>
      </c>
      <c r="F2222" s="90" t="s">
        <v>1454</v>
      </c>
      <c r="G2222" s="90"/>
      <c r="H2222" s="93"/>
      <c r="I2222" s="93"/>
      <c r="J2222" s="93"/>
      <c r="K2222" s="95"/>
      <c r="L2222" s="69"/>
      <c r="M2222" s="69"/>
      <c r="N2222" s="69"/>
      <c r="O2222" s="69"/>
      <c r="P2222" s="78"/>
      <c r="Q2222" s="96"/>
      <c r="R2222" s="97"/>
      <c r="S2222" s="98"/>
    </row>
    <row r="2223" spans="1:19" ht="42.75">
      <c r="A2223" s="90" t="s">
        <v>51</v>
      </c>
      <c r="B2223" s="91" t="s">
        <v>416</v>
      </c>
      <c r="C2223" s="91" t="s">
        <v>3810</v>
      </c>
      <c r="D2223" s="90">
        <v>641</v>
      </c>
      <c r="E2223" s="90">
        <v>1766</v>
      </c>
      <c r="F2223" s="90" t="s">
        <v>1454</v>
      </c>
      <c r="G2223" s="90"/>
      <c r="H2223" s="93"/>
      <c r="I2223" s="93"/>
      <c r="J2223" s="93"/>
      <c r="K2223" s="95"/>
      <c r="L2223" s="69"/>
      <c r="M2223" s="69"/>
      <c r="N2223" s="69"/>
      <c r="O2223" s="69"/>
      <c r="P2223" s="78"/>
      <c r="Q2223" s="96"/>
      <c r="R2223" s="97"/>
      <c r="S2223" s="98"/>
    </row>
    <row r="2224" spans="1:19" ht="42.75">
      <c r="A2224" s="90" t="s">
        <v>51</v>
      </c>
      <c r="B2224" s="91" t="s">
        <v>416</v>
      </c>
      <c r="C2224" s="91" t="s">
        <v>3811</v>
      </c>
      <c r="D2224" s="90">
        <v>3487</v>
      </c>
      <c r="E2224" s="90">
        <v>4426</v>
      </c>
      <c r="F2224" s="90" t="s">
        <v>1454</v>
      </c>
      <c r="G2224" s="90"/>
      <c r="H2224" s="93"/>
      <c r="I2224" s="93"/>
      <c r="J2224" s="93"/>
      <c r="K2224" s="95"/>
      <c r="L2224" s="69"/>
      <c r="M2224" s="69"/>
      <c r="N2224" s="69"/>
      <c r="O2224" s="69"/>
      <c r="P2224" s="78"/>
      <c r="Q2224" s="96"/>
      <c r="R2224" s="97"/>
      <c r="S2224" s="98"/>
    </row>
    <row r="2225" spans="1:19" ht="42.75">
      <c r="A2225" s="90" t="s">
        <v>51</v>
      </c>
      <c r="B2225" s="91" t="s">
        <v>416</v>
      </c>
      <c r="C2225" s="91" t="s">
        <v>3012</v>
      </c>
      <c r="D2225" s="90">
        <v>3577</v>
      </c>
      <c r="E2225" s="90">
        <v>3983</v>
      </c>
      <c r="F2225" s="90" t="s">
        <v>1454</v>
      </c>
      <c r="G2225" s="90"/>
      <c r="H2225" s="93"/>
      <c r="I2225" s="93"/>
      <c r="J2225" s="93"/>
      <c r="K2225" s="95"/>
      <c r="L2225" s="69"/>
      <c r="M2225" s="69"/>
      <c r="N2225" s="69"/>
      <c r="O2225" s="69"/>
      <c r="P2225" s="78"/>
      <c r="Q2225" s="96"/>
      <c r="R2225" s="97"/>
      <c r="S2225" s="98"/>
    </row>
    <row r="2226" spans="1:19" ht="42.75">
      <c r="A2226" s="90" t="s">
        <v>51</v>
      </c>
      <c r="B2226" s="91" t="s">
        <v>416</v>
      </c>
      <c r="C2226" s="91" t="s">
        <v>3812</v>
      </c>
      <c r="D2226" s="90">
        <v>16838</v>
      </c>
      <c r="E2226" s="90">
        <v>18206</v>
      </c>
      <c r="F2226" s="90" t="s">
        <v>1454</v>
      </c>
      <c r="G2226" s="90"/>
      <c r="H2226" s="93"/>
      <c r="I2226" s="93"/>
      <c r="J2226" s="93"/>
      <c r="K2226" s="95"/>
      <c r="L2226" s="69"/>
      <c r="M2226" s="69"/>
      <c r="N2226" s="69"/>
      <c r="O2226" s="69"/>
      <c r="P2226" s="78"/>
      <c r="Q2226" s="96"/>
      <c r="R2226" s="97"/>
      <c r="S2226" s="98"/>
    </row>
    <row r="2227" spans="1:19" ht="42.75">
      <c r="A2227" s="90" t="s">
        <v>51</v>
      </c>
      <c r="B2227" s="91" t="s">
        <v>416</v>
      </c>
      <c r="C2227" s="91" t="s">
        <v>846</v>
      </c>
      <c r="D2227" s="90">
        <v>3823</v>
      </c>
      <c r="E2227" s="90">
        <v>5068</v>
      </c>
      <c r="F2227" s="90" t="s">
        <v>1454</v>
      </c>
      <c r="G2227" s="90"/>
      <c r="H2227" s="93"/>
      <c r="I2227" s="93"/>
      <c r="J2227" s="93"/>
      <c r="K2227" s="95"/>
      <c r="L2227" s="69"/>
      <c r="M2227" s="69"/>
      <c r="N2227" s="69"/>
      <c r="O2227" s="69"/>
      <c r="P2227" s="78"/>
      <c r="Q2227" s="96"/>
      <c r="R2227" s="97"/>
      <c r="S2227" s="98"/>
    </row>
    <row r="2228" spans="1:19" ht="42.75">
      <c r="A2228" s="90" t="s">
        <v>51</v>
      </c>
      <c r="B2228" s="91" t="s">
        <v>416</v>
      </c>
      <c r="C2228" s="91" t="s">
        <v>926</v>
      </c>
      <c r="D2228" s="90">
        <v>2044</v>
      </c>
      <c r="E2228" s="90">
        <v>1555</v>
      </c>
      <c r="F2228" s="90" t="s">
        <v>1454</v>
      </c>
      <c r="G2228" s="90"/>
      <c r="H2228" s="93"/>
      <c r="I2228" s="93"/>
      <c r="J2228" s="93"/>
      <c r="K2228" s="95"/>
      <c r="L2228" s="69"/>
      <c r="M2228" s="69"/>
      <c r="N2228" s="69"/>
      <c r="O2228" s="69"/>
      <c r="P2228" s="78"/>
      <c r="Q2228" s="96"/>
      <c r="R2228" s="97"/>
      <c r="S2228" s="98"/>
    </row>
    <row r="2229" spans="1:19" ht="42.75">
      <c r="A2229" s="90" t="s">
        <v>51</v>
      </c>
      <c r="B2229" s="91" t="s">
        <v>416</v>
      </c>
      <c r="C2229" s="91" t="s">
        <v>3813</v>
      </c>
      <c r="D2229" s="90">
        <v>7089</v>
      </c>
      <c r="E2229" s="90">
        <v>7297</v>
      </c>
      <c r="F2229" s="90" t="s">
        <v>1454</v>
      </c>
      <c r="G2229" s="90"/>
      <c r="H2229" s="93"/>
      <c r="I2229" s="93"/>
      <c r="J2229" s="93"/>
      <c r="K2229" s="95"/>
      <c r="L2229" s="69"/>
      <c r="M2229" s="69"/>
      <c r="N2229" s="69"/>
      <c r="O2229" s="69"/>
      <c r="P2229" s="78"/>
      <c r="Q2229" s="96"/>
      <c r="R2229" s="97"/>
      <c r="S2229" s="98"/>
    </row>
    <row r="2230" spans="1:19" ht="42.75">
      <c r="A2230" s="90" t="s">
        <v>51</v>
      </c>
      <c r="B2230" s="91" t="s">
        <v>416</v>
      </c>
      <c r="C2230" s="91" t="s">
        <v>3814</v>
      </c>
      <c r="D2230" s="90">
        <v>835</v>
      </c>
      <c r="E2230" s="90">
        <v>1021</v>
      </c>
      <c r="F2230" s="90" t="s">
        <v>1454</v>
      </c>
      <c r="G2230" s="90"/>
      <c r="H2230" s="93"/>
      <c r="I2230" s="93"/>
      <c r="J2230" s="93"/>
      <c r="K2230" s="95"/>
      <c r="L2230" s="69"/>
      <c r="M2230" s="69"/>
      <c r="N2230" s="69"/>
      <c r="O2230" s="69"/>
      <c r="P2230" s="78"/>
      <c r="Q2230" s="96"/>
      <c r="R2230" s="97"/>
      <c r="S2230" s="98"/>
    </row>
    <row r="2231" spans="1:19" ht="42.75">
      <c r="A2231" s="90" t="s">
        <v>51</v>
      </c>
      <c r="B2231" s="91" t="s">
        <v>416</v>
      </c>
      <c r="C2231" s="91" t="s">
        <v>862</v>
      </c>
      <c r="D2231" s="90">
        <v>654</v>
      </c>
      <c r="E2231" s="90">
        <v>1412</v>
      </c>
      <c r="F2231" s="90" t="s">
        <v>1454</v>
      </c>
      <c r="G2231" s="90"/>
      <c r="H2231" s="93"/>
      <c r="I2231" s="93"/>
      <c r="J2231" s="93"/>
      <c r="K2231" s="95"/>
      <c r="L2231" s="69"/>
      <c r="M2231" s="69"/>
      <c r="N2231" s="69"/>
      <c r="O2231" s="69"/>
      <c r="P2231" s="78"/>
      <c r="Q2231" s="96"/>
      <c r="R2231" s="97"/>
      <c r="S2231" s="98"/>
    </row>
    <row r="2232" spans="1:19" ht="42.75">
      <c r="A2232" s="90" t="s">
        <v>51</v>
      </c>
      <c r="B2232" s="91" t="s">
        <v>416</v>
      </c>
      <c r="C2232" s="91" t="s">
        <v>554</v>
      </c>
      <c r="D2232" s="90">
        <v>17501</v>
      </c>
      <c r="E2232" s="90">
        <v>18624</v>
      </c>
      <c r="F2232" s="90" t="s">
        <v>1454</v>
      </c>
      <c r="G2232" s="90"/>
      <c r="H2232" s="93"/>
      <c r="I2232" s="93"/>
      <c r="J2232" s="93"/>
      <c r="K2232" s="95"/>
      <c r="L2232" s="69"/>
      <c r="M2232" s="69"/>
      <c r="N2232" s="69"/>
      <c r="O2232" s="69"/>
      <c r="P2232" s="78"/>
      <c r="Q2232" s="96"/>
      <c r="R2232" s="97"/>
      <c r="S2232" s="98"/>
    </row>
    <row r="2233" spans="1:19" ht="42.75">
      <c r="A2233" s="90" t="s">
        <v>51</v>
      </c>
      <c r="B2233" s="91" t="s">
        <v>416</v>
      </c>
      <c r="C2233" s="91" t="s">
        <v>3815</v>
      </c>
      <c r="D2233" s="90">
        <v>5354</v>
      </c>
      <c r="E2233" s="90">
        <v>5591</v>
      </c>
      <c r="F2233" s="90" t="s">
        <v>1454</v>
      </c>
      <c r="G2233" s="90"/>
      <c r="H2233" s="93"/>
      <c r="I2233" s="93"/>
      <c r="J2233" s="93"/>
      <c r="K2233" s="95"/>
      <c r="L2233" s="69"/>
      <c r="M2233" s="69"/>
      <c r="N2233" s="69"/>
      <c r="O2233" s="69"/>
      <c r="P2233" s="78"/>
      <c r="Q2233" s="96"/>
      <c r="R2233" s="97"/>
      <c r="S2233" s="98"/>
    </row>
    <row r="2234" spans="1:19" ht="42.75">
      <c r="A2234" s="90" t="s">
        <v>51</v>
      </c>
      <c r="B2234" s="91" t="s">
        <v>416</v>
      </c>
      <c r="C2234" s="91" t="s">
        <v>3816</v>
      </c>
      <c r="D2234" s="90">
        <v>3031</v>
      </c>
      <c r="E2234" s="90">
        <v>3637</v>
      </c>
      <c r="F2234" s="90" t="s">
        <v>1454</v>
      </c>
      <c r="G2234" s="90"/>
      <c r="H2234" s="93"/>
      <c r="I2234" s="93"/>
      <c r="J2234" s="93"/>
      <c r="K2234" s="95"/>
      <c r="L2234" s="69"/>
      <c r="M2234" s="69"/>
      <c r="N2234" s="69"/>
      <c r="O2234" s="69"/>
      <c r="P2234" s="78"/>
      <c r="Q2234" s="96"/>
      <c r="R2234" s="97"/>
      <c r="S2234" s="98"/>
    </row>
    <row r="2235" spans="1:19" ht="42.75">
      <c r="A2235" s="90" t="s">
        <v>51</v>
      </c>
      <c r="B2235" s="91" t="s">
        <v>416</v>
      </c>
      <c r="C2235" s="91" t="s">
        <v>3817</v>
      </c>
      <c r="D2235" s="90">
        <v>839</v>
      </c>
      <c r="E2235" s="90">
        <v>1120</v>
      </c>
      <c r="F2235" s="90" t="s">
        <v>1454</v>
      </c>
      <c r="G2235" s="90"/>
      <c r="H2235" s="93"/>
      <c r="I2235" s="93"/>
      <c r="J2235" s="93"/>
      <c r="K2235" s="95"/>
      <c r="L2235" s="69"/>
      <c r="M2235" s="69"/>
      <c r="N2235" s="69"/>
      <c r="O2235" s="69"/>
      <c r="P2235" s="78"/>
      <c r="Q2235" s="96"/>
      <c r="R2235" s="97"/>
      <c r="S2235" s="98"/>
    </row>
    <row r="2236" spans="1:19" ht="42.75">
      <c r="A2236" s="90" t="s">
        <v>51</v>
      </c>
      <c r="B2236" s="91" t="s">
        <v>416</v>
      </c>
      <c r="C2236" s="91" t="s">
        <v>3818</v>
      </c>
      <c r="D2236" s="90">
        <v>714</v>
      </c>
      <c r="E2236" s="90">
        <v>828</v>
      </c>
      <c r="F2236" s="90" t="s">
        <v>1454</v>
      </c>
      <c r="G2236" s="90"/>
      <c r="H2236" s="93"/>
      <c r="I2236" s="93"/>
      <c r="J2236" s="93"/>
      <c r="K2236" s="95"/>
      <c r="L2236" s="69"/>
      <c r="M2236" s="69"/>
      <c r="N2236" s="69"/>
      <c r="O2236" s="69"/>
      <c r="P2236" s="78"/>
      <c r="Q2236" s="96"/>
      <c r="R2236" s="97"/>
      <c r="S2236" s="98"/>
    </row>
    <row r="2237" spans="1:19" ht="42.75">
      <c r="A2237" s="90" t="s">
        <v>51</v>
      </c>
      <c r="B2237" s="91" t="s">
        <v>416</v>
      </c>
      <c r="C2237" s="91" t="s">
        <v>3819</v>
      </c>
      <c r="D2237" s="90">
        <v>1264</v>
      </c>
      <c r="E2237" s="90">
        <v>1398</v>
      </c>
      <c r="F2237" s="90" t="s">
        <v>1454</v>
      </c>
      <c r="G2237" s="90"/>
      <c r="H2237" s="93"/>
      <c r="I2237" s="93"/>
      <c r="J2237" s="93"/>
      <c r="K2237" s="95"/>
      <c r="L2237" s="69"/>
      <c r="M2237" s="69"/>
      <c r="N2237" s="69"/>
      <c r="O2237" s="69"/>
      <c r="P2237" s="78"/>
      <c r="Q2237" s="96"/>
      <c r="R2237" s="97"/>
      <c r="S2237" s="98"/>
    </row>
    <row r="2238" spans="1:19" ht="42.75">
      <c r="A2238" s="90" t="s">
        <v>51</v>
      </c>
      <c r="B2238" s="91" t="s">
        <v>1377</v>
      </c>
      <c r="C2238" s="91" t="s">
        <v>3820</v>
      </c>
      <c r="D2238" s="90">
        <v>4089</v>
      </c>
      <c r="E2238" s="90">
        <v>7026</v>
      </c>
      <c r="F2238" s="90" t="s">
        <v>1454</v>
      </c>
      <c r="G2238" s="90"/>
      <c r="H2238" s="93"/>
      <c r="I2238" s="93"/>
      <c r="J2238" s="93"/>
      <c r="K2238" s="95"/>
      <c r="L2238" s="69"/>
      <c r="M2238" s="69"/>
      <c r="N2238" s="69"/>
      <c r="O2238" s="69"/>
      <c r="P2238" s="78"/>
      <c r="Q2238" s="96"/>
      <c r="R2238" s="97"/>
      <c r="S2238" s="98"/>
    </row>
    <row r="2239" spans="1:19" ht="42.75">
      <c r="A2239" s="90" t="s">
        <v>51</v>
      </c>
      <c r="B2239" s="91" t="s">
        <v>1377</v>
      </c>
      <c r="C2239" s="91" t="s">
        <v>3532</v>
      </c>
      <c r="D2239" s="90">
        <v>5454</v>
      </c>
      <c r="E2239" s="90">
        <v>6894</v>
      </c>
      <c r="F2239" s="90" t="s">
        <v>1434</v>
      </c>
      <c r="G2239" s="90">
        <v>2024</v>
      </c>
      <c r="H2239" s="101">
        <v>45420</v>
      </c>
      <c r="I2239" s="101">
        <v>45428</v>
      </c>
      <c r="J2239" s="94" t="s">
        <v>3821</v>
      </c>
      <c r="K2239" s="95" t="s">
        <v>78</v>
      </c>
      <c r="L2239" s="69" t="s">
        <v>78</v>
      </c>
      <c r="M2239" s="69"/>
      <c r="N2239" s="69"/>
      <c r="O2239" s="69" t="s">
        <v>1436</v>
      </c>
      <c r="P2239" s="78"/>
      <c r="Q2239" s="96">
        <v>45429</v>
      </c>
      <c r="R2239" s="97"/>
      <c r="S2239" s="98"/>
    </row>
    <row r="2240" spans="1:19" ht="42.75">
      <c r="A2240" s="90" t="s">
        <v>51</v>
      </c>
      <c r="B2240" s="91" t="s">
        <v>1377</v>
      </c>
      <c r="C2240" s="91" t="s">
        <v>3822</v>
      </c>
      <c r="D2240" s="90">
        <v>24685</v>
      </c>
      <c r="E2240" s="90">
        <v>27506</v>
      </c>
      <c r="F2240" s="90" t="s">
        <v>1454</v>
      </c>
      <c r="G2240" s="90"/>
      <c r="H2240" s="93"/>
      <c r="I2240" s="93"/>
      <c r="J2240" s="93"/>
      <c r="K2240" s="95"/>
      <c r="L2240" s="69"/>
      <c r="M2240" s="69"/>
      <c r="N2240" s="69"/>
      <c r="O2240" s="69"/>
      <c r="P2240" s="78"/>
      <c r="Q2240" s="96"/>
      <c r="R2240" s="97"/>
      <c r="S2240" s="98"/>
    </row>
    <row r="2241" spans="1:19" ht="42.75">
      <c r="A2241" s="90" t="s">
        <v>51</v>
      </c>
      <c r="B2241" s="91" t="s">
        <v>1377</v>
      </c>
      <c r="C2241" s="91" t="s">
        <v>3823</v>
      </c>
      <c r="D2241" s="90">
        <v>37741</v>
      </c>
      <c r="E2241" s="90">
        <v>42528</v>
      </c>
      <c r="F2241" s="90" t="s">
        <v>1454</v>
      </c>
      <c r="G2241" s="90"/>
      <c r="H2241" s="93"/>
      <c r="I2241" s="93"/>
      <c r="J2241" s="93"/>
      <c r="K2241" s="95"/>
      <c r="L2241" s="69"/>
      <c r="M2241" s="69"/>
      <c r="N2241" s="69"/>
      <c r="O2241" s="69"/>
      <c r="P2241" s="78"/>
      <c r="Q2241" s="96"/>
      <c r="R2241" s="97"/>
      <c r="S2241" s="98"/>
    </row>
    <row r="2242" spans="1:19" ht="42.75">
      <c r="A2242" s="90" t="s">
        <v>51</v>
      </c>
      <c r="B2242" s="91" t="s">
        <v>1377</v>
      </c>
      <c r="C2242" s="91" t="s">
        <v>3824</v>
      </c>
      <c r="D2242" s="90">
        <v>4397</v>
      </c>
      <c r="E2242" s="90">
        <v>5768</v>
      </c>
      <c r="F2242" s="90" t="s">
        <v>1454</v>
      </c>
      <c r="G2242" s="90"/>
      <c r="H2242" s="93"/>
      <c r="I2242" s="93"/>
      <c r="J2242" s="93"/>
      <c r="K2242" s="95"/>
      <c r="L2242" s="69"/>
      <c r="M2242" s="69"/>
      <c r="N2242" s="69"/>
      <c r="O2242" s="69"/>
      <c r="P2242" s="78"/>
      <c r="Q2242" s="96"/>
      <c r="R2242" s="97"/>
      <c r="S2242" s="98"/>
    </row>
    <row r="2243" spans="1:19" ht="42.75">
      <c r="A2243" s="90" t="s">
        <v>51</v>
      </c>
      <c r="B2243" s="91" t="s">
        <v>1377</v>
      </c>
      <c r="C2243" s="91" t="s">
        <v>3825</v>
      </c>
      <c r="D2243" s="90">
        <v>3036</v>
      </c>
      <c r="E2243" s="90">
        <v>3029</v>
      </c>
      <c r="F2243" s="90" t="s">
        <v>1454</v>
      </c>
      <c r="G2243" s="90"/>
      <c r="H2243" s="93"/>
      <c r="I2243" s="93"/>
      <c r="J2243" s="93"/>
      <c r="K2243" s="95"/>
      <c r="L2243" s="69"/>
      <c r="M2243" s="69"/>
      <c r="N2243" s="69"/>
      <c r="O2243" s="69"/>
      <c r="P2243" s="78"/>
      <c r="Q2243" s="96"/>
      <c r="R2243" s="97"/>
      <c r="S2243" s="98"/>
    </row>
    <row r="2244" spans="1:19" ht="42.75">
      <c r="A2244" s="90" t="s">
        <v>51</v>
      </c>
      <c r="B2244" s="91" t="s">
        <v>1377</v>
      </c>
      <c r="C2244" s="91" t="s">
        <v>3622</v>
      </c>
      <c r="D2244" s="90">
        <v>5879</v>
      </c>
      <c r="E2244" s="90">
        <v>6846</v>
      </c>
      <c r="F2244" s="90" t="s">
        <v>1434</v>
      </c>
      <c r="G2244" s="90">
        <v>2024</v>
      </c>
      <c r="H2244" s="101">
        <v>45385</v>
      </c>
      <c r="I2244" s="101">
        <v>45397</v>
      </c>
      <c r="J2244" s="94" t="s">
        <v>3826</v>
      </c>
      <c r="K2244" s="100">
        <v>45399</v>
      </c>
      <c r="L2244" s="69" t="s">
        <v>3827</v>
      </c>
      <c r="M2244" s="69"/>
      <c r="N2244" s="69"/>
      <c r="O2244" s="69" t="s">
        <v>1436</v>
      </c>
      <c r="P2244" s="78"/>
      <c r="Q2244" s="96"/>
      <c r="R2244" s="97"/>
      <c r="S2244" s="98"/>
    </row>
    <row r="2245" spans="1:19" ht="42.75">
      <c r="A2245" s="90" t="s">
        <v>51</v>
      </c>
      <c r="B2245" s="91" t="s">
        <v>1377</v>
      </c>
      <c r="C2245" s="91" t="s">
        <v>3268</v>
      </c>
      <c r="D2245" s="90">
        <v>9260</v>
      </c>
      <c r="E2245" s="90">
        <v>10832</v>
      </c>
      <c r="F2245" s="90" t="s">
        <v>1454</v>
      </c>
      <c r="G2245" s="90"/>
      <c r="H2245" s="93"/>
      <c r="I2245" s="93"/>
      <c r="J2245" s="93"/>
      <c r="K2245" s="95"/>
      <c r="L2245" s="69"/>
      <c r="M2245" s="69"/>
      <c r="N2245" s="69"/>
      <c r="O2245" s="69"/>
      <c r="P2245" s="78"/>
      <c r="Q2245" s="96"/>
      <c r="R2245" s="97"/>
      <c r="S2245" s="98"/>
    </row>
    <row r="2246" spans="1:19" ht="42.75">
      <c r="A2246" s="90" t="s">
        <v>51</v>
      </c>
      <c r="B2246" s="91" t="s">
        <v>1377</v>
      </c>
      <c r="C2246" s="91" t="s">
        <v>594</v>
      </c>
      <c r="D2246" s="90">
        <v>6885</v>
      </c>
      <c r="E2246" s="90">
        <v>8105</v>
      </c>
      <c r="F2246" s="90" t="s">
        <v>1454</v>
      </c>
      <c r="G2246" s="90"/>
      <c r="H2246" s="93"/>
      <c r="I2246" s="93"/>
      <c r="J2246" s="93"/>
      <c r="K2246" s="95"/>
      <c r="L2246" s="69"/>
      <c r="M2246" s="69"/>
      <c r="N2246" s="69"/>
      <c r="O2246" s="69"/>
      <c r="P2246" s="78"/>
      <c r="Q2246" s="96"/>
      <c r="R2246" s="97"/>
      <c r="S2246" s="98"/>
    </row>
    <row r="2247" spans="1:19" ht="42.75">
      <c r="A2247" s="90" t="s">
        <v>51</v>
      </c>
      <c r="B2247" s="91" t="s">
        <v>1377</v>
      </c>
      <c r="C2247" s="91" t="s">
        <v>3386</v>
      </c>
      <c r="D2247" s="90">
        <v>19582</v>
      </c>
      <c r="E2247" s="90">
        <v>20542</v>
      </c>
      <c r="F2247" s="90" t="s">
        <v>1454</v>
      </c>
      <c r="G2247" s="90"/>
      <c r="H2247" s="93"/>
      <c r="I2247" s="93"/>
      <c r="J2247" s="93"/>
      <c r="K2247" s="95"/>
      <c r="L2247" s="69"/>
      <c r="M2247" s="69"/>
      <c r="N2247" s="69"/>
      <c r="O2247" s="69"/>
      <c r="P2247" s="78"/>
      <c r="Q2247" s="96"/>
      <c r="R2247" s="97"/>
      <c r="S2247" s="98"/>
    </row>
    <row r="2248" spans="1:19" ht="42.75">
      <c r="A2248" s="90" t="s">
        <v>51</v>
      </c>
      <c r="B2248" s="91" t="s">
        <v>1377</v>
      </c>
      <c r="C2248" s="91" t="s">
        <v>3828</v>
      </c>
      <c r="D2248" s="90">
        <v>2899</v>
      </c>
      <c r="E2248" s="90">
        <v>4048</v>
      </c>
      <c r="F2248" s="90" t="s">
        <v>1454</v>
      </c>
      <c r="G2248" s="90"/>
      <c r="H2248" s="93"/>
      <c r="I2248" s="93"/>
      <c r="J2248" s="93"/>
      <c r="K2248" s="95"/>
      <c r="L2248" s="69"/>
      <c r="M2248" s="69"/>
      <c r="N2248" s="69"/>
      <c r="O2248" s="69"/>
      <c r="P2248" s="78"/>
      <c r="Q2248" s="96"/>
      <c r="R2248" s="97"/>
      <c r="S2248" s="98"/>
    </row>
    <row r="2249" spans="1:19" ht="42.75">
      <c r="A2249" s="90" t="s">
        <v>51</v>
      </c>
      <c r="B2249" s="91" t="s">
        <v>1377</v>
      </c>
      <c r="C2249" s="91" t="s">
        <v>946</v>
      </c>
      <c r="D2249" s="90">
        <v>3128</v>
      </c>
      <c r="E2249" s="90">
        <v>3793</v>
      </c>
      <c r="F2249" s="90" t="s">
        <v>1454</v>
      </c>
      <c r="G2249" s="90"/>
      <c r="H2249" s="93"/>
      <c r="I2249" s="93"/>
      <c r="J2249" s="93"/>
      <c r="K2249" s="95"/>
      <c r="L2249" s="69"/>
      <c r="M2249" s="69"/>
      <c r="N2249" s="69"/>
      <c r="O2249" s="69"/>
      <c r="P2249" s="78"/>
      <c r="Q2249" s="96"/>
      <c r="R2249" s="97"/>
      <c r="S2249" s="98"/>
    </row>
    <row r="2250" spans="1:19" ht="42.75">
      <c r="A2250" s="90" t="s">
        <v>51</v>
      </c>
      <c r="B2250" s="91" t="s">
        <v>1377</v>
      </c>
      <c r="C2250" s="91" t="s">
        <v>2823</v>
      </c>
      <c r="D2250" s="90">
        <v>4256</v>
      </c>
      <c r="E2250" s="90">
        <v>4045</v>
      </c>
      <c r="F2250" s="90" t="s">
        <v>1454</v>
      </c>
      <c r="G2250" s="90"/>
      <c r="H2250" s="93"/>
      <c r="I2250" s="93"/>
      <c r="J2250" s="93"/>
      <c r="K2250" s="95"/>
      <c r="L2250" s="69"/>
      <c r="M2250" s="69"/>
      <c r="N2250" s="69"/>
      <c r="O2250" s="69"/>
      <c r="P2250" s="78"/>
      <c r="Q2250" s="96"/>
      <c r="R2250" s="97"/>
      <c r="S2250" s="98"/>
    </row>
    <row r="2251" spans="1:19" ht="42.75">
      <c r="A2251" s="90" t="s">
        <v>51</v>
      </c>
      <c r="B2251" s="91" t="s">
        <v>1377</v>
      </c>
      <c r="C2251" s="91" t="s">
        <v>3572</v>
      </c>
      <c r="D2251" s="90">
        <v>4913</v>
      </c>
      <c r="E2251" s="90">
        <v>6666</v>
      </c>
      <c r="F2251" s="90" t="s">
        <v>1434</v>
      </c>
      <c r="G2251" s="90">
        <v>2024</v>
      </c>
      <c r="H2251" s="101">
        <v>45573</v>
      </c>
      <c r="I2251" s="101">
        <v>45577</v>
      </c>
      <c r="J2251" s="94" t="s">
        <v>3829</v>
      </c>
      <c r="K2251" s="100">
        <v>45581</v>
      </c>
      <c r="L2251" s="69" t="s">
        <v>83</v>
      </c>
      <c r="M2251" s="69" t="s">
        <v>4</v>
      </c>
      <c r="N2251" s="69" t="s">
        <v>101</v>
      </c>
      <c r="O2251" s="69" t="s">
        <v>1436</v>
      </c>
      <c r="P2251" s="78"/>
      <c r="Q2251" s="96">
        <v>45582</v>
      </c>
      <c r="R2251" s="97" t="s">
        <v>2415</v>
      </c>
      <c r="S2251" s="98"/>
    </row>
    <row r="2252" spans="1:19" ht="42.75">
      <c r="A2252" s="90" t="s">
        <v>51</v>
      </c>
      <c r="B2252" s="91" t="s">
        <v>1377</v>
      </c>
      <c r="C2252" s="91" t="s">
        <v>3830</v>
      </c>
      <c r="D2252" s="90">
        <v>9441</v>
      </c>
      <c r="E2252" s="90">
        <v>12847</v>
      </c>
      <c r="F2252" s="90" t="s">
        <v>1454</v>
      </c>
      <c r="G2252" s="90"/>
      <c r="H2252" s="93"/>
      <c r="I2252" s="93"/>
      <c r="J2252" s="93"/>
      <c r="K2252" s="95"/>
      <c r="L2252" s="69"/>
      <c r="M2252" s="69"/>
      <c r="N2252" s="69"/>
      <c r="O2252" s="69"/>
      <c r="P2252" s="78"/>
      <c r="Q2252" s="96"/>
      <c r="R2252" s="97"/>
      <c r="S2252" s="98"/>
    </row>
    <row r="2253" spans="1:19" ht="42.75">
      <c r="A2253" s="90" t="s">
        <v>51</v>
      </c>
      <c r="B2253" s="91" t="s">
        <v>1377</v>
      </c>
      <c r="C2253" s="91" t="s">
        <v>3831</v>
      </c>
      <c r="D2253" s="90">
        <v>4487</v>
      </c>
      <c r="E2253" s="90">
        <v>5082</v>
      </c>
      <c r="F2253" s="90" t="s">
        <v>1454</v>
      </c>
      <c r="G2253" s="90"/>
      <c r="H2253" s="93"/>
      <c r="I2253" s="93"/>
      <c r="J2253" s="93"/>
      <c r="K2253" s="95"/>
      <c r="L2253" s="69"/>
      <c r="M2253" s="69"/>
      <c r="N2253" s="69"/>
      <c r="O2253" s="69"/>
      <c r="P2253" s="78"/>
      <c r="Q2253" s="96"/>
      <c r="R2253" s="97"/>
      <c r="S2253" s="98"/>
    </row>
    <row r="2254" spans="1:19" ht="42.75">
      <c r="A2254" s="90" t="s">
        <v>51</v>
      </c>
      <c r="B2254" s="91" t="s">
        <v>1377</v>
      </c>
      <c r="C2254" s="91" t="s">
        <v>3832</v>
      </c>
      <c r="D2254" s="90">
        <v>7048</v>
      </c>
      <c r="E2254" s="90">
        <v>7509</v>
      </c>
      <c r="F2254" s="90" t="s">
        <v>1454</v>
      </c>
      <c r="G2254" s="90"/>
      <c r="H2254" s="93"/>
      <c r="I2254" s="93"/>
      <c r="J2254" s="93"/>
      <c r="K2254" s="95"/>
      <c r="L2254" s="69"/>
      <c r="M2254" s="69"/>
      <c r="N2254" s="69"/>
      <c r="O2254" s="69"/>
      <c r="P2254" s="78"/>
      <c r="Q2254" s="96"/>
      <c r="R2254" s="97"/>
      <c r="S2254" s="98"/>
    </row>
    <row r="2255" spans="1:19" ht="42.75">
      <c r="A2255" s="90" t="s">
        <v>51</v>
      </c>
      <c r="B2255" s="91" t="s">
        <v>1377</v>
      </c>
      <c r="C2255" s="91" t="s">
        <v>3833</v>
      </c>
      <c r="D2255" s="90">
        <v>1404</v>
      </c>
      <c r="E2255" s="90">
        <v>1601</v>
      </c>
      <c r="F2255" s="90" t="s">
        <v>1454</v>
      </c>
      <c r="G2255" s="90"/>
      <c r="H2255" s="93"/>
      <c r="I2255" s="93"/>
      <c r="J2255" s="93"/>
      <c r="K2255" s="95"/>
      <c r="L2255" s="69"/>
      <c r="M2255" s="69"/>
      <c r="N2255" s="69"/>
      <c r="O2255" s="69"/>
      <c r="P2255" s="78"/>
      <c r="Q2255" s="96"/>
      <c r="R2255" s="97"/>
      <c r="S2255" s="98"/>
    </row>
    <row r="2256" spans="1:19" ht="42.75">
      <c r="A2256" s="90" t="s">
        <v>51</v>
      </c>
      <c r="B2256" s="91" t="s">
        <v>1377</v>
      </c>
      <c r="C2256" s="91" t="s">
        <v>3771</v>
      </c>
      <c r="D2256" s="90">
        <v>7259</v>
      </c>
      <c r="E2256" s="90">
        <v>8254</v>
      </c>
      <c r="F2256" s="90" t="s">
        <v>1454</v>
      </c>
      <c r="G2256" s="90"/>
      <c r="H2256" s="93"/>
      <c r="I2256" s="93"/>
      <c r="J2256" s="93"/>
      <c r="K2256" s="95"/>
      <c r="L2256" s="69"/>
      <c r="M2256" s="69"/>
      <c r="N2256" s="69"/>
      <c r="O2256" s="69"/>
      <c r="P2256" s="78"/>
      <c r="Q2256" s="96"/>
      <c r="R2256" s="97"/>
      <c r="S2256" s="98"/>
    </row>
    <row r="2257" spans="1:19" ht="42.75">
      <c r="A2257" s="90" t="s">
        <v>51</v>
      </c>
      <c r="B2257" s="91" t="s">
        <v>1377</v>
      </c>
      <c r="C2257" s="91" t="s">
        <v>2395</v>
      </c>
      <c r="D2257" s="90">
        <v>674</v>
      </c>
      <c r="E2257" s="90">
        <v>727</v>
      </c>
      <c r="F2257" s="90" t="s">
        <v>1454</v>
      </c>
      <c r="G2257" s="90"/>
      <c r="H2257" s="93"/>
      <c r="I2257" s="93"/>
      <c r="J2257" s="93"/>
      <c r="K2257" s="95"/>
      <c r="L2257" s="69"/>
      <c r="M2257" s="69"/>
      <c r="N2257" s="69"/>
      <c r="O2257" s="69"/>
      <c r="P2257" s="78"/>
      <c r="Q2257" s="96"/>
      <c r="R2257" s="97"/>
      <c r="S2257" s="98"/>
    </row>
    <row r="2258" spans="1:19" ht="42.75">
      <c r="A2258" s="90" t="s">
        <v>51</v>
      </c>
      <c r="B2258" s="91" t="s">
        <v>1377</v>
      </c>
      <c r="C2258" s="91" t="s">
        <v>3834</v>
      </c>
      <c r="D2258" s="90">
        <v>9893</v>
      </c>
      <c r="E2258" s="90">
        <v>11002</v>
      </c>
      <c r="F2258" s="90" t="s">
        <v>1454</v>
      </c>
      <c r="G2258" s="90"/>
      <c r="H2258" s="93"/>
      <c r="I2258" s="93"/>
      <c r="J2258" s="93"/>
      <c r="K2258" s="95"/>
      <c r="L2258" s="69"/>
      <c r="M2258" s="69"/>
      <c r="N2258" s="69"/>
      <c r="O2258" s="69"/>
      <c r="P2258" s="78"/>
      <c r="Q2258" s="96"/>
      <c r="R2258" s="97"/>
      <c r="S2258" s="98"/>
    </row>
    <row r="2259" spans="1:19" ht="42.75">
      <c r="A2259" s="90" t="s">
        <v>51</v>
      </c>
      <c r="B2259" s="91" t="s">
        <v>1377</v>
      </c>
      <c r="C2259" s="91" t="s">
        <v>3835</v>
      </c>
      <c r="D2259" s="90">
        <v>6987</v>
      </c>
      <c r="E2259" s="90">
        <v>8256</v>
      </c>
      <c r="F2259" s="90" t="s">
        <v>1454</v>
      </c>
      <c r="G2259" s="90"/>
      <c r="H2259" s="93"/>
      <c r="I2259" s="93"/>
      <c r="J2259" s="93"/>
      <c r="K2259" s="95"/>
      <c r="L2259" s="69"/>
      <c r="M2259" s="69"/>
      <c r="N2259" s="69"/>
      <c r="O2259" s="69"/>
      <c r="P2259" s="78"/>
      <c r="Q2259" s="96"/>
      <c r="R2259" s="97"/>
      <c r="S2259" s="98"/>
    </row>
    <row r="2260" spans="1:19" ht="42.75">
      <c r="A2260" s="90" t="s">
        <v>51</v>
      </c>
      <c r="B2260" s="91" t="s">
        <v>1377</v>
      </c>
      <c r="C2260" s="91" t="s">
        <v>2342</v>
      </c>
      <c r="D2260" s="90">
        <v>20166</v>
      </c>
      <c r="E2260" s="90">
        <v>22539</v>
      </c>
      <c r="F2260" s="90" t="s">
        <v>1454</v>
      </c>
      <c r="G2260" s="90"/>
      <c r="H2260" s="93"/>
      <c r="I2260" s="93"/>
      <c r="J2260" s="93"/>
      <c r="K2260" s="95"/>
      <c r="L2260" s="69"/>
      <c r="M2260" s="69"/>
      <c r="N2260" s="69"/>
      <c r="O2260" s="69"/>
      <c r="P2260" s="78"/>
      <c r="Q2260" s="96"/>
      <c r="R2260" s="97"/>
      <c r="S2260" s="98"/>
    </row>
    <row r="2261" spans="1:19" ht="42.75">
      <c r="A2261" s="90" t="s">
        <v>51</v>
      </c>
      <c r="B2261" s="91" t="s">
        <v>1377</v>
      </c>
      <c r="C2261" s="91" t="s">
        <v>550</v>
      </c>
      <c r="D2261" s="90">
        <v>4280</v>
      </c>
      <c r="E2261" s="90">
        <v>6035</v>
      </c>
      <c r="F2261" s="90" t="s">
        <v>1454</v>
      </c>
      <c r="G2261" s="90"/>
      <c r="H2261" s="93"/>
      <c r="I2261" s="93"/>
      <c r="J2261" s="93"/>
      <c r="K2261" s="95"/>
      <c r="L2261" s="69"/>
      <c r="M2261" s="69"/>
      <c r="N2261" s="69"/>
      <c r="O2261" s="69"/>
      <c r="P2261" s="78"/>
      <c r="Q2261" s="96"/>
      <c r="R2261" s="97"/>
      <c r="S2261" s="98"/>
    </row>
    <row r="2262" spans="1:19" ht="42.75">
      <c r="A2262" s="90" t="s">
        <v>51</v>
      </c>
      <c r="B2262" s="91" t="s">
        <v>1377</v>
      </c>
      <c r="C2262" s="91" t="s">
        <v>520</v>
      </c>
      <c r="D2262" s="90">
        <v>8910</v>
      </c>
      <c r="E2262" s="90">
        <v>9616</v>
      </c>
      <c r="F2262" s="90" t="s">
        <v>1454</v>
      </c>
      <c r="G2262" s="90"/>
      <c r="H2262" s="93"/>
      <c r="I2262" s="93"/>
      <c r="J2262" s="93"/>
      <c r="K2262" s="95"/>
      <c r="L2262" s="69"/>
      <c r="M2262" s="69"/>
      <c r="N2262" s="69"/>
      <c r="O2262" s="69"/>
      <c r="P2262" s="78"/>
      <c r="Q2262" s="96"/>
      <c r="R2262" s="97"/>
      <c r="S2262" s="98"/>
    </row>
    <row r="2263" spans="1:19" ht="42.75">
      <c r="A2263" s="90" t="s">
        <v>51</v>
      </c>
      <c r="B2263" s="91" t="s">
        <v>1377</v>
      </c>
      <c r="C2263" s="91" t="s">
        <v>427</v>
      </c>
      <c r="D2263" s="90">
        <v>15313</v>
      </c>
      <c r="E2263" s="90">
        <v>16164</v>
      </c>
      <c r="F2263" s="90" t="s">
        <v>1434</v>
      </c>
      <c r="G2263" s="90">
        <v>2024</v>
      </c>
      <c r="H2263" s="101">
        <v>45545</v>
      </c>
      <c r="I2263" s="101">
        <v>45545</v>
      </c>
      <c r="J2263" s="94" t="s">
        <v>3836</v>
      </c>
      <c r="K2263" s="100">
        <v>45552</v>
      </c>
      <c r="L2263" s="69" t="s">
        <v>82</v>
      </c>
      <c r="M2263" s="69" t="s">
        <v>4</v>
      </c>
      <c r="N2263" s="69" t="s">
        <v>101</v>
      </c>
      <c r="O2263" s="69" t="s">
        <v>1436</v>
      </c>
      <c r="P2263" s="78"/>
      <c r="Q2263" s="96">
        <v>45553</v>
      </c>
      <c r="R2263" s="97" t="s">
        <v>2415</v>
      </c>
      <c r="S2263" s="98"/>
    </row>
    <row r="2264" spans="1:19" ht="42.75">
      <c r="A2264" s="90" t="s">
        <v>51</v>
      </c>
      <c r="B2264" s="91" t="s">
        <v>1377</v>
      </c>
      <c r="C2264" s="91" t="s">
        <v>764</v>
      </c>
      <c r="D2264" s="90">
        <v>4587</v>
      </c>
      <c r="E2264" s="90">
        <v>5712</v>
      </c>
      <c r="F2264" s="90" t="s">
        <v>1454</v>
      </c>
      <c r="G2264" s="90"/>
      <c r="H2264" s="93"/>
      <c r="I2264" s="93"/>
      <c r="J2264" s="93"/>
      <c r="K2264" s="95"/>
      <c r="L2264" s="69"/>
      <c r="M2264" s="69"/>
      <c r="N2264" s="69"/>
      <c r="O2264" s="69"/>
      <c r="P2264" s="78"/>
      <c r="Q2264" s="96"/>
      <c r="R2264" s="97"/>
      <c r="S2264" s="98"/>
    </row>
    <row r="2265" spans="1:19" ht="42.75">
      <c r="A2265" s="90" t="s">
        <v>51</v>
      </c>
      <c r="B2265" s="91" t="s">
        <v>1377</v>
      </c>
      <c r="C2265" s="91" t="s">
        <v>717</v>
      </c>
      <c r="D2265" s="90">
        <v>9927</v>
      </c>
      <c r="E2265" s="90">
        <v>9899</v>
      </c>
      <c r="F2265" s="90" t="s">
        <v>1454</v>
      </c>
      <c r="G2265" s="90"/>
      <c r="H2265" s="93"/>
      <c r="I2265" s="93"/>
      <c r="J2265" s="93"/>
      <c r="K2265" s="95"/>
      <c r="L2265" s="69"/>
      <c r="M2265" s="69"/>
      <c r="N2265" s="69"/>
      <c r="O2265" s="69"/>
      <c r="P2265" s="78"/>
      <c r="Q2265" s="96"/>
      <c r="R2265" s="97"/>
      <c r="S2265" s="98"/>
    </row>
    <row r="2266" spans="1:19" ht="42.75">
      <c r="A2266" s="90" t="s">
        <v>51</v>
      </c>
      <c r="B2266" s="91" t="s">
        <v>1377</v>
      </c>
      <c r="C2266" s="91" t="s">
        <v>881</v>
      </c>
      <c r="D2266" s="90">
        <v>12219</v>
      </c>
      <c r="E2266" s="90">
        <v>12049</v>
      </c>
      <c r="F2266" s="90" t="s">
        <v>1454</v>
      </c>
      <c r="G2266" s="90"/>
      <c r="H2266" s="93"/>
      <c r="I2266" s="93"/>
      <c r="J2266" s="93"/>
      <c r="K2266" s="95"/>
      <c r="L2266" s="69"/>
      <c r="M2266" s="69"/>
      <c r="N2266" s="69"/>
      <c r="O2266" s="69"/>
      <c r="P2266" s="78"/>
      <c r="Q2266" s="96"/>
      <c r="R2266" s="97"/>
      <c r="S2266" s="98"/>
    </row>
    <row r="2267" spans="1:19" ht="42.75">
      <c r="A2267" s="90" t="s">
        <v>51</v>
      </c>
      <c r="B2267" s="91" t="s">
        <v>1377</v>
      </c>
      <c r="C2267" s="91" t="s">
        <v>1656</v>
      </c>
      <c r="D2267" s="90">
        <v>7474</v>
      </c>
      <c r="E2267" s="90">
        <v>10090</v>
      </c>
      <c r="F2267" s="90" t="s">
        <v>1454</v>
      </c>
      <c r="G2267" s="90"/>
      <c r="H2267" s="93"/>
      <c r="I2267" s="93"/>
      <c r="J2267" s="93"/>
      <c r="K2267" s="95"/>
      <c r="L2267" s="69"/>
      <c r="M2267" s="69"/>
      <c r="N2267" s="69"/>
      <c r="O2267" s="69"/>
      <c r="P2267" s="78"/>
      <c r="Q2267" s="96"/>
      <c r="R2267" s="97"/>
      <c r="S2267" s="98"/>
    </row>
    <row r="2268" spans="1:19" ht="42.75">
      <c r="A2268" s="90" t="s">
        <v>51</v>
      </c>
      <c r="B2268" s="91" t="s">
        <v>1377</v>
      </c>
      <c r="C2268" s="91" t="s">
        <v>3377</v>
      </c>
      <c r="D2268" s="90">
        <v>1270</v>
      </c>
      <c r="E2268" s="90">
        <v>1385</v>
      </c>
      <c r="F2268" s="90" t="s">
        <v>1454</v>
      </c>
      <c r="G2268" s="90"/>
      <c r="H2268" s="93"/>
      <c r="I2268" s="93"/>
      <c r="J2268" s="93"/>
      <c r="K2268" s="95"/>
      <c r="L2268" s="69"/>
      <c r="M2268" s="69"/>
      <c r="N2268" s="69"/>
      <c r="O2268" s="69"/>
      <c r="P2268" s="78"/>
      <c r="Q2268" s="96"/>
      <c r="R2268" s="97"/>
      <c r="S2268" s="98"/>
    </row>
    <row r="2269" spans="1:19" ht="42.75">
      <c r="A2269" s="90" t="s">
        <v>51</v>
      </c>
      <c r="B2269" s="91" t="s">
        <v>1377</v>
      </c>
      <c r="C2269" s="91" t="s">
        <v>1879</v>
      </c>
      <c r="D2269" s="90">
        <v>8804</v>
      </c>
      <c r="E2269" s="90">
        <v>11208</v>
      </c>
      <c r="F2269" s="90" t="s">
        <v>1454</v>
      </c>
      <c r="G2269" s="90">
        <v>2025</v>
      </c>
      <c r="H2269" s="93"/>
      <c r="I2269" s="93"/>
      <c r="J2269" s="93"/>
      <c r="K2269" s="95"/>
      <c r="L2269" s="69" t="s">
        <v>74</v>
      </c>
      <c r="M2269" s="69"/>
      <c r="N2269" s="69"/>
      <c r="O2269" s="69"/>
      <c r="P2269" s="78"/>
      <c r="Q2269" s="96"/>
      <c r="R2269" s="97"/>
      <c r="S2269" s="98"/>
    </row>
    <row r="2270" spans="1:19" ht="42.75">
      <c r="A2270" s="90" t="s">
        <v>51</v>
      </c>
      <c r="B2270" s="91" t="s">
        <v>1377</v>
      </c>
      <c r="C2270" s="91" t="s">
        <v>3837</v>
      </c>
      <c r="D2270" s="90">
        <v>14188</v>
      </c>
      <c r="E2270" s="90">
        <v>14997</v>
      </c>
      <c r="F2270" s="90" t="s">
        <v>1454</v>
      </c>
      <c r="G2270" s="90"/>
      <c r="H2270" s="93"/>
      <c r="I2270" s="93"/>
      <c r="J2270" s="93"/>
      <c r="K2270" s="95"/>
      <c r="L2270" s="69"/>
      <c r="M2270" s="69"/>
      <c r="N2270" s="69"/>
      <c r="O2270" s="69"/>
      <c r="P2270" s="78"/>
      <c r="Q2270" s="96"/>
      <c r="R2270" s="97"/>
      <c r="S2270" s="98"/>
    </row>
    <row r="2271" spans="1:19" ht="42.75">
      <c r="A2271" s="90" t="s">
        <v>51</v>
      </c>
      <c r="B2271" s="91" t="s">
        <v>1377</v>
      </c>
      <c r="C2271" s="91" t="s">
        <v>3838</v>
      </c>
      <c r="D2271" s="90">
        <v>13009</v>
      </c>
      <c r="E2271" s="90">
        <v>15618</v>
      </c>
      <c r="F2271" s="90" t="s">
        <v>1454</v>
      </c>
      <c r="G2271" s="90"/>
      <c r="H2271" s="93"/>
      <c r="I2271" s="93"/>
      <c r="J2271" s="93"/>
      <c r="K2271" s="95"/>
      <c r="L2271" s="69"/>
      <c r="M2271" s="69"/>
      <c r="N2271" s="69"/>
      <c r="O2271" s="69"/>
      <c r="P2271" s="78"/>
      <c r="Q2271" s="96"/>
      <c r="R2271" s="97"/>
      <c r="S2271" s="98"/>
    </row>
    <row r="2272" spans="1:19" ht="42.75">
      <c r="A2272" s="90" t="s">
        <v>51</v>
      </c>
      <c r="B2272" s="91" t="s">
        <v>1377</v>
      </c>
      <c r="C2272" s="91" t="s">
        <v>3839</v>
      </c>
      <c r="D2272" s="90">
        <v>3115</v>
      </c>
      <c r="E2272" s="90">
        <v>6448</v>
      </c>
      <c r="F2272" s="90" t="s">
        <v>1454</v>
      </c>
      <c r="G2272" s="90"/>
      <c r="H2272" s="93"/>
      <c r="I2272" s="93"/>
      <c r="J2272" s="93"/>
      <c r="K2272" s="95"/>
      <c r="L2272" s="69"/>
      <c r="M2272" s="69"/>
      <c r="N2272" s="69"/>
      <c r="O2272" s="69"/>
      <c r="P2272" s="78"/>
      <c r="Q2272" s="96"/>
      <c r="R2272" s="97"/>
      <c r="S2272" s="98"/>
    </row>
    <row r="2273" spans="1:19" ht="42.75">
      <c r="A2273" s="90" t="s">
        <v>51</v>
      </c>
      <c r="B2273" s="91" t="s">
        <v>418</v>
      </c>
      <c r="C2273" s="91" t="s">
        <v>2342</v>
      </c>
      <c r="D2273" s="90">
        <v>1475</v>
      </c>
      <c r="E2273" s="90">
        <v>1563</v>
      </c>
      <c r="F2273" s="90" t="s">
        <v>1454</v>
      </c>
      <c r="G2273" s="90"/>
      <c r="H2273" s="93"/>
      <c r="I2273" s="93"/>
      <c r="J2273" s="93"/>
      <c r="K2273" s="95"/>
      <c r="L2273" s="69"/>
      <c r="M2273" s="69"/>
      <c r="N2273" s="69"/>
      <c r="O2273" s="69"/>
      <c r="P2273" s="78"/>
      <c r="Q2273" s="96"/>
      <c r="R2273" s="97"/>
      <c r="S2273" s="98"/>
    </row>
    <row r="2274" spans="1:19" ht="42.75">
      <c r="A2274" s="90" t="s">
        <v>51</v>
      </c>
      <c r="B2274" s="91" t="s">
        <v>418</v>
      </c>
      <c r="C2274" s="91" t="s">
        <v>1998</v>
      </c>
      <c r="D2274" s="90">
        <v>3859</v>
      </c>
      <c r="E2274" s="90">
        <v>4458</v>
      </c>
      <c r="F2274" s="90" t="s">
        <v>1434</v>
      </c>
      <c r="G2274" s="90">
        <v>2024</v>
      </c>
      <c r="H2274" s="101">
        <v>45608</v>
      </c>
      <c r="I2274" s="101">
        <v>45613</v>
      </c>
      <c r="J2274" s="94" t="s">
        <v>3840</v>
      </c>
      <c r="K2274" s="100">
        <v>45616</v>
      </c>
      <c r="L2274" s="69" t="s">
        <v>84</v>
      </c>
      <c r="M2274" s="69" t="s">
        <v>1589</v>
      </c>
      <c r="N2274" s="69"/>
      <c r="O2274" s="69" t="s">
        <v>1436</v>
      </c>
      <c r="P2274" s="78"/>
      <c r="Q2274" s="96">
        <v>45617</v>
      </c>
      <c r="R2274" s="97" t="s">
        <v>929</v>
      </c>
      <c r="S2274" s="98"/>
    </row>
    <row r="2275" spans="1:19" ht="42.75">
      <c r="A2275" s="90" t="s">
        <v>51</v>
      </c>
      <c r="B2275" s="91" t="s">
        <v>418</v>
      </c>
      <c r="C2275" s="91" t="s">
        <v>520</v>
      </c>
      <c r="D2275" s="90">
        <v>6976</v>
      </c>
      <c r="E2275" s="90">
        <v>7312</v>
      </c>
      <c r="F2275" s="90" t="s">
        <v>1454</v>
      </c>
      <c r="G2275" s="90"/>
      <c r="H2275" s="93"/>
      <c r="I2275" s="93"/>
      <c r="J2275" s="93"/>
      <c r="K2275" s="95"/>
      <c r="L2275" s="69"/>
      <c r="M2275" s="69"/>
      <c r="N2275" s="69"/>
      <c r="O2275" s="69"/>
      <c r="P2275" s="78"/>
      <c r="Q2275" s="96"/>
      <c r="R2275" s="97"/>
      <c r="S2275" s="98"/>
    </row>
    <row r="2276" spans="1:19" ht="42.75">
      <c r="A2276" s="90" t="s">
        <v>51</v>
      </c>
      <c r="B2276" s="91" t="s">
        <v>418</v>
      </c>
      <c r="C2276" s="91" t="s">
        <v>427</v>
      </c>
      <c r="D2276" s="90">
        <v>7463</v>
      </c>
      <c r="E2276" s="90">
        <v>7384</v>
      </c>
      <c r="F2276" s="90" t="s">
        <v>1454</v>
      </c>
      <c r="G2276" s="90"/>
      <c r="H2276" s="93"/>
      <c r="I2276" s="93"/>
      <c r="J2276" s="93"/>
      <c r="K2276" s="95"/>
      <c r="L2276" s="69"/>
      <c r="M2276" s="69"/>
      <c r="N2276" s="69"/>
      <c r="O2276" s="69"/>
      <c r="P2276" s="78"/>
      <c r="Q2276" s="96"/>
      <c r="R2276" s="97"/>
      <c r="S2276" s="98"/>
    </row>
    <row r="2277" spans="1:19" ht="42.75">
      <c r="A2277" s="90" t="s">
        <v>51</v>
      </c>
      <c r="B2277" s="91" t="s">
        <v>418</v>
      </c>
      <c r="C2277" s="91" t="s">
        <v>764</v>
      </c>
      <c r="D2277" s="90">
        <v>5513</v>
      </c>
      <c r="E2277" s="90">
        <v>6322</v>
      </c>
      <c r="F2277" s="90" t="s">
        <v>1434</v>
      </c>
      <c r="G2277" s="90">
        <v>2024</v>
      </c>
      <c r="H2277" s="101">
        <v>45608</v>
      </c>
      <c r="I2277" s="101">
        <v>45613</v>
      </c>
      <c r="J2277" s="94" t="s">
        <v>3841</v>
      </c>
      <c r="K2277" s="100">
        <v>45616</v>
      </c>
      <c r="L2277" s="69" t="s">
        <v>84</v>
      </c>
      <c r="M2277" s="69" t="s">
        <v>4</v>
      </c>
      <c r="N2277" s="69" t="s">
        <v>108</v>
      </c>
      <c r="O2277" s="69" t="s">
        <v>1436</v>
      </c>
      <c r="P2277" s="78"/>
      <c r="Q2277" s="96">
        <v>45617</v>
      </c>
      <c r="R2277" s="97" t="s">
        <v>929</v>
      </c>
      <c r="S2277" s="98"/>
    </row>
    <row r="2278" spans="1:19" ht="42.75">
      <c r="A2278" s="90" t="s">
        <v>51</v>
      </c>
      <c r="B2278" s="91" t="s">
        <v>418</v>
      </c>
      <c r="C2278" s="91" t="s">
        <v>717</v>
      </c>
      <c r="D2278" s="90">
        <v>1700</v>
      </c>
      <c r="E2278" s="90">
        <v>1829</v>
      </c>
      <c r="F2278" s="90" t="s">
        <v>1454</v>
      </c>
      <c r="G2278" s="90"/>
      <c r="H2278" s="93"/>
      <c r="I2278" s="93"/>
      <c r="J2278" s="93"/>
      <c r="K2278" s="95"/>
      <c r="L2278" s="69"/>
      <c r="M2278" s="69"/>
      <c r="N2278" s="69"/>
      <c r="O2278" s="69"/>
      <c r="P2278" s="78"/>
      <c r="Q2278" s="96"/>
      <c r="R2278" s="97"/>
      <c r="S2278" s="98"/>
    </row>
    <row r="2279" spans="1:19" ht="42.75">
      <c r="A2279" s="90" t="s">
        <v>51</v>
      </c>
      <c r="B2279" s="91" t="s">
        <v>418</v>
      </c>
      <c r="C2279" s="91" t="s">
        <v>2234</v>
      </c>
      <c r="D2279" s="90">
        <v>5406</v>
      </c>
      <c r="E2279" s="90">
        <v>5254</v>
      </c>
      <c r="F2279" s="90" t="s">
        <v>1454</v>
      </c>
      <c r="G2279" s="90"/>
      <c r="H2279" s="93"/>
      <c r="I2279" s="93"/>
      <c r="J2279" s="93"/>
      <c r="K2279" s="95"/>
      <c r="L2279" s="69"/>
      <c r="M2279" s="69"/>
      <c r="N2279" s="69"/>
      <c r="O2279" s="69"/>
      <c r="P2279" s="78"/>
      <c r="Q2279" s="96"/>
      <c r="R2279" s="97"/>
      <c r="S2279" s="98"/>
    </row>
    <row r="2280" spans="1:19" ht="42.75">
      <c r="A2280" s="90" t="s">
        <v>51</v>
      </c>
      <c r="B2280" s="91" t="s">
        <v>418</v>
      </c>
      <c r="C2280" s="91" t="s">
        <v>2344</v>
      </c>
      <c r="D2280" s="90">
        <v>2334</v>
      </c>
      <c r="E2280" s="90">
        <v>2623</v>
      </c>
      <c r="F2280" s="90" t="s">
        <v>1454</v>
      </c>
      <c r="G2280" s="90"/>
      <c r="H2280" s="93"/>
      <c r="I2280" s="93"/>
      <c r="J2280" s="93"/>
      <c r="K2280" s="95"/>
      <c r="L2280" s="69"/>
      <c r="M2280" s="69"/>
      <c r="N2280" s="69"/>
      <c r="O2280" s="69"/>
      <c r="P2280" s="78"/>
      <c r="Q2280" s="96"/>
      <c r="R2280" s="97"/>
      <c r="S2280" s="98"/>
    </row>
    <row r="2281" spans="1:19" ht="42.75">
      <c r="A2281" s="90" t="s">
        <v>51</v>
      </c>
      <c r="B2281" s="91" t="s">
        <v>418</v>
      </c>
      <c r="C2281" s="91" t="s">
        <v>3468</v>
      </c>
      <c r="D2281" s="90">
        <v>3097</v>
      </c>
      <c r="E2281" s="90">
        <v>3451</v>
      </c>
      <c r="F2281" s="90" t="s">
        <v>1454</v>
      </c>
      <c r="G2281" s="90"/>
      <c r="H2281" s="93"/>
      <c r="I2281" s="93"/>
      <c r="J2281" s="93"/>
      <c r="K2281" s="95"/>
      <c r="L2281" s="69"/>
      <c r="M2281" s="69"/>
      <c r="N2281" s="69"/>
      <c r="O2281" s="69"/>
      <c r="P2281" s="78"/>
      <c r="Q2281" s="96"/>
      <c r="R2281" s="97"/>
      <c r="S2281" s="98"/>
    </row>
    <row r="2282" spans="1:19" ht="42.75">
      <c r="A2282" s="90" t="s">
        <v>51</v>
      </c>
      <c r="B2282" s="91" t="s">
        <v>418</v>
      </c>
      <c r="C2282" s="91" t="s">
        <v>3842</v>
      </c>
      <c r="D2282" s="90">
        <v>1192</v>
      </c>
      <c r="E2282" s="90">
        <v>1333</v>
      </c>
      <c r="F2282" s="90" t="s">
        <v>1454</v>
      </c>
      <c r="G2282" s="90"/>
      <c r="H2282" s="93"/>
      <c r="I2282" s="93"/>
      <c r="J2282" s="93"/>
      <c r="K2282" s="95"/>
      <c r="L2282" s="69"/>
      <c r="M2282" s="69"/>
      <c r="N2282" s="69"/>
      <c r="O2282" s="69"/>
      <c r="P2282" s="78"/>
      <c r="Q2282" s="96"/>
      <c r="R2282" s="97"/>
      <c r="S2282" s="98"/>
    </row>
    <row r="2283" spans="1:19" ht="42.75">
      <c r="A2283" s="90" t="s">
        <v>51</v>
      </c>
      <c r="B2283" s="91" t="s">
        <v>418</v>
      </c>
      <c r="C2283" s="91" t="s">
        <v>3843</v>
      </c>
      <c r="D2283" s="90">
        <v>1535</v>
      </c>
      <c r="E2283" s="90">
        <v>1761</v>
      </c>
      <c r="F2283" s="90" t="s">
        <v>1454</v>
      </c>
      <c r="G2283" s="90"/>
      <c r="H2283" s="93"/>
      <c r="I2283" s="93"/>
      <c r="J2283" s="93"/>
      <c r="K2283" s="95"/>
      <c r="L2283" s="69"/>
      <c r="M2283" s="69"/>
      <c r="N2283" s="69"/>
      <c r="O2283" s="69"/>
      <c r="P2283" s="78"/>
      <c r="Q2283" s="96"/>
      <c r="R2283" s="97"/>
      <c r="S2283" s="98"/>
    </row>
    <row r="2284" spans="1:19" ht="42.75">
      <c r="A2284" s="90" t="s">
        <v>51</v>
      </c>
      <c r="B2284" s="91" t="s">
        <v>418</v>
      </c>
      <c r="C2284" s="91" t="s">
        <v>1656</v>
      </c>
      <c r="D2284" s="90">
        <v>1594</v>
      </c>
      <c r="E2284" s="90">
        <v>1584</v>
      </c>
      <c r="F2284" s="90" t="s">
        <v>1434</v>
      </c>
      <c r="G2284" s="90">
        <v>2024</v>
      </c>
      <c r="H2284" s="101">
        <v>45573</v>
      </c>
      <c r="I2284" s="101">
        <v>45582</v>
      </c>
      <c r="J2284" s="94" t="s">
        <v>3844</v>
      </c>
      <c r="K2284" s="100">
        <v>45584</v>
      </c>
      <c r="L2284" s="69" t="s">
        <v>83</v>
      </c>
      <c r="M2284" s="69" t="s">
        <v>4</v>
      </c>
      <c r="N2284" s="69" t="s">
        <v>101</v>
      </c>
      <c r="O2284" s="69" t="s">
        <v>1436</v>
      </c>
      <c r="P2284" s="78"/>
      <c r="Q2284" s="96">
        <v>45586</v>
      </c>
      <c r="R2284" s="97" t="s">
        <v>929</v>
      </c>
      <c r="S2284" s="98"/>
    </row>
    <row r="2285" spans="1:19" ht="42.75">
      <c r="A2285" s="90" t="s">
        <v>51</v>
      </c>
      <c r="B2285" s="91" t="s">
        <v>418</v>
      </c>
      <c r="C2285" s="91" t="s">
        <v>2345</v>
      </c>
      <c r="D2285" s="90">
        <v>2887</v>
      </c>
      <c r="E2285" s="90">
        <v>3207</v>
      </c>
      <c r="F2285" s="90" t="s">
        <v>1454</v>
      </c>
      <c r="G2285" s="90">
        <v>2025</v>
      </c>
      <c r="H2285" s="93"/>
      <c r="I2285" s="93"/>
      <c r="J2285" s="93"/>
      <c r="K2285" s="95"/>
      <c r="L2285" s="69" t="s">
        <v>74</v>
      </c>
      <c r="M2285" s="69"/>
      <c r="N2285" s="69"/>
      <c r="O2285" s="69"/>
      <c r="P2285" s="78"/>
      <c r="Q2285" s="96"/>
      <c r="R2285" s="97"/>
      <c r="S2285" s="98"/>
    </row>
    <row r="2286" spans="1:19" ht="42.75">
      <c r="A2286" s="90" t="s">
        <v>51</v>
      </c>
      <c r="B2286" s="91" t="s">
        <v>418</v>
      </c>
      <c r="C2286" s="91" t="s">
        <v>539</v>
      </c>
      <c r="D2286" s="90">
        <v>2395</v>
      </c>
      <c r="E2286" s="90">
        <v>2645</v>
      </c>
      <c r="F2286" s="90" t="s">
        <v>1454</v>
      </c>
      <c r="G2286" s="90"/>
      <c r="H2286" s="93"/>
      <c r="I2286" s="93"/>
      <c r="J2286" s="93"/>
      <c r="K2286" s="95"/>
      <c r="L2286" s="69"/>
      <c r="M2286" s="69"/>
      <c r="N2286" s="69"/>
      <c r="O2286" s="69"/>
      <c r="P2286" s="78"/>
      <c r="Q2286" s="96"/>
      <c r="R2286" s="97"/>
      <c r="S2286" s="98"/>
    </row>
    <row r="2287" spans="1:19" ht="42.75">
      <c r="A2287" s="90" t="s">
        <v>51</v>
      </c>
      <c r="B2287" s="91" t="s">
        <v>418</v>
      </c>
      <c r="C2287" s="91" t="s">
        <v>1879</v>
      </c>
      <c r="D2287" s="90">
        <v>2496</v>
      </c>
      <c r="E2287" s="90">
        <v>2921</v>
      </c>
      <c r="F2287" s="90" t="s">
        <v>1454</v>
      </c>
      <c r="G2287" s="90"/>
      <c r="H2287" s="93"/>
      <c r="I2287" s="93"/>
      <c r="J2287" s="93"/>
      <c r="K2287" s="95"/>
      <c r="L2287" s="69"/>
      <c r="M2287" s="69"/>
      <c r="N2287" s="69"/>
      <c r="O2287" s="69"/>
      <c r="P2287" s="78"/>
      <c r="Q2287" s="96"/>
      <c r="R2287" s="97"/>
      <c r="S2287" s="98"/>
    </row>
    <row r="2288" spans="1:19" ht="42.75">
      <c r="A2288" s="90" t="s">
        <v>51</v>
      </c>
      <c r="B2288" s="91" t="s">
        <v>418</v>
      </c>
      <c r="C2288" s="91" t="s">
        <v>2347</v>
      </c>
      <c r="D2288" s="90">
        <v>1972</v>
      </c>
      <c r="E2288" s="90">
        <v>2380</v>
      </c>
      <c r="F2288" s="90" t="s">
        <v>1454</v>
      </c>
      <c r="G2288" s="90"/>
      <c r="H2288" s="93"/>
      <c r="I2288" s="93"/>
      <c r="J2288" s="93"/>
      <c r="K2288" s="95"/>
      <c r="L2288" s="69"/>
      <c r="M2288" s="69"/>
      <c r="N2288" s="69"/>
      <c r="O2288" s="69"/>
      <c r="P2288" s="78"/>
      <c r="Q2288" s="96"/>
      <c r="R2288" s="97"/>
      <c r="S2288" s="98"/>
    </row>
    <row r="2289" spans="1:19" ht="42.75">
      <c r="A2289" s="90" t="s">
        <v>51</v>
      </c>
      <c r="B2289" s="91" t="s">
        <v>418</v>
      </c>
      <c r="C2289" s="91" t="s">
        <v>1658</v>
      </c>
      <c r="D2289" s="90">
        <v>2212</v>
      </c>
      <c r="E2289" s="90">
        <v>2524</v>
      </c>
      <c r="F2289" s="90" t="s">
        <v>1454</v>
      </c>
      <c r="G2289" s="90"/>
      <c r="H2289" s="93"/>
      <c r="I2289" s="93"/>
      <c r="J2289" s="93"/>
      <c r="K2289" s="95"/>
      <c r="L2289" s="69"/>
      <c r="M2289" s="69"/>
      <c r="N2289" s="69"/>
      <c r="O2289" s="69"/>
      <c r="P2289" s="78"/>
      <c r="Q2289" s="96"/>
      <c r="R2289" s="97"/>
      <c r="S2289" s="98"/>
    </row>
    <row r="2290" spans="1:19" ht="42.75">
      <c r="A2290" s="90" t="s">
        <v>51</v>
      </c>
      <c r="B2290" s="91" t="s">
        <v>450</v>
      </c>
      <c r="C2290" s="91" t="s">
        <v>250</v>
      </c>
      <c r="D2290" s="90">
        <v>6174</v>
      </c>
      <c r="E2290" s="90">
        <v>7256</v>
      </c>
      <c r="F2290" s="90" t="s">
        <v>1454</v>
      </c>
      <c r="G2290" s="90"/>
      <c r="H2290" s="93"/>
      <c r="I2290" s="93"/>
      <c r="J2290" s="93"/>
      <c r="K2290" s="95"/>
      <c r="L2290" s="69"/>
      <c r="M2290" s="69"/>
      <c r="N2290" s="69"/>
      <c r="O2290" s="69"/>
      <c r="P2290" s="78"/>
      <c r="Q2290" s="96"/>
      <c r="R2290" s="97"/>
      <c r="S2290" s="98"/>
    </row>
    <row r="2291" spans="1:19" ht="42.75">
      <c r="A2291" s="90" t="s">
        <v>51</v>
      </c>
      <c r="B2291" s="91" t="s">
        <v>450</v>
      </c>
      <c r="C2291" s="91" t="s">
        <v>3663</v>
      </c>
      <c r="D2291" s="90">
        <v>2842</v>
      </c>
      <c r="E2291" s="90">
        <v>2950</v>
      </c>
      <c r="F2291" s="90" t="s">
        <v>1454</v>
      </c>
      <c r="G2291" s="90"/>
      <c r="H2291" s="93"/>
      <c r="I2291" s="93"/>
      <c r="J2291" s="93"/>
      <c r="K2291" s="95"/>
      <c r="L2291" s="69"/>
      <c r="M2291" s="69"/>
      <c r="N2291" s="69"/>
      <c r="O2291" s="69"/>
      <c r="P2291" s="78"/>
      <c r="Q2291" s="96"/>
      <c r="R2291" s="97"/>
      <c r="S2291" s="98"/>
    </row>
    <row r="2292" spans="1:19" ht="42.75">
      <c r="A2292" s="90" t="s">
        <v>51</v>
      </c>
      <c r="B2292" s="91" t="s">
        <v>450</v>
      </c>
      <c r="C2292" s="91" t="s">
        <v>2178</v>
      </c>
      <c r="D2292" s="90">
        <v>2135</v>
      </c>
      <c r="E2292" s="90">
        <v>2416</v>
      </c>
      <c r="F2292" s="90" t="s">
        <v>1454</v>
      </c>
      <c r="G2292" s="90"/>
      <c r="H2292" s="93"/>
      <c r="I2292" s="93"/>
      <c r="J2292" s="93"/>
      <c r="K2292" s="95"/>
      <c r="L2292" s="69"/>
      <c r="M2292" s="69"/>
      <c r="N2292" s="69"/>
      <c r="O2292" s="69"/>
      <c r="P2292" s="78"/>
      <c r="Q2292" s="96"/>
      <c r="R2292" s="97"/>
      <c r="S2292" s="98"/>
    </row>
    <row r="2293" spans="1:19" ht="42.75">
      <c r="A2293" s="90" t="s">
        <v>51</v>
      </c>
      <c r="B2293" s="91" t="s">
        <v>450</v>
      </c>
      <c r="C2293" s="91" t="s">
        <v>2342</v>
      </c>
      <c r="D2293" s="90">
        <v>2119</v>
      </c>
      <c r="E2293" s="90">
        <v>2147</v>
      </c>
      <c r="F2293" s="90" t="s">
        <v>1454</v>
      </c>
      <c r="G2293" s="90"/>
      <c r="H2293" s="93"/>
      <c r="I2293" s="93"/>
      <c r="J2293" s="93"/>
      <c r="K2293" s="95"/>
      <c r="L2293" s="69"/>
      <c r="M2293" s="69"/>
      <c r="N2293" s="69"/>
      <c r="O2293" s="69"/>
      <c r="P2293" s="78"/>
      <c r="Q2293" s="96"/>
      <c r="R2293" s="97"/>
      <c r="S2293" s="98"/>
    </row>
    <row r="2294" spans="1:19" ht="42.75">
      <c r="A2294" s="90" t="s">
        <v>51</v>
      </c>
      <c r="B2294" s="91" t="s">
        <v>450</v>
      </c>
      <c r="C2294" s="91" t="s">
        <v>520</v>
      </c>
      <c r="D2294" s="90">
        <v>3345</v>
      </c>
      <c r="E2294" s="90">
        <v>3947</v>
      </c>
      <c r="F2294" s="90" t="s">
        <v>1454</v>
      </c>
      <c r="G2294" s="90"/>
      <c r="H2294" s="93"/>
      <c r="I2294" s="93"/>
      <c r="J2294" s="93"/>
      <c r="K2294" s="95"/>
      <c r="L2294" s="69"/>
      <c r="M2294" s="69"/>
      <c r="N2294" s="69"/>
      <c r="O2294" s="69"/>
      <c r="P2294" s="78"/>
      <c r="Q2294" s="96"/>
      <c r="R2294" s="97"/>
      <c r="S2294" s="98"/>
    </row>
    <row r="2295" spans="1:19" ht="42.75">
      <c r="A2295" s="90" t="s">
        <v>51</v>
      </c>
      <c r="B2295" s="91" t="s">
        <v>450</v>
      </c>
      <c r="C2295" s="91" t="s">
        <v>427</v>
      </c>
      <c r="D2295" s="90">
        <v>5876</v>
      </c>
      <c r="E2295" s="90">
        <v>5528</v>
      </c>
      <c r="F2295" s="90" t="s">
        <v>1454</v>
      </c>
      <c r="G2295" s="90"/>
      <c r="H2295" s="93"/>
      <c r="I2295" s="93"/>
      <c r="J2295" s="93"/>
      <c r="K2295" s="95"/>
      <c r="L2295" s="69"/>
      <c r="M2295" s="69"/>
      <c r="N2295" s="69"/>
      <c r="O2295" s="69"/>
      <c r="P2295" s="78"/>
      <c r="Q2295" s="96"/>
      <c r="R2295" s="97"/>
      <c r="S2295" s="98"/>
    </row>
    <row r="2296" spans="1:19" ht="42.75">
      <c r="A2296" s="90" t="s">
        <v>51</v>
      </c>
      <c r="B2296" s="91" t="s">
        <v>450</v>
      </c>
      <c r="C2296" s="91" t="s">
        <v>440</v>
      </c>
      <c r="D2296" s="90">
        <v>4722</v>
      </c>
      <c r="E2296" s="90">
        <v>4699</v>
      </c>
      <c r="F2296" s="90" t="s">
        <v>1434</v>
      </c>
      <c r="G2296" s="90">
        <v>2024</v>
      </c>
      <c r="H2296" s="101">
        <v>45511</v>
      </c>
      <c r="I2296" s="101">
        <v>45522</v>
      </c>
      <c r="J2296" s="94" t="s">
        <v>3845</v>
      </c>
      <c r="K2296" s="100">
        <v>45523</v>
      </c>
      <c r="L2296" s="69" t="s">
        <v>81</v>
      </c>
      <c r="M2296" s="69" t="s">
        <v>4</v>
      </c>
      <c r="N2296" s="69" t="s">
        <v>101</v>
      </c>
      <c r="O2296" s="69" t="s">
        <v>1436</v>
      </c>
      <c r="P2296" s="78"/>
      <c r="Q2296" s="96">
        <v>45525</v>
      </c>
      <c r="R2296" s="97"/>
      <c r="S2296" s="98"/>
    </row>
    <row r="2297" spans="1:19" ht="42.75">
      <c r="A2297" s="90" t="s">
        <v>51</v>
      </c>
      <c r="B2297" s="91" t="s">
        <v>450</v>
      </c>
      <c r="C2297" s="91" t="s">
        <v>717</v>
      </c>
      <c r="D2297" s="90">
        <v>2197</v>
      </c>
      <c r="E2297" s="90">
        <v>2485</v>
      </c>
      <c r="F2297" s="90" t="s">
        <v>1454</v>
      </c>
      <c r="G2297" s="90"/>
      <c r="H2297" s="93"/>
      <c r="I2297" s="93"/>
      <c r="J2297" s="93"/>
      <c r="K2297" s="95"/>
      <c r="L2297" s="69"/>
      <c r="M2297" s="69"/>
      <c r="N2297" s="69"/>
      <c r="O2297" s="69"/>
      <c r="P2297" s="78"/>
      <c r="Q2297" s="96"/>
      <c r="R2297" s="97"/>
      <c r="S2297" s="98"/>
    </row>
    <row r="2298" spans="1:19" ht="42.75">
      <c r="A2298" s="90" t="s">
        <v>51</v>
      </c>
      <c r="B2298" s="91" t="s">
        <v>450</v>
      </c>
      <c r="C2298" s="91" t="s">
        <v>3846</v>
      </c>
      <c r="D2298" s="90">
        <v>1980</v>
      </c>
      <c r="E2298" s="90">
        <v>2165</v>
      </c>
      <c r="F2298" s="90" t="s">
        <v>1454</v>
      </c>
      <c r="G2298" s="90"/>
      <c r="H2298" s="93"/>
      <c r="I2298" s="93"/>
      <c r="J2298" s="93"/>
      <c r="K2298" s="95"/>
      <c r="L2298" s="69"/>
      <c r="M2298" s="69"/>
      <c r="N2298" s="69"/>
      <c r="O2298" s="69"/>
      <c r="P2298" s="78"/>
      <c r="Q2298" s="96"/>
      <c r="R2298" s="97"/>
      <c r="S2298" s="98"/>
    </row>
    <row r="2299" spans="1:19" ht="42.75">
      <c r="A2299" s="90" t="s">
        <v>51</v>
      </c>
      <c r="B2299" s="91" t="s">
        <v>450</v>
      </c>
      <c r="C2299" s="91" t="s">
        <v>3847</v>
      </c>
      <c r="D2299" s="90">
        <v>5132</v>
      </c>
      <c r="E2299" s="90">
        <v>6482</v>
      </c>
      <c r="F2299" s="90" t="s">
        <v>1454</v>
      </c>
      <c r="G2299" s="90"/>
      <c r="H2299" s="93"/>
      <c r="I2299" s="93"/>
      <c r="J2299" s="93"/>
      <c r="K2299" s="95"/>
      <c r="L2299" s="69"/>
      <c r="M2299" s="69"/>
      <c r="N2299" s="69"/>
      <c r="O2299" s="69"/>
      <c r="P2299" s="78"/>
      <c r="Q2299" s="96"/>
      <c r="R2299" s="97"/>
      <c r="S2299" s="98"/>
    </row>
    <row r="2300" spans="1:19" ht="42.75">
      <c r="A2300" s="90" t="s">
        <v>51</v>
      </c>
      <c r="B2300" s="91" t="s">
        <v>450</v>
      </c>
      <c r="C2300" s="91" t="s">
        <v>881</v>
      </c>
      <c r="D2300" s="90">
        <v>7060</v>
      </c>
      <c r="E2300" s="90">
        <v>8007</v>
      </c>
      <c r="F2300" s="90" t="s">
        <v>1454</v>
      </c>
      <c r="G2300" s="90"/>
      <c r="H2300" s="93"/>
      <c r="I2300" s="93"/>
      <c r="J2300" s="93"/>
      <c r="K2300" s="95"/>
      <c r="L2300" s="69"/>
      <c r="M2300" s="69"/>
      <c r="N2300" s="69"/>
      <c r="O2300" s="69"/>
      <c r="P2300" s="78"/>
      <c r="Q2300" s="96"/>
      <c r="R2300" s="97"/>
      <c r="S2300" s="98"/>
    </row>
    <row r="2301" spans="1:19" ht="42.75">
      <c r="A2301" s="90" t="s">
        <v>51</v>
      </c>
      <c r="B2301" s="91" t="s">
        <v>450</v>
      </c>
      <c r="C2301" s="91" t="s">
        <v>554</v>
      </c>
      <c r="D2301" s="90">
        <v>1352</v>
      </c>
      <c r="E2301" s="90">
        <v>1509</v>
      </c>
      <c r="F2301" s="90" t="s">
        <v>1434</v>
      </c>
      <c r="G2301" s="90">
        <v>2024</v>
      </c>
      <c r="H2301" s="101">
        <v>45574</v>
      </c>
      <c r="I2301" s="101">
        <v>45582</v>
      </c>
      <c r="J2301" s="94" t="s">
        <v>3848</v>
      </c>
      <c r="K2301" s="100">
        <v>45584</v>
      </c>
      <c r="L2301" s="69" t="s">
        <v>83</v>
      </c>
      <c r="M2301" s="69" t="s">
        <v>4</v>
      </c>
      <c r="N2301" s="69" t="s">
        <v>101</v>
      </c>
      <c r="O2301" s="69" t="s">
        <v>1436</v>
      </c>
      <c r="P2301" s="78"/>
      <c r="Q2301" s="96">
        <v>45586</v>
      </c>
      <c r="R2301" s="97" t="s">
        <v>929</v>
      </c>
      <c r="S2301" s="98"/>
    </row>
    <row r="2302" spans="1:19" ht="42.75">
      <c r="A2302" s="90" t="s">
        <v>51</v>
      </c>
      <c r="B2302" s="91" t="s">
        <v>450</v>
      </c>
      <c r="C2302" s="91" t="s">
        <v>2345</v>
      </c>
      <c r="D2302" s="90">
        <v>4828</v>
      </c>
      <c r="E2302" s="90">
        <v>5762</v>
      </c>
      <c r="F2302" s="90" t="s">
        <v>1454</v>
      </c>
      <c r="G2302" s="90"/>
      <c r="H2302" s="93"/>
      <c r="I2302" s="93"/>
      <c r="J2302" s="93"/>
      <c r="K2302" s="95"/>
      <c r="L2302" s="69"/>
      <c r="M2302" s="69"/>
      <c r="N2302" s="69"/>
      <c r="O2302" s="69"/>
      <c r="P2302" s="78"/>
      <c r="Q2302" s="96"/>
      <c r="R2302" s="97"/>
      <c r="S2302" s="98"/>
    </row>
    <row r="2303" spans="1:19" ht="42.75">
      <c r="A2303" s="90" t="s">
        <v>51</v>
      </c>
      <c r="B2303" s="91" t="s">
        <v>450</v>
      </c>
      <c r="C2303" s="91" t="s">
        <v>1879</v>
      </c>
      <c r="D2303" s="90">
        <v>3436</v>
      </c>
      <c r="E2303" s="90">
        <v>3829</v>
      </c>
      <c r="F2303" s="90" t="s">
        <v>1454</v>
      </c>
      <c r="G2303" s="90"/>
      <c r="H2303" s="93"/>
      <c r="I2303" s="93"/>
      <c r="J2303" s="93"/>
      <c r="K2303" s="95"/>
      <c r="L2303" s="69"/>
      <c r="M2303" s="69"/>
      <c r="N2303" s="69"/>
      <c r="O2303" s="69"/>
      <c r="P2303" s="78"/>
      <c r="Q2303" s="96"/>
      <c r="R2303" s="97"/>
      <c r="S2303" s="98"/>
    </row>
    <row r="2304" spans="1:19" ht="42.75">
      <c r="A2304" s="90" t="s">
        <v>51</v>
      </c>
      <c r="B2304" s="91" t="s">
        <v>1361</v>
      </c>
      <c r="C2304" s="91" t="s">
        <v>2342</v>
      </c>
      <c r="D2304" s="90">
        <v>3251</v>
      </c>
      <c r="E2304" s="90">
        <v>3308</v>
      </c>
      <c r="F2304" s="90" t="s">
        <v>1434</v>
      </c>
      <c r="G2304" s="90">
        <v>2024</v>
      </c>
      <c r="H2304" s="101">
        <v>45539</v>
      </c>
      <c r="I2304" s="101">
        <v>45540</v>
      </c>
      <c r="J2304" s="94" t="s">
        <v>3849</v>
      </c>
      <c r="K2304" s="95"/>
      <c r="L2304" s="69"/>
      <c r="M2304" s="69"/>
      <c r="N2304" s="69"/>
      <c r="O2304" s="69"/>
      <c r="P2304" s="78"/>
      <c r="Q2304" s="96"/>
      <c r="R2304" s="97"/>
      <c r="S2304" s="98"/>
    </row>
    <row r="2305" spans="1:19" ht="42.75">
      <c r="A2305" s="90" t="s">
        <v>51</v>
      </c>
      <c r="B2305" s="91" t="s">
        <v>1361</v>
      </c>
      <c r="C2305" s="91" t="s">
        <v>3850</v>
      </c>
      <c r="D2305" s="90">
        <v>1795</v>
      </c>
      <c r="E2305" s="90">
        <v>2774</v>
      </c>
      <c r="F2305" s="90" t="s">
        <v>1454</v>
      </c>
      <c r="G2305" s="90"/>
      <c r="H2305" s="93"/>
      <c r="I2305" s="93"/>
      <c r="J2305" s="93"/>
      <c r="K2305" s="95"/>
      <c r="L2305" s="69"/>
      <c r="M2305" s="69"/>
      <c r="N2305" s="69"/>
      <c r="O2305" s="69"/>
      <c r="P2305" s="78"/>
      <c r="Q2305" s="96"/>
      <c r="R2305" s="97"/>
      <c r="S2305" s="98"/>
    </row>
    <row r="2306" spans="1:19" ht="42.75">
      <c r="A2306" s="90" t="s">
        <v>51</v>
      </c>
      <c r="B2306" s="91" t="s">
        <v>1361</v>
      </c>
      <c r="C2306" s="91" t="s">
        <v>520</v>
      </c>
      <c r="D2306" s="90">
        <v>5938</v>
      </c>
      <c r="E2306" s="90">
        <v>5485</v>
      </c>
      <c r="F2306" s="90" t="s">
        <v>1454</v>
      </c>
      <c r="G2306" s="90"/>
      <c r="H2306" s="93"/>
      <c r="I2306" s="93"/>
      <c r="J2306" s="93"/>
      <c r="K2306" s="95"/>
      <c r="L2306" s="69"/>
      <c r="M2306" s="69"/>
      <c r="N2306" s="69"/>
      <c r="O2306" s="69"/>
      <c r="P2306" s="78"/>
      <c r="Q2306" s="96"/>
      <c r="R2306" s="97"/>
      <c r="S2306" s="98"/>
    </row>
    <row r="2307" spans="1:19" ht="42.75">
      <c r="A2307" s="90" t="s">
        <v>51</v>
      </c>
      <c r="B2307" s="91" t="s">
        <v>1361</v>
      </c>
      <c r="C2307" s="91" t="s">
        <v>3851</v>
      </c>
      <c r="D2307" s="90">
        <v>4240</v>
      </c>
      <c r="E2307" s="90">
        <v>3143</v>
      </c>
      <c r="F2307" s="90" t="s">
        <v>1454</v>
      </c>
      <c r="G2307" s="90"/>
      <c r="H2307" s="93"/>
      <c r="I2307" s="93"/>
      <c r="J2307" s="93"/>
      <c r="K2307" s="95"/>
      <c r="L2307" s="69"/>
      <c r="M2307" s="69"/>
      <c r="N2307" s="69"/>
      <c r="O2307" s="69"/>
      <c r="P2307" s="78"/>
      <c r="Q2307" s="96"/>
      <c r="R2307" s="97"/>
      <c r="S2307" s="98"/>
    </row>
    <row r="2308" spans="1:19" ht="42.75">
      <c r="A2308" s="90" t="s">
        <v>51</v>
      </c>
      <c r="B2308" s="91" t="s">
        <v>1361</v>
      </c>
      <c r="C2308" s="91" t="s">
        <v>427</v>
      </c>
      <c r="D2308" s="90">
        <v>1733</v>
      </c>
      <c r="E2308" s="90">
        <v>2110</v>
      </c>
      <c r="F2308" s="90" t="s">
        <v>1454</v>
      </c>
      <c r="G2308" s="90"/>
      <c r="H2308" s="93"/>
      <c r="I2308" s="93"/>
      <c r="J2308" s="93"/>
      <c r="K2308" s="95"/>
      <c r="L2308" s="69"/>
      <c r="M2308" s="69"/>
      <c r="N2308" s="69"/>
      <c r="O2308" s="69"/>
      <c r="P2308" s="78"/>
      <c r="Q2308" s="96"/>
      <c r="R2308" s="97"/>
      <c r="S2308" s="98"/>
    </row>
    <row r="2309" spans="1:19" ht="42.75">
      <c r="A2309" s="90" t="s">
        <v>51</v>
      </c>
      <c r="B2309" s="91" t="s">
        <v>1361</v>
      </c>
      <c r="C2309" s="91" t="s">
        <v>764</v>
      </c>
      <c r="D2309" s="90">
        <v>2491</v>
      </c>
      <c r="E2309" s="90">
        <v>2823</v>
      </c>
      <c r="F2309" s="90" t="s">
        <v>1454</v>
      </c>
      <c r="G2309" s="90"/>
      <c r="H2309" s="93"/>
      <c r="I2309" s="93"/>
      <c r="J2309" s="93"/>
      <c r="K2309" s="95"/>
      <c r="L2309" s="69"/>
      <c r="M2309" s="69"/>
      <c r="N2309" s="69"/>
      <c r="O2309" s="69"/>
      <c r="P2309" s="78"/>
      <c r="Q2309" s="96"/>
      <c r="R2309" s="97"/>
      <c r="S2309" s="98"/>
    </row>
    <row r="2310" spans="1:19" ht="42.75">
      <c r="A2310" s="90" t="s">
        <v>51</v>
      </c>
      <c r="B2310" s="91" t="s">
        <v>1361</v>
      </c>
      <c r="C2310" s="91" t="s">
        <v>717</v>
      </c>
      <c r="D2310" s="90">
        <v>5147</v>
      </c>
      <c r="E2310" s="90">
        <v>8651</v>
      </c>
      <c r="F2310" s="90" t="s">
        <v>1454</v>
      </c>
      <c r="G2310" s="90"/>
      <c r="H2310" s="93"/>
      <c r="I2310" s="93"/>
      <c r="J2310" s="93"/>
      <c r="K2310" s="95"/>
      <c r="L2310" s="69"/>
      <c r="M2310" s="69"/>
      <c r="N2310" s="69"/>
      <c r="O2310" s="69"/>
      <c r="P2310" s="78"/>
      <c r="Q2310" s="96"/>
      <c r="R2310" s="97"/>
      <c r="S2310" s="98"/>
    </row>
    <row r="2311" spans="1:19" ht="42.75">
      <c r="A2311" s="90" t="s">
        <v>51</v>
      </c>
      <c r="B2311" s="91" t="s">
        <v>1361</v>
      </c>
      <c r="C2311" s="91" t="s">
        <v>1873</v>
      </c>
      <c r="D2311" s="90">
        <v>4859</v>
      </c>
      <c r="E2311" s="90">
        <v>4949</v>
      </c>
      <c r="F2311" s="90" t="s">
        <v>1434</v>
      </c>
      <c r="G2311" s="90">
        <v>2024</v>
      </c>
      <c r="H2311" s="101">
        <v>45539</v>
      </c>
      <c r="I2311" s="101">
        <v>45540</v>
      </c>
      <c r="J2311" s="94" t="s">
        <v>3722</v>
      </c>
      <c r="K2311" s="100">
        <v>45544</v>
      </c>
      <c r="L2311" s="69" t="s">
        <v>82</v>
      </c>
      <c r="M2311" s="69" t="s">
        <v>4</v>
      </c>
      <c r="N2311" s="69" t="s">
        <v>108</v>
      </c>
      <c r="O2311" s="69" t="s">
        <v>1436</v>
      </c>
      <c r="P2311" s="78"/>
      <c r="Q2311" s="96"/>
      <c r="R2311" s="97"/>
      <c r="S2311" s="98"/>
    </row>
    <row r="2312" spans="1:19" ht="42.75">
      <c r="A2312" s="90" t="s">
        <v>51</v>
      </c>
      <c r="B2312" s="91" t="s">
        <v>1361</v>
      </c>
      <c r="C2312" s="91" t="s">
        <v>881</v>
      </c>
      <c r="D2312" s="90">
        <v>1910</v>
      </c>
      <c r="E2312" s="90">
        <v>2279</v>
      </c>
      <c r="F2312" s="90" t="s">
        <v>1454</v>
      </c>
      <c r="G2312" s="90"/>
      <c r="H2312" s="93"/>
      <c r="I2312" s="93"/>
      <c r="J2312" s="93"/>
      <c r="K2312" s="95"/>
      <c r="L2312" s="69"/>
      <c r="M2312" s="69"/>
      <c r="N2312" s="69"/>
      <c r="O2312" s="69"/>
      <c r="P2312" s="78"/>
      <c r="Q2312" s="96"/>
      <c r="R2312" s="97"/>
      <c r="S2312" s="98"/>
    </row>
    <row r="2313" spans="1:19" ht="42.75">
      <c r="A2313" s="90" t="s">
        <v>51</v>
      </c>
      <c r="B2313" s="91" t="s">
        <v>1361</v>
      </c>
      <c r="C2313" s="91" t="s">
        <v>2234</v>
      </c>
      <c r="D2313" s="90">
        <v>3800</v>
      </c>
      <c r="E2313" s="90">
        <v>4065</v>
      </c>
      <c r="F2313" s="90" t="s">
        <v>1454</v>
      </c>
      <c r="G2313" s="90"/>
      <c r="H2313" s="93"/>
      <c r="I2313" s="93"/>
      <c r="J2313" s="93"/>
      <c r="K2313" s="95"/>
      <c r="L2313" s="69"/>
      <c r="M2313" s="69"/>
      <c r="N2313" s="69"/>
      <c r="O2313" s="69"/>
      <c r="P2313" s="78"/>
      <c r="Q2313" s="96"/>
      <c r="R2313" s="97"/>
      <c r="S2313" s="98"/>
    </row>
    <row r="2314" spans="1:19" ht="42.75">
      <c r="A2314" s="90" t="s">
        <v>51</v>
      </c>
      <c r="B2314" s="91" t="s">
        <v>1361</v>
      </c>
      <c r="C2314" s="91" t="s">
        <v>1656</v>
      </c>
      <c r="D2314" s="90">
        <v>7393</v>
      </c>
      <c r="E2314" s="90">
        <v>7872</v>
      </c>
      <c r="F2314" s="90" t="s">
        <v>1434</v>
      </c>
      <c r="G2314" s="90">
        <v>2024</v>
      </c>
      <c r="H2314" s="101">
        <v>45539</v>
      </c>
      <c r="I2314" s="101">
        <v>45539</v>
      </c>
      <c r="J2314" s="94" t="s">
        <v>3852</v>
      </c>
      <c r="K2314" s="100">
        <v>45544</v>
      </c>
      <c r="L2314" s="69" t="s">
        <v>82</v>
      </c>
      <c r="M2314" s="69" t="s">
        <v>4</v>
      </c>
      <c r="N2314" s="69" t="s">
        <v>108</v>
      </c>
      <c r="O2314" s="69" t="s">
        <v>1436</v>
      </c>
      <c r="P2314" s="78"/>
      <c r="Q2314" s="96">
        <v>45545</v>
      </c>
      <c r="R2314" s="97" t="s">
        <v>929</v>
      </c>
      <c r="S2314" s="98"/>
    </row>
    <row r="2315" spans="1:19" ht="42.75">
      <c r="A2315" s="90" t="s">
        <v>51</v>
      </c>
      <c r="B2315" s="91" t="s">
        <v>1361</v>
      </c>
      <c r="C2315" s="91" t="s">
        <v>380</v>
      </c>
      <c r="D2315" s="90">
        <v>6764</v>
      </c>
      <c r="E2315" s="90">
        <v>8143</v>
      </c>
      <c r="F2315" s="90" t="s">
        <v>1454</v>
      </c>
      <c r="G2315" s="90"/>
      <c r="H2315" s="93"/>
      <c r="I2315" s="93"/>
      <c r="J2315" s="93"/>
      <c r="K2315" s="95"/>
      <c r="L2315" s="69"/>
      <c r="M2315" s="69"/>
      <c r="N2315" s="69"/>
      <c r="O2315" s="69"/>
      <c r="P2315" s="78"/>
      <c r="Q2315" s="96"/>
      <c r="R2315" s="97"/>
      <c r="S2315" s="98"/>
    </row>
    <row r="2316" spans="1:19" ht="42.75">
      <c r="A2316" s="90" t="s">
        <v>51</v>
      </c>
      <c r="B2316" s="91" t="s">
        <v>1361</v>
      </c>
      <c r="C2316" s="91" t="s">
        <v>1020</v>
      </c>
      <c r="D2316" s="90">
        <v>4237</v>
      </c>
      <c r="E2316" s="90">
        <v>3995</v>
      </c>
      <c r="F2316" s="90" t="s">
        <v>1454</v>
      </c>
      <c r="G2316" s="90"/>
      <c r="H2316" s="93"/>
      <c r="I2316" s="93"/>
      <c r="J2316" s="93"/>
      <c r="K2316" s="95"/>
      <c r="L2316" s="69"/>
      <c r="M2316" s="69"/>
      <c r="N2316" s="69"/>
      <c r="O2316" s="69"/>
      <c r="P2316" s="78"/>
      <c r="Q2316" s="96"/>
      <c r="R2316" s="97"/>
      <c r="S2316" s="98"/>
    </row>
    <row r="2317" spans="1:19" ht="42.75">
      <c r="A2317" s="90" t="s">
        <v>51</v>
      </c>
      <c r="B2317" s="91" t="s">
        <v>1361</v>
      </c>
      <c r="C2317" s="91" t="s">
        <v>2347</v>
      </c>
      <c r="D2317" s="90">
        <v>1620</v>
      </c>
      <c r="E2317" s="90">
        <v>1940</v>
      </c>
      <c r="F2317" s="90" t="s">
        <v>1454</v>
      </c>
      <c r="G2317" s="90"/>
      <c r="H2317" s="93"/>
      <c r="I2317" s="93"/>
      <c r="J2317" s="93"/>
      <c r="K2317" s="95"/>
      <c r="L2317" s="69"/>
      <c r="M2317" s="69"/>
      <c r="N2317" s="69"/>
      <c r="O2317" s="69"/>
      <c r="P2317" s="78"/>
      <c r="Q2317" s="96"/>
      <c r="R2317" s="97"/>
      <c r="S2317" s="98"/>
    </row>
    <row r="2318" spans="1:19" ht="42.75">
      <c r="A2318" s="90" t="s">
        <v>51</v>
      </c>
      <c r="B2318" s="91" t="s">
        <v>791</v>
      </c>
      <c r="C2318" s="91" t="s">
        <v>3853</v>
      </c>
      <c r="D2318" s="90">
        <v>3847</v>
      </c>
      <c r="E2318" s="90">
        <v>4285</v>
      </c>
      <c r="F2318" s="90" t="s">
        <v>1454</v>
      </c>
      <c r="G2318" s="90"/>
      <c r="H2318" s="93"/>
      <c r="I2318" s="93"/>
      <c r="J2318" s="93"/>
      <c r="K2318" s="95"/>
      <c r="L2318" s="69"/>
      <c r="M2318" s="69"/>
      <c r="N2318" s="69"/>
      <c r="O2318" s="69"/>
      <c r="P2318" s="78"/>
      <c r="Q2318" s="96"/>
      <c r="R2318" s="97"/>
      <c r="S2318" s="98"/>
    </row>
    <row r="2319" spans="1:19" ht="42.75">
      <c r="A2319" s="90" t="s">
        <v>51</v>
      </c>
      <c r="B2319" s="91" t="s">
        <v>791</v>
      </c>
      <c r="C2319" s="91" t="s">
        <v>3854</v>
      </c>
      <c r="D2319" s="90">
        <v>9481</v>
      </c>
      <c r="E2319" s="90">
        <v>10449</v>
      </c>
      <c r="F2319" s="90" t="s">
        <v>1454</v>
      </c>
      <c r="G2319" s="90"/>
      <c r="H2319" s="93"/>
      <c r="I2319" s="93"/>
      <c r="J2319" s="93"/>
      <c r="K2319" s="95"/>
      <c r="L2319" s="69"/>
      <c r="M2319" s="69"/>
      <c r="N2319" s="69"/>
      <c r="O2319" s="69"/>
      <c r="P2319" s="78"/>
      <c r="Q2319" s="96"/>
      <c r="R2319" s="97"/>
      <c r="S2319" s="98"/>
    </row>
    <row r="2320" spans="1:19" ht="42.75">
      <c r="A2320" s="90" t="s">
        <v>51</v>
      </c>
      <c r="B2320" s="91" t="s">
        <v>791</v>
      </c>
      <c r="C2320" s="91" t="s">
        <v>2342</v>
      </c>
      <c r="D2320" s="90">
        <v>3113</v>
      </c>
      <c r="E2320" s="90">
        <v>3792</v>
      </c>
      <c r="F2320" s="90" t="s">
        <v>1454</v>
      </c>
      <c r="G2320" s="90"/>
      <c r="H2320" s="93"/>
      <c r="I2320" s="93"/>
      <c r="J2320" s="93"/>
      <c r="K2320" s="95"/>
      <c r="L2320" s="69"/>
      <c r="M2320" s="69"/>
      <c r="N2320" s="69"/>
      <c r="O2320" s="69"/>
      <c r="P2320" s="78"/>
      <c r="Q2320" s="96"/>
      <c r="R2320" s="97"/>
      <c r="S2320" s="98"/>
    </row>
    <row r="2321" spans="1:19" ht="42.75">
      <c r="A2321" s="90" t="s">
        <v>51</v>
      </c>
      <c r="B2321" s="91" t="s">
        <v>791</v>
      </c>
      <c r="C2321" s="91" t="s">
        <v>3855</v>
      </c>
      <c r="D2321" s="90">
        <v>8407</v>
      </c>
      <c r="E2321" s="90">
        <v>11823</v>
      </c>
      <c r="F2321" s="90" t="s">
        <v>1454</v>
      </c>
      <c r="G2321" s="90"/>
      <c r="H2321" s="93"/>
      <c r="I2321" s="93"/>
      <c r="J2321" s="93"/>
      <c r="K2321" s="95"/>
      <c r="L2321" s="69"/>
      <c r="M2321" s="69"/>
      <c r="N2321" s="69"/>
      <c r="O2321" s="69"/>
      <c r="P2321" s="78"/>
      <c r="Q2321" s="96"/>
      <c r="R2321" s="97"/>
      <c r="S2321" s="98"/>
    </row>
    <row r="2322" spans="1:19" ht="42.75">
      <c r="A2322" s="90" t="s">
        <v>51</v>
      </c>
      <c r="B2322" s="91" t="s">
        <v>791</v>
      </c>
      <c r="C2322" s="91" t="s">
        <v>520</v>
      </c>
      <c r="D2322" s="90">
        <v>3653</v>
      </c>
      <c r="E2322" s="90">
        <v>3956</v>
      </c>
      <c r="F2322" s="90" t="s">
        <v>1454</v>
      </c>
      <c r="G2322" s="90"/>
      <c r="H2322" s="93"/>
      <c r="I2322" s="93"/>
      <c r="J2322" s="93"/>
      <c r="K2322" s="95"/>
      <c r="L2322" s="69"/>
      <c r="M2322" s="69"/>
      <c r="N2322" s="69"/>
      <c r="O2322" s="69"/>
      <c r="P2322" s="78"/>
      <c r="Q2322" s="96"/>
      <c r="R2322" s="97"/>
      <c r="S2322" s="98"/>
    </row>
    <row r="2323" spans="1:19" ht="42.75">
      <c r="A2323" s="90" t="s">
        <v>51</v>
      </c>
      <c r="B2323" s="91" t="s">
        <v>791</v>
      </c>
      <c r="C2323" s="91" t="s">
        <v>2278</v>
      </c>
      <c r="D2323" s="90">
        <v>2627</v>
      </c>
      <c r="E2323" s="90">
        <v>3002</v>
      </c>
      <c r="F2323" s="90" t="s">
        <v>1454</v>
      </c>
      <c r="G2323" s="90"/>
      <c r="H2323" s="93"/>
      <c r="I2323" s="93"/>
      <c r="J2323" s="93"/>
      <c r="K2323" s="95"/>
      <c r="L2323" s="69"/>
      <c r="M2323" s="69"/>
      <c r="N2323" s="69"/>
      <c r="O2323" s="69"/>
      <c r="P2323" s="78"/>
      <c r="Q2323" s="96"/>
      <c r="R2323" s="97"/>
      <c r="S2323" s="98"/>
    </row>
    <row r="2324" spans="1:19" ht="42.75">
      <c r="A2324" s="90" t="s">
        <v>51</v>
      </c>
      <c r="B2324" s="91" t="s">
        <v>791</v>
      </c>
      <c r="C2324" s="91" t="s">
        <v>764</v>
      </c>
      <c r="D2324" s="90">
        <v>2330</v>
      </c>
      <c r="E2324" s="90">
        <v>2994</v>
      </c>
      <c r="F2324" s="90" t="s">
        <v>1454</v>
      </c>
      <c r="G2324" s="90"/>
      <c r="H2324" s="93"/>
      <c r="I2324" s="93"/>
      <c r="J2324" s="93"/>
      <c r="K2324" s="95"/>
      <c r="L2324" s="69"/>
      <c r="M2324" s="69"/>
      <c r="N2324" s="69"/>
      <c r="O2324" s="69"/>
      <c r="P2324" s="78"/>
      <c r="Q2324" s="96"/>
      <c r="R2324" s="97"/>
      <c r="S2324" s="98"/>
    </row>
    <row r="2325" spans="1:19" ht="42.75">
      <c r="A2325" s="90" t="s">
        <v>51</v>
      </c>
      <c r="B2325" s="91" t="s">
        <v>791</v>
      </c>
      <c r="C2325" s="91" t="s">
        <v>3651</v>
      </c>
      <c r="D2325" s="90">
        <v>3312</v>
      </c>
      <c r="E2325" s="90">
        <v>3577</v>
      </c>
      <c r="F2325" s="90" t="s">
        <v>1454</v>
      </c>
      <c r="G2325" s="90"/>
      <c r="H2325" s="93"/>
      <c r="I2325" s="93"/>
      <c r="J2325" s="93"/>
      <c r="K2325" s="95"/>
      <c r="L2325" s="69"/>
      <c r="M2325" s="69"/>
      <c r="N2325" s="69"/>
      <c r="O2325" s="69"/>
      <c r="P2325" s="78"/>
      <c r="Q2325" s="96"/>
      <c r="R2325" s="97"/>
      <c r="S2325" s="98"/>
    </row>
    <row r="2326" spans="1:19" ht="42.75">
      <c r="A2326" s="90" t="s">
        <v>51</v>
      </c>
      <c r="B2326" s="91" t="s">
        <v>791</v>
      </c>
      <c r="C2326" s="91" t="s">
        <v>653</v>
      </c>
      <c r="D2326" s="90">
        <v>1231</v>
      </c>
      <c r="E2326" s="90">
        <v>1268</v>
      </c>
      <c r="F2326" s="90" t="s">
        <v>1454</v>
      </c>
      <c r="G2326" s="90"/>
      <c r="H2326" s="93"/>
      <c r="I2326" s="93"/>
      <c r="J2326" s="93"/>
      <c r="K2326" s="95"/>
      <c r="L2326" s="69"/>
      <c r="M2326" s="69"/>
      <c r="N2326" s="69"/>
      <c r="O2326" s="69"/>
      <c r="P2326" s="78"/>
      <c r="Q2326" s="96"/>
      <c r="R2326" s="97"/>
      <c r="S2326" s="98"/>
    </row>
    <row r="2327" spans="1:19" ht="42.75">
      <c r="A2327" s="90" t="s">
        <v>51</v>
      </c>
      <c r="B2327" s="91" t="s">
        <v>791</v>
      </c>
      <c r="C2327" s="91" t="s">
        <v>2345</v>
      </c>
      <c r="D2327" s="90">
        <v>2978</v>
      </c>
      <c r="E2327" s="90">
        <v>3063</v>
      </c>
      <c r="F2327" s="90" t="s">
        <v>1454</v>
      </c>
      <c r="G2327" s="90"/>
      <c r="H2327" s="93"/>
      <c r="I2327" s="93"/>
      <c r="J2327" s="93"/>
      <c r="K2327" s="95"/>
      <c r="L2327" s="69"/>
      <c r="M2327" s="69"/>
      <c r="N2327" s="69"/>
      <c r="O2327" s="69"/>
      <c r="P2327" s="78"/>
      <c r="Q2327" s="96"/>
      <c r="R2327" s="97"/>
      <c r="S2327" s="98"/>
    </row>
    <row r="2328" spans="1:19" ht="42.75">
      <c r="A2328" s="90" t="s">
        <v>51</v>
      </c>
      <c r="B2328" s="91" t="s">
        <v>1658</v>
      </c>
      <c r="C2328" s="91" t="s">
        <v>3856</v>
      </c>
      <c r="D2328" s="90">
        <v>5494</v>
      </c>
      <c r="E2328" s="90">
        <v>5488</v>
      </c>
      <c r="F2328" s="90" t="s">
        <v>1454</v>
      </c>
      <c r="G2328" s="90"/>
      <c r="H2328" s="93"/>
      <c r="I2328" s="93"/>
      <c r="J2328" s="93"/>
      <c r="K2328" s="95"/>
      <c r="L2328" s="69"/>
      <c r="M2328" s="69"/>
      <c r="N2328" s="69"/>
      <c r="O2328" s="69"/>
      <c r="P2328" s="78"/>
      <c r="Q2328" s="96"/>
      <c r="R2328" s="97"/>
      <c r="S2328" s="98"/>
    </row>
    <row r="2329" spans="1:19" ht="42.75">
      <c r="A2329" s="90" t="s">
        <v>51</v>
      </c>
      <c r="B2329" s="91" t="s">
        <v>1658</v>
      </c>
      <c r="C2329" s="91" t="s">
        <v>926</v>
      </c>
      <c r="D2329" s="90">
        <v>3398</v>
      </c>
      <c r="E2329" s="90">
        <v>3133</v>
      </c>
      <c r="F2329" s="90" t="s">
        <v>1454</v>
      </c>
      <c r="G2329" s="90"/>
      <c r="H2329" s="93"/>
      <c r="I2329" s="93"/>
      <c r="J2329" s="93"/>
      <c r="K2329" s="95"/>
      <c r="L2329" s="69"/>
      <c r="M2329" s="69"/>
      <c r="N2329" s="69"/>
      <c r="O2329" s="69"/>
      <c r="P2329" s="78"/>
      <c r="Q2329" s="96"/>
      <c r="R2329" s="97"/>
      <c r="S2329" s="98"/>
    </row>
    <row r="2330" spans="1:19" ht="42.75">
      <c r="A2330" s="90" t="s">
        <v>51</v>
      </c>
      <c r="B2330" s="91" t="s">
        <v>1658</v>
      </c>
      <c r="C2330" s="91" t="s">
        <v>3850</v>
      </c>
      <c r="D2330" s="90">
        <v>2863</v>
      </c>
      <c r="E2330" s="90">
        <v>3456</v>
      </c>
      <c r="F2330" s="90" t="s">
        <v>1454</v>
      </c>
      <c r="G2330" s="90"/>
      <c r="H2330" s="93"/>
      <c r="I2330" s="93"/>
      <c r="J2330" s="93"/>
      <c r="K2330" s="95"/>
      <c r="L2330" s="69"/>
      <c r="M2330" s="69"/>
      <c r="N2330" s="69"/>
      <c r="O2330" s="69"/>
      <c r="P2330" s="78"/>
      <c r="Q2330" s="96"/>
      <c r="R2330" s="97"/>
      <c r="S2330" s="98"/>
    </row>
    <row r="2331" spans="1:19" ht="42.75">
      <c r="A2331" s="90" t="s">
        <v>51</v>
      </c>
      <c r="B2331" s="91" t="s">
        <v>1658</v>
      </c>
      <c r="C2331" s="91" t="s">
        <v>3651</v>
      </c>
      <c r="D2331" s="90">
        <v>12399</v>
      </c>
      <c r="E2331" s="90">
        <v>13769</v>
      </c>
      <c r="F2331" s="90" t="s">
        <v>1454</v>
      </c>
      <c r="G2331" s="90"/>
      <c r="H2331" s="93"/>
      <c r="I2331" s="93"/>
      <c r="J2331" s="93"/>
      <c r="K2331" s="95"/>
      <c r="L2331" s="69"/>
      <c r="M2331" s="69"/>
      <c r="N2331" s="69"/>
      <c r="O2331" s="69"/>
      <c r="P2331" s="78"/>
      <c r="Q2331" s="96"/>
      <c r="R2331" s="97"/>
      <c r="S2331" s="98"/>
    </row>
    <row r="2332" spans="1:19" ht="42.75">
      <c r="A2332" s="90" t="s">
        <v>51</v>
      </c>
      <c r="B2332" s="91" t="s">
        <v>1658</v>
      </c>
      <c r="C2332" s="91" t="s">
        <v>653</v>
      </c>
      <c r="D2332" s="90">
        <v>11005</v>
      </c>
      <c r="E2332" s="90">
        <v>10048</v>
      </c>
      <c r="F2332" s="90" t="s">
        <v>1454</v>
      </c>
      <c r="G2332" s="90"/>
      <c r="H2332" s="93"/>
      <c r="I2332" s="93"/>
      <c r="J2332" s="93"/>
      <c r="K2332" s="95"/>
      <c r="L2332" s="69"/>
      <c r="M2332" s="69"/>
      <c r="N2332" s="69"/>
      <c r="O2332" s="69"/>
      <c r="P2332" s="78"/>
      <c r="Q2332" s="96"/>
      <c r="R2332" s="97"/>
      <c r="S2332" s="98"/>
    </row>
    <row r="2333" spans="1:19" ht="42.75">
      <c r="A2333" s="90" t="s">
        <v>51</v>
      </c>
      <c r="B2333" s="91" t="s">
        <v>1658</v>
      </c>
      <c r="C2333" s="91" t="s">
        <v>2347</v>
      </c>
      <c r="D2333" s="90">
        <v>2170</v>
      </c>
      <c r="E2333" s="90">
        <v>2642</v>
      </c>
      <c r="F2333" s="90" t="s">
        <v>1454</v>
      </c>
      <c r="G2333" s="90"/>
      <c r="H2333" s="93"/>
      <c r="I2333" s="93"/>
      <c r="J2333" s="93"/>
      <c r="K2333" s="95"/>
      <c r="L2333" s="69"/>
      <c r="M2333" s="69"/>
      <c r="N2333" s="69"/>
      <c r="O2333" s="69"/>
      <c r="P2333" s="78"/>
      <c r="Q2333" s="96"/>
      <c r="R2333" s="97"/>
      <c r="S2333" s="98"/>
    </row>
    <row r="2334" spans="1:19" ht="42.75">
      <c r="A2334" s="90" t="s">
        <v>51</v>
      </c>
      <c r="B2334" s="91" t="s">
        <v>1658</v>
      </c>
      <c r="C2334" s="91" t="s">
        <v>2184</v>
      </c>
      <c r="D2334" s="90">
        <v>3146</v>
      </c>
      <c r="E2334" s="90">
        <v>4310</v>
      </c>
      <c r="F2334" s="90" t="s">
        <v>1454</v>
      </c>
      <c r="G2334" s="90"/>
      <c r="H2334" s="93"/>
      <c r="I2334" s="93"/>
      <c r="J2334" s="93"/>
      <c r="K2334" s="95"/>
      <c r="L2334" s="69"/>
      <c r="M2334" s="69"/>
      <c r="N2334" s="69"/>
      <c r="O2334" s="69"/>
      <c r="P2334" s="78"/>
      <c r="Q2334" s="96"/>
      <c r="R2334" s="97"/>
      <c r="S2334" s="98"/>
    </row>
    <row r="2335" spans="1:19" ht="42.75">
      <c r="A2335" s="90" t="s">
        <v>51</v>
      </c>
      <c r="B2335" s="91" t="s">
        <v>394</v>
      </c>
      <c r="C2335" s="91" t="s">
        <v>3857</v>
      </c>
      <c r="D2335" s="90">
        <v>292</v>
      </c>
      <c r="E2335" s="90">
        <v>299</v>
      </c>
      <c r="F2335" s="90" t="s">
        <v>1454</v>
      </c>
      <c r="G2335" s="90"/>
      <c r="H2335" s="93"/>
      <c r="I2335" s="93"/>
      <c r="J2335" s="93"/>
      <c r="K2335" s="95"/>
      <c r="L2335" s="69"/>
      <c r="M2335" s="69"/>
      <c r="N2335" s="69"/>
      <c r="O2335" s="69"/>
      <c r="P2335" s="78"/>
      <c r="Q2335" s="96"/>
      <c r="R2335" s="97"/>
      <c r="S2335" s="98"/>
    </row>
    <row r="2336" spans="1:19" ht="42.75">
      <c r="A2336" s="90" t="s">
        <v>51</v>
      </c>
      <c r="B2336" s="91" t="s">
        <v>394</v>
      </c>
      <c r="C2336" s="91" t="s">
        <v>3858</v>
      </c>
      <c r="D2336" s="90">
        <v>1223</v>
      </c>
      <c r="E2336" s="90">
        <v>1222</v>
      </c>
      <c r="F2336" s="90" t="s">
        <v>1454</v>
      </c>
      <c r="G2336" s="90"/>
      <c r="H2336" s="93"/>
      <c r="I2336" s="93"/>
      <c r="J2336" s="93"/>
      <c r="K2336" s="95"/>
      <c r="L2336" s="69"/>
      <c r="M2336" s="69"/>
      <c r="N2336" s="69"/>
      <c r="O2336" s="69"/>
      <c r="P2336" s="78"/>
      <c r="Q2336" s="96"/>
      <c r="R2336" s="97"/>
      <c r="S2336" s="98"/>
    </row>
    <row r="2337" spans="1:19" ht="42.75">
      <c r="A2337" s="90" t="s">
        <v>51</v>
      </c>
      <c r="B2337" s="91" t="s">
        <v>394</v>
      </c>
      <c r="C2337" s="91" t="s">
        <v>3859</v>
      </c>
      <c r="D2337" s="90">
        <v>886</v>
      </c>
      <c r="E2337" s="90">
        <v>900</v>
      </c>
      <c r="F2337" s="90" t="s">
        <v>1454</v>
      </c>
      <c r="G2337" s="90"/>
      <c r="H2337" s="93"/>
      <c r="I2337" s="93"/>
      <c r="J2337" s="93"/>
      <c r="K2337" s="95"/>
      <c r="L2337" s="69"/>
      <c r="M2337" s="69"/>
      <c r="N2337" s="69"/>
      <c r="O2337" s="69"/>
      <c r="P2337" s="78"/>
      <c r="Q2337" s="96"/>
      <c r="R2337" s="97"/>
      <c r="S2337" s="98"/>
    </row>
    <row r="2338" spans="1:19" ht="42.75">
      <c r="A2338" s="90" t="s">
        <v>51</v>
      </c>
      <c r="B2338" s="91" t="s">
        <v>394</v>
      </c>
      <c r="C2338" s="91" t="s">
        <v>3860</v>
      </c>
      <c r="D2338" s="90">
        <v>2488</v>
      </c>
      <c r="E2338" s="90">
        <v>2461</v>
      </c>
      <c r="F2338" s="90" t="s">
        <v>1454</v>
      </c>
      <c r="G2338" s="90"/>
      <c r="H2338" s="93"/>
      <c r="I2338" s="93"/>
      <c r="J2338" s="93"/>
      <c r="K2338" s="95"/>
      <c r="L2338" s="69"/>
      <c r="M2338" s="69"/>
      <c r="N2338" s="69"/>
      <c r="O2338" s="69"/>
      <c r="P2338" s="78"/>
      <c r="Q2338" s="96"/>
      <c r="R2338" s="97"/>
      <c r="S2338" s="98"/>
    </row>
    <row r="2339" spans="1:19" ht="42.75">
      <c r="A2339" s="90" t="s">
        <v>51</v>
      </c>
      <c r="B2339" s="91" t="s">
        <v>394</v>
      </c>
      <c r="C2339" s="91" t="s">
        <v>3684</v>
      </c>
      <c r="D2339" s="90">
        <v>3490</v>
      </c>
      <c r="E2339" s="90">
        <v>3538</v>
      </c>
      <c r="F2339" s="90" t="s">
        <v>1434</v>
      </c>
      <c r="G2339" s="90">
        <v>2024</v>
      </c>
      <c r="H2339" s="101">
        <v>45414</v>
      </c>
      <c r="I2339" s="101">
        <v>45428</v>
      </c>
      <c r="J2339" s="94" t="s">
        <v>3861</v>
      </c>
      <c r="K2339" s="100">
        <v>45429</v>
      </c>
      <c r="L2339" s="69" t="s">
        <v>78</v>
      </c>
      <c r="M2339" s="69"/>
      <c r="N2339" s="69"/>
      <c r="O2339" s="69" t="s">
        <v>1436</v>
      </c>
      <c r="P2339" s="78"/>
      <c r="Q2339" s="70">
        <v>45429</v>
      </c>
      <c r="R2339" s="97"/>
      <c r="S2339" s="98"/>
    </row>
    <row r="2340" spans="1:19" ht="42.75">
      <c r="A2340" s="90" t="s">
        <v>51</v>
      </c>
      <c r="B2340" s="91" t="s">
        <v>394</v>
      </c>
      <c r="C2340" s="91" t="s">
        <v>714</v>
      </c>
      <c r="D2340" s="90">
        <v>2317</v>
      </c>
      <c r="E2340" s="90">
        <v>2539</v>
      </c>
      <c r="F2340" s="90" t="s">
        <v>1434</v>
      </c>
      <c r="G2340" s="90">
        <v>2024</v>
      </c>
      <c r="H2340" s="101">
        <v>45414</v>
      </c>
      <c r="I2340" s="101">
        <v>45428</v>
      </c>
      <c r="J2340" s="94" t="s">
        <v>3862</v>
      </c>
      <c r="K2340" s="100">
        <v>45429</v>
      </c>
      <c r="L2340" s="69" t="s">
        <v>78</v>
      </c>
      <c r="M2340" s="69"/>
      <c r="N2340" s="69"/>
      <c r="O2340" s="69" t="s">
        <v>1436</v>
      </c>
      <c r="P2340" s="78"/>
      <c r="Q2340" s="70">
        <v>45429</v>
      </c>
      <c r="R2340" s="97"/>
      <c r="S2340" s="98"/>
    </row>
    <row r="2341" spans="1:19" ht="42.75">
      <c r="A2341" s="90" t="s">
        <v>51</v>
      </c>
      <c r="B2341" s="91" t="s">
        <v>394</v>
      </c>
      <c r="C2341" s="91" t="s">
        <v>3652</v>
      </c>
      <c r="D2341" s="90">
        <v>2625</v>
      </c>
      <c r="E2341" s="90">
        <v>2687</v>
      </c>
      <c r="F2341" s="90" t="s">
        <v>1434</v>
      </c>
      <c r="G2341" s="90"/>
      <c r="H2341" s="101"/>
      <c r="I2341" s="101"/>
      <c r="J2341" s="177"/>
      <c r="K2341" s="95"/>
      <c r="L2341" s="69"/>
      <c r="M2341" s="69"/>
      <c r="N2341" s="69"/>
      <c r="O2341" s="69"/>
      <c r="P2341" s="78"/>
      <c r="Q2341" s="96"/>
      <c r="R2341" s="97"/>
      <c r="S2341" s="98"/>
    </row>
    <row r="2342" spans="1:19" ht="42.75">
      <c r="A2342" s="90" t="s">
        <v>51</v>
      </c>
      <c r="B2342" s="91" t="s">
        <v>394</v>
      </c>
      <c r="C2342" s="91" t="s">
        <v>3653</v>
      </c>
      <c r="D2342" s="90">
        <v>3065</v>
      </c>
      <c r="E2342" s="90">
        <v>1678</v>
      </c>
      <c r="F2342" s="90" t="s">
        <v>1454</v>
      </c>
      <c r="G2342" s="90"/>
      <c r="H2342" s="93"/>
      <c r="I2342" s="93"/>
      <c r="J2342" s="93"/>
      <c r="K2342" s="95"/>
      <c r="L2342" s="69"/>
      <c r="M2342" s="69"/>
      <c r="N2342" s="69"/>
      <c r="O2342" s="69"/>
      <c r="P2342" s="78"/>
      <c r="Q2342" s="96"/>
      <c r="R2342" s="97"/>
      <c r="S2342" s="98"/>
    </row>
    <row r="2343" spans="1:19" ht="42.75">
      <c r="A2343" s="90" t="s">
        <v>51</v>
      </c>
      <c r="B2343" s="91" t="s">
        <v>394</v>
      </c>
      <c r="C2343" s="91" t="s">
        <v>881</v>
      </c>
      <c r="D2343" s="90">
        <v>3210</v>
      </c>
      <c r="E2343" s="90">
        <v>5111</v>
      </c>
      <c r="F2343" s="90" t="s">
        <v>1434</v>
      </c>
      <c r="G2343" s="90">
        <v>2024</v>
      </c>
      <c r="H2343" s="101">
        <v>45576</v>
      </c>
      <c r="I2343" s="101">
        <v>45582</v>
      </c>
      <c r="J2343" s="107" t="s">
        <v>3863</v>
      </c>
      <c r="K2343" s="100">
        <v>45584</v>
      </c>
      <c r="L2343" s="69" t="s">
        <v>83</v>
      </c>
      <c r="M2343" s="69" t="s">
        <v>4</v>
      </c>
      <c r="N2343" s="69" t="s">
        <v>101</v>
      </c>
      <c r="O2343" s="69" t="s">
        <v>1436</v>
      </c>
      <c r="P2343" s="78"/>
      <c r="Q2343" s="96">
        <v>45586</v>
      </c>
      <c r="R2343" s="97" t="s">
        <v>929</v>
      </c>
      <c r="S2343" s="98"/>
    </row>
    <row r="2344" spans="1:19" ht="42.75">
      <c r="A2344" s="90" t="s">
        <v>51</v>
      </c>
      <c r="B2344" s="91" t="s">
        <v>394</v>
      </c>
      <c r="C2344" s="91" t="s">
        <v>2345</v>
      </c>
      <c r="D2344" s="90">
        <v>3829</v>
      </c>
      <c r="E2344" s="90">
        <v>3961</v>
      </c>
      <c r="F2344" s="90" t="s">
        <v>1454</v>
      </c>
      <c r="G2344" s="90"/>
      <c r="H2344" s="93"/>
      <c r="I2344" s="93"/>
      <c r="J2344" s="93"/>
      <c r="K2344" s="95"/>
      <c r="L2344" s="69"/>
      <c r="M2344" s="69"/>
      <c r="N2344" s="69"/>
      <c r="O2344" s="69"/>
      <c r="P2344" s="78"/>
      <c r="Q2344" s="96"/>
      <c r="R2344" s="97"/>
      <c r="S2344" s="98"/>
    </row>
    <row r="2345" spans="1:19" ht="42.75">
      <c r="A2345" s="90" t="s">
        <v>51</v>
      </c>
      <c r="B2345" s="91" t="s">
        <v>394</v>
      </c>
      <c r="C2345" s="91" t="s">
        <v>1658</v>
      </c>
      <c r="D2345" s="90">
        <v>3206</v>
      </c>
      <c r="E2345" s="90">
        <v>3227</v>
      </c>
      <c r="F2345" s="90" t="s">
        <v>1454</v>
      </c>
      <c r="G2345" s="90"/>
      <c r="H2345" s="93"/>
      <c r="I2345" s="93"/>
      <c r="J2345" s="93"/>
      <c r="K2345" s="95"/>
      <c r="L2345" s="69"/>
      <c r="M2345" s="69"/>
      <c r="N2345" s="69"/>
      <c r="O2345" s="69"/>
      <c r="P2345" s="78"/>
      <c r="Q2345" s="96"/>
      <c r="R2345" s="97"/>
      <c r="S2345" s="98"/>
    </row>
    <row r="2346" spans="1:19" ht="42.75">
      <c r="A2346" s="90" t="s">
        <v>51</v>
      </c>
      <c r="B2346" s="91" t="s">
        <v>394</v>
      </c>
      <c r="C2346" s="91" t="s">
        <v>3864</v>
      </c>
      <c r="D2346" s="90">
        <v>1373</v>
      </c>
      <c r="E2346" s="90">
        <v>1453</v>
      </c>
      <c r="F2346" s="90" t="s">
        <v>1454</v>
      </c>
      <c r="G2346" s="90"/>
      <c r="H2346" s="93"/>
      <c r="I2346" s="93"/>
      <c r="J2346" s="93"/>
      <c r="K2346" s="95"/>
      <c r="L2346" s="69"/>
      <c r="M2346" s="69"/>
      <c r="N2346" s="69"/>
      <c r="O2346" s="69"/>
      <c r="P2346" s="78"/>
      <c r="Q2346" s="96"/>
      <c r="R2346" s="97"/>
      <c r="S2346" s="98"/>
    </row>
    <row r="2347" spans="1:19" ht="42.75">
      <c r="A2347" s="90" t="s">
        <v>52</v>
      </c>
      <c r="B2347" s="91" t="s">
        <v>430</v>
      </c>
      <c r="C2347" s="91" t="s">
        <v>3865</v>
      </c>
      <c r="D2347" s="90">
        <v>361</v>
      </c>
      <c r="E2347" s="90">
        <v>415</v>
      </c>
      <c r="F2347" s="90" t="s">
        <v>1454</v>
      </c>
      <c r="G2347" s="90"/>
      <c r="H2347" s="93"/>
      <c r="I2347" s="93"/>
      <c r="J2347" s="93"/>
      <c r="K2347" s="95"/>
      <c r="L2347" s="69"/>
      <c r="M2347" s="69"/>
      <c r="N2347" s="69"/>
      <c r="O2347" s="69"/>
      <c r="P2347" s="78"/>
      <c r="Q2347" s="96"/>
      <c r="R2347" s="97"/>
      <c r="S2347" s="98"/>
    </row>
    <row r="2348" spans="1:19" ht="42.75">
      <c r="A2348" s="90" t="s">
        <v>52</v>
      </c>
      <c r="B2348" s="91" t="s">
        <v>430</v>
      </c>
      <c r="C2348" s="91" t="s">
        <v>730</v>
      </c>
      <c r="D2348" s="90">
        <v>657</v>
      </c>
      <c r="E2348" s="90">
        <v>616</v>
      </c>
      <c r="F2348" s="90" t="s">
        <v>1454</v>
      </c>
      <c r="G2348" s="90"/>
      <c r="H2348" s="93"/>
      <c r="I2348" s="93"/>
      <c r="J2348" s="93"/>
      <c r="K2348" s="95"/>
      <c r="L2348" s="69"/>
      <c r="M2348" s="69"/>
      <c r="N2348" s="69"/>
      <c r="O2348" s="69"/>
      <c r="P2348" s="78"/>
      <c r="Q2348" s="96"/>
      <c r="R2348" s="97"/>
      <c r="S2348" s="98"/>
    </row>
    <row r="2349" spans="1:19" ht="42.75">
      <c r="A2349" s="90" t="s">
        <v>52</v>
      </c>
      <c r="B2349" s="91" t="s">
        <v>430</v>
      </c>
      <c r="C2349" s="91" t="s">
        <v>3408</v>
      </c>
      <c r="D2349" s="90">
        <v>343</v>
      </c>
      <c r="E2349" s="90">
        <v>387</v>
      </c>
      <c r="F2349" s="90" t="s">
        <v>1454</v>
      </c>
      <c r="G2349" s="90"/>
      <c r="H2349" s="93"/>
      <c r="I2349" s="93"/>
      <c r="J2349" s="93"/>
      <c r="K2349" s="95"/>
      <c r="L2349" s="69"/>
      <c r="M2349" s="69"/>
      <c r="N2349" s="69"/>
      <c r="O2349" s="69"/>
      <c r="P2349" s="78"/>
      <c r="Q2349" s="96"/>
      <c r="R2349" s="97"/>
      <c r="S2349" s="98"/>
    </row>
    <row r="2350" spans="1:19" ht="42.75">
      <c r="A2350" s="90" t="s">
        <v>52</v>
      </c>
      <c r="B2350" s="91" t="s">
        <v>430</v>
      </c>
      <c r="C2350" s="91" t="s">
        <v>3475</v>
      </c>
      <c r="D2350" s="90">
        <v>725</v>
      </c>
      <c r="E2350" s="90">
        <v>798</v>
      </c>
      <c r="F2350" s="90" t="s">
        <v>1454</v>
      </c>
      <c r="G2350" s="90"/>
      <c r="H2350" s="93"/>
      <c r="I2350" s="93"/>
      <c r="J2350" s="93"/>
      <c r="K2350" s="95"/>
      <c r="L2350" s="69"/>
      <c r="M2350" s="69"/>
      <c r="N2350" s="69"/>
      <c r="O2350" s="69"/>
      <c r="P2350" s="78"/>
      <c r="Q2350" s="96"/>
      <c r="R2350" s="97"/>
      <c r="S2350" s="98"/>
    </row>
    <row r="2351" spans="1:19" ht="42.75">
      <c r="A2351" s="90" t="s">
        <v>52</v>
      </c>
      <c r="B2351" s="91" t="s">
        <v>430</v>
      </c>
      <c r="C2351" s="91" t="s">
        <v>3866</v>
      </c>
      <c r="D2351" s="90">
        <v>961</v>
      </c>
      <c r="E2351" s="90">
        <v>1037</v>
      </c>
      <c r="F2351" s="90" t="s">
        <v>1454</v>
      </c>
      <c r="G2351" s="90"/>
      <c r="H2351" s="93"/>
      <c r="I2351" s="93"/>
      <c r="J2351" s="93"/>
      <c r="K2351" s="95"/>
      <c r="L2351" s="69"/>
      <c r="M2351" s="69"/>
      <c r="N2351" s="69"/>
      <c r="O2351" s="69"/>
      <c r="P2351" s="78"/>
      <c r="Q2351" s="96"/>
      <c r="R2351" s="97"/>
      <c r="S2351" s="98"/>
    </row>
    <row r="2352" spans="1:19" ht="42.75">
      <c r="A2352" s="90" t="s">
        <v>52</v>
      </c>
      <c r="B2352" s="91" t="s">
        <v>430</v>
      </c>
      <c r="C2352" s="91" t="s">
        <v>3867</v>
      </c>
      <c r="D2352" s="90">
        <v>418</v>
      </c>
      <c r="E2352" s="90">
        <v>445</v>
      </c>
      <c r="F2352" s="90" t="s">
        <v>1454</v>
      </c>
      <c r="G2352" s="90"/>
      <c r="H2352" s="93"/>
      <c r="I2352" s="93"/>
      <c r="J2352" s="93"/>
      <c r="K2352" s="95"/>
      <c r="L2352" s="69"/>
      <c r="M2352" s="69"/>
      <c r="N2352" s="69"/>
      <c r="O2352" s="69"/>
      <c r="P2352" s="78"/>
      <c r="Q2352" s="96"/>
      <c r="R2352" s="97"/>
      <c r="S2352" s="98"/>
    </row>
    <row r="2353" spans="1:19" ht="42.75">
      <c r="A2353" s="90" t="s">
        <v>52</v>
      </c>
      <c r="B2353" s="91" t="s">
        <v>430</v>
      </c>
      <c r="C2353" s="91" t="s">
        <v>3868</v>
      </c>
      <c r="D2353" s="90">
        <v>449</v>
      </c>
      <c r="E2353" s="90">
        <v>458</v>
      </c>
      <c r="F2353" s="90" t="s">
        <v>1454</v>
      </c>
      <c r="G2353" s="90"/>
      <c r="H2353" s="93"/>
      <c r="I2353" s="93"/>
      <c r="J2353" s="93"/>
      <c r="K2353" s="95"/>
      <c r="L2353" s="69"/>
      <c r="M2353" s="69"/>
      <c r="N2353" s="69"/>
      <c r="O2353" s="69"/>
      <c r="P2353" s="78"/>
      <c r="Q2353" s="96"/>
      <c r="R2353" s="97"/>
      <c r="S2353" s="98"/>
    </row>
    <row r="2354" spans="1:19" ht="42.75">
      <c r="A2354" s="90" t="s">
        <v>52</v>
      </c>
      <c r="B2354" s="91" t="s">
        <v>430</v>
      </c>
      <c r="C2354" s="91" t="s">
        <v>926</v>
      </c>
      <c r="D2354" s="90">
        <v>356</v>
      </c>
      <c r="E2354" s="90">
        <v>372</v>
      </c>
      <c r="F2354" s="90" t="s">
        <v>1454</v>
      </c>
      <c r="G2354" s="90"/>
      <c r="H2354" s="93"/>
      <c r="I2354" s="93"/>
      <c r="J2354" s="93"/>
      <c r="K2354" s="95"/>
      <c r="L2354" s="69"/>
      <c r="M2354" s="69"/>
      <c r="N2354" s="69"/>
      <c r="O2354" s="69"/>
      <c r="P2354" s="78"/>
      <c r="Q2354" s="96"/>
      <c r="R2354" s="97"/>
      <c r="S2354" s="98"/>
    </row>
    <row r="2355" spans="1:19" ht="42.75">
      <c r="A2355" s="90" t="s">
        <v>52</v>
      </c>
      <c r="B2355" s="91" t="s">
        <v>430</v>
      </c>
      <c r="C2355" s="91" t="s">
        <v>444</v>
      </c>
      <c r="D2355" s="90">
        <v>854</v>
      </c>
      <c r="E2355" s="90">
        <v>879</v>
      </c>
      <c r="F2355" s="90" t="s">
        <v>1454</v>
      </c>
      <c r="G2355" s="90"/>
      <c r="H2355" s="93"/>
      <c r="I2355" s="93"/>
      <c r="J2355" s="93"/>
      <c r="K2355" s="95"/>
      <c r="L2355" s="69"/>
      <c r="M2355" s="69"/>
      <c r="N2355" s="69"/>
      <c r="O2355" s="69"/>
      <c r="P2355" s="78"/>
      <c r="Q2355" s="96"/>
      <c r="R2355" s="97"/>
      <c r="S2355" s="98"/>
    </row>
    <row r="2356" spans="1:19" ht="42.75">
      <c r="A2356" s="90" t="s">
        <v>52</v>
      </c>
      <c r="B2356" s="91" t="s">
        <v>430</v>
      </c>
      <c r="C2356" s="91" t="s">
        <v>3869</v>
      </c>
      <c r="D2356" s="90">
        <v>617</v>
      </c>
      <c r="E2356" s="90">
        <v>641</v>
      </c>
      <c r="F2356" s="90" t="s">
        <v>1454</v>
      </c>
      <c r="G2356" s="90"/>
      <c r="H2356" s="93"/>
      <c r="I2356" s="93"/>
      <c r="J2356" s="93"/>
      <c r="K2356" s="95"/>
      <c r="L2356" s="69"/>
      <c r="M2356" s="69"/>
      <c r="N2356" s="69"/>
      <c r="O2356" s="69"/>
      <c r="P2356" s="78"/>
      <c r="Q2356" s="96"/>
      <c r="R2356" s="97"/>
      <c r="S2356" s="98"/>
    </row>
    <row r="2357" spans="1:19" ht="42.75">
      <c r="A2357" s="90" t="s">
        <v>52</v>
      </c>
      <c r="B2357" s="91" t="s">
        <v>430</v>
      </c>
      <c r="C2357" s="91" t="s">
        <v>3870</v>
      </c>
      <c r="D2357" s="90">
        <v>1107</v>
      </c>
      <c r="E2357" s="90">
        <v>1168</v>
      </c>
      <c r="F2357" s="90" t="s">
        <v>1454</v>
      </c>
      <c r="G2357" s="90"/>
      <c r="H2357" s="93"/>
      <c r="I2357" s="93"/>
      <c r="J2357" s="93"/>
      <c r="K2357" s="95"/>
      <c r="L2357" s="69"/>
      <c r="M2357" s="69"/>
      <c r="N2357" s="69"/>
      <c r="O2357" s="69"/>
      <c r="P2357" s="78"/>
      <c r="Q2357" s="96"/>
      <c r="R2357" s="97"/>
      <c r="S2357" s="98"/>
    </row>
    <row r="2358" spans="1:19" ht="42.75">
      <c r="A2358" s="90" t="s">
        <v>52</v>
      </c>
      <c r="B2358" s="91" t="s">
        <v>430</v>
      </c>
      <c r="C2358" s="91" t="s">
        <v>3871</v>
      </c>
      <c r="D2358" s="90">
        <v>411</v>
      </c>
      <c r="E2358" s="90">
        <v>409</v>
      </c>
      <c r="F2358" s="90" t="s">
        <v>1454</v>
      </c>
      <c r="G2358" s="90"/>
      <c r="H2358" s="93"/>
      <c r="I2358" s="93"/>
      <c r="J2358" s="93"/>
      <c r="K2358" s="95"/>
      <c r="L2358" s="69"/>
      <c r="M2358" s="69"/>
      <c r="N2358" s="69"/>
      <c r="O2358" s="69"/>
      <c r="P2358" s="78"/>
      <c r="Q2358" s="96"/>
      <c r="R2358" s="97"/>
      <c r="S2358" s="98"/>
    </row>
    <row r="2359" spans="1:19" ht="42.75">
      <c r="A2359" s="90" t="s">
        <v>52</v>
      </c>
      <c r="B2359" s="91" t="s">
        <v>430</v>
      </c>
      <c r="C2359" s="91" t="s">
        <v>1001</v>
      </c>
      <c r="D2359" s="90">
        <v>405</v>
      </c>
      <c r="E2359" s="90">
        <v>462</v>
      </c>
      <c r="F2359" s="90" t="s">
        <v>1454</v>
      </c>
      <c r="G2359" s="90"/>
      <c r="H2359" s="93"/>
      <c r="I2359" s="93"/>
      <c r="J2359" s="93"/>
      <c r="K2359" s="95"/>
      <c r="L2359" s="69"/>
      <c r="M2359" s="69"/>
      <c r="N2359" s="69"/>
      <c r="O2359" s="69"/>
      <c r="P2359" s="78"/>
      <c r="Q2359" s="96"/>
      <c r="R2359" s="97"/>
      <c r="S2359" s="98"/>
    </row>
    <row r="2360" spans="1:19" ht="42.75">
      <c r="A2360" s="90" t="s">
        <v>52</v>
      </c>
      <c r="B2360" s="91" t="s">
        <v>430</v>
      </c>
      <c r="C2360" s="91" t="s">
        <v>764</v>
      </c>
      <c r="D2360" s="90">
        <v>494</v>
      </c>
      <c r="E2360" s="90">
        <v>449</v>
      </c>
      <c r="F2360" s="90" t="s">
        <v>1454</v>
      </c>
      <c r="G2360" s="90"/>
      <c r="H2360" s="93"/>
      <c r="I2360" s="93"/>
      <c r="J2360" s="93"/>
      <c r="K2360" s="95"/>
      <c r="L2360" s="69"/>
      <c r="M2360" s="69"/>
      <c r="N2360" s="69"/>
      <c r="O2360" s="69"/>
      <c r="P2360" s="78"/>
      <c r="Q2360" s="96"/>
      <c r="R2360" s="97"/>
      <c r="S2360" s="98"/>
    </row>
    <row r="2361" spans="1:19" ht="42.75">
      <c r="A2361" s="90" t="s">
        <v>52</v>
      </c>
      <c r="B2361" s="91" t="s">
        <v>430</v>
      </c>
      <c r="C2361" s="91" t="s">
        <v>2234</v>
      </c>
      <c r="D2361" s="90">
        <v>853</v>
      </c>
      <c r="E2361" s="90">
        <v>917</v>
      </c>
      <c r="F2361" s="90" t="s">
        <v>1454</v>
      </c>
      <c r="G2361" s="90"/>
      <c r="H2361" s="93"/>
      <c r="I2361" s="93"/>
      <c r="J2361" s="93"/>
      <c r="K2361" s="95"/>
      <c r="L2361" s="69"/>
      <c r="M2361" s="69"/>
      <c r="N2361" s="69"/>
      <c r="O2361" s="69"/>
      <c r="P2361" s="78"/>
      <c r="Q2361" s="96"/>
      <c r="R2361" s="97"/>
      <c r="S2361" s="98"/>
    </row>
    <row r="2362" spans="1:19" ht="42.75">
      <c r="A2362" s="90" t="s">
        <v>52</v>
      </c>
      <c r="B2362" s="91" t="s">
        <v>430</v>
      </c>
      <c r="C2362" s="91" t="s">
        <v>526</v>
      </c>
      <c r="D2362" s="90">
        <v>387</v>
      </c>
      <c r="E2362" s="90">
        <v>450</v>
      </c>
      <c r="F2362" s="90" t="s">
        <v>1434</v>
      </c>
      <c r="G2362" s="90">
        <v>2024</v>
      </c>
      <c r="H2362" s="101">
        <v>45582</v>
      </c>
      <c r="I2362" s="101">
        <v>45582</v>
      </c>
      <c r="J2362" s="94" t="s">
        <v>3872</v>
      </c>
      <c r="K2362" s="100">
        <v>45584</v>
      </c>
      <c r="L2362" s="69" t="s">
        <v>83</v>
      </c>
      <c r="M2362" s="69" t="s">
        <v>672</v>
      </c>
      <c r="N2362" s="69" t="s">
        <v>101</v>
      </c>
      <c r="O2362" s="69" t="s">
        <v>1436</v>
      </c>
      <c r="P2362" s="78"/>
      <c r="Q2362" s="96">
        <v>45586</v>
      </c>
      <c r="R2362" s="97" t="s">
        <v>929</v>
      </c>
      <c r="S2362" s="98"/>
    </row>
    <row r="2363" spans="1:19" ht="42.75">
      <c r="A2363" s="90" t="s">
        <v>52</v>
      </c>
      <c r="B2363" s="91" t="s">
        <v>430</v>
      </c>
      <c r="C2363" s="91" t="s">
        <v>3873</v>
      </c>
      <c r="D2363" s="90">
        <v>1115</v>
      </c>
      <c r="E2363" s="90">
        <v>1227</v>
      </c>
      <c r="F2363" s="90" t="s">
        <v>1434</v>
      </c>
      <c r="G2363" s="90">
        <v>2024</v>
      </c>
      <c r="H2363" s="101">
        <v>45449</v>
      </c>
      <c r="I2363" s="101">
        <v>45449</v>
      </c>
      <c r="J2363" s="94" t="s">
        <v>3874</v>
      </c>
      <c r="K2363" s="100">
        <v>45462</v>
      </c>
      <c r="L2363" s="69" t="s">
        <v>79</v>
      </c>
      <c r="M2363" s="69"/>
      <c r="N2363" s="69"/>
      <c r="O2363" s="69" t="s">
        <v>1436</v>
      </c>
      <c r="P2363" s="78"/>
      <c r="Q2363" s="96">
        <v>45463</v>
      </c>
      <c r="R2363" s="97"/>
      <c r="S2363" s="98"/>
    </row>
    <row r="2364" spans="1:19" ht="42.75">
      <c r="A2364" s="90" t="s">
        <v>52</v>
      </c>
      <c r="B2364" s="91" t="s">
        <v>430</v>
      </c>
      <c r="C2364" s="91" t="s">
        <v>3875</v>
      </c>
      <c r="D2364" s="90">
        <v>1015</v>
      </c>
      <c r="E2364" s="90">
        <v>1078</v>
      </c>
      <c r="F2364" s="90" t="s">
        <v>1454</v>
      </c>
      <c r="G2364" s="90"/>
      <c r="H2364" s="93"/>
      <c r="I2364" s="93"/>
      <c r="J2364" s="93"/>
      <c r="K2364" s="95"/>
      <c r="L2364" s="69"/>
      <c r="M2364" s="69"/>
      <c r="N2364" s="69"/>
      <c r="O2364" s="69"/>
      <c r="P2364" s="78"/>
      <c r="Q2364" s="96"/>
      <c r="R2364" s="97"/>
      <c r="S2364" s="98"/>
    </row>
    <row r="2365" spans="1:19" ht="42.75">
      <c r="A2365" s="90" t="s">
        <v>52</v>
      </c>
      <c r="B2365" s="91" t="s">
        <v>366</v>
      </c>
      <c r="C2365" s="91" t="s">
        <v>3876</v>
      </c>
      <c r="D2365" s="90">
        <v>19762</v>
      </c>
      <c r="E2365" s="90">
        <v>21794</v>
      </c>
      <c r="F2365" s="90" t="s">
        <v>1454</v>
      </c>
      <c r="G2365" s="90"/>
      <c r="H2365" s="93"/>
      <c r="I2365" s="93"/>
      <c r="J2365" s="93"/>
      <c r="K2365" s="95"/>
      <c r="L2365" s="69"/>
      <c r="M2365" s="69"/>
      <c r="N2365" s="69"/>
      <c r="O2365" s="69"/>
      <c r="P2365" s="78"/>
      <c r="Q2365" s="96"/>
      <c r="R2365" s="97"/>
      <c r="S2365" s="98"/>
    </row>
    <row r="2366" spans="1:19" ht="42.75">
      <c r="A2366" s="90" t="s">
        <v>52</v>
      </c>
      <c r="B2366" s="91" t="s">
        <v>366</v>
      </c>
      <c r="C2366" s="91" t="s">
        <v>3877</v>
      </c>
      <c r="D2366" s="90">
        <v>801</v>
      </c>
      <c r="E2366" s="90">
        <v>1115</v>
      </c>
      <c r="F2366" s="90" t="s">
        <v>1454</v>
      </c>
      <c r="G2366" s="90"/>
      <c r="H2366" s="93"/>
      <c r="I2366" s="93"/>
      <c r="J2366" s="93"/>
      <c r="K2366" s="95"/>
      <c r="L2366" s="69"/>
      <c r="M2366" s="69"/>
      <c r="N2366" s="69"/>
      <c r="O2366" s="69"/>
      <c r="P2366" s="78"/>
      <c r="Q2366" s="96"/>
      <c r="R2366" s="97"/>
      <c r="S2366" s="98"/>
    </row>
    <row r="2367" spans="1:19" ht="42.75">
      <c r="A2367" s="90" t="s">
        <v>52</v>
      </c>
      <c r="B2367" s="91" t="s">
        <v>366</v>
      </c>
      <c r="C2367" s="91" t="s">
        <v>3878</v>
      </c>
      <c r="D2367" s="90">
        <v>191</v>
      </c>
      <c r="E2367" s="90">
        <v>266</v>
      </c>
      <c r="F2367" s="90" t="s">
        <v>1454</v>
      </c>
      <c r="G2367" s="90"/>
      <c r="H2367" s="93"/>
      <c r="I2367" s="93"/>
      <c r="J2367" s="93"/>
      <c r="K2367" s="95"/>
      <c r="L2367" s="69"/>
      <c r="M2367" s="69"/>
      <c r="N2367" s="69"/>
      <c r="O2367" s="69"/>
      <c r="P2367" s="78"/>
      <c r="Q2367" s="96"/>
      <c r="R2367" s="97"/>
      <c r="S2367" s="98"/>
    </row>
    <row r="2368" spans="1:19" ht="42.75">
      <c r="A2368" s="90" t="s">
        <v>52</v>
      </c>
      <c r="B2368" s="91" t="s">
        <v>366</v>
      </c>
      <c r="C2368" s="91" t="s">
        <v>3760</v>
      </c>
      <c r="D2368" s="90">
        <v>271</v>
      </c>
      <c r="E2368" s="90">
        <v>434</v>
      </c>
      <c r="F2368" s="90" t="s">
        <v>1454</v>
      </c>
      <c r="G2368" s="90"/>
      <c r="H2368" s="93"/>
      <c r="I2368" s="93"/>
      <c r="J2368" s="93"/>
      <c r="K2368" s="95"/>
      <c r="L2368" s="69"/>
      <c r="M2368" s="69"/>
      <c r="N2368" s="69"/>
      <c r="O2368" s="69"/>
      <c r="P2368" s="78"/>
      <c r="Q2368" s="96"/>
      <c r="R2368" s="97"/>
      <c r="S2368" s="98"/>
    </row>
    <row r="2369" spans="1:19" ht="42.75">
      <c r="A2369" s="90" t="s">
        <v>52</v>
      </c>
      <c r="B2369" s="91" t="s">
        <v>366</v>
      </c>
      <c r="C2369" s="91" t="s">
        <v>3879</v>
      </c>
      <c r="D2369" s="90">
        <v>2292</v>
      </c>
      <c r="E2369" s="90">
        <v>2381</v>
      </c>
      <c r="F2369" s="90" t="s">
        <v>1454</v>
      </c>
      <c r="G2369" s="90"/>
      <c r="H2369" s="93"/>
      <c r="I2369" s="93"/>
      <c r="J2369" s="93"/>
      <c r="K2369" s="95"/>
      <c r="L2369" s="69"/>
      <c r="M2369" s="69"/>
      <c r="N2369" s="69"/>
      <c r="O2369" s="69"/>
      <c r="P2369" s="78"/>
      <c r="Q2369" s="96"/>
      <c r="R2369" s="97"/>
      <c r="S2369" s="98"/>
    </row>
    <row r="2370" spans="1:19" ht="42.75">
      <c r="A2370" s="90" t="s">
        <v>52</v>
      </c>
      <c r="B2370" s="91" t="s">
        <v>366</v>
      </c>
      <c r="C2370" s="91" t="s">
        <v>318</v>
      </c>
      <c r="D2370" s="90">
        <v>1135</v>
      </c>
      <c r="E2370" s="90">
        <v>1349</v>
      </c>
      <c r="F2370" s="90" t="s">
        <v>1454</v>
      </c>
      <c r="G2370" s="90"/>
      <c r="H2370" s="93"/>
      <c r="I2370" s="93"/>
      <c r="J2370" s="93"/>
      <c r="K2370" s="95"/>
      <c r="L2370" s="69"/>
      <c r="M2370" s="69"/>
      <c r="N2370" s="69"/>
      <c r="O2370" s="69"/>
      <c r="P2370" s="78"/>
      <c r="Q2370" s="96"/>
      <c r="R2370" s="97"/>
      <c r="S2370" s="98"/>
    </row>
    <row r="2371" spans="1:19" ht="42.75">
      <c r="A2371" s="90" t="s">
        <v>52</v>
      </c>
      <c r="B2371" s="91" t="s">
        <v>366</v>
      </c>
      <c r="C2371" s="91" t="s">
        <v>2823</v>
      </c>
      <c r="D2371" s="90">
        <v>5420</v>
      </c>
      <c r="E2371" s="90">
        <v>6671</v>
      </c>
      <c r="F2371" s="90" t="s">
        <v>1454</v>
      </c>
      <c r="G2371" s="90"/>
      <c r="H2371" s="93"/>
      <c r="I2371" s="93"/>
      <c r="J2371" s="93"/>
      <c r="K2371" s="95"/>
      <c r="L2371" s="69"/>
      <c r="M2371" s="69"/>
      <c r="N2371" s="69"/>
      <c r="O2371" s="69"/>
      <c r="P2371" s="78"/>
      <c r="Q2371" s="96"/>
      <c r="R2371" s="97"/>
      <c r="S2371" s="98"/>
    </row>
    <row r="2372" spans="1:19" ht="42.75">
      <c r="A2372" s="90" t="s">
        <v>52</v>
      </c>
      <c r="B2372" s="91" t="s">
        <v>366</v>
      </c>
      <c r="C2372" s="91" t="s">
        <v>3880</v>
      </c>
      <c r="D2372" s="90">
        <v>34</v>
      </c>
      <c r="E2372" s="90">
        <v>40</v>
      </c>
      <c r="F2372" s="90" t="s">
        <v>1454</v>
      </c>
      <c r="G2372" s="90"/>
      <c r="H2372" s="93"/>
      <c r="I2372" s="93"/>
      <c r="J2372" s="93"/>
      <c r="K2372" s="95"/>
      <c r="L2372" s="69"/>
      <c r="M2372" s="69"/>
      <c r="N2372" s="69"/>
      <c r="O2372" s="69"/>
      <c r="P2372" s="78"/>
      <c r="Q2372" s="96"/>
      <c r="R2372" s="97"/>
      <c r="S2372" s="98"/>
    </row>
    <row r="2373" spans="1:19" ht="42.75">
      <c r="A2373" s="90" t="s">
        <v>52</v>
      </c>
      <c r="B2373" s="91" t="s">
        <v>366</v>
      </c>
      <c r="C2373" s="91" t="s">
        <v>3881</v>
      </c>
      <c r="D2373" s="90">
        <v>2109</v>
      </c>
      <c r="E2373" s="90">
        <v>2870</v>
      </c>
      <c r="F2373" s="90" t="s">
        <v>1454</v>
      </c>
      <c r="G2373" s="90"/>
      <c r="H2373" s="93"/>
      <c r="I2373" s="93"/>
      <c r="J2373" s="93"/>
      <c r="K2373" s="95"/>
      <c r="L2373" s="69"/>
      <c r="M2373" s="69"/>
      <c r="N2373" s="69"/>
      <c r="O2373" s="69"/>
      <c r="P2373" s="78"/>
      <c r="Q2373" s="96"/>
      <c r="R2373" s="97"/>
      <c r="S2373" s="98"/>
    </row>
    <row r="2374" spans="1:19" ht="42.75">
      <c r="A2374" s="90" t="s">
        <v>52</v>
      </c>
      <c r="B2374" s="91" t="s">
        <v>366</v>
      </c>
      <c r="C2374" s="91" t="s">
        <v>3749</v>
      </c>
      <c r="D2374" s="90">
        <v>19739</v>
      </c>
      <c r="E2374" s="90">
        <v>19777</v>
      </c>
      <c r="F2374" s="90" t="s">
        <v>1454</v>
      </c>
      <c r="G2374" s="90"/>
      <c r="H2374" s="93"/>
      <c r="I2374" s="93"/>
      <c r="J2374" s="93"/>
      <c r="K2374" s="95"/>
      <c r="L2374" s="69"/>
      <c r="M2374" s="69"/>
      <c r="N2374" s="69"/>
      <c r="O2374" s="69"/>
      <c r="P2374" s="78"/>
      <c r="Q2374" s="96"/>
      <c r="R2374" s="97"/>
      <c r="S2374" s="98"/>
    </row>
    <row r="2375" spans="1:19" ht="42.75">
      <c r="A2375" s="90" t="s">
        <v>52</v>
      </c>
      <c r="B2375" s="91" t="s">
        <v>366</v>
      </c>
      <c r="C2375" s="91" t="s">
        <v>881</v>
      </c>
      <c r="D2375" s="90">
        <v>189</v>
      </c>
      <c r="E2375" s="90">
        <v>480</v>
      </c>
      <c r="F2375" s="90" t="s">
        <v>1454</v>
      </c>
      <c r="G2375" s="90"/>
      <c r="H2375" s="93"/>
      <c r="I2375" s="93"/>
      <c r="J2375" s="93"/>
      <c r="K2375" s="95"/>
      <c r="L2375" s="69"/>
      <c r="M2375" s="69"/>
      <c r="N2375" s="69"/>
      <c r="O2375" s="69"/>
      <c r="P2375" s="78"/>
      <c r="Q2375" s="96"/>
      <c r="R2375" s="97"/>
      <c r="S2375" s="98"/>
    </row>
    <row r="2376" spans="1:19" ht="42.75">
      <c r="A2376" s="90" t="s">
        <v>52</v>
      </c>
      <c r="B2376" s="91" t="s">
        <v>366</v>
      </c>
      <c r="C2376" s="91" t="s">
        <v>378</v>
      </c>
      <c r="D2376" s="90">
        <v>2058</v>
      </c>
      <c r="E2376" s="90">
        <v>2906</v>
      </c>
      <c r="F2376" s="90" t="s">
        <v>1454</v>
      </c>
      <c r="G2376" s="90"/>
      <c r="H2376" s="93"/>
      <c r="I2376" s="93"/>
      <c r="J2376" s="93"/>
      <c r="K2376" s="95"/>
      <c r="L2376" s="69"/>
      <c r="M2376" s="69"/>
      <c r="N2376" s="69"/>
      <c r="O2376" s="69"/>
      <c r="P2376" s="78"/>
      <c r="Q2376" s="96"/>
      <c r="R2376" s="97"/>
      <c r="S2376" s="98"/>
    </row>
    <row r="2377" spans="1:19" ht="42.75">
      <c r="A2377" s="90" t="s">
        <v>52</v>
      </c>
      <c r="B2377" s="91" t="s">
        <v>366</v>
      </c>
      <c r="C2377" s="91" t="s">
        <v>2234</v>
      </c>
      <c r="D2377" s="90">
        <v>10678</v>
      </c>
      <c r="E2377" s="90">
        <v>11986</v>
      </c>
      <c r="F2377" s="90" t="s">
        <v>1454</v>
      </c>
      <c r="G2377" s="90"/>
      <c r="H2377" s="93"/>
      <c r="I2377" s="93"/>
      <c r="J2377" s="93"/>
      <c r="K2377" s="95"/>
      <c r="L2377" s="69"/>
      <c r="M2377" s="69"/>
      <c r="N2377" s="69"/>
      <c r="O2377" s="69"/>
      <c r="P2377" s="78"/>
      <c r="Q2377" s="96"/>
      <c r="R2377" s="97"/>
      <c r="S2377" s="98"/>
    </row>
    <row r="2378" spans="1:19" ht="42.75">
      <c r="A2378" s="90" t="s">
        <v>52</v>
      </c>
      <c r="B2378" s="91" t="s">
        <v>366</v>
      </c>
      <c r="C2378" s="91" t="s">
        <v>653</v>
      </c>
      <c r="D2378" s="90">
        <v>2676</v>
      </c>
      <c r="E2378" s="90">
        <v>3772</v>
      </c>
      <c r="F2378" s="90" t="s">
        <v>1454</v>
      </c>
      <c r="G2378" s="90"/>
      <c r="H2378" s="93"/>
      <c r="I2378" s="93"/>
      <c r="J2378" s="93"/>
      <c r="K2378" s="95"/>
      <c r="L2378" s="69"/>
      <c r="M2378" s="69"/>
      <c r="N2378" s="69"/>
      <c r="O2378" s="69"/>
      <c r="P2378" s="78"/>
      <c r="Q2378" s="96"/>
      <c r="R2378" s="97"/>
      <c r="S2378" s="98"/>
    </row>
    <row r="2379" spans="1:19" ht="42.75">
      <c r="A2379" s="90" t="s">
        <v>52</v>
      </c>
      <c r="B2379" s="91" t="s">
        <v>366</v>
      </c>
      <c r="C2379" s="91" t="s">
        <v>1879</v>
      </c>
      <c r="D2379" s="90">
        <v>2111</v>
      </c>
      <c r="E2379" s="90">
        <v>2419</v>
      </c>
      <c r="F2379" s="90" t="s">
        <v>1454</v>
      </c>
      <c r="G2379" s="90"/>
      <c r="H2379" s="93"/>
      <c r="I2379" s="93"/>
      <c r="J2379" s="93"/>
      <c r="K2379" s="95"/>
      <c r="L2379" s="69"/>
      <c r="M2379" s="69"/>
      <c r="N2379" s="69"/>
      <c r="O2379" s="69"/>
      <c r="P2379" s="78"/>
      <c r="Q2379" s="96"/>
      <c r="R2379" s="97"/>
      <c r="S2379" s="98"/>
    </row>
    <row r="2380" spans="1:19" ht="42.75">
      <c r="A2380" s="90" t="s">
        <v>52</v>
      </c>
      <c r="B2380" s="91" t="s">
        <v>368</v>
      </c>
      <c r="C2380" s="91" t="s">
        <v>3882</v>
      </c>
      <c r="D2380" s="90">
        <v>704</v>
      </c>
      <c r="E2380" s="90">
        <v>769</v>
      </c>
      <c r="F2380" s="90" t="s">
        <v>1454</v>
      </c>
      <c r="G2380" s="90"/>
      <c r="H2380" s="93"/>
      <c r="I2380" s="93"/>
      <c r="J2380" s="93"/>
      <c r="K2380" s="95"/>
      <c r="L2380" s="69"/>
      <c r="M2380" s="69"/>
      <c r="N2380" s="69"/>
      <c r="O2380" s="69"/>
      <c r="P2380" s="78"/>
      <c r="Q2380" s="96"/>
      <c r="R2380" s="97"/>
      <c r="S2380" s="98"/>
    </row>
    <row r="2381" spans="1:19" ht="42.75">
      <c r="A2381" s="90" t="s">
        <v>52</v>
      </c>
      <c r="B2381" s="91" t="s">
        <v>368</v>
      </c>
      <c r="C2381" s="91" t="s">
        <v>3883</v>
      </c>
      <c r="D2381" s="90">
        <v>864</v>
      </c>
      <c r="E2381" s="90">
        <v>864</v>
      </c>
      <c r="F2381" s="90" t="s">
        <v>1454</v>
      </c>
      <c r="G2381" s="90"/>
      <c r="H2381" s="93"/>
      <c r="I2381" s="93"/>
      <c r="J2381" s="93"/>
      <c r="K2381" s="95"/>
      <c r="L2381" s="69"/>
      <c r="M2381" s="69"/>
      <c r="N2381" s="69"/>
      <c r="O2381" s="69"/>
      <c r="P2381" s="78"/>
      <c r="Q2381" s="96"/>
      <c r="R2381" s="97"/>
      <c r="S2381" s="98"/>
    </row>
    <row r="2382" spans="1:19" ht="42.75">
      <c r="A2382" s="90" t="s">
        <v>52</v>
      </c>
      <c r="B2382" s="91" t="s">
        <v>368</v>
      </c>
      <c r="C2382" s="91" t="s">
        <v>3884</v>
      </c>
      <c r="D2382" s="90">
        <v>1329</v>
      </c>
      <c r="E2382" s="90">
        <v>1336</v>
      </c>
      <c r="F2382" s="90" t="s">
        <v>1454</v>
      </c>
      <c r="G2382" s="90"/>
      <c r="H2382" s="93"/>
      <c r="I2382" s="93"/>
      <c r="J2382" s="93"/>
      <c r="K2382" s="95"/>
      <c r="L2382" s="69"/>
      <c r="M2382" s="69"/>
      <c r="N2382" s="69"/>
      <c r="O2382" s="69"/>
      <c r="P2382" s="78"/>
      <c r="Q2382" s="96"/>
      <c r="R2382" s="97"/>
      <c r="S2382" s="98"/>
    </row>
    <row r="2383" spans="1:19" ht="42.75">
      <c r="A2383" s="90" t="s">
        <v>52</v>
      </c>
      <c r="B2383" s="91" t="s">
        <v>368</v>
      </c>
      <c r="C2383" s="91" t="s">
        <v>3885</v>
      </c>
      <c r="D2383" s="90">
        <v>2419</v>
      </c>
      <c r="E2383" s="90">
        <v>2694</v>
      </c>
      <c r="F2383" s="90" t="s">
        <v>1454</v>
      </c>
      <c r="G2383" s="90"/>
      <c r="H2383" s="93"/>
      <c r="I2383" s="93"/>
      <c r="J2383" s="93"/>
      <c r="K2383" s="95"/>
      <c r="L2383" s="69"/>
      <c r="M2383" s="69"/>
      <c r="N2383" s="69"/>
      <c r="O2383" s="69"/>
      <c r="P2383" s="78"/>
      <c r="Q2383" s="96"/>
      <c r="R2383" s="97"/>
      <c r="S2383" s="98"/>
    </row>
    <row r="2384" spans="1:19" ht="42.75">
      <c r="A2384" s="90" t="s">
        <v>52</v>
      </c>
      <c r="B2384" s="91" t="s">
        <v>368</v>
      </c>
      <c r="C2384" s="91" t="s">
        <v>1047</v>
      </c>
      <c r="D2384" s="90">
        <v>1066</v>
      </c>
      <c r="E2384" s="90">
        <v>1004</v>
      </c>
      <c r="F2384" s="90" t="s">
        <v>1434</v>
      </c>
      <c r="G2384" s="90">
        <v>2024</v>
      </c>
      <c r="H2384" s="101">
        <v>45419</v>
      </c>
      <c r="I2384" s="101">
        <v>45419</v>
      </c>
      <c r="J2384" s="94" t="s">
        <v>3886</v>
      </c>
      <c r="K2384" s="100">
        <v>45421</v>
      </c>
      <c r="L2384" s="69" t="s">
        <v>78</v>
      </c>
      <c r="M2384" s="69" t="s">
        <v>672</v>
      </c>
      <c r="N2384" s="69" t="s">
        <v>101</v>
      </c>
      <c r="O2384" s="69" t="s">
        <v>1436</v>
      </c>
      <c r="P2384" s="78"/>
      <c r="Q2384" s="96"/>
      <c r="R2384" s="97"/>
      <c r="S2384" s="98"/>
    </row>
    <row r="2385" spans="1:19" ht="42.75">
      <c r="A2385" s="90" t="s">
        <v>52</v>
      </c>
      <c r="B2385" s="91" t="s">
        <v>368</v>
      </c>
      <c r="C2385" s="91" t="s">
        <v>3887</v>
      </c>
      <c r="D2385" s="90">
        <v>978</v>
      </c>
      <c r="E2385" s="90">
        <v>1079</v>
      </c>
      <c r="F2385" s="90" t="s">
        <v>1454</v>
      </c>
      <c r="G2385" s="90"/>
      <c r="H2385" s="93"/>
      <c r="I2385" s="93"/>
      <c r="J2385" s="93"/>
      <c r="K2385" s="95"/>
      <c r="L2385" s="69"/>
      <c r="M2385" s="69"/>
      <c r="N2385" s="69"/>
      <c r="O2385" s="69"/>
      <c r="P2385" s="78"/>
      <c r="Q2385" s="96"/>
      <c r="R2385" s="97"/>
      <c r="S2385" s="98"/>
    </row>
    <row r="2386" spans="1:19" ht="42.75">
      <c r="A2386" s="90" t="s">
        <v>52</v>
      </c>
      <c r="B2386" s="91" t="s">
        <v>368</v>
      </c>
      <c r="C2386" s="91" t="s">
        <v>520</v>
      </c>
      <c r="D2386" s="90">
        <v>1232</v>
      </c>
      <c r="E2386" s="90">
        <v>1287</v>
      </c>
      <c r="F2386" s="90" t="s">
        <v>1454</v>
      </c>
      <c r="G2386" s="90"/>
      <c r="H2386" s="93"/>
      <c r="I2386" s="93"/>
      <c r="J2386" s="93"/>
      <c r="K2386" s="95"/>
      <c r="L2386" s="69"/>
      <c r="M2386" s="69"/>
      <c r="N2386" s="69"/>
      <c r="O2386" s="69"/>
      <c r="P2386" s="78"/>
      <c r="Q2386" s="96"/>
      <c r="R2386" s="97"/>
      <c r="S2386" s="98"/>
    </row>
    <row r="2387" spans="1:19" ht="42.75">
      <c r="A2387" s="90" t="s">
        <v>52</v>
      </c>
      <c r="B2387" s="91" t="s">
        <v>368</v>
      </c>
      <c r="C2387" s="91" t="s">
        <v>3888</v>
      </c>
      <c r="D2387" s="90">
        <v>2748</v>
      </c>
      <c r="E2387" s="90">
        <v>3075</v>
      </c>
      <c r="F2387" s="90" t="s">
        <v>1454</v>
      </c>
      <c r="G2387" s="90"/>
      <c r="H2387" s="93"/>
      <c r="I2387" s="93"/>
      <c r="J2387" s="93"/>
      <c r="K2387" s="95"/>
      <c r="L2387" s="69"/>
      <c r="M2387" s="69"/>
      <c r="N2387" s="69"/>
      <c r="O2387" s="69"/>
      <c r="P2387" s="78"/>
      <c r="Q2387" s="96"/>
      <c r="R2387" s="97"/>
      <c r="S2387" s="98"/>
    </row>
    <row r="2388" spans="1:19" ht="42.75">
      <c r="A2388" s="90" t="s">
        <v>52</v>
      </c>
      <c r="B2388" s="91" t="s">
        <v>368</v>
      </c>
      <c r="C2388" s="91" t="s">
        <v>3889</v>
      </c>
      <c r="D2388" s="90">
        <v>1234</v>
      </c>
      <c r="E2388" s="90">
        <v>1229</v>
      </c>
      <c r="F2388" s="90" t="s">
        <v>1434</v>
      </c>
      <c r="G2388" s="90">
        <v>2024</v>
      </c>
      <c r="H2388" s="101">
        <v>45399</v>
      </c>
      <c r="I2388" s="101">
        <v>45399</v>
      </c>
      <c r="J2388" s="94" t="s">
        <v>3890</v>
      </c>
      <c r="K2388" s="100">
        <v>45399</v>
      </c>
      <c r="L2388" s="69" t="s">
        <v>77</v>
      </c>
      <c r="M2388" s="69" t="s">
        <v>672</v>
      </c>
      <c r="N2388" s="69" t="s">
        <v>101</v>
      </c>
      <c r="O2388" s="69" t="s">
        <v>1436</v>
      </c>
      <c r="P2388" s="78"/>
      <c r="Q2388" s="96"/>
      <c r="R2388" s="97"/>
      <c r="S2388" s="98"/>
    </row>
    <row r="2389" spans="1:19" ht="42.75">
      <c r="A2389" s="90" t="s">
        <v>52</v>
      </c>
      <c r="B2389" s="91" t="s">
        <v>368</v>
      </c>
      <c r="C2389" s="91" t="s">
        <v>3891</v>
      </c>
      <c r="D2389" s="90">
        <v>710</v>
      </c>
      <c r="E2389" s="90">
        <v>723</v>
      </c>
      <c r="F2389" s="90" t="s">
        <v>1454</v>
      </c>
      <c r="G2389" s="90"/>
      <c r="H2389" s="93"/>
      <c r="I2389" s="93"/>
      <c r="J2389" s="93"/>
      <c r="K2389" s="95"/>
      <c r="L2389" s="69"/>
      <c r="M2389" s="69"/>
      <c r="N2389" s="69"/>
      <c r="O2389" s="69"/>
      <c r="P2389" s="78"/>
      <c r="Q2389" s="96"/>
      <c r="R2389" s="97"/>
      <c r="S2389" s="98"/>
    </row>
    <row r="2390" spans="1:19" ht="42.75">
      <c r="A2390" s="90" t="s">
        <v>52</v>
      </c>
      <c r="B2390" s="91" t="s">
        <v>368</v>
      </c>
      <c r="C2390" s="91" t="s">
        <v>3892</v>
      </c>
      <c r="D2390" s="90">
        <v>2584</v>
      </c>
      <c r="E2390" s="90">
        <v>2627</v>
      </c>
      <c r="F2390" s="90" t="s">
        <v>1454</v>
      </c>
      <c r="G2390" s="90"/>
      <c r="H2390" s="93"/>
      <c r="I2390" s="93"/>
      <c r="J2390" s="93"/>
      <c r="K2390" s="95"/>
      <c r="L2390" s="69"/>
      <c r="M2390" s="69"/>
      <c r="N2390" s="69"/>
      <c r="O2390" s="69"/>
      <c r="P2390" s="78"/>
      <c r="Q2390" s="96"/>
      <c r="R2390" s="97"/>
      <c r="S2390" s="98"/>
    </row>
    <row r="2391" spans="1:19" ht="42.75">
      <c r="A2391" s="90" t="s">
        <v>52</v>
      </c>
      <c r="B2391" s="91" t="s">
        <v>368</v>
      </c>
      <c r="C2391" s="91" t="s">
        <v>3893</v>
      </c>
      <c r="D2391" s="90">
        <v>1320</v>
      </c>
      <c r="E2391" s="90">
        <v>1319</v>
      </c>
      <c r="F2391" s="90" t="s">
        <v>1454</v>
      </c>
      <c r="G2391" s="90"/>
      <c r="H2391" s="93"/>
      <c r="I2391" s="93"/>
      <c r="J2391" s="93"/>
      <c r="K2391" s="95"/>
      <c r="L2391" s="69"/>
      <c r="M2391" s="69"/>
      <c r="N2391" s="69"/>
      <c r="O2391" s="69"/>
      <c r="P2391" s="78"/>
      <c r="Q2391" s="96"/>
      <c r="R2391" s="97"/>
      <c r="S2391" s="98"/>
    </row>
    <row r="2392" spans="1:19" ht="42.75">
      <c r="A2392" s="90" t="s">
        <v>52</v>
      </c>
      <c r="B2392" s="91" t="s">
        <v>368</v>
      </c>
      <c r="C2392" s="91" t="s">
        <v>3894</v>
      </c>
      <c r="D2392" s="90">
        <v>961</v>
      </c>
      <c r="E2392" s="90">
        <v>1057</v>
      </c>
      <c r="F2392" s="90" t="s">
        <v>1454</v>
      </c>
      <c r="G2392" s="90"/>
      <c r="H2392" s="93"/>
      <c r="I2392" s="93"/>
      <c r="J2392" s="93"/>
      <c r="K2392" s="95"/>
      <c r="L2392" s="69"/>
      <c r="M2392" s="69"/>
      <c r="N2392" s="69"/>
      <c r="O2392" s="69"/>
      <c r="P2392" s="78"/>
      <c r="Q2392" s="96"/>
      <c r="R2392" s="97"/>
      <c r="S2392" s="98"/>
    </row>
    <row r="2393" spans="1:19" ht="42.75">
      <c r="A2393" s="90" t="s">
        <v>52</v>
      </c>
      <c r="B2393" s="91" t="s">
        <v>368</v>
      </c>
      <c r="C2393" s="91" t="s">
        <v>3895</v>
      </c>
      <c r="D2393" s="90">
        <v>2564</v>
      </c>
      <c r="E2393" s="90">
        <v>2490</v>
      </c>
      <c r="F2393" s="90" t="s">
        <v>1454</v>
      </c>
      <c r="G2393" s="90"/>
      <c r="H2393" s="93"/>
      <c r="I2393" s="93"/>
      <c r="J2393" s="93"/>
      <c r="K2393" s="95"/>
      <c r="L2393" s="69"/>
      <c r="M2393" s="69"/>
      <c r="N2393" s="69"/>
      <c r="O2393" s="69"/>
      <c r="P2393" s="78"/>
      <c r="Q2393" s="96"/>
      <c r="R2393" s="97"/>
      <c r="S2393" s="98"/>
    </row>
    <row r="2394" spans="1:19" ht="42.75">
      <c r="A2394" s="90" t="s">
        <v>52</v>
      </c>
      <c r="B2394" s="91" t="s">
        <v>368</v>
      </c>
      <c r="C2394" s="91" t="s">
        <v>3896</v>
      </c>
      <c r="D2394" s="90">
        <v>2182</v>
      </c>
      <c r="E2394" s="90">
        <v>2275</v>
      </c>
      <c r="F2394" s="90" t="s">
        <v>1454</v>
      </c>
      <c r="G2394" s="90"/>
      <c r="H2394" s="93"/>
      <c r="I2394" s="93"/>
      <c r="J2394" s="93"/>
      <c r="K2394" s="95"/>
      <c r="L2394" s="69"/>
      <c r="M2394" s="69"/>
      <c r="N2394" s="69"/>
      <c r="O2394" s="69"/>
      <c r="P2394" s="78"/>
      <c r="Q2394" s="96"/>
      <c r="R2394" s="97"/>
      <c r="S2394" s="98"/>
    </row>
    <row r="2395" spans="1:19" ht="42.75">
      <c r="A2395" s="90" t="s">
        <v>52</v>
      </c>
      <c r="B2395" s="91" t="s">
        <v>368</v>
      </c>
      <c r="C2395" s="91" t="s">
        <v>3897</v>
      </c>
      <c r="D2395" s="90">
        <v>725</v>
      </c>
      <c r="E2395" s="90">
        <v>728</v>
      </c>
      <c r="F2395" s="90" t="s">
        <v>1454</v>
      </c>
      <c r="G2395" s="90"/>
      <c r="H2395" s="93"/>
      <c r="I2395" s="93"/>
      <c r="J2395" s="93"/>
      <c r="K2395" s="95"/>
      <c r="L2395" s="69"/>
      <c r="M2395" s="69"/>
      <c r="N2395" s="69"/>
      <c r="O2395" s="69"/>
      <c r="P2395" s="78"/>
      <c r="Q2395" s="96"/>
      <c r="R2395" s="97"/>
      <c r="S2395" s="98"/>
    </row>
    <row r="2396" spans="1:19" ht="42.75">
      <c r="A2396" s="90" t="s">
        <v>52</v>
      </c>
      <c r="B2396" s="91" t="s">
        <v>368</v>
      </c>
      <c r="C2396" s="91" t="s">
        <v>3898</v>
      </c>
      <c r="D2396" s="90">
        <v>886</v>
      </c>
      <c r="E2396" s="90">
        <v>1045</v>
      </c>
      <c r="F2396" s="90" t="s">
        <v>1454</v>
      </c>
      <c r="G2396" s="90"/>
      <c r="H2396" s="93"/>
      <c r="I2396" s="93"/>
      <c r="J2396" s="93"/>
      <c r="K2396" s="95"/>
      <c r="L2396" s="69"/>
      <c r="M2396" s="69"/>
      <c r="N2396" s="69"/>
      <c r="O2396" s="69"/>
      <c r="P2396" s="78"/>
      <c r="Q2396" s="96"/>
      <c r="R2396" s="97"/>
      <c r="S2396" s="98"/>
    </row>
    <row r="2397" spans="1:19" ht="42.75">
      <c r="A2397" s="90" t="s">
        <v>52</v>
      </c>
      <c r="B2397" s="91" t="s">
        <v>368</v>
      </c>
      <c r="C2397" s="91" t="s">
        <v>3899</v>
      </c>
      <c r="D2397" s="90">
        <v>2100</v>
      </c>
      <c r="E2397" s="90">
        <v>2263</v>
      </c>
      <c r="F2397" s="90" t="s">
        <v>1454</v>
      </c>
      <c r="G2397" s="90"/>
      <c r="H2397" s="93"/>
      <c r="I2397" s="93"/>
      <c r="J2397" s="93"/>
      <c r="K2397" s="95"/>
      <c r="L2397" s="69"/>
      <c r="M2397" s="69"/>
      <c r="N2397" s="69"/>
      <c r="O2397" s="69"/>
      <c r="P2397" s="78"/>
      <c r="Q2397" s="96"/>
      <c r="R2397" s="97"/>
      <c r="S2397" s="98"/>
    </row>
    <row r="2398" spans="1:19" ht="42.75">
      <c r="A2398" s="90" t="s">
        <v>52</v>
      </c>
      <c r="B2398" s="91" t="s">
        <v>368</v>
      </c>
      <c r="C2398" s="91" t="s">
        <v>3900</v>
      </c>
      <c r="D2398" s="90">
        <v>250</v>
      </c>
      <c r="E2398" s="90">
        <v>278</v>
      </c>
      <c r="F2398" s="90" t="s">
        <v>1454</v>
      </c>
      <c r="G2398" s="90"/>
      <c r="H2398" s="93"/>
      <c r="I2398" s="93"/>
      <c r="J2398" s="93"/>
      <c r="K2398" s="95"/>
      <c r="L2398" s="69"/>
      <c r="M2398" s="69"/>
      <c r="N2398" s="69"/>
      <c r="O2398" s="69"/>
      <c r="P2398" s="78"/>
      <c r="Q2398" s="96"/>
      <c r="R2398" s="97"/>
      <c r="S2398" s="98"/>
    </row>
    <row r="2399" spans="1:19" ht="42.75">
      <c r="A2399" s="90" t="s">
        <v>52</v>
      </c>
      <c r="B2399" s="91" t="s">
        <v>368</v>
      </c>
      <c r="C2399" s="91" t="s">
        <v>1641</v>
      </c>
      <c r="D2399" s="90">
        <v>958</v>
      </c>
      <c r="E2399" s="90">
        <v>1040</v>
      </c>
      <c r="F2399" s="90" t="s">
        <v>1454</v>
      </c>
      <c r="G2399" s="90"/>
      <c r="H2399" s="93"/>
      <c r="I2399" s="93"/>
      <c r="J2399" s="93"/>
      <c r="K2399" s="95"/>
      <c r="L2399" s="69"/>
      <c r="M2399" s="69"/>
      <c r="N2399" s="69"/>
      <c r="O2399" s="69"/>
      <c r="P2399" s="78"/>
      <c r="Q2399" s="96"/>
      <c r="R2399" s="97"/>
      <c r="S2399" s="98"/>
    </row>
    <row r="2400" spans="1:19" ht="42.75">
      <c r="A2400" s="90" t="s">
        <v>52</v>
      </c>
      <c r="B2400" s="91" t="s">
        <v>368</v>
      </c>
      <c r="C2400" s="91" t="s">
        <v>3901</v>
      </c>
      <c r="D2400" s="90">
        <v>995</v>
      </c>
      <c r="E2400" s="90">
        <v>1188</v>
      </c>
      <c r="F2400" s="90" t="s">
        <v>1454</v>
      </c>
      <c r="G2400" s="90"/>
      <c r="H2400" s="93"/>
      <c r="I2400" s="93"/>
      <c r="J2400" s="93"/>
      <c r="K2400" s="95"/>
      <c r="L2400" s="69"/>
      <c r="M2400" s="69"/>
      <c r="N2400" s="69"/>
      <c r="O2400" s="69"/>
      <c r="P2400" s="78"/>
      <c r="Q2400" s="96"/>
      <c r="R2400" s="97"/>
      <c r="S2400" s="98"/>
    </row>
    <row r="2401" spans="1:19" ht="42.75">
      <c r="A2401" s="90" t="s">
        <v>52</v>
      </c>
      <c r="B2401" s="91" t="s">
        <v>368</v>
      </c>
      <c r="C2401" s="91" t="s">
        <v>3902</v>
      </c>
      <c r="D2401" s="90">
        <v>2426</v>
      </c>
      <c r="E2401" s="90">
        <v>2561</v>
      </c>
      <c r="F2401" s="90" t="s">
        <v>1454</v>
      </c>
      <c r="G2401" s="90"/>
      <c r="H2401" s="93"/>
      <c r="I2401" s="93"/>
      <c r="J2401" s="93"/>
      <c r="K2401" s="95"/>
      <c r="L2401" s="69"/>
      <c r="M2401" s="69"/>
      <c r="N2401" s="69"/>
      <c r="O2401" s="69"/>
      <c r="P2401" s="78"/>
      <c r="Q2401" s="96"/>
      <c r="R2401" s="97"/>
      <c r="S2401" s="98"/>
    </row>
    <row r="2402" spans="1:19" ht="42.75">
      <c r="A2402" s="90" t="s">
        <v>52</v>
      </c>
      <c r="B2402" s="91" t="s">
        <v>368</v>
      </c>
      <c r="C2402" s="91" t="s">
        <v>3903</v>
      </c>
      <c r="D2402" s="90">
        <v>5467</v>
      </c>
      <c r="E2402" s="90">
        <v>5902</v>
      </c>
      <c r="F2402" s="90" t="s">
        <v>1434</v>
      </c>
      <c r="G2402" s="90">
        <v>2024</v>
      </c>
      <c r="H2402" s="101">
        <v>45603</v>
      </c>
      <c r="I2402" s="101">
        <v>45603</v>
      </c>
      <c r="J2402" s="94" t="s">
        <v>3904</v>
      </c>
      <c r="K2402" s="95" t="s">
        <v>84</v>
      </c>
      <c r="L2402" s="69" t="s">
        <v>84</v>
      </c>
      <c r="M2402" s="69" t="s">
        <v>4</v>
      </c>
      <c r="N2402" s="69" t="s">
        <v>108</v>
      </c>
      <c r="O2402" s="69" t="s">
        <v>1436</v>
      </c>
      <c r="P2402" s="78"/>
      <c r="Q2402" s="96">
        <v>45614</v>
      </c>
      <c r="R2402" s="97" t="s">
        <v>1481</v>
      </c>
      <c r="S2402" s="98"/>
    </row>
    <row r="2403" spans="1:19" ht="42.75">
      <c r="A2403" s="90" t="s">
        <v>52</v>
      </c>
      <c r="B2403" s="91" t="s">
        <v>368</v>
      </c>
      <c r="C2403" s="91" t="s">
        <v>3905</v>
      </c>
      <c r="D2403" s="90">
        <v>629</v>
      </c>
      <c r="E2403" s="90">
        <v>608</v>
      </c>
      <c r="F2403" s="90" t="s">
        <v>1454</v>
      </c>
      <c r="G2403" s="90"/>
      <c r="H2403" s="93"/>
      <c r="I2403" s="93"/>
      <c r="J2403" s="93"/>
      <c r="K2403" s="95"/>
      <c r="L2403" s="69"/>
      <c r="M2403" s="69"/>
      <c r="N2403" s="69"/>
      <c r="O2403" s="69"/>
      <c r="P2403" s="78"/>
      <c r="Q2403" s="96"/>
      <c r="R2403" s="97"/>
      <c r="S2403" s="98"/>
    </row>
    <row r="2404" spans="1:19" ht="42.75">
      <c r="A2404" s="90" t="s">
        <v>52</v>
      </c>
      <c r="B2404" s="91" t="s">
        <v>368</v>
      </c>
      <c r="C2404" s="91" t="s">
        <v>3906</v>
      </c>
      <c r="D2404" s="90">
        <v>306</v>
      </c>
      <c r="E2404" s="90">
        <v>378</v>
      </c>
      <c r="F2404" s="90" t="s">
        <v>1454</v>
      </c>
      <c r="G2404" s="90"/>
      <c r="H2404" s="93"/>
      <c r="I2404" s="93"/>
      <c r="J2404" s="93"/>
      <c r="K2404" s="95"/>
      <c r="L2404" s="69"/>
      <c r="M2404" s="69"/>
      <c r="N2404" s="69"/>
      <c r="O2404" s="69"/>
      <c r="P2404" s="78"/>
      <c r="Q2404" s="96"/>
      <c r="R2404" s="97"/>
      <c r="S2404" s="98"/>
    </row>
    <row r="2405" spans="1:19" ht="42.75">
      <c r="A2405" s="90" t="s">
        <v>52</v>
      </c>
      <c r="B2405" s="91" t="s">
        <v>368</v>
      </c>
      <c r="C2405" s="91" t="s">
        <v>3907</v>
      </c>
      <c r="D2405" s="90">
        <v>1725</v>
      </c>
      <c r="E2405" s="90">
        <v>1898</v>
      </c>
      <c r="F2405" s="90" t="s">
        <v>1454</v>
      </c>
      <c r="G2405" s="90"/>
      <c r="H2405" s="93"/>
      <c r="I2405" s="93"/>
      <c r="J2405" s="93"/>
      <c r="K2405" s="95"/>
      <c r="L2405" s="69"/>
      <c r="M2405" s="69"/>
      <c r="N2405" s="69"/>
      <c r="O2405" s="69"/>
      <c r="P2405" s="78"/>
      <c r="Q2405" s="96"/>
      <c r="R2405" s="97"/>
      <c r="S2405" s="98"/>
    </row>
    <row r="2406" spans="1:19" ht="42.75">
      <c r="A2406" s="90" t="s">
        <v>52</v>
      </c>
      <c r="B2406" s="91" t="s">
        <v>368</v>
      </c>
      <c r="C2406" s="91" t="s">
        <v>3908</v>
      </c>
      <c r="D2406" s="90">
        <v>1597</v>
      </c>
      <c r="E2406" s="90">
        <v>1742</v>
      </c>
      <c r="F2406" s="90" t="s">
        <v>1454</v>
      </c>
      <c r="G2406" s="90"/>
      <c r="H2406" s="93"/>
      <c r="I2406" s="93"/>
      <c r="J2406" s="93"/>
      <c r="K2406" s="95"/>
      <c r="L2406" s="69"/>
      <c r="M2406" s="69"/>
      <c r="N2406" s="69"/>
      <c r="O2406" s="69"/>
      <c r="P2406" s="78"/>
      <c r="Q2406" s="96"/>
      <c r="R2406" s="97"/>
      <c r="S2406" s="98"/>
    </row>
    <row r="2407" spans="1:19" ht="42.75">
      <c r="A2407" s="90" t="s">
        <v>52</v>
      </c>
      <c r="B2407" s="91" t="s">
        <v>368</v>
      </c>
      <c r="C2407" s="91" t="s">
        <v>3909</v>
      </c>
      <c r="D2407" s="90">
        <v>376</v>
      </c>
      <c r="E2407" s="90">
        <v>408</v>
      </c>
      <c r="F2407" s="90" t="s">
        <v>1454</v>
      </c>
      <c r="G2407" s="90"/>
      <c r="H2407" s="93"/>
      <c r="I2407" s="93"/>
      <c r="J2407" s="93"/>
      <c r="K2407" s="95"/>
      <c r="L2407" s="69"/>
      <c r="M2407" s="69"/>
      <c r="N2407" s="69"/>
      <c r="O2407" s="69"/>
      <c r="P2407" s="78"/>
      <c r="Q2407" s="96"/>
      <c r="R2407" s="97"/>
      <c r="S2407" s="98"/>
    </row>
    <row r="2408" spans="1:19" ht="42.75">
      <c r="A2408" s="90" t="s">
        <v>52</v>
      </c>
      <c r="B2408" s="91" t="s">
        <v>368</v>
      </c>
      <c r="C2408" s="91" t="s">
        <v>3910</v>
      </c>
      <c r="D2408" s="90">
        <v>1535</v>
      </c>
      <c r="E2408" s="90">
        <v>1546</v>
      </c>
      <c r="F2408" s="90" t="s">
        <v>1454</v>
      </c>
      <c r="G2408" s="90"/>
      <c r="H2408" s="93"/>
      <c r="I2408" s="93"/>
      <c r="J2408" s="93"/>
      <c r="K2408" s="95"/>
      <c r="L2408" s="69"/>
      <c r="M2408" s="69"/>
      <c r="N2408" s="69"/>
      <c r="O2408" s="69"/>
      <c r="P2408" s="78"/>
      <c r="Q2408" s="96"/>
      <c r="R2408" s="97"/>
      <c r="S2408" s="98"/>
    </row>
    <row r="2409" spans="1:19" ht="42.75">
      <c r="A2409" s="90" t="s">
        <v>52</v>
      </c>
      <c r="B2409" s="91" t="s">
        <v>368</v>
      </c>
      <c r="C2409" s="91" t="s">
        <v>3911</v>
      </c>
      <c r="D2409" s="90">
        <v>1014</v>
      </c>
      <c r="E2409" s="90">
        <v>1160</v>
      </c>
      <c r="F2409" s="90" t="s">
        <v>1454</v>
      </c>
      <c r="G2409" s="90"/>
      <c r="H2409" s="93"/>
      <c r="I2409" s="93"/>
      <c r="J2409" s="93"/>
      <c r="K2409" s="95"/>
      <c r="L2409" s="69"/>
      <c r="M2409" s="69"/>
      <c r="N2409" s="69"/>
      <c r="O2409" s="69"/>
      <c r="P2409" s="78"/>
      <c r="Q2409" s="96"/>
      <c r="R2409" s="97"/>
      <c r="S2409" s="98"/>
    </row>
    <row r="2410" spans="1:19" ht="42.75">
      <c r="A2410" s="90" t="s">
        <v>52</v>
      </c>
      <c r="B2410" s="91" t="s">
        <v>368</v>
      </c>
      <c r="C2410" s="91" t="s">
        <v>3912</v>
      </c>
      <c r="D2410" s="90">
        <v>3260</v>
      </c>
      <c r="E2410" s="90">
        <v>3476</v>
      </c>
      <c r="F2410" s="90" t="s">
        <v>1454</v>
      </c>
      <c r="G2410" s="90"/>
      <c r="H2410" s="93"/>
      <c r="I2410" s="93"/>
      <c r="J2410" s="93"/>
      <c r="K2410" s="95"/>
      <c r="L2410" s="69"/>
      <c r="M2410" s="69"/>
      <c r="N2410" s="69"/>
      <c r="O2410" s="69"/>
      <c r="P2410" s="78"/>
      <c r="Q2410" s="96"/>
      <c r="R2410" s="97"/>
      <c r="S2410" s="98"/>
    </row>
    <row r="2411" spans="1:19" ht="42.75">
      <c r="A2411" s="90" t="s">
        <v>52</v>
      </c>
      <c r="B2411" s="91" t="s">
        <v>368</v>
      </c>
      <c r="C2411" s="91" t="s">
        <v>3913</v>
      </c>
      <c r="D2411" s="90">
        <v>1066</v>
      </c>
      <c r="E2411" s="90">
        <v>1182</v>
      </c>
      <c r="F2411" s="90" t="s">
        <v>1454</v>
      </c>
      <c r="G2411" s="90"/>
      <c r="H2411" s="93"/>
      <c r="I2411" s="93"/>
      <c r="J2411" s="93"/>
      <c r="K2411" s="95"/>
      <c r="L2411" s="69"/>
      <c r="M2411" s="69"/>
      <c r="N2411" s="69"/>
      <c r="O2411" s="69"/>
      <c r="P2411" s="78"/>
      <c r="Q2411" s="96"/>
      <c r="R2411" s="97"/>
      <c r="S2411" s="98"/>
    </row>
    <row r="2412" spans="1:19" ht="42.75">
      <c r="A2412" s="90" t="s">
        <v>52</v>
      </c>
      <c r="B2412" s="91" t="s">
        <v>368</v>
      </c>
      <c r="C2412" s="91" t="s">
        <v>3914</v>
      </c>
      <c r="D2412" s="90">
        <v>504</v>
      </c>
      <c r="E2412" s="90">
        <v>507</v>
      </c>
      <c r="F2412" s="90" t="s">
        <v>1454</v>
      </c>
      <c r="G2412" s="90"/>
      <c r="H2412" s="93"/>
      <c r="I2412" s="93"/>
      <c r="J2412" s="93"/>
      <c r="K2412" s="95"/>
      <c r="L2412" s="69"/>
      <c r="M2412" s="69"/>
      <c r="N2412" s="69"/>
      <c r="O2412" s="69"/>
      <c r="P2412" s="78"/>
      <c r="Q2412" s="96"/>
      <c r="R2412" s="97"/>
      <c r="S2412" s="98"/>
    </row>
    <row r="2413" spans="1:19" ht="42.75">
      <c r="A2413" s="90" t="s">
        <v>52</v>
      </c>
      <c r="B2413" s="91" t="s">
        <v>368</v>
      </c>
      <c r="C2413" s="91" t="s">
        <v>3915</v>
      </c>
      <c r="D2413" s="90">
        <v>922</v>
      </c>
      <c r="E2413" s="90">
        <v>898</v>
      </c>
      <c r="F2413" s="90" t="s">
        <v>1454</v>
      </c>
      <c r="G2413" s="90"/>
      <c r="H2413" s="93"/>
      <c r="I2413" s="93"/>
      <c r="J2413" s="93"/>
      <c r="K2413" s="95"/>
      <c r="L2413" s="69"/>
      <c r="M2413" s="69"/>
      <c r="N2413" s="69"/>
      <c r="O2413" s="69"/>
      <c r="P2413" s="78"/>
      <c r="Q2413" s="96"/>
      <c r="R2413" s="97"/>
      <c r="S2413" s="98"/>
    </row>
    <row r="2414" spans="1:19" ht="42.75">
      <c r="A2414" s="90" t="s">
        <v>52</v>
      </c>
      <c r="B2414" s="91" t="s">
        <v>368</v>
      </c>
      <c r="C2414" s="91" t="s">
        <v>3916</v>
      </c>
      <c r="D2414" s="90">
        <v>1001</v>
      </c>
      <c r="E2414" s="90">
        <v>1025</v>
      </c>
      <c r="F2414" s="90" t="s">
        <v>1454</v>
      </c>
      <c r="G2414" s="90"/>
      <c r="H2414" s="93"/>
      <c r="I2414" s="93"/>
      <c r="J2414" s="93"/>
      <c r="K2414" s="95"/>
      <c r="L2414" s="69"/>
      <c r="M2414" s="69"/>
      <c r="N2414" s="69"/>
      <c r="O2414" s="69"/>
      <c r="P2414" s="78"/>
      <c r="Q2414" s="96"/>
      <c r="R2414" s="97"/>
      <c r="S2414" s="98"/>
    </row>
    <row r="2415" spans="1:19" ht="42.75">
      <c r="A2415" s="90" t="s">
        <v>52</v>
      </c>
      <c r="B2415" s="91" t="s">
        <v>368</v>
      </c>
      <c r="C2415" s="91" t="s">
        <v>3917</v>
      </c>
      <c r="D2415" s="90">
        <v>966</v>
      </c>
      <c r="E2415" s="90">
        <v>940</v>
      </c>
      <c r="F2415" s="90" t="s">
        <v>1454</v>
      </c>
      <c r="G2415" s="90"/>
      <c r="H2415" s="101"/>
      <c r="I2415" s="101"/>
      <c r="J2415" s="93"/>
      <c r="K2415" s="100"/>
      <c r="L2415" s="69"/>
      <c r="M2415" s="69"/>
      <c r="N2415" s="69"/>
      <c r="O2415" s="69"/>
      <c r="P2415" s="78"/>
      <c r="Q2415" s="96"/>
      <c r="R2415" s="97"/>
      <c r="S2415" s="98"/>
    </row>
    <row r="2416" spans="1:19" ht="42.75">
      <c r="A2416" s="90" t="s">
        <v>52</v>
      </c>
      <c r="B2416" s="91" t="s">
        <v>368</v>
      </c>
      <c r="C2416" s="91" t="s">
        <v>3918</v>
      </c>
      <c r="D2416" s="90">
        <v>1795</v>
      </c>
      <c r="E2416" s="90">
        <v>1880</v>
      </c>
      <c r="F2416" s="90" t="s">
        <v>1454</v>
      </c>
      <c r="G2416" s="90"/>
      <c r="H2416" s="101"/>
      <c r="I2416" s="93"/>
      <c r="J2416" s="93"/>
      <c r="K2416" s="95"/>
      <c r="L2416" s="69"/>
      <c r="M2416" s="69"/>
      <c r="N2416" s="69"/>
      <c r="O2416" s="69"/>
      <c r="P2416" s="78"/>
      <c r="Q2416" s="96"/>
      <c r="R2416" s="97"/>
      <c r="S2416" s="98"/>
    </row>
    <row r="2417" spans="1:19" ht="42.75">
      <c r="A2417" s="90" t="s">
        <v>52</v>
      </c>
      <c r="B2417" s="91" t="s">
        <v>368</v>
      </c>
      <c r="C2417" s="91" t="s">
        <v>3919</v>
      </c>
      <c r="D2417" s="90">
        <v>1260</v>
      </c>
      <c r="E2417" s="90">
        <v>1223</v>
      </c>
      <c r="F2417" s="90" t="s">
        <v>1434</v>
      </c>
      <c r="G2417" s="90">
        <v>2024</v>
      </c>
      <c r="H2417" s="101">
        <v>45545</v>
      </c>
      <c r="I2417" s="101">
        <v>45545</v>
      </c>
      <c r="J2417" s="94" t="s">
        <v>3920</v>
      </c>
      <c r="K2417" s="100">
        <v>45553</v>
      </c>
      <c r="L2417" s="69" t="s">
        <v>82</v>
      </c>
      <c r="M2417" s="69" t="s">
        <v>672</v>
      </c>
      <c r="N2417" s="69" t="s">
        <v>101</v>
      </c>
      <c r="O2417" s="69" t="s">
        <v>1436</v>
      </c>
      <c r="P2417" s="78"/>
      <c r="Q2417" s="96">
        <v>45553</v>
      </c>
      <c r="R2417" s="97" t="s">
        <v>1481</v>
      </c>
      <c r="S2417" s="98"/>
    </row>
    <row r="2418" spans="1:19" ht="42.75">
      <c r="A2418" s="90" t="s">
        <v>52</v>
      </c>
      <c r="B2418" s="91" t="s">
        <v>368</v>
      </c>
      <c r="C2418" s="91" t="s">
        <v>3921</v>
      </c>
      <c r="D2418" s="90">
        <v>1828</v>
      </c>
      <c r="E2418" s="90">
        <v>1841</v>
      </c>
      <c r="F2418" s="90" t="s">
        <v>1434</v>
      </c>
      <c r="G2418" s="90">
        <v>2024</v>
      </c>
      <c r="H2418" s="101">
        <v>45580</v>
      </c>
      <c r="I2418" s="101">
        <v>45580</v>
      </c>
      <c r="J2418" s="94" t="s">
        <v>3922</v>
      </c>
      <c r="K2418" s="100">
        <v>45581</v>
      </c>
      <c r="L2418" s="69" t="s">
        <v>83</v>
      </c>
      <c r="M2418" s="69" t="s">
        <v>672</v>
      </c>
      <c r="N2418" s="69" t="s">
        <v>101</v>
      </c>
      <c r="O2418" s="69" t="s">
        <v>1436</v>
      </c>
      <c r="P2418" s="78"/>
      <c r="Q2418" s="96">
        <v>45581</v>
      </c>
      <c r="R2418" s="97" t="s">
        <v>1481</v>
      </c>
      <c r="S2418" s="98"/>
    </row>
    <row r="2419" spans="1:19" ht="42.75">
      <c r="A2419" s="90" t="s">
        <v>52</v>
      </c>
      <c r="B2419" s="91" t="s">
        <v>368</v>
      </c>
      <c r="C2419" s="91" t="s">
        <v>3923</v>
      </c>
      <c r="D2419" s="90">
        <v>1192</v>
      </c>
      <c r="E2419" s="90">
        <v>1098</v>
      </c>
      <c r="F2419" s="90" t="s">
        <v>1454</v>
      </c>
      <c r="G2419" s="90"/>
      <c r="H2419" s="93"/>
      <c r="I2419" s="93"/>
      <c r="J2419" s="93"/>
      <c r="K2419" s="95"/>
      <c r="L2419" s="69"/>
      <c r="M2419" s="69"/>
      <c r="N2419" s="69"/>
      <c r="O2419" s="69"/>
      <c r="P2419" s="78"/>
      <c r="Q2419" s="96"/>
      <c r="R2419" s="97"/>
      <c r="S2419" s="98"/>
    </row>
    <row r="2420" spans="1:19" ht="42.75">
      <c r="A2420" s="90" t="s">
        <v>52</v>
      </c>
      <c r="B2420" s="91" t="s">
        <v>368</v>
      </c>
      <c r="C2420" s="91" t="s">
        <v>3924</v>
      </c>
      <c r="D2420" s="90">
        <v>1090</v>
      </c>
      <c r="E2420" s="90">
        <v>1080</v>
      </c>
      <c r="F2420" s="90" t="s">
        <v>1454</v>
      </c>
      <c r="G2420" s="90"/>
      <c r="H2420" s="93"/>
      <c r="I2420" s="93"/>
      <c r="J2420" s="93"/>
      <c r="K2420" s="95"/>
      <c r="L2420" s="69"/>
      <c r="M2420" s="69"/>
      <c r="N2420" s="69"/>
      <c r="O2420" s="69"/>
      <c r="P2420" s="78"/>
      <c r="Q2420" s="96"/>
      <c r="R2420" s="97"/>
      <c r="S2420" s="98"/>
    </row>
    <row r="2421" spans="1:19" ht="42.75">
      <c r="A2421" s="90" t="s">
        <v>52</v>
      </c>
      <c r="B2421" s="91" t="s">
        <v>368</v>
      </c>
      <c r="C2421" s="91" t="s">
        <v>3925</v>
      </c>
      <c r="D2421" s="90">
        <v>1281</v>
      </c>
      <c r="E2421" s="90">
        <v>1325</v>
      </c>
      <c r="F2421" s="90" t="s">
        <v>1454</v>
      </c>
      <c r="G2421" s="90"/>
      <c r="H2421" s="93"/>
      <c r="I2421" s="93"/>
      <c r="J2421" s="93"/>
      <c r="K2421" s="95"/>
      <c r="L2421" s="69"/>
      <c r="M2421" s="69"/>
      <c r="N2421" s="69"/>
      <c r="O2421" s="69"/>
      <c r="P2421" s="78"/>
      <c r="Q2421" s="96"/>
      <c r="R2421" s="97"/>
      <c r="S2421" s="98"/>
    </row>
    <row r="2422" spans="1:19" ht="42.75">
      <c r="A2422" s="90" t="s">
        <v>52</v>
      </c>
      <c r="B2422" s="91" t="s">
        <v>368</v>
      </c>
      <c r="C2422" s="91" t="s">
        <v>3926</v>
      </c>
      <c r="D2422" s="90">
        <v>1198</v>
      </c>
      <c r="E2422" s="90">
        <v>1139</v>
      </c>
      <c r="F2422" s="90" t="s">
        <v>1454</v>
      </c>
      <c r="G2422" s="90"/>
      <c r="H2422" s="93"/>
      <c r="I2422" s="93"/>
      <c r="J2422" s="93"/>
      <c r="K2422" s="95"/>
      <c r="L2422" s="69"/>
      <c r="M2422" s="69"/>
      <c r="N2422" s="69"/>
      <c r="O2422" s="69"/>
      <c r="P2422" s="78"/>
      <c r="Q2422" s="96"/>
      <c r="R2422" s="97"/>
      <c r="S2422" s="98"/>
    </row>
    <row r="2423" spans="1:19" ht="42.75">
      <c r="A2423" s="90" t="s">
        <v>52</v>
      </c>
      <c r="B2423" s="91" t="s">
        <v>368</v>
      </c>
      <c r="C2423" s="91" t="s">
        <v>3927</v>
      </c>
      <c r="D2423" s="90">
        <v>1193</v>
      </c>
      <c r="E2423" s="90">
        <v>1254</v>
      </c>
      <c r="F2423" s="90" t="s">
        <v>1454</v>
      </c>
      <c r="G2423" s="90"/>
      <c r="H2423" s="93"/>
      <c r="I2423" s="93"/>
      <c r="J2423" s="93"/>
      <c r="K2423" s="95"/>
      <c r="L2423" s="69"/>
      <c r="M2423" s="69"/>
      <c r="N2423" s="69"/>
      <c r="O2423" s="69"/>
      <c r="P2423" s="78"/>
      <c r="Q2423" s="96"/>
      <c r="R2423" s="97"/>
      <c r="S2423" s="98"/>
    </row>
    <row r="2424" spans="1:19" ht="42.75">
      <c r="A2424" s="90" t="s">
        <v>52</v>
      </c>
      <c r="B2424" s="91" t="s">
        <v>368</v>
      </c>
      <c r="C2424" s="91" t="s">
        <v>3928</v>
      </c>
      <c r="D2424" s="90">
        <v>1204</v>
      </c>
      <c r="E2424" s="90">
        <v>1100</v>
      </c>
      <c r="F2424" s="90" t="s">
        <v>1454</v>
      </c>
      <c r="G2424" s="90"/>
      <c r="H2424" s="93"/>
      <c r="I2424" s="93"/>
      <c r="J2424" s="93"/>
      <c r="K2424" s="95"/>
      <c r="L2424" s="69"/>
      <c r="M2424" s="69"/>
      <c r="N2424" s="69"/>
      <c r="O2424" s="69"/>
      <c r="P2424" s="78"/>
      <c r="Q2424" s="96"/>
      <c r="R2424" s="97"/>
      <c r="S2424" s="98"/>
    </row>
    <row r="2425" spans="1:19" ht="42.75">
      <c r="A2425" s="90" t="s">
        <v>52</v>
      </c>
      <c r="B2425" s="91" t="s">
        <v>368</v>
      </c>
      <c r="C2425" s="91" t="s">
        <v>2409</v>
      </c>
      <c r="D2425" s="90">
        <v>1067</v>
      </c>
      <c r="E2425" s="90">
        <v>1090</v>
      </c>
      <c r="F2425" s="90" t="s">
        <v>1454</v>
      </c>
      <c r="G2425" s="90"/>
      <c r="H2425" s="93"/>
      <c r="I2425" s="93"/>
      <c r="J2425" s="93"/>
      <c r="K2425" s="95"/>
      <c r="L2425" s="69"/>
      <c r="M2425" s="69"/>
      <c r="N2425" s="69"/>
      <c r="O2425" s="69"/>
      <c r="P2425" s="78"/>
      <c r="Q2425" s="96"/>
      <c r="R2425" s="97"/>
      <c r="S2425" s="98"/>
    </row>
    <row r="2426" spans="1:19" ht="42.75">
      <c r="A2426" s="90" t="s">
        <v>52</v>
      </c>
      <c r="B2426" s="91" t="s">
        <v>368</v>
      </c>
      <c r="C2426" s="91" t="s">
        <v>3929</v>
      </c>
      <c r="D2426" s="90">
        <v>660</v>
      </c>
      <c r="E2426" s="90">
        <v>670</v>
      </c>
      <c r="F2426" s="90" t="s">
        <v>1454</v>
      </c>
      <c r="G2426" s="90"/>
      <c r="H2426" s="93"/>
      <c r="I2426" s="93"/>
      <c r="J2426" s="93"/>
      <c r="K2426" s="95"/>
      <c r="L2426" s="69"/>
      <c r="M2426" s="69"/>
      <c r="N2426" s="69"/>
      <c r="O2426" s="69"/>
      <c r="P2426" s="78"/>
      <c r="Q2426" s="96"/>
      <c r="R2426" s="97"/>
      <c r="S2426" s="98"/>
    </row>
    <row r="2427" spans="1:19" ht="42.75">
      <c r="A2427" s="90" t="s">
        <v>52</v>
      </c>
      <c r="B2427" s="91" t="s">
        <v>368</v>
      </c>
      <c r="C2427" s="91" t="s">
        <v>380</v>
      </c>
      <c r="D2427" s="90">
        <v>2292</v>
      </c>
      <c r="E2427" s="90">
        <v>2466</v>
      </c>
      <c r="F2427" s="90" t="s">
        <v>1454</v>
      </c>
      <c r="G2427" s="90"/>
      <c r="H2427" s="93"/>
      <c r="I2427" s="93"/>
      <c r="J2427" s="93"/>
      <c r="K2427" s="95"/>
      <c r="L2427" s="69"/>
      <c r="M2427" s="69"/>
      <c r="N2427" s="69"/>
      <c r="O2427" s="69"/>
      <c r="P2427" s="78"/>
      <c r="Q2427" s="96"/>
      <c r="R2427" s="97"/>
      <c r="S2427" s="98"/>
    </row>
    <row r="2428" spans="1:19" ht="42.75">
      <c r="A2428" s="90" t="s">
        <v>52</v>
      </c>
      <c r="B2428" s="91" t="s">
        <v>368</v>
      </c>
      <c r="C2428" s="91" t="s">
        <v>3930</v>
      </c>
      <c r="D2428" s="90">
        <v>1104</v>
      </c>
      <c r="E2428" s="90">
        <v>1240</v>
      </c>
      <c r="F2428" s="90" t="s">
        <v>1454</v>
      </c>
      <c r="G2428" s="90"/>
      <c r="H2428" s="93"/>
      <c r="I2428" s="93"/>
      <c r="J2428" s="93"/>
      <c r="K2428" s="95"/>
      <c r="L2428" s="69"/>
      <c r="M2428" s="69"/>
      <c r="N2428" s="69"/>
      <c r="O2428" s="69"/>
      <c r="P2428" s="78"/>
      <c r="Q2428" s="96"/>
      <c r="R2428" s="97"/>
      <c r="S2428" s="98"/>
    </row>
    <row r="2429" spans="1:19" ht="42.75">
      <c r="A2429" s="90" t="s">
        <v>52</v>
      </c>
      <c r="B2429" s="91" t="s">
        <v>368</v>
      </c>
      <c r="C2429" s="91" t="s">
        <v>3931</v>
      </c>
      <c r="D2429" s="90">
        <v>1319</v>
      </c>
      <c r="E2429" s="90">
        <v>1355</v>
      </c>
      <c r="F2429" s="90" t="s">
        <v>1454</v>
      </c>
      <c r="G2429" s="90"/>
      <c r="H2429" s="93"/>
      <c r="I2429" s="93"/>
      <c r="J2429" s="93"/>
      <c r="K2429" s="95"/>
      <c r="L2429" s="69"/>
      <c r="M2429" s="69"/>
      <c r="N2429" s="69"/>
      <c r="O2429" s="69"/>
      <c r="P2429" s="78"/>
      <c r="Q2429" s="96"/>
      <c r="R2429" s="97"/>
      <c r="S2429" s="98"/>
    </row>
    <row r="2430" spans="1:19" ht="42.75">
      <c r="A2430" s="90" t="s">
        <v>52</v>
      </c>
      <c r="B2430" s="91" t="s">
        <v>368</v>
      </c>
      <c r="C2430" s="91" t="s">
        <v>3932</v>
      </c>
      <c r="D2430" s="90">
        <v>1128</v>
      </c>
      <c r="E2430" s="90">
        <v>1259</v>
      </c>
      <c r="F2430" s="90" t="s">
        <v>1454</v>
      </c>
      <c r="G2430" s="90"/>
      <c r="H2430" s="93"/>
      <c r="I2430" s="93"/>
      <c r="J2430" s="93"/>
      <c r="K2430" s="95"/>
      <c r="L2430" s="69"/>
      <c r="M2430" s="69"/>
      <c r="N2430" s="69"/>
      <c r="O2430" s="69"/>
      <c r="P2430" s="78"/>
      <c r="Q2430" s="96"/>
      <c r="R2430" s="97"/>
      <c r="S2430" s="98"/>
    </row>
    <row r="2431" spans="1:19" ht="42.75">
      <c r="A2431" s="90" t="s">
        <v>52</v>
      </c>
      <c r="B2431" s="91" t="s">
        <v>368</v>
      </c>
      <c r="C2431" s="91" t="s">
        <v>3933</v>
      </c>
      <c r="D2431" s="90">
        <v>1448</v>
      </c>
      <c r="E2431" s="90">
        <v>1508</v>
      </c>
      <c r="F2431" s="90" t="s">
        <v>1454</v>
      </c>
      <c r="G2431" s="90"/>
      <c r="H2431" s="93"/>
      <c r="I2431" s="93"/>
      <c r="J2431" s="93"/>
      <c r="K2431" s="95"/>
      <c r="L2431" s="69"/>
      <c r="M2431" s="69"/>
      <c r="N2431" s="69"/>
      <c r="O2431" s="69"/>
      <c r="P2431" s="78"/>
      <c r="Q2431" s="96"/>
      <c r="R2431" s="97"/>
      <c r="S2431" s="98"/>
    </row>
    <row r="2432" spans="1:19" ht="42.75">
      <c r="A2432" s="90" t="s">
        <v>52</v>
      </c>
      <c r="B2432" s="91" t="s">
        <v>368</v>
      </c>
      <c r="C2432" s="91" t="s">
        <v>3934</v>
      </c>
      <c r="D2432" s="90">
        <v>950</v>
      </c>
      <c r="E2432" s="90">
        <v>1071</v>
      </c>
      <c r="F2432" s="90" t="s">
        <v>1454</v>
      </c>
      <c r="G2432" s="90"/>
      <c r="H2432" s="93"/>
      <c r="I2432" s="93"/>
      <c r="J2432" s="93"/>
      <c r="K2432" s="95"/>
      <c r="L2432" s="69"/>
      <c r="M2432" s="69"/>
      <c r="N2432" s="69"/>
      <c r="O2432" s="69"/>
      <c r="P2432" s="78"/>
      <c r="Q2432" s="96"/>
      <c r="R2432" s="97"/>
      <c r="S2432" s="98"/>
    </row>
    <row r="2433" spans="1:19" ht="42.75">
      <c r="A2433" s="90" t="s">
        <v>52</v>
      </c>
      <c r="B2433" s="91" t="s">
        <v>368</v>
      </c>
      <c r="C2433" s="91" t="s">
        <v>3935</v>
      </c>
      <c r="D2433" s="90">
        <v>1451</v>
      </c>
      <c r="E2433" s="90">
        <v>1666</v>
      </c>
      <c r="F2433" s="90" t="s">
        <v>1454</v>
      </c>
      <c r="G2433" s="90"/>
      <c r="H2433" s="93"/>
      <c r="I2433" s="93"/>
      <c r="J2433" s="93"/>
      <c r="K2433" s="95"/>
      <c r="L2433" s="69"/>
      <c r="M2433" s="69"/>
      <c r="N2433" s="69"/>
      <c r="O2433" s="69"/>
      <c r="P2433" s="78"/>
      <c r="Q2433" s="96"/>
      <c r="R2433" s="97"/>
      <c r="S2433" s="98"/>
    </row>
    <row r="2434" spans="1:19" ht="42.75">
      <c r="A2434" s="90" t="s">
        <v>52</v>
      </c>
      <c r="B2434" s="91" t="s">
        <v>368</v>
      </c>
      <c r="C2434" s="91" t="s">
        <v>3936</v>
      </c>
      <c r="D2434" s="90">
        <v>721</v>
      </c>
      <c r="E2434" s="90">
        <v>699</v>
      </c>
      <c r="F2434" s="90" t="s">
        <v>1434</v>
      </c>
      <c r="G2434" s="90">
        <v>2024</v>
      </c>
      <c r="H2434" s="101">
        <v>45602</v>
      </c>
      <c r="I2434" s="101">
        <v>45602</v>
      </c>
      <c r="J2434" s="94" t="s">
        <v>3937</v>
      </c>
      <c r="K2434" s="100">
        <v>45613</v>
      </c>
      <c r="L2434" s="69" t="s">
        <v>84</v>
      </c>
      <c r="M2434" s="69" t="s">
        <v>672</v>
      </c>
      <c r="N2434" s="69" t="s">
        <v>101</v>
      </c>
      <c r="O2434" s="69" t="s">
        <v>1436</v>
      </c>
      <c r="P2434" s="78"/>
      <c r="Q2434" s="96">
        <v>45614</v>
      </c>
      <c r="R2434" s="97" t="s">
        <v>1481</v>
      </c>
      <c r="S2434" s="98"/>
    </row>
    <row r="2435" spans="1:19" ht="42.75">
      <c r="A2435" s="90" t="s">
        <v>52</v>
      </c>
      <c r="B2435" s="91" t="s">
        <v>368</v>
      </c>
      <c r="C2435" s="91" t="s">
        <v>3938</v>
      </c>
      <c r="D2435" s="90">
        <v>1212</v>
      </c>
      <c r="E2435" s="90">
        <v>1124</v>
      </c>
      <c r="F2435" s="90" t="s">
        <v>1454</v>
      </c>
      <c r="G2435" s="90"/>
      <c r="H2435" s="93"/>
      <c r="I2435" s="93"/>
      <c r="J2435" s="93"/>
      <c r="K2435" s="95"/>
      <c r="L2435" s="69"/>
      <c r="M2435" s="69"/>
      <c r="N2435" s="69"/>
      <c r="O2435" s="69"/>
      <c r="P2435" s="78"/>
      <c r="Q2435" s="96"/>
      <c r="R2435" s="97"/>
      <c r="S2435" s="98"/>
    </row>
    <row r="2436" spans="1:19" ht="42.75">
      <c r="A2436" s="90" t="s">
        <v>52</v>
      </c>
      <c r="B2436" s="91" t="s">
        <v>368</v>
      </c>
      <c r="C2436" s="91" t="s">
        <v>3939</v>
      </c>
      <c r="D2436" s="90">
        <v>1436</v>
      </c>
      <c r="E2436" s="90">
        <v>1509</v>
      </c>
      <c r="F2436" s="90" t="s">
        <v>1454</v>
      </c>
      <c r="G2436" s="90"/>
      <c r="H2436" s="93"/>
      <c r="I2436" s="93"/>
      <c r="J2436" s="93"/>
      <c r="K2436" s="95"/>
      <c r="L2436" s="69"/>
      <c r="M2436" s="69"/>
      <c r="N2436" s="69"/>
      <c r="O2436" s="69"/>
      <c r="P2436" s="78"/>
      <c r="Q2436" s="96"/>
      <c r="R2436" s="97"/>
      <c r="S2436" s="98"/>
    </row>
    <row r="2437" spans="1:19" ht="42.75">
      <c r="A2437" s="90" t="s">
        <v>52</v>
      </c>
      <c r="B2437" s="91" t="s">
        <v>368</v>
      </c>
      <c r="C2437" s="91" t="s">
        <v>3940</v>
      </c>
      <c r="D2437" s="90">
        <v>1316</v>
      </c>
      <c r="E2437" s="90">
        <v>1380</v>
      </c>
      <c r="F2437" s="90" t="s">
        <v>1434</v>
      </c>
      <c r="G2437" s="90">
        <v>2024</v>
      </c>
      <c r="H2437" s="101">
        <v>45603</v>
      </c>
      <c r="I2437" s="101">
        <v>45603</v>
      </c>
      <c r="J2437" s="94" t="s">
        <v>3941</v>
      </c>
      <c r="K2437" s="100">
        <v>45613</v>
      </c>
      <c r="L2437" s="69" t="s">
        <v>84</v>
      </c>
      <c r="M2437" s="69" t="s">
        <v>672</v>
      </c>
      <c r="N2437" s="69" t="s">
        <v>101</v>
      </c>
      <c r="O2437" s="69" t="s">
        <v>1436</v>
      </c>
      <c r="P2437" s="78"/>
      <c r="Q2437" s="96">
        <v>45614</v>
      </c>
      <c r="R2437" s="97" t="s">
        <v>1481</v>
      </c>
      <c r="S2437" s="98"/>
    </row>
    <row r="2438" spans="1:19" ht="42.75">
      <c r="A2438" s="90" t="s">
        <v>52</v>
      </c>
      <c r="B2438" s="91" t="s">
        <v>368</v>
      </c>
      <c r="C2438" s="91" t="s">
        <v>3942</v>
      </c>
      <c r="D2438" s="90">
        <v>1441</v>
      </c>
      <c r="E2438" s="90">
        <v>1588</v>
      </c>
      <c r="F2438" s="90" t="s">
        <v>1454</v>
      </c>
      <c r="G2438" s="90"/>
      <c r="H2438" s="93"/>
      <c r="I2438" s="93"/>
      <c r="J2438" s="93"/>
      <c r="K2438" s="95"/>
      <c r="L2438" s="69"/>
      <c r="M2438" s="69"/>
      <c r="N2438" s="69"/>
      <c r="O2438" s="69"/>
      <c r="P2438" s="78"/>
      <c r="Q2438" s="96"/>
      <c r="R2438" s="97"/>
      <c r="S2438" s="98"/>
    </row>
    <row r="2439" spans="1:19" ht="42.75">
      <c r="A2439" s="90" t="s">
        <v>52</v>
      </c>
      <c r="B2439" s="91" t="s">
        <v>368</v>
      </c>
      <c r="C2439" s="91" t="s">
        <v>3943</v>
      </c>
      <c r="D2439" s="90">
        <v>834</v>
      </c>
      <c r="E2439" s="90">
        <v>817</v>
      </c>
      <c r="F2439" s="90" t="s">
        <v>1434</v>
      </c>
      <c r="G2439" s="90">
        <v>2024</v>
      </c>
      <c r="H2439" s="101">
        <v>45581</v>
      </c>
      <c r="I2439" s="101">
        <v>45583</v>
      </c>
      <c r="J2439" s="94" t="s">
        <v>3944</v>
      </c>
      <c r="K2439" s="100">
        <v>45584</v>
      </c>
      <c r="L2439" s="69" t="s">
        <v>83</v>
      </c>
      <c r="M2439" s="69" t="s">
        <v>672</v>
      </c>
      <c r="N2439" s="69" t="s">
        <v>101</v>
      </c>
      <c r="O2439" s="69" t="s">
        <v>1436</v>
      </c>
      <c r="P2439" s="78"/>
      <c r="Q2439" s="96">
        <v>45586</v>
      </c>
      <c r="R2439" s="97" t="s">
        <v>1481</v>
      </c>
      <c r="S2439" s="98"/>
    </row>
    <row r="2440" spans="1:19" ht="42.75">
      <c r="A2440" s="90" t="s">
        <v>52</v>
      </c>
      <c r="B2440" s="91" t="s">
        <v>368</v>
      </c>
      <c r="C2440" s="91" t="s">
        <v>3945</v>
      </c>
      <c r="D2440" s="90">
        <v>1225</v>
      </c>
      <c r="E2440" s="90">
        <v>1336</v>
      </c>
      <c r="F2440" s="90" t="s">
        <v>1434</v>
      </c>
      <c r="G2440" s="90">
        <v>2024</v>
      </c>
      <c r="H2440" s="101">
        <v>45603</v>
      </c>
      <c r="I2440" s="101">
        <v>45603</v>
      </c>
      <c r="J2440" s="94" t="s">
        <v>3946</v>
      </c>
      <c r="K2440" s="100">
        <v>45613</v>
      </c>
      <c r="L2440" s="69" t="s">
        <v>84</v>
      </c>
      <c r="M2440" s="69" t="s">
        <v>672</v>
      </c>
      <c r="N2440" s="69" t="s">
        <v>101</v>
      </c>
      <c r="O2440" s="69" t="s">
        <v>1436</v>
      </c>
      <c r="P2440" s="78"/>
      <c r="Q2440" s="96">
        <v>45614</v>
      </c>
      <c r="R2440" s="97" t="s">
        <v>1481</v>
      </c>
      <c r="S2440" s="98"/>
    </row>
    <row r="2441" spans="1:19" ht="42.75">
      <c r="A2441" s="90" t="s">
        <v>52</v>
      </c>
      <c r="B2441" s="91" t="s">
        <v>460</v>
      </c>
      <c r="C2441" s="91" t="s">
        <v>3947</v>
      </c>
      <c r="D2441" s="90">
        <v>7683</v>
      </c>
      <c r="E2441" s="90">
        <v>7714</v>
      </c>
      <c r="F2441" s="90" t="s">
        <v>1454</v>
      </c>
      <c r="G2441" s="90"/>
      <c r="H2441" s="93"/>
      <c r="I2441" s="93"/>
      <c r="J2441" s="93"/>
      <c r="K2441" s="95"/>
      <c r="L2441" s="69"/>
      <c r="M2441" s="69"/>
      <c r="N2441" s="69"/>
      <c r="O2441" s="69"/>
      <c r="P2441" s="78"/>
      <c r="Q2441" s="96"/>
      <c r="R2441" s="97"/>
      <c r="S2441" s="98"/>
    </row>
    <row r="2442" spans="1:19" ht="42.75">
      <c r="A2442" s="90" t="s">
        <v>52</v>
      </c>
      <c r="B2442" s="91" t="s">
        <v>460</v>
      </c>
      <c r="C2442" s="91" t="s">
        <v>3948</v>
      </c>
      <c r="D2442" s="90">
        <v>1755</v>
      </c>
      <c r="E2442" s="90">
        <v>2059</v>
      </c>
      <c r="F2442" s="90" t="s">
        <v>1454</v>
      </c>
      <c r="G2442" s="90"/>
      <c r="H2442" s="93"/>
      <c r="I2442" s="93"/>
      <c r="J2442" s="93"/>
      <c r="K2442" s="95"/>
      <c r="L2442" s="69"/>
      <c r="M2442" s="69"/>
      <c r="N2442" s="69"/>
      <c r="O2442" s="69"/>
      <c r="P2442" s="78"/>
      <c r="Q2442" s="96"/>
      <c r="R2442" s="97"/>
      <c r="S2442" s="98"/>
    </row>
    <row r="2443" spans="1:19" ht="42.75">
      <c r="A2443" s="90" t="s">
        <v>52</v>
      </c>
      <c r="B2443" s="91" t="s">
        <v>460</v>
      </c>
      <c r="C2443" s="91" t="s">
        <v>3949</v>
      </c>
      <c r="D2443" s="90">
        <v>3553</v>
      </c>
      <c r="E2443" s="90">
        <v>4039</v>
      </c>
      <c r="F2443" s="90" t="s">
        <v>1454</v>
      </c>
      <c r="G2443" s="90"/>
      <c r="H2443" s="93"/>
      <c r="I2443" s="93"/>
      <c r="J2443" s="93"/>
      <c r="K2443" s="95"/>
      <c r="L2443" s="69"/>
      <c r="M2443" s="69"/>
      <c r="N2443" s="69"/>
      <c r="O2443" s="69"/>
      <c r="P2443" s="78"/>
      <c r="Q2443" s="96"/>
      <c r="R2443" s="97"/>
      <c r="S2443" s="98"/>
    </row>
    <row r="2444" spans="1:19" ht="42.75">
      <c r="A2444" s="90" t="s">
        <v>52</v>
      </c>
      <c r="B2444" s="91" t="s">
        <v>460</v>
      </c>
      <c r="C2444" s="91" t="s">
        <v>660</v>
      </c>
      <c r="D2444" s="90">
        <v>10475</v>
      </c>
      <c r="E2444" s="90">
        <v>12059</v>
      </c>
      <c r="F2444" s="90" t="s">
        <v>1434</v>
      </c>
      <c r="G2444" s="90">
        <v>2024</v>
      </c>
      <c r="H2444" s="101">
        <v>45483</v>
      </c>
      <c r="I2444" s="101">
        <v>45491</v>
      </c>
      <c r="J2444" s="94" t="s">
        <v>3950</v>
      </c>
      <c r="K2444" s="101">
        <v>45491</v>
      </c>
      <c r="L2444" s="69" t="s">
        <v>3951</v>
      </c>
      <c r="M2444" s="69"/>
      <c r="N2444" s="69"/>
      <c r="O2444" s="69" t="s">
        <v>1436</v>
      </c>
      <c r="P2444" s="78"/>
      <c r="Q2444" s="96">
        <v>45493</v>
      </c>
      <c r="R2444" s="97"/>
      <c r="S2444" s="98"/>
    </row>
    <row r="2445" spans="1:19" ht="42.75">
      <c r="A2445" s="90" t="s">
        <v>52</v>
      </c>
      <c r="B2445" s="91" t="s">
        <v>460</v>
      </c>
      <c r="C2445" s="91" t="s">
        <v>3952</v>
      </c>
      <c r="D2445" s="90">
        <v>6885</v>
      </c>
      <c r="E2445" s="90">
        <v>8214</v>
      </c>
      <c r="F2445" s="90" t="s">
        <v>1454</v>
      </c>
      <c r="G2445" s="90"/>
      <c r="H2445" s="93"/>
      <c r="I2445" s="93"/>
      <c r="J2445" s="93"/>
      <c r="K2445" s="95"/>
      <c r="L2445" s="69"/>
      <c r="M2445" s="69"/>
      <c r="N2445" s="69"/>
      <c r="O2445" s="69"/>
      <c r="P2445" s="78"/>
      <c r="Q2445" s="96"/>
      <c r="R2445" s="97"/>
      <c r="S2445" s="98"/>
    </row>
    <row r="2446" spans="1:19" ht="42.75">
      <c r="A2446" s="90" t="s">
        <v>52</v>
      </c>
      <c r="B2446" s="91" t="s">
        <v>460</v>
      </c>
      <c r="C2446" s="91" t="s">
        <v>3386</v>
      </c>
      <c r="D2446" s="90">
        <v>6752</v>
      </c>
      <c r="E2446" s="90">
        <v>7706</v>
      </c>
      <c r="F2446" s="90" t="s">
        <v>1434</v>
      </c>
      <c r="G2446" s="90">
        <v>2024</v>
      </c>
      <c r="H2446" s="101">
        <v>45449</v>
      </c>
      <c r="I2446" s="101">
        <v>45456</v>
      </c>
      <c r="J2446" s="94" t="s">
        <v>3953</v>
      </c>
      <c r="K2446" s="100">
        <v>45463</v>
      </c>
      <c r="L2446" s="69" t="s">
        <v>3543</v>
      </c>
      <c r="M2446" s="69"/>
      <c r="N2446" s="69"/>
      <c r="O2446" s="69" t="s">
        <v>1436</v>
      </c>
      <c r="P2446" s="78"/>
      <c r="Q2446" s="70">
        <v>45463</v>
      </c>
      <c r="R2446" s="97"/>
      <c r="S2446" s="98"/>
    </row>
    <row r="2447" spans="1:19" ht="42.75">
      <c r="A2447" s="90" t="s">
        <v>52</v>
      </c>
      <c r="B2447" s="91" t="s">
        <v>460</v>
      </c>
      <c r="C2447" s="91" t="s">
        <v>3954</v>
      </c>
      <c r="D2447" s="90">
        <v>3347</v>
      </c>
      <c r="E2447" s="90">
        <v>4059</v>
      </c>
      <c r="F2447" s="90" t="s">
        <v>1434</v>
      </c>
      <c r="G2447" s="90">
        <v>2024</v>
      </c>
      <c r="H2447" s="101">
        <v>45608</v>
      </c>
      <c r="I2447" s="101">
        <v>45609</v>
      </c>
      <c r="J2447" s="94" t="s">
        <v>3955</v>
      </c>
      <c r="K2447" s="100">
        <v>45613</v>
      </c>
      <c r="L2447" s="69" t="s">
        <v>84</v>
      </c>
      <c r="M2447" s="69" t="s">
        <v>672</v>
      </c>
      <c r="N2447" s="69" t="s">
        <v>108</v>
      </c>
      <c r="O2447" s="69" t="s">
        <v>1436</v>
      </c>
      <c r="P2447" s="78"/>
      <c r="Q2447" s="96">
        <v>45614</v>
      </c>
      <c r="R2447" s="97" t="s">
        <v>1481</v>
      </c>
      <c r="S2447" s="98"/>
    </row>
    <row r="2448" spans="1:19" ht="42.75">
      <c r="A2448" s="90" t="s">
        <v>52</v>
      </c>
      <c r="B2448" s="91" t="s">
        <v>460</v>
      </c>
      <c r="C2448" s="91" t="s">
        <v>3956</v>
      </c>
      <c r="D2448" s="90">
        <v>6423</v>
      </c>
      <c r="E2448" s="90">
        <v>7073</v>
      </c>
      <c r="F2448" s="90" t="s">
        <v>1454</v>
      </c>
      <c r="G2448" s="90"/>
      <c r="H2448" s="93"/>
      <c r="I2448" s="93"/>
      <c r="J2448" s="93"/>
      <c r="K2448" s="95"/>
      <c r="L2448" s="69"/>
      <c r="M2448" s="69"/>
      <c r="N2448" s="69"/>
      <c r="O2448" s="69"/>
      <c r="P2448" s="78"/>
      <c r="Q2448" s="96"/>
      <c r="R2448" s="97"/>
      <c r="S2448" s="98"/>
    </row>
    <row r="2449" spans="1:19" ht="42.75">
      <c r="A2449" s="90" t="s">
        <v>52</v>
      </c>
      <c r="B2449" s="91" t="s">
        <v>460</v>
      </c>
      <c r="C2449" s="91" t="s">
        <v>3957</v>
      </c>
      <c r="D2449" s="90">
        <v>1788</v>
      </c>
      <c r="E2449" s="90">
        <v>2100</v>
      </c>
      <c r="F2449" s="90" t="s">
        <v>1434</v>
      </c>
      <c r="G2449" s="90">
        <v>2024</v>
      </c>
      <c r="H2449" s="101">
        <v>45387</v>
      </c>
      <c r="I2449" s="101">
        <v>45398</v>
      </c>
      <c r="J2449" s="94" t="s">
        <v>3958</v>
      </c>
      <c r="K2449" s="100">
        <v>45399</v>
      </c>
      <c r="L2449" s="69" t="s">
        <v>77</v>
      </c>
      <c r="M2449" s="69"/>
      <c r="N2449" s="69"/>
      <c r="O2449" s="69" t="s">
        <v>1436</v>
      </c>
      <c r="P2449" s="78"/>
      <c r="Q2449" s="96"/>
      <c r="R2449" s="97"/>
      <c r="S2449" s="98"/>
    </row>
    <row r="2450" spans="1:19" ht="42.75">
      <c r="A2450" s="90" t="s">
        <v>52</v>
      </c>
      <c r="B2450" s="91" t="s">
        <v>460</v>
      </c>
      <c r="C2450" s="91" t="s">
        <v>3959</v>
      </c>
      <c r="D2450" s="90">
        <v>2002</v>
      </c>
      <c r="E2450" s="90">
        <v>2475</v>
      </c>
      <c r="F2450" s="90" t="s">
        <v>1454</v>
      </c>
      <c r="G2450" s="90"/>
      <c r="H2450" s="93"/>
      <c r="I2450" s="93"/>
      <c r="J2450" s="93"/>
      <c r="K2450" s="95"/>
      <c r="L2450" s="69"/>
      <c r="M2450" s="69"/>
      <c r="N2450" s="69"/>
      <c r="O2450" s="69"/>
      <c r="P2450" s="78"/>
      <c r="Q2450" s="96"/>
      <c r="R2450" s="97"/>
      <c r="S2450" s="98"/>
    </row>
    <row r="2451" spans="1:19" ht="42.75">
      <c r="A2451" s="90" t="s">
        <v>52</v>
      </c>
      <c r="B2451" s="91" t="s">
        <v>460</v>
      </c>
      <c r="C2451" s="91" t="s">
        <v>3960</v>
      </c>
      <c r="D2451" s="90">
        <v>14542</v>
      </c>
      <c r="E2451" s="90">
        <v>15973</v>
      </c>
      <c r="F2451" s="90" t="s">
        <v>1454</v>
      </c>
      <c r="G2451" s="90"/>
      <c r="H2451" s="93"/>
      <c r="I2451" s="93"/>
      <c r="J2451" s="93"/>
      <c r="K2451" s="95"/>
      <c r="L2451" s="69"/>
      <c r="M2451" s="69"/>
      <c r="N2451" s="69"/>
      <c r="O2451" s="69"/>
      <c r="P2451" s="78"/>
      <c r="Q2451" s="96"/>
      <c r="R2451" s="97"/>
      <c r="S2451" s="98"/>
    </row>
    <row r="2452" spans="1:19" ht="42.75">
      <c r="A2452" s="90" t="s">
        <v>52</v>
      </c>
      <c r="B2452" s="91" t="s">
        <v>460</v>
      </c>
      <c r="C2452" s="91" t="s">
        <v>1656</v>
      </c>
      <c r="D2452" s="90">
        <v>11174</v>
      </c>
      <c r="E2452" s="90">
        <v>11484</v>
      </c>
      <c r="F2452" s="90" t="s">
        <v>1454</v>
      </c>
      <c r="G2452" s="90"/>
      <c r="H2452" s="93"/>
      <c r="I2452" s="93"/>
      <c r="J2452" s="93"/>
      <c r="K2452" s="95"/>
      <c r="L2452" s="69"/>
      <c r="M2452" s="69"/>
      <c r="N2452" s="69"/>
      <c r="O2452" s="69"/>
      <c r="P2452" s="78"/>
      <c r="Q2452" s="96"/>
      <c r="R2452" s="97"/>
      <c r="S2452" s="98"/>
    </row>
    <row r="2453" spans="1:19" ht="42.75">
      <c r="A2453" s="90" t="s">
        <v>52</v>
      </c>
      <c r="B2453" s="91" t="s">
        <v>460</v>
      </c>
      <c r="C2453" s="91" t="s">
        <v>539</v>
      </c>
      <c r="D2453" s="90">
        <v>1819</v>
      </c>
      <c r="E2453" s="90">
        <v>2325</v>
      </c>
      <c r="F2453" s="90" t="s">
        <v>1434</v>
      </c>
      <c r="G2453" s="90">
        <v>2024</v>
      </c>
      <c r="H2453" s="101">
        <v>45387</v>
      </c>
      <c r="I2453" s="101">
        <v>45398</v>
      </c>
      <c r="J2453" s="94" t="s">
        <v>3961</v>
      </c>
      <c r="K2453" s="100">
        <v>45399</v>
      </c>
      <c r="L2453" s="69" t="s">
        <v>77</v>
      </c>
      <c r="M2453" s="69"/>
      <c r="N2453" s="69"/>
      <c r="O2453" s="69" t="s">
        <v>1436</v>
      </c>
      <c r="P2453" s="78"/>
      <c r="Q2453" s="96"/>
      <c r="R2453" s="97"/>
      <c r="S2453" s="98"/>
    </row>
    <row r="2454" spans="1:19" ht="42.75">
      <c r="A2454" s="90" t="s">
        <v>52</v>
      </c>
      <c r="B2454" s="91" t="s">
        <v>460</v>
      </c>
      <c r="C2454" s="91" t="s">
        <v>3962</v>
      </c>
      <c r="D2454" s="90">
        <v>2224</v>
      </c>
      <c r="E2454" s="90">
        <v>2419</v>
      </c>
      <c r="F2454" s="90" t="s">
        <v>1454</v>
      </c>
      <c r="G2454" s="90">
        <v>2025</v>
      </c>
      <c r="H2454" s="93"/>
      <c r="I2454" s="93"/>
      <c r="J2454" s="93"/>
      <c r="K2454" s="95"/>
      <c r="L2454" s="69" t="s">
        <v>74</v>
      </c>
      <c r="M2454" s="69"/>
      <c r="N2454" s="69"/>
      <c r="O2454" s="69"/>
      <c r="P2454" s="78"/>
      <c r="Q2454" s="96"/>
      <c r="R2454" s="97"/>
      <c r="S2454" s="98"/>
    </row>
    <row r="2455" spans="1:19" ht="42.75">
      <c r="A2455" s="90" t="s">
        <v>52</v>
      </c>
      <c r="B2455" s="91" t="s">
        <v>460</v>
      </c>
      <c r="C2455" s="91" t="s">
        <v>3963</v>
      </c>
      <c r="D2455" s="90">
        <v>6297</v>
      </c>
      <c r="E2455" s="90">
        <v>6933</v>
      </c>
      <c r="F2455" s="90" t="s">
        <v>1454</v>
      </c>
      <c r="G2455" s="90"/>
      <c r="H2455" s="93"/>
      <c r="I2455" s="93"/>
      <c r="J2455" s="93"/>
      <c r="K2455" s="95"/>
      <c r="L2455" s="69"/>
      <c r="M2455" s="69"/>
      <c r="N2455" s="69"/>
      <c r="O2455" s="69"/>
      <c r="P2455" s="78"/>
      <c r="Q2455" s="96"/>
      <c r="R2455" s="97"/>
      <c r="S2455" s="98"/>
    </row>
    <row r="2456" spans="1:19" ht="42.75">
      <c r="A2456" s="90" t="s">
        <v>52</v>
      </c>
      <c r="B2456" s="91" t="s">
        <v>460</v>
      </c>
      <c r="C2456" s="91" t="s">
        <v>2347</v>
      </c>
      <c r="D2456" s="90">
        <v>7099</v>
      </c>
      <c r="E2456" s="90">
        <v>6991</v>
      </c>
      <c r="F2456" s="90" t="s">
        <v>1454</v>
      </c>
      <c r="G2456" s="90"/>
      <c r="H2456" s="93"/>
      <c r="I2456" s="93"/>
      <c r="J2456" s="93"/>
      <c r="K2456" s="95"/>
      <c r="L2456" s="69"/>
      <c r="M2456" s="69"/>
      <c r="N2456" s="69"/>
      <c r="O2456" s="69"/>
      <c r="P2456" s="78"/>
      <c r="Q2456" s="96"/>
      <c r="R2456" s="97"/>
      <c r="S2456" s="98"/>
    </row>
    <row r="2457" spans="1:19" ht="42.75">
      <c r="A2457" s="90" t="s">
        <v>52</v>
      </c>
      <c r="B2457" s="91" t="s">
        <v>460</v>
      </c>
      <c r="C2457" s="91" t="s">
        <v>3964</v>
      </c>
      <c r="D2457" s="90">
        <v>5584</v>
      </c>
      <c r="E2457" s="90">
        <v>6757</v>
      </c>
      <c r="F2457" s="90" t="s">
        <v>1454</v>
      </c>
      <c r="G2457" s="90"/>
      <c r="H2457" s="93"/>
      <c r="I2457" s="93"/>
      <c r="J2457" s="93"/>
      <c r="K2457" s="95"/>
      <c r="L2457" s="69"/>
      <c r="M2457" s="69"/>
      <c r="N2457" s="69"/>
      <c r="O2457" s="69"/>
      <c r="P2457" s="78"/>
      <c r="Q2457" s="96"/>
      <c r="R2457" s="97"/>
      <c r="S2457" s="98"/>
    </row>
    <row r="2458" spans="1:19" ht="42.75">
      <c r="A2458" s="90" t="s">
        <v>52</v>
      </c>
      <c r="B2458" s="91" t="s">
        <v>460</v>
      </c>
      <c r="C2458" s="91" t="s">
        <v>3965</v>
      </c>
      <c r="D2458" s="90">
        <v>2599</v>
      </c>
      <c r="E2458" s="90">
        <v>2916</v>
      </c>
      <c r="F2458" s="90" t="s">
        <v>1454</v>
      </c>
      <c r="G2458" s="90"/>
      <c r="H2458" s="93"/>
      <c r="I2458" s="93"/>
      <c r="J2458" s="93"/>
      <c r="K2458" s="95"/>
      <c r="L2458" s="69"/>
      <c r="M2458" s="69"/>
      <c r="N2458" s="69"/>
      <c r="O2458" s="69"/>
      <c r="P2458" s="78"/>
      <c r="Q2458" s="96"/>
      <c r="R2458" s="97"/>
      <c r="S2458" s="98"/>
    </row>
    <row r="2459" spans="1:19" ht="42.75">
      <c r="A2459" s="90" t="s">
        <v>52</v>
      </c>
      <c r="B2459" s="91" t="s">
        <v>460</v>
      </c>
      <c r="C2459" s="91" t="s">
        <v>3966</v>
      </c>
      <c r="D2459" s="90">
        <v>7078</v>
      </c>
      <c r="E2459" s="90">
        <v>7426</v>
      </c>
      <c r="F2459" s="90" t="s">
        <v>1454</v>
      </c>
      <c r="G2459" s="90"/>
      <c r="H2459" s="93"/>
      <c r="I2459" s="93"/>
      <c r="J2459" s="93"/>
      <c r="K2459" s="95"/>
      <c r="L2459" s="69"/>
      <c r="M2459" s="69"/>
      <c r="N2459" s="69"/>
      <c r="O2459" s="69"/>
      <c r="P2459" s="78"/>
      <c r="Q2459" s="96"/>
      <c r="R2459" s="97"/>
      <c r="S2459" s="98"/>
    </row>
    <row r="2460" spans="1:19" ht="42.75">
      <c r="A2460" s="90" t="s">
        <v>52</v>
      </c>
      <c r="B2460" s="91" t="s">
        <v>460</v>
      </c>
      <c r="C2460" s="91" t="s">
        <v>1046</v>
      </c>
      <c r="D2460" s="90">
        <v>31123</v>
      </c>
      <c r="E2460" s="90">
        <v>35334</v>
      </c>
      <c r="F2460" s="90" t="s">
        <v>1454</v>
      </c>
      <c r="G2460" s="90"/>
      <c r="H2460" s="93"/>
      <c r="I2460" s="93"/>
      <c r="J2460" s="93"/>
      <c r="K2460" s="95"/>
      <c r="L2460" s="69"/>
      <c r="M2460" s="69"/>
      <c r="N2460" s="69"/>
      <c r="O2460" s="69"/>
      <c r="P2460" s="78"/>
      <c r="Q2460" s="96"/>
      <c r="R2460" s="97"/>
      <c r="S2460" s="98"/>
    </row>
    <row r="2461" spans="1:19" ht="42.75">
      <c r="A2461" s="90" t="s">
        <v>52</v>
      </c>
      <c r="B2461" s="91" t="s">
        <v>250</v>
      </c>
      <c r="C2461" s="91" t="s">
        <v>3967</v>
      </c>
      <c r="D2461" s="90">
        <v>8750</v>
      </c>
      <c r="E2461" s="90">
        <v>9534</v>
      </c>
      <c r="F2461" s="90" t="s">
        <v>1434</v>
      </c>
      <c r="G2461" s="90">
        <v>2024</v>
      </c>
      <c r="H2461" s="101">
        <v>45510</v>
      </c>
      <c r="I2461" s="101">
        <v>45514</v>
      </c>
      <c r="J2461" s="94" t="s">
        <v>3968</v>
      </c>
      <c r="K2461" s="100">
        <v>45516</v>
      </c>
      <c r="L2461" s="69" t="s">
        <v>81</v>
      </c>
      <c r="M2461" s="69" t="s">
        <v>4</v>
      </c>
      <c r="N2461" s="69" t="s">
        <v>101</v>
      </c>
      <c r="O2461" s="69" t="s">
        <v>1436</v>
      </c>
      <c r="P2461" s="78"/>
      <c r="Q2461" s="96">
        <v>45517</v>
      </c>
      <c r="R2461" s="97" t="s">
        <v>1481</v>
      </c>
      <c r="S2461" s="98"/>
    </row>
    <row r="2462" spans="1:19" ht="42.75">
      <c r="A2462" s="90" t="s">
        <v>52</v>
      </c>
      <c r="B2462" s="91" t="s">
        <v>250</v>
      </c>
      <c r="C2462" s="91" t="s">
        <v>3969</v>
      </c>
      <c r="D2462" s="90">
        <v>3920</v>
      </c>
      <c r="E2462" s="90">
        <v>4306</v>
      </c>
      <c r="F2462" s="90" t="s">
        <v>1454</v>
      </c>
      <c r="G2462" s="90"/>
      <c r="H2462" s="93"/>
      <c r="I2462" s="93"/>
      <c r="J2462" s="93"/>
      <c r="K2462" s="95"/>
      <c r="L2462" s="69"/>
      <c r="M2462" s="69"/>
      <c r="N2462" s="69"/>
      <c r="O2462" s="69"/>
      <c r="P2462" s="78"/>
      <c r="Q2462" s="96"/>
      <c r="R2462" s="97"/>
      <c r="S2462" s="98"/>
    </row>
    <row r="2463" spans="1:19" ht="42.75">
      <c r="A2463" s="90" t="s">
        <v>52</v>
      </c>
      <c r="B2463" s="91" t="s">
        <v>250</v>
      </c>
      <c r="C2463" s="91" t="s">
        <v>3970</v>
      </c>
      <c r="D2463" s="90">
        <v>2776</v>
      </c>
      <c r="E2463" s="90">
        <v>3239</v>
      </c>
      <c r="F2463" s="90" t="s">
        <v>1454</v>
      </c>
      <c r="G2463" s="90"/>
      <c r="H2463" s="93"/>
      <c r="I2463" s="93"/>
      <c r="J2463" s="93"/>
      <c r="K2463" s="95"/>
      <c r="L2463" s="69"/>
      <c r="M2463" s="69"/>
      <c r="N2463" s="69"/>
      <c r="O2463" s="69"/>
      <c r="P2463" s="78"/>
      <c r="Q2463" s="96"/>
      <c r="R2463" s="97"/>
      <c r="S2463" s="98"/>
    </row>
    <row r="2464" spans="1:19" ht="42.75">
      <c r="A2464" s="90" t="s">
        <v>52</v>
      </c>
      <c r="B2464" s="91" t="s">
        <v>250</v>
      </c>
      <c r="C2464" s="91" t="s">
        <v>3971</v>
      </c>
      <c r="D2464" s="90">
        <v>1233</v>
      </c>
      <c r="E2464" s="90">
        <v>1295</v>
      </c>
      <c r="F2464" s="90" t="s">
        <v>1454</v>
      </c>
      <c r="G2464" s="90"/>
      <c r="H2464" s="93"/>
      <c r="I2464" s="93"/>
      <c r="J2464" s="93"/>
      <c r="K2464" s="95"/>
      <c r="L2464" s="69"/>
      <c r="M2464" s="69"/>
      <c r="N2464" s="69"/>
      <c r="O2464" s="69"/>
      <c r="P2464" s="78"/>
      <c r="Q2464" s="96"/>
      <c r="R2464" s="97"/>
      <c r="S2464" s="98"/>
    </row>
    <row r="2465" spans="1:19" ht="42.75">
      <c r="A2465" s="90" t="s">
        <v>52</v>
      </c>
      <c r="B2465" s="91" t="s">
        <v>250</v>
      </c>
      <c r="C2465" s="91" t="s">
        <v>3972</v>
      </c>
      <c r="D2465" s="90">
        <v>4694</v>
      </c>
      <c r="E2465" s="90">
        <v>5280</v>
      </c>
      <c r="F2465" s="90" t="s">
        <v>1434</v>
      </c>
      <c r="G2465" s="90">
        <v>2024</v>
      </c>
      <c r="H2465" s="101">
        <v>45476</v>
      </c>
      <c r="I2465" s="101">
        <v>45481</v>
      </c>
      <c r="J2465" s="94" t="s">
        <v>3973</v>
      </c>
      <c r="K2465" s="100">
        <v>45491</v>
      </c>
      <c r="L2465" s="69" t="s">
        <v>80</v>
      </c>
      <c r="M2465" s="69" t="s">
        <v>4</v>
      </c>
      <c r="N2465" s="69" t="s">
        <v>101</v>
      </c>
      <c r="O2465" s="69" t="s">
        <v>1436</v>
      </c>
      <c r="P2465" s="78"/>
      <c r="Q2465" s="96">
        <v>45490</v>
      </c>
      <c r="R2465" s="97"/>
      <c r="S2465" s="98"/>
    </row>
    <row r="2466" spans="1:19" ht="42.75">
      <c r="A2466" s="90" t="s">
        <v>52</v>
      </c>
      <c r="B2466" s="91" t="s">
        <v>250</v>
      </c>
      <c r="C2466" s="91" t="s">
        <v>3974</v>
      </c>
      <c r="D2466" s="90">
        <v>3457</v>
      </c>
      <c r="E2466" s="90">
        <v>3821</v>
      </c>
      <c r="F2466" s="90" t="s">
        <v>1454</v>
      </c>
      <c r="G2466" s="90"/>
      <c r="H2466" s="93"/>
      <c r="I2466" s="93"/>
      <c r="J2466" s="93"/>
      <c r="K2466" s="95"/>
      <c r="L2466" s="69"/>
      <c r="M2466" s="69"/>
      <c r="N2466" s="69"/>
      <c r="O2466" s="69"/>
      <c r="P2466" s="78"/>
      <c r="Q2466" s="96"/>
      <c r="R2466" s="97"/>
      <c r="S2466" s="98"/>
    </row>
    <row r="2467" spans="1:19" ht="42.75">
      <c r="A2467" s="90" t="s">
        <v>52</v>
      </c>
      <c r="B2467" s="91" t="s">
        <v>250</v>
      </c>
      <c r="C2467" s="91" t="s">
        <v>3975</v>
      </c>
      <c r="D2467" s="90">
        <v>2114</v>
      </c>
      <c r="E2467" s="90">
        <v>2111</v>
      </c>
      <c r="F2467" s="90" t="s">
        <v>1434</v>
      </c>
      <c r="G2467" s="90">
        <v>2024</v>
      </c>
      <c r="H2467" s="101">
        <v>45476</v>
      </c>
      <c r="I2467" s="101">
        <v>45481</v>
      </c>
      <c r="J2467" s="94" t="s">
        <v>3976</v>
      </c>
      <c r="K2467" s="100">
        <v>45489</v>
      </c>
      <c r="L2467" s="69" t="s">
        <v>80</v>
      </c>
      <c r="M2467" s="69" t="s">
        <v>4</v>
      </c>
      <c r="N2467" s="69" t="s">
        <v>101</v>
      </c>
      <c r="O2467" s="69" t="s">
        <v>1436</v>
      </c>
      <c r="P2467" s="78"/>
      <c r="Q2467" s="96">
        <v>45490</v>
      </c>
      <c r="R2467" s="97"/>
      <c r="S2467" s="98"/>
    </row>
    <row r="2468" spans="1:19" ht="42.75">
      <c r="A2468" s="90" t="s">
        <v>52</v>
      </c>
      <c r="B2468" s="91" t="s">
        <v>250</v>
      </c>
      <c r="C2468" s="91" t="s">
        <v>3977</v>
      </c>
      <c r="D2468" s="90">
        <v>3237</v>
      </c>
      <c r="E2468" s="90">
        <v>3575</v>
      </c>
      <c r="F2468" s="90" t="s">
        <v>1454</v>
      </c>
      <c r="G2468" s="90"/>
      <c r="H2468" s="93"/>
      <c r="I2468" s="93"/>
      <c r="J2468" s="93"/>
      <c r="K2468" s="95"/>
      <c r="L2468" s="69"/>
      <c r="M2468" s="69"/>
      <c r="N2468" s="69"/>
      <c r="O2468" s="69"/>
      <c r="P2468" s="78"/>
      <c r="Q2468" s="96"/>
      <c r="R2468" s="97"/>
      <c r="S2468" s="98"/>
    </row>
    <row r="2469" spans="1:19" ht="42.75">
      <c r="A2469" s="90" t="s">
        <v>52</v>
      </c>
      <c r="B2469" s="91" t="s">
        <v>250</v>
      </c>
      <c r="C2469" s="91" t="s">
        <v>3978</v>
      </c>
      <c r="D2469" s="90">
        <v>965</v>
      </c>
      <c r="E2469" s="90">
        <v>1161</v>
      </c>
      <c r="F2469" s="90" t="s">
        <v>1454</v>
      </c>
      <c r="G2469" s="90"/>
      <c r="H2469" s="93"/>
      <c r="I2469" s="93"/>
      <c r="J2469" s="93"/>
      <c r="K2469" s="95"/>
      <c r="L2469" s="69"/>
      <c r="M2469" s="69"/>
      <c r="N2469" s="69"/>
      <c r="O2469" s="69"/>
      <c r="P2469" s="78"/>
      <c r="Q2469" s="96"/>
      <c r="R2469" s="97"/>
      <c r="S2469" s="98"/>
    </row>
    <row r="2470" spans="1:19" ht="42.75">
      <c r="A2470" s="90" t="s">
        <v>52</v>
      </c>
      <c r="B2470" s="91" t="s">
        <v>250</v>
      </c>
      <c r="C2470" s="91" t="s">
        <v>3979</v>
      </c>
      <c r="D2470" s="90">
        <v>5917</v>
      </c>
      <c r="E2470" s="90">
        <v>6396</v>
      </c>
      <c r="F2470" s="90" t="s">
        <v>1434</v>
      </c>
      <c r="G2470" s="90">
        <v>2024</v>
      </c>
      <c r="H2470" s="101">
        <v>45576</v>
      </c>
      <c r="I2470" s="101">
        <v>45579</v>
      </c>
      <c r="J2470" s="94" t="s">
        <v>3980</v>
      </c>
      <c r="K2470" s="100">
        <v>45580</v>
      </c>
      <c r="L2470" s="69" t="s">
        <v>83</v>
      </c>
      <c r="M2470" s="69" t="s">
        <v>4</v>
      </c>
      <c r="N2470" s="69" t="s">
        <v>101</v>
      </c>
      <c r="O2470" s="69" t="s">
        <v>1436</v>
      </c>
      <c r="P2470" s="78"/>
      <c r="Q2470" s="96">
        <v>45580</v>
      </c>
      <c r="R2470" s="97" t="s">
        <v>1481</v>
      </c>
      <c r="S2470" s="98"/>
    </row>
    <row r="2471" spans="1:19" ht="42.75">
      <c r="A2471" s="90" t="s">
        <v>52</v>
      </c>
      <c r="B2471" s="91" t="s">
        <v>250</v>
      </c>
      <c r="C2471" s="91" t="s">
        <v>3981</v>
      </c>
      <c r="D2471" s="90">
        <v>1276</v>
      </c>
      <c r="E2471" s="90">
        <v>1388</v>
      </c>
      <c r="F2471" s="90" t="s">
        <v>1454</v>
      </c>
      <c r="G2471" s="90"/>
      <c r="H2471" s="93"/>
      <c r="I2471" s="93"/>
      <c r="J2471" s="93"/>
      <c r="K2471" s="95"/>
      <c r="L2471" s="69"/>
      <c r="M2471" s="69"/>
      <c r="N2471" s="69"/>
      <c r="O2471" s="69"/>
      <c r="P2471" s="78"/>
      <c r="Q2471" s="96"/>
      <c r="R2471" s="97"/>
      <c r="S2471" s="98"/>
    </row>
    <row r="2472" spans="1:19" ht="42.75">
      <c r="A2472" s="90" t="s">
        <v>52</v>
      </c>
      <c r="B2472" s="91" t="s">
        <v>250</v>
      </c>
      <c r="C2472" s="91" t="s">
        <v>3982</v>
      </c>
      <c r="D2472" s="90">
        <v>2566</v>
      </c>
      <c r="E2472" s="90">
        <v>2883</v>
      </c>
      <c r="F2472" s="90" t="s">
        <v>1454</v>
      </c>
      <c r="G2472" s="90"/>
      <c r="H2472" s="93"/>
      <c r="I2472" s="93"/>
      <c r="J2472" s="93"/>
      <c r="K2472" s="95"/>
      <c r="L2472" s="69"/>
      <c r="M2472" s="69"/>
      <c r="N2472" s="69"/>
      <c r="O2472" s="69"/>
      <c r="P2472" s="78"/>
      <c r="Q2472" s="96"/>
      <c r="R2472" s="97"/>
      <c r="S2472" s="98"/>
    </row>
    <row r="2473" spans="1:19" ht="42.75">
      <c r="A2473" s="90" t="s">
        <v>52</v>
      </c>
      <c r="B2473" s="91" t="s">
        <v>250</v>
      </c>
      <c r="C2473" s="91" t="s">
        <v>3983</v>
      </c>
      <c r="D2473" s="90">
        <v>2219</v>
      </c>
      <c r="E2473" s="90">
        <v>2441</v>
      </c>
      <c r="F2473" s="90" t="s">
        <v>1454</v>
      </c>
      <c r="G2473" s="90"/>
      <c r="H2473" s="93"/>
      <c r="I2473" s="93"/>
      <c r="J2473" s="93"/>
      <c r="K2473" s="95"/>
      <c r="L2473" s="69"/>
      <c r="M2473" s="69"/>
      <c r="N2473" s="69"/>
      <c r="O2473" s="69"/>
      <c r="P2473" s="78"/>
      <c r="Q2473" s="96"/>
      <c r="R2473" s="97"/>
      <c r="S2473" s="98"/>
    </row>
    <row r="2474" spans="1:19" ht="42.75">
      <c r="A2474" s="90" t="s">
        <v>52</v>
      </c>
      <c r="B2474" s="91" t="s">
        <v>250</v>
      </c>
      <c r="C2474" s="91" t="s">
        <v>3984</v>
      </c>
      <c r="D2474" s="90">
        <v>1547</v>
      </c>
      <c r="E2474" s="90">
        <v>1729</v>
      </c>
      <c r="F2474" s="90" t="s">
        <v>1454</v>
      </c>
      <c r="G2474" s="90"/>
      <c r="H2474" s="93"/>
      <c r="I2474" s="93"/>
      <c r="J2474" s="93"/>
      <c r="K2474" s="95"/>
      <c r="L2474" s="69"/>
      <c r="M2474" s="69"/>
      <c r="N2474" s="69"/>
      <c r="O2474" s="69"/>
      <c r="P2474" s="78"/>
      <c r="Q2474" s="96"/>
      <c r="R2474" s="97"/>
      <c r="S2474" s="98"/>
    </row>
    <row r="2475" spans="1:19" ht="42.75">
      <c r="A2475" s="90" t="s">
        <v>52</v>
      </c>
      <c r="B2475" s="91" t="s">
        <v>250</v>
      </c>
      <c r="C2475" s="91" t="s">
        <v>3985</v>
      </c>
      <c r="D2475" s="90">
        <v>3725</v>
      </c>
      <c r="E2475" s="90">
        <v>3719</v>
      </c>
      <c r="F2475" s="90" t="s">
        <v>1434</v>
      </c>
      <c r="G2475" s="90">
        <v>2024</v>
      </c>
      <c r="H2475" s="101">
        <v>45414</v>
      </c>
      <c r="I2475" s="101">
        <v>45415</v>
      </c>
      <c r="J2475" s="178" t="s">
        <v>3986</v>
      </c>
      <c r="K2475" s="179">
        <v>45421</v>
      </c>
      <c r="L2475" s="69" t="s">
        <v>3689</v>
      </c>
      <c r="M2475" s="69"/>
      <c r="N2475" s="69"/>
      <c r="O2475" s="69" t="s">
        <v>1436</v>
      </c>
      <c r="P2475" s="78"/>
      <c r="Q2475" s="96"/>
      <c r="R2475" s="97"/>
      <c r="S2475" s="98"/>
    </row>
    <row r="2476" spans="1:19" ht="42.75">
      <c r="A2476" s="90" t="s">
        <v>52</v>
      </c>
      <c r="B2476" s="91" t="s">
        <v>250</v>
      </c>
      <c r="C2476" s="91" t="s">
        <v>3987</v>
      </c>
      <c r="D2476" s="90">
        <v>1207</v>
      </c>
      <c r="E2476" s="90">
        <v>1230</v>
      </c>
      <c r="F2476" s="90" t="s">
        <v>1454</v>
      </c>
      <c r="G2476" s="90"/>
      <c r="H2476" s="93"/>
      <c r="I2476" s="93"/>
      <c r="J2476" s="93"/>
      <c r="K2476" s="95"/>
      <c r="L2476" s="69"/>
      <c r="M2476" s="69"/>
      <c r="N2476" s="69"/>
      <c r="O2476" s="69"/>
      <c r="P2476" s="78"/>
      <c r="Q2476" s="96"/>
      <c r="R2476" s="97"/>
      <c r="S2476" s="98"/>
    </row>
    <row r="2477" spans="1:19" ht="42.75">
      <c r="A2477" s="90" t="s">
        <v>52</v>
      </c>
      <c r="B2477" s="91" t="s">
        <v>250</v>
      </c>
      <c r="C2477" s="91" t="s">
        <v>3988</v>
      </c>
      <c r="D2477" s="90">
        <v>2524</v>
      </c>
      <c r="E2477" s="90">
        <v>2761</v>
      </c>
      <c r="F2477" s="90" t="s">
        <v>1454</v>
      </c>
      <c r="G2477" s="90"/>
      <c r="H2477" s="93"/>
      <c r="I2477" s="93"/>
      <c r="J2477" s="93"/>
      <c r="K2477" s="95"/>
      <c r="L2477" s="69"/>
      <c r="M2477" s="69"/>
      <c r="N2477" s="69"/>
      <c r="O2477" s="69"/>
      <c r="P2477" s="78"/>
      <c r="Q2477" s="96"/>
      <c r="R2477" s="97"/>
      <c r="S2477" s="98"/>
    </row>
    <row r="2478" spans="1:19" ht="42.75">
      <c r="A2478" s="90" t="s">
        <v>52</v>
      </c>
      <c r="B2478" s="91" t="s">
        <v>250</v>
      </c>
      <c r="C2478" s="91" t="s">
        <v>1740</v>
      </c>
      <c r="D2478" s="90">
        <v>3260</v>
      </c>
      <c r="E2478" s="90">
        <v>3438</v>
      </c>
      <c r="F2478" s="90" t="s">
        <v>1454</v>
      </c>
      <c r="G2478" s="90"/>
      <c r="H2478" s="93"/>
      <c r="I2478" s="93"/>
      <c r="J2478" s="93"/>
      <c r="K2478" s="95"/>
      <c r="L2478" s="69"/>
      <c r="M2478" s="69"/>
      <c r="N2478" s="69"/>
      <c r="O2478" s="69"/>
      <c r="P2478" s="78"/>
      <c r="Q2478" s="96"/>
      <c r="R2478" s="97"/>
      <c r="S2478" s="98"/>
    </row>
    <row r="2479" spans="1:19" ht="42.75">
      <c r="A2479" s="90" t="s">
        <v>52</v>
      </c>
      <c r="B2479" s="91" t="s">
        <v>250</v>
      </c>
      <c r="C2479" s="91" t="s">
        <v>3989</v>
      </c>
      <c r="D2479" s="90">
        <v>1725</v>
      </c>
      <c r="E2479" s="90">
        <v>1714</v>
      </c>
      <c r="F2479" s="90" t="s">
        <v>1454</v>
      </c>
      <c r="G2479" s="90"/>
      <c r="H2479" s="93"/>
      <c r="I2479" s="93"/>
      <c r="J2479" s="93"/>
      <c r="K2479" s="95"/>
      <c r="L2479" s="69"/>
      <c r="M2479" s="69"/>
      <c r="N2479" s="69"/>
      <c r="O2479" s="69"/>
      <c r="P2479" s="78"/>
      <c r="Q2479" s="96"/>
      <c r="R2479" s="97"/>
      <c r="S2479" s="98"/>
    </row>
    <row r="2480" spans="1:19" ht="42.75">
      <c r="A2480" s="90" t="s">
        <v>52</v>
      </c>
      <c r="B2480" s="91" t="s">
        <v>250</v>
      </c>
      <c r="C2480" s="91" t="s">
        <v>3990</v>
      </c>
      <c r="D2480" s="90">
        <v>3107</v>
      </c>
      <c r="E2480" s="90">
        <v>3368</v>
      </c>
      <c r="F2480" s="90" t="s">
        <v>1434</v>
      </c>
      <c r="G2480" s="90">
        <v>2024</v>
      </c>
      <c r="H2480" s="101">
        <v>45475</v>
      </c>
      <c r="I2480" s="101">
        <v>45481</v>
      </c>
      <c r="J2480" s="94" t="s">
        <v>3991</v>
      </c>
      <c r="K2480" s="100">
        <v>45489</v>
      </c>
      <c r="L2480" s="69" t="s">
        <v>80</v>
      </c>
      <c r="M2480" s="69" t="s">
        <v>4</v>
      </c>
      <c r="N2480" s="69" t="s">
        <v>101</v>
      </c>
      <c r="O2480" s="69" t="s">
        <v>1436</v>
      </c>
      <c r="P2480" s="78"/>
      <c r="Q2480" s="96"/>
      <c r="R2480" s="97"/>
      <c r="S2480" s="98"/>
    </row>
    <row r="2481" spans="1:19" ht="42.75">
      <c r="A2481" s="90" t="s">
        <v>52</v>
      </c>
      <c r="B2481" s="91" t="s">
        <v>250</v>
      </c>
      <c r="C2481" s="91" t="s">
        <v>2342</v>
      </c>
      <c r="D2481" s="90">
        <v>6040</v>
      </c>
      <c r="E2481" s="90">
        <v>7429</v>
      </c>
      <c r="F2481" s="90" t="s">
        <v>1434</v>
      </c>
      <c r="G2481" s="90">
        <v>2024</v>
      </c>
      <c r="H2481" s="101">
        <v>45541</v>
      </c>
      <c r="I2481" s="101">
        <v>45545</v>
      </c>
      <c r="J2481" s="94" t="s">
        <v>3992</v>
      </c>
      <c r="K2481" s="100">
        <v>45552</v>
      </c>
      <c r="L2481" s="69" t="s">
        <v>82</v>
      </c>
      <c r="M2481" s="69" t="s">
        <v>4</v>
      </c>
      <c r="N2481" s="69" t="s">
        <v>101</v>
      </c>
      <c r="O2481" s="69" t="s">
        <v>1436</v>
      </c>
      <c r="P2481" s="78"/>
      <c r="Q2481" s="70">
        <v>45552</v>
      </c>
      <c r="R2481" s="97" t="s">
        <v>1481</v>
      </c>
      <c r="S2481" s="98"/>
    </row>
    <row r="2482" spans="1:19" ht="42.75">
      <c r="A2482" s="90" t="s">
        <v>52</v>
      </c>
      <c r="B2482" s="91" t="s">
        <v>250</v>
      </c>
      <c r="C2482" s="91" t="s">
        <v>714</v>
      </c>
      <c r="D2482" s="90">
        <v>3175</v>
      </c>
      <c r="E2482" s="90">
        <v>3474</v>
      </c>
      <c r="F2482" s="90" t="s">
        <v>1434</v>
      </c>
      <c r="G2482" s="90">
        <v>2024</v>
      </c>
      <c r="H2482" s="101">
        <v>45604</v>
      </c>
      <c r="I2482" s="101">
        <v>45606</v>
      </c>
      <c r="J2482" s="94" t="s">
        <v>3993</v>
      </c>
      <c r="K2482" s="100">
        <v>45613</v>
      </c>
      <c r="L2482" s="69" t="s">
        <v>84</v>
      </c>
      <c r="M2482" s="69" t="s">
        <v>4</v>
      </c>
      <c r="N2482" s="69" t="s">
        <v>101</v>
      </c>
      <c r="O2482" s="69" t="s">
        <v>1436</v>
      </c>
      <c r="P2482" s="78"/>
      <c r="Q2482" s="96">
        <v>45614</v>
      </c>
      <c r="R2482" s="97" t="s">
        <v>1481</v>
      </c>
      <c r="S2482" s="98"/>
    </row>
    <row r="2483" spans="1:19" ht="42.75">
      <c r="A2483" s="90" t="s">
        <v>52</v>
      </c>
      <c r="B2483" s="91" t="s">
        <v>250</v>
      </c>
      <c r="C2483" s="91" t="s">
        <v>3850</v>
      </c>
      <c r="D2483" s="90">
        <v>2113</v>
      </c>
      <c r="E2483" s="90">
        <v>2415</v>
      </c>
      <c r="F2483" s="90" t="s">
        <v>1454</v>
      </c>
      <c r="G2483" s="90"/>
      <c r="H2483" s="93"/>
      <c r="I2483" s="93"/>
      <c r="J2483" s="93"/>
      <c r="K2483" s="95"/>
      <c r="L2483" s="69"/>
      <c r="M2483" s="69"/>
      <c r="N2483" s="69"/>
      <c r="O2483" s="69"/>
      <c r="P2483" s="78"/>
      <c r="Q2483" s="96"/>
      <c r="R2483" s="97"/>
      <c r="S2483" s="98"/>
    </row>
    <row r="2484" spans="1:19" ht="42.75">
      <c r="A2484" s="90" t="s">
        <v>52</v>
      </c>
      <c r="B2484" s="91" t="s">
        <v>250</v>
      </c>
      <c r="C2484" s="91" t="s">
        <v>2276</v>
      </c>
      <c r="D2484" s="90">
        <v>7983</v>
      </c>
      <c r="E2484" s="90">
        <v>8828</v>
      </c>
      <c r="F2484" s="90" t="s">
        <v>1434</v>
      </c>
      <c r="G2484" s="90">
        <v>2024</v>
      </c>
      <c r="H2484" s="101">
        <v>45414</v>
      </c>
      <c r="I2484" s="101">
        <v>45415</v>
      </c>
      <c r="J2484" s="94" t="s">
        <v>3994</v>
      </c>
      <c r="K2484" s="100">
        <v>45420</v>
      </c>
      <c r="L2484" s="69" t="s">
        <v>3689</v>
      </c>
      <c r="M2484" s="69"/>
      <c r="N2484" s="69"/>
      <c r="O2484" s="69" t="s">
        <v>1436</v>
      </c>
      <c r="P2484" s="78"/>
      <c r="Q2484" s="96"/>
      <c r="R2484" s="97"/>
      <c r="S2484" s="98"/>
    </row>
    <row r="2485" spans="1:19" ht="42.75">
      <c r="A2485" s="90" t="s">
        <v>52</v>
      </c>
      <c r="B2485" s="91" t="s">
        <v>250</v>
      </c>
      <c r="C2485" s="91" t="s">
        <v>520</v>
      </c>
      <c r="D2485" s="90">
        <v>2950</v>
      </c>
      <c r="E2485" s="90">
        <v>3252</v>
      </c>
      <c r="F2485" s="90" t="s">
        <v>1454</v>
      </c>
      <c r="G2485" s="90"/>
      <c r="H2485" s="93"/>
      <c r="I2485" s="93"/>
      <c r="J2485" s="93"/>
      <c r="K2485" s="95"/>
      <c r="L2485" s="69"/>
      <c r="M2485" s="69"/>
      <c r="N2485" s="69"/>
      <c r="O2485" s="69"/>
      <c r="P2485" s="78"/>
      <c r="Q2485" s="96"/>
      <c r="R2485" s="97"/>
      <c r="S2485" s="98"/>
    </row>
    <row r="2486" spans="1:19" ht="42.75">
      <c r="A2486" s="90" t="s">
        <v>52</v>
      </c>
      <c r="B2486" s="91" t="s">
        <v>250</v>
      </c>
      <c r="C2486" s="91" t="s">
        <v>2278</v>
      </c>
      <c r="D2486" s="90">
        <v>9739</v>
      </c>
      <c r="E2486" s="90">
        <v>10454</v>
      </c>
      <c r="F2486" s="90" t="s">
        <v>1434</v>
      </c>
      <c r="G2486" s="90">
        <v>2024</v>
      </c>
      <c r="H2486" s="101">
        <v>45510</v>
      </c>
      <c r="I2486" s="101">
        <v>45514</v>
      </c>
      <c r="J2486" s="94" t="s">
        <v>3995</v>
      </c>
      <c r="K2486" s="100">
        <v>45516</v>
      </c>
      <c r="L2486" s="69" t="s">
        <v>81</v>
      </c>
      <c r="M2486" s="69" t="s">
        <v>4</v>
      </c>
      <c r="N2486" s="69" t="s">
        <v>101</v>
      </c>
      <c r="O2486" s="69" t="s">
        <v>1436</v>
      </c>
      <c r="P2486" s="78"/>
      <c r="Q2486" s="96">
        <v>45517</v>
      </c>
      <c r="R2486" s="97" t="s">
        <v>1481</v>
      </c>
      <c r="S2486" s="98"/>
    </row>
    <row r="2487" spans="1:19" ht="42.75">
      <c r="A2487" s="90" t="s">
        <v>52</v>
      </c>
      <c r="B2487" s="91" t="s">
        <v>250</v>
      </c>
      <c r="C2487" s="91" t="s">
        <v>764</v>
      </c>
      <c r="D2487" s="90">
        <v>4565</v>
      </c>
      <c r="E2487" s="90">
        <v>5296</v>
      </c>
      <c r="F2487" s="90" t="s">
        <v>1434</v>
      </c>
      <c r="G2487" s="90">
        <v>2024</v>
      </c>
      <c r="H2487" s="101">
        <v>45576</v>
      </c>
      <c r="I2487" s="101">
        <v>45578</v>
      </c>
      <c r="J2487" s="94" t="s">
        <v>3996</v>
      </c>
      <c r="K2487" s="100">
        <v>45580</v>
      </c>
      <c r="L2487" s="69" t="s">
        <v>83</v>
      </c>
      <c r="M2487" s="69" t="s">
        <v>4</v>
      </c>
      <c r="N2487" s="69" t="s">
        <v>101</v>
      </c>
      <c r="O2487" s="69" t="s">
        <v>1436</v>
      </c>
      <c r="P2487" s="78"/>
      <c r="Q2487" s="96">
        <v>45580</v>
      </c>
      <c r="R2487" s="97" t="s">
        <v>1481</v>
      </c>
      <c r="S2487" s="98"/>
    </row>
    <row r="2488" spans="1:19" ht="42.75">
      <c r="A2488" s="90" t="s">
        <v>52</v>
      </c>
      <c r="B2488" s="91" t="s">
        <v>250</v>
      </c>
      <c r="C2488" s="91" t="s">
        <v>2583</v>
      </c>
      <c r="D2488" s="90">
        <v>408</v>
      </c>
      <c r="E2488" s="90">
        <v>447</v>
      </c>
      <c r="F2488" s="90" t="s">
        <v>1454</v>
      </c>
      <c r="G2488" s="90"/>
      <c r="H2488" s="93"/>
      <c r="I2488" s="93"/>
      <c r="J2488" s="93"/>
      <c r="K2488" s="95"/>
      <c r="L2488" s="69"/>
      <c r="M2488" s="69"/>
      <c r="N2488" s="69"/>
      <c r="O2488" s="69"/>
      <c r="P2488" s="78"/>
      <c r="Q2488" s="96"/>
      <c r="R2488" s="97"/>
      <c r="S2488" s="98"/>
    </row>
    <row r="2489" spans="1:19" ht="42.75">
      <c r="A2489" s="90" t="s">
        <v>52</v>
      </c>
      <c r="B2489" s="91" t="s">
        <v>250</v>
      </c>
      <c r="C2489" s="91" t="s">
        <v>3749</v>
      </c>
      <c r="D2489" s="90">
        <v>4985</v>
      </c>
      <c r="E2489" s="90">
        <v>4882</v>
      </c>
      <c r="F2489" s="90" t="s">
        <v>1454</v>
      </c>
      <c r="G2489" s="90"/>
      <c r="H2489" s="93"/>
      <c r="I2489" s="93"/>
      <c r="J2489" s="93"/>
      <c r="K2489" s="95"/>
      <c r="L2489" s="69"/>
      <c r="M2489" s="69"/>
      <c r="N2489" s="69"/>
      <c r="O2489" s="69"/>
      <c r="P2489" s="78"/>
      <c r="Q2489" s="96"/>
      <c r="R2489" s="97"/>
      <c r="S2489" s="98"/>
    </row>
    <row r="2490" spans="1:19" ht="42.75">
      <c r="A2490" s="90" t="s">
        <v>52</v>
      </c>
      <c r="B2490" s="91" t="s">
        <v>250</v>
      </c>
      <c r="C2490" s="91" t="s">
        <v>3997</v>
      </c>
      <c r="D2490" s="90">
        <v>3852</v>
      </c>
      <c r="E2490" s="90">
        <v>4101</v>
      </c>
      <c r="F2490" s="90" t="s">
        <v>1454</v>
      </c>
      <c r="G2490" s="90"/>
      <c r="H2490" s="93"/>
      <c r="I2490" s="93"/>
      <c r="J2490" s="93"/>
      <c r="K2490" s="95"/>
      <c r="L2490" s="69"/>
      <c r="M2490" s="69"/>
      <c r="N2490" s="69"/>
      <c r="O2490" s="69"/>
      <c r="P2490" s="78"/>
      <c r="Q2490" s="96"/>
      <c r="R2490" s="97"/>
      <c r="S2490" s="98"/>
    </row>
    <row r="2491" spans="1:19" ht="42.75">
      <c r="A2491" s="90" t="s">
        <v>52</v>
      </c>
      <c r="B2491" s="91" t="s">
        <v>250</v>
      </c>
      <c r="C2491" s="91" t="s">
        <v>1879</v>
      </c>
      <c r="D2491" s="90">
        <v>3971</v>
      </c>
      <c r="E2491" s="90">
        <v>4434</v>
      </c>
      <c r="F2491" s="90" t="s">
        <v>1454</v>
      </c>
      <c r="G2491" s="90"/>
      <c r="H2491" s="93"/>
      <c r="I2491" s="93"/>
      <c r="J2491" s="93"/>
      <c r="K2491" s="95"/>
      <c r="L2491" s="69"/>
      <c r="M2491" s="69"/>
      <c r="N2491" s="69"/>
      <c r="O2491" s="69"/>
      <c r="P2491" s="78"/>
      <c r="Q2491" s="96"/>
      <c r="R2491" s="97"/>
      <c r="S2491" s="98"/>
    </row>
    <row r="2492" spans="1:19" ht="42.75">
      <c r="A2492" s="90" t="s">
        <v>52</v>
      </c>
      <c r="B2492" s="91" t="s">
        <v>250</v>
      </c>
      <c r="C2492" s="91" t="s">
        <v>554</v>
      </c>
      <c r="D2492" s="90">
        <v>4948</v>
      </c>
      <c r="E2492" s="90">
        <v>5415</v>
      </c>
      <c r="F2492" s="90" t="s">
        <v>1434</v>
      </c>
      <c r="G2492" s="90">
        <v>2024</v>
      </c>
      <c r="H2492" s="101">
        <v>45454</v>
      </c>
      <c r="I2492" s="101">
        <v>45455</v>
      </c>
      <c r="J2492" s="94" t="s">
        <v>3998</v>
      </c>
      <c r="K2492" s="100">
        <v>45463</v>
      </c>
      <c r="L2492" s="69" t="s">
        <v>79</v>
      </c>
      <c r="M2492" s="69" t="s">
        <v>4</v>
      </c>
      <c r="N2492" s="69" t="s">
        <v>101</v>
      </c>
      <c r="O2492" s="69" t="s">
        <v>1436</v>
      </c>
      <c r="P2492" s="78"/>
      <c r="Q2492" s="70">
        <v>45463</v>
      </c>
      <c r="R2492" s="97"/>
      <c r="S2492" s="98"/>
    </row>
    <row r="2493" spans="1:19" ht="42.75">
      <c r="A2493" s="90" t="s">
        <v>52</v>
      </c>
      <c r="B2493" s="91" t="s">
        <v>250</v>
      </c>
      <c r="C2493" s="91" t="s">
        <v>380</v>
      </c>
      <c r="D2493" s="90">
        <v>1644</v>
      </c>
      <c r="E2493" s="90">
        <v>2259</v>
      </c>
      <c r="F2493" s="90" t="s">
        <v>1434</v>
      </c>
      <c r="G2493" s="90">
        <v>2024</v>
      </c>
      <c r="H2493" s="101">
        <v>45496</v>
      </c>
      <c r="I2493" s="101">
        <v>45499</v>
      </c>
      <c r="J2493" s="94" t="s">
        <v>3999</v>
      </c>
      <c r="K2493" s="100">
        <v>45503</v>
      </c>
      <c r="L2493" s="69" t="s">
        <v>81</v>
      </c>
      <c r="M2493" s="69" t="s">
        <v>4</v>
      </c>
      <c r="N2493" s="69" t="s">
        <v>101</v>
      </c>
      <c r="O2493" s="69" t="s">
        <v>1436</v>
      </c>
      <c r="P2493" s="78"/>
      <c r="Q2493" s="96">
        <v>45503</v>
      </c>
      <c r="R2493" s="97"/>
      <c r="S2493" s="98"/>
    </row>
    <row r="2494" spans="1:19" ht="42.75">
      <c r="A2494" s="90" t="s">
        <v>52</v>
      </c>
      <c r="B2494" s="91" t="s">
        <v>250</v>
      </c>
      <c r="C2494" s="91" t="s">
        <v>2345</v>
      </c>
      <c r="D2494" s="90">
        <v>5610</v>
      </c>
      <c r="E2494" s="90">
        <v>6082</v>
      </c>
      <c r="F2494" s="90" t="s">
        <v>1434</v>
      </c>
      <c r="G2494" s="90">
        <v>2024</v>
      </c>
      <c r="H2494" s="101">
        <v>45454</v>
      </c>
      <c r="I2494" s="101">
        <v>45455</v>
      </c>
      <c r="J2494" s="94" t="s">
        <v>4000</v>
      </c>
      <c r="K2494" s="100">
        <v>45463</v>
      </c>
      <c r="L2494" s="69" t="s">
        <v>79</v>
      </c>
      <c r="M2494" s="69" t="s">
        <v>4</v>
      </c>
      <c r="N2494" s="69" t="s">
        <v>101</v>
      </c>
      <c r="O2494" s="69" t="s">
        <v>1436</v>
      </c>
      <c r="P2494" s="78"/>
      <c r="Q2494" s="70">
        <v>45463</v>
      </c>
      <c r="R2494" s="97"/>
      <c r="S2494" s="98"/>
    </row>
    <row r="2495" spans="1:19" ht="42.75">
      <c r="A2495" s="90" t="s">
        <v>52</v>
      </c>
      <c r="B2495" s="91" t="s">
        <v>250</v>
      </c>
      <c r="C2495" s="91" t="s">
        <v>539</v>
      </c>
      <c r="D2495" s="90">
        <v>4958</v>
      </c>
      <c r="E2495" s="90">
        <v>5586</v>
      </c>
      <c r="F2495" s="90" t="s">
        <v>1434</v>
      </c>
      <c r="G2495" s="90">
        <v>2024</v>
      </c>
      <c r="H2495" s="101">
        <v>45496</v>
      </c>
      <c r="I2495" s="167">
        <v>45499</v>
      </c>
      <c r="J2495" s="117" t="s">
        <v>4001</v>
      </c>
      <c r="K2495" s="180">
        <v>45503</v>
      </c>
      <c r="L2495" s="69" t="s">
        <v>84</v>
      </c>
      <c r="M2495" s="69" t="s">
        <v>4</v>
      </c>
      <c r="N2495" s="69" t="s">
        <v>101</v>
      </c>
      <c r="O2495" s="69" t="s">
        <v>1436</v>
      </c>
      <c r="P2495" s="78"/>
      <c r="Q2495" s="96">
        <v>45503</v>
      </c>
      <c r="R2495" s="97" t="s">
        <v>1481</v>
      </c>
      <c r="S2495" s="98" t="s">
        <v>2804</v>
      </c>
    </row>
    <row r="2496" spans="1:19" ht="42.75">
      <c r="A2496" s="90" t="s">
        <v>52</v>
      </c>
      <c r="B2496" s="91" t="s">
        <v>250</v>
      </c>
      <c r="C2496" s="91" t="s">
        <v>524</v>
      </c>
      <c r="D2496" s="90">
        <v>4846</v>
      </c>
      <c r="E2496" s="90">
        <v>5693</v>
      </c>
      <c r="F2496" s="90" t="s">
        <v>1434</v>
      </c>
      <c r="G2496" s="90">
        <v>2024</v>
      </c>
      <c r="H2496" s="147">
        <v>45510</v>
      </c>
      <c r="I2496" s="100">
        <v>45514</v>
      </c>
      <c r="J2496" s="107" t="s">
        <v>4002</v>
      </c>
      <c r="K2496" s="100">
        <v>45516</v>
      </c>
      <c r="L2496" s="158" t="s">
        <v>81</v>
      </c>
      <c r="M2496" s="69" t="s">
        <v>4</v>
      </c>
      <c r="N2496" s="69" t="s">
        <v>101</v>
      </c>
      <c r="O2496" s="69" t="s">
        <v>1436</v>
      </c>
      <c r="P2496" s="78"/>
      <c r="Q2496" s="96">
        <v>45517</v>
      </c>
      <c r="R2496" s="97" t="s">
        <v>1481</v>
      </c>
      <c r="S2496" s="98"/>
    </row>
    <row r="2497" spans="1:19" ht="42.75">
      <c r="A2497" s="90" t="s">
        <v>52</v>
      </c>
      <c r="B2497" s="91" t="s">
        <v>250</v>
      </c>
      <c r="C2497" s="91" t="s">
        <v>1020</v>
      </c>
      <c r="D2497" s="90">
        <v>5391</v>
      </c>
      <c r="E2497" s="90">
        <v>5686</v>
      </c>
      <c r="F2497" s="90" t="s">
        <v>1434</v>
      </c>
      <c r="G2497" s="90">
        <v>2024</v>
      </c>
      <c r="H2497" s="147">
        <v>45576</v>
      </c>
      <c r="I2497" s="100">
        <v>45578</v>
      </c>
      <c r="J2497" s="107" t="s">
        <v>4003</v>
      </c>
      <c r="K2497" s="100">
        <v>45580</v>
      </c>
      <c r="L2497" s="158" t="s">
        <v>83</v>
      </c>
      <c r="M2497" s="69" t="s">
        <v>4</v>
      </c>
      <c r="N2497" s="69" t="s">
        <v>101</v>
      </c>
      <c r="O2497" s="69" t="s">
        <v>1436</v>
      </c>
      <c r="P2497" s="78"/>
      <c r="Q2497" s="96">
        <v>45580</v>
      </c>
      <c r="R2497" s="97" t="s">
        <v>1481</v>
      </c>
      <c r="S2497" s="98"/>
    </row>
    <row r="2498" spans="1:19" ht="42.75">
      <c r="A2498" s="90" t="s">
        <v>52</v>
      </c>
      <c r="B2498" s="91" t="s">
        <v>250</v>
      </c>
      <c r="C2498" s="91" t="s">
        <v>2236</v>
      </c>
      <c r="D2498" s="90">
        <v>1463</v>
      </c>
      <c r="E2498" s="90">
        <v>1537</v>
      </c>
      <c r="F2498" s="90" t="s">
        <v>1454</v>
      </c>
      <c r="G2498" s="90"/>
      <c r="H2498" s="93"/>
      <c r="I2498" s="122"/>
      <c r="J2498" s="122"/>
      <c r="K2498" s="170"/>
      <c r="L2498" s="69"/>
      <c r="M2498" s="69"/>
      <c r="N2498" s="69"/>
      <c r="O2498" s="69"/>
      <c r="P2498" s="78"/>
      <c r="Q2498" s="96"/>
      <c r="R2498" s="97"/>
      <c r="S2498" s="98"/>
    </row>
    <row r="2499" spans="1:19" ht="42.75">
      <c r="A2499" s="90" t="s">
        <v>52</v>
      </c>
      <c r="B2499" s="91" t="s">
        <v>250</v>
      </c>
      <c r="C2499" s="91" t="s">
        <v>2347</v>
      </c>
      <c r="D2499" s="90">
        <v>1819</v>
      </c>
      <c r="E2499" s="90">
        <v>2030</v>
      </c>
      <c r="F2499" s="90" t="s">
        <v>1434</v>
      </c>
      <c r="G2499" s="90">
        <v>2024</v>
      </c>
      <c r="H2499" s="147">
        <v>45476</v>
      </c>
      <c r="I2499" s="100">
        <v>45481</v>
      </c>
      <c r="J2499" s="107" t="s">
        <v>4004</v>
      </c>
      <c r="K2499" s="100">
        <v>45489</v>
      </c>
      <c r="L2499" s="158" t="s">
        <v>80</v>
      </c>
      <c r="M2499" s="69" t="s">
        <v>4</v>
      </c>
      <c r="N2499" s="69" t="s">
        <v>101</v>
      </c>
      <c r="O2499" s="69" t="s">
        <v>1436</v>
      </c>
      <c r="P2499" s="78"/>
      <c r="Q2499" s="96">
        <v>45492</v>
      </c>
      <c r="R2499" s="97"/>
      <c r="S2499" s="98"/>
    </row>
    <row r="2500" spans="1:19" ht="42.75">
      <c r="A2500" s="90" t="s">
        <v>52</v>
      </c>
      <c r="B2500" s="91" t="s">
        <v>250</v>
      </c>
      <c r="C2500" s="91" t="s">
        <v>4005</v>
      </c>
      <c r="D2500" s="90">
        <v>1801</v>
      </c>
      <c r="E2500" s="90">
        <v>2043</v>
      </c>
      <c r="F2500" s="90" t="s">
        <v>1454</v>
      </c>
      <c r="G2500" s="90"/>
      <c r="H2500" s="93"/>
      <c r="I2500" s="93"/>
      <c r="J2500" s="93"/>
      <c r="K2500" s="169"/>
      <c r="L2500" s="69"/>
      <c r="M2500" s="69"/>
      <c r="N2500" s="69"/>
      <c r="O2500" s="69"/>
      <c r="P2500" s="78"/>
      <c r="Q2500" s="96"/>
      <c r="R2500" s="97"/>
      <c r="S2500" s="98"/>
    </row>
    <row r="2501" spans="1:19" ht="42.75">
      <c r="A2501" s="90" t="s">
        <v>52</v>
      </c>
      <c r="B2501" s="91" t="s">
        <v>250</v>
      </c>
      <c r="C2501" s="91" t="s">
        <v>4006</v>
      </c>
      <c r="D2501" s="90">
        <v>2624</v>
      </c>
      <c r="E2501" s="90">
        <v>2565</v>
      </c>
      <c r="F2501" s="90" t="s">
        <v>1454</v>
      </c>
      <c r="G2501" s="90"/>
      <c r="H2501" s="93"/>
      <c r="I2501" s="93"/>
      <c r="J2501" s="93"/>
      <c r="K2501" s="95"/>
      <c r="L2501" s="69"/>
      <c r="M2501" s="69"/>
      <c r="N2501" s="69"/>
      <c r="O2501" s="69"/>
      <c r="P2501" s="78"/>
      <c r="Q2501" s="96"/>
      <c r="R2501" s="97"/>
      <c r="S2501" s="98"/>
    </row>
    <row r="2502" spans="1:19" ht="42.75">
      <c r="A2502" s="90" t="s">
        <v>52</v>
      </c>
      <c r="B2502" s="91" t="s">
        <v>250</v>
      </c>
      <c r="C2502" s="91" t="s">
        <v>4007</v>
      </c>
      <c r="D2502" s="90">
        <v>95</v>
      </c>
      <c r="E2502" s="90">
        <v>208</v>
      </c>
      <c r="F2502" s="90" t="s">
        <v>1454</v>
      </c>
      <c r="G2502" s="90"/>
      <c r="H2502" s="93"/>
      <c r="I2502" s="122"/>
      <c r="J2502" s="122"/>
      <c r="K2502" s="168"/>
      <c r="L2502" s="69"/>
      <c r="M2502" s="69"/>
      <c r="N2502" s="69"/>
      <c r="O2502" s="69"/>
      <c r="P2502" s="78"/>
      <c r="Q2502" s="96"/>
      <c r="R2502" s="97"/>
      <c r="S2502" s="98"/>
    </row>
    <row r="2503" spans="1:19" ht="42.75">
      <c r="A2503" s="90" t="s">
        <v>52</v>
      </c>
      <c r="B2503" s="91" t="s">
        <v>250</v>
      </c>
      <c r="C2503" s="91" t="s">
        <v>4008</v>
      </c>
      <c r="D2503" s="90">
        <v>4547</v>
      </c>
      <c r="E2503" s="90">
        <v>5347</v>
      </c>
      <c r="F2503" s="90" t="s">
        <v>1434</v>
      </c>
      <c r="G2503" s="90">
        <v>2024</v>
      </c>
      <c r="H2503" s="147">
        <v>45541</v>
      </c>
      <c r="I2503" s="100">
        <v>45545</v>
      </c>
      <c r="J2503" s="107" t="s">
        <v>4009</v>
      </c>
      <c r="K2503" s="100">
        <v>45552</v>
      </c>
      <c r="L2503" s="158" t="s">
        <v>82</v>
      </c>
      <c r="M2503" s="69" t="s">
        <v>4</v>
      </c>
      <c r="N2503" s="69" t="s">
        <v>108</v>
      </c>
      <c r="O2503" s="69" t="s">
        <v>1436</v>
      </c>
      <c r="P2503" s="78"/>
      <c r="Q2503" s="96">
        <v>45552</v>
      </c>
      <c r="R2503" s="97" t="s">
        <v>1481</v>
      </c>
      <c r="S2503" s="98"/>
    </row>
    <row r="2504" spans="1:19" ht="42.75">
      <c r="A2504" s="90" t="s">
        <v>52</v>
      </c>
      <c r="B2504" s="91" t="s">
        <v>250</v>
      </c>
      <c r="C2504" s="91" t="s">
        <v>653</v>
      </c>
      <c r="D2504" s="90">
        <v>1882</v>
      </c>
      <c r="E2504" s="90">
        <v>2239</v>
      </c>
      <c r="F2504" s="90" t="s">
        <v>1454</v>
      </c>
      <c r="G2504" s="90"/>
      <c r="H2504" s="93"/>
      <c r="I2504" s="93"/>
      <c r="J2504" s="93"/>
      <c r="K2504" s="169"/>
      <c r="L2504" s="69"/>
      <c r="M2504" s="69"/>
      <c r="N2504" s="69"/>
      <c r="O2504" s="69"/>
      <c r="P2504" s="78"/>
      <c r="Q2504" s="96"/>
      <c r="R2504" s="97"/>
      <c r="S2504" s="98"/>
    </row>
    <row r="2505" spans="1:19" ht="42.75">
      <c r="A2505" s="90" t="s">
        <v>52</v>
      </c>
      <c r="B2505" s="91" t="s">
        <v>250</v>
      </c>
      <c r="C2505" s="91" t="s">
        <v>4010</v>
      </c>
      <c r="D2505" s="90">
        <v>2560</v>
      </c>
      <c r="E2505" s="90">
        <v>2862</v>
      </c>
      <c r="F2505" s="90" t="s">
        <v>1454</v>
      </c>
      <c r="G2505" s="90"/>
      <c r="H2505" s="93"/>
      <c r="I2505" s="93"/>
      <c r="J2505" s="93"/>
      <c r="K2505" s="95"/>
      <c r="L2505" s="69"/>
      <c r="M2505" s="69"/>
      <c r="N2505" s="69"/>
      <c r="O2505" s="69"/>
      <c r="P2505" s="78"/>
      <c r="Q2505" s="96"/>
      <c r="R2505" s="97"/>
      <c r="S2505" s="98"/>
    </row>
    <row r="2506" spans="1:19" ht="42.75">
      <c r="A2506" s="90" t="s">
        <v>52</v>
      </c>
      <c r="B2506" s="91" t="s">
        <v>463</v>
      </c>
      <c r="C2506" s="91" t="s">
        <v>4011</v>
      </c>
      <c r="D2506" s="90">
        <v>4428</v>
      </c>
      <c r="E2506" s="90">
        <v>4678</v>
      </c>
      <c r="F2506" s="90" t="s">
        <v>1454</v>
      </c>
      <c r="G2506" s="90"/>
      <c r="H2506" s="93"/>
      <c r="I2506" s="122"/>
      <c r="J2506" s="122"/>
      <c r="K2506" s="168"/>
      <c r="L2506" s="69"/>
      <c r="M2506" s="69"/>
      <c r="N2506" s="69"/>
      <c r="O2506" s="69"/>
      <c r="P2506" s="78"/>
      <c r="Q2506" s="96"/>
      <c r="R2506" s="97"/>
      <c r="S2506" s="98"/>
    </row>
    <row r="2507" spans="1:19" ht="42.75">
      <c r="A2507" s="90" t="s">
        <v>52</v>
      </c>
      <c r="B2507" s="91" t="s">
        <v>463</v>
      </c>
      <c r="C2507" s="91" t="s">
        <v>4012</v>
      </c>
      <c r="D2507" s="90">
        <v>2845</v>
      </c>
      <c r="E2507" s="90">
        <v>3019</v>
      </c>
      <c r="F2507" s="90" t="s">
        <v>1434</v>
      </c>
      <c r="G2507" s="90">
        <v>2024</v>
      </c>
      <c r="H2507" s="147">
        <v>45482</v>
      </c>
      <c r="I2507" s="100">
        <v>45483</v>
      </c>
      <c r="J2507" s="129" t="s">
        <v>4013</v>
      </c>
      <c r="K2507" s="100">
        <v>45489</v>
      </c>
      <c r="L2507" s="158" t="s">
        <v>80</v>
      </c>
      <c r="M2507" s="69" t="s">
        <v>4</v>
      </c>
      <c r="N2507" s="69" t="s">
        <v>101</v>
      </c>
      <c r="O2507" s="69" t="s">
        <v>1436</v>
      </c>
      <c r="P2507" s="78"/>
      <c r="Q2507" s="96">
        <v>45490</v>
      </c>
      <c r="R2507" s="97"/>
      <c r="S2507" s="98"/>
    </row>
    <row r="2508" spans="1:19" ht="42.75">
      <c r="A2508" s="90" t="s">
        <v>52</v>
      </c>
      <c r="B2508" s="91" t="s">
        <v>463</v>
      </c>
      <c r="C2508" s="91" t="s">
        <v>4014</v>
      </c>
      <c r="D2508" s="90">
        <v>2193</v>
      </c>
      <c r="E2508" s="90">
        <v>2573</v>
      </c>
      <c r="F2508" s="90" t="s">
        <v>1454</v>
      </c>
      <c r="G2508" s="90"/>
      <c r="H2508" s="93"/>
      <c r="I2508" s="93"/>
      <c r="J2508" s="93"/>
      <c r="K2508" s="169"/>
      <c r="L2508" s="69"/>
      <c r="M2508" s="69"/>
      <c r="N2508" s="69"/>
      <c r="O2508" s="69"/>
      <c r="P2508" s="78"/>
      <c r="Q2508" s="96"/>
      <c r="R2508" s="97"/>
      <c r="S2508" s="98"/>
    </row>
    <row r="2509" spans="1:19" ht="42.75">
      <c r="A2509" s="90" t="s">
        <v>52</v>
      </c>
      <c r="B2509" s="91" t="s">
        <v>463</v>
      </c>
      <c r="C2509" s="91" t="s">
        <v>4015</v>
      </c>
      <c r="D2509" s="90">
        <v>1440</v>
      </c>
      <c r="E2509" s="90">
        <v>1790</v>
      </c>
      <c r="F2509" s="90" t="s">
        <v>1454</v>
      </c>
      <c r="G2509" s="90"/>
      <c r="H2509" s="93"/>
      <c r="I2509" s="93"/>
      <c r="J2509" s="93"/>
      <c r="K2509" s="95"/>
      <c r="L2509" s="69"/>
      <c r="M2509" s="69"/>
      <c r="N2509" s="69"/>
      <c r="O2509" s="69"/>
      <c r="P2509" s="78"/>
      <c r="Q2509" s="96"/>
      <c r="R2509" s="97"/>
      <c r="S2509" s="98"/>
    </row>
    <row r="2510" spans="1:19" ht="42.75">
      <c r="A2510" s="90" t="s">
        <v>52</v>
      </c>
      <c r="B2510" s="91" t="s">
        <v>463</v>
      </c>
      <c r="C2510" s="91" t="s">
        <v>4016</v>
      </c>
      <c r="D2510" s="90">
        <v>1879</v>
      </c>
      <c r="E2510" s="90">
        <v>1842</v>
      </c>
      <c r="F2510" s="90" t="s">
        <v>1454</v>
      </c>
      <c r="G2510" s="90"/>
      <c r="H2510" s="93"/>
      <c r="I2510" s="93"/>
      <c r="J2510" s="93"/>
      <c r="K2510" s="95"/>
      <c r="L2510" s="69"/>
      <c r="M2510" s="69"/>
      <c r="N2510" s="69"/>
      <c r="O2510" s="69"/>
      <c r="P2510" s="78"/>
      <c r="Q2510" s="96"/>
      <c r="R2510" s="97"/>
      <c r="S2510" s="98"/>
    </row>
    <row r="2511" spans="1:19" ht="42.75">
      <c r="A2511" s="90" t="s">
        <v>52</v>
      </c>
      <c r="B2511" s="91" t="s">
        <v>463</v>
      </c>
      <c r="C2511" s="91" t="s">
        <v>4017</v>
      </c>
      <c r="D2511" s="90">
        <v>2310</v>
      </c>
      <c r="E2511" s="90">
        <v>2835</v>
      </c>
      <c r="F2511" s="90" t="s">
        <v>1454</v>
      </c>
      <c r="G2511" s="90"/>
      <c r="H2511" s="93"/>
      <c r="I2511" s="122"/>
      <c r="J2511" s="122"/>
      <c r="K2511" s="168"/>
      <c r="L2511" s="69"/>
      <c r="M2511" s="69"/>
      <c r="N2511" s="69"/>
      <c r="O2511" s="69"/>
      <c r="P2511" s="78"/>
      <c r="Q2511" s="96"/>
      <c r="R2511" s="97"/>
      <c r="S2511" s="98"/>
    </row>
    <row r="2512" spans="1:19" ht="42.75">
      <c r="A2512" s="90" t="s">
        <v>52</v>
      </c>
      <c r="B2512" s="91" t="s">
        <v>463</v>
      </c>
      <c r="C2512" s="91" t="s">
        <v>4018</v>
      </c>
      <c r="D2512" s="90">
        <v>2586</v>
      </c>
      <c r="E2512" s="90">
        <v>2856</v>
      </c>
      <c r="F2512" s="90" t="s">
        <v>1434</v>
      </c>
      <c r="G2512" s="90">
        <v>2024</v>
      </c>
      <c r="H2512" s="147">
        <v>45573</v>
      </c>
      <c r="I2512" s="100">
        <v>45573</v>
      </c>
      <c r="J2512" s="107" t="s">
        <v>4019</v>
      </c>
      <c r="K2512" s="100">
        <v>45580</v>
      </c>
      <c r="L2512" s="158" t="s">
        <v>83</v>
      </c>
      <c r="M2512" s="69" t="s">
        <v>672</v>
      </c>
      <c r="N2512" s="69" t="s">
        <v>101</v>
      </c>
      <c r="O2512" s="69" t="s">
        <v>1436</v>
      </c>
      <c r="P2512" s="78"/>
      <c r="Q2512" s="96">
        <v>45580</v>
      </c>
      <c r="R2512" s="97" t="s">
        <v>1481</v>
      </c>
      <c r="S2512" s="98"/>
    </row>
    <row r="2513" spans="1:19" ht="42.75">
      <c r="A2513" s="90" t="s">
        <v>52</v>
      </c>
      <c r="B2513" s="91" t="s">
        <v>463</v>
      </c>
      <c r="C2513" s="91" t="s">
        <v>4020</v>
      </c>
      <c r="D2513" s="90">
        <v>2945</v>
      </c>
      <c r="E2513" s="90">
        <v>3090</v>
      </c>
      <c r="F2513" s="90" t="s">
        <v>1434</v>
      </c>
      <c r="G2513" s="90">
        <v>2024</v>
      </c>
      <c r="H2513" s="147">
        <v>45386</v>
      </c>
      <c r="I2513" s="100">
        <v>45386</v>
      </c>
      <c r="J2513" s="107" t="s">
        <v>4021</v>
      </c>
      <c r="K2513" s="100">
        <v>45397</v>
      </c>
      <c r="L2513" s="158" t="s">
        <v>77</v>
      </c>
      <c r="M2513" s="69"/>
      <c r="N2513" s="69"/>
      <c r="O2513" s="69" t="s">
        <v>1436</v>
      </c>
      <c r="P2513" s="78"/>
      <c r="Q2513" s="96"/>
      <c r="R2513" s="97"/>
      <c r="S2513" s="98"/>
    </row>
    <row r="2514" spans="1:19" ht="42.75">
      <c r="A2514" s="90" t="s">
        <v>52</v>
      </c>
      <c r="B2514" s="91" t="s">
        <v>463</v>
      </c>
      <c r="C2514" s="91" t="s">
        <v>4022</v>
      </c>
      <c r="D2514" s="90">
        <v>971</v>
      </c>
      <c r="E2514" s="90">
        <v>1243</v>
      </c>
      <c r="F2514" s="90" t="s">
        <v>1454</v>
      </c>
      <c r="G2514" s="90"/>
      <c r="H2514" s="93"/>
      <c r="I2514" s="93"/>
      <c r="J2514" s="93"/>
      <c r="K2514" s="169"/>
      <c r="L2514" s="69"/>
      <c r="M2514" s="69"/>
      <c r="N2514" s="69"/>
      <c r="O2514" s="69"/>
      <c r="P2514" s="78"/>
      <c r="Q2514" s="96"/>
      <c r="R2514" s="97"/>
      <c r="S2514" s="98"/>
    </row>
    <row r="2515" spans="1:19" ht="42.75">
      <c r="A2515" s="90" t="s">
        <v>52</v>
      </c>
      <c r="B2515" s="91" t="s">
        <v>463</v>
      </c>
      <c r="C2515" s="91" t="s">
        <v>4023</v>
      </c>
      <c r="D2515" s="90">
        <v>2770</v>
      </c>
      <c r="E2515" s="90">
        <v>2891</v>
      </c>
      <c r="F2515" s="90" t="s">
        <v>1454</v>
      </c>
      <c r="G2515" s="90"/>
      <c r="H2515" s="93"/>
      <c r="I2515" s="122"/>
      <c r="J2515" s="122"/>
      <c r="K2515" s="168"/>
      <c r="L2515" s="69"/>
      <c r="M2515" s="69"/>
      <c r="N2515" s="69"/>
      <c r="O2515" s="69"/>
      <c r="P2515" s="78"/>
      <c r="Q2515" s="96"/>
      <c r="R2515" s="97"/>
      <c r="S2515" s="98"/>
    </row>
    <row r="2516" spans="1:19" ht="42.75">
      <c r="A2516" s="90" t="s">
        <v>52</v>
      </c>
      <c r="B2516" s="91" t="s">
        <v>463</v>
      </c>
      <c r="C2516" s="91" t="s">
        <v>4024</v>
      </c>
      <c r="D2516" s="90">
        <v>1199</v>
      </c>
      <c r="E2516" s="90">
        <v>1354</v>
      </c>
      <c r="F2516" s="90" t="s">
        <v>1434</v>
      </c>
      <c r="G2516" s="90">
        <v>2024</v>
      </c>
      <c r="H2516" s="147">
        <v>45552</v>
      </c>
      <c r="I2516" s="100">
        <v>45552</v>
      </c>
      <c r="J2516" s="107" t="s">
        <v>4025</v>
      </c>
      <c r="K2516" s="100">
        <v>45553</v>
      </c>
      <c r="L2516" s="158" t="s">
        <v>82</v>
      </c>
      <c r="M2516" s="69" t="s">
        <v>672</v>
      </c>
      <c r="N2516" s="69" t="s">
        <v>101</v>
      </c>
      <c r="O2516" s="69" t="s">
        <v>1436</v>
      </c>
      <c r="P2516" s="78"/>
      <c r="Q2516" s="96">
        <v>45554</v>
      </c>
      <c r="R2516" s="97" t="s">
        <v>1481</v>
      </c>
      <c r="S2516" s="98"/>
    </row>
    <row r="2517" spans="1:19" ht="42.75">
      <c r="A2517" s="90" t="s">
        <v>52</v>
      </c>
      <c r="B2517" s="91" t="s">
        <v>463</v>
      </c>
      <c r="C2517" s="91" t="s">
        <v>4026</v>
      </c>
      <c r="D2517" s="90">
        <v>1662</v>
      </c>
      <c r="E2517" s="90">
        <v>1800</v>
      </c>
      <c r="F2517" s="90" t="s">
        <v>1434</v>
      </c>
      <c r="G2517" s="90">
        <v>2024</v>
      </c>
      <c r="H2517" s="147">
        <v>45456</v>
      </c>
      <c r="I2517" s="100">
        <v>45456</v>
      </c>
      <c r="J2517" s="107" t="s">
        <v>4027</v>
      </c>
      <c r="K2517" s="100">
        <v>45463</v>
      </c>
      <c r="L2517" s="158" t="s">
        <v>3543</v>
      </c>
      <c r="M2517" s="69"/>
      <c r="N2517" s="69"/>
      <c r="O2517" s="69" t="s">
        <v>1436</v>
      </c>
      <c r="P2517" s="78"/>
      <c r="Q2517" s="96">
        <v>45463</v>
      </c>
      <c r="R2517" s="97"/>
      <c r="S2517" s="98"/>
    </row>
    <row r="2518" spans="1:19" ht="42.75">
      <c r="A2518" s="90" t="s">
        <v>52</v>
      </c>
      <c r="B2518" s="91" t="s">
        <v>463</v>
      </c>
      <c r="C2518" s="91" t="s">
        <v>4028</v>
      </c>
      <c r="D2518" s="90">
        <v>1951</v>
      </c>
      <c r="E2518" s="90">
        <v>2109</v>
      </c>
      <c r="F2518" s="90" t="s">
        <v>1454</v>
      </c>
      <c r="G2518" s="90"/>
      <c r="H2518" s="93"/>
      <c r="I2518" s="93"/>
      <c r="J2518" s="93"/>
      <c r="K2518" s="169"/>
      <c r="L2518" s="69"/>
      <c r="M2518" s="69"/>
      <c r="N2518" s="69"/>
      <c r="O2518" s="69"/>
      <c r="P2518" s="78"/>
      <c r="Q2518" s="96"/>
      <c r="R2518" s="97"/>
      <c r="S2518" s="98"/>
    </row>
    <row r="2519" spans="1:19" ht="42.75">
      <c r="A2519" s="90" t="s">
        <v>52</v>
      </c>
      <c r="B2519" s="91" t="s">
        <v>463</v>
      </c>
      <c r="C2519" s="91" t="s">
        <v>4029</v>
      </c>
      <c r="D2519" s="90">
        <v>1207</v>
      </c>
      <c r="E2519" s="90">
        <v>1438</v>
      </c>
      <c r="F2519" s="90" t="s">
        <v>1454</v>
      </c>
      <c r="G2519" s="90"/>
      <c r="H2519" s="93"/>
      <c r="I2519" s="122"/>
      <c r="J2519" s="122"/>
      <c r="K2519" s="168"/>
      <c r="L2519" s="69"/>
      <c r="M2519" s="69"/>
      <c r="N2519" s="69"/>
      <c r="O2519" s="69"/>
      <c r="P2519" s="78"/>
      <c r="Q2519" s="96"/>
      <c r="R2519" s="97"/>
      <c r="S2519" s="98"/>
    </row>
    <row r="2520" spans="1:19" ht="42.75">
      <c r="A2520" s="90" t="s">
        <v>52</v>
      </c>
      <c r="B2520" s="91" t="s">
        <v>463</v>
      </c>
      <c r="C2520" s="91" t="s">
        <v>2932</v>
      </c>
      <c r="D2520" s="90">
        <v>1797</v>
      </c>
      <c r="E2520" s="90">
        <v>2108</v>
      </c>
      <c r="F2520" s="90" t="s">
        <v>1434</v>
      </c>
      <c r="G2520" s="90">
        <v>2024</v>
      </c>
      <c r="H2520" s="147">
        <v>45568</v>
      </c>
      <c r="I2520" s="100">
        <v>45569</v>
      </c>
      <c r="J2520" s="107" t="s">
        <v>4030</v>
      </c>
      <c r="K2520" s="100">
        <v>45574</v>
      </c>
      <c r="L2520" s="158" t="s">
        <v>83</v>
      </c>
      <c r="M2520" s="69" t="s">
        <v>4</v>
      </c>
      <c r="N2520" s="69" t="s">
        <v>101</v>
      </c>
      <c r="O2520" s="69" t="s">
        <v>1436</v>
      </c>
      <c r="P2520" s="78"/>
      <c r="Q2520" s="115">
        <v>45575</v>
      </c>
      <c r="R2520" s="65" t="s">
        <v>1481</v>
      </c>
      <c r="S2520" s="89"/>
    </row>
    <row r="2521" spans="1:19" ht="42.75">
      <c r="A2521" s="90" t="s">
        <v>52</v>
      </c>
      <c r="B2521" s="91" t="s">
        <v>463</v>
      </c>
      <c r="C2521" s="91" t="s">
        <v>3129</v>
      </c>
      <c r="D2521" s="90">
        <v>1573</v>
      </c>
      <c r="E2521" s="90">
        <v>1856</v>
      </c>
      <c r="F2521" s="90" t="s">
        <v>1454</v>
      </c>
      <c r="G2521" s="90"/>
      <c r="H2521" s="93"/>
      <c r="I2521" s="93"/>
      <c r="J2521" s="93"/>
      <c r="K2521" s="169"/>
      <c r="L2521" s="69"/>
      <c r="M2521" s="69"/>
      <c r="N2521" s="69"/>
      <c r="O2521" s="69"/>
      <c r="P2521" s="78"/>
      <c r="Q2521" s="96"/>
      <c r="R2521" s="97"/>
      <c r="S2521" s="98"/>
    </row>
    <row r="2522" spans="1:19" ht="42.75">
      <c r="A2522" s="90" t="s">
        <v>52</v>
      </c>
      <c r="B2522" s="91" t="s">
        <v>463</v>
      </c>
      <c r="C2522" s="91" t="s">
        <v>4031</v>
      </c>
      <c r="D2522" s="90">
        <v>4627</v>
      </c>
      <c r="E2522" s="90">
        <v>4898</v>
      </c>
      <c r="F2522" s="90" t="s">
        <v>1454</v>
      </c>
      <c r="G2522" s="90"/>
      <c r="H2522" s="93"/>
      <c r="I2522" s="93"/>
      <c r="J2522" s="93"/>
      <c r="K2522" s="95"/>
      <c r="L2522" s="69"/>
      <c r="M2522" s="69"/>
      <c r="N2522" s="69"/>
      <c r="O2522" s="69"/>
      <c r="P2522" s="78"/>
      <c r="Q2522" s="96"/>
      <c r="R2522" s="97"/>
      <c r="S2522" s="98"/>
    </row>
    <row r="2523" spans="1:19" ht="42.75">
      <c r="A2523" s="90" t="s">
        <v>52</v>
      </c>
      <c r="B2523" s="91" t="s">
        <v>463</v>
      </c>
      <c r="C2523" s="91" t="s">
        <v>4032</v>
      </c>
      <c r="D2523" s="90">
        <v>1481</v>
      </c>
      <c r="E2523" s="90">
        <v>1637</v>
      </c>
      <c r="F2523" s="90" t="s">
        <v>1454</v>
      </c>
      <c r="G2523" s="90"/>
      <c r="H2523" s="93"/>
      <c r="I2523" s="93"/>
      <c r="J2523" s="93"/>
      <c r="K2523" s="95"/>
      <c r="L2523" s="69"/>
      <c r="M2523" s="69"/>
      <c r="N2523" s="69"/>
      <c r="O2523" s="69"/>
      <c r="P2523" s="78"/>
      <c r="Q2523" s="96"/>
      <c r="R2523" s="97"/>
      <c r="S2523" s="98"/>
    </row>
    <row r="2524" spans="1:19" ht="42.75">
      <c r="A2524" s="90" t="s">
        <v>52</v>
      </c>
      <c r="B2524" s="91" t="s">
        <v>463</v>
      </c>
      <c r="C2524" s="91" t="s">
        <v>4033</v>
      </c>
      <c r="D2524" s="90">
        <v>1327</v>
      </c>
      <c r="E2524" s="90">
        <v>1522</v>
      </c>
      <c r="F2524" s="90" t="s">
        <v>1454</v>
      </c>
      <c r="G2524" s="90"/>
      <c r="H2524" s="93"/>
      <c r="I2524" s="93"/>
      <c r="J2524" s="93"/>
      <c r="K2524" s="95"/>
      <c r="L2524" s="69"/>
      <c r="M2524" s="69"/>
      <c r="N2524" s="69"/>
      <c r="O2524" s="69"/>
      <c r="P2524" s="78"/>
      <c r="Q2524" s="96"/>
      <c r="R2524" s="97"/>
      <c r="S2524" s="98"/>
    </row>
    <row r="2525" spans="1:19" ht="42.75">
      <c r="A2525" s="90" t="s">
        <v>52</v>
      </c>
      <c r="B2525" s="91" t="s">
        <v>463</v>
      </c>
      <c r="C2525" s="91" t="s">
        <v>4034</v>
      </c>
      <c r="D2525" s="90">
        <v>1606</v>
      </c>
      <c r="E2525" s="90">
        <v>1826</v>
      </c>
      <c r="F2525" s="90" t="s">
        <v>1454</v>
      </c>
      <c r="G2525" s="90"/>
      <c r="H2525" s="93"/>
      <c r="I2525" s="93"/>
      <c r="J2525" s="93"/>
      <c r="K2525" s="95"/>
      <c r="L2525" s="69"/>
      <c r="M2525" s="69"/>
      <c r="N2525" s="69"/>
      <c r="O2525" s="69"/>
      <c r="P2525" s="78"/>
      <c r="Q2525" s="96"/>
      <c r="R2525" s="97"/>
      <c r="S2525" s="98"/>
    </row>
    <row r="2526" spans="1:19" ht="42.75">
      <c r="A2526" s="90" t="s">
        <v>52</v>
      </c>
      <c r="B2526" s="91" t="s">
        <v>463</v>
      </c>
      <c r="C2526" s="91" t="s">
        <v>4035</v>
      </c>
      <c r="D2526" s="90">
        <v>1113</v>
      </c>
      <c r="E2526" s="90">
        <v>1233</v>
      </c>
      <c r="F2526" s="90" t="s">
        <v>1454</v>
      </c>
      <c r="G2526" s="90"/>
      <c r="H2526" s="93"/>
      <c r="I2526" s="93"/>
      <c r="J2526" s="93"/>
      <c r="K2526" s="95"/>
      <c r="L2526" s="69"/>
      <c r="M2526" s="69"/>
      <c r="N2526" s="69"/>
      <c r="O2526" s="69"/>
      <c r="P2526" s="78"/>
      <c r="Q2526" s="96"/>
      <c r="R2526" s="97"/>
      <c r="S2526" s="98"/>
    </row>
    <row r="2527" spans="1:19" ht="42.75">
      <c r="A2527" s="90" t="s">
        <v>52</v>
      </c>
      <c r="B2527" s="91" t="s">
        <v>463</v>
      </c>
      <c r="C2527" s="91" t="s">
        <v>4036</v>
      </c>
      <c r="D2527" s="90">
        <v>1172</v>
      </c>
      <c r="E2527" s="90">
        <v>1110</v>
      </c>
      <c r="F2527" s="90" t="s">
        <v>1454</v>
      </c>
      <c r="G2527" s="90"/>
      <c r="H2527" s="93"/>
      <c r="I2527" s="93"/>
      <c r="J2527" s="93"/>
      <c r="K2527" s="95"/>
      <c r="L2527" s="69"/>
      <c r="M2527" s="69"/>
      <c r="N2527" s="69"/>
      <c r="O2527" s="69"/>
      <c r="P2527" s="78"/>
      <c r="Q2527" s="96"/>
      <c r="R2527" s="97"/>
      <c r="S2527" s="98"/>
    </row>
    <row r="2528" spans="1:19" ht="42.75">
      <c r="A2528" s="90" t="s">
        <v>52</v>
      </c>
      <c r="B2528" s="91" t="s">
        <v>463</v>
      </c>
      <c r="C2528" s="91" t="s">
        <v>4037</v>
      </c>
      <c r="D2528" s="90">
        <v>1334</v>
      </c>
      <c r="E2528" s="90">
        <v>1327</v>
      </c>
      <c r="F2528" s="90" t="s">
        <v>1454</v>
      </c>
      <c r="G2528" s="90"/>
      <c r="H2528" s="93"/>
      <c r="I2528" s="122"/>
      <c r="J2528" s="122"/>
      <c r="K2528" s="168"/>
      <c r="L2528" s="69"/>
      <c r="M2528" s="69"/>
      <c r="N2528" s="69"/>
      <c r="O2528" s="69"/>
      <c r="P2528" s="78"/>
      <c r="Q2528" s="96"/>
      <c r="R2528" s="97"/>
      <c r="S2528" s="98"/>
    </row>
    <row r="2529" spans="1:19" ht="42.75">
      <c r="A2529" s="90" t="s">
        <v>52</v>
      </c>
      <c r="B2529" s="91" t="s">
        <v>463</v>
      </c>
      <c r="C2529" s="91" t="s">
        <v>4038</v>
      </c>
      <c r="D2529" s="90">
        <v>2904</v>
      </c>
      <c r="E2529" s="90">
        <v>3271</v>
      </c>
      <c r="F2529" s="90" t="s">
        <v>1434</v>
      </c>
      <c r="G2529" s="90">
        <v>2024</v>
      </c>
      <c r="H2529" s="147">
        <v>45544</v>
      </c>
      <c r="I2529" s="100">
        <v>45546</v>
      </c>
      <c r="J2529" s="107" t="s">
        <v>4039</v>
      </c>
      <c r="K2529" s="100">
        <v>45552</v>
      </c>
      <c r="L2529" s="158" t="s">
        <v>82</v>
      </c>
      <c r="M2529" s="69" t="s">
        <v>672</v>
      </c>
      <c r="N2529" s="69" t="s">
        <v>101</v>
      </c>
      <c r="O2529" s="69" t="s">
        <v>1436</v>
      </c>
      <c r="P2529" s="78"/>
      <c r="Q2529" s="96">
        <v>45552</v>
      </c>
      <c r="R2529" s="97" t="s">
        <v>1481</v>
      </c>
      <c r="S2529" s="98"/>
    </row>
    <row r="2530" spans="1:19" ht="42.75">
      <c r="A2530" s="90" t="s">
        <v>52</v>
      </c>
      <c r="B2530" s="91" t="s">
        <v>463</v>
      </c>
      <c r="C2530" s="91" t="s">
        <v>4040</v>
      </c>
      <c r="D2530" s="90">
        <v>3775</v>
      </c>
      <c r="E2530" s="90">
        <v>3701</v>
      </c>
      <c r="F2530" s="90" t="s">
        <v>1454</v>
      </c>
      <c r="G2530" s="90"/>
      <c r="H2530" s="93"/>
      <c r="I2530" s="93"/>
      <c r="J2530" s="93"/>
      <c r="K2530" s="169"/>
      <c r="L2530" s="69"/>
      <c r="M2530" s="69"/>
      <c r="N2530" s="69"/>
      <c r="O2530" s="69"/>
      <c r="P2530" s="78"/>
      <c r="Q2530" s="96"/>
      <c r="R2530" s="97"/>
      <c r="S2530" s="98"/>
    </row>
    <row r="2531" spans="1:19" ht="42.75">
      <c r="A2531" s="90" t="s">
        <v>52</v>
      </c>
      <c r="B2531" s="91" t="s">
        <v>463</v>
      </c>
      <c r="C2531" s="91" t="s">
        <v>4041</v>
      </c>
      <c r="D2531" s="90">
        <v>1444</v>
      </c>
      <c r="E2531" s="90">
        <v>1589</v>
      </c>
      <c r="F2531" s="90" t="s">
        <v>1454</v>
      </c>
      <c r="G2531" s="90"/>
      <c r="H2531" s="93"/>
      <c r="I2531" s="122"/>
      <c r="J2531" s="122"/>
      <c r="K2531" s="168"/>
      <c r="L2531" s="69"/>
      <c r="M2531" s="69"/>
      <c r="N2531" s="69"/>
      <c r="O2531" s="69"/>
      <c r="P2531" s="78"/>
      <c r="Q2531" s="96"/>
      <c r="R2531" s="97"/>
      <c r="S2531" s="98"/>
    </row>
    <row r="2532" spans="1:19" ht="42.75">
      <c r="A2532" s="90" t="s">
        <v>52</v>
      </c>
      <c r="B2532" s="91" t="s">
        <v>463</v>
      </c>
      <c r="C2532" s="91" t="s">
        <v>4042</v>
      </c>
      <c r="D2532" s="90">
        <v>2755</v>
      </c>
      <c r="E2532" s="90">
        <v>2986</v>
      </c>
      <c r="F2532" s="90" t="s">
        <v>1434</v>
      </c>
      <c r="G2532" s="90">
        <v>2024</v>
      </c>
      <c r="H2532" s="147">
        <v>45602</v>
      </c>
      <c r="I2532" s="100">
        <v>45602</v>
      </c>
      <c r="J2532" s="107" t="s">
        <v>4043</v>
      </c>
      <c r="K2532" s="100">
        <v>45613</v>
      </c>
      <c r="L2532" s="158" t="s">
        <v>84</v>
      </c>
      <c r="M2532" s="69" t="s">
        <v>672</v>
      </c>
      <c r="N2532" s="69" t="s">
        <v>101</v>
      </c>
      <c r="O2532" s="69" t="s">
        <v>1436</v>
      </c>
      <c r="P2532" s="78"/>
      <c r="Q2532" s="96">
        <v>45614</v>
      </c>
      <c r="R2532" s="97" t="s">
        <v>2415</v>
      </c>
      <c r="S2532" s="98"/>
    </row>
    <row r="2533" spans="1:19" ht="42.75">
      <c r="A2533" s="90" t="s">
        <v>52</v>
      </c>
      <c r="B2533" s="91" t="s">
        <v>463</v>
      </c>
      <c r="C2533" s="91" t="s">
        <v>4044</v>
      </c>
      <c r="D2533" s="90">
        <v>1151</v>
      </c>
      <c r="E2533" s="90">
        <v>1017</v>
      </c>
      <c r="F2533" s="90" t="s">
        <v>1434</v>
      </c>
      <c r="G2533" s="90">
        <v>2024</v>
      </c>
      <c r="H2533" s="101">
        <v>45386</v>
      </c>
      <c r="I2533" s="101">
        <v>45386</v>
      </c>
      <c r="J2533" s="94" t="s">
        <v>4045</v>
      </c>
      <c r="K2533" s="138">
        <v>45397</v>
      </c>
      <c r="L2533" s="69" t="s">
        <v>77</v>
      </c>
      <c r="M2533" s="69"/>
      <c r="N2533" s="69"/>
      <c r="O2533" s="69" t="s">
        <v>1436</v>
      </c>
      <c r="P2533" s="78"/>
      <c r="Q2533" s="96"/>
      <c r="R2533" s="97"/>
      <c r="S2533" s="98"/>
    </row>
    <row r="2534" spans="1:19" ht="42.75">
      <c r="A2534" s="90" t="s">
        <v>52</v>
      </c>
      <c r="B2534" s="91" t="s">
        <v>463</v>
      </c>
      <c r="C2534" s="91" t="s">
        <v>4046</v>
      </c>
      <c r="D2534" s="90">
        <v>2082</v>
      </c>
      <c r="E2534" s="90">
        <v>2081</v>
      </c>
      <c r="F2534" s="90" t="s">
        <v>1454</v>
      </c>
      <c r="G2534" s="90"/>
      <c r="H2534" s="93"/>
      <c r="I2534" s="93"/>
      <c r="J2534" s="93"/>
      <c r="K2534" s="95"/>
      <c r="L2534" s="69"/>
      <c r="M2534" s="69"/>
      <c r="N2534" s="69"/>
      <c r="O2534" s="69"/>
      <c r="P2534" s="78"/>
      <c r="Q2534" s="96"/>
      <c r="R2534" s="97"/>
      <c r="S2534" s="98"/>
    </row>
    <row r="2535" spans="1:19" ht="42.75">
      <c r="A2535" s="90" t="s">
        <v>52</v>
      </c>
      <c r="B2535" s="91" t="s">
        <v>463</v>
      </c>
      <c r="C2535" s="91" t="s">
        <v>410</v>
      </c>
      <c r="D2535" s="90">
        <v>1264</v>
      </c>
      <c r="E2535" s="90">
        <v>1279</v>
      </c>
      <c r="F2535" s="90" t="s">
        <v>1454</v>
      </c>
      <c r="G2535" s="90"/>
      <c r="H2535" s="93"/>
      <c r="I2535" s="93"/>
      <c r="J2535" s="93"/>
      <c r="K2535" s="95"/>
      <c r="L2535" s="69"/>
      <c r="M2535" s="69"/>
      <c r="N2535" s="69"/>
      <c r="O2535" s="69"/>
      <c r="P2535" s="78"/>
      <c r="Q2535" s="96"/>
      <c r="R2535" s="97"/>
      <c r="S2535" s="98"/>
    </row>
    <row r="2536" spans="1:19" ht="42.75">
      <c r="A2536" s="90" t="s">
        <v>52</v>
      </c>
      <c r="B2536" s="91" t="s">
        <v>463</v>
      </c>
      <c r="C2536" s="91" t="s">
        <v>444</v>
      </c>
      <c r="D2536" s="90">
        <v>1331</v>
      </c>
      <c r="E2536" s="90">
        <v>1592</v>
      </c>
      <c r="F2536" s="90" t="s">
        <v>1454</v>
      </c>
      <c r="G2536" s="90"/>
      <c r="H2536" s="93"/>
      <c r="I2536" s="93"/>
      <c r="J2536" s="93"/>
      <c r="K2536" s="95"/>
      <c r="L2536" s="69"/>
      <c r="M2536" s="69"/>
      <c r="N2536" s="69"/>
      <c r="O2536" s="69"/>
      <c r="P2536" s="78"/>
      <c r="Q2536" s="96"/>
      <c r="R2536" s="97"/>
      <c r="S2536" s="98"/>
    </row>
    <row r="2537" spans="1:19" ht="42.75">
      <c r="A2537" s="90" t="s">
        <v>52</v>
      </c>
      <c r="B2537" s="91" t="s">
        <v>463</v>
      </c>
      <c r="C2537" s="91" t="s">
        <v>2691</v>
      </c>
      <c r="D2537" s="90">
        <v>2981</v>
      </c>
      <c r="E2537" s="90">
        <v>3050</v>
      </c>
      <c r="F2537" s="90" t="s">
        <v>1434</v>
      </c>
      <c r="G2537" s="90">
        <v>2024</v>
      </c>
      <c r="H2537" s="101">
        <v>45386</v>
      </c>
      <c r="I2537" s="101">
        <v>45386</v>
      </c>
      <c r="J2537" s="94" t="s">
        <v>4047</v>
      </c>
      <c r="K2537" s="100">
        <v>45397</v>
      </c>
      <c r="L2537" s="69" t="s">
        <v>77</v>
      </c>
      <c r="M2537" s="69"/>
      <c r="N2537" s="69"/>
      <c r="O2537" s="69" t="s">
        <v>1436</v>
      </c>
      <c r="P2537" s="78"/>
      <c r="Q2537" s="96"/>
      <c r="R2537" s="97"/>
      <c r="S2537" s="98"/>
    </row>
    <row r="2538" spans="1:19" ht="42.75">
      <c r="A2538" s="90" t="s">
        <v>52</v>
      </c>
      <c r="B2538" s="91" t="s">
        <v>463</v>
      </c>
      <c r="C2538" s="91" t="s">
        <v>2342</v>
      </c>
      <c r="D2538" s="90">
        <v>1463</v>
      </c>
      <c r="E2538" s="90">
        <v>1779</v>
      </c>
      <c r="F2538" s="90" t="s">
        <v>1434</v>
      </c>
      <c r="G2538" s="90">
        <v>2024</v>
      </c>
      <c r="H2538" s="101">
        <v>45608</v>
      </c>
      <c r="I2538" s="101">
        <v>45609</v>
      </c>
      <c r="J2538" s="94" t="s">
        <v>4048</v>
      </c>
      <c r="K2538" s="100">
        <v>45616</v>
      </c>
      <c r="L2538" s="69" t="s">
        <v>84</v>
      </c>
      <c r="M2538" s="69" t="s">
        <v>672</v>
      </c>
      <c r="N2538" s="69" t="s">
        <v>101</v>
      </c>
      <c r="O2538" s="69" t="s">
        <v>1436</v>
      </c>
      <c r="P2538" s="78"/>
      <c r="Q2538" s="96">
        <v>45616</v>
      </c>
      <c r="R2538" s="97" t="s">
        <v>2415</v>
      </c>
      <c r="S2538" s="98"/>
    </row>
    <row r="2539" spans="1:19" ht="42.75">
      <c r="A2539" s="90" t="s">
        <v>52</v>
      </c>
      <c r="B2539" s="91" t="s">
        <v>463</v>
      </c>
      <c r="C2539" s="91" t="s">
        <v>714</v>
      </c>
      <c r="D2539" s="90">
        <v>3106</v>
      </c>
      <c r="E2539" s="90">
        <v>3186</v>
      </c>
      <c r="F2539" s="90" t="s">
        <v>1454</v>
      </c>
      <c r="G2539" s="90"/>
      <c r="H2539" s="93"/>
      <c r="I2539" s="93"/>
      <c r="J2539" s="93"/>
      <c r="K2539" s="95"/>
      <c r="L2539" s="69"/>
      <c r="M2539" s="69"/>
      <c r="N2539" s="69"/>
      <c r="O2539" s="69"/>
      <c r="P2539" s="78"/>
      <c r="Q2539" s="96"/>
      <c r="R2539" s="97"/>
      <c r="S2539" s="98"/>
    </row>
    <row r="2540" spans="1:19" ht="42.75">
      <c r="A2540" s="90" t="s">
        <v>52</v>
      </c>
      <c r="B2540" s="91" t="s">
        <v>463</v>
      </c>
      <c r="C2540" s="91" t="s">
        <v>3850</v>
      </c>
      <c r="D2540" s="90">
        <v>1065</v>
      </c>
      <c r="E2540" s="90">
        <v>1212</v>
      </c>
      <c r="F2540" s="90" t="s">
        <v>1454</v>
      </c>
      <c r="G2540" s="90"/>
      <c r="H2540" s="93"/>
      <c r="I2540" s="93"/>
      <c r="J2540" s="93"/>
      <c r="K2540" s="95"/>
      <c r="L2540" s="69"/>
      <c r="M2540" s="69"/>
      <c r="N2540" s="69"/>
      <c r="O2540" s="69"/>
      <c r="P2540" s="78"/>
      <c r="Q2540" s="96"/>
      <c r="R2540" s="97"/>
      <c r="S2540" s="98"/>
    </row>
    <row r="2541" spans="1:19" ht="42.75">
      <c r="A2541" s="90" t="s">
        <v>52</v>
      </c>
      <c r="B2541" s="91" t="s">
        <v>463</v>
      </c>
      <c r="C2541" s="91" t="s">
        <v>427</v>
      </c>
      <c r="D2541" s="90">
        <v>1244</v>
      </c>
      <c r="E2541" s="90">
        <v>1492</v>
      </c>
      <c r="F2541" s="90" t="s">
        <v>1454</v>
      </c>
      <c r="G2541" s="90"/>
      <c r="H2541" s="93"/>
      <c r="I2541" s="93"/>
      <c r="J2541" s="93"/>
      <c r="K2541" s="95"/>
      <c r="L2541" s="69"/>
      <c r="M2541" s="69"/>
      <c r="N2541" s="69"/>
      <c r="O2541" s="69"/>
      <c r="P2541" s="78"/>
      <c r="Q2541" s="96"/>
      <c r="R2541" s="97"/>
      <c r="S2541" s="98"/>
    </row>
    <row r="2542" spans="1:19" ht="42.75">
      <c r="A2542" s="90" t="s">
        <v>52</v>
      </c>
      <c r="B2542" s="91" t="s">
        <v>463</v>
      </c>
      <c r="C2542" s="91" t="s">
        <v>1656</v>
      </c>
      <c r="D2542" s="90">
        <v>778</v>
      </c>
      <c r="E2542" s="90">
        <v>903</v>
      </c>
      <c r="F2542" s="90" t="s">
        <v>1454</v>
      </c>
      <c r="G2542" s="90"/>
      <c r="H2542" s="93"/>
      <c r="I2542" s="93"/>
      <c r="J2542" s="93"/>
      <c r="K2542" s="95"/>
      <c r="L2542" s="69"/>
      <c r="M2542" s="69"/>
      <c r="N2542" s="69"/>
      <c r="O2542" s="69"/>
      <c r="P2542" s="78"/>
      <c r="Q2542" s="96"/>
      <c r="R2542" s="97"/>
      <c r="S2542" s="98"/>
    </row>
    <row r="2543" spans="1:19" ht="42.75">
      <c r="A2543" s="90" t="s">
        <v>52</v>
      </c>
      <c r="B2543" s="91" t="s">
        <v>463</v>
      </c>
      <c r="C2543" s="91" t="s">
        <v>1020</v>
      </c>
      <c r="D2543" s="90">
        <v>2082</v>
      </c>
      <c r="E2543" s="90">
        <v>2283</v>
      </c>
      <c r="F2543" s="90" t="s">
        <v>1454</v>
      </c>
      <c r="G2543" s="90"/>
      <c r="H2543" s="93"/>
      <c r="I2543" s="93"/>
      <c r="J2543" s="93"/>
      <c r="K2543" s="95"/>
      <c r="L2543" s="69"/>
      <c r="M2543" s="69"/>
      <c r="N2543" s="69"/>
      <c r="O2543" s="69"/>
      <c r="P2543" s="78"/>
      <c r="Q2543" s="96"/>
      <c r="R2543" s="97"/>
      <c r="S2543" s="98"/>
    </row>
    <row r="2544" spans="1:19" ht="42.75">
      <c r="A2544" s="90" t="s">
        <v>52</v>
      </c>
      <c r="B2544" s="91" t="s">
        <v>463</v>
      </c>
      <c r="C2544" s="91" t="s">
        <v>4049</v>
      </c>
      <c r="D2544" s="90">
        <v>1416</v>
      </c>
      <c r="E2544" s="90">
        <v>1573</v>
      </c>
      <c r="F2544" s="90" t="s">
        <v>1434</v>
      </c>
      <c r="G2544" s="90">
        <v>2024</v>
      </c>
      <c r="H2544" s="101">
        <v>45602</v>
      </c>
      <c r="I2544" s="101">
        <v>45602</v>
      </c>
      <c r="J2544" s="94" t="s">
        <v>4050</v>
      </c>
      <c r="K2544" s="100">
        <v>45613</v>
      </c>
      <c r="L2544" s="69" t="s">
        <v>84</v>
      </c>
      <c r="M2544" s="69" t="s">
        <v>4</v>
      </c>
      <c r="N2544" s="69" t="s">
        <v>101</v>
      </c>
      <c r="O2544" s="69" t="s">
        <v>1436</v>
      </c>
      <c r="P2544" s="78"/>
      <c r="Q2544" s="96">
        <v>45614</v>
      </c>
      <c r="R2544" s="97" t="s">
        <v>2415</v>
      </c>
      <c r="S2544" s="98"/>
    </row>
    <row r="2545" spans="1:19" ht="42.75">
      <c r="A2545" s="90" t="s">
        <v>52</v>
      </c>
      <c r="B2545" s="91" t="s">
        <v>463</v>
      </c>
      <c r="C2545" s="91" t="s">
        <v>4051</v>
      </c>
      <c r="D2545" s="90">
        <v>1695</v>
      </c>
      <c r="E2545" s="90">
        <v>1528</v>
      </c>
      <c r="F2545" s="90" t="s">
        <v>1454</v>
      </c>
      <c r="G2545" s="90"/>
      <c r="H2545" s="93"/>
      <c r="I2545" s="93"/>
      <c r="J2545" s="93"/>
      <c r="K2545" s="95"/>
      <c r="L2545" s="69"/>
      <c r="M2545" s="69"/>
      <c r="N2545" s="69"/>
      <c r="O2545" s="69"/>
      <c r="P2545" s="78"/>
      <c r="Q2545" s="96"/>
      <c r="R2545" s="97"/>
      <c r="S2545" s="98"/>
    </row>
    <row r="2546" spans="1:19" ht="42.75">
      <c r="A2546" s="90" t="s">
        <v>52</v>
      </c>
      <c r="B2546" s="91" t="s">
        <v>463</v>
      </c>
      <c r="C2546" s="91" t="s">
        <v>4052</v>
      </c>
      <c r="D2546" s="90">
        <v>1627</v>
      </c>
      <c r="E2546" s="90">
        <v>1732</v>
      </c>
      <c r="F2546" s="90" t="s">
        <v>1434</v>
      </c>
      <c r="G2546" s="90">
        <v>2024</v>
      </c>
      <c r="H2546" s="101">
        <v>45603</v>
      </c>
      <c r="I2546" s="101">
        <v>45609</v>
      </c>
      <c r="J2546" s="94" t="s">
        <v>4053</v>
      </c>
      <c r="K2546" s="100">
        <v>45616</v>
      </c>
      <c r="L2546" s="69" t="s">
        <v>84</v>
      </c>
      <c r="M2546" s="69" t="s">
        <v>4</v>
      </c>
      <c r="N2546" s="69" t="s">
        <v>101</v>
      </c>
      <c r="O2546" s="69" t="s">
        <v>1436</v>
      </c>
      <c r="P2546" s="78"/>
      <c r="Q2546" s="96">
        <v>45616</v>
      </c>
      <c r="R2546" s="97" t="s">
        <v>2415</v>
      </c>
      <c r="S2546" s="98"/>
    </row>
    <row r="2547" spans="1:19" ht="42.75">
      <c r="A2547" s="90" t="s">
        <v>52</v>
      </c>
      <c r="B2547" s="91" t="s">
        <v>463</v>
      </c>
      <c r="C2547" s="91" t="s">
        <v>1057</v>
      </c>
      <c r="D2547" s="90">
        <v>4586</v>
      </c>
      <c r="E2547" s="90">
        <v>4461</v>
      </c>
      <c r="F2547" s="90" t="s">
        <v>1454</v>
      </c>
      <c r="G2547" s="90"/>
      <c r="H2547" s="93"/>
      <c r="I2547" s="93"/>
      <c r="J2547" s="93"/>
      <c r="K2547" s="95"/>
      <c r="L2547" s="69"/>
      <c r="M2547" s="69"/>
      <c r="N2547" s="69"/>
      <c r="O2547" s="69"/>
      <c r="P2547" s="78"/>
      <c r="Q2547" s="96"/>
      <c r="R2547" s="97"/>
      <c r="S2547" s="98"/>
    </row>
    <row r="2548" spans="1:19" ht="42.75">
      <c r="A2548" s="90" t="s">
        <v>52</v>
      </c>
      <c r="B2548" s="91" t="s">
        <v>463</v>
      </c>
      <c r="C2548" s="91" t="s">
        <v>4054</v>
      </c>
      <c r="D2548" s="90">
        <v>750</v>
      </c>
      <c r="E2548" s="90">
        <v>917</v>
      </c>
      <c r="F2548" s="90" t="s">
        <v>1454</v>
      </c>
      <c r="G2548" s="90"/>
      <c r="H2548" s="93"/>
      <c r="I2548" s="93"/>
      <c r="J2548" s="93"/>
      <c r="K2548" s="95"/>
      <c r="L2548" s="69"/>
      <c r="M2548" s="69"/>
      <c r="N2548" s="69"/>
      <c r="O2548" s="69"/>
      <c r="P2548" s="78"/>
      <c r="Q2548" s="96"/>
      <c r="R2548" s="97"/>
      <c r="S2548" s="98"/>
    </row>
    <row r="2549" spans="1:19" ht="42.75">
      <c r="A2549" s="90" t="s">
        <v>52</v>
      </c>
      <c r="B2549" s="91" t="s">
        <v>463</v>
      </c>
      <c r="C2549" s="91" t="s">
        <v>4055</v>
      </c>
      <c r="D2549" s="90">
        <v>1616</v>
      </c>
      <c r="E2549" s="90">
        <v>1818</v>
      </c>
      <c r="F2549" s="90" t="s">
        <v>1454</v>
      </c>
      <c r="G2549" s="90"/>
      <c r="H2549" s="93"/>
      <c r="I2549" s="93"/>
      <c r="J2549" s="93"/>
      <c r="K2549" s="95"/>
      <c r="L2549" s="69"/>
      <c r="M2549" s="69"/>
      <c r="N2549" s="69"/>
      <c r="O2549" s="69"/>
      <c r="P2549" s="78"/>
      <c r="Q2549" s="96"/>
      <c r="R2549" s="97"/>
      <c r="S2549" s="98"/>
    </row>
    <row r="2550" spans="1:19" ht="42.75">
      <c r="A2550" s="90" t="s">
        <v>52</v>
      </c>
      <c r="B2550" s="91" t="s">
        <v>318</v>
      </c>
      <c r="C2550" s="91" t="s">
        <v>4056</v>
      </c>
      <c r="D2550" s="90">
        <v>2338</v>
      </c>
      <c r="E2550" s="90">
        <v>2572</v>
      </c>
      <c r="F2550" s="90" t="s">
        <v>1454</v>
      </c>
      <c r="G2550" s="90"/>
      <c r="H2550" s="93"/>
      <c r="I2550" s="93"/>
      <c r="J2550" s="93"/>
      <c r="K2550" s="95"/>
      <c r="L2550" s="69"/>
      <c r="M2550" s="69"/>
      <c r="N2550" s="69"/>
      <c r="O2550" s="69"/>
      <c r="P2550" s="78"/>
      <c r="Q2550" s="96"/>
      <c r="R2550" s="97"/>
      <c r="S2550" s="98"/>
    </row>
    <row r="2551" spans="1:19" ht="42.75">
      <c r="A2551" s="90" t="s">
        <v>52</v>
      </c>
      <c r="B2551" s="91" t="s">
        <v>318</v>
      </c>
      <c r="C2551" s="91" t="s">
        <v>4057</v>
      </c>
      <c r="D2551" s="90">
        <v>2790</v>
      </c>
      <c r="E2551" s="90">
        <v>3058</v>
      </c>
      <c r="F2551" s="90" t="s">
        <v>1454</v>
      </c>
      <c r="G2551" s="90"/>
      <c r="H2551" s="93"/>
      <c r="I2551" s="93"/>
      <c r="J2551" s="93"/>
      <c r="K2551" s="95"/>
      <c r="L2551" s="69"/>
      <c r="M2551" s="69"/>
      <c r="N2551" s="69"/>
      <c r="O2551" s="69"/>
      <c r="P2551" s="78"/>
      <c r="Q2551" s="96"/>
      <c r="R2551" s="97"/>
      <c r="S2551" s="98"/>
    </row>
    <row r="2552" spans="1:19" ht="42.75">
      <c r="A2552" s="90" t="s">
        <v>52</v>
      </c>
      <c r="B2552" s="91" t="s">
        <v>318</v>
      </c>
      <c r="C2552" s="91" t="s">
        <v>4058</v>
      </c>
      <c r="D2552" s="90">
        <v>4212</v>
      </c>
      <c r="E2552" s="90">
        <v>4378</v>
      </c>
      <c r="F2552" s="90" t="s">
        <v>1454</v>
      </c>
      <c r="G2552" s="90"/>
      <c r="H2552" s="93"/>
      <c r="I2552" s="93"/>
      <c r="J2552" s="93"/>
      <c r="K2552" s="95"/>
      <c r="L2552" s="69"/>
      <c r="M2552" s="69"/>
      <c r="N2552" s="69"/>
      <c r="O2552" s="69"/>
      <c r="P2552" s="78"/>
      <c r="Q2552" s="96"/>
      <c r="R2552" s="97"/>
      <c r="S2552" s="98"/>
    </row>
    <row r="2553" spans="1:19" ht="42.75">
      <c r="A2553" s="90" t="s">
        <v>52</v>
      </c>
      <c r="B2553" s="91" t="s">
        <v>318</v>
      </c>
      <c r="C2553" s="91" t="s">
        <v>4059</v>
      </c>
      <c r="D2553" s="90">
        <v>2588</v>
      </c>
      <c r="E2553" s="90">
        <v>2718</v>
      </c>
      <c r="F2553" s="90" t="s">
        <v>1434</v>
      </c>
      <c r="G2553" s="90">
        <v>2024</v>
      </c>
      <c r="H2553" s="101">
        <v>45602</v>
      </c>
      <c r="I2553" s="101">
        <v>45603</v>
      </c>
      <c r="J2553" s="94" t="s">
        <v>4060</v>
      </c>
      <c r="K2553" s="100">
        <v>45613</v>
      </c>
      <c r="L2553" s="69" t="s">
        <v>84</v>
      </c>
      <c r="M2553" s="69" t="s">
        <v>672</v>
      </c>
      <c r="N2553" s="69" t="s">
        <v>101</v>
      </c>
      <c r="O2553" s="69" t="s">
        <v>1436</v>
      </c>
      <c r="P2553" s="78"/>
      <c r="Q2553" s="96">
        <v>45614</v>
      </c>
      <c r="R2553" s="97" t="s">
        <v>2415</v>
      </c>
      <c r="S2553" s="98"/>
    </row>
    <row r="2554" spans="1:19" ht="42.75">
      <c r="A2554" s="90" t="s">
        <v>52</v>
      </c>
      <c r="B2554" s="91" t="s">
        <v>318</v>
      </c>
      <c r="C2554" s="91" t="s">
        <v>4061</v>
      </c>
      <c r="D2554" s="90">
        <v>4552</v>
      </c>
      <c r="E2554" s="90">
        <v>5101</v>
      </c>
      <c r="F2554" s="90" t="s">
        <v>1454</v>
      </c>
      <c r="G2554" s="90"/>
      <c r="H2554" s="93"/>
      <c r="I2554" s="93"/>
      <c r="J2554" s="93"/>
      <c r="K2554" s="95"/>
      <c r="L2554" s="69"/>
      <c r="M2554" s="69"/>
      <c r="N2554" s="69"/>
      <c r="O2554" s="69"/>
      <c r="P2554" s="78"/>
      <c r="Q2554" s="96"/>
      <c r="R2554" s="97"/>
      <c r="S2554" s="98"/>
    </row>
    <row r="2555" spans="1:19" ht="42.75">
      <c r="A2555" s="90" t="s">
        <v>52</v>
      </c>
      <c r="B2555" s="91" t="s">
        <v>318</v>
      </c>
      <c r="C2555" s="91" t="s">
        <v>4062</v>
      </c>
      <c r="D2555" s="90">
        <v>4206</v>
      </c>
      <c r="E2555" s="90">
        <v>4690</v>
      </c>
      <c r="F2555" s="90" t="s">
        <v>1434</v>
      </c>
      <c r="G2555" s="90">
        <v>2024</v>
      </c>
      <c r="H2555" s="101">
        <v>45568</v>
      </c>
      <c r="I2555" s="101">
        <v>45570</v>
      </c>
      <c r="J2555" s="94" t="s">
        <v>4063</v>
      </c>
      <c r="K2555" s="100">
        <v>45580</v>
      </c>
      <c r="L2555" s="69" t="s">
        <v>83</v>
      </c>
      <c r="M2555" s="69" t="s">
        <v>4</v>
      </c>
      <c r="N2555" s="69" t="s">
        <v>101</v>
      </c>
      <c r="O2555" s="69" t="s">
        <v>1436</v>
      </c>
      <c r="P2555" s="78"/>
      <c r="Q2555" s="96">
        <v>45580</v>
      </c>
      <c r="R2555" s="97" t="s">
        <v>2415</v>
      </c>
      <c r="S2555" s="98"/>
    </row>
    <row r="2556" spans="1:19" ht="42.75">
      <c r="A2556" s="90" t="s">
        <v>52</v>
      </c>
      <c r="B2556" s="91" t="s">
        <v>318</v>
      </c>
      <c r="C2556" s="91" t="s">
        <v>4064</v>
      </c>
      <c r="D2556" s="90">
        <v>4619</v>
      </c>
      <c r="E2556" s="90">
        <v>5062</v>
      </c>
      <c r="F2556" s="90" t="s">
        <v>1454</v>
      </c>
      <c r="G2556" s="90"/>
      <c r="H2556" s="93"/>
      <c r="I2556" s="93"/>
      <c r="J2556" s="93"/>
      <c r="K2556" s="95"/>
      <c r="L2556" s="69"/>
      <c r="M2556" s="69"/>
      <c r="N2556" s="69"/>
      <c r="O2556" s="69"/>
      <c r="P2556" s="78"/>
      <c r="Q2556" s="96"/>
      <c r="R2556" s="97"/>
      <c r="S2556" s="98"/>
    </row>
    <row r="2557" spans="1:19" ht="42.75">
      <c r="A2557" s="90" t="s">
        <v>52</v>
      </c>
      <c r="B2557" s="91" t="s">
        <v>318</v>
      </c>
      <c r="C2557" s="91" t="s">
        <v>4065</v>
      </c>
      <c r="D2557" s="90">
        <v>2011</v>
      </c>
      <c r="E2557" s="90">
        <v>1750</v>
      </c>
      <c r="F2557" s="90" t="s">
        <v>1434</v>
      </c>
      <c r="G2557" s="90">
        <v>2024</v>
      </c>
      <c r="H2557" s="101">
        <v>45545</v>
      </c>
      <c r="I2557" s="101">
        <v>45546</v>
      </c>
      <c r="J2557" s="94" t="s">
        <v>4066</v>
      </c>
      <c r="K2557" s="100">
        <v>45552</v>
      </c>
      <c r="L2557" s="69" t="s">
        <v>82</v>
      </c>
      <c r="M2557" s="69" t="s">
        <v>4</v>
      </c>
      <c r="N2557" s="69" t="s">
        <v>101</v>
      </c>
      <c r="O2557" s="69" t="s">
        <v>1436</v>
      </c>
      <c r="P2557" s="78"/>
      <c r="Q2557" s="96">
        <v>45552</v>
      </c>
      <c r="R2557" s="97" t="s">
        <v>2415</v>
      </c>
      <c r="S2557" s="98"/>
    </row>
    <row r="2558" spans="1:19" ht="42.75">
      <c r="A2558" s="90" t="s">
        <v>52</v>
      </c>
      <c r="B2558" s="91" t="s">
        <v>318</v>
      </c>
      <c r="C2558" s="91" t="s">
        <v>2732</v>
      </c>
      <c r="D2558" s="90">
        <v>3113</v>
      </c>
      <c r="E2558" s="90">
        <v>3571</v>
      </c>
      <c r="F2558" s="90" t="s">
        <v>1454</v>
      </c>
      <c r="G2558" s="90"/>
      <c r="H2558" s="93"/>
      <c r="I2558" s="93"/>
      <c r="J2558" s="93"/>
      <c r="K2558" s="95"/>
      <c r="L2558" s="69"/>
      <c r="M2558" s="69"/>
      <c r="N2558" s="69"/>
      <c r="O2558" s="69"/>
      <c r="P2558" s="78"/>
      <c r="Q2558" s="96"/>
      <c r="R2558" s="97"/>
      <c r="S2558" s="98"/>
    </row>
    <row r="2559" spans="1:19" ht="42.75">
      <c r="A2559" s="90" t="s">
        <v>52</v>
      </c>
      <c r="B2559" s="91" t="s">
        <v>318</v>
      </c>
      <c r="C2559" s="91" t="s">
        <v>946</v>
      </c>
      <c r="D2559" s="90">
        <v>1255</v>
      </c>
      <c r="E2559" s="90">
        <v>1205</v>
      </c>
      <c r="F2559" s="90" t="s">
        <v>1434</v>
      </c>
      <c r="G2559" s="90">
        <v>2024</v>
      </c>
      <c r="H2559" s="101">
        <v>45456</v>
      </c>
      <c r="I2559" s="101">
        <v>45460</v>
      </c>
      <c r="J2559" s="94" t="s">
        <v>4067</v>
      </c>
      <c r="K2559" s="100">
        <v>45463</v>
      </c>
      <c r="L2559" s="69" t="s">
        <v>3543</v>
      </c>
      <c r="M2559" s="69"/>
      <c r="N2559" s="69"/>
      <c r="O2559" s="69" t="s">
        <v>1436</v>
      </c>
      <c r="P2559" s="78"/>
      <c r="Q2559" s="96">
        <v>45463</v>
      </c>
      <c r="R2559" s="97"/>
      <c r="S2559" s="98"/>
    </row>
    <row r="2560" spans="1:19" ht="42.75">
      <c r="A2560" s="90" t="s">
        <v>52</v>
      </c>
      <c r="B2560" s="91" t="s">
        <v>318</v>
      </c>
      <c r="C2560" s="91" t="s">
        <v>4068</v>
      </c>
      <c r="D2560" s="90">
        <v>2152</v>
      </c>
      <c r="E2560" s="90">
        <v>2297</v>
      </c>
      <c r="F2560" s="90" t="s">
        <v>1454</v>
      </c>
      <c r="G2560" s="90"/>
      <c r="H2560" s="93"/>
      <c r="I2560" s="93"/>
      <c r="J2560" s="93"/>
      <c r="K2560" s="95"/>
      <c r="L2560" s="69"/>
      <c r="M2560" s="69"/>
      <c r="N2560" s="69"/>
      <c r="O2560" s="69"/>
      <c r="P2560" s="78"/>
      <c r="Q2560" s="96"/>
      <c r="R2560" s="97"/>
      <c r="S2560" s="98"/>
    </row>
    <row r="2561" spans="1:19" ht="42.75">
      <c r="A2561" s="90" t="s">
        <v>52</v>
      </c>
      <c r="B2561" s="91" t="s">
        <v>318</v>
      </c>
      <c r="C2561" s="91" t="s">
        <v>3425</v>
      </c>
      <c r="D2561" s="90">
        <v>3414</v>
      </c>
      <c r="E2561" s="90">
        <v>3833</v>
      </c>
      <c r="F2561" s="90" t="s">
        <v>1454</v>
      </c>
      <c r="G2561" s="90"/>
      <c r="H2561" s="101"/>
      <c r="I2561" s="101"/>
      <c r="J2561" s="93"/>
      <c r="K2561" s="95"/>
      <c r="L2561" s="69"/>
      <c r="M2561" s="69"/>
      <c r="N2561" s="69"/>
      <c r="O2561" s="69"/>
      <c r="P2561" s="78"/>
      <c r="Q2561" s="96"/>
      <c r="R2561" s="97"/>
      <c r="S2561" s="98"/>
    </row>
    <row r="2562" spans="1:19" ht="42.75">
      <c r="A2562" s="90" t="s">
        <v>52</v>
      </c>
      <c r="B2562" s="91" t="s">
        <v>318</v>
      </c>
      <c r="C2562" s="91" t="s">
        <v>4069</v>
      </c>
      <c r="D2562" s="90">
        <v>2125</v>
      </c>
      <c r="E2562" s="90">
        <v>2348</v>
      </c>
      <c r="F2562" s="90" t="s">
        <v>1434</v>
      </c>
      <c r="G2562" s="90">
        <v>2024</v>
      </c>
      <c r="H2562" s="101">
        <v>45384</v>
      </c>
      <c r="I2562" s="101">
        <v>45398</v>
      </c>
      <c r="J2562" s="94" t="s">
        <v>4070</v>
      </c>
      <c r="K2562" s="100">
        <v>45399</v>
      </c>
      <c r="L2562" s="69" t="s">
        <v>77</v>
      </c>
      <c r="M2562" s="69"/>
      <c r="N2562" s="69"/>
      <c r="O2562" s="69" t="s">
        <v>1436</v>
      </c>
      <c r="P2562" s="78"/>
      <c r="Q2562" s="96"/>
      <c r="R2562" s="97"/>
      <c r="S2562" s="98"/>
    </row>
    <row r="2563" spans="1:19" ht="42.75">
      <c r="A2563" s="90" t="s">
        <v>52</v>
      </c>
      <c r="B2563" s="91" t="s">
        <v>318</v>
      </c>
      <c r="C2563" s="91" t="s">
        <v>4071</v>
      </c>
      <c r="D2563" s="90">
        <v>2820</v>
      </c>
      <c r="E2563" s="90">
        <v>3293</v>
      </c>
      <c r="F2563" s="90" t="s">
        <v>1434</v>
      </c>
      <c r="G2563" s="90">
        <v>2024</v>
      </c>
      <c r="H2563" s="101">
        <v>45419</v>
      </c>
      <c r="I2563" s="101">
        <v>45420</v>
      </c>
      <c r="J2563" s="94" t="s">
        <v>4072</v>
      </c>
      <c r="K2563" s="100">
        <v>45427</v>
      </c>
      <c r="L2563" s="69" t="s">
        <v>78</v>
      </c>
      <c r="M2563" s="69"/>
      <c r="N2563" s="69"/>
      <c r="O2563" s="69" t="s">
        <v>1436</v>
      </c>
      <c r="P2563" s="78"/>
      <c r="Q2563" s="96"/>
      <c r="R2563" s="97"/>
      <c r="S2563" s="98"/>
    </row>
    <row r="2564" spans="1:19" ht="42.75">
      <c r="A2564" s="90" t="s">
        <v>52</v>
      </c>
      <c r="B2564" s="91" t="s">
        <v>318</v>
      </c>
      <c r="C2564" s="91" t="s">
        <v>4073</v>
      </c>
      <c r="D2564" s="90">
        <v>1739</v>
      </c>
      <c r="E2564" s="90">
        <v>1956</v>
      </c>
      <c r="F2564" s="90" t="s">
        <v>1434</v>
      </c>
      <c r="G2564" s="90">
        <v>2024</v>
      </c>
      <c r="H2564" s="101">
        <v>45545</v>
      </c>
      <c r="I2564" s="101">
        <v>45546</v>
      </c>
      <c r="J2564" s="94" t="s">
        <v>4074</v>
      </c>
      <c r="K2564" s="100">
        <v>45552</v>
      </c>
      <c r="L2564" s="69" t="s">
        <v>82</v>
      </c>
      <c r="M2564" s="69" t="s">
        <v>4</v>
      </c>
      <c r="N2564" s="69" t="s">
        <v>101</v>
      </c>
      <c r="O2564" s="69" t="s">
        <v>1436</v>
      </c>
      <c r="P2564" s="78"/>
      <c r="Q2564" s="96">
        <v>45552</v>
      </c>
      <c r="R2564" s="97" t="s">
        <v>2415</v>
      </c>
      <c r="S2564" s="98"/>
    </row>
    <row r="2565" spans="1:19" ht="42.75">
      <c r="A2565" s="90" t="s">
        <v>52</v>
      </c>
      <c r="B2565" s="91" t="s">
        <v>318</v>
      </c>
      <c r="C2565" s="91" t="s">
        <v>4075</v>
      </c>
      <c r="D2565" s="90">
        <v>3206</v>
      </c>
      <c r="E2565" s="90">
        <v>3459</v>
      </c>
      <c r="F2565" s="90" t="s">
        <v>1454</v>
      </c>
      <c r="G2565" s="90"/>
      <c r="H2565" s="93"/>
      <c r="I2565" s="93"/>
      <c r="J2565" s="93"/>
      <c r="K2565" s="95"/>
      <c r="L2565" s="69"/>
      <c r="M2565" s="69"/>
      <c r="N2565" s="69"/>
      <c r="O2565" s="69"/>
      <c r="P2565" s="78"/>
      <c r="Q2565" s="96"/>
      <c r="R2565" s="97"/>
      <c r="S2565" s="98"/>
    </row>
    <row r="2566" spans="1:19" ht="42.75">
      <c r="A2566" s="90" t="s">
        <v>52</v>
      </c>
      <c r="B2566" s="91" t="s">
        <v>318</v>
      </c>
      <c r="C2566" s="91" t="s">
        <v>4076</v>
      </c>
      <c r="D2566" s="90">
        <v>1672</v>
      </c>
      <c r="E2566" s="90">
        <v>1854</v>
      </c>
      <c r="F2566" s="90" t="s">
        <v>1454</v>
      </c>
      <c r="G2566" s="90"/>
      <c r="H2566" s="93"/>
      <c r="I2566" s="93"/>
      <c r="J2566" s="93"/>
      <c r="K2566" s="95"/>
      <c r="L2566" s="69"/>
      <c r="M2566" s="69"/>
      <c r="N2566" s="69"/>
      <c r="O2566" s="69"/>
      <c r="P2566" s="78"/>
      <c r="Q2566" s="96"/>
      <c r="R2566" s="97"/>
      <c r="S2566" s="98"/>
    </row>
    <row r="2567" spans="1:19" ht="42.75">
      <c r="A2567" s="90" t="s">
        <v>52</v>
      </c>
      <c r="B2567" s="91" t="s">
        <v>318</v>
      </c>
      <c r="C2567" s="91" t="s">
        <v>444</v>
      </c>
      <c r="D2567" s="90">
        <v>1552</v>
      </c>
      <c r="E2567" s="90">
        <v>1671</v>
      </c>
      <c r="F2567" s="90" t="s">
        <v>1454</v>
      </c>
      <c r="G2567" s="90"/>
      <c r="H2567" s="93"/>
      <c r="I2567" s="93"/>
      <c r="J2567" s="93"/>
      <c r="K2567" s="95"/>
      <c r="L2567" s="69"/>
      <c r="M2567" s="69"/>
      <c r="N2567" s="69"/>
      <c r="O2567" s="69"/>
      <c r="P2567" s="78"/>
      <c r="Q2567" s="96"/>
      <c r="R2567" s="97"/>
      <c r="S2567" s="98"/>
    </row>
    <row r="2568" spans="1:19" ht="42.75">
      <c r="A2568" s="90" t="s">
        <v>52</v>
      </c>
      <c r="B2568" s="91" t="s">
        <v>318</v>
      </c>
      <c r="C2568" s="91" t="s">
        <v>1869</v>
      </c>
      <c r="D2568" s="90">
        <v>3482</v>
      </c>
      <c r="E2568" s="90">
        <v>3615</v>
      </c>
      <c r="F2568" s="90" t="s">
        <v>1454</v>
      </c>
      <c r="G2568" s="90"/>
      <c r="H2568" s="93"/>
      <c r="I2568" s="93"/>
      <c r="J2568" s="93"/>
      <c r="K2568" s="95"/>
      <c r="L2568" s="69"/>
      <c r="M2568" s="69"/>
      <c r="N2568" s="69"/>
      <c r="O2568" s="69"/>
      <c r="P2568" s="78"/>
      <c r="Q2568" s="96"/>
      <c r="R2568" s="97"/>
      <c r="S2568" s="98"/>
    </row>
    <row r="2569" spans="1:19" ht="42.75">
      <c r="A2569" s="90" t="s">
        <v>52</v>
      </c>
      <c r="B2569" s="91" t="s">
        <v>318</v>
      </c>
      <c r="C2569" s="91" t="s">
        <v>2181</v>
      </c>
      <c r="D2569" s="90">
        <v>7915</v>
      </c>
      <c r="E2569" s="90">
        <v>8115</v>
      </c>
      <c r="F2569" s="90" t="s">
        <v>1454</v>
      </c>
      <c r="G2569" s="90"/>
      <c r="H2569" s="93"/>
      <c r="I2569" s="93"/>
      <c r="J2569" s="93"/>
      <c r="K2569" s="95"/>
      <c r="L2569" s="69"/>
      <c r="M2569" s="69"/>
      <c r="N2569" s="69"/>
      <c r="O2569" s="69"/>
      <c r="P2569" s="78"/>
      <c r="Q2569" s="96"/>
      <c r="R2569" s="97"/>
      <c r="S2569" s="98"/>
    </row>
    <row r="2570" spans="1:19" ht="42.75">
      <c r="A2570" s="90" t="s">
        <v>52</v>
      </c>
      <c r="B2570" s="91" t="s">
        <v>318</v>
      </c>
      <c r="C2570" s="91" t="s">
        <v>690</v>
      </c>
      <c r="D2570" s="90">
        <v>2256</v>
      </c>
      <c r="E2570" s="90">
        <v>2406</v>
      </c>
      <c r="F2570" s="90" t="s">
        <v>1454</v>
      </c>
      <c r="G2570" s="90"/>
      <c r="H2570" s="93"/>
      <c r="I2570" s="93"/>
      <c r="J2570" s="93"/>
      <c r="K2570" s="95"/>
      <c r="L2570" s="69"/>
      <c r="M2570" s="69"/>
      <c r="N2570" s="69"/>
      <c r="O2570" s="69"/>
      <c r="P2570" s="78"/>
      <c r="Q2570" s="96"/>
      <c r="R2570" s="97"/>
      <c r="S2570" s="98"/>
    </row>
    <row r="2571" spans="1:19" ht="42.75">
      <c r="A2571" s="90" t="s">
        <v>52</v>
      </c>
      <c r="B2571" s="91" t="s">
        <v>420</v>
      </c>
      <c r="C2571" s="91" t="s">
        <v>4077</v>
      </c>
      <c r="D2571" s="90">
        <v>758</v>
      </c>
      <c r="E2571" s="90">
        <v>648</v>
      </c>
      <c r="F2571" s="90" t="s">
        <v>1454</v>
      </c>
      <c r="G2571" s="90"/>
      <c r="H2571" s="93"/>
      <c r="I2571" s="93"/>
      <c r="J2571" s="93"/>
      <c r="K2571" s="95"/>
      <c r="L2571" s="69"/>
      <c r="M2571" s="69"/>
      <c r="N2571" s="69"/>
      <c r="O2571" s="69"/>
      <c r="P2571" s="78"/>
      <c r="Q2571" s="96"/>
      <c r="R2571" s="97"/>
      <c r="S2571" s="98"/>
    </row>
    <row r="2572" spans="1:19" ht="42.75">
      <c r="A2572" s="90" t="s">
        <v>52</v>
      </c>
      <c r="B2572" s="91" t="s">
        <v>420</v>
      </c>
      <c r="C2572" s="91" t="s">
        <v>4078</v>
      </c>
      <c r="D2572" s="90">
        <v>478</v>
      </c>
      <c r="E2572" s="90">
        <v>464</v>
      </c>
      <c r="F2572" s="90" t="s">
        <v>1454</v>
      </c>
      <c r="G2572" s="90"/>
      <c r="H2572" s="93"/>
      <c r="I2572" s="93"/>
      <c r="J2572" s="93"/>
      <c r="K2572" s="95"/>
      <c r="L2572" s="69"/>
      <c r="M2572" s="69"/>
      <c r="N2572" s="69"/>
      <c r="O2572" s="69"/>
      <c r="P2572" s="78"/>
      <c r="Q2572" s="96"/>
      <c r="R2572" s="97"/>
      <c r="S2572" s="98"/>
    </row>
    <row r="2573" spans="1:19" ht="42.75">
      <c r="A2573" s="90" t="s">
        <v>52</v>
      </c>
      <c r="B2573" s="91" t="s">
        <v>420</v>
      </c>
      <c r="C2573" s="91" t="s">
        <v>4079</v>
      </c>
      <c r="D2573" s="90">
        <v>1568</v>
      </c>
      <c r="E2573" s="90">
        <v>1660</v>
      </c>
      <c r="F2573" s="90" t="s">
        <v>1454</v>
      </c>
      <c r="G2573" s="90"/>
      <c r="H2573" s="93"/>
      <c r="I2573" s="93"/>
      <c r="J2573" s="93"/>
      <c r="K2573" s="95"/>
      <c r="L2573" s="69"/>
      <c r="M2573" s="69"/>
      <c r="N2573" s="69"/>
      <c r="O2573" s="69"/>
      <c r="P2573" s="78"/>
      <c r="Q2573" s="96"/>
      <c r="R2573" s="97"/>
      <c r="S2573" s="98"/>
    </row>
    <row r="2574" spans="1:19" ht="42.75">
      <c r="A2574" s="90" t="s">
        <v>52</v>
      </c>
      <c r="B2574" s="91" t="s">
        <v>420</v>
      </c>
      <c r="C2574" s="91" t="s">
        <v>4080</v>
      </c>
      <c r="D2574" s="90">
        <v>665</v>
      </c>
      <c r="E2574" s="90">
        <v>679</v>
      </c>
      <c r="F2574" s="90" t="s">
        <v>1454</v>
      </c>
      <c r="G2574" s="90"/>
      <c r="H2574" s="93"/>
      <c r="I2574" s="93"/>
      <c r="J2574" s="93"/>
      <c r="K2574" s="95"/>
      <c r="L2574" s="69"/>
      <c r="M2574" s="69"/>
      <c r="N2574" s="69"/>
      <c r="O2574" s="69"/>
      <c r="P2574" s="78"/>
      <c r="Q2574" s="96"/>
      <c r="R2574" s="97"/>
      <c r="S2574" s="98"/>
    </row>
    <row r="2575" spans="1:19" ht="42.75">
      <c r="A2575" s="90" t="s">
        <v>52</v>
      </c>
      <c r="B2575" s="91" t="s">
        <v>420</v>
      </c>
      <c r="C2575" s="91" t="s">
        <v>4081</v>
      </c>
      <c r="D2575" s="90">
        <v>638</v>
      </c>
      <c r="E2575" s="90">
        <v>743</v>
      </c>
      <c r="F2575" s="90" t="s">
        <v>1434</v>
      </c>
      <c r="G2575" s="90">
        <v>2024</v>
      </c>
      <c r="H2575" s="101">
        <v>45399</v>
      </c>
      <c r="I2575" s="101">
        <v>45399</v>
      </c>
      <c r="J2575" s="94" t="s">
        <v>4082</v>
      </c>
      <c r="K2575" s="100">
        <v>45399</v>
      </c>
      <c r="L2575" s="69" t="s">
        <v>77</v>
      </c>
      <c r="M2575" s="69"/>
      <c r="N2575" s="69"/>
      <c r="O2575" s="69" t="s">
        <v>1436</v>
      </c>
      <c r="P2575" s="78"/>
      <c r="Q2575" s="96"/>
      <c r="R2575" s="97"/>
      <c r="S2575" s="98"/>
    </row>
    <row r="2576" spans="1:19" ht="42.75">
      <c r="A2576" s="90" t="s">
        <v>52</v>
      </c>
      <c r="B2576" s="91" t="s">
        <v>420</v>
      </c>
      <c r="C2576" s="91" t="s">
        <v>4083</v>
      </c>
      <c r="D2576" s="90">
        <v>673</v>
      </c>
      <c r="E2576" s="90">
        <v>687</v>
      </c>
      <c r="F2576" s="90" t="s">
        <v>1454</v>
      </c>
      <c r="G2576" s="90"/>
      <c r="H2576" s="93"/>
      <c r="I2576" s="93"/>
      <c r="J2576" s="93"/>
      <c r="K2576" s="95"/>
      <c r="L2576" s="69"/>
      <c r="M2576" s="69"/>
      <c r="N2576" s="69"/>
      <c r="O2576" s="69"/>
      <c r="P2576" s="78"/>
      <c r="Q2576" s="96"/>
      <c r="R2576" s="97"/>
      <c r="S2576" s="98"/>
    </row>
    <row r="2577" spans="1:19" ht="42.75">
      <c r="A2577" s="90" t="s">
        <v>52</v>
      </c>
      <c r="B2577" s="91" t="s">
        <v>420</v>
      </c>
      <c r="C2577" s="91" t="s">
        <v>4084</v>
      </c>
      <c r="D2577" s="90">
        <v>921</v>
      </c>
      <c r="E2577" s="90">
        <v>877</v>
      </c>
      <c r="F2577" s="90" t="s">
        <v>1454</v>
      </c>
      <c r="G2577" s="90"/>
      <c r="H2577" s="93"/>
      <c r="I2577" s="93"/>
      <c r="J2577" s="93"/>
      <c r="K2577" s="95"/>
      <c r="L2577" s="69"/>
      <c r="M2577" s="69"/>
      <c r="N2577" s="69"/>
      <c r="O2577" s="69"/>
      <c r="P2577" s="78"/>
      <c r="Q2577" s="96"/>
      <c r="R2577" s="97"/>
      <c r="S2577" s="98"/>
    </row>
    <row r="2578" spans="1:19" ht="42.75">
      <c r="A2578" s="90" t="s">
        <v>52</v>
      </c>
      <c r="B2578" s="91" t="s">
        <v>420</v>
      </c>
      <c r="C2578" s="91" t="s">
        <v>4085</v>
      </c>
      <c r="D2578" s="90">
        <v>468</v>
      </c>
      <c r="E2578" s="90">
        <v>453</v>
      </c>
      <c r="F2578" s="90" t="s">
        <v>1454</v>
      </c>
      <c r="G2578" s="90"/>
      <c r="H2578" s="93"/>
      <c r="I2578" s="93"/>
      <c r="J2578" s="93"/>
      <c r="K2578" s="95"/>
      <c r="L2578" s="69"/>
      <c r="M2578" s="69"/>
      <c r="N2578" s="69"/>
      <c r="O2578" s="69"/>
      <c r="P2578" s="78"/>
      <c r="Q2578" s="96"/>
      <c r="R2578" s="97"/>
      <c r="S2578" s="98"/>
    </row>
    <row r="2579" spans="1:19" ht="42.75">
      <c r="A2579" s="90" t="s">
        <v>52</v>
      </c>
      <c r="B2579" s="91" t="s">
        <v>420</v>
      </c>
      <c r="C2579" s="91" t="s">
        <v>4086</v>
      </c>
      <c r="D2579" s="90">
        <v>407</v>
      </c>
      <c r="E2579" s="90">
        <v>442</v>
      </c>
      <c r="F2579" s="90" t="s">
        <v>1454</v>
      </c>
      <c r="G2579" s="90"/>
      <c r="H2579" s="93"/>
      <c r="I2579" s="93"/>
      <c r="J2579" s="93"/>
      <c r="K2579" s="95"/>
      <c r="L2579" s="69"/>
      <c r="M2579" s="69"/>
      <c r="N2579" s="69"/>
      <c r="O2579" s="69"/>
      <c r="P2579" s="78"/>
      <c r="Q2579" s="96"/>
      <c r="R2579" s="97"/>
      <c r="S2579" s="98"/>
    </row>
    <row r="2580" spans="1:19" ht="42.75">
      <c r="A2580" s="90" t="s">
        <v>52</v>
      </c>
      <c r="B2580" s="91" t="s">
        <v>420</v>
      </c>
      <c r="C2580" s="91" t="s">
        <v>4087</v>
      </c>
      <c r="D2580" s="90">
        <v>796</v>
      </c>
      <c r="E2580" s="90">
        <v>915</v>
      </c>
      <c r="F2580" s="90" t="s">
        <v>1454</v>
      </c>
      <c r="G2580" s="90"/>
      <c r="H2580" s="93"/>
      <c r="I2580" s="93"/>
      <c r="J2580" s="93"/>
      <c r="K2580" s="95"/>
      <c r="L2580" s="69"/>
      <c r="M2580" s="69"/>
      <c r="N2580" s="69"/>
      <c r="O2580" s="69"/>
      <c r="P2580" s="78"/>
      <c r="Q2580" s="96"/>
      <c r="R2580" s="97"/>
      <c r="S2580" s="98"/>
    </row>
    <row r="2581" spans="1:19" ht="42.75">
      <c r="A2581" s="90" t="s">
        <v>52</v>
      </c>
      <c r="B2581" s="91" t="s">
        <v>420</v>
      </c>
      <c r="C2581" s="91" t="s">
        <v>3171</v>
      </c>
      <c r="D2581" s="90">
        <v>1192</v>
      </c>
      <c r="E2581" s="90">
        <v>1267</v>
      </c>
      <c r="F2581" s="90" t="s">
        <v>1454</v>
      </c>
      <c r="G2581" s="90"/>
      <c r="H2581" s="93"/>
      <c r="I2581" s="93"/>
      <c r="J2581" s="93"/>
      <c r="K2581" s="95"/>
      <c r="L2581" s="69"/>
      <c r="M2581" s="69"/>
      <c r="N2581" s="69"/>
      <c r="O2581" s="69"/>
      <c r="P2581" s="78"/>
      <c r="Q2581" s="96"/>
      <c r="R2581" s="97"/>
      <c r="S2581" s="98"/>
    </row>
    <row r="2582" spans="1:19" ht="42.75">
      <c r="A2582" s="90" t="s">
        <v>52</v>
      </c>
      <c r="B2582" s="91" t="s">
        <v>420</v>
      </c>
      <c r="C2582" s="91" t="s">
        <v>4088</v>
      </c>
      <c r="D2582" s="90">
        <v>2593</v>
      </c>
      <c r="E2582" s="90">
        <v>2565</v>
      </c>
      <c r="F2582" s="90" t="s">
        <v>1454</v>
      </c>
      <c r="G2582" s="90"/>
      <c r="H2582" s="93"/>
      <c r="I2582" s="93"/>
      <c r="J2582" s="93"/>
      <c r="K2582" s="95"/>
      <c r="L2582" s="69"/>
      <c r="M2582" s="69"/>
      <c r="N2582" s="69"/>
      <c r="O2582" s="69"/>
      <c r="P2582" s="78"/>
      <c r="Q2582" s="96"/>
      <c r="R2582" s="97"/>
      <c r="S2582" s="98"/>
    </row>
    <row r="2583" spans="1:19" ht="42.75">
      <c r="A2583" s="90" t="s">
        <v>52</v>
      </c>
      <c r="B2583" s="91" t="s">
        <v>420</v>
      </c>
      <c r="C2583" s="91" t="s">
        <v>4089</v>
      </c>
      <c r="D2583" s="90">
        <v>848</v>
      </c>
      <c r="E2583" s="90">
        <v>817</v>
      </c>
      <c r="F2583" s="90" t="s">
        <v>1454</v>
      </c>
      <c r="G2583" s="90"/>
      <c r="H2583" s="93"/>
      <c r="I2583" s="93"/>
      <c r="J2583" s="93"/>
      <c r="K2583" s="95"/>
      <c r="L2583" s="69"/>
      <c r="M2583" s="69"/>
      <c r="N2583" s="69"/>
      <c r="O2583" s="69"/>
      <c r="P2583" s="78"/>
      <c r="Q2583" s="96"/>
      <c r="R2583" s="97"/>
      <c r="S2583" s="98"/>
    </row>
    <row r="2584" spans="1:19" ht="42.75">
      <c r="A2584" s="90" t="s">
        <v>52</v>
      </c>
      <c r="B2584" s="91" t="s">
        <v>420</v>
      </c>
      <c r="C2584" s="91" t="s">
        <v>4090</v>
      </c>
      <c r="D2584" s="90">
        <v>1587</v>
      </c>
      <c r="E2584" s="90">
        <v>1618</v>
      </c>
      <c r="F2584" s="90" t="s">
        <v>1454</v>
      </c>
      <c r="G2584" s="90"/>
      <c r="H2584" s="93"/>
      <c r="I2584" s="93"/>
      <c r="J2584" s="93"/>
      <c r="K2584" s="95"/>
      <c r="L2584" s="69"/>
      <c r="M2584" s="69"/>
      <c r="N2584" s="69"/>
      <c r="O2584" s="69"/>
      <c r="P2584" s="78"/>
      <c r="Q2584" s="96"/>
      <c r="R2584" s="97"/>
      <c r="S2584" s="98"/>
    </row>
    <row r="2585" spans="1:19" ht="42.75">
      <c r="A2585" s="90" t="s">
        <v>52</v>
      </c>
      <c r="B2585" s="91" t="s">
        <v>420</v>
      </c>
      <c r="C2585" s="91" t="s">
        <v>4091</v>
      </c>
      <c r="D2585" s="181"/>
      <c r="E2585" s="181"/>
      <c r="F2585" s="181" t="s">
        <v>1434</v>
      </c>
      <c r="G2585" s="181"/>
      <c r="H2585" s="182"/>
      <c r="I2585" s="182"/>
      <c r="J2585" s="159"/>
      <c r="K2585" s="100">
        <v>45399</v>
      </c>
      <c r="L2585" s="69" t="s">
        <v>77</v>
      </c>
      <c r="M2585" s="69"/>
      <c r="N2585" s="69"/>
      <c r="O2585" s="69" t="s">
        <v>1436</v>
      </c>
      <c r="P2585" s="78"/>
      <c r="Q2585" s="96"/>
      <c r="R2585" s="97"/>
      <c r="S2585" s="98"/>
    </row>
    <row r="2586" spans="1:19" ht="42.75">
      <c r="A2586" s="90" t="s">
        <v>52</v>
      </c>
      <c r="B2586" s="91" t="s">
        <v>420</v>
      </c>
      <c r="C2586" s="91" t="s">
        <v>4092</v>
      </c>
      <c r="D2586" s="90">
        <v>1525</v>
      </c>
      <c r="E2586" s="90">
        <v>1570</v>
      </c>
      <c r="F2586" s="90" t="s">
        <v>1454</v>
      </c>
      <c r="G2586" s="90"/>
      <c r="H2586" s="93"/>
      <c r="I2586" s="93"/>
      <c r="J2586" s="93"/>
      <c r="K2586" s="95"/>
      <c r="L2586" s="69"/>
      <c r="M2586" s="69"/>
      <c r="N2586" s="69"/>
      <c r="O2586" s="69"/>
      <c r="P2586" s="78"/>
      <c r="Q2586" s="96"/>
      <c r="R2586" s="97"/>
      <c r="S2586" s="98"/>
    </row>
    <row r="2587" spans="1:19" ht="42.75">
      <c r="A2587" s="90" t="s">
        <v>52</v>
      </c>
      <c r="B2587" s="91" t="s">
        <v>420</v>
      </c>
      <c r="C2587" s="91" t="s">
        <v>4093</v>
      </c>
      <c r="D2587" s="90">
        <v>1889</v>
      </c>
      <c r="E2587" s="90">
        <v>1831</v>
      </c>
      <c r="F2587" s="90" t="s">
        <v>1454</v>
      </c>
      <c r="G2587" s="90"/>
      <c r="H2587" s="93"/>
      <c r="I2587" s="93"/>
      <c r="J2587" s="93"/>
      <c r="K2587" s="95"/>
      <c r="L2587" s="69"/>
      <c r="M2587" s="69"/>
      <c r="N2587" s="69"/>
      <c r="O2587" s="69"/>
      <c r="P2587" s="78"/>
      <c r="Q2587" s="96"/>
      <c r="R2587" s="97"/>
      <c r="S2587" s="98"/>
    </row>
    <row r="2588" spans="1:19" ht="42.75">
      <c r="A2588" s="90" t="s">
        <v>52</v>
      </c>
      <c r="B2588" s="91" t="s">
        <v>420</v>
      </c>
      <c r="C2588" s="91" t="s">
        <v>4094</v>
      </c>
      <c r="D2588" s="90">
        <v>1954</v>
      </c>
      <c r="E2588" s="90">
        <v>2008</v>
      </c>
      <c r="F2588" s="90" t="s">
        <v>1454</v>
      </c>
      <c r="G2588" s="90"/>
      <c r="H2588" s="93"/>
      <c r="I2588" s="93"/>
      <c r="J2588" s="93"/>
      <c r="K2588" s="95"/>
      <c r="L2588" s="69"/>
      <c r="M2588" s="69"/>
      <c r="N2588" s="69"/>
      <c r="O2588" s="69"/>
      <c r="P2588" s="78"/>
      <c r="Q2588" s="96"/>
      <c r="R2588" s="97"/>
      <c r="S2588" s="98"/>
    </row>
    <row r="2589" spans="1:19" ht="42.75">
      <c r="A2589" s="90" t="s">
        <v>52</v>
      </c>
      <c r="B2589" s="91" t="s">
        <v>420</v>
      </c>
      <c r="C2589" s="91" t="s">
        <v>1087</v>
      </c>
      <c r="D2589" s="90">
        <v>3296</v>
      </c>
      <c r="E2589" s="90">
        <v>3556</v>
      </c>
      <c r="F2589" s="90" t="s">
        <v>1454</v>
      </c>
      <c r="G2589" s="90"/>
      <c r="H2589" s="93"/>
      <c r="I2589" s="93"/>
      <c r="J2589" s="93"/>
      <c r="K2589" s="95"/>
      <c r="L2589" s="69"/>
      <c r="M2589" s="69"/>
      <c r="N2589" s="69"/>
      <c r="O2589" s="69"/>
      <c r="P2589" s="78"/>
      <c r="Q2589" s="96"/>
      <c r="R2589" s="97"/>
      <c r="S2589" s="98"/>
    </row>
    <row r="2590" spans="1:19" ht="42.75">
      <c r="A2590" s="90" t="s">
        <v>52</v>
      </c>
      <c r="B2590" s="91" t="s">
        <v>420</v>
      </c>
      <c r="C2590" s="91" t="s">
        <v>3114</v>
      </c>
      <c r="D2590" s="90">
        <v>3127</v>
      </c>
      <c r="E2590" s="90">
        <v>3079</v>
      </c>
      <c r="F2590" s="90" t="s">
        <v>1454</v>
      </c>
      <c r="G2590" s="90"/>
      <c r="H2590" s="93"/>
      <c r="I2590" s="93"/>
      <c r="J2590" s="93"/>
      <c r="K2590" s="95"/>
      <c r="L2590" s="69"/>
      <c r="M2590" s="69"/>
      <c r="N2590" s="69"/>
      <c r="O2590" s="69"/>
      <c r="P2590" s="78"/>
      <c r="Q2590" s="96"/>
      <c r="R2590" s="97"/>
      <c r="S2590" s="98"/>
    </row>
    <row r="2591" spans="1:19" ht="42.75">
      <c r="A2591" s="90" t="s">
        <v>52</v>
      </c>
      <c r="B2591" s="91" t="s">
        <v>420</v>
      </c>
      <c r="C2591" s="91" t="s">
        <v>4095</v>
      </c>
      <c r="D2591" s="90">
        <v>1394</v>
      </c>
      <c r="E2591" s="90">
        <v>1254</v>
      </c>
      <c r="F2591" s="90" t="s">
        <v>1434</v>
      </c>
      <c r="G2591" s="90">
        <v>2024</v>
      </c>
      <c r="H2591" s="101">
        <v>45608</v>
      </c>
      <c r="I2591" s="101">
        <v>45610</v>
      </c>
      <c r="J2591" s="94" t="s">
        <v>4096</v>
      </c>
      <c r="K2591" s="100">
        <v>45616</v>
      </c>
      <c r="L2591" s="69" t="s">
        <v>84</v>
      </c>
      <c r="M2591" s="69" t="s">
        <v>4</v>
      </c>
      <c r="N2591" s="69" t="s">
        <v>101</v>
      </c>
      <c r="O2591" s="69" t="s">
        <v>1436</v>
      </c>
      <c r="P2591" s="78"/>
      <c r="Q2591" s="96">
        <v>45616</v>
      </c>
      <c r="R2591" s="97" t="s">
        <v>929</v>
      </c>
      <c r="S2591" s="98"/>
    </row>
    <row r="2592" spans="1:19" ht="42.75">
      <c r="A2592" s="90" t="s">
        <v>52</v>
      </c>
      <c r="B2592" s="91" t="s">
        <v>420</v>
      </c>
      <c r="C2592" s="91" t="s">
        <v>3850</v>
      </c>
      <c r="D2592" s="90">
        <v>1726</v>
      </c>
      <c r="E2592" s="90">
        <v>1743</v>
      </c>
      <c r="F2592" s="90" t="s">
        <v>1454</v>
      </c>
      <c r="G2592" s="90"/>
      <c r="H2592" s="93"/>
      <c r="I2592" s="93"/>
      <c r="J2592" s="93"/>
      <c r="K2592" s="95"/>
      <c r="L2592" s="69"/>
      <c r="M2592" s="69"/>
      <c r="N2592" s="69"/>
      <c r="O2592" s="69"/>
      <c r="P2592" s="78"/>
      <c r="Q2592" s="96"/>
      <c r="R2592" s="97"/>
      <c r="S2592" s="98"/>
    </row>
    <row r="2593" spans="1:19" ht="42.75">
      <c r="A2593" s="90" t="s">
        <v>52</v>
      </c>
      <c r="B2593" s="91" t="s">
        <v>420</v>
      </c>
      <c r="C2593" s="91" t="s">
        <v>427</v>
      </c>
      <c r="D2593" s="90">
        <v>1670</v>
      </c>
      <c r="E2593" s="90">
        <v>1541</v>
      </c>
      <c r="F2593" s="90" t="s">
        <v>1454</v>
      </c>
      <c r="G2593" s="90"/>
      <c r="H2593" s="93"/>
      <c r="I2593" s="93"/>
      <c r="J2593" s="93"/>
      <c r="K2593" s="95"/>
      <c r="L2593" s="69"/>
      <c r="M2593" s="69"/>
      <c r="N2593" s="69"/>
      <c r="O2593" s="69"/>
      <c r="P2593" s="78"/>
      <c r="Q2593" s="96"/>
      <c r="R2593" s="97"/>
      <c r="S2593" s="98"/>
    </row>
    <row r="2594" spans="1:19" ht="42.75">
      <c r="A2594" s="90" t="s">
        <v>52</v>
      </c>
      <c r="B2594" s="91" t="s">
        <v>420</v>
      </c>
      <c r="C2594" s="91" t="s">
        <v>4097</v>
      </c>
      <c r="D2594" s="90">
        <v>727</v>
      </c>
      <c r="E2594" s="90">
        <v>723</v>
      </c>
      <c r="F2594" s="90" t="s">
        <v>1454</v>
      </c>
      <c r="G2594" s="90"/>
      <c r="H2594" s="93"/>
      <c r="I2594" s="93"/>
      <c r="J2594" s="93"/>
      <c r="K2594" s="95"/>
      <c r="L2594" s="69"/>
      <c r="M2594" s="69"/>
      <c r="N2594" s="69"/>
      <c r="O2594" s="69"/>
      <c r="P2594" s="78"/>
      <c r="Q2594" s="96"/>
      <c r="R2594" s="97"/>
      <c r="S2594" s="98"/>
    </row>
    <row r="2595" spans="1:19" ht="42.75">
      <c r="A2595" s="90" t="s">
        <v>52</v>
      </c>
      <c r="B2595" s="91" t="s">
        <v>420</v>
      </c>
      <c r="C2595" s="91" t="s">
        <v>4098</v>
      </c>
      <c r="D2595" s="90">
        <v>1332</v>
      </c>
      <c r="E2595" s="90">
        <v>1457</v>
      </c>
      <c r="F2595" s="90" t="s">
        <v>1454</v>
      </c>
      <c r="G2595" s="90"/>
      <c r="H2595" s="93"/>
      <c r="I2595" s="93"/>
      <c r="J2595" s="93"/>
      <c r="K2595" s="95"/>
      <c r="L2595" s="69"/>
      <c r="M2595" s="69"/>
      <c r="N2595" s="69"/>
      <c r="O2595" s="69"/>
      <c r="P2595" s="78"/>
      <c r="Q2595" s="96"/>
      <c r="R2595" s="97"/>
      <c r="S2595" s="98"/>
    </row>
    <row r="2596" spans="1:19" ht="42.75">
      <c r="A2596" s="90" t="s">
        <v>52</v>
      </c>
      <c r="B2596" s="91" t="s">
        <v>324</v>
      </c>
      <c r="C2596" s="91" t="s">
        <v>4099</v>
      </c>
      <c r="D2596" s="90">
        <v>3720</v>
      </c>
      <c r="E2596" s="90">
        <v>4303</v>
      </c>
      <c r="F2596" s="90" t="s">
        <v>1454</v>
      </c>
      <c r="G2596" s="90"/>
      <c r="H2596" s="93"/>
      <c r="I2596" s="93"/>
      <c r="J2596" s="93"/>
      <c r="K2596" s="95"/>
      <c r="L2596" s="69"/>
      <c r="M2596" s="69"/>
      <c r="N2596" s="69"/>
      <c r="O2596" s="69"/>
      <c r="P2596" s="78"/>
      <c r="Q2596" s="96"/>
      <c r="R2596" s="97"/>
      <c r="S2596" s="98"/>
    </row>
    <row r="2597" spans="1:19" ht="42.75">
      <c r="A2597" s="90" t="s">
        <v>52</v>
      </c>
      <c r="B2597" s="91" t="s">
        <v>324</v>
      </c>
      <c r="C2597" s="91" t="s">
        <v>4100</v>
      </c>
      <c r="D2597" s="90">
        <v>1816</v>
      </c>
      <c r="E2597" s="90">
        <v>1768</v>
      </c>
      <c r="F2597" s="90" t="s">
        <v>1454</v>
      </c>
      <c r="G2597" s="90"/>
      <c r="H2597" s="93"/>
      <c r="I2597" s="93"/>
      <c r="J2597" s="93"/>
      <c r="K2597" s="95"/>
      <c r="L2597" s="69"/>
      <c r="M2597" s="69"/>
      <c r="N2597" s="69"/>
      <c r="O2597" s="69"/>
      <c r="P2597" s="78"/>
      <c r="Q2597" s="96"/>
      <c r="R2597" s="97"/>
      <c r="S2597" s="98"/>
    </row>
    <row r="2598" spans="1:19" ht="42.75">
      <c r="A2598" s="90" t="s">
        <v>52</v>
      </c>
      <c r="B2598" s="91" t="s">
        <v>324</v>
      </c>
      <c r="C2598" s="91" t="s">
        <v>4101</v>
      </c>
      <c r="D2598" s="90">
        <v>612</v>
      </c>
      <c r="E2598" s="90">
        <v>761</v>
      </c>
      <c r="F2598" s="90" t="s">
        <v>1454</v>
      </c>
      <c r="G2598" s="90"/>
      <c r="H2598" s="93"/>
      <c r="I2598" s="93"/>
      <c r="J2598" s="93"/>
      <c r="K2598" s="95"/>
      <c r="L2598" s="69"/>
      <c r="M2598" s="69"/>
      <c r="N2598" s="69"/>
      <c r="O2598" s="69"/>
      <c r="P2598" s="78"/>
      <c r="Q2598" s="96"/>
      <c r="R2598" s="97"/>
      <c r="S2598" s="98"/>
    </row>
    <row r="2599" spans="1:19" ht="42.75">
      <c r="A2599" s="90" t="s">
        <v>52</v>
      </c>
      <c r="B2599" s="91" t="s">
        <v>324</v>
      </c>
      <c r="C2599" s="91" t="s">
        <v>4102</v>
      </c>
      <c r="D2599" s="90">
        <v>1312</v>
      </c>
      <c r="E2599" s="90">
        <v>1222</v>
      </c>
      <c r="F2599" s="90" t="s">
        <v>1454</v>
      </c>
      <c r="G2599" s="90"/>
      <c r="H2599" s="93"/>
      <c r="I2599" s="93"/>
      <c r="J2599" s="93"/>
      <c r="K2599" s="95"/>
      <c r="L2599" s="69"/>
      <c r="M2599" s="69"/>
      <c r="N2599" s="69"/>
      <c r="O2599" s="69"/>
      <c r="P2599" s="78"/>
      <c r="Q2599" s="96"/>
      <c r="R2599" s="97"/>
      <c r="S2599" s="98"/>
    </row>
    <row r="2600" spans="1:19" ht="42.75">
      <c r="A2600" s="90" t="s">
        <v>52</v>
      </c>
      <c r="B2600" s="91" t="s">
        <v>324</v>
      </c>
      <c r="C2600" s="91" t="s">
        <v>4103</v>
      </c>
      <c r="D2600" s="90">
        <v>1548</v>
      </c>
      <c r="E2600" s="90">
        <v>1672</v>
      </c>
      <c r="F2600" s="90" t="s">
        <v>1454</v>
      </c>
      <c r="G2600" s="90"/>
      <c r="H2600" s="93"/>
      <c r="I2600" s="93"/>
      <c r="J2600" s="93"/>
      <c r="K2600" s="95"/>
      <c r="L2600" s="69"/>
      <c r="M2600" s="69"/>
      <c r="N2600" s="69"/>
      <c r="O2600" s="69"/>
      <c r="P2600" s="78"/>
      <c r="Q2600" s="96"/>
      <c r="R2600" s="97"/>
      <c r="S2600" s="98"/>
    </row>
    <row r="2601" spans="1:19" ht="42.75">
      <c r="A2601" s="90" t="s">
        <v>52</v>
      </c>
      <c r="B2601" s="91" t="s">
        <v>324</v>
      </c>
      <c r="C2601" s="91" t="s">
        <v>4104</v>
      </c>
      <c r="D2601" s="90">
        <v>1479</v>
      </c>
      <c r="E2601" s="90">
        <v>1675</v>
      </c>
      <c r="F2601" s="90" t="s">
        <v>1434</v>
      </c>
      <c r="G2601" s="90">
        <v>2024</v>
      </c>
      <c r="H2601" s="101">
        <v>45384</v>
      </c>
      <c r="I2601" s="101">
        <v>45385</v>
      </c>
      <c r="J2601" s="94" t="s">
        <v>4105</v>
      </c>
      <c r="K2601" s="100">
        <v>45397</v>
      </c>
      <c r="L2601" s="69" t="s">
        <v>77</v>
      </c>
      <c r="M2601" s="69"/>
      <c r="N2601" s="69"/>
      <c r="O2601" s="69" t="s">
        <v>1436</v>
      </c>
      <c r="P2601" s="78"/>
      <c r="Q2601" s="96"/>
      <c r="R2601" s="97"/>
      <c r="S2601" s="98"/>
    </row>
    <row r="2602" spans="1:19" ht="42.75">
      <c r="A2602" s="90" t="s">
        <v>52</v>
      </c>
      <c r="B2602" s="91" t="s">
        <v>324</v>
      </c>
      <c r="C2602" s="91" t="s">
        <v>4106</v>
      </c>
      <c r="D2602" s="90">
        <v>1218</v>
      </c>
      <c r="E2602" s="90">
        <v>1341</v>
      </c>
      <c r="F2602" s="90" t="s">
        <v>1454</v>
      </c>
      <c r="G2602" s="90"/>
      <c r="H2602" s="93"/>
      <c r="I2602" s="93"/>
      <c r="J2602" s="93"/>
      <c r="K2602" s="95"/>
      <c r="L2602" s="69"/>
      <c r="M2602" s="69"/>
      <c r="N2602" s="69"/>
      <c r="O2602" s="69"/>
      <c r="P2602" s="78"/>
      <c r="Q2602" s="96"/>
      <c r="R2602" s="97"/>
      <c r="S2602" s="98"/>
    </row>
    <row r="2603" spans="1:19" ht="42.75">
      <c r="A2603" s="90" t="s">
        <v>52</v>
      </c>
      <c r="B2603" s="91" t="s">
        <v>324</v>
      </c>
      <c r="C2603" s="91" t="s">
        <v>1006</v>
      </c>
      <c r="D2603" s="90">
        <v>2359</v>
      </c>
      <c r="E2603" s="90">
        <v>2257</v>
      </c>
      <c r="F2603" s="90" t="s">
        <v>1454</v>
      </c>
      <c r="G2603" s="90"/>
      <c r="H2603" s="93"/>
      <c r="I2603" s="93"/>
      <c r="J2603" s="93"/>
      <c r="K2603" s="95"/>
      <c r="L2603" s="69"/>
      <c r="M2603" s="69"/>
      <c r="N2603" s="69"/>
      <c r="O2603" s="69"/>
      <c r="P2603" s="78"/>
      <c r="Q2603" s="96"/>
      <c r="R2603" s="97"/>
      <c r="S2603" s="98"/>
    </row>
    <row r="2604" spans="1:19" ht="42.75">
      <c r="A2604" s="90" t="s">
        <v>52</v>
      </c>
      <c r="B2604" s="91" t="s">
        <v>324</v>
      </c>
      <c r="C2604" s="91" t="s">
        <v>4107</v>
      </c>
      <c r="D2604" s="90">
        <v>714</v>
      </c>
      <c r="E2604" s="90">
        <v>914</v>
      </c>
      <c r="F2604" s="90" t="s">
        <v>1434</v>
      </c>
      <c r="G2604" s="90">
        <v>2024</v>
      </c>
      <c r="H2604" s="101">
        <v>45384</v>
      </c>
      <c r="I2604" s="101">
        <v>45385</v>
      </c>
      <c r="J2604" s="94" t="s">
        <v>4108</v>
      </c>
      <c r="K2604" s="100">
        <v>45397</v>
      </c>
      <c r="L2604" s="69" t="s">
        <v>77</v>
      </c>
      <c r="M2604" s="69"/>
      <c r="N2604" s="69"/>
      <c r="O2604" s="69" t="s">
        <v>1436</v>
      </c>
      <c r="P2604" s="78"/>
      <c r="Q2604" s="96"/>
      <c r="R2604" s="97"/>
      <c r="S2604" s="98"/>
    </row>
    <row r="2605" spans="1:19" ht="42.75">
      <c r="A2605" s="90" t="s">
        <v>52</v>
      </c>
      <c r="B2605" s="91" t="s">
        <v>324</v>
      </c>
      <c r="C2605" s="91" t="s">
        <v>4109</v>
      </c>
      <c r="D2605" s="90">
        <v>1203</v>
      </c>
      <c r="E2605" s="90">
        <v>1340</v>
      </c>
      <c r="F2605" s="90" t="s">
        <v>1454</v>
      </c>
      <c r="G2605" s="90"/>
      <c r="H2605" s="93"/>
      <c r="I2605" s="93"/>
      <c r="J2605" s="93"/>
      <c r="K2605" s="95"/>
      <c r="L2605" s="69"/>
      <c r="M2605" s="69"/>
      <c r="N2605" s="69"/>
      <c r="O2605" s="69"/>
      <c r="P2605" s="78"/>
      <c r="Q2605" s="96"/>
      <c r="R2605" s="97"/>
      <c r="S2605" s="98"/>
    </row>
    <row r="2606" spans="1:19" ht="42.75">
      <c r="A2606" s="90" t="s">
        <v>52</v>
      </c>
      <c r="B2606" s="91" t="s">
        <v>324</v>
      </c>
      <c r="C2606" s="91" t="s">
        <v>4110</v>
      </c>
      <c r="D2606" s="90">
        <v>1627</v>
      </c>
      <c r="E2606" s="90">
        <v>1713</v>
      </c>
      <c r="F2606" s="90" t="s">
        <v>1454</v>
      </c>
      <c r="G2606" s="90"/>
      <c r="H2606" s="93"/>
      <c r="I2606" s="93"/>
      <c r="J2606" s="93"/>
      <c r="K2606" s="95"/>
      <c r="L2606" s="69"/>
      <c r="M2606" s="69"/>
      <c r="N2606" s="69"/>
      <c r="O2606" s="69"/>
      <c r="P2606" s="78"/>
      <c r="Q2606" s="96"/>
      <c r="R2606" s="97"/>
      <c r="S2606" s="98"/>
    </row>
    <row r="2607" spans="1:19" ht="42.75">
      <c r="A2607" s="90" t="s">
        <v>52</v>
      </c>
      <c r="B2607" s="91" t="s">
        <v>324</v>
      </c>
      <c r="C2607" s="91" t="s">
        <v>4111</v>
      </c>
      <c r="D2607" s="90">
        <v>1181</v>
      </c>
      <c r="E2607" s="90">
        <v>1295</v>
      </c>
      <c r="F2607" s="90" t="s">
        <v>1454</v>
      </c>
      <c r="G2607" s="90"/>
      <c r="H2607" s="93"/>
      <c r="I2607" s="93"/>
      <c r="J2607" s="93"/>
      <c r="K2607" s="95"/>
      <c r="L2607" s="69"/>
      <c r="M2607" s="69"/>
      <c r="N2607" s="69"/>
      <c r="O2607" s="69"/>
      <c r="P2607" s="78"/>
      <c r="Q2607" s="96"/>
      <c r="R2607" s="97"/>
      <c r="S2607" s="98"/>
    </row>
    <row r="2608" spans="1:19" ht="42.75">
      <c r="A2608" s="90" t="s">
        <v>52</v>
      </c>
      <c r="B2608" s="91" t="s">
        <v>324</v>
      </c>
      <c r="C2608" s="91" t="s">
        <v>4112</v>
      </c>
      <c r="D2608" s="90">
        <v>1542</v>
      </c>
      <c r="E2608" s="90">
        <v>1607</v>
      </c>
      <c r="F2608" s="90" t="s">
        <v>1454</v>
      </c>
      <c r="G2608" s="90"/>
      <c r="H2608" s="93"/>
      <c r="I2608" s="93"/>
      <c r="J2608" s="93"/>
      <c r="K2608" s="95"/>
      <c r="L2608" s="69"/>
      <c r="M2608" s="69"/>
      <c r="N2608" s="69"/>
      <c r="O2608" s="69"/>
      <c r="P2608" s="78"/>
      <c r="Q2608" s="96"/>
      <c r="R2608" s="97"/>
      <c r="S2608" s="98"/>
    </row>
    <row r="2609" spans="1:19" ht="42.75">
      <c r="A2609" s="90" t="s">
        <v>52</v>
      </c>
      <c r="B2609" s="91" t="s">
        <v>324</v>
      </c>
      <c r="C2609" s="91" t="s">
        <v>4113</v>
      </c>
      <c r="D2609" s="90">
        <v>1716</v>
      </c>
      <c r="E2609" s="90">
        <v>1731</v>
      </c>
      <c r="F2609" s="90" t="s">
        <v>1454</v>
      </c>
      <c r="G2609" s="90"/>
      <c r="H2609" s="93"/>
      <c r="I2609" s="93"/>
      <c r="J2609" s="93"/>
      <c r="K2609" s="95"/>
      <c r="L2609" s="69"/>
      <c r="M2609" s="69"/>
      <c r="N2609" s="69"/>
      <c r="O2609" s="69"/>
      <c r="P2609" s="78"/>
      <c r="Q2609" s="96"/>
      <c r="R2609" s="97"/>
      <c r="S2609" s="98"/>
    </row>
    <row r="2610" spans="1:19" ht="42.75">
      <c r="A2610" s="90" t="s">
        <v>52</v>
      </c>
      <c r="B2610" s="91" t="s">
        <v>324</v>
      </c>
      <c r="C2610" s="91" t="s">
        <v>4114</v>
      </c>
      <c r="D2610" s="90">
        <v>2232</v>
      </c>
      <c r="E2610" s="90">
        <v>2102</v>
      </c>
      <c r="F2610" s="90" t="s">
        <v>1454</v>
      </c>
      <c r="G2610" s="90"/>
      <c r="H2610" s="93"/>
      <c r="I2610" s="93"/>
      <c r="J2610" s="93"/>
      <c r="K2610" s="95"/>
      <c r="L2610" s="69"/>
      <c r="M2610" s="69"/>
      <c r="N2610" s="69"/>
      <c r="O2610" s="69"/>
      <c r="P2610" s="78"/>
      <c r="Q2610" s="96"/>
      <c r="R2610" s="97"/>
      <c r="S2610" s="98"/>
    </row>
    <row r="2611" spans="1:19" ht="42.75">
      <c r="A2611" s="90" t="s">
        <v>52</v>
      </c>
      <c r="B2611" s="91" t="s">
        <v>324</v>
      </c>
      <c r="C2611" s="91" t="s">
        <v>4115</v>
      </c>
      <c r="D2611" s="90">
        <v>2780</v>
      </c>
      <c r="E2611" s="90">
        <v>3232</v>
      </c>
      <c r="F2611" s="90" t="s">
        <v>1454</v>
      </c>
      <c r="G2611" s="90"/>
      <c r="H2611" s="93"/>
      <c r="I2611" s="93"/>
      <c r="J2611" s="93"/>
      <c r="K2611" s="95"/>
      <c r="L2611" s="69"/>
      <c r="M2611" s="69"/>
      <c r="N2611" s="69"/>
      <c r="O2611" s="69"/>
      <c r="P2611" s="78"/>
      <c r="Q2611" s="96"/>
      <c r="R2611" s="97"/>
      <c r="S2611" s="98"/>
    </row>
    <row r="2612" spans="1:19" ht="42.75">
      <c r="A2612" s="90" t="s">
        <v>52</v>
      </c>
      <c r="B2612" s="91" t="s">
        <v>324</v>
      </c>
      <c r="C2612" s="91" t="s">
        <v>4116</v>
      </c>
      <c r="D2612" s="90">
        <v>1530</v>
      </c>
      <c r="E2612" s="90">
        <v>1627</v>
      </c>
      <c r="F2612" s="90" t="s">
        <v>1454</v>
      </c>
      <c r="G2612" s="90"/>
      <c r="H2612" s="93"/>
      <c r="I2612" s="93"/>
      <c r="J2612" s="93"/>
      <c r="K2612" s="95"/>
      <c r="L2612" s="69"/>
      <c r="M2612" s="69"/>
      <c r="N2612" s="69"/>
      <c r="O2612" s="69"/>
      <c r="P2612" s="78"/>
      <c r="Q2612" s="96"/>
      <c r="R2612" s="97"/>
      <c r="S2612" s="98"/>
    </row>
    <row r="2613" spans="1:19" ht="42.75">
      <c r="A2613" s="90" t="s">
        <v>52</v>
      </c>
      <c r="B2613" s="91" t="s">
        <v>324</v>
      </c>
      <c r="C2613" s="91" t="s">
        <v>3129</v>
      </c>
      <c r="D2613" s="90">
        <v>2139</v>
      </c>
      <c r="E2613" s="90">
        <v>2401</v>
      </c>
      <c r="F2613" s="90" t="s">
        <v>1454</v>
      </c>
      <c r="G2613" s="90"/>
      <c r="H2613" s="93"/>
      <c r="I2613" s="93"/>
      <c r="J2613" s="93"/>
      <c r="K2613" s="95"/>
      <c r="L2613" s="69"/>
      <c r="M2613" s="69"/>
      <c r="N2613" s="69"/>
      <c r="O2613" s="69"/>
      <c r="P2613" s="78"/>
      <c r="Q2613" s="96"/>
      <c r="R2613" s="97"/>
      <c r="S2613" s="98"/>
    </row>
    <row r="2614" spans="1:19" ht="42.75">
      <c r="A2614" s="90" t="s">
        <v>52</v>
      </c>
      <c r="B2614" s="91" t="s">
        <v>324</v>
      </c>
      <c r="C2614" s="91" t="s">
        <v>4117</v>
      </c>
      <c r="D2614" s="90">
        <v>1594</v>
      </c>
      <c r="E2614" s="90">
        <v>1735</v>
      </c>
      <c r="F2614" s="90" t="s">
        <v>1454</v>
      </c>
      <c r="G2614" s="90"/>
      <c r="H2614" s="93"/>
      <c r="I2614" s="93"/>
      <c r="J2614" s="93"/>
      <c r="K2614" s="95"/>
      <c r="L2614" s="69"/>
      <c r="M2614" s="69"/>
      <c r="N2614" s="69"/>
      <c r="O2614" s="69"/>
      <c r="P2614" s="78"/>
      <c r="Q2614" s="96"/>
      <c r="R2614" s="97"/>
      <c r="S2614" s="98"/>
    </row>
    <row r="2615" spans="1:19" ht="42.75">
      <c r="A2615" s="90" t="s">
        <v>52</v>
      </c>
      <c r="B2615" s="91" t="s">
        <v>324</v>
      </c>
      <c r="C2615" s="91" t="s">
        <v>4042</v>
      </c>
      <c r="D2615" s="90">
        <v>1620</v>
      </c>
      <c r="E2615" s="90">
        <v>1802</v>
      </c>
      <c r="F2615" s="90" t="s">
        <v>1454</v>
      </c>
      <c r="G2615" s="90"/>
      <c r="H2615" s="93"/>
      <c r="I2615" s="93"/>
      <c r="J2615" s="93"/>
      <c r="K2615" s="95"/>
      <c r="L2615" s="69"/>
      <c r="M2615" s="69"/>
      <c r="N2615" s="69"/>
      <c r="O2615" s="69"/>
      <c r="P2615" s="78"/>
      <c r="Q2615" s="96"/>
      <c r="R2615" s="97"/>
      <c r="S2615" s="98"/>
    </row>
    <row r="2616" spans="1:19" ht="42.75">
      <c r="A2616" s="90" t="s">
        <v>52</v>
      </c>
      <c r="B2616" s="91" t="s">
        <v>324</v>
      </c>
      <c r="C2616" s="91" t="s">
        <v>4044</v>
      </c>
      <c r="D2616" s="90">
        <v>1759</v>
      </c>
      <c r="E2616" s="90">
        <v>1786</v>
      </c>
      <c r="F2616" s="90" t="s">
        <v>1454</v>
      </c>
      <c r="G2616" s="90"/>
      <c r="H2616" s="93"/>
      <c r="I2616" s="93"/>
      <c r="J2616" s="93"/>
      <c r="K2616" s="95"/>
      <c r="L2616" s="69"/>
      <c r="M2616" s="69"/>
      <c r="N2616" s="69"/>
      <c r="O2616" s="69"/>
      <c r="P2616" s="78"/>
      <c r="Q2616" s="96"/>
      <c r="R2616" s="97"/>
      <c r="S2616" s="98"/>
    </row>
    <row r="2617" spans="1:19" ht="42.75">
      <c r="A2617" s="90" t="s">
        <v>52</v>
      </c>
      <c r="B2617" s="91" t="s">
        <v>324</v>
      </c>
      <c r="C2617" s="91" t="s">
        <v>4046</v>
      </c>
      <c r="D2617" s="90">
        <v>938</v>
      </c>
      <c r="E2617" s="90">
        <v>1023</v>
      </c>
      <c r="F2617" s="90" t="s">
        <v>1454</v>
      </c>
      <c r="G2617" s="90"/>
      <c r="H2617" s="93"/>
      <c r="I2617" s="93"/>
      <c r="J2617" s="93"/>
      <c r="K2617" s="95"/>
      <c r="L2617" s="69"/>
      <c r="M2617" s="69"/>
      <c r="N2617" s="69"/>
      <c r="O2617" s="69"/>
      <c r="P2617" s="78"/>
      <c r="Q2617" s="96"/>
      <c r="R2617" s="97"/>
      <c r="S2617" s="98"/>
    </row>
    <row r="2618" spans="1:19" ht="42.75">
      <c r="A2618" s="90" t="s">
        <v>52</v>
      </c>
      <c r="B2618" s="91" t="s">
        <v>324</v>
      </c>
      <c r="C2618" s="91" t="s">
        <v>4118</v>
      </c>
      <c r="D2618" s="90">
        <v>1024</v>
      </c>
      <c r="E2618" s="90">
        <v>1016</v>
      </c>
      <c r="F2618" s="90" t="s">
        <v>1454</v>
      </c>
      <c r="G2618" s="90"/>
      <c r="H2618" s="93"/>
      <c r="I2618" s="93"/>
      <c r="J2618" s="93"/>
      <c r="K2618" s="95"/>
      <c r="L2618" s="69"/>
      <c r="M2618" s="69"/>
      <c r="N2618" s="69"/>
      <c r="O2618" s="69"/>
      <c r="P2618" s="78"/>
      <c r="Q2618" s="96"/>
      <c r="R2618" s="97"/>
      <c r="S2618" s="98"/>
    </row>
    <row r="2619" spans="1:19" ht="42.75">
      <c r="A2619" s="90" t="s">
        <v>52</v>
      </c>
      <c r="B2619" s="91" t="s">
        <v>324</v>
      </c>
      <c r="C2619" s="91" t="s">
        <v>444</v>
      </c>
      <c r="D2619" s="90">
        <v>1346</v>
      </c>
      <c r="E2619" s="90">
        <v>1456</v>
      </c>
      <c r="F2619" s="90" t="s">
        <v>1434</v>
      </c>
      <c r="G2619" s="90">
        <v>2024</v>
      </c>
      <c r="H2619" s="101">
        <v>45567</v>
      </c>
      <c r="I2619" s="101">
        <v>45567</v>
      </c>
      <c r="J2619" s="94" t="s">
        <v>4119</v>
      </c>
      <c r="K2619" s="100">
        <v>45574</v>
      </c>
      <c r="L2619" s="69" t="s">
        <v>83</v>
      </c>
      <c r="M2619" s="69" t="s">
        <v>672</v>
      </c>
      <c r="N2619" s="69" t="s">
        <v>101</v>
      </c>
      <c r="O2619" s="69" t="s">
        <v>1436</v>
      </c>
      <c r="P2619" s="78"/>
      <c r="Q2619" s="115">
        <v>45575</v>
      </c>
      <c r="R2619" s="65" t="s">
        <v>4120</v>
      </c>
      <c r="S2619" s="89"/>
    </row>
    <row r="2620" spans="1:19" ht="42.75">
      <c r="A2620" s="90" t="s">
        <v>52</v>
      </c>
      <c r="B2620" s="91" t="s">
        <v>324</v>
      </c>
      <c r="C2620" s="91" t="s">
        <v>764</v>
      </c>
      <c r="D2620" s="90">
        <v>1988</v>
      </c>
      <c r="E2620" s="90">
        <v>2252</v>
      </c>
      <c r="F2620" s="90" t="s">
        <v>1454</v>
      </c>
      <c r="G2620" s="90"/>
      <c r="H2620" s="93"/>
      <c r="I2620" s="93"/>
      <c r="J2620" s="93"/>
      <c r="K2620" s="95"/>
      <c r="L2620" s="69"/>
      <c r="M2620" s="69"/>
      <c r="N2620" s="69"/>
      <c r="O2620" s="69"/>
      <c r="P2620" s="78"/>
      <c r="Q2620" s="96"/>
      <c r="R2620" s="97"/>
      <c r="S2620" s="98"/>
    </row>
    <row r="2621" spans="1:19" ht="42.75">
      <c r="A2621" s="90" t="s">
        <v>52</v>
      </c>
      <c r="B2621" s="91" t="s">
        <v>324</v>
      </c>
      <c r="C2621" s="91" t="s">
        <v>4121</v>
      </c>
      <c r="D2621" s="90">
        <v>2691</v>
      </c>
      <c r="E2621" s="90">
        <v>2975</v>
      </c>
      <c r="F2621" s="90" t="s">
        <v>1454</v>
      </c>
      <c r="G2621" s="90"/>
      <c r="H2621" s="93"/>
      <c r="I2621" s="93"/>
      <c r="J2621" s="93"/>
      <c r="K2621" s="95"/>
      <c r="L2621" s="69"/>
      <c r="M2621" s="69"/>
      <c r="N2621" s="69"/>
      <c r="O2621" s="69"/>
      <c r="P2621" s="78"/>
      <c r="Q2621" s="96"/>
      <c r="R2621" s="97"/>
      <c r="S2621" s="98"/>
    </row>
    <row r="2622" spans="1:19" ht="42.75">
      <c r="A2622" s="90" t="s">
        <v>52</v>
      </c>
      <c r="B2622" s="91" t="s">
        <v>324</v>
      </c>
      <c r="C2622" s="91" t="s">
        <v>4122</v>
      </c>
      <c r="D2622" s="90">
        <v>1191</v>
      </c>
      <c r="E2622" s="90">
        <v>1402</v>
      </c>
      <c r="F2622" s="90" t="s">
        <v>1434</v>
      </c>
      <c r="G2622" s="90">
        <v>2024</v>
      </c>
      <c r="H2622" s="101">
        <v>45567</v>
      </c>
      <c r="I2622" s="101">
        <v>45567</v>
      </c>
      <c r="J2622" s="94" t="s">
        <v>4123</v>
      </c>
      <c r="K2622" s="100">
        <v>45574</v>
      </c>
      <c r="L2622" s="69" t="s">
        <v>83</v>
      </c>
      <c r="M2622" s="69" t="s">
        <v>4</v>
      </c>
      <c r="N2622" s="69" t="s">
        <v>101</v>
      </c>
      <c r="O2622" s="69" t="s">
        <v>1436</v>
      </c>
      <c r="P2622" s="78"/>
      <c r="Q2622" s="115">
        <v>45575</v>
      </c>
      <c r="R2622" s="65" t="s">
        <v>4120</v>
      </c>
      <c r="S2622" s="89"/>
    </row>
    <row r="2623" spans="1:19" ht="42.75">
      <c r="A2623" s="90" t="s">
        <v>52</v>
      </c>
      <c r="B2623" s="91" t="s">
        <v>324</v>
      </c>
      <c r="C2623" s="91" t="s">
        <v>881</v>
      </c>
      <c r="D2623" s="90">
        <v>797</v>
      </c>
      <c r="E2623" s="90">
        <v>900</v>
      </c>
      <c r="F2623" s="90" t="s">
        <v>1434</v>
      </c>
      <c r="G2623" s="90">
        <v>2024</v>
      </c>
      <c r="H2623" s="101">
        <v>45567</v>
      </c>
      <c r="I2623" s="101">
        <v>45567</v>
      </c>
      <c r="J2623" s="94" t="s">
        <v>4124</v>
      </c>
      <c r="K2623" s="100">
        <v>45574</v>
      </c>
      <c r="L2623" s="69" t="s">
        <v>83</v>
      </c>
      <c r="M2623" s="69" t="s">
        <v>4</v>
      </c>
      <c r="N2623" s="69" t="s">
        <v>101</v>
      </c>
      <c r="O2623" s="69" t="s">
        <v>1436</v>
      </c>
      <c r="P2623" s="78"/>
      <c r="Q2623" s="115">
        <v>45574</v>
      </c>
      <c r="R2623" s="65" t="s">
        <v>4120</v>
      </c>
      <c r="S2623" s="89"/>
    </row>
    <row r="2624" spans="1:19" ht="42.75">
      <c r="A2624" s="90" t="s">
        <v>52</v>
      </c>
      <c r="B2624" s="91" t="s">
        <v>324</v>
      </c>
      <c r="C2624" s="91" t="s">
        <v>2234</v>
      </c>
      <c r="D2624" s="90">
        <v>1176</v>
      </c>
      <c r="E2624" s="90">
        <v>1254</v>
      </c>
      <c r="F2624" s="90" t="s">
        <v>1454</v>
      </c>
      <c r="G2624" s="90"/>
      <c r="H2624" s="93"/>
      <c r="I2624" s="93"/>
      <c r="J2624" s="93"/>
      <c r="K2624" s="95"/>
      <c r="L2624" s="69"/>
      <c r="M2624" s="69"/>
      <c r="N2624" s="69"/>
      <c r="O2624" s="69"/>
      <c r="P2624" s="78"/>
      <c r="Q2624" s="96"/>
      <c r="R2624" s="97"/>
      <c r="S2624" s="98"/>
    </row>
    <row r="2625" spans="1:19" ht="42.75">
      <c r="A2625" s="90" t="s">
        <v>52</v>
      </c>
      <c r="B2625" s="91" t="s">
        <v>324</v>
      </c>
      <c r="C2625" s="91" t="s">
        <v>4125</v>
      </c>
      <c r="D2625" s="90">
        <v>1163</v>
      </c>
      <c r="E2625" s="90">
        <v>1151</v>
      </c>
      <c r="F2625" s="90" t="s">
        <v>1454</v>
      </c>
      <c r="G2625" s="90"/>
      <c r="H2625" s="93"/>
      <c r="I2625" s="93"/>
      <c r="J2625" s="93"/>
      <c r="K2625" s="95"/>
      <c r="L2625" s="69"/>
      <c r="M2625" s="69"/>
      <c r="N2625" s="69"/>
      <c r="O2625" s="69"/>
      <c r="P2625" s="78"/>
      <c r="Q2625" s="96"/>
      <c r="R2625" s="97"/>
      <c r="S2625" s="98"/>
    </row>
    <row r="2626" spans="1:19" ht="42.75">
      <c r="A2626" s="90" t="s">
        <v>52</v>
      </c>
      <c r="B2626" s="91" t="s">
        <v>324</v>
      </c>
      <c r="C2626" s="91" t="s">
        <v>4126</v>
      </c>
      <c r="D2626" s="90">
        <v>979</v>
      </c>
      <c r="E2626" s="90">
        <v>1058</v>
      </c>
      <c r="F2626" s="90" t="s">
        <v>1434</v>
      </c>
      <c r="G2626" s="90">
        <v>2024</v>
      </c>
      <c r="H2626" s="101">
        <v>45448</v>
      </c>
      <c r="I2626" s="101">
        <v>45450</v>
      </c>
      <c r="J2626" s="94" t="s">
        <v>4127</v>
      </c>
      <c r="K2626" s="100">
        <v>45462</v>
      </c>
      <c r="L2626" s="69" t="s">
        <v>79</v>
      </c>
      <c r="M2626" s="69"/>
      <c r="N2626" s="69"/>
      <c r="O2626" s="69" t="s">
        <v>1436</v>
      </c>
      <c r="P2626" s="78"/>
      <c r="Q2626" s="96">
        <v>45463</v>
      </c>
      <c r="R2626" s="97"/>
      <c r="S2626" s="98"/>
    </row>
    <row r="2627" spans="1:19" ht="42.75">
      <c r="A2627" s="90" t="s">
        <v>52</v>
      </c>
      <c r="B2627" s="91" t="s">
        <v>324</v>
      </c>
      <c r="C2627" s="91" t="s">
        <v>380</v>
      </c>
      <c r="D2627" s="90">
        <v>2029</v>
      </c>
      <c r="E2627" s="90">
        <v>2236</v>
      </c>
      <c r="F2627" s="90" t="s">
        <v>1454</v>
      </c>
      <c r="G2627" s="90"/>
      <c r="H2627" s="93"/>
      <c r="I2627" s="93"/>
      <c r="J2627" s="93"/>
      <c r="K2627" s="95"/>
      <c r="L2627" s="69"/>
      <c r="M2627" s="69"/>
      <c r="N2627" s="69"/>
      <c r="O2627" s="69"/>
      <c r="P2627" s="78"/>
      <c r="Q2627" s="96"/>
      <c r="R2627" s="97"/>
      <c r="S2627" s="98"/>
    </row>
    <row r="2628" spans="1:19" ht="42.75">
      <c r="A2628" s="90" t="s">
        <v>52</v>
      </c>
      <c r="B2628" s="91" t="s">
        <v>324</v>
      </c>
      <c r="C2628" s="91" t="s">
        <v>2345</v>
      </c>
      <c r="D2628" s="90">
        <v>1674</v>
      </c>
      <c r="E2628" s="90">
        <v>1769</v>
      </c>
      <c r="F2628" s="90" t="s">
        <v>1434</v>
      </c>
      <c r="G2628" s="90">
        <v>2024</v>
      </c>
      <c r="H2628" s="101">
        <v>45567</v>
      </c>
      <c r="I2628" s="101">
        <v>45567</v>
      </c>
      <c r="J2628" s="94" t="s">
        <v>4128</v>
      </c>
      <c r="K2628" s="100">
        <v>45574</v>
      </c>
      <c r="L2628" s="69" t="s">
        <v>83</v>
      </c>
      <c r="M2628" s="69" t="s">
        <v>4</v>
      </c>
      <c r="N2628" s="69" t="s">
        <v>101</v>
      </c>
      <c r="O2628" s="69" t="s">
        <v>1436</v>
      </c>
      <c r="P2628" s="78"/>
      <c r="Q2628" s="115">
        <v>45574</v>
      </c>
      <c r="R2628" s="65" t="s">
        <v>4120</v>
      </c>
      <c r="S2628" s="89"/>
    </row>
    <row r="2629" spans="1:19" ht="42.75">
      <c r="A2629" s="90" t="s">
        <v>52</v>
      </c>
      <c r="B2629" s="91" t="s">
        <v>324</v>
      </c>
      <c r="C2629" s="91" t="s">
        <v>4129</v>
      </c>
      <c r="D2629" s="90">
        <v>2233</v>
      </c>
      <c r="E2629" s="90">
        <v>2680</v>
      </c>
      <c r="F2629" s="90" t="s">
        <v>1454</v>
      </c>
      <c r="G2629" s="90"/>
      <c r="H2629" s="93"/>
      <c r="I2629" s="93"/>
      <c r="J2629" s="93"/>
      <c r="K2629" s="95"/>
      <c r="L2629" s="69"/>
      <c r="M2629" s="69"/>
      <c r="N2629" s="69"/>
      <c r="O2629" s="69"/>
      <c r="P2629" s="78"/>
      <c r="Q2629" s="96"/>
      <c r="R2629" s="97"/>
      <c r="S2629" s="98"/>
    </row>
    <row r="2630" spans="1:19" ht="42.75">
      <c r="A2630" s="90" t="s">
        <v>52</v>
      </c>
      <c r="B2630" s="91" t="s">
        <v>324</v>
      </c>
      <c r="C2630" s="91" t="s">
        <v>4130</v>
      </c>
      <c r="D2630" s="90">
        <v>889</v>
      </c>
      <c r="E2630" s="90">
        <v>945</v>
      </c>
      <c r="F2630" s="90" t="s">
        <v>1454</v>
      </c>
      <c r="G2630" s="90"/>
      <c r="H2630" s="93"/>
      <c r="I2630" s="93"/>
      <c r="J2630" s="93"/>
      <c r="K2630" s="95"/>
      <c r="L2630" s="69"/>
      <c r="M2630" s="69"/>
      <c r="N2630" s="69"/>
      <c r="O2630" s="69"/>
      <c r="P2630" s="78"/>
      <c r="Q2630" s="96"/>
      <c r="R2630" s="97"/>
      <c r="S2630" s="98"/>
    </row>
    <row r="2631" spans="1:19" ht="42.75">
      <c r="A2631" s="90" t="s">
        <v>52</v>
      </c>
      <c r="B2631" s="91" t="s">
        <v>324</v>
      </c>
      <c r="C2631" s="91" t="s">
        <v>4131</v>
      </c>
      <c r="D2631" s="90">
        <v>1300</v>
      </c>
      <c r="E2631" s="90">
        <v>1557</v>
      </c>
      <c r="F2631" s="90" t="s">
        <v>1454</v>
      </c>
      <c r="G2631" s="90"/>
      <c r="H2631" s="93"/>
      <c r="I2631" s="93"/>
      <c r="J2631" s="93"/>
      <c r="K2631" s="95"/>
      <c r="L2631" s="69"/>
      <c r="M2631" s="69"/>
      <c r="N2631" s="69"/>
      <c r="O2631" s="69"/>
      <c r="P2631" s="78"/>
      <c r="Q2631" s="96"/>
      <c r="R2631" s="97"/>
      <c r="S2631" s="98"/>
    </row>
    <row r="2632" spans="1:19" ht="42.75">
      <c r="A2632" s="90" t="s">
        <v>52</v>
      </c>
      <c r="B2632" s="91" t="s">
        <v>324</v>
      </c>
      <c r="C2632" s="91" t="s">
        <v>4132</v>
      </c>
      <c r="D2632" s="90">
        <v>668</v>
      </c>
      <c r="E2632" s="90">
        <v>861</v>
      </c>
      <c r="F2632" s="90" t="s">
        <v>1454</v>
      </c>
      <c r="G2632" s="90"/>
      <c r="H2632" s="93"/>
      <c r="I2632" s="93"/>
      <c r="J2632" s="93"/>
      <c r="K2632" s="95"/>
      <c r="L2632" s="69"/>
      <c r="M2632" s="69"/>
      <c r="N2632" s="69"/>
      <c r="O2632" s="69"/>
      <c r="P2632" s="78"/>
      <c r="Q2632" s="96"/>
      <c r="R2632" s="97"/>
      <c r="S2632" s="98"/>
    </row>
    <row r="2633" spans="1:19" ht="42.75">
      <c r="A2633" s="90" t="s">
        <v>52</v>
      </c>
      <c r="B2633" s="91" t="s">
        <v>424</v>
      </c>
      <c r="C2633" s="91" t="s">
        <v>4133</v>
      </c>
      <c r="D2633" s="90">
        <v>4828</v>
      </c>
      <c r="E2633" s="90">
        <v>4612</v>
      </c>
      <c r="F2633" s="90" t="s">
        <v>1454</v>
      </c>
      <c r="G2633" s="90"/>
      <c r="H2633" s="93"/>
      <c r="I2633" s="93"/>
      <c r="J2633" s="93"/>
      <c r="K2633" s="95"/>
      <c r="L2633" s="69"/>
      <c r="M2633" s="69"/>
      <c r="N2633" s="69"/>
      <c r="O2633" s="69"/>
      <c r="P2633" s="78"/>
      <c r="Q2633" s="96"/>
      <c r="R2633" s="97"/>
      <c r="S2633" s="98"/>
    </row>
    <row r="2634" spans="1:19" ht="42.75">
      <c r="A2634" s="90" t="s">
        <v>52</v>
      </c>
      <c r="B2634" s="91" t="s">
        <v>424</v>
      </c>
      <c r="C2634" s="91" t="s">
        <v>4134</v>
      </c>
      <c r="D2634" s="90">
        <v>2049</v>
      </c>
      <c r="E2634" s="90">
        <v>2672</v>
      </c>
      <c r="F2634" s="90" t="s">
        <v>1454</v>
      </c>
      <c r="G2634" s="90"/>
      <c r="H2634" s="93"/>
      <c r="I2634" s="93"/>
      <c r="J2634" s="93"/>
      <c r="K2634" s="95"/>
      <c r="L2634" s="69"/>
      <c r="M2634" s="69"/>
      <c r="N2634" s="69"/>
      <c r="O2634" s="69"/>
      <c r="P2634" s="78"/>
      <c r="Q2634" s="96"/>
      <c r="R2634" s="97"/>
      <c r="S2634" s="98"/>
    </row>
    <row r="2635" spans="1:19" ht="42.75">
      <c r="A2635" s="90" t="s">
        <v>52</v>
      </c>
      <c r="B2635" s="91" t="s">
        <v>424</v>
      </c>
      <c r="C2635" s="91" t="s">
        <v>4135</v>
      </c>
      <c r="D2635" s="90">
        <v>1508</v>
      </c>
      <c r="E2635" s="90">
        <v>1836</v>
      </c>
      <c r="F2635" s="90" t="s">
        <v>1454</v>
      </c>
      <c r="G2635" s="90"/>
      <c r="H2635" s="93"/>
      <c r="I2635" s="93"/>
      <c r="J2635" s="93"/>
      <c r="K2635" s="95"/>
      <c r="L2635" s="69"/>
      <c r="M2635" s="69"/>
      <c r="N2635" s="69"/>
      <c r="O2635" s="69"/>
      <c r="P2635" s="78"/>
      <c r="Q2635" s="96"/>
      <c r="R2635" s="97"/>
      <c r="S2635" s="98"/>
    </row>
    <row r="2636" spans="1:19" ht="42.75">
      <c r="A2636" s="90" t="s">
        <v>52</v>
      </c>
      <c r="B2636" s="91" t="s">
        <v>424</v>
      </c>
      <c r="C2636" s="91" t="s">
        <v>4136</v>
      </c>
      <c r="D2636" s="90">
        <v>3314</v>
      </c>
      <c r="E2636" s="90">
        <v>3859</v>
      </c>
      <c r="F2636" s="90" t="s">
        <v>1454</v>
      </c>
      <c r="G2636" s="90"/>
      <c r="H2636" s="93"/>
      <c r="I2636" s="93"/>
      <c r="J2636" s="93"/>
      <c r="K2636" s="95"/>
      <c r="L2636" s="69"/>
      <c r="M2636" s="69"/>
      <c r="N2636" s="69"/>
      <c r="O2636" s="69"/>
      <c r="P2636" s="78"/>
      <c r="Q2636" s="96"/>
      <c r="R2636" s="97"/>
      <c r="S2636" s="98"/>
    </row>
    <row r="2637" spans="1:19" ht="42.75">
      <c r="A2637" s="90" t="s">
        <v>52</v>
      </c>
      <c r="B2637" s="91" t="s">
        <v>424</v>
      </c>
      <c r="C2637" s="91" t="s">
        <v>4137</v>
      </c>
      <c r="D2637" s="90">
        <v>3620</v>
      </c>
      <c r="E2637" s="90">
        <v>4361</v>
      </c>
      <c r="F2637" s="90" t="s">
        <v>1454</v>
      </c>
      <c r="G2637" s="90"/>
      <c r="H2637" s="93"/>
      <c r="I2637" s="93"/>
      <c r="J2637" s="93"/>
      <c r="K2637" s="95"/>
      <c r="L2637" s="69"/>
      <c r="M2637" s="69"/>
      <c r="N2637" s="69"/>
      <c r="O2637" s="69"/>
      <c r="P2637" s="78"/>
      <c r="Q2637" s="96"/>
      <c r="R2637" s="97"/>
      <c r="S2637" s="98"/>
    </row>
    <row r="2638" spans="1:19" ht="42.75">
      <c r="A2638" s="90" t="s">
        <v>52</v>
      </c>
      <c r="B2638" s="91" t="s">
        <v>424</v>
      </c>
      <c r="C2638" s="91" t="s">
        <v>4138</v>
      </c>
      <c r="D2638" s="90">
        <v>1174</v>
      </c>
      <c r="E2638" s="90">
        <v>1309</v>
      </c>
      <c r="F2638" s="90" t="s">
        <v>1454</v>
      </c>
      <c r="G2638" s="90"/>
      <c r="H2638" s="93"/>
      <c r="I2638" s="93"/>
      <c r="J2638" s="93"/>
      <c r="K2638" s="95"/>
      <c r="L2638" s="69"/>
      <c r="M2638" s="69"/>
      <c r="N2638" s="69"/>
      <c r="O2638" s="69"/>
      <c r="P2638" s="78"/>
      <c r="Q2638" s="96"/>
      <c r="R2638" s="97"/>
      <c r="S2638" s="98"/>
    </row>
    <row r="2639" spans="1:19" ht="42.75">
      <c r="A2639" s="90" t="s">
        <v>52</v>
      </c>
      <c r="B2639" s="91" t="s">
        <v>424</v>
      </c>
      <c r="C2639" s="91" t="s">
        <v>4139</v>
      </c>
      <c r="D2639" s="90">
        <v>593</v>
      </c>
      <c r="E2639" s="90">
        <v>707</v>
      </c>
      <c r="F2639" s="90" t="s">
        <v>1454</v>
      </c>
      <c r="G2639" s="90"/>
      <c r="H2639" s="93"/>
      <c r="I2639" s="93"/>
      <c r="J2639" s="93"/>
      <c r="K2639" s="95"/>
      <c r="L2639" s="69"/>
      <c r="M2639" s="69"/>
      <c r="N2639" s="69"/>
      <c r="O2639" s="69"/>
      <c r="P2639" s="78"/>
      <c r="Q2639" s="96"/>
      <c r="R2639" s="97"/>
      <c r="S2639" s="98"/>
    </row>
    <row r="2640" spans="1:19" ht="42.75">
      <c r="A2640" s="90" t="s">
        <v>52</v>
      </c>
      <c r="B2640" s="91" t="s">
        <v>424</v>
      </c>
      <c r="C2640" s="91" t="s">
        <v>1006</v>
      </c>
      <c r="D2640" s="90">
        <v>2073</v>
      </c>
      <c r="E2640" s="90">
        <v>2345</v>
      </c>
      <c r="F2640" s="90" t="s">
        <v>1454</v>
      </c>
      <c r="G2640" s="90"/>
      <c r="H2640" s="93"/>
      <c r="I2640" s="93"/>
      <c r="J2640" s="93"/>
      <c r="K2640" s="95"/>
      <c r="L2640" s="69"/>
      <c r="M2640" s="69"/>
      <c r="N2640" s="69"/>
      <c r="O2640" s="69"/>
      <c r="P2640" s="78"/>
      <c r="Q2640" s="96"/>
      <c r="R2640" s="97"/>
      <c r="S2640" s="98"/>
    </row>
    <row r="2641" spans="1:19" ht="42.75">
      <c r="A2641" s="90" t="s">
        <v>52</v>
      </c>
      <c r="B2641" s="91" t="s">
        <v>424</v>
      </c>
      <c r="C2641" s="91" t="s">
        <v>4140</v>
      </c>
      <c r="D2641" s="90">
        <v>2890</v>
      </c>
      <c r="E2641" s="90">
        <v>3128</v>
      </c>
      <c r="F2641" s="90" t="s">
        <v>1454</v>
      </c>
      <c r="G2641" s="90"/>
      <c r="H2641" s="93"/>
      <c r="I2641" s="93"/>
      <c r="J2641" s="93"/>
      <c r="K2641" s="95"/>
      <c r="L2641" s="69"/>
      <c r="M2641" s="69"/>
      <c r="N2641" s="69"/>
      <c r="O2641" s="69"/>
      <c r="P2641" s="78"/>
      <c r="Q2641" s="96"/>
      <c r="R2641" s="97"/>
      <c r="S2641" s="98"/>
    </row>
    <row r="2642" spans="1:19" ht="42.75">
      <c r="A2642" s="90" t="s">
        <v>52</v>
      </c>
      <c r="B2642" s="91" t="s">
        <v>424</v>
      </c>
      <c r="C2642" s="91" t="s">
        <v>4141</v>
      </c>
      <c r="D2642" s="90">
        <v>2911</v>
      </c>
      <c r="E2642" s="90">
        <v>3211</v>
      </c>
      <c r="F2642" s="90" t="s">
        <v>1454</v>
      </c>
      <c r="G2642" s="90"/>
      <c r="H2642" s="93"/>
      <c r="I2642" s="93"/>
      <c r="J2642" s="93"/>
      <c r="K2642" s="95"/>
      <c r="L2642" s="69"/>
      <c r="M2642" s="69"/>
      <c r="N2642" s="69"/>
      <c r="O2642" s="69"/>
      <c r="P2642" s="78"/>
      <c r="Q2642" s="96"/>
      <c r="R2642" s="97"/>
      <c r="S2642" s="98"/>
    </row>
    <row r="2643" spans="1:19" ht="42.75">
      <c r="A2643" s="90" t="s">
        <v>52</v>
      </c>
      <c r="B2643" s="91" t="s">
        <v>424</v>
      </c>
      <c r="C2643" s="91" t="s">
        <v>4142</v>
      </c>
      <c r="D2643" s="90">
        <v>4643</v>
      </c>
      <c r="E2643" s="90">
        <v>5196</v>
      </c>
      <c r="F2643" s="90" t="s">
        <v>1454</v>
      </c>
      <c r="G2643" s="90"/>
      <c r="H2643" s="93"/>
      <c r="I2643" s="93"/>
      <c r="J2643" s="93"/>
      <c r="K2643" s="95"/>
      <c r="L2643" s="69"/>
      <c r="M2643" s="69"/>
      <c r="N2643" s="69"/>
      <c r="O2643" s="69"/>
      <c r="P2643" s="78"/>
      <c r="Q2643" s="96"/>
      <c r="R2643" s="97"/>
      <c r="S2643" s="98"/>
    </row>
    <row r="2644" spans="1:19" ht="42.75">
      <c r="A2644" s="90" t="s">
        <v>52</v>
      </c>
      <c r="B2644" s="91" t="s">
        <v>424</v>
      </c>
      <c r="C2644" s="91" t="s">
        <v>4143</v>
      </c>
      <c r="D2644" s="90">
        <v>1669</v>
      </c>
      <c r="E2644" s="90">
        <v>1872</v>
      </c>
      <c r="F2644" s="90" t="s">
        <v>1454</v>
      </c>
      <c r="G2644" s="90"/>
      <c r="H2644" s="93"/>
      <c r="I2644" s="93"/>
      <c r="J2644" s="93"/>
      <c r="K2644" s="95"/>
      <c r="L2644" s="69"/>
      <c r="M2644" s="69"/>
      <c r="N2644" s="69"/>
      <c r="O2644" s="69"/>
      <c r="P2644" s="78"/>
      <c r="Q2644" s="96"/>
      <c r="R2644" s="97"/>
      <c r="S2644" s="98"/>
    </row>
    <row r="2645" spans="1:19" ht="42.75">
      <c r="A2645" s="90" t="s">
        <v>52</v>
      </c>
      <c r="B2645" s="91" t="s">
        <v>424</v>
      </c>
      <c r="C2645" s="91" t="s">
        <v>4144</v>
      </c>
      <c r="D2645" s="90">
        <v>1675</v>
      </c>
      <c r="E2645" s="90">
        <v>1657</v>
      </c>
      <c r="F2645" s="90" t="s">
        <v>1454</v>
      </c>
      <c r="G2645" s="90"/>
      <c r="H2645" s="93"/>
      <c r="I2645" s="93"/>
      <c r="J2645" s="93"/>
      <c r="K2645" s="95"/>
      <c r="L2645" s="69"/>
      <c r="M2645" s="69"/>
      <c r="N2645" s="69"/>
      <c r="O2645" s="69"/>
      <c r="P2645" s="78"/>
      <c r="Q2645" s="96"/>
      <c r="R2645" s="97"/>
      <c r="S2645" s="98"/>
    </row>
    <row r="2646" spans="1:19" ht="42.75">
      <c r="A2646" s="90" t="s">
        <v>52</v>
      </c>
      <c r="B2646" s="91" t="s">
        <v>424</v>
      </c>
      <c r="C2646" s="91" t="s">
        <v>4145</v>
      </c>
      <c r="D2646" s="90">
        <v>2298</v>
      </c>
      <c r="E2646" s="90">
        <v>2329</v>
      </c>
      <c r="F2646" s="90" t="s">
        <v>1454</v>
      </c>
      <c r="G2646" s="90"/>
      <c r="H2646" s="93"/>
      <c r="I2646" s="93"/>
      <c r="J2646" s="93"/>
      <c r="K2646" s="95"/>
      <c r="L2646" s="69"/>
      <c r="M2646" s="69"/>
      <c r="N2646" s="69"/>
      <c r="O2646" s="69"/>
      <c r="P2646" s="78"/>
      <c r="Q2646" s="96"/>
      <c r="R2646" s="97"/>
      <c r="S2646" s="98"/>
    </row>
    <row r="2647" spans="1:19" ht="42.75">
      <c r="A2647" s="90" t="s">
        <v>52</v>
      </c>
      <c r="B2647" s="91" t="s">
        <v>424</v>
      </c>
      <c r="C2647" s="91" t="s">
        <v>950</v>
      </c>
      <c r="D2647" s="90">
        <v>1296</v>
      </c>
      <c r="E2647" s="90">
        <v>1424</v>
      </c>
      <c r="F2647" s="90" t="s">
        <v>1454</v>
      </c>
      <c r="G2647" s="90"/>
      <c r="H2647" s="93"/>
      <c r="I2647" s="93"/>
      <c r="J2647" s="93"/>
      <c r="K2647" s="95"/>
      <c r="L2647" s="69"/>
      <c r="M2647" s="69"/>
      <c r="N2647" s="69"/>
      <c r="O2647" s="69"/>
      <c r="P2647" s="78"/>
      <c r="Q2647" s="96"/>
      <c r="R2647" s="97"/>
      <c r="S2647" s="98"/>
    </row>
    <row r="2648" spans="1:19" ht="42.75">
      <c r="A2648" s="90" t="s">
        <v>52</v>
      </c>
      <c r="B2648" s="91" t="s">
        <v>424</v>
      </c>
      <c r="C2648" s="91" t="s">
        <v>4146</v>
      </c>
      <c r="D2648" s="90">
        <v>4039</v>
      </c>
      <c r="E2648" s="90">
        <v>4755</v>
      </c>
      <c r="F2648" s="90" t="s">
        <v>1454</v>
      </c>
      <c r="G2648" s="90"/>
      <c r="H2648" s="93"/>
      <c r="I2648" s="93"/>
      <c r="J2648" s="93"/>
      <c r="K2648" s="95"/>
      <c r="L2648" s="69"/>
      <c r="M2648" s="69"/>
      <c r="N2648" s="69"/>
      <c r="O2648" s="69"/>
      <c r="P2648" s="78"/>
      <c r="Q2648" s="96"/>
      <c r="R2648" s="97"/>
      <c r="S2648" s="98"/>
    </row>
    <row r="2649" spans="1:19" ht="42.75">
      <c r="A2649" s="90" t="s">
        <v>52</v>
      </c>
      <c r="B2649" s="91" t="s">
        <v>424</v>
      </c>
      <c r="C2649" s="91" t="s">
        <v>4147</v>
      </c>
      <c r="D2649" s="90">
        <v>2312</v>
      </c>
      <c r="E2649" s="90">
        <v>2520</v>
      </c>
      <c r="F2649" s="90" t="s">
        <v>1454</v>
      </c>
      <c r="G2649" s="90"/>
      <c r="H2649" s="93"/>
      <c r="I2649" s="93"/>
      <c r="J2649" s="93"/>
      <c r="K2649" s="95"/>
      <c r="L2649" s="69"/>
      <c r="M2649" s="69"/>
      <c r="N2649" s="69"/>
      <c r="O2649" s="69"/>
      <c r="P2649" s="78"/>
      <c r="Q2649" s="96"/>
      <c r="R2649" s="97"/>
      <c r="S2649" s="98"/>
    </row>
    <row r="2650" spans="1:19" ht="42.75">
      <c r="A2650" s="90" t="s">
        <v>52</v>
      </c>
      <c r="B2650" s="91" t="s">
        <v>424</v>
      </c>
      <c r="C2650" s="91" t="s">
        <v>4148</v>
      </c>
      <c r="D2650" s="90">
        <v>1218</v>
      </c>
      <c r="E2650" s="90">
        <v>1552</v>
      </c>
      <c r="F2650" s="90" t="s">
        <v>1454</v>
      </c>
      <c r="G2650" s="90"/>
      <c r="H2650" s="93"/>
      <c r="I2650" s="93"/>
      <c r="J2650" s="93"/>
      <c r="K2650" s="95"/>
      <c r="L2650" s="69"/>
      <c r="M2650" s="69"/>
      <c r="N2650" s="69"/>
      <c r="O2650" s="69"/>
      <c r="P2650" s="78"/>
      <c r="Q2650" s="96"/>
      <c r="R2650" s="97"/>
      <c r="S2650" s="98"/>
    </row>
    <row r="2651" spans="1:19" ht="42.75">
      <c r="A2651" s="90" t="s">
        <v>52</v>
      </c>
      <c r="B2651" s="91" t="s">
        <v>424</v>
      </c>
      <c r="C2651" s="91" t="s">
        <v>4149</v>
      </c>
      <c r="D2651" s="90">
        <v>1753</v>
      </c>
      <c r="E2651" s="90">
        <v>2230</v>
      </c>
      <c r="F2651" s="90" t="s">
        <v>1454</v>
      </c>
      <c r="G2651" s="90"/>
      <c r="H2651" s="93"/>
      <c r="I2651" s="93"/>
      <c r="J2651" s="93"/>
      <c r="K2651" s="95"/>
      <c r="L2651" s="69"/>
      <c r="M2651" s="69"/>
      <c r="N2651" s="69"/>
      <c r="O2651" s="69"/>
      <c r="P2651" s="78"/>
      <c r="Q2651" s="96"/>
      <c r="R2651" s="97"/>
      <c r="S2651" s="98"/>
    </row>
    <row r="2652" spans="1:19" ht="42.75">
      <c r="A2652" s="90" t="s">
        <v>52</v>
      </c>
      <c r="B2652" s="91" t="s">
        <v>424</v>
      </c>
      <c r="C2652" s="91" t="s">
        <v>4150</v>
      </c>
      <c r="D2652" s="90">
        <v>1018</v>
      </c>
      <c r="E2652" s="90">
        <v>1090</v>
      </c>
      <c r="F2652" s="90" t="s">
        <v>1454</v>
      </c>
      <c r="G2652" s="90"/>
      <c r="H2652" s="93"/>
      <c r="I2652" s="93"/>
      <c r="J2652" s="93"/>
      <c r="K2652" s="95"/>
      <c r="L2652" s="69"/>
      <c r="M2652" s="69"/>
      <c r="N2652" s="69"/>
      <c r="O2652" s="69"/>
      <c r="P2652" s="78"/>
      <c r="Q2652" s="96"/>
      <c r="R2652" s="97"/>
      <c r="S2652" s="98"/>
    </row>
    <row r="2653" spans="1:19" ht="42.75">
      <c r="A2653" s="90" t="s">
        <v>52</v>
      </c>
      <c r="B2653" s="91" t="s">
        <v>424</v>
      </c>
      <c r="C2653" s="91" t="s">
        <v>4151</v>
      </c>
      <c r="D2653" s="90">
        <v>3975</v>
      </c>
      <c r="E2653" s="90">
        <v>4494</v>
      </c>
      <c r="F2653" s="90" t="s">
        <v>1454</v>
      </c>
      <c r="G2653" s="90"/>
      <c r="H2653" s="93"/>
      <c r="I2653" s="93"/>
      <c r="J2653" s="93"/>
      <c r="K2653" s="95"/>
      <c r="L2653" s="69"/>
      <c r="M2653" s="69"/>
      <c r="N2653" s="69"/>
      <c r="O2653" s="69"/>
      <c r="P2653" s="78"/>
      <c r="Q2653" s="96"/>
      <c r="R2653" s="97"/>
      <c r="S2653" s="98"/>
    </row>
    <row r="2654" spans="1:19" ht="42.75">
      <c r="A2654" s="90" t="s">
        <v>52</v>
      </c>
      <c r="B2654" s="91" t="s">
        <v>424</v>
      </c>
      <c r="C2654" s="91" t="s">
        <v>4152</v>
      </c>
      <c r="D2654" s="90">
        <v>1631</v>
      </c>
      <c r="E2654" s="90">
        <v>1654</v>
      </c>
      <c r="F2654" s="90" t="s">
        <v>1454</v>
      </c>
      <c r="G2654" s="90"/>
      <c r="H2654" s="93"/>
      <c r="I2654" s="93"/>
      <c r="J2654" s="93"/>
      <c r="K2654" s="95"/>
      <c r="L2654" s="69"/>
      <c r="M2654" s="69"/>
      <c r="N2654" s="69"/>
      <c r="O2654" s="69"/>
      <c r="P2654" s="78"/>
      <c r="Q2654" s="96"/>
      <c r="R2654" s="97"/>
      <c r="S2654" s="98"/>
    </row>
    <row r="2655" spans="1:19" ht="42.75">
      <c r="A2655" s="90" t="s">
        <v>52</v>
      </c>
      <c r="B2655" s="91" t="s">
        <v>424</v>
      </c>
      <c r="C2655" s="91" t="s">
        <v>4153</v>
      </c>
      <c r="D2655" s="90">
        <v>2835</v>
      </c>
      <c r="E2655" s="90">
        <v>3247</v>
      </c>
      <c r="F2655" s="90" t="s">
        <v>1454</v>
      </c>
      <c r="G2655" s="90"/>
      <c r="H2655" s="93"/>
      <c r="I2655" s="93"/>
      <c r="J2655" s="93"/>
      <c r="K2655" s="95"/>
      <c r="L2655" s="69"/>
      <c r="M2655" s="69"/>
      <c r="N2655" s="69"/>
      <c r="O2655" s="69"/>
      <c r="P2655" s="78"/>
      <c r="Q2655" s="96"/>
      <c r="R2655" s="97"/>
      <c r="S2655" s="98"/>
    </row>
    <row r="2656" spans="1:19" ht="42.75">
      <c r="A2656" s="90" t="s">
        <v>52</v>
      </c>
      <c r="B2656" s="91" t="s">
        <v>424</v>
      </c>
      <c r="C2656" s="91" t="s">
        <v>1087</v>
      </c>
      <c r="D2656" s="90">
        <v>8581</v>
      </c>
      <c r="E2656" s="90">
        <v>8825</v>
      </c>
      <c r="F2656" s="90" t="s">
        <v>1454</v>
      </c>
      <c r="G2656" s="90"/>
      <c r="H2656" s="93"/>
      <c r="I2656" s="93"/>
      <c r="J2656" s="93"/>
      <c r="K2656" s="95"/>
      <c r="L2656" s="69"/>
      <c r="M2656" s="69"/>
      <c r="N2656" s="69"/>
      <c r="O2656" s="69"/>
      <c r="P2656" s="78"/>
      <c r="Q2656" s="96"/>
      <c r="R2656" s="97"/>
      <c r="S2656" s="98"/>
    </row>
    <row r="2657" spans="1:19" ht="42.75">
      <c r="A2657" s="90" t="s">
        <v>52</v>
      </c>
      <c r="B2657" s="91" t="s">
        <v>424</v>
      </c>
      <c r="C2657" s="91" t="s">
        <v>3114</v>
      </c>
      <c r="D2657" s="90">
        <v>4933</v>
      </c>
      <c r="E2657" s="90">
        <v>4719</v>
      </c>
      <c r="F2657" s="90" t="s">
        <v>1454</v>
      </c>
      <c r="G2657" s="90"/>
      <c r="H2657" s="93"/>
      <c r="I2657" s="93"/>
      <c r="J2657" s="93"/>
      <c r="K2657" s="95"/>
      <c r="L2657" s="69"/>
      <c r="M2657" s="69"/>
      <c r="N2657" s="69"/>
      <c r="O2657" s="69"/>
      <c r="P2657" s="78"/>
      <c r="Q2657" s="96"/>
      <c r="R2657" s="97"/>
      <c r="S2657" s="98"/>
    </row>
    <row r="2658" spans="1:19" ht="42.75">
      <c r="A2658" s="90" t="s">
        <v>52</v>
      </c>
      <c r="B2658" s="91" t="s">
        <v>424</v>
      </c>
      <c r="C2658" s="91" t="s">
        <v>3184</v>
      </c>
      <c r="D2658" s="90">
        <v>2113</v>
      </c>
      <c r="E2658" s="90">
        <v>2399</v>
      </c>
      <c r="F2658" s="90" t="s">
        <v>1454</v>
      </c>
      <c r="G2658" s="90"/>
      <c r="H2658" s="93"/>
      <c r="I2658" s="93"/>
      <c r="J2658" s="93"/>
      <c r="K2658" s="95"/>
      <c r="L2658" s="69"/>
      <c r="M2658" s="69"/>
      <c r="N2658" s="69"/>
      <c r="O2658" s="69"/>
      <c r="P2658" s="78"/>
      <c r="Q2658" s="96"/>
      <c r="R2658" s="97"/>
      <c r="S2658" s="98"/>
    </row>
    <row r="2659" spans="1:19" ht="42.75">
      <c r="A2659" s="90" t="s">
        <v>52</v>
      </c>
      <c r="B2659" s="91" t="s">
        <v>424</v>
      </c>
      <c r="C2659" s="91" t="s">
        <v>4154</v>
      </c>
      <c r="D2659" s="90">
        <v>3408</v>
      </c>
      <c r="E2659" s="90">
        <v>3529</v>
      </c>
      <c r="F2659" s="90" t="s">
        <v>1454</v>
      </c>
      <c r="G2659" s="90"/>
      <c r="H2659" s="93"/>
      <c r="I2659" s="93"/>
      <c r="J2659" s="93"/>
      <c r="K2659" s="95"/>
      <c r="L2659" s="69"/>
      <c r="M2659" s="69"/>
      <c r="N2659" s="69"/>
      <c r="O2659" s="69"/>
      <c r="P2659" s="78"/>
      <c r="Q2659" s="96"/>
      <c r="R2659" s="97"/>
      <c r="S2659" s="98"/>
    </row>
    <row r="2660" spans="1:19" ht="42.75">
      <c r="A2660" s="90" t="s">
        <v>52</v>
      </c>
      <c r="B2660" s="91" t="s">
        <v>424</v>
      </c>
      <c r="C2660" s="91" t="s">
        <v>4155</v>
      </c>
      <c r="D2660" s="90">
        <v>4986</v>
      </c>
      <c r="E2660" s="90">
        <v>6253</v>
      </c>
      <c r="F2660" s="90" t="s">
        <v>1454</v>
      </c>
      <c r="G2660" s="90"/>
      <c r="H2660" s="93"/>
      <c r="I2660" s="93"/>
      <c r="J2660" s="93"/>
      <c r="K2660" s="95"/>
      <c r="L2660" s="69"/>
      <c r="M2660" s="69"/>
      <c r="N2660" s="69"/>
      <c r="O2660" s="69"/>
      <c r="P2660" s="78"/>
      <c r="Q2660" s="96"/>
      <c r="R2660" s="97"/>
      <c r="S2660" s="98"/>
    </row>
    <row r="2661" spans="1:19" ht="42.75">
      <c r="A2661" s="90" t="s">
        <v>52</v>
      </c>
      <c r="B2661" s="91" t="s">
        <v>424</v>
      </c>
      <c r="C2661" s="91" t="s">
        <v>1998</v>
      </c>
      <c r="D2661" s="90">
        <v>1396</v>
      </c>
      <c r="E2661" s="90">
        <v>1682</v>
      </c>
      <c r="F2661" s="90" t="s">
        <v>1454</v>
      </c>
      <c r="G2661" s="90"/>
      <c r="H2661" s="93"/>
      <c r="I2661" s="93"/>
      <c r="J2661" s="93"/>
      <c r="K2661" s="95"/>
      <c r="L2661" s="69"/>
      <c r="M2661" s="69"/>
      <c r="N2661" s="69"/>
      <c r="O2661" s="69"/>
      <c r="P2661" s="78"/>
      <c r="Q2661" s="96"/>
      <c r="R2661" s="97"/>
      <c r="S2661" s="98"/>
    </row>
    <row r="2662" spans="1:19" ht="42.75">
      <c r="A2662" s="90" t="s">
        <v>52</v>
      </c>
      <c r="B2662" s="91" t="s">
        <v>424</v>
      </c>
      <c r="C2662" s="91" t="s">
        <v>520</v>
      </c>
      <c r="D2662" s="90">
        <v>2049</v>
      </c>
      <c r="E2662" s="90">
        <v>2202</v>
      </c>
      <c r="F2662" s="90" t="s">
        <v>1434</v>
      </c>
      <c r="G2662" s="90">
        <v>2024</v>
      </c>
      <c r="H2662" s="101">
        <v>45545</v>
      </c>
      <c r="I2662" s="101">
        <v>45552</v>
      </c>
      <c r="J2662" s="94" t="s">
        <v>4156</v>
      </c>
      <c r="K2662" s="100">
        <v>45553</v>
      </c>
      <c r="L2662" s="69" t="s">
        <v>82</v>
      </c>
      <c r="M2662" s="69" t="s">
        <v>672</v>
      </c>
      <c r="N2662" s="69" t="s">
        <v>101</v>
      </c>
      <c r="O2662" s="69" t="s">
        <v>1436</v>
      </c>
      <c r="P2662" s="78"/>
      <c r="Q2662" s="96">
        <v>45553</v>
      </c>
      <c r="R2662" s="97" t="s">
        <v>4120</v>
      </c>
      <c r="S2662" s="98"/>
    </row>
    <row r="2663" spans="1:19" ht="42.75">
      <c r="A2663" s="90" t="s">
        <v>52</v>
      </c>
      <c r="B2663" s="91" t="s">
        <v>424</v>
      </c>
      <c r="C2663" s="91" t="s">
        <v>4157</v>
      </c>
      <c r="D2663" s="90">
        <v>926</v>
      </c>
      <c r="E2663" s="90">
        <v>1077</v>
      </c>
      <c r="F2663" s="90" t="s">
        <v>1454</v>
      </c>
      <c r="G2663" s="90"/>
      <c r="H2663" s="93"/>
      <c r="I2663" s="93"/>
      <c r="J2663" s="93"/>
      <c r="K2663" s="95"/>
      <c r="L2663" s="69"/>
      <c r="M2663" s="69"/>
      <c r="N2663" s="69"/>
      <c r="O2663" s="69"/>
      <c r="P2663" s="78"/>
      <c r="Q2663" s="96"/>
      <c r="R2663" s="97"/>
      <c r="S2663" s="98"/>
    </row>
    <row r="2664" spans="1:19" ht="42.75">
      <c r="A2664" s="90" t="s">
        <v>52</v>
      </c>
      <c r="B2664" s="91" t="s">
        <v>424</v>
      </c>
      <c r="C2664" s="91" t="s">
        <v>2282</v>
      </c>
      <c r="D2664" s="90">
        <v>1711</v>
      </c>
      <c r="E2664" s="90">
        <v>2088</v>
      </c>
      <c r="F2664" s="90" t="s">
        <v>1434</v>
      </c>
      <c r="G2664" s="90">
        <v>2024</v>
      </c>
      <c r="H2664" s="101">
        <v>45476</v>
      </c>
      <c r="I2664" s="101">
        <v>45478</v>
      </c>
      <c r="J2664" s="94" t="s">
        <v>4158</v>
      </c>
      <c r="K2664" s="100">
        <v>45488</v>
      </c>
      <c r="L2664" s="69" t="s">
        <v>80</v>
      </c>
      <c r="M2664" s="69" t="s">
        <v>4</v>
      </c>
      <c r="N2664" s="69" t="s">
        <v>101</v>
      </c>
      <c r="O2664" s="69" t="s">
        <v>1436</v>
      </c>
      <c r="P2664" s="78"/>
      <c r="Q2664" s="96">
        <v>45489</v>
      </c>
      <c r="R2664" s="97"/>
      <c r="S2664" s="98"/>
    </row>
    <row r="2665" spans="1:19" ht="42.75">
      <c r="A2665" s="90" t="s">
        <v>52</v>
      </c>
      <c r="B2665" s="91" t="s">
        <v>424</v>
      </c>
      <c r="C2665" s="91" t="s">
        <v>4159</v>
      </c>
      <c r="D2665" s="90">
        <v>2051</v>
      </c>
      <c r="E2665" s="90">
        <v>2160</v>
      </c>
      <c r="F2665" s="90" t="s">
        <v>1454</v>
      </c>
      <c r="G2665" s="90"/>
      <c r="H2665" s="93"/>
      <c r="I2665" s="93"/>
      <c r="J2665" s="93"/>
      <c r="K2665" s="95"/>
      <c r="L2665" s="69"/>
      <c r="M2665" s="69"/>
      <c r="N2665" s="69"/>
      <c r="O2665" s="69"/>
      <c r="P2665" s="78"/>
      <c r="Q2665" s="96"/>
      <c r="R2665" s="97"/>
      <c r="S2665" s="98"/>
    </row>
    <row r="2666" spans="1:19" ht="42.75">
      <c r="A2666" s="90" t="s">
        <v>52</v>
      </c>
      <c r="B2666" s="91" t="s">
        <v>424</v>
      </c>
      <c r="C2666" s="91" t="s">
        <v>4160</v>
      </c>
      <c r="D2666" s="90">
        <v>2689</v>
      </c>
      <c r="E2666" s="90">
        <v>3082</v>
      </c>
      <c r="F2666" s="90" t="s">
        <v>1454</v>
      </c>
      <c r="G2666" s="90"/>
      <c r="H2666" s="93"/>
      <c r="I2666" s="93"/>
      <c r="J2666" s="93"/>
      <c r="K2666" s="95"/>
      <c r="L2666" s="69"/>
      <c r="M2666" s="69"/>
      <c r="N2666" s="69"/>
      <c r="O2666" s="69"/>
      <c r="P2666" s="78"/>
      <c r="Q2666" s="96"/>
      <c r="R2666" s="97"/>
      <c r="S2666" s="98"/>
    </row>
    <row r="2667" spans="1:19" ht="42.75">
      <c r="A2667" s="90" t="s">
        <v>52</v>
      </c>
      <c r="B2667" s="91" t="s">
        <v>424</v>
      </c>
      <c r="C2667" s="91" t="s">
        <v>4161</v>
      </c>
      <c r="D2667" s="90">
        <v>2441</v>
      </c>
      <c r="E2667" s="90">
        <v>2927</v>
      </c>
      <c r="F2667" s="90" t="s">
        <v>1434</v>
      </c>
      <c r="G2667" s="90">
        <v>2024</v>
      </c>
      <c r="H2667" s="101">
        <v>45476</v>
      </c>
      <c r="I2667" s="101">
        <v>45478</v>
      </c>
      <c r="J2667" s="94" t="s">
        <v>4162</v>
      </c>
      <c r="K2667" s="100">
        <v>45488</v>
      </c>
      <c r="L2667" s="69" t="s">
        <v>80</v>
      </c>
      <c r="M2667" s="69" t="s">
        <v>4</v>
      </c>
      <c r="N2667" s="69" t="s">
        <v>101</v>
      </c>
      <c r="O2667" s="69" t="s">
        <v>1436</v>
      </c>
      <c r="P2667" s="78"/>
      <c r="Q2667" s="96">
        <v>45489</v>
      </c>
      <c r="R2667" s="97"/>
      <c r="S2667" s="98"/>
    </row>
    <row r="2668" spans="1:19" ht="42.75">
      <c r="A2668" s="90" t="s">
        <v>52</v>
      </c>
      <c r="B2668" s="91" t="s">
        <v>454</v>
      </c>
      <c r="C2668" s="91" t="s">
        <v>2301</v>
      </c>
      <c r="D2668" s="90">
        <v>1730</v>
      </c>
      <c r="E2668" s="90">
        <v>1835</v>
      </c>
      <c r="F2668" s="90" t="s">
        <v>1434</v>
      </c>
      <c r="G2668" s="90">
        <v>2024</v>
      </c>
      <c r="H2668" s="101">
        <v>45602</v>
      </c>
      <c r="I2668" s="101">
        <v>45602</v>
      </c>
      <c r="J2668" s="94" t="s">
        <v>4163</v>
      </c>
      <c r="K2668" s="100">
        <v>45612</v>
      </c>
      <c r="L2668" s="69" t="s">
        <v>84</v>
      </c>
      <c r="M2668" s="69" t="s">
        <v>4</v>
      </c>
      <c r="N2668" s="69" t="s">
        <v>101</v>
      </c>
      <c r="O2668" s="69" t="s">
        <v>1436</v>
      </c>
      <c r="P2668" s="78"/>
      <c r="Q2668" s="96">
        <v>45614</v>
      </c>
      <c r="R2668" s="97" t="s">
        <v>1481</v>
      </c>
      <c r="S2668" s="98"/>
    </row>
    <row r="2669" spans="1:19" ht="42.75">
      <c r="A2669" s="90" t="s">
        <v>52</v>
      </c>
      <c r="B2669" s="91" t="s">
        <v>454</v>
      </c>
      <c r="C2669" s="91" t="s">
        <v>1557</v>
      </c>
      <c r="D2669" s="90">
        <v>2932</v>
      </c>
      <c r="E2669" s="90">
        <v>3105</v>
      </c>
      <c r="F2669" s="90" t="s">
        <v>1454</v>
      </c>
      <c r="G2669" s="90"/>
      <c r="H2669" s="93"/>
      <c r="I2669" s="93"/>
      <c r="J2669" s="93"/>
      <c r="K2669" s="95"/>
      <c r="L2669" s="69"/>
      <c r="M2669" s="69"/>
      <c r="N2669" s="69"/>
      <c r="O2669" s="69"/>
      <c r="P2669" s="78"/>
      <c r="Q2669" s="96"/>
      <c r="R2669" s="97"/>
      <c r="S2669" s="98"/>
    </row>
    <row r="2670" spans="1:19" ht="42.75">
      <c r="A2670" s="90" t="s">
        <v>52</v>
      </c>
      <c r="B2670" s="91" t="s">
        <v>454</v>
      </c>
      <c r="C2670" s="91" t="s">
        <v>4164</v>
      </c>
      <c r="D2670" s="90">
        <v>756</v>
      </c>
      <c r="E2670" s="90">
        <v>886</v>
      </c>
      <c r="F2670" s="90" t="s">
        <v>1454</v>
      </c>
      <c r="G2670" s="90"/>
      <c r="H2670" s="93"/>
      <c r="I2670" s="93"/>
      <c r="J2670" s="93"/>
      <c r="K2670" s="95"/>
      <c r="L2670" s="69"/>
      <c r="M2670" s="69"/>
      <c r="N2670" s="69"/>
      <c r="O2670" s="69"/>
      <c r="P2670" s="78"/>
      <c r="Q2670" s="96"/>
      <c r="R2670" s="97"/>
      <c r="S2670" s="98"/>
    </row>
    <row r="2671" spans="1:19" ht="42.75">
      <c r="A2671" s="90" t="s">
        <v>52</v>
      </c>
      <c r="B2671" s="91" t="s">
        <v>454</v>
      </c>
      <c r="C2671" s="91" t="s">
        <v>4165</v>
      </c>
      <c r="D2671" s="90">
        <v>4201</v>
      </c>
      <c r="E2671" s="90">
        <v>4505</v>
      </c>
      <c r="F2671" s="90" t="s">
        <v>1434</v>
      </c>
      <c r="G2671" s="90">
        <v>2024</v>
      </c>
      <c r="H2671" s="101">
        <v>45419</v>
      </c>
      <c r="I2671" s="101">
        <v>45420</v>
      </c>
      <c r="J2671" s="94" t="s">
        <v>4166</v>
      </c>
      <c r="K2671" s="100">
        <v>45427</v>
      </c>
      <c r="L2671" s="69" t="s">
        <v>78</v>
      </c>
      <c r="M2671" s="69"/>
      <c r="N2671" s="69"/>
      <c r="O2671" s="69" t="s">
        <v>1436</v>
      </c>
      <c r="P2671" s="78"/>
      <c r="Q2671" s="96"/>
      <c r="R2671" s="97"/>
      <c r="S2671" s="98"/>
    </row>
    <row r="2672" spans="1:19" ht="42.75">
      <c r="A2672" s="90" t="s">
        <v>52</v>
      </c>
      <c r="B2672" s="91" t="s">
        <v>454</v>
      </c>
      <c r="C2672" s="91" t="s">
        <v>3113</v>
      </c>
      <c r="D2672" s="90">
        <v>1437</v>
      </c>
      <c r="E2672" s="90">
        <v>1609</v>
      </c>
      <c r="F2672" s="90" t="s">
        <v>1454</v>
      </c>
      <c r="G2672" s="90"/>
      <c r="H2672" s="93"/>
      <c r="I2672" s="93"/>
      <c r="J2672" s="93"/>
      <c r="K2672" s="95"/>
      <c r="L2672" s="69"/>
      <c r="M2672" s="69"/>
      <c r="N2672" s="69"/>
      <c r="O2672" s="69"/>
      <c r="P2672" s="78"/>
      <c r="Q2672" s="96"/>
      <c r="R2672" s="97"/>
      <c r="S2672" s="98"/>
    </row>
    <row r="2673" spans="1:19" ht="42.75">
      <c r="A2673" s="90" t="s">
        <v>52</v>
      </c>
      <c r="B2673" s="91" t="s">
        <v>454</v>
      </c>
      <c r="C2673" s="91" t="s">
        <v>3453</v>
      </c>
      <c r="D2673" s="90">
        <v>783</v>
      </c>
      <c r="E2673" s="90">
        <v>722</v>
      </c>
      <c r="F2673" s="90" t="s">
        <v>1454</v>
      </c>
      <c r="G2673" s="90"/>
      <c r="H2673" s="93"/>
      <c r="I2673" s="93"/>
      <c r="J2673" s="93"/>
      <c r="K2673" s="95"/>
      <c r="L2673" s="69"/>
      <c r="M2673" s="69"/>
      <c r="N2673" s="69"/>
      <c r="O2673" s="69"/>
      <c r="P2673" s="78"/>
      <c r="Q2673" s="96"/>
      <c r="R2673" s="97"/>
      <c r="S2673" s="98"/>
    </row>
    <row r="2674" spans="1:19" ht="42.75">
      <c r="A2674" s="90" t="s">
        <v>52</v>
      </c>
      <c r="B2674" s="91" t="s">
        <v>454</v>
      </c>
      <c r="C2674" s="91" t="s">
        <v>1036</v>
      </c>
      <c r="D2674" s="90">
        <v>1193</v>
      </c>
      <c r="E2674" s="90">
        <v>1296</v>
      </c>
      <c r="F2674" s="90" t="s">
        <v>1454</v>
      </c>
      <c r="G2674" s="90"/>
      <c r="H2674" s="93"/>
      <c r="I2674" s="93"/>
      <c r="J2674" s="93"/>
      <c r="K2674" s="95"/>
      <c r="L2674" s="69"/>
      <c r="M2674" s="69"/>
      <c r="N2674" s="69"/>
      <c r="O2674" s="69"/>
      <c r="P2674" s="78"/>
      <c r="Q2674" s="96"/>
      <c r="R2674" s="97"/>
      <c r="S2674" s="98"/>
    </row>
    <row r="2675" spans="1:19" ht="42.75">
      <c r="A2675" s="90" t="s">
        <v>52</v>
      </c>
      <c r="B2675" s="91" t="s">
        <v>454</v>
      </c>
      <c r="C2675" s="91" t="s">
        <v>4167</v>
      </c>
      <c r="D2675" s="90">
        <v>1406</v>
      </c>
      <c r="E2675" s="90">
        <v>1601</v>
      </c>
      <c r="F2675" s="90" t="s">
        <v>1454</v>
      </c>
      <c r="G2675" s="90"/>
      <c r="H2675" s="93"/>
      <c r="I2675" s="93"/>
      <c r="J2675" s="93"/>
      <c r="K2675" s="95"/>
      <c r="L2675" s="69"/>
      <c r="M2675" s="69"/>
      <c r="N2675" s="69"/>
      <c r="O2675" s="69"/>
      <c r="P2675" s="78"/>
      <c r="Q2675" s="96"/>
      <c r="R2675" s="97"/>
      <c r="S2675" s="98"/>
    </row>
    <row r="2676" spans="1:19" ht="42.75">
      <c r="A2676" s="90" t="s">
        <v>52</v>
      </c>
      <c r="B2676" s="91" t="s">
        <v>454</v>
      </c>
      <c r="C2676" s="91" t="s">
        <v>4168</v>
      </c>
      <c r="D2676" s="90">
        <v>1062</v>
      </c>
      <c r="E2676" s="90">
        <v>1284</v>
      </c>
      <c r="F2676" s="90" t="s">
        <v>1434</v>
      </c>
      <c r="G2676" s="90">
        <v>2024</v>
      </c>
      <c r="H2676" s="101">
        <v>45540</v>
      </c>
      <c r="I2676" s="101">
        <v>45544</v>
      </c>
      <c r="J2676" s="94" t="s">
        <v>4169</v>
      </c>
      <c r="K2676" s="100">
        <v>45552</v>
      </c>
      <c r="L2676" s="69" t="s">
        <v>82</v>
      </c>
      <c r="M2676" s="69" t="s">
        <v>4</v>
      </c>
      <c r="N2676" s="69" t="s">
        <v>101</v>
      </c>
      <c r="O2676" s="69" t="s">
        <v>1436</v>
      </c>
      <c r="P2676" s="78"/>
      <c r="Q2676" s="96">
        <v>45552</v>
      </c>
      <c r="R2676" s="97" t="s">
        <v>1481</v>
      </c>
      <c r="S2676" s="98"/>
    </row>
    <row r="2677" spans="1:19" ht="42.75">
      <c r="A2677" s="90" t="s">
        <v>52</v>
      </c>
      <c r="B2677" s="91" t="s">
        <v>454</v>
      </c>
      <c r="C2677" s="91" t="s">
        <v>4170</v>
      </c>
      <c r="D2677" s="90">
        <v>1040</v>
      </c>
      <c r="E2677" s="90">
        <v>1225</v>
      </c>
      <c r="F2677" s="90" t="s">
        <v>1434</v>
      </c>
      <c r="G2677" s="90">
        <v>2024</v>
      </c>
      <c r="H2677" s="101">
        <v>45511</v>
      </c>
      <c r="I2677" s="101">
        <v>45512</v>
      </c>
      <c r="J2677" s="94" t="s">
        <v>4171</v>
      </c>
      <c r="K2677" s="100">
        <v>45516</v>
      </c>
      <c r="L2677" s="69" t="s">
        <v>81</v>
      </c>
      <c r="M2677" s="69" t="s">
        <v>4</v>
      </c>
      <c r="N2677" s="69" t="s">
        <v>101</v>
      </c>
      <c r="O2677" s="69" t="s">
        <v>1436</v>
      </c>
      <c r="P2677" s="78"/>
      <c r="Q2677" s="96">
        <v>45517</v>
      </c>
      <c r="R2677" s="97" t="s">
        <v>1481</v>
      </c>
      <c r="S2677" s="98"/>
    </row>
    <row r="2678" spans="1:19" ht="42.75">
      <c r="A2678" s="90" t="s">
        <v>52</v>
      </c>
      <c r="B2678" s="91" t="s">
        <v>454</v>
      </c>
      <c r="C2678" s="91" t="s">
        <v>4172</v>
      </c>
      <c r="D2678" s="90">
        <v>1098</v>
      </c>
      <c r="E2678" s="90">
        <v>1163</v>
      </c>
      <c r="F2678" s="90" t="s">
        <v>1454</v>
      </c>
      <c r="G2678" s="90"/>
      <c r="H2678" s="93"/>
      <c r="I2678" s="93"/>
      <c r="J2678" s="93"/>
      <c r="K2678" s="95"/>
      <c r="L2678" s="69"/>
      <c r="M2678" s="69"/>
      <c r="N2678" s="69"/>
      <c r="O2678" s="69"/>
      <c r="P2678" s="78"/>
      <c r="Q2678" s="96"/>
      <c r="R2678" s="97"/>
      <c r="S2678" s="98"/>
    </row>
    <row r="2679" spans="1:19" ht="42.75">
      <c r="A2679" s="90" t="s">
        <v>52</v>
      </c>
      <c r="B2679" s="91" t="s">
        <v>454</v>
      </c>
      <c r="C2679" s="91" t="s">
        <v>4042</v>
      </c>
      <c r="D2679" s="90">
        <v>1266</v>
      </c>
      <c r="E2679" s="90">
        <v>1204</v>
      </c>
      <c r="F2679" s="90" t="s">
        <v>1454</v>
      </c>
      <c r="G2679" s="90"/>
      <c r="H2679" s="93"/>
      <c r="I2679" s="93"/>
      <c r="J2679" s="93"/>
      <c r="K2679" s="95"/>
      <c r="L2679" s="69"/>
      <c r="M2679" s="69"/>
      <c r="N2679" s="69"/>
      <c r="O2679" s="69"/>
      <c r="P2679" s="78"/>
      <c r="Q2679" s="96"/>
      <c r="R2679" s="97"/>
      <c r="S2679" s="98"/>
    </row>
    <row r="2680" spans="1:19" ht="42.75">
      <c r="A2680" s="90" t="s">
        <v>52</v>
      </c>
      <c r="B2680" s="91" t="s">
        <v>454</v>
      </c>
      <c r="C2680" s="91" t="s">
        <v>4044</v>
      </c>
      <c r="D2680" s="90">
        <v>1059</v>
      </c>
      <c r="E2680" s="90">
        <v>1208</v>
      </c>
      <c r="F2680" s="90" t="s">
        <v>1434</v>
      </c>
      <c r="G2680" s="90">
        <v>2024</v>
      </c>
      <c r="H2680" s="101">
        <v>45461</v>
      </c>
      <c r="I2680" s="101">
        <v>45462</v>
      </c>
      <c r="J2680" s="94" t="s">
        <v>4173</v>
      </c>
      <c r="K2680" s="100">
        <v>45463</v>
      </c>
      <c r="L2680" s="69" t="s">
        <v>79</v>
      </c>
      <c r="M2680" s="69"/>
      <c r="N2680" s="69"/>
      <c r="O2680" s="69" t="s">
        <v>1436</v>
      </c>
      <c r="P2680" s="78"/>
      <c r="Q2680" s="96">
        <v>45464</v>
      </c>
      <c r="R2680" s="97"/>
      <c r="S2680" s="98"/>
    </row>
    <row r="2681" spans="1:19" ht="42.75">
      <c r="A2681" s="90" t="s">
        <v>52</v>
      </c>
      <c r="B2681" s="91" t="s">
        <v>454</v>
      </c>
      <c r="C2681" s="91" t="s">
        <v>4046</v>
      </c>
      <c r="D2681" s="90">
        <v>1207</v>
      </c>
      <c r="E2681" s="90">
        <v>1192</v>
      </c>
      <c r="F2681" s="90" t="s">
        <v>1454</v>
      </c>
      <c r="G2681" s="90"/>
      <c r="H2681" s="93"/>
      <c r="I2681" s="93"/>
      <c r="J2681" s="93"/>
      <c r="K2681" s="95"/>
      <c r="L2681" s="69"/>
      <c r="M2681" s="69"/>
      <c r="N2681" s="69"/>
      <c r="O2681" s="69"/>
      <c r="P2681" s="78"/>
      <c r="Q2681" s="96"/>
      <c r="R2681" s="97"/>
      <c r="S2681" s="98"/>
    </row>
    <row r="2682" spans="1:19" ht="42.75">
      <c r="A2682" s="90" t="s">
        <v>52</v>
      </c>
      <c r="B2682" s="91" t="s">
        <v>454</v>
      </c>
      <c r="C2682" s="91" t="s">
        <v>4174</v>
      </c>
      <c r="D2682" s="90">
        <v>847</v>
      </c>
      <c r="E2682" s="90">
        <v>942</v>
      </c>
      <c r="F2682" s="90" t="s">
        <v>1434</v>
      </c>
      <c r="G2682" s="90">
        <v>2024</v>
      </c>
      <c r="H2682" s="101">
        <v>45414</v>
      </c>
      <c r="I2682" s="101">
        <v>45420</v>
      </c>
      <c r="J2682" s="94" t="s">
        <v>4175</v>
      </c>
      <c r="K2682" s="100">
        <v>45427</v>
      </c>
      <c r="L2682" s="69" t="s">
        <v>78</v>
      </c>
      <c r="M2682" s="69"/>
      <c r="N2682" s="69"/>
      <c r="O2682" s="69" t="s">
        <v>1436</v>
      </c>
      <c r="P2682" s="78"/>
      <c r="Q2682" s="96"/>
      <c r="R2682" s="97"/>
      <c r="S2682" s="98"/>
    </row>
    <row r="2683" spans="1:19" ht="42.75">
      <c r="A2683" s="90" t="s">
        <v>52</v>
      </c>
      <c r="B2683" s="91" t="s">
        <v>454</v>
      </c>
      <c r="C2683" s="91" t="s">
        <v>4051</v>
      </c>
      <c r="D2683" s="90">
        <v>1695</v>
      </c>
      <c r="E2683" s="90">
        <v>2004</v>
      </c>
      <c r="F2683" s="90" t="s">
        <v>1434</v>
      </c>
      <c r="G2683" s="90">
        <v>2024</v>
      </c>
      <c r="H2683" s="101">
        <v>45540</v>
      </c>
      <c r="I2683" s="101">
        <v>45551</v>
      </c>
      <c r="J2683" s="94" t="s">
        <v>4176</v>
      </c>
      <c r="K2683" s="100">
        <v>45552</v>
      </c>
      <c r="L2683" s="69" t="s">
        <v>82</v>
      </c>
      <c r="M2683" s="69" t="s">
        <v>4</v>
      </c>
      <c r="N2683" s="69" t="s">
        <v>101</v>
      </c>
      <c r="O2683" s="69" t="s">
        <v>1436</v>
      </c>
      <c r="P2683" s="78"/>
      <c r="Q2683" s="96">
        <v>45552</v>
      </c>
      <c r="R2683" s="97" t="s">
        <v>4120</v>
      </c>
      <c r="S2683" s="98"/>
    </row>
    <row r="2684" spans="1:19" ht="42.75">
      <c r="A2684" s="90" t="s">
        <v>52</v>
      </c>
      <c r="B2684" s="91" t="s">
        <v>466</v>
      </c>
      <c r="C2684" s="91" t="s">
        <v>4177</v>
      </c>
      <c r="D2684" s="90">
        <v>3538</v>
      </c>
      <c r="E2684" s="90">
        <v>4270</v>
      </c>
      <c r="F2684" s="90" t="s">
        <v>1434</v>
      </c>
      <c r="G2684" s="90">
        <v>2024</v>
      </c>
      <c r="H2684" s="101">
        <v>45546</v>
      </c>
      <c r="I2684" s="101">
        <v>45547</v>
      </c>
      <c r="J2684" s="94" t="s">
        <v>4178</v>
      </c>
      <c r="K2684" s="100">
        <v>45554</v>
      </c>
      <c r="L2684" s="69" t="s">
        <v>82</v>
      </c>
      <c r="M2684" s="69" t="s">
        <v>672</v>
      </c>
      <c r="N2684" s="69" t="s">
        <v>101</v>
      </c>
      <c r="O2684" s="69" t="s">
        <v>1436</v>
      </c>
      <c r="P2684" s="78"/>
      <c r="Q2684" s="96">
        <v>45555</v>
      </c>
      <c r="R2684" s="97" t="s">
        <v>4120</v>
      </c>
      <c r="S2684" s="98"/>
    </row>
    <row r="2685" spans="1:19" ht="42.75">
      <c r="A2685" s="90" t="s">
        <v>52</v>
      </c>
      <c r="B2685" s="91" t="s">
        <v>466</v>
      </c>
      <c r="C2685" s="91" t="s">
        <v>4179</v>
      </c>
      <c r="D2685" s="90">
        <v>3634</v>
      </c>
      <c r="E2685" s="90">
        <v>3680</v>
      </c>
      <c r="F2685" s="90" t="s">
        <v>1454</v>
      </c>
      <c r="G2685" s="90"/>
      <c r="H2685" s="93"/>
      <c r="I2685" s="93"/>
      <c r="J2685" s="93"/>
      <c r="K2685" s="95"/>
      <c r="L2685" s="69"/>
      <c r="M2685" s="69"/>
      <c r="N2685" s="69"/>
      <c r="O2685" s="69"/>
      <c r="P2685" s="78"/>
      <c r="Q2685" s="96"/>
      <c r="R2685" s="97"/>
      <c r="S2685" s="98"/>
    </row>
    <row r="2686" spans="1:19" ht="42.75">
      <c r="A2686" s="90" t="s">
        <v>52</v>
      </c>
      <c r="B2686" s="91" t="s">
        <v>466</v>
      </c>
      <c r="C2686" s="91" t="s">
        <v>4180</v>
      </c>
      <c r="D2686" s="90">
        <v>4567</v>
      </c>
      <c r="E2686" s="90">
        <v>5102</v>
      </c>
      <c r="F2686" s="90" t="s">
        <v>1454</v>
      </c>
      <c r="G2686" s="90"/>
      <c r="H2686" s="93"/>
      <c r="I2686" s="93"/>
      <c r="J2686" s="93"/>
      <c r="K2686" s="95"/>
      <c r="L2686" s="69"/>
      <c r="M2686" s="69"/>
      <c r="N2686" s="69"/>
      <c r="O2686" s="69"/>
      <c r="P2686" s="78"/>
      <c r="Q2686" s="96"/>
      <c r="R2686" s="97"/>
      <c r="S2686" s="98"/>
    </row>
    <row r="2687" spans="1:19" ht="42.75">
      <c r="A2687" s="90" t="s">
        <v>52</v>
      </c>
      <c r="B2687" s="91" t="s">
        <v>466</v>
      </c>
      <c r="C2687" s="91" t="s">
        <v>4181</v>
      </c>
      <c r="D2687" s="90">
        <v>1788</v>
      </c>
      <c r="E2687" s="90">
        <v>1791</v>
      </c>
      <c r="F2687" s="90" t="s">
        <v>1454</v>
      </c>
      <c r="G2687" s="90">
        <v>2025</v>
      </c>
      <c r="H2687" s="93"/>
      <c r="I2687" s="93"/>
      <c r="J2687" s="93"/>
      <c r="K2687" s="95"/>
      <c r="L2687" s="69" t="s">
        <v>74</v>
      </c>
      <c r="M2687" s="69"/>
      <c r="N2687" s="69"/>
      <c r="O2687" s="69"/>
      <c r="P2687" s="78"/>
      <c r="Q2687" s="96"/>
      <c r="R2687" s="97"/>
      <c r="S2687" s="98"/>
    </row>
    <row r="2688" spans="1:19" ht="42.75">
      <c r="A2688" s="90" t="s">
        <v>52</v>
      </c>
      <c r="B2688" s="91" t="s">
        <v>466</v>
      </c>
      <c r="C2688" s="91" t="s">
        <v>3157</v>
      </c>
      <c r="D2688" s="90">
        <v>1502</v>
      </c>
      <c r="E2688" s="90">
        <v>1415</v>
      </c>
      <c r="F2688" s="90" t="s">
        <v>1434</v>
      </c>
      <c r="G2688" s="90">
        <v>2024</v>
      </c>
      <c r="H2688" s="101">
        <v>45568</v>
      </c>
      <c r="I2688" s="101">
        <v>45568</v>
      </c>
      <c r="J2688" s="94" t="s">
        <v>4182</v>
      </c>
      <c r="K2688" s="100">
        <v>45574</v>
      </c>
      <c r="L2688" s="69" t="s">
        <v>83</v>
      </c>
      <c r="M2688" s="69" t="s">
        <v>672</v>
      </c>
      <c r="N2688" s="69" t="s">
        <v>101</v>
      </c>
      <c r="O2688" s="69" t="s">
        <v>1436</v>
      </c>
      <c r="P2688" s="78"/>
      <c r="Q2688" s="115">
        <v>45574</v>
      </c>
      <c r="R2688" s="65" t="s">
        <v>4120</v>
      </c>
      <c r="S2688" s="89"/>
    </row>
    <row r="2689" spans="1:19" ht="42.75">
      <c r="A2689" s="90" t="s">
        <v>52</v>
      </c>
      <c r="B2689" s="91" t="s">
        <v>466</v>
      </c>
      <c r="C2689" s="91" t="s">
        <v>1091</v>
      </c>
      <c r="D2689" s="90">
        <v>2395</v>
      </c>
      <c r="E2689" s="90">
        <v>2498</v>
      </c>
      <c r="F2689" s="90" t="s">
        <v>1454</v>
      </c>
      <c r="G2689" s="90"/>
      <c r="H2689" s="93"/>
      <c r="I2689" s="93"/>
      <c r="J2689" s="93"/>
      <c r="K2689" s="95"/>
      <c r="L2689" s="69"/>
      <c r="M2689" s="69"/>
      <c r="N2689" s="69"/>
      <c r="O2689" s="69"/>
      <c r="P2689" s="78"/>
      <c r="Q2689" s="96"/>
      <c r="R2689" s="97"/>
      <c r="S2689" s="98"/>
    </row>
    <row r="2690" spans="1:19" ht="42.75">
      <c r="A2690" s="90" t="s">
        <v>52</v>
      </c>
      <c r="B2690" s="91" t="s">
        <v>466</v>
      </c>
      <c r="C2690" s="91" t="s">
        <v>764</v>
      </c>
      <c r="D2690" s="90">
        <v>539</v>
      </c>
      <c r="E2690" s="90">
        <v>598</v>
      </c>
      <c r="F2690" s="90" t="s">
        <v>1454</v>
      </c>
      <c r="G2690" s="90"/>
      <c r="H2690" s="93"/>
      <c r="I2690" s="93"/>
      <c r="J2690" s="93"/>
      <c r="K2690" s="95"/>
      <c r="L2690" s="69"/>
      <c r="M2690" s="69"/>
      <c r="N2690" s="69"/>
      <c r="O2690" s="69"/>
      <c r="P2690" s="78"/>
      <c r="Q2690" s="96"/>
      <c r="R2690" s="97"/>
      <c r="S2690" s="98"/>
    </row>
    <row r="2691" spans="1:19" ht="42.75">
      <c r="A2691" s="90" t="s">
        <v>52</v>
      </c>
      <c r="B2691" s="91" t="s">
        <v>466</v>
      </c>
      <c r="C2691" s="91" t="s">
        <v>4183</v>
      </c>
      <c r="D2691" s="90">
        <v>1290</v>
      </c>
      <c r="E2691" s="90">
        <v>1422</v>
      </c>
      <c r="F2691" s="90" t="s">
        <v>1454</v>
      </c>
      <c r="G2691" s="90"/>
      <c r="H2691" s="93"/>
      <c r="I2691" s="93"/>
      <c r="J2691" s="93"/>
      <c r="K2691" s="95"/>
      <c r="L2691" s="69"/>
      <c r="M2691" s="69"/>
      <c r="N2691" s="69"/>
      <c r="O2691" s="69"/>
      <c r="P2691" s="78"/>
      <c r="Q2691" s="96"/>
      <c r="R2691" s="97"/>
      <c r="S2691" s="98"/>
    </row>
    <row r="2692" spans="1:19" ht="42.75">
      <c r="A2692" s="90" t="s">
        <v>52</v>
      </c>
      <c r="B2692" s="91" t="s">
        <v>466</v>
      </c>
      <c r="C2692" s="91" t="s">
        <v>4184</v>
      </c>
      <c r="D2692" s="90">
        <v>2097</v>
      </c>
      <c r="E2692" s="90">
        <v>2103</v>
      </c>
      <c r="F2692" s="90" t="s">
        <v>1434</v>
      </c>
      <c r="G2692" s="90">
        <v>2024</v>
      </c>
      <c r="H2692" s="101">
        <v>45568</v>
      </c>
      <c r="I2692" s="101">
        <v>45568</v>
      </c>
      <c r="J2692" s="94" t="s">
        <v>4185</v>
      </c>
      <c r="K2692" s="100">
        <v>45574</v>
      </c>
      <c r="L2692" s="69" t="s">
        <v>83</v>
      </c>
      <c r="M2692" s="69" t="s">
        <v>4</v>
      </c>
      <c r="N2692" s="69" t="s">
        <v>101</v>
      </c>
      <c r="O2692" s="69" t="s">
        <v>1436</v>
      </c>
      <c r="P2692" s="78"/>
      <c r="Q2692" s="115">
        <v>45574</v>
      </c>
      <c r="R2692" s="65" t="s">
        <v>4120</v>
      </c>
      <c r="S2692" s="89"/>
    </row>
    <row r="2693" spans="1:19" ht="42.75">
      <c r="A2693" s="90" t="s">
        <v>52</v>
      </c>
      <c r="B2693" s="91" t="s">
        <v>542</v>
      </c>
      <c r="C2693" s="91" t="s">
        <v>1058</v>
      </c>
      <c r="D2693" s="90">
        <v>1621</v>
      </c>
      <c r="E2693" s="90">
        <v>1785</v>
      </c>
      <c r="F2693" s="90" t="s">
        <v>1434</v>
      </c>
      <c r="G2693" s="90">
        <v>2024</v>
      </c>
      <c r="H2693" s="101">
        <v>45575</v>
      </c>
      <c r="I2693" s="101">
        <v>45576</v>
      </c>
      <c r="J2693" s="94" t="s">
        <v>4186</v>
      </c>
      <c r="K2693" s="100">
        <v>45580</v>
      </c>
      <c r="L2693" s="69" t="s">
        <v>83</v>
      </c>
      <c r="M2693" s="69" t="s">
        <v>4</v>
      </c>
      <c r="N2693" s="69" t="s">
        <v>101</v>
      </c>
      <c r="O2693" s="69" t="s">
        <v>1436</v>
      </c>
      <c r="P2693" s="78"/>
      <c r="Q2693" s="96">
        <v>45580</v>
      </c>
      <c r="R2693" s="97" t="s">
        <v>4120</v>
      </c>
      <c r="S2693" s="98"/>
    </row>
    <row r="2694" spans="1:19" ht="42.75">
      <c r="A2694" s="90" t="s">
        <v>52</v>
      </c>
      <c r="B2694" s="91" t="s">
        <v>542</v>
      </c>
      <c r="C2694" s="91" t="s">
        <v>366</v>
      </c>
      <c r="D2694" s="90">
        <v>1204</v>
      </c>
      <c r="E2694" s="90">
        <v>1261</v>
      </c>
      <c r="F2694" s="90" t="s">
        <v>1454</v>
      </c>
      <c r="G2694" s="90"/>
      <c r="H2694" s="93"/>
      <c r="I2694" s="93"/>
      <c r="J2694" s="93"/>
      <c r="K2694" s="95"/>
      <c r="L2694" s="69"/>
      <c r="M2694" s="69"/>
      <c r="N2694" s="69"/>
      <c r="O2694" s="69"/>
      <c r="P2694" s="78"/>
      <c r="Q2694" s="96"/>
      <c r="R2694" s="97"/>
      <c r="S2694" s="98"/>
    </row>
    <row r="2695" spans="1:19" ht="42.75">
      <c r="A2695" s="90" t="s">
        <v>52</v>
      </c>
      <c r="B2695" s="91" t="s">
        <v>542</v>
      </c>
      <c r="C2695" s="91" t="s">
        <v>4187</v>
      </c>
      <c r="D2695" s="90">
        <v>321</v>
      </c>
      <c r="E2695" s="90">
        <v>315</v>
      </c>
      <c r="F2695" s="90" t="s">
        <v>1434</v>
      </c>
      <c r="G2695" s="90">
        <v>2024</v>
      </c>
      <c r="H2695" s="101">
        <v>45399</v>
      </c>
      <c r="I2695" s="101">
        <v>45399</v>
      </c>
      <c r="J2695" s="94" t="s">
        <v>4188</v>
      </c>
      <c r="K2695" s="100">
        <v>45399</v>
      </c>
      <c r="L2695" s="69" t="s">
        <v>77</v>
      </c>
      <c r="M2695" s="69"/>
      <c r="N2695" s="69"/>
      <c r="O2695" s="69" t="s">
        <v>1436</v>
      </c>
      <c r="P2695" s="78"/>
      <c r="Q2695" s="96"/>
      <c r="R2695" s="97"/>
      <c r="S2695" s="98"/>
    </row>
    <row r="2696" spans="1:19" ht="42.75">
      <c r="A2696" s="90" t="s">
        <v>52</v>
      </c>
      <c r="B2696" s="91" t="s">
        <v>542</v>
      </c>
      <c r="C2696" s="91" t="s">
        <v>4189</v>
      </c>
      <c r="D2696" s="90">
        <v>737</v>
      </c>
      <c r="E2696" s="90">
        <v>690</v>
      </c>
      <c r="F2696" s="90" t="s">
        <v>1434</v>
      </c>
      <c r="G2696" s="90">
        <v>2024</v>
      </c>
      <c r="H2696" s="101">
        <v>45602</v>
      </c>
      <c r="I2696" s="101">
        <v>45602</v>
      </c>
      <c r="J2696" s="94" t="s">
        <v>4190</v>
      </c>
      <c r="K2696" s="100">
        <v>45613</v>
      </c>
      <c r="L2696" s="69" t="s">
        <v>84</v>
      </c>
      <c r="M2696" s="69" t="s">
        <v>672</v>
      </c>
      <c r="N2696" s="69" t="s">
        <v>101</v>
      </c>
      <c r="O2696" s="69" t="s">
        <v>1436</v>
      </c>
      <c r="P2696" s="78"/>
      <c r="Q2696" s="96">
        <v>45614</v>
      </c>
      <c r="R2696" s="97" t="s">
        <v>4120</v>
      </c>
      <c r="S2696" s="98"/>
    </row>
    <row r="2697" spans="1:19" ht="42.75">
      <c r="A2697" s="90" t="s">
        <v>52</v>
      </c>
      <c r="B2697" s="91" t="s">
        <v>542</v>
      </c>
      <c r="C2697" s="91" t="s">
        <v>4191</v>
      </c>
      <c r="D2697" s="90">
        <v>682</v>
      </c>
      <c r="E2697" s="90">
        <v>761</v>
      </c>
      <c r="F2697" s="90" t="s">
        <v>1454</v>
      </c>
      <c r="G2697" s="90"/>
      <c r="H2697" s="93"/>
      <c r="I2697" s="93"/>
      <c r="J2697" s="93"/>
      <c r="K2697" s="95"/>
      <c r="L2697" s="69"/>
      <c r="M2697" s="69"/>
      <c r="N2697" s="69"/>
      <c r="O2697" s="69"/>
      <c r="P2697" s="78"/>
      <c r="Q2697" s="96"/>
      <c r="R2697" s="97"/>
      <c r="S2697" s="98"/>
    </row>
    <row r="2698" spans="1:19" ht="42.75">
      <c r="A2698" s="90" t="s">
        <v>52</v>
      </c>
      <c r="B2698" s="91" t="s">
        <v>542</v>
      </c>
      <c r="C2698" s="91" t="s">
        <v>4192</v>
      </c>
      <c r="D2698" s="90">
        <v>791</v>
      </c>
      <c r="E2698" s="90">
        <v>804</v>
      </c>
      <c r="F2698" s="90" t="s">
        <v>1454</v>
      </c>
      <c r="G2698" s="90"/>
      <c r="H2698" s="93"/>
      <c r="I2698" s="93"/>
      <c r="J2698" s="93"/>
      <c r="K2698" s="95"/>
      <c r="L2698" s="69"/>
      <c r="M2698" s="69"/>
      <c r="N2698" s="69"/>
      <c r="O2698" s="69"/>
      <c r="P2698" s="78"/>
      <c r="Q2698" s="96"/>
      <c r="R2698" s="97"/>
      <c r="S2698" s="98"/>
    </row>
    <row r="2699" spans="1:19" ht="42.75">
      <c r="A2699" s="90" t="s">
        <v>52</v>
      </c>
      <c r="B2699" s="91" t="s">
        <v>542</v>
      </c>
      <c r="C2699" s="91" t="s">
        <v>4193</v>
      </c>
      <c r="D2699" s="90">
        <v>673</v>
      </c>
      <c r="E2699" s="90">
        <v>764</v>
      </c>
      <c r="F2699" s="90" t="s">
        <v>1454</v>
      </c>
      <c r="G2699" s="90"/>
      <c r="H2699" s="93"/>
      <c r="I2699" s="93"/>
      <c r="J2699" s="93"/>
      <c r="K2699" s="95"/>
      <c r="L2699" s="69"/>
      <c r="M2699" s="69"/>
      <c r="N2699" s="69"/>
      <c r="O2699" s="69"/>
      <c r="P2699" s="78"/>
      <c r="Q2699" s="96"/>
      <c r="R2699" s="97"/>
      <c r="S2699" s="98"/>
    </row>
    <row r="2700" spans="1:19" ht="42.75">
      <c r="A2700" s="90" t="s">
        <v>52</v>
      </c>
      <c r="B2700" s="91" t="s">
        <v>542</v>
      </c>
      <c r="C2700" s="91" t="s">
        <v>3453</v>
      </c>
      <c r="D2700" s="90">
        <v>1761</v>
      </c>
      <c r="E2700" s="90">
        <v>1771</v>
      </c>
      <c r="F2700" s="90" t="s">
        <v>1434</v>
      </c>
      <c r="G2700" s="90">
        <v>2024</v>
      </c>
      <c r="H2700" s="101">
        <v>45415</v>
      </c>
      <c r="I2700" s="101">
        <v>45415</v>
      </c>
      <c r="J2700" s="94" t="s">
        <v>4194</v>
      </c>
      <c r="K2700" s="100">
        <v>45421</v>
      </c>
      <c r="L2700" s="69" t="s">
        <v>78</v>
      </c>
      <c r="M2700" s="69"/>
      <c r="N2700" s="69"/>
      <c r="O2700" s="69" t="s">
        <v>1436</v>
      </c>
      <c r="P2700" s="78"/>
      <c r="Q2700" s="96"/>
      <c r="R2700" s="97"/>
      <c r="S2700" s="98"/>
    </row>
    <row r="2701" spans="1:19" ht="42.75">
      <c r="A2701" s="90" t="s">
        <v>52</v>
      </c>
      <c r="B2701" s="91" t="s">
        <v>542</v>
      </c>
      <c r="C2701" s="91" t="s">
        <v>4195</v>
      </c>
      <c r="D2701" s="90">
        <v>1040</v>
      </c>
      <c r="E2701" s="90">
        <v>1102</v>
      </c>
      <c r="F2701" s="90" t="s">
        <v>1434</v>
      </c>
      <c r="G2701" s="90">
        <v>2024</v>
      </c>
      <c r="H2701" s="101">
        <v>45540</v>
      </c>
      <c r="I2701" s="101">
        <v>45542</v>
      </c>
      <c r="J2701" s="94" t="s">
        <v>4196</v>
      </c>
      <c r="K2701" s="100">
        <v>45553</v>
      </c>
      <c r="L2701" s="69" t="s">
        <v>82</v>
      </c>
      <c r="M2701" s="69" t="s">
        <v>4</v>
      </c>
      <c r="N2701" s="69" t="s">
        <v>101</v>
      </c>
      <c r="O2701" s="69" t="s">
        <v>1436</v>
      </c>
      <c r="P2701" s="78"/>
      <c r="Q2701" s="96">
        <v>45554</v>
      </c>
      <c r="R2701" s="97" t="s">
        <v>4120</v>
      </c>
      <c r="S2701" s="98"/>
    </row>
    <row r="2702" spans="1:19" ht="42.75">
      <c r="A2702" s="90" t="s">
        <v>52</v>
      </c>
      <c r="B2702" s="91" t="s">
        <v>542</v>
      </c>
      <c r="C2702" s="91" t="s">
        <v>4197</v>
      </c>
      <c r="D2702" s="90">
        <v>1238</v>
      </c>
      <c r="E2702" s="90">
        <v>1285</v>
      </c>
      <c r="F2702" s="90" t="s">
        <v>1454</v>
      </c>
      <c r="G2702" s="90"/>
      <c r="H2702" s="93"/>
      <c r="I2702" s="93"/>
      <c r="J2702" s="93"/>
      <c r="K2702" s="95"/>
      <c r="L2702" s="69"/>
      <c r="M2702" s="69"/>
      <c r="N2702" s="69"/>
      <c r="O2702" s="69"/>
      <c r="P2702" s="78"/>
      <c r="Q2702" s="96"/>
      <c r="R2702" s="97"/>
      <c r="S2702" s="98"/>
    </row>
    <row r="2703" spans="1:19" ht="42.75">
      <c r="A2703" s="90" t="s">
        <v>52</v>
      </c>
      <c r="B2703" s="91" t="s">
        <v>542</v>
      </c>
      <c r="C2703" s="91" t="s">
        <v>1087</v>
      </c>
      <c r="D2703" s="90">
        <v>986</v>
      </c>
      <c r="E2703" s="90">
        <v>1022</v>
      </c>
      <c r="F2703" s="90" t="s">
        <v>1434</v>
      </c>
      <c r="G2703" s="90">
        <v>2024</v>
      </c>
      <c r="H2703" s="101">
        <v>45545</v>
      </c>
      <c r="I2703" s="101">
        <v>45546</v>
      </c>
      <c r="J2703" s="94" t="s">
        <v>4198</v>
      </c>
      <c r="K2703" s="100">
        <v>45553</v>
      </c>
      <c r="L2703" s="69" t="s">
        <v>82</v>
      </c>
      <c r="M2703" s="69" t="s">
        <v>672</v>
      </c>
      <c r="N2703" s="69" t="s">
        <v>101</v>
      </c>
      <c r="O2703" s="69" t="s">
        <v>1436</v>
      </c>
      <c r="P2703" s="78"/>
      <c r="Q2703" s="96">
        <v>45553</v>
      </c>
      <c r="R2703" s="97" t="s">
        <v>4120</v>
      </c>
      <c r="S2703" s="98"/>
    </row>
    <row r="2704" spans="1:19" ht="42.75">
      <c r="A2704" s="90" t="s">
        <v>52</v>
      </c>
      <c r="B2704" s="91" t="s">
        <v>542</v>
      </c>
      <c r="C2704" s="91" t="s">
        <v>3114</v>
      </c>
      <c r="D2704" s="90">
        <v>1603</v>
      </c>
      <c r="E2704" s="90">
        <v>1621</v>
      </c>
      <c r="F2704" s="90" t="s">
        <v>1434</v>
      </c>
      <c r="G2704" s="90">
        <v>2024</v>
      </c>
      <c r="H2704" s="101">
        <v>45545</v>
      </c>
      <c r="I2704" s="101">
        <v>45546</v>
      </c>
      <c r="J2704" s="94" t="s">
        <v>4199</v>
      </c>
      <c r="K2704" s="100">
        <v>45553</v>
      </c>
      <c r="L2704" s="69" t="s">
        <v>82</v>
      </c>
      <c r="M2704" s="69" t="s">
        <v>672</v>
      </c>
      <c r="N2704" s="69" t="s">
        <v>101</v>
      </c>
      <c r="O2704" s="69" t="s">
        <v>1436</v>
      </c>
      <c r="P2704" s="78"/>
      <c r="Q2704" s="96">
        <v>45553</v>
      </c>
      <c r="R2704" s="97" t="s">
        <v>4120</v>
      </c>
      <c r="S2704" s="98"/>
    </row>
    <row r="2705" spans="1:19" ht="42.75">
      <c r="A2705" s="90" t="s">
        <v>52</v>
      </c>
      <c r="B2705" s="91" t="s">
        <v>357</v>
      </c>
      <c r="C2705" s="91" t="s">
        <v>4200</v>
      </c>
      <c r="D2705" s="90">
        <v>1070</v>
      </c>
      <c r="E2705" s="90">
        <v>1142</v>
      </c>
      <c r="F2705" s="90" t="s">
        <v>1454</v>
      </c>
      <c r="G2705" s="90"/>
      <c r="H2705" s="93"/>
      <c r="I2705" s="93"/>
      <c r="J2705" s="93"/>
      <c r="K2705" s="95"/>
      <c r="L2705" s="69"/>
      <c r="M2705" s="69"/>
      <c r="N2705" s="69"/>
      <c r="O2705" s="69"/>
      <c r="P2705" s="78"/>
      <c r="Q2705" s="96"/>
      <c r="R2705" s="97"/>
      <c r="S2705" s="98"/>
    </row>
    <row r="2706" spans="1:19" ht="42.75">
      <c r="A2706" s="90" t="s">
        <v>52</v>
      </c>
      <c r="B2706" s="91" t="s">
        <v>357</v>
      </c>
      <c r="C2706" s="91" t="s">
        <v>1025</v>
      </c>
      <c r="D2706" s="90">
        <v>2225</v>
      </c>
      <c r="E2706" s="90">
        <v>2329</v>
      </c>
      <c r="F2706" s="90" t="s">
        <v>1454</v>
      </c>
      <c r="G2706" s="90"/>
      <c r="H2706" s="93"/>
      <c r="I2706" s="93"/>
      <c r="J2706" s="93"/>
      <c r="K2706" s="95"/>
      <c r="L2706" s="69"/>
      <c r="M2706" s="69"/>
      <c r="N2706" s="69"/>
      <c r="O2706" s="69"/>
      <c r="P2706" s="78"/>
      <c r="Q2706" s="96"/>
      <c r="R2706" s="97"/>
      <c r="S2706" s="98"/>
    </row>
    <row r="2707" spans="1:19" ht="42.75">
      <c r="A2707" s="90" t="s">
        <v>52</v>
      </c>
      <c r="B2707" s="91" t="s">
        <v>357</v>
      </c>
      <c r="C2707" s="91" t="s">
        <v>4201</v>
      </c>
      <c r="D2707" s="90">
        <v>2335</v>
      </c>
      <c r="E2707" s="90">
        <v>2859</v>
      </c>
      <c r="F2707" s="90" t="s">
        <v>1454</v>
      </c>
      <c r="G2707" s="90"/>
      <c r="H2707" s="93"/>
      <c r="I2707" s="93"/>
      <c r="J2707" s="93"/>
      <c r="K2707" s="95"/>
      <c r="L2707" s="69"/>
      <c r="M2707" s="69"/>
      <c r="N2707" s="69"/>
      <c r="O2707" s="69"/>
      <c r="P2707" s="78"/>
      <c r="Q2707" s="96"/>
      <c r="R2707" s="97"/>
      <c r="S2707" s="98"/>
    </row>
    <row r="2708" spans="1:19" ht="42.75">
      <c r="A2708" s="90" t="s">
        <v>52</v>
      </c>
      <c r="B2708" s="91" t="s">
        <v>357</v>
      </c>
      <c r="C2708" s="91" t="s">
        <v>3176</v>
      </c>
      <c r="D2708" s="90">
        <v>1206</v>
      </c>
      <c r="E2708" s="90">
        <v>1395</v>
      </c>
      <c r="F2708" s="90" t="s">
        <v>1434</v>
      </c>
      <c r="G2708" s="90">
        <v>2024</v>
      </c>
      <c r="H2708" s="101">
        <v>45421</v>
      </c>
      <c r="I2708" s="101">
        <v>45421</v>
      </c>
      <c r="J2708" s="94" t="s">
        <v>4202</v>
      </c>
      <c r="K2708" s="100">
        <v>45427</v>
      </c>
      <c r="L2708" s="69" t="s">
        <v>78</v>
      </c>
      <c r="M2708" s="69"/>
      <c r="N2708" s="69"/>
      <c r="O2708" s="69" t="s">
        <v>1436</v>
      </c>
      <c r="P2708" s="78"/>
      <c r="Q2708" s="96"/>
      <c r="R2708" s="97"/>
      <c r="S2708" s="98"/>
    </row>
    <row r="2709" spans="1:19" ht="42.75">
      <c r="A2709" s="90" t="s">
        <v>52</v>
      </c>
      <c r="B2709" s="91" t="s">
        <v>357</v>
      </c>
      <c r="C2709" s="91" t="s">
        <v>4203</v>
      </c>
      <c r="D2709" s="90">
        <v>926</v>
      </c>
      <c r="E2709" s="90">
        <v>1135</v>
      </c>
      <c r="F2709" s="90" t="s">
        <v>1454</v>
      </c>
      <c r="G2709" s="90"/>
      <c r="H2709" s="93"/>
      <c r="I2709" s="93"/>
      <c r="J2709" s="93"/>
      <c r="K2709" s="95"/>
      <c r="L2709" s="69"/>
      <c r="M2709" s="69"/>
      <c r="N2709" s="69"/>
      <c r="O2709" s="69"/>
      <c r="P2709" s="78"/>
      <c r="Q2709" s="96"/>
      <c r="R2709" s="97"/>
      <c r="S2709" s="98"/>
    </row>
    <row r="2710" spans="1:19" ht="42.75">
      <c r="A2710" s="90" t="s">
        <v>52</v>
      </c>
      <c r="B2710" s="91" t="s">
        <v>357</v>
      </c>
      <c r="C2710" s="91" t="s">
        <v>4204</v>
      </c>
      <c r="D2710" s="90">
        <v>1266</v>
      </c>
      <c r="E2710" s="90">
        <v>1418</v>
      </c>
      <c r="F2710" s="90" t="s">
        <v>1454</v>
      </c>
      <c r="G2710" s="90"/>
      <c r="H2710" s="93"/>
      <c r="I2710" s="93"/>
      <c r="J2710" s="93"/>
      <c r="K2710" s="95"/>
      <c r="L2710" s="69"/>
      <c r="M2710" s="69"/>
      <c r="N2710" s="69"/>
      <c r="O2710" s="69"/>
      <c r="P2710" s="78"/>
      <c r="Q2710" s="96"/>
      <c r="R2710" s="97"/>
      <c r="S2710" s="98"/>
    </row>
    <row r="2711" spans="1:19" ht="42.75">
      <c r="A2711" s="90" t="s">
        <v>52</v>
      </c>
      <c r="B2711" s="91" t="s">
        <v>357</v>
      </c>
      <c r="C2711" s="91" t="s">
        <v>926</v>
      </c>
      <c r="D2711" s="90">
        <v>1417</v>
      </c>
      <c r="E2711" s="90">
        <v>1549</v>
      </c>
      <c r="F2711" s="90" t="s">
        <v>1454</v>
      </c>
      <c r="G2711" s="90"/>
      <c r="H2711" s="93"/>
      <c r="I2711" s="93"/>
      <c r="J2711" s="93"/>
      <c r="K2711" s="95"/>
      <c r="L2711" s="69"/>
      <c r="M2711" s="69"/>
      <c r="N2711" s="69"/>
      <c r="O2711" s="69"/>
      <c r="P2711" s="78"/>
      <c r="Q2711" s="96"/>
      <c r="R2711" s="97"/>
      <c r="S2711" s="98"/>
    </row>
    <row r="2712" spans="1:19" ht="42.75">
      <c r="A2712" s="90" t="s">
        <v>52</v>
      </c>
      <c r="B2712" s="91" t="s">
        <v>357</v>
      </c>
      <c r="C2712" s="91" t="s">
        <v>4205</v>
      </c>
      <c r="D2712" s="90">
        <v>2368</v>
      </c>
      <c r="E2712" s="90">
        <v>2420</v>
      </c>
      <c r="F2712" s="90" t="s">
        <v>1454</v>
      </c>
      <c r="G2712" s="90"/>
      <c r="H2712" s="93"/>
      <c r="I2712" s="93"/>
      <c r="J2712" s="93"/>
      <c r="K2712" s="95"/>
      <c r="L2712" s="69"/>
      <c r="M2712" s="69"/>
      <c r="N2712" s="69"/>
      <c r="O2712" s="69"/>
      <c r="P2712" s="78"/>
      <c r="Q2712" s="96"/>
      <c r="R2712" s="97"/>
      <c r="S2712" s="98"/>
    </row>
    <row r="2713" spans="1:19" ht="42.75">
      <c r="A2713" s="90" t="s">
        <v>52</v>
      </c>
      <c r="B2713" s="91" t="s">
        <v>357</v>
      </c>
      <c r="C2713" s="91" t="s">
        <v>2342</v>
      </c>
      <c r="D2713" s="90">
        <v>1896</v>
      </c>
      <c r="E2713" s="90">
        <v>2238</v>
      </c>
      <c r="F2713" s="90" t="s">
        <v>1454</v>
      </c>
      <c r="G2713" s="90"/>
      <c r="H2713" s="93"/>
      <c r="I2713" s="93"/>
      <c r="J2713" s="93"/>
      <c r="K2713" s="95"/>
      <c r="L2713" s="69"/>
      <c r="M2713" s="69"/>
      <c r="N2713" s="69"/>
      <c r="O2713" s="69"/>
      <c r="P2713" s="78"/>
      <c r="Q2713" s="96"/>
      <c r="R2713" s="97"/>
      <c r="S2713" s="98"/>
    </row>
    <row r="2714" spans="1:19" ht="42.75">
      <c r="A2714" s="90" t="s">
        <v>52</v>
      </c>
      <c r="B2714" s="91" t="s">
        <v>357</v>
      </c>
      <c r="C2714" s="91" t="s">
        <v>550</v>
      </c>
      <c r="D2714" s="90">
        <v>2676</v>
      </c>
      <c r="E2714" s="90">
        <v>2930</v>
      </c>
      <c r="F2714" s="90" t="s">
        <v>1454</v>
      </c>
      <c r="G2714" s="90"/>
      <c r="H2714" s="93"/>
      <c r="I2714" s="93"/>
      <c r="J2714" s="93"/>
      <c r="K2714" s="95"/>
      <c r="L2714" s="69"/>
      <c r="M2714" s="69"/>
      <c r="N2714" s="69"/>
      <c r="O2714" s="69"/>
      <c r="P2714" s="78"/>
      <c r="Q2714" s="96"/>
      <c r="R2714" s="97"/>
      <c r="S2714" s="98"/>
    </row>
    <row r="2715" spans="1:19" ht="42.75">
      <c r="A2715" s="90" t="s">
        <v>52</v>
      </c>
      <c r="B2715" s="91" t="s">
        <v>357</v>
      </c>
      <c r="C2715" s="91" t="s">
        <v>4206</v>
      </c>
      <c r="D2715" s="90">
        <v>1238</v>
      </c>
      <c r="E2715" s="90">
        <v>1304</v>
      </c>
      <c r="F2715" s="90" t="s">
        <v>1454</v>
      </c>
      <c r="G2715" s="90"/>
      <c r="H2715" s="93"/>
      <c r="I2715" s="93"/>
      <c r="J2715" s="93"/>
      <c r="K2715" s="95"/>
      <c r="L2715" s="69"/>
      <c r="M2715" s="69"/>
      <c r="N2715" s="69"/>
      <c r="O2715" s="69"/>
      <c r="P2715" s="78"/>
      <c r="Q2715" s="96"/>
      <c r="R2715" s="97"/>
      <c r="S2715" s="98"/>
    </row>
    <row r="2716" spans="1:19" ht="42.75">
      <c r="A2716" s="90" t="s">
        <v>52</v>
      </c>
      <c r="B2716" s="91" t="s">
        <v>357</v>
      </c>
      <c r="C2716" s="91" t="s">
        <v>440</v>
      </c>
      <c r="D2716" s="90">
        <v>2210</v>
      </c>
      <c r="E2716" s="90">
        <v>2447</v>
      </c>
      <c r="F2716" s="90" t="s">
        <v>1454</v>
      </c>
      <c r="G2716" s="90"/>
      <c r="H2716" s="93"/>
      <c r="I2716" s="93"/>
      <c r="J2716" s="93"/>
      <c r="K2716" s="95"/>
      <c r="L2716" s="69"/>
      <c r="M2716" s="69"/>
      <c r="N2716" s="69"/>
      <c r="O2716" s="69"/>
      <c r="P2716" s="78"/>
      <c r="Q2716" s="96"/>
      <c r="R2716" s="97"/>
      <c r="S2716" s="98"/>
    </row>
    <row r="2717" spans="1:19" ht="42.75">
      <c r="A2717" s="90" t="s">
        <v>52</v>
      </c>
      <c r="B2717" s="91" t="s">
        <v>357</v>
      </c>
      <c r="C2717" s="91" t="s">
        <v>552</v>
      </c>
      <c r="D2717" s="90">
        <v>1443</v>
      </c>
      <c r="E2717" s="90">
        <v>1638</v>
      </c>
      <c r="F2717" s="90" t="s">
        <v>1454</v>
      </c>
      <c r="G2717" s="90"/>
      <c r="H2717" s="93"/>
      <c r="I2717" s="93"/>
      <c r="J2717" s="93"/>
      <c r="K2717" s="95"/>
      <c r="L2717" s="69"/>
      <c r="M2717" s="69"/>
      <c r="N2717" s="69"/>
      <c r="O2717" s="69"/>
      <c r="P2717" s="78"/>
      <c r="Q2717" s="96"/>
      <c r="R2717" s="97"/>
      <c r="S2717" s="98"/>
    </row>
    <row r="2718" spans="1:19" ht="42.75">
      <c r="A2718" s="90" t="s">
        <v>52</v>
      </c>
      <c r="B2718" s="91" t="s">
        <v>357</v>
      </c>
      <c r="C2718" s="91" t="s">
        <v>653</v>
      </c>
      <c r="D2718" s="90">
        <v>1630</v>
      </c>
      <c r="E2718" s="90">
        <v>1939</v>
      </c>
      <c r="F2718" s="90" t="s">
        <v>1454</v>
      </c>
      <c r="G2718" s="90"/>
      <c r="H2718" s="93"/>
      <c r="I2718" s="93"/>
      <c r="J2718" s="93"/>
      <c r="K2718" s="95"/>
      <c r="L2718" s="69"/>
      <c r="M2718" s="69"/>
      <c r="N2718" s="69"/>
      <c r="O2718" s="69"/>
      <c r="P2718" s="78"/>
      <c r="Q2718" s="96"/>
      <c r="R2718" s="97"/>
      <c r="S2718" s="98"/>
    </row>
    <row r="2719" spans="1:19" ht="42.75">
      <c r="A2719" s="90" t="s">
        <v>52</v>
      </c>
      <c r="B2719" s="91" t="s">
        <v>357</v>
      </c>
      <c r="C2719" s="91" t="s">
        <v>380</v>
      </c>
      <c r="D2719" s="90">
        <v>1598</v>
      </c>
      <c r="E2719" s="90">
        <v>1644</v>
      </c>
      <c r="F2719" s="90" t="s">
        <v>1454</v>
      </c>
      <c r="G2719" s="90"/>
      <c r="H2719" s="93"/>
      <c r="I2719" s="93"/>
      <c r="J2719" s="93"/>
      <c r="K2719" s="95"/>
      <c r="L2719" s="69"/>
      <c r="M2719" s="69"/>
      <c r="N2719" s="69"/>
      <c r="O2719" s="69"/>
      <c r="P2719" s="78"/>
      <c r="Q2719" s="96"/>
      <c r="R2719" s="97"/>
      <c r="S2719" s="98"/>
    </row>
    <row r="2720" spans="1:19" ht="42.75">
      <c r="A2720" s="90" t="s">
        <v>52</v>
      </c>
      <c r="B2720" s="91" t="s">
        <v>4207</v>
      </c>
      <c r="C2720" s="91" t="s">
        <v>4208</v>
      </c>
      <c r="D2720" s="90">
        <v>2084</v>
      </c>
      <c r="E2720" s="90">
        <v>2162</v>
      </c>
      <c r="F2720" s="90" t="s">
        <v>1434</v>
      </c>
      <c r="G2720" s="90">
        <v>2024</v>
      </c>
      <c r="H2720" s="101">
        <v>45545</v>
      </c>
      <c r="I2720" s="101">
        <v>45546</v>
      </c>
      <c r="J2720" s="94" t="s">
        <v>4209</v>
      </c>
      <c r="K2720" s="100">
        <v>45552</v>
      </c>
      <c r="L2720" s="69" t="s">
        <v>82</v>
      </c>
      <c r="M2720" s="69" t="s">
        <v>672</v>
      </c>
      <c r="N2720" s="69" t="s">
        <v>101</v>
      </c>
      <c r="O2720" s="69" t="s">
        <v>1436</v>
      </c>
      <c r="P2720" s="78"/>
      <c r="Q2720" s="96">
        <v>45552</v>
      </c>
      <c r="R2720" s="97" t="s">
        <v>1481</v>
      </c>
      <c r="S2720" s="98"/>
    </row>
    <row r="2721" spans="1:19" ht="42.75">
      <c r="A2721" s="90" t="s">
        <v>52</v>
      </c>
      <c r="B2721" s="91" t="s">
        <v>4207</v>
      </c>
      <c r="C2721" s="91" t="s">
        <v>4210</v>
      </c>
      <c r="D2721" s="90">
        <v>1674</v>
      </c>
      <c r="E2721" s="90">
        <v>1682</v>
      </c>
      <c r="F2721" s="90" t="s">
        <v>1454</v>
      </c>
      <c r="G2721" s="90"/>
      <c r="H2721" s="93"/>
      <c r="I2721" s="93"/>
      <c r="J2721" s="93"/>
      <c r="K2721" s="95"/>
      <c r="L2721" s="69"/>
      <c r="M2721" s="69"/>
      <c r="N2721" s="69"/>
      <c r="O2721" s="69"/>
      <c r="P2721" s="78"/>
      <c r="Q2721" s="96"/>
      <c r="R2721" s="97"/>
      <c r="S2721" s="98"/>
    </row>
    <row r="2722" spans="1:19" ht="42.75">
      <c r="A2722" s="90" t="s">
        <v>52</v>
      </c>
      <c r="B2722" s="91" t="s">
        <v>4207</v>
      </c>
      <c r="C2722" s="91" t="s">
        <v>4211</v>
      </c>
      <c r="D2722" s="90">
        <v>1712</v>
      </c>
      <c r="E2722" s="90">
        <v>1868</v>
      </c>
      <c r="F2722" s="90" t="s">
        <v>1454</v>
      </c>
      <c r="G2722" s="90"/>
      <c r="H2722" s="93"/>
      <c r="I2722" s="93"/>
      <c r="J2722" s="93"/>
      <c r="K2722" s="95"/>
      <c r="L2722" s="69"/>
      <c r="M2722" s="69"/>
      <c r="N2722" s="69"/>
      <c r="O2722" s="69"/>
      <c r="P2722" s="78"/>
      <c r="Q2722" s="96"/>
      <c r="R2722" s="97"/>
      <c r="S2722" s="98"/>
    </row>
    <row r="2723" spans="1:19" ht="42.75">
      <c r="A2723" s="90" t="s">
        <v>52</v>
      </c>
      <c r="B2723" s="91" t="s">
        <v>4207</v>
      </c>
      <c r="C2723" s="91" t="s">
        <v>3030</v>
      </c>
      <c r="D2723" s="90">
        <v>1071</v>
      </c>
      <c r="E2723" s="90">
        <v>1237</v>
      </c>
      <c r="F2723" s="90" t="s">
        <v>1454</v>
      </c>
      <c r="G2723" s="90"/>
      <c r="H2723" s="93"/>
      <c r="I2723" s="93"/>
      <c r="J2723" s="93"/>
      <c r="K2723" s="95"/>
      <c r="L2723" s="69"/>
      <c r="M2723" s="69"/>
      <c r="N2723" s="69"/>
      <c r="O2723" s="69"/>
      <c r="P2723" s="78"/>
      <c r="Q2723" s="96"/>
      <c r="R2723" s="97"/>
      <c r="S2723" s="98"/>
    </row>
    <row r="2724" spans="1:19" ht="42.75">
      <c r="A2724" s="90" t="s">
        <v>52</v>
      </c>
      <c r="B2724" s="91" t="s">
        <v>4207</v>
      </c>
      <c r="C2724" s="91" t="s">
        <v>4212</v>
      </c>
      <c r="D2724" s="90">
        <v>1381</v>
      </c>
      <c r="E2724" s="90">
        <v>1540</v>
      </c>
      <c r="F2724" s="90" t="s">
        <v>1454</v>
      </c>
      <c r="G2724" s="90"/>
      <c r="H2724" s="93"/>
      <c r="I2724" s="93"/>
      <c r="J2724" s="93"/>
      <c r="K2724" s="95"/>
      <c r="L2724" s="69"/>
      <c r="M2724" s="69"/>
      <c r="N2724" s="69"/>
      <c r="O2724" s="69"/>
      <c r="P2724" s="78"/>
      <c r="Q2724" s="96"/>
      <c r="R2724" s="97"/>
      <c r="S2724" s="98"/>
    </row>
    <row r="2725" spans="1:19" ht="42.75">
      <c r="A2725" s="90" t="s">
        <v>52</v>
      </c>
      <c r="B2725" s="91" t="s">
        <v>4207</v>
      </c>
      <c r="C2725" s="91" t="s">
        <v>4213</v>
      </c>
      <c r="D2725" s="90">
        <v>763</v>
      </c>
      <c r="E2725" s="90">
        <v>777</v>
      </c>
      <c r="F2725" s="90" t="s">
        <v>1454</v>
      </c>
      <c r="G2725" s="90"/>
      <c r="H2725" s="93"/>
      <c r="I2725" s="93"/>
      <c r="J2725" s="93"/>
      <c r="K2725" s="95"/>
      <c r="L2725" s="69"/>
      <c r="M2725" s="69"/>
      <c r="N2725" s="69"/>
      <c r="O2725" s="69"/>
      <c r="P2725" s="78"/>
      <c r="Q2725" s="96"/>
      <c r="R2725" s="97"/>
      <c r="S2725" s="98"/>
    </row>
    <row r="2726" spans="1:19" ht="42.75">
      <c r="A2726" s="90" t="s">
        <v>52</v>
      </c>
      <c r="B2726" s="91" t="s">
        <v>4207</v>
      </c>
      <c r="C2726" s="91" t="s">
        <v>4214</v>
      </c>
      <c r="D2726" s="90">
        <v>1604</v>
      </c>
      <c r="E2726" s="90">
        <v>1662</v>
      </c>
      <c r="F2726" s="90" t="s">
        <v>1454</v>
      </c>
      <c r="G2726" s="90"/>
      <c r="H2726" s="93"/>
      <c r="I2726" s="93"/>
      <c r="J2726" s="93"/>
      <c r="K2726" s="95"/>
      <c r="L2726" s="69"/>
      <c r="M2726" s="69"/>
      <c r="N2726" s="69"/>
      <c r="O2726" s="69"/>
      <c r="P2726" s="78"/>
      <c r="Q2726" s="96"/>
      <c r="R2726" s="97"/>
      <c r="S2726" s="98"/>
    </row>
    <row r="2727" spans="1:19" ht="42.75">
      <c r="A2727" s="90" t="s">
        <v>52</v>
      </c>
      <c r="B2727" s="91" t="s">
        <v>4207</v>
      </c>
      <c r="C2727" s="91" t="s">
        <v>4215</v>
      </c>
      <c r="D2727" s="90">
        <v>706</v>
      </c>
      <c r="E2727" s="90">
        <v>707</v>
      </c>
      <c r="F2727" s="90" t="s">
        <v>1454</v>
      </c>
      <c r="G2727" s="90"/>
      <c r="H2727" s="93"/>
      <c r="I2727" s="93"/>
      <c r="J2727" s="93"/>
      <c r="K2727" s="95"/>
      <c r="L2727" s="69"/>
      <c r="M2727" s="69"/>
      <c r="N2727" s="69"/>
      <c r="O2727" s="69"/>
      <c r="P2727" s="78"/>
      <c r="Q2727" s="96"/>
      <c r="R2727" s="97"/>
      <c r="S2727" s="98"/>
    </row>
    <row r="2728" spans="1:19" ht="42.75">
      <c r="A2728" s="90" t="s">
        <v>52</v>
      </c>
      <c r="B2728" s="91" t="s">
        <v>4207</v>
      </c>
      <c r="C2728" s="91" t="s">
        <v>4092</v>
      </c>
      <c r="D2728" s="90">
        <v>2539</v>
      </c>
      <c r="E2728" s="90">
        <v>2700</v>
      </c>
      <c r="F2728" s="90" t="s">
        <v>1454</v>
      </c>
      <c r="G2728" s="90"/>
      <c r="H2728" s="93"/>
      <c r="I2728" s="93"/>
      <c r="J2728" s="93"/>
      <c r="K2728" s="95"/>
      <c r="L2728" s="69"/>
      <c r="M2728" s="69"/>
      <c r="N2728" s="69"/>
      <c r="O2728" s="69"/>
      <c r="P2728" s="78"/>
      <c r="Q2728" s="96"/>
      <c r="R2728" s="97"/>
      <c r="S2728" s="98"/>
    </row>
    <row r="2729" spans="1:19" ht="42.75">
      <c r="A2729" s="90" t="s">
        <v>52</v>
      </c>
      <c r="B2729" s="91" t="s">
        <v>4207</v>
      </c>
      <c r="C2729" s="91" t="s">
        <v>4037</v>
      </c>
      <c r="D2729" s="90">
        <v>3366</v>
      </c>
      <c r="E2729" s="90">
        <v>3524</v>
      </c>
      <c r="F2729" s="90" t="s">
        <v>1454</v>
      </c>
      <c r="G2729" s="90"/>
      <c r="H2729" s="93"/>
      <c r="I2729" s="93"/>
      <c r="J2729" s="93"/>
      <c r="K2729" s="95"/>
      <c r="L2729" s="69"/>
      <c r="M2729" s="69"/>
      <c r="N2729" s="69"/>
      <c r="O2729" s="69"/>
      <c r="P2729" s="78"/>
      <c r="Q2729" s="96"/>
      <c r="R2729" s="97"/>
      <c r="S2729" s="98"/>
    </row>
    <row r="2730" spans="1:19" ht="42.75">
      <c r="A2730" s="90" t="s">
        <v>52</v>
      </c>
      <c r="B2730" s="91" t="s">
        <v>4207</v>
      </c>
      <c r="C2730" s="91" t="s">
        <v>4216</v>
      </c>
      <c r="D2730" s="90">
        <v>2152</v>
      </c>
      <c r="E2730" s="90">
        <v>2222</v>
      </c>
      <c r="F2730" s="90" t="s">
        <v>1454</v>
      </c>
      <c r="G2730" s="90"/>
      <c r="H2730" s="93"/>
      <c r="I2730" s="93"/>
      <c r="J2730" s="93"/>
      <c r="K2730" s="95"/>
      <c r="L2730" s="69"/>
      <c r="M2730" s="69"/>
      <c r="N2730" s="69"/>
      <c r="O2730" s="69"/>
      <c r="P2730" s="78"/>
      <c r="Q2730" s="96"/>
      <c r="R2730" s="97"/>
      <c r="S2730" s="98"/>
    </row>
    <row r="2731" spans="1:19" ht="42.75">
      <c r="A2731" s="90" t="s">
        <v>52</v>
      </c>
      <c r="B2731" s="91" t="s">
        <v>4207</v>
      </c>
      <c r="C2731" s="91" t="s">
        <v>4217</v>
      </c>
      <c r="D2731" s="90">
        <v>1209</v>
      </c>
      <c r="E2731" s="90">
        <v>1340</v>
      </c>
      <c r="F2731" s="90" t="s">
        <v>1454</v>
      </c>
      <c r="G2731" s="90"/>
      <c r="H2731" s="93"/>
      <c r="I2731" s="93"/>
      <c r="J2731" s="93"/>
      <c r="K2731" s="95"/>
      <c r="L2731" s="69"/>
      <c r="M2731" s="69"/>
      <c r="N2731" s="69"/>
      <c r="O2731" s="69"/>
      <c r="P2731" s="78"/>
      <c r="Q2731" s="96"/>
      <c r="R2731" s="97"/>
      <c r="S2731" s="98"/>
    </row>
    <row r="2732" spans="1:19" ht="42.75">
      <c r="A2732" s="90" t="s">
        <v>52</v>
      </c>
      <c r="B2732" s="91" t="s">
        <v>4207</v>
      </c>
      <c r="C2732" s="91" t="s">
        <v>728</v>
      </c>
      <c r="D2732" s="90">
        <v>3556</v>
      </c>
      <c r="E2732" s="90">
        <v>3846</v>
      </c>
      <c r="F2732" s="90" t="s">
        <v>1434</v>
      </c>
      <c r="G2732" s="90">
        <v>2024</v>
      </c>
      <c r="H2732" s="101">
        <v>45414</v>
      </c>
      <c r="I2732" s="101">
        <v>45416</v>
      </c>
      <c r="J2732" s="94" t="s">
        <v>4218</v>
      </c>
      <c r="K2732" s="100">
        <v>45420</v>
      </c>
      <c r="L2732" s="69" t="s">
        <v>78</v>
      </c>
      <c r="M2732" s="69"/>
      <c r="N2732" s="69"/>
      <c r="O2732" s="69" t="s">
        <v>1436</v>
      </c>
      <c r="P2732" s="78"/>
      <c r="Q2732" s="96"/>
      <c r="R2732" s="97"/>
      <c r="S2732" s="98"/>
    </row>
    <row r="2733" spans="1:19" ht="42.75">
      <c r="A2733" s="90" t="s">
        <v>52</v>
      </c>
      <c r="B2733" s="91" t="s">
        <v>4207</v>
      </c>
      <c r="C2733" s="91" t="s">
        <v>3013</v>
      </c>
      <c r="D2733" s="90">
        <v>3714</v>
      </c>
      <c r="E2733" s="90">
        <v>4053</v>
      </c>
      <c r="F2733" s="90" t="s">
        <v>1434</v>
      </c>
      <c r="G2733" s="90">
        <v>2024</v>
      </c>
      <c r="H2733" s="101">
        <v>45506</v>
      </c>
      <c r="I2733" s="101">
        <v>45512</v>
      </c>
      <c r="J2733" s="94" t="s">
        <v>4219</v>
      </c>
      <c r="K2733" s="100">
        <v>45516</v>
      </c>
      <c r="L2733" s="69" t="s">
        <v>81</v>
      </c>
      <c r="M2733" s="69" t="s">
        <v>672</v>
      </c>
      <c r="N2733" s="69" t="s">
        <v>101</v>
      </c>
      <c r="O2733" s="69" t="s">
        <v>1436</v>
      </c>
      <c r="P2733" s="78"/>
      <c r="Q2733" s="96">
        <v>45517</v>
      </c>
      <c r="R2733" s="97" t="s">
        <v>1481</v>
      </c>
      <c r="S2733" s="98"/>
    </row>
    <row r="2734" spans="1:19" ht="42.75">
      <c r="A2734" s="90" t="s">
        <v>52</v>
      </c>
      <c r="B2734" s="91" t="s">
        <v>4207</v>
      </c>
      <c r="C2734" s="91" t="s">
        <v>4220</v>
      </c>
      <c r="D2734" s="90">
        <v>1870</v>
      </c>
      <c r="E2734" s="90">
        <v>2554</v>
      </c>
      <c r="F2734" s="90" t="s">
        <v>1454</v>
      </c>
      <c r="G2734" s="90"/>
      <c r="H2734" s="93"/>
      <c r="I2734" s="93"/>
      <c r="J2734" s="93"/>
      <c r="K2734" s="95"/>
      <c r="L2734" s="69"/>
      <c r="M2734" s="69"/>
      <c r="N2734" s="69"/>
      <c r="O2734" s="69"/>
      <c r="P2734" s="78"/>
      <c r="Q2734" s="96"/>
      <c r="R2734" s="97"/>
      <c r="S2734" s="98"/>
    </row>
    <row r="2735" spans="1:19" ht="42.75">
      <c r="A2735" s="90" t="s">
        <v>52</v>
      </c>
      <c r="B2735" s="91" t="s">
        <v>4207</v>
      </c>
      <c r="C2735" s="91" t="s">
        <v>2276</v>
      </c>
      <c r="D2735" s="90">
        <v>2318</v>
      </c>
      <c r="E2735" s="90">
        <v>2565</v>
      </c>
      <c r="F2735" s="90" t="s">
        <v>1454</v>
      </c>
      <c r="G2735" s="90"/>
      <c r="H2735" s="93"/>
      <c r="I2735" s="93"/>
      <c r="J2735" s="93"/>
      <c r="K2735" s="95"/>
      <c r="L2735" s="69"/>
      <c r="M2735" s="69"/>
      <c r="N2735" s="69"/>
      <c r="O2735" s="69"/>
      <c r="P2735" s="78"/>
      <c r="Q2735" s="96"/>
      <c r="R2735" s="97"/>
      <c r="S2735" s="98"/>
    </row>
    <row r="2736" spans="1:19" ht="42.75">
      <c r="A2736" s="90" t="s">
        <v>52</v>
      </c>
      <c r="B2736" s="91" t="s">
        <v>4207</v>
      </c>
      <c r="C2736" s="91" t="s">
        <v>4221</v>
      </c>
      <c r="D2736" s="90">
        <v>957</v>
      </c>
      <c r="E2736" s="90">
        <v>1083</v>
      </c>
      <c r="F2736" s="90" t="s">
        <v>1454</v>
      </c>
      <c r="G2736" s="90"/>
      <c r="H2736" s="93"/>
      <c r="I2736" s="93"/>
      <c r="J2736" s="93"/>
      <c r="K2736" s="95"/>
      <c r="L2736" s="69"/>
      <c r="M2736" s="69"/>
      <c r="N2736" s="69"/>
      <c r="O2736" s="69"/>
      <c r="P2736" s="78"/>
      <c r="Q2736" s="96"/>
      <c r="R2736" s="97"/>
      <c r="S2736" s="98"/>
    </row>
    <row r="2737" spans="1:19" ht="42.75">
      <c r="A2737" s="90" t="s">
        <v>52</v>
      </c>
      <c r="B2737" s="91" t="s">
        <v>4207</v>
      </c>
      <c r="C2737" s="91" t="s">
        <v>653</v>
      </c>
      <c r="D2737" s="90">
        <v>2394</v>
      </c>
      <c r="E2737" s="90">
        <v>2574</v>
      </c>
      <c r="F2737" s="90" t="s">
        <v>1434</v>
      </c>
      <c r="G2737" s="90">
        <v>2024</v>
      </c>
      <c r="H2737" s="101">
        <v>45506</v>
      </c>
      <c r="I2737" s="101">
        <v>45512</v>
      </c>
      <c r="J2737" s="94" t="s">
        <v>4222</v>
      </c>
      <c r="K2737" s="100">
        <v>45516</v>
      </c>
      <c r="L2737" s="69" t="s">
        <v>81</v>
      </c>
      <c r="M2737" s="69" t="s">
        <v>672</v>
      </c>
      <c r="N2737" s="69" t="s">
        <v>101</v>
      </c>
      <c r="O2737" s="69" t="s">
        <v>1436</v>
      </c>
      <c r="P2737" s="78"/>
      <c r="Q2737" s="96">
        <v>45517</v>
      </c>
      <c r="R2737" s="97" t="s">
        <v>1481</v>
      </c>
      <c r="S2737" s="98"/>
    </row>
    <row r="2738" spans="1:19" ht="42.75">
      <c r="A2738" s="90" t="s">
        <v>52</v>
      </c>
      <c r="B2738" s="91" t="s">
        <v>4207</v>
      </c>
      <c r="C2738" s="91" t="s">
        <v>4223</v>
      </c>
      <c r="D2738" s="90">
        <v>2298</v>
      </c>
      <c r="E2738" s="90">
        <v>2303</v>
      </c>
      <c r="F2738" s="90" t="s">
        <v>1454</v>
      </c>
      <c r="G2738" s="90"/>
      <c r="H2738" s="93"/>
      <c r="I2738" s="93"/>
      <c r="J2738" s="93"/>
      <c r="K2738" s="95"/>
      <c r="L2738" s="69"/>
      <c r="M2738" s="69"/>
      <c r="N2738" s="69"/>
      <c r="O2738" s="69"/>
      <c r="P2738" s="78"/>
      <c r="Q2738" s="96"/>
      <c r="R2738" s="97"/>
      <c r="S2738" s="98"/>
    </row>
    <row r="2739" spans="1:19" ht="42.75">
      <c r="A2739" s="90" t="s">
        <v>52</v>
      </c>
      <c r="B2739" s="91" t="s">
        <v>4207</v>
      </c>
      <c r="C2739" s="91" t="s">
        <v>4224</v>
      </c>
      <c r="D2739" s="90">
        <v>2446</v>
      </c>
      <c r="E2739" s="90">
        <v>2626</v>
      </c>
      <c r="F2739" s="90" t="s">
        <v>1434</v>
      </c>
      <c r="G2739" s="90">
        <v>2024</v>
      </c>
      <c r="H2739" s="101">
        <v>45454</v>
      </c>
      <c r="I2739" s="101">
        <v>45455</v>
      </c>
      <c r="J2739" s="94" t="s">
        <v>4222</v>
      </c>
      <c r="K2739" s="100">
        <v>45463</v>
      </c>
      <c r="L2739" s="69" t="s">
        <v>3543</v>
      </c>
      <c r="M2739" s="69" t="s">
        <v>4</v>
      </c>
      <c r="N2739" s="69" t="s">
        <v>101</v>
      </c>
      <c r="O2739" s="69" t="s">
        <v>1436</v>
      </c>
      <c r="P2739" s="78"/>
      <c r="Q2739" s="70">
        <v>45463</v>
      </c>
      <c r="R2739" s="97"/>
      <c r="S2739" s="98"/>
    </row>
    <row r="2740" spans="1:19" ht="42.75">
      <c r="A2740" s="90" t="s">
        <v>52</v>
      </c>
      <c r="B2740" s="91" t="s">
        <v>4207</v>
      </c>
      <c r="C2740" s="91" t="s">
        <v>4225</v>
      </c>
      <c r="D2740" s="90">
        <v>2063</v>
      </c>
      <c r="E2740" s="90">
        <v>2295</v>
      </c>
      <c r="F2740" s="90" t="s">
        <v>1454</v>
      </c>
      <c r="G2740" s="90"/>
      <c r="H2740" s="93"/>
      <c r="I2740" s="93"/>
      <c r="J2740" s="93"/>
      <c r="K2740" s="95"/>
      <c r="L2740" s="69"/>
      <c r="M2740" s="69"/>
      <c r="N2740" s="69"/>
      <c r="O2740" s="69"/>
      <c r="P2740" s="78"/>
      <c r="Q2740" s="96"/>
      <c r="R2740" s="97"/>
      <c r="S2740" s="98"/>
    </row>
    <row r="2741" spans="1:19" ht="42.75">
      <c r="A2741" s="90" t="s">
        <v>52</v>
      </c>
      <c r="B2741" s="91" t="s">
        <v>4207</v>
      </c>
      <c r="C2741" s="91" t="s">
        <v>4226</v>
      </c>
      <c r="D2741" s="90">
        <v>402</v>
      </c>
      <c r="E2741" s="90">
        <v>476</v>
      </c>
      <c r="F2741" s="90" t="s">
        <v>1454</v>
      </c>
      <c r="G2741" s="90"/>
      <c r="H2741" s="93"/>
      <c r="I2741" s="93"/>
      <c r="J2741" s="93"/>
      <c r="K2741" s="95"/>
      <c r="L2741" s="69"/>
      <c r="M2741" s="69"/>
      <c r="N2741" s="69"/>
      <c r="O2741" s="69"/>
      <c r="P2741" s="78"/>
      <c r="Q2741" s="96"/>
      <c r="R2741" s="97"/>
      <c r="S2741" s="98"/>
    </row>
    <row r="2742" spans="1:19" ht="42.75">
      <c r="A2742" s="90" t="s">
        <v>52</v>
      </c>
      <c r="B2742" s="91" t="s">
        <v>4207</v>
      </c>
      <c r="C2742" s="91" t="s">
        <v>4227</v>
      </c>
      <c r="D2742" s="90">
        <v>2325</v>
      </c>
      <c r="E2742" s="90">
        <v>2556</v>
      </c>
      <c r="F2742" s="90" t="s">
        <v>1434</v>
      </c>
      <c r="G2742" s="90">
        <v>2024</v>
      </c>
      <c r="H2742" s="101">
        <v>45506</v>
      </c>
      <c r="I2742" s="101">
        <v>45512</v>
      </c>
      <c r="J2742" s="94" t="s">
        <v>4228</v>
      </c>
      <c r="K2742" s="100">
        <v>45516</v>
      </c>
      <c r="L2742" s="69" t="s">
        <v>81</v>
      </c>
      <c r="M2742" s="69" t="s">
        <v>4</v>
      </c>
      <c r="N2742" s="69" t="s">
        <v>101</v>
      </c>
      <c r="O2742" s="69" t="s">
        <v>1436</v>
      </c>
      <c r="P2742" s="78"/>
      <c r="Q2742" s="96">
        <v>45517</v>
      </c>
      <c r="R2742" s="97" t="s">
        <v>1481</v>
      </c>
      <c r="S2742" s="98"/>
    </row>
    <row r="2743" spans="1:19" ht="42.75">
      <c r="A2743" s="90" t="s">
        <v>52</v>
      </c>
      <c r="B2743" s="91" t="s">
        <v>4207</v>
      </c>
      <c r="C2743" s="91" t="s">
        <v>4229</v>
      </c>
      <c r="D2743" s="90">
        <v>2934</v>
      </c>
      <c r="E2743" s="90">
        <v>3274</v>
      </c>
      <c r="F2743" s="90" t="s">
        <v>1434</v>
      </c>
      <c r="G2743" s="90">
        <v>2024</v>
      </c>
      <c r="H2743" s="101">
        <v>45414</v>
      </c>
      <c r="I2743" s="101">
        <v>45416</v>
      </c>
      <c r="J2743" s="94" t="s">
        <v>4230</v>
      </c>
      <c r="K2743" s="100">
        <v>45420</v>
      </c>
      <c r="L2743" s="69" t="s">
        <v>78</v>
      </c>
      <c r="M2743" s="69"/>
      <c r="N2743" s="69"/>
      <c r="O2743" s="69" t="s">
        <v>1436</v>
      </c>
      <c r="P2743" s="78"/>
      <c r="Q2743" s="96"/>
      <c r="R2743" s="97"/>
      <c r="S2743" s="98"/>
    </row>
    <row r="2744" spans="1:19" ht="42.75">
      <c r="A2744" s="90" t="s">
        <v>52</v>
      </c>
      <c r="B2744" s="91" t="s">
        <v>4231</v>
      </c>
      <c r="C2744" s="91" t="s">
        <v>4232</v>
      </c>
      <c r="D2744" s="90">
        <v>6893</v>
      </c>
      <c r="E2744" s="90">
        <v>7718</v>
      </c>
      <c r="F2744" s="90" t="s">
        <v>1454</v>
      </c>
      <c r="G2744" s="90"/>
      <c r="H2744" s="93"/>
      <c r="I2744" s="93"/>
      <c r="J2744" s="93"/>
      <c r="K2744" s="95"/>
      <c r="L2744" s="69"/>
      <c r="M2744" s="69"/>
      <c r="N2744" s="69"/>
      <c r="O2744" s="69"/>
      <c r="P2744" s="78"/>
      <c r="Q2744" s="96"/>
      <c r="R2744" s="97"/>
      <c r="S2744" s="98"/>
    </row>
    <row r="2745" spans="1:19" ht="42.75">
      <c r="A2745" s="90" t="s">
        <v>52</v>
      </c>
      <c r="B2745" s="91" t="s">
        <v>4231</v>
      </c>
      <c r="C2745" s="91" t="s">
        <v>4233</v>
      </c>
      <c r="D2745" s="90">
        <v>1573</v>
      </c>
      <c r="E2745" s="90">
        <v>1926</v>
      </c>
      <c r="F2745" s="90" t="s">
        <v>1454</v>
      </c>
      <c r="G2745" s="90"/>
      <c r="H2745" s="93"/>
      <c r="I2745" s="93"/>
      <c r="J2745" s="93"/>
      <c r="K2745" s="95"/>
      <c r="L2745" s="69"/>
      <c r="M2745" s="69"/>
      <c r="N2745" s="69"/>
      <c r="O2745" s="69"/>
      <c r="P2745" s="78"/>
      <c r="Q2745" s="96"/>
      <c r="R2745" s="97"/>
      <c r="S2745" s="98"/>
    </row>
    <row r="2746" spans="1:19" ht="42.75">
      <c r="A2746" s="90" t="s">
        <v>52</v>
      </c>
      <c r="B2746" s="91" t="s">
        <v>4231</v>
      </c>
      <c r="C2746" s="91" t="s">
        <v>4234</v>
      </c>
      <c r="D2746" s="90">
        <v>2220</v>
      </c>
      <c r="E2746" s="90">
        <v>2660</v>
      </c>
      <c r="F2746" s="90" t="s">
        <v>1454</v>
      </c>
      <c r="G2746" s="90"/>
      <c r="H2746" s="93"/>
      <c r="I2746" s="93"/>
      <c r="J2746" s="93"/>
      <c r="K2746" s="95"/>
      <c r="L2746" s="69"/>
      <c r="M2746" s="69"/>
      <c r="N2746" s="69"/>
      <c r="O2746" s="69"/>
      <c r="P2746" s="78"/>
      <c r="Q2746" s="96"/>
      <c r="R2746" s="97"/>
      <c r="S2746" s="98"/>
    </row>
    <row r="2747" spans="1:19" ht="42.75">
      <c r="A2747" s="90" t="s">
        <v>52</v>
      </c>
      <c r="B2747" s="91" t="s">
        <v>4231</v>
      </c>
      <c r="C2747" s="91" t="s">
        <v>4235</v>
      </c>
      <c r="D2747" s="90">
        <v>4985</v>
      </c>
      <c r="E2747" s="90">
        <v>5608</v>
      </c>
      <c r="F2747" s="90" t="s">
        <v>1454</v>
      </c>
      <c r="G2747" s="90"/>
      <c r="H2747" s="93"/>
      <c r="I2747" s="93"/>
      <c r="J2747" s="93"/>
      <c r="K2747" s="95"/>
      <c r="L2747" s="69"/>
      <c r="M2747" s="69"/>
      <c r="N2747" s="69"/>
      <c r="O2747" s="69"/>
      <c r="P2747" s="78"/>
      <c r="Q2747" s="96"/>
      <c r="R2747" s="97"/>
      <c r="S2747" s="98"/>
    </row>
    <row r="2748" spans="1:19" ht="42.75">
      <c r="A2748" s="90" t="s">
        <v>52</v>
      </c>
      <c r="B2748" s="91" t="s">
        <v>4231</v>
      </c>
      <c r="C2748" s="91" t="s">
        <v>4236</v>
      </c>
      <c r="D2748" s="90">
        <v>1771</v>
      </c>
      <c r="E2748" s="90">
        <v>1815</v>
      </c>
      <c r="F2748" s="90" t="s">
        <v>1454</v>
      </c>
      <c r="G2748" s="90"/>
      <c r="H2748" s="93"/>
      <c r="I2748" s="93"/>
      <c r="J2748" s="93"/>
      <c r="K2748" s="95"/>
      <c r="L2748" s="69"/>
      <c r="M2748" s="69"/>
      <c r="N2748" s="69"/>
      <c r="O2748" s="69"/>
      <c r="P2748" s="78"/>
      <c r="Q2748" s="96"/>
      <c r="R2748" s="97"/>
      <c r="S2748" s="98"/>
    </row>
    <row r="2749" spans="1:19" ht="42.75">
      <c r="A2749" s="90" t="s">
        <v>52</v>
      </c>
      <c r="B2749" s="91" t="s">
        <v>4231</v>
      </c>
      <c r="C2749" s="91" t="s">
        <v>4237</v>
      </c>
      <c r="D2749" s="90">
        <v>2232</v>
      </c>
      <c r="E2749" s="90">
        <v>2560</v>
      </c>
      <c r="F2749" s="90" t="s">
        <v>1454</v>
      </c>
      <c r="G2749" s="90"/>
      <c r="H2749" s="93"/>
      <c r="I2749" s="93"/>
      <c r="J2749" s="93"/>
      <c r="K2749" s="95"/>
      <c r="L2749" s="69"/>
      <c r="M2749" s="69"/>
      <c r="N2749" s="69"/>
      <c r="O2749" s="69"/>
      <c r="P2749" s="78"/>
      <c r="Q2749" s="96"/>
      <c r="R2749" s="97"/>
      <c r="S2749" s="98"/>
    </row>
    <row r="2750" spans="1:19" ht="42.75">
      <c r="A2750" s="90" t="s">
        <v>52</v>
      </c>
      <c r="B2750" s="91" t="s">
        <v>4231</v>
      </c>
      <c r="C2750" s="91" t="s">
        <v>4238</v>
      </c>
      <c r="D2750" s="90">
        <v>1725</v>
      </c>
      <c r="E2750" s="90">
        <v>1961</v>
      </c>
      <c r="F2750" s="90" t="s">
        <v>1454</v>
      </c>
      <c r="G2750" s="90"/>
      <c r="H2750" s="93"/>
      <c r="I2750" s="93"/>
      <c r="J2750" s="93"/>
      <c r="K2750" s="95"/>
      <c r="L2750" s="69"/>
      <c r="M2750" s="69"/>
      <c r="N2750" s="69"/>
      <c r="O2750" s="69"/>
      <c r="P2750" s="78"/>
      <c r="Q2750" s="96"/>
      <c r="R2750" s="97"/>
      <c r="S2750" s="98"/>
    </row>
    <row r="2751" spans="1:19" ht="42.75">
      <c r="A2751" s="90" t="s">
        <v>52</v>
      </c>
      <c r="B2751" s="91" t="s">
        <v>4231</v>
      </c>
      <c r="C2751" s="91" t="s">
        <v>4239</v>
      </c>
      <c r="D2751" s="90">
        <v>4684</v>
      </c>
      <c r="E2751" s="90">
        <v>5445</v>
      </c>
      <c r="F2751" s="90" t="s">
        <v>1454</v>
      </c>
      <c r="G2751" s="90"/>
      <c r="H2751" s="93"/>
      <c r="I2751" s="93"/>
      <c r="J2751" s="93"/>
      <c r="K2751" s="95"/>
      <c r="L2751" s="69"/>
      <c r="M2751" s="69"/>
      <c r="N2751" s="69"/>
      <c r="O2751" s="69"/>
      <c r="P2751" s="78"/>
      <c r="Q2751" s="96"/>
      <c r="R2751" s="97"/>
      <c r="S2751" s="98"/>
    </row>
    <row r="2752" spans="1:19" ht="42.75">
      <c r="A2752" s="90" t="s">
        <v>52</v>
      </c>
      <c r="B2752" s="91" t="s">
        <v>4231</v>
      </c>
      <c r="C2752" s="91" t="s">
        <v>4240</v>
      </c>
      <c r="D2752" s="90">
        <v>2208</v>
      </c>
      <c r="E2752" s="90">
        <v>2118</v>
      </c>
      <c r="F2752" s="90" t="s">
        <v>1454</v>
      </c>
      <c r="G2752" s="90"/>
      <c r="H2752" s="93"/>
      <c r="I2752" s="93"/>
      <c r="J2752" s="93"/>
      <c r="K2752" s="95"/>
      <c r="L2752" s="69"/>
      <c r="M2752" s="69"/>
      <c r="N2752" s="69"/>
      <c r="O2752" s="69"/>
      <c r="P2752" s="78"/>
      <c r="Q2752" s="96"/>
      <c r="R2752" s="97"/>
      <c r="S2752" s="98"/>
    </row>
    <row r="2753" spans="1:19" ht="42.75">
      <c r="A2753" s="90" t="s">
        <v>52</v>
      </c>
      <c r="B2753" s="91" t="s">
        <v>4231</v>
      </c>
      <c r="C2753" s="91" t="s">
        <v>4241</v>
      </c>
      <c r="D2753" s="90">
        <v>3533</v>
      </c>
      <c r="E2753" s="90">
        <v>4180</v>
      </c>
      <c r="F2753" s="90" t="s">
        <v>1454</v>
      </c>
      <c r="G2753" s="90"/>
      <c r="H2753" s="93"/>
      <c r="I2753" s="93"/>
      <c r="J2753" s="93"/>
      <c r="K2753" s="95"/>
      <c r="L2753" s="69"/>
      <c r="M2753" s="69"/>
      <c r="N2753" s="69"/>
      <c r="O2753" s="69"/>
      <c r="P2753" s="78"/>
      <c r="Q2753" s="96"/>
      <c r="R2753" s="97"/>
      <c r="S2753" s="98"/>
    </row>
    <row r="2754" spans="1:19" ht="42.75">
      <c r="A2754" s="90" t="s">
        <v>52</v>
      </c>
      <c r="B2754" s="91" t="s">
        <v>4231</v>
      </c>
      <c r="C2754" s="91" t="s">
        <v>4242</v>
      </c>
      <c r="D2754" s="90">
        <v>5962</v>
      </c>
      <c r="E2754" s="90">
        <v>6769</v>
      </c>
      <c r="F2754" s="90" t="s">
        <v>1454</v>
      </c>
      <c r="G2754" s="90"/>
      <c r="H2754" s="93"/>
      <c r="I2754" s="93"/>
      <c r="J2754" s="93"/>
      <c r="K2754" s="95"/>
      <c r="L2754" s="69"/>
      <c r="M2754" s="69"/>
      <c r="N2754" s="69"/>
      <c r="O2754" s="69"/>
      <c r="P2754" s="78"/>
      <c r="Q2754" s="96"/>
      <c r="R2754" s="97"/>
      <c r="S2754" s="98"/>
    </row>
    <row r="2755" spans="1:19" ht="42.75">
      <c r="A2755" s="90" t="s">
        <v>52</v>
      </c>
      <c r="B2755" s="91" t="s">
        <v>4231</v>
      </c>
      <c r="C2755" s="91" t="s">
        <v>3877</v>
      </c>
      <c r="D2755" s="90">
        <v>1048</v>
      </c>
      <c r="E2755" s="90">
        <v>1245</v>
      </c>
      <c r="F2755" s="90" t="s">
        <v>1454</v>
      </c>
      <c r="G2755" s="90"/>
      <c r="H2755" s="93"/>
      <c r="I2755" s="93"/>
      <c r="J2755" s="93"/>
      <c r="K2755" s="95"/>
      <c r="L2755" s="69"/>
      <c r="M2755" s="69"/>
      <c r="N2755" s="69"/>
      <c r="O2755" s="69"/>
      <c r="P2755" s="78"/>
      <c r="Q2755" s="96"/>
      <c r="R2755" s="97"/>
      <c r="S2755" s="98"/>
    </row>
    <row r="2756" spans="1:19" ht="42.75">
      <c r="A2756" s="90" t="s">
        <v>52</v>
      </c>
      <c r="B2756" s="91" t="s">
        <v>4231</v>
      </c>
      <c r="C2756" s="91" t="s">
        <v>730</v>
      </c>
      <c r="D2756" s="90">
        <v>2192</v>
      </c>
      <c r="E2756" s="90">
        <v>2410</v>
      </c>
      <c r="F2756" s="90" t="s">
        <v>1454</v>
      </c>
      <c r="G2756" s="90"/>
      <c r="H2756" s="93"/>
      <c r="I2756" s="93"/>
      <c r="J2756" s="93"/>
      <c r="K2756" s="95"/>
      <c r="L2756" s="69"/>
      <c r="M2756" s="69"/>
      <c r="N2756" s="69"/>
      <c r="O2756" s="69"/>
      <c r="P2756" s="78"/>
      <c r="Q2756" s="96"/>
      <c r="R2756" s="97"/>
      <c r="S2756" s="98"/>
    </row>
    <row r="2757" spans="1:19" ht="42.75">
      <c r="A2757" s="90" t="s">
        <v>52</v>
      </c>
      <c r="B2757" s="91" t="s">
        <v>4231</v>
      </c>
      <c r="C2757" s="91" t="s">
        <v>4243</v>
      </c>
      <c r="D2757" s="90">
        <v>4338</v>
      </c>
      <c r="E2757" s="90">
        <v>5173</v>
      </c>
      <c r="F2757" s="90" t="s">
        <v>1454</v>
      </c>
      <c r="G2757" s="90"/>
      <c r="H2757" s="93"/>
      <c r="I2757" s="93"/>
      <c r="J2757" s="93"/>
      <c r="K2757" s="95"/>
      <c r="L2757" s="69"/>
      <c r="M2757" s="69"/>
      <c r="N2757" s="69"/>
      <c r="O2757" s="69"/>
      <c r="P2757" s="78"/>
      <c r="Q2757" s="96"/>
      <c r="R2757" s="97"/>
      <c r="S2757" s="98"/>
    </row>
    <row r="2758" spans="1:19" ht="42.75">
      <c r="A2758" s="90" t="s">
        <v>52</v>
      </c>
      <c r="B2758" s="91" t="s">
        <v>4231</v>
      </c>
      <c r="C2758" s="91" t="s">
        <v>4244</v>
      </c>
      <c r="D2758" s="90">
        <v>1666</v>
      </c>
      <c r="E2758" s="90">
        <v>2258</v>
      </c>
      <c r="F2758" s="90" t="s">
        <v>1454</v>
      </c>
      <c r="G2758" s="90"/>
      <c r="H2758" s="93"/>
      <c r="I2758" s="93"/>
      <c r="J2758" s="93"/>
      <c r="K2758" s="95"/>
      <c r="L2758" s="69"/>
      <c r="M2758" s="69"/>
      <c r="N2758" s="69"/>
      <c r="O2758" s="69"/>
      <c r="P2758" s="78"/>
      <c r="Q2758" s="96"/>
      <c r="R2758" s="97"/>
      <c r="S2758" s="98"/>
    </row>
    <row r="2759" spans="1:19" ht="42.75">
      <c r="A2759" s="90" t="s">
        <v>52</v>
      </c>
      <c r="B2759" s="91" t="s">
        <v>4231</v>
      </c>
      <c r="C2759" s="91" t="s">
        <v>4245</v>
      </c>
      <c r="D2759" s="90">
        <v>4498</v>
      </c>
      <c r="E2759" s="90">
        <v>5791</v>
      </c>
      <c r="F2759" s="90" t="s">
        <v>1454</v>
      </c>
      <c r="G2759" s="90"/>
      <c r="H2759" s="93"/>
      <c r="I2759" s="93"/>
      <c r="J2759" s="93"/>
      <c r="K2759" s="95"/>
      <c r="L2759" s="69"/>
      <c r="M2759" s="69"/>
      <c r="N2759" s="69"/>
      <c r="O2759" s="69"/>
      <c r="P2759" s="78"/>
      <c r="Q2759" s="96"/>
      <c r="R2759" s="97"/>
      <c r="S2759" s="98"/>
    </row>
    <row r="2760" spans="1:19" ht="42.75">
      <c r="A2760" s="90" t="s">
        <v>52</v>
      </c>
      <c r="B2760" s="91" t="s">
        <v>4231</v>
      </c>
      <c r="C2760" s="91" t="s">
        <v>4246</v>
      </c>
      <c r="D2760" s="90">
        <v>1708</v>
      </c>
      <c r="E2760" s="90">
        <v>2083</v>
      </c>
      <c r="F2760" s="90" t="s">
        <v>1454</v>
      </c>
      <c r="G2760" s="90"/>
      <c r="H2760" s="93"/>
      <c r="I2760" s="93"/>
      <c r="J2760" s="93"/>
      <c r="K2760" s="95"/>
      <c r="L2760" s="69"/>
      <c r="M2760" s="69"/>
      <c r="N2760" s="69"/>
      <c r="O2760" s="69"/>
      <c r="P2760" s="78"/>
      <c r="Q2760" s="96"/>
      <c r="R2760" s="97"/>
      <c r="S2760" s="98"/>
    </row>
    <row r="2761" spans="1:19" ht="42.75">
      <c r="A2761" s="90" t="s">
        <v>52</v>
      </c>
      <c r="B2761" s="91" t="s">
        <v>4231</v>
      </c>
      <c r="C2761" s="91" t="s">
        <v>1557</v>
      </c>
      <c r="D2761" s="90">
        <v>1249</v>
      </c>
      <c r="E2761" s="90">
        <v>1517</v>
      </c>
      <c r="F2761" s="90" t="s">
        <v>1454</v>
      </c>
      <c r="G2761" s="90"/>
      <c r="H2761" s="93"/>
      <c r="I2761" s="93"/>
      <c r="J2761" s="93"/>
      <c r="K2761" s="95"/>
      <c r="L2761" s="69"/>
      <c r="M2761" s="69"/>
      <c r="N2761" s="69"/>
      <c r="O2761" s="69"/>
      <c r="P2761" s="78"/>
      <c r="Q2761" s="96"/>
      <c r="R2761" s="97"/>
      <c r="S2761" s="98"/>
    </row>
    <row r="2762" spans="1:19" ht="42.75">
      <c r="A2762" s="90" t="s">
        <v>52</v>
      </c>
      <c r="B2762" s="91" t="s">
        <v>4231</v>
      </c>
      <c r="C2762" s="91" t="s">
        <v>4247</v>
      </c>
      <c r="D2762" s="90">
        <v>1771</v>
      </c>
      <c r="E2762" s="90">
        <v>2109</v>
      </c>
      <c r="F2762" s="90" t="s">
        <v>1454</v>
      </c>
      <c r="G2762" s="90"/>
      <c r="H2762" s="93"/>
      <c r="I2762" s="93"/>
      <c r="J2762" s="93"/>
      <c r="K2762" s="95"/>
      <c r="L2762" s="69"/>
      <c r="M2762" s="69"/>
      <c r="N2762" s="69"/>
      <c r="O2762" s="69"/>
      <c r="P2762" s="78"/>
      <c r="Q2762" s="96"/>
      <c r="R2762" s="97"/>
      <c r="S2762" s="98"/>
    </row>
    <row r="2763" spans="1:19" ht="42.75">
      <c r="A2763" s="90" t="s">
        <v>52</v>
      </c>
      <c r="B2763" s="91" t="s">
        <v>4231</v>
      </c>
      <c r="C2763" s="91" t="s">
        <v>4248</v>
      </c>
      <c r="D2763" s="90">
        <v>6105</v>
      </c>
      <c r="E2763" s="90">
        <v>7682</v>
      </c>
      <c r="F2763" s="90" t="s">
        <v>1454</v>
      </c>
      <c r="G2763" s="90"/>
      <c r="H2763" s="93"/>
      <c r="I2763" s="93"/>
      <c r="J2763" s="93"/>
      <c r="K2763" s="95"/>
      <c r="L2763" s="69"/>
      <c r="M2763" s="69"/>
      <c r="N2763" s="69"/>
      <c r="O2763" s="69"/>
      <c r="P2763" s="78"/>
      <c r="Q2763" s="96"/>
      <c r="R2763" s="97"/>
      <c r="S2763" s="98"/>
    </row>
    <row r="2764" spans="1:19" ht="42.75">
      <c r="A2764" s="90" t="s">
        <v>52</v>
      </c>
      <c r="B2764" s="91" t="s">
        <v>4231</v>
      </c>
      <c r="C2764" s="91" t="s">
        <v>4249</v>
      </c>
      <c r="D2764" s="90">
        <v>3353</v>
      </c>
      <c r="E2764" s="90">
        <v>3679</v>
      </c>
      <c r="F2764" s="90" t="s">
        <v>1454</v>
      </c>
      <c r="G2764" s="90"/>
      <c r="H2764" s="93"/>
      <c r="I2764" s="93"/>
      <c r="J2764" s="93"/>
      <c r="K2764" s="95"/>
      <c r="L2764" s="69"/>
      <c r="M2764" s="69"/>
      <c r="N2764" s="69"/>
      <c r="O2764" s="69"/>
      <c r="P2764" s="78"/>
      <c r="Q2764" s="96"/>
      <c r="R2764" s="97"/>
      <c r="S2764" s="98"/>
    </row>
    <row r="2765" spans="1:19" ht="42.75">
      <c r="A2765" s="90" t="s">
        <v>52</v>
      </c>
      <c r="B2765" s="91" t="s">
        <v>4231</v>
      </c>
      <c r="C2765" s="91" t="s">
        <v>4250</v>
      </c>
      <c r="D2765" s="90">
        <v>1834</v>
      </c>
      <c r="E2765" s="90">
        <v>2239</v>
      </c>
      <c r="F2765" s="90" t="s">
        <v>1454</v>
      </c>
      <c r="G2765" s="90"/>
      <c r="H2765" s="93"/>
      <c r="I2765" s="93"/>
      <c r="J2765" s="93"/>
      <c r="K2765" s="95"/>
      <c r="L2765" s="69"/>
      <c r="M2765" s="69"/>
      <c r="N2765" s="69"/>
      <c r="O2765" s="69"/>
      <c r="P2765" s="78"/>
      <c r="Q2765" s="96"/>
      <c r="R2765" s="97"/>
      <c r="S2765" s="98"/>
    </row>
    <row r="2766" spans="1:19" ht="42.75">
      <c r="A2766" s="90" t="s">
        <v>52</v>
      </c>
      <c r="B2766" s="91" t="s">
        <v>4231</v>
      </c>
      <c r="C2766" s="91" t="s">
        <v>4251</v>
      </c>
      <c r="D2766" s="90">
        <v>9919</v>
      </c>
      <c r="E2766" s="90">
        <v>10195</v>
      </c>
      <c r="F2766" s="90" t="s">
        <v>1454</v>
      </c>
      <c r="G2766" s="90"/>
      <c r="H2766" s="93"/>
      <c r="I2766" s="93"/>
      <c r="J2766" s="93"/>
      <c r="K2766" s="95"/>
      <c r="L2766" s="69"/>
      <c r="M2766" s="69"/>
      <c r="N2766" s="69"/>
      <c r="O2766" s="69"/>
      <c r="P2766" s="78"/>
      <c r="Q2766" s="96"/>
      <c r="R2766" s="97"/>
      <c r="S2766" s="98"/>
    </row>
    <row r="2767" spans="1:19" ht="42.75">
      <c r="A2767" s="90" t="s">
        <v>52</v>
      </c>
      <c r="B2767" s="91" t="s">
        <v>4231</v>
      </c>
      <c r="C2767" s="91" t="s">
        <v>1766</v>
      </c>
      <c r="D2767" s="90">
        <v>4127</v>
      </c>
      <c r="E2767" s="90">
        <v>4008</v>
      </c>
      <c r="F2767" s="90" t="s">
        <v>1454</v>
      </c>
      <c r="G2767" s="90"/>
      <c r="H2767" s="93"/>
      <c r="I2767" s="93"/>
      <c r="J2767" s="93"/>
      <c r="K2767" s="95"/>
      <c r="L2767" s="69"/>
      <c r="M2767" s="69"/>
      <c r="N2767" s="69"/>
      <c r="O2767" s="69"/>
      <c r="P2767" s="78"/>
      <c r="Q2767" s="96"/>
      <c r="R2767" s="97"/>
      <c r="S2767" s="98"/>
    </row>
    <row r="2768" spans="1:19" ht="42.75">
      <c r="A2768" s="90" t="s">
        <v>52</v>
      </c>
      <c r="B2768" s="91" t="s">
        <v>4231</v>
      </c>
      <c r="C2768" s="91" t="s">
        <v>4252</v>
      </c>
      <c r="D2768" s="90">
        <v>1898</v>
      </c>
      <c r="E2768" s="90">
        <v>2764</v>
      </c>
      <c r="F2768" s="90" t="s">
        <v>1454</v>
      </c>
      <c r="G2768" s="90"/>
      <c r="H2768" s="93"/>
      <c r="I2768" s="93"/>
      <c r="J2768" s="93"/>
      <c r="K2768" s="95"/>
      <c r="L2768" s="69"/>
      <c r="M2768" s="69"/>
      <c r="N2768" s="69"/>
      <c r="O2768" s="69"/>
      <c r="P2768" s="78"/>
      <c r="Q2768" s="96"/>
      <c r="R2768" s="97"/>
      <c r="S2768" s="98"/>
    </row>
    <row r="2769" spans="1:19" ht="42.75">
      <c r="A2769" s="90" t="s">
        <v>52</v>
      </c>
      <c r="B2769" s="91" t="s">
        <v>4231</v>
      </c>
      <c r="C2769" s="91" t="s">
        <v>4253</v>
      </c>
      <c r="D2769" s="90">
        <v>400</v>
      </c>
      <c r="E2769" s="90">
        <v>456</v>
      </c>
      <c r="F2769" s="90" t="s">
        <v>1454</v>
      </c>
      <c r="G2769" s="90"/>
      <c r="H2769" s="93"/>
      <c r="I2769" s="93"/>
      <c r="J2769" s="93"/>
      <c r="K2769" s="95"/>
      <c r="L2769" s="69"/>
      <c r="M2769" s="69"/>
      <c r="N2769" s="69"/>
      <c r="O2769" s="69"/>
      <c r="P2769" s="78"/>
      <c r="Q2769" s="96"/>
      <c r="R2769" s="97"/>
      <c r="S2769" s="98"/>
    </row>
    <row r="2770" spans="1:19" ht="42.75">
      <c r="A2770" s="90" t="s">
        <v>52</v>
      </c>
      <c r="B2770" s="91" t="s">
        <v>4231</v>
      </c>
      <c r="C2770" s="91" t="s">
        <v>4254</v>
      </c>
      <c r="D2770" s="90">
        <v>7211</v>
      </c>
      <c r="E2770" s="90">
        <v>8250</v>
      </c>
      <c r="F2770" s="90" t="s">
        <v>1454</v>
      </c>
      <c r="G2770" s="90"/>
      <c r="H2770" s="93"/>
      <c r="I2770" s="93"/>
      <c r="J2770" s="93"/>
      <c r="K2770" s="95"/>
      <c r="L2770" s="69"/>
      <c r="M2770" s="69"/>
      <c r="N2770" s="69"/>
      <c r="O2770" s="69"/>
      <c r="P2770" s="78"/>
      <c r="Q2770" s="96"/>
      <c r="R2770" s="97"/>
      <c r="S2770" s="98"/>
    </row>
    <row r="2771" spans="1:19" ht="42.75">
      <c r="A2771" s="90" t="s">
        <v>52</v>
      </c>
      <c r="B2771" s="91" t="s">
        <v>4231</v>
      </c>
      <c r="C2771" s="91" t="s">
        <v>3588</v>
      </c>
      <c r="D2771" s="90">
        <v>3401</v>
      </c>
      <c r="E2771" s="90">
        <v>3912</v>
      </c>
      <c r="F2771" s="90" t="s">
        <v>1454</v>
      </c>
      <c r="G2771" s="90"/>
      <c r="H2771" s="93"/>
      <c r="I2771" s="93"/>
      <c r="J2771" s="93"/>
      <c r="K2771" s="95"/>
      <c r="L2771" s="69"/>
      <c r="M2771" s="69"/>
      <c r="N2771" s="69"/>
      <c r="O2771" s="69"/>
      <c r="P2771" s="78"/>
      <c r="Q2771" s="96"/>
      <c r="R2771" s="97"/>
      <c r="S2771" s="98"/>
    </row>
    <row r="2772" spans="1:19" ht="42.75">
      <c r="A2772" s="90" t="s">
        <v>52</v>
      </c>
      <c r="B2772" s="91" t="s">
        <v>4231</v>
      </c>
      <c r="C2772" s="91" t="s">
        <v>4255</v>
      </c>
      <c r="D2772" s="90">
        <v>2856</v>
      </c>
      <c r="E2772" s="90">
        <v>3410</v>
      </c>
      <c r="F2772" s="90" t="s">
        <v>1454</v>
      </c>
      <c r="G2772" s="90"/>
      <c r="H2772" s="93"/>
      <c r="I2772" s="93"/>
      <c r="J2772" s="93"/>
      <c r="K2772" s="95"/>
      <c r="L2772" s="69"/>
      <c r="M2772" s="69"/>
      <c r="N2772" s="69"/>
      <c r="O2772" s="69"/>
      <c r="P2772" s="78"/>
      <c r="Q2772" s="96"/>
      <c r="R2772" s="97"/>
      <c r="S2772" s="98"/>
    </row>
    <row r="2773" spans="1:19" ht="42.75">
      <c r="A2773" s="90" t="s">
        <v>52</v>
      </c>
      <c r="B2773" s="91" t="s">
        <v>4231</v>
      </c>
      <c r="C2773" s="91" t="s">
        <v>3386</v>
      </c>
      <c r="D2773" s="90">
        <v>3248</v>
      </c>
      <c r="E2773" s="90">
        <v>3972</v>
      </c>
      <c r="F2773" s="90" t="s">
        <v>1454</v>
      </c>
      <c r="G2773" s="90">
        <v>2025</v>
      </c>
      <c r="H2773" s="93"/>
      <c r="I2773" s="93"/>
      <c r="J2773" s="93"/>
      <c r="K2773" s="95"/>
      <c r="L2773" s="69" t="s">
        <v>74</v>
      </c>
      <c r="M2773" s="69"/>
      <c r="N2773" s="69"/>
      <c r="O2773" s="69"/>
      <c r="P2773" s="78"/>
      <c r="Q2773" s="96"/>
      <c r="R2773" s="97"/>
      <c r="S2773" s="98"/>
    </row>
    <row r="2774" spans="1:19" ht="42.75">
      <c r="A2774" s="90" t="s">
        <v>52</v>
      </c>
      <c r="B2774" s="91" t="s">
        <v>4231</v>
      </c>
      <c r="C2774" s="91" t="s">
        <v>4256</v>
      </c>
      <c r="D2774" s="90">
        <v>3053</v>
      </c>
      <c r="E2774" s="90">
        <v>3277</v>
      </c>
      <c r="F2774" s="90" t="s">
        <v>1454</v>
      </c>
      <c r="G2774" s="90"/>
      <c r="H2774" s="93"/>
      <c r="I2774" s="93"/>
      <c r="J2774" s="93"/>
      <c r="K2774" s="95"/>
      <c r="L2774" s="69"/>
      <c r="M2774" s="69"/>
      <c r="N2774" s="69"/>
      <c r="O2774" s="69"/>
      <c r="P2774" s="78"/>
      <c r="Q2774" s="96"/>
      <c r="R2774" s="97"/>
      <c r="S2774" s="98"/>
    </row>
    <row r="2775" spans="1:19" ht="42.75">
      <c r="A2775" s="90" t="s">
        <v>52</v>
      </c>
      <c r="B2775" s="91" t="s">
        <v>4231</v>
      </c>
      <c r="C2775" s="91" t="s">
        <v>4257</v>
      </c>
      <c r="D2775" s="90">
        <v>2596</v>
      </c>
      <c r="E2775" s="90">
        <v>2376</v>
      </c>
      <c r="F2775" s="90" t="s">
        <v>1454</v>
      </c>
      <c r="G2775" s="90"/>
      <c r="H2775" s="93"/>
      <c r="I2775" s="93"/>
      <c r="J2775" s="93"/>
      <c r="K2775" s="95"/>
      <c r="L2775" s="69"/>
      <c r="M2775" s="69"/>
      <c r="N2775" s="69"/>
      <c r="O2775" s="69"/>
      <c r="P2775" s="78"/>
      <c r="Q2775" s="96"/>
      <c r="R2775" s="97"/>
      <c r="S2775" s="98"/>
    </row>
    <row r="2776" spans="1:19" ht="42.75">
      <c r="A2776" s="90" t="s">
        <v>52</v>
      </c>
      <c r="B2776" s="91" t="s">
        <v>4231</v>
      </c>
      <c r="C2776" s="91" t="s">
        <v>2823</v>
      </c>
      <c r="D2776" s="90">
        <v>2649</v>
      </c>
      <c r="E2776" s="90">
        <v>2888</v>
      </c>
      <c r="F2776" s="90" t="s">
        <v>1454</v>
      </c>
      <c r="G2776" s="90"/>
      <c r="H2776" s="93"/>
      <c r="I2776" s="93"/>
      <c r="J2776" s="93"/>
      <c r="K2776" s="95"/>
      <c r="L2776" s="69"/>
      <c r="M2776" s="69"/>
      <c r="N2776" s="69"/>
      <c r="O2776" s="69"/>
      <c r="P2776" s="78"/>
      <c r="Q2776" s="96"/>
      <c r="R2776" s="97"/>
      <c r="S2776" s="98"/>
    </row>
    <row r="2777" spans="1:19" ht="42.75">
      <c r="A2777" s="90" t="s">
        <v>52</v>
      </c>
      <c r="B2777" s="91" t="s">
        <v>4231</v>
      </c>
      <c r="C2777" s="91" t="s">
        <v>3129</v>
      </c>
      <c r="D2777" s="90">
        <v>628</v>
      </c>
      <c r="E2777" s="90">
        <v>851</v>
      </c>
      <c r="F2777" s="90" t="s">
        <v>1454</v>
      </c>
      <c r="G2777" s="90"/>
      <c r="H2777" s="93"/>
      <c r="I2777" s="93"/>
      <c r="J2777" s="93"/>
      <c r="K2777" s="95"/>
      <c r="L2777" s="69"/>
      <c r="M2777" s="69"/>
      <c r="N2777" s="69"/>
      <c r="O2777" s="69"/>
      <c r="P2777" s="78"/>
      <c r="Q2777" s="96"/>
      <c r="R2777" s="97"/>
      <c r="S2777" s="98"/>
    </row>
    <row r="2778" spans="1:19" ht="42.75">
      <c r="A2778" s="90" t="s">
        <v>52</v>
      </c>
      <c r="B2778" s="91" t="s">
        <v>4231</v>
      </c>
      <c r="C2778" s="91" t="s">
        <v>1059</v>
      </c>
      <c r="D2778" s="90">
        <v>3615</v>
      </c>
      <c r="E2778" s="90">
        <v>4152</v>
      </c>
      <c r="F2778" s="90" t="s">
        <v>1454</v>
      </c>
      <c r="G2778" s="90"/>
      <c r="H2778" s="93"/>
      <c r="I2778" s="93"/>
      <c r="J2778" s="93"/>
      <c r="K2778" s="95"/>
      <c r="L2778" s="69"/>
      <c r="M2778" s="69"/>
      <c r="N2778" s="69"/>
      <c r="O2778" s="69"/>
      <c r="P2778" s="78"/>
      <c r="Q2778" s="96"/>
      <c r="R2778" s="97"/>
      <c r="S2778" s="98"/>
    </row>
    <row r="2779" spans="1:19" ht="42.75">
      <c r="A2779" s="90" t="s">
        <v>52</v>
      </c>
      <c r="B2779" s="91" t="s">
        <v>4231</v>
      </c>
      <c r="C2779" s="91" t="s">
        <v>1371</v>
      </c>
      <c r="D2779" s="90">
        <v>11891</v>
      </c>
      <c r="E2779" s="90">
        <v>16106</v>
      </c>
      <c r="F2779" s="90" t="s">
        <v>1454</v>
      </c>
      <c r="G2779" s="90"/>
      <c r="H2779" s="93"/>
      <c r="I2779" s="93"/>
      <c r="J2779" s="93"/>
      <c r="K2779" s="95"/>
      <c r="L2779" s="69"/>
      <c r="M2779" s="69"/>
      <c r="N2779" s="69"/>
      <c r="O2779" s="69"/>
      <c r="P2779" s="78"/>
      <c r="Q2779" s="96"/>
      <c r="R2779" s="97"/>
      <c r="S2779" s="98"/>
    </row>
    <row r="2780" spans="1:19" ht="42.75">
      <c r="A2780" s="90" t="s">
        <v>52</v>
      </c>
      <c r="B2780" s="91" t="s">
        <v>4231</v>
      </c>
      <c r="C2780" s="91" t="s">
        <v>4258</v>
      </c>
      <c r="D2780" s="90">
        <v>5252</v>
      </c>
      <c r="E2780" s="90">
        <v>5922</v>
      </c>
      <c r="F2780" s="90" t="s">
        <v>1454</v>
      </c>
      <c r="G2780" s="90"/>
      <c r="H2780" s="93"/>
      <c r="I2780" s="93"/>
      <c r="J2780" s="93"/>
      <c r="K2780" s="95"/>
      <c r="L2780" s="69"/>
      <c r="M2780" s="69"/>
      <c r="N2780" s="69"/>
      <c r="O2780" s="69"/>
      <c r="P2780" s="78"/>
      <c r="Q2780" s="96"/>
      <c r="R2780" s="97"/>
      <c r="S2780" s="98"/>
    </row>
    <row r="2781" spans="1:19" ht="42.75">
      <c r="A2781" s="90" t="s">
        <v>52</v>
      </c>
      <c r="B2781" s="91" t="s">
        <v>4231</v>
      </c>
      <c r="C2781" s="91" t="s">
        <v>1532</v>
      </c>
      <c r="D2781" s="90">
        <v>612</v>
      </c>
      <c r="E2781" s="90">
        <v>678</v>
      </c>
      <c r="F2781" s="90" t="s">
        <v>1454</v>
      </c>
      <c r="G2781" s="90"/>
      <c r="H2781" s="93"/>
      <c r="I2781" s="93"/>
      <c r="J2781" s="93"/>
      <c r="K2781" s="95"/>
      <c r="L2781" s="69"/>
      <c r="M2781" s="69"/>
      <c r="N2781" s="69"/>
      <c r="O2781" s="69"/>
      <c r="P2781" s="78"/>
      <c r="Q2781" s="96"/>
      <c r="R2781" s="97"/>
      <c r="S2781" s="98"/>
    </row>
    <row r="2782" spans="1:19" ht="42.75">
      <c r="A2782" s="90" t="s">
        <v>52</v>
      </c>
      <c r="B2782" s="91" t="s">
        <v>4231</v>
      </c>
      <c r="C2782" s="91" t="s">
        <v>4259</v>
      </c>
      <c r="D2782" s="90">
        <v>24140</v>
      </c>
      <c r="E2782" s="90">
        <v>24944</v>
      </c>
      <c r="F2782" s="90" t="s">
        <v>1454</v>
      </c>
      <c r="G2782" s="90"/>
      <c r="H2782" s="93"/>
      <c r="I2782" s="93"/>
      <c r="J2782" s="93"/>
      <c r="K2782" s="95"/>
      <c r="L2782" s="69"/>
      <c r="M2782" s="69"/>
      <c r="N2782" s="69"/>
      <c r="O2782" s="69"/>
      <c r="P2782" s="78"/>
      <c r="Q2782" s="96"/>
      <c r="R2782" s="97"/>
      <c r="S2782" s="98"/>
    </row>
    <row r="2783" spans="1:19" ht="42.75">
      <c r="A2783" s="90" t="s">
        <v>52</v>
      </c>
      <c r="B2783" s="91" t="s">
        <v>4231</v>
      </c>
      <c r="C2783" s="91" t="s">
        <v>4260</v>
      </c>
      <c r="D2783" s="90">
        <v>3439</v>
      </c>
      <c r="E2783" s="90">
        <v>3435</v>
      </c>
      <c r="F2783" s="90" t="s">
        <v>1454</v>
      </c>
      <c r="G2783" s="90"/>
      <c r="H2783" s="93"/>
      <c r="I2783" s="93"/>
      <c r="J2783" s="93"/>
      <c r="K2783" s="95"/>
      <c r="L2783" s="69"/>
      <c r="M2783" s="69"/>
      <c r="N2783" s="69"/>
      <c r="O2783" s="69"/>
      <c r="P2783" s="78"/>
      <c r="Q2783" s="96"/>
      <c r="R2783" s="97"/>
      <c r="S2783" s="98"/>
    </row>
    <row r="2784" spans="1:19" ht="42.75">
      <c r="A2784" s="90" t="s">
        <v>52</v>
      </c>
      <c r="B2784" s="91" t="s">
        <v>4231</v>
      </c>
      <c r="C2784" s="91" t="s">
        <v>926</v>
      </c>
      <c r="D2784" s="90">
        <v>313</v>
      </c>
      <c r="E2784" s="90">
        <v>329</v>
      </c>
      <c r="F2784" s="90" t="s">
        <v>1454</v>
      </c>
      <c r="G2784" s="90"/>
      <c r="H2784" s="93"/>
      <c r="I2784" s="93"/>
      <c r="J2784" s="93"/>
      <c r="K2784" s="95"/>
      <c r="L2784" s="69"/>
      <c r="M2784" s="69"/>
      <c r="N2784" s="69"/>
      <c r="O2784" s="69"/>
      <c r="P2784" s="78"/>
      <c r="Q2784" s="96"/>
      <c r="R2784" s="97"/>
      <c r="S2784" s="98"/>
    </row>
    <row r="2785" spans="1:19" ht="42.75">
      <c r="A2785" s="90" t="s">
        <v>52</v>
      </c>
      <c r="B2785" s="91" t="s">
        <v>4231</v>
      </c>
      <c r="C2785" s="91" t="s">
        <v>1998</v>
      </c>
      <c r="D2785" s="90">
        <v>1660</v>
      </c>
      <c r="E2785" s="90">
        <v>1703</v>
      </c>
      <c r="F2785" s="90" t="s">
        <v>1454</v>
      </c>
      <c r="G2785" s="90"/>
      <c r="H2785" s="93"/>
      <c r="I2785" s="93"/>
      <c r="J2785" s="93"/>
      <c r="K2785" s="95"/>
      <c r="L2785" s="69"/>
      <c r="M2785" s="69"/>
      <c r="N2785" s="69"/>
      <c r="O2785" s="69"/>
      <c r="P2785" s="78"/>
      <c r="Q2785" s="96"/>
      <c r="R2785" s="97"/>
      <c r="S2785" s="98"/>
    </row>
    <row r="2786" spans="1:19" ht="42.75">
      <c r="A2786" s="90" t="s">
        <v>52</v>
      </c>
      <c r="B2786" s="91" t="s">
        <v>4231</v>
      </c>
      <c r="C2786" s="91" t="s">
        <v>2276</v>
      </c>
      <c r="D2786" s="90">
        <v>2650</v>
      </c>
      <c r="E2786" s="90">
        <v>2880</v>
      </c>
      <c r="F2786" s="90" t="s">
        <v>1454</v>
      </c>
      <c r="G2786" s="90"/>
      <c r="H2786" s="93"/>
      <c r="I2786" s="93"/>
      <c r="J2786" s="93"/>
      <c r="K2786" s="95"/>
      <c r="L2786" s="69"/>
      <c r="M2786" s="69"/>
      <c r="N2786" s="69"/>
      <c r="O2786" s="69"/>
      <c r="P2786" s="78"/>
      <c r="Q2786" s="96"/>
      <c r="R2786" s="97"/>
      <c r="S2786" s="98"/>
    </row>
    <row r="2787" spans="1:19" ht="42.75">
      <c r="A2787" s="90" t="s">
        <v>52</v>
      </c>
      <c r="B2787" s="91" t="s">
        <v>4231</v>
      </c>
      <c r="C2787" s="91" t="s">
        <v>520</v>
      </c>
      <c r="D2787" s="90">
        <v>12555</v>
      </c>
      <c r="E2787" s="90">
        <v>14614</v>
      </c>
      <c r="F2787" s="90" t="s">
        <v>1434</v>
      </c>
      <c r="G2787" s="90">
        <v>2024</v>
      </c>
      <c r="H2787" s="101">
        <v>45545</v>
      </c>
      <c r="I2787" s="101">
        <v>45552</v>
      </c>
      <c r="J2787" s="94" t="s">
        <v>4261</v>
      </c>
      <c r="K2787" s="100">
        <v>45552</v>
      </c>
      <c r="L2787" s="69" t="s">
        <v>82</v>
      </c>
      <c r="M2787" s="69" t="s">
        <v>4</v>
      </c>
      <c r="N2787" s="69" t="s">
        <v>101</v>
      </c>
      <c r="O2787" s="69" t="s">
        <v>1436</v>
      </c>
      <c r="P2787" s="78"/>
      <c r="Q2787" s="96">
        <v>45553</v>
      </c>
      <c r="R2787" s="97" t="s">
        <v>2415</v>
      </c>
      <c r="S2787" s="98"/>
    </row>
    <row r="2788" spans="1:19" ht="42.75">
      <c r="A2788" s="90" t="s">
        <v>52</v>
      </c>
      <c r="B2788" s="91" t="s">
        <v>4231</v>
      </c>
      <c r="C2788" s="91" t="s">
        <v>427</v>
      </c>
      <c r="D2788" s="90">
        <v>6974</v>
      </c>
      <c r="E2788" s="90">
        <v>9606</v>
      </c>
      <c r="F2788" s="90" t="s">
        <v>1434</v>
      </c>
      <c r="G2788" s="90">
        <v>2024</v>
      </c>
      <c r="H2788" s="101">
        <v>45575</v>
      </c>
      <c r="I2788" s="101">
        <v>45576</v>
      </c>
      <c r="J2788" s="94" t="s">
        <v>4262</v>
      </c>
      <c r="K2788" s="100">
        <v>45582</v>
      </c>
      <c r="L2788" s="69" t="s">
        <v>83</v>
      </c>
      <c r="M2788" s="69" t="s">
        <v>4</v>
      </c>
      <c r="N2788" s="69" t="s">
        <v>101</v>
      </c>
      <c r="O2788" s="69" t="s">
        <v>1436</v>
      </c>
      <c r="P2788" s="78"/>
      <c r="Q2788" s="96">
        <v>45580</v>
      </c>
      <c r="R2788" s="97" t="s">
        <v>929</v>
      </c>
      <c r="S2788" s="98"/>
    </row>
    <row r="2789" spans="1:19" ht="42.75">
      <c r="A2789" s="90" t="s">
        <v>52</v>
      </c>
      <c r="B2789" s="91" t="s">
        <v>4231</v>
      </c>
      <c r="C2789" s="91" t="s">
        <v>4263</v>
      </c>
      <c r="D2789" s="90">
        <v>1996</v>
      </c>
      <c r="E2789" s="90">
        <v>2441</v>
      </c>
      <c r="F2789" s="90" t="s">
        <v>1454</v>
      </c>
      <c r="G2789" s="90"/>
      <c r="H2789" s="93"/>
      <c r="I2789" s="93"/>
      <c r="J2789" s="93"/>
      <c r="K2789" s="95"/>
      <c r="L2789" s="69"/>
      <c r="M2789" s="69"/>
      <c r="N2789" s="69"/>
      <c r="O2789" s="69"/>
      <c r="P2789" s="78"/>
      <c r="Q2789" s="96"/>
      <c r="R2789" s="97"/>
      <c r="S2789" s="98"/>
    </row>
    <row r="2790" spans="1:19" ht="42.75">
      <c r="A2790" s="90" t="s">
        <v>52</v>
      </c>
      <c r="B2790" s="91" t="s">
        <v>4231</v>
      </c>
      <c r="C2790" s="91" t="s">
        <v>4264</v>
      </c>
      <c r="D2790" s="90">
        <v>3890</v>
      </c>
      <c r="E2790" s="90">
        <v>4412</v>
      </c>
      <c r="F2790" s="90" t="s">
        <v>1434</v>
      </c>
      <c r="G2790" s="90">
        <v>2024</v>
      </c>
      <c r="H2790" s="101">
        <v>45478</v>
      </c>
      <c r="I2790" s="101">
        <v>45478</v>
      </c>
      <c r="J2790" s="94" t="s">
        <v>4265</v>
      </c>
      <c r="K2790" s="100">
        <v>45488</v>
      </c>
      <c r="L2790" s="69" t="s">
        <v>80</v>
      </c>
      <c r="M2790" s="69" t="s">
        <v>672</v>
      </c>
      <c r="N2790" s="69" t="s">
        <v>101</v>
      </c>
      <c r="O2790" s="69" t="s">
        <v>1436</v>
      </c>
      <c r="P2790" s="78"/>
      <c r="Q2790" s="96">
        <v>45489</v>
      </c>
      <c r="R2790" s="97"/>
      <c r="S2790" s="98"/>
    </row>
    <row r="2791" spans="1:19" ht="42.75">
      <c r="A2791" s="90" t="s">
        <v>52</v>
      </c>
      <c r="B2791" s="91" t="s">
        <v>4231</v>
      </c>
      <c r="C2791" s="91" t="s">
        <v>418</v>
      </c>
      <c r="D2791" s="90">
        <v>3144</v>
      </c>
      <c r="E2791" s="90">
        <v>3383</v>
      </c>
      <c r="F2791" s="90" t="s">
        <v>1454</v>
      </c>
      <c r="G2791" s="90"/>
      <c r="H2791" s="93"/>
      <c r="I2791" s="93"/>
      <c r="J2791" s="93"/>
      <c r="K2791" s="95"/>
      <c r="L2791" s="69"/>
      <c r="M2791" s="69"/>
      <c r="N2791" s="69"/>
      <c r="O2791" s="69"/>
      <c r="P2791" s="78"/>
      <c r="Q2791" s="96"/>
      <c r="R2791" s="97"/>
      <c r="S2791" s="98"/>
    </row>
    <row r="2792" spans="1:19" ht="42.75">
      <c r="A2792" s="90" t="s">
        <v>52</v>
      </c>
      <c r="B2792" s="91" t="s">
        <v>4231</v>
      </c>
      <c r="C2792" s="91" t="s">
        <v>357</v>
      </c>
      <c r="D2792" s="90">
        <v>6344</v>
      </c>
      <c r="E2792" s="90">
        <v>7930</v>
      </c>
      <c r="F2792" s="90" t="s">
        <v>1454</v>
      </c>
      <c r="G2792" s="90"/>
      <c r="H2792" s="93"/>
      <c r="I2792" s="93"/>
      <c r="J2792" s="93"/>
      <c r="K2792" s="95"/>
      <c r="L2792" s="69"/>
      <c r="M2792" s="69"/>
      <c r="N2792" s="69"/>
      <c r="O2792" s="69"/>
      <c r="P2792" s="78"/>
      <c r="Q2792" s="96"/>
      <c r="R2792" s="97"/>
      <c r="S2792" s="98"/>
    </row>
    <row r="2793" spans="1:19" ht="42.75">
      <c r="A2793" s="90" t="s">
        <v>52</v>
      </c>
      <c r="B2793" s="91" t="s">
        <v>4231</v>
      </c>
      <c r="C2793" s="91" t="s">
        <v>440</v>
      </c>
      <c r="D2793" s="90">
        <v>8620</v>
      </c>
      <c r="E2793" s="90">
        <v>8515</v>
      </c>
      <c r="F2793" s="90" t="s">
        <v>1454</v>
      </c>
      <c r="G2793" s="90"/>
      <c r="H2793" s="93"/>
      <c r="I2793" s="93"/>
      <c r="J2793" s="93"/>
      <c r="K2793" s="95"/>
      <c r="L2793" s="69"/>
      <c r="M2793" s="69"/>
      <c r="N2793" s="69"/>
      <c r="O2793" s="69"/>
      <c r="P2793" s="78"/>
      <c r="Q2793" s="96"/>
      <c r="R2793" s="97"/>
      <c r="S2793" s="98"/>
    </row>
    <row r="2794" spans="1:19" ht="42.75">
      <c r="A2794" s="90" t="s">
        <v>52</v>
      </c>
      <c r="B2794" s="91" t="s">
        <v>4231</v>
      </c>
      <c r="C2794" s="91" t="s">
        <v>717</v>
      </c>
      <c r="D2794" s="90">
        <v>7103</v>
      </c>
      <c r="E2794" s="90">
        <v>6807</v>
      </c>
      <c r="F2794" s="90" t="s">
        <v>1454</v>
      </c>
      <c r="G2794" s="90"/>
      <c r="H2794" s="93"/>
      <c r="I2794" s="93"/>
      <c r="J2794" s="93"/>
      <c r="K2794" s="95"/>
      <c r="L2794" s="69"/>
      <c r="M2794" s="69"/>
      <c r="N2794" s="69"/>
      <c r="O2794" s="69"/>
      <c r="P2794" s="78"/>
      <c r="Q2794" s="96"/>
      <c r="R2794" s="97"/>
      <c r="S2794" s="98"/>
    </row>
    <row r="2795" spans="1:19" ht="42.75">
      <c r="A2795" s="90" t="s">
        <v>52</v>
      </c>
      <c r="B2795" s="91" t="s">
        <v>4231</v>
      </c>
      <c r="C2795" s="91" t="s">
        <v>1873</v>
      </c>
      <c r="D2795" s="90">
        <v>4582</v>
      </c>
      <c r="E2795" s="90">
        <v>4792</v>
      </c>
      <c r="F2795" s="90" t="s">
        <v>1454</v>
      </c>
      <c r="G2795" s="90"/>
      <c r="H2795" s="93"/>
      <c r="I2795" s="93"/>
      <c r="J2795" s="93"/>
      <c r="K2795" s="95"/>
      <c r="L2795" s="69"/>
      <c r="M2795" s="69"/>
      <c r="N2795" s="69"/>
      <c r="O2795" s="69"/>
      <c r="P2795" s="78"/>
      <c r="Q2795" s="96"/>
      <c r="R2795" s="97"/>
      <c r="S2795" s="98"/>
    </row>
    <row r="2796" spans="1:19" ht="42.75">
      <c r="A2796" s="90" t="s">
        <v>52</v>
      </c>
      <c r="B2796" s="91" t="s">
        <v>4231</v>
      </c>
      <c r="C2796" s="91" t="s">
        <v>694</v>
      </c>
      <c r="D2796" s="90">
        <v>3080</v>
      </c>
      <c r="E2796" s="90">
        <v>3568</v>
      </c>
      <c r="F2796" s="90" t="s">
        <v>1454</v>
      </c>
      <c r="G2796" s="90"/>
      <c r="H2796" s="93"/>
      <c r="I2796" s="93"/>
      <c r="J2796" s="93"/>
      <c r="K2796" s="95"/>
      <c r="L2796" s="69"/>
      <c r="M2796" s="69"/>
      <c r="N2796" s="69"/>
      <c r="O2796" s="69"/>
      <c r="P2796" s="78"/>
      <c r="Q2796" s="96"/>
      <c r="R2796" s="97"/>
      <c r="S2796" s="98"/>
    </row>
    <row r="2797" spans="1:19" ht="42.75">
      <c r="A2797" s="90" t="s">
        <v>52</v>
      </c>
      <c r="B2797" s="91" t="s">
        <v>4231</v>
      </c>
      <c r="C2797" s="91" t="s">
        <v>378</v>
      </c>
      <c r="D2797" s="90">
        <v>14341</v>
      </c>
      <c r="E2797" s="90">
        <v>20999</v>
      </c>
      <c r="F2797" s="90" t="s">
        <v>1454</v>
      </c>
      <c r="G2797" s="90"/>
      <c r="H2797" s="93"/>
      <c r="I2797" s="93"/>
      <c r="J2797" s="93"/>
      <c r="K2797" s="95"/>
      <c r="L2797" s="69"/>
      <c r="M2797" s="69"/>
      <c r="N2797" s="69"/>
      <c r="O2797" s="69"/>
      <c r="P2797" s="78"/>
      <c r="Q2797" s="96"/>
      <c r="R2797" s="97"/>
      <c r="S2797" s="98"/>
    </row>
    <row r="2798" spans="1:19" ht="42.75">
      <c r="A2798" s="90" t="s">
        <v>52</v>
      </c>
      <c r="B2798" s="91" t="s">
        <v>4231</v>
      </c>
      <c r="C2798" s="91" t="s">
        <v>2234</v>
      </c>
      <c r="D2798" s="90">
        <v>6514</v>
      </c>
      <c r="E2798" s="90">
        <v>6008</v>
      </c>
      <c r="F2798" s="90" t="s">
        <v>1454</v>
      </c>
      <c r="G2798" s="90"/>
      <c r="H2798" s="93"/>
      <c r="I2798" s="93"/>
      <c r="J2798" s="93"/>
      <c r="K2798" s="95"/>
      <c r="L2798" s="69"/>
      <c r="M2798" s="69"/>
      <c r="N2798" s="69"/>
      <c r="O2798" s="69"/>
      <c r="P2798" s="78"/>
      <c r="Q2798" s="96"/>
      <c r="R2798" s="97"/>
      <c r="S2798" s="98"/>
    </row>
    <row r="2799" spans="1:19" ht="42.75">
      <c r="A2799" s="90" t="s">
        <v>52</v>
      </c>
      <c r="B2799" s="91" t="s">
        <v>4231</v>
      </c>
      <c r="C2799" s="91" t="s">
        <v>2344</v>
      </c>
      <c r="D2799" s="90">
        <v>3654</v>
      </c>
      <c r="E2799" s="90">
        <v>4231</v>
      </c>
      <c r="F2799" s="90" t="s">
        <v>1454</v>
      </c>
      <c r="G2799" s="90"/>
      <c r="H2799" s="93"/>
      <c r="I2799" s="93"/>
      <c r="J2799" s="93"/>
      <c r="K2799" s="95"/>
      <c r="L2799" s="69"/>
      <c r="M2799" s="69"/>
      <c r="N2799" s="69"/>
      <c r="O2799" s="69"/>
      <c r="P2799" s="78"/>
      <c r="Q2799" s="96"/>
      <c r="R2799" s="97"/>
      <c r="S2799" s="98"/>
    </row>
    <row r="2800" spans="1:19" ht="42.75">
      <c r="A2800" s="90" t="s">
        <v>52</v>
      </c>
      <c r="B2800" s="91" t="s">
        <v>4231</v>
      </c>
      <c r="C2800" s="91" t="s">
        <v>653</v>
      </c>
      <c r="D2800" s="90">
        <v>19040</v>
      </c>
      <c r="E2800" s="90">
        <v>18105</v>
      </c>
      <c r="F2800" s="90" t="s">
        <v>1454</v>
      </c>
      <c r="G2800" s="90"/>
      <c r="H2800" s="93"/>
      <c r="I2800" s="93"/>
      <c r="J2800" s="93"/>
      <c r="K2800" s="95"/>
      <c r="L2800" s="69"/>
      <c r="M2800" s="69"/>
      <c r="N2800" s="69"/>
      <c r="O2800" s="69"/>
      <c r="P2800" s="78"/>
      <c r="Q2800" s="96"/>
      <c r="R2800" s="97"/>
      <c r="S2800" s="98"/>
    </row>
    <row r="2801" spans="1:19" ht="42.75">
      <c r="A2801" s="90" t="s">
        <v>52</v>
      </c>
      <c r="B2801" s="91" t="s">
        <v>4231</v>
      </c>
      <c r="C2801" s="91" t="s">
        <v>554</v>
      </c>
      <c r="D2801" s="90">
        <v>3918</v>
      </c>
      <c r="E2801" s="90">
        <v>4265</v>
      </c>
      <c r="F2801" s="90" t="s">
        <v>1454</v>
      </c>
      <c r="G2801" s="90"/>
      <c r="H2801" s="93"/>
      <c r="I2801" s="93"/>
      <c r="J2801" s="93"/>
      <c r="K2801" s="95"/>
      <c r="L2801" s="69"/>
      <c r="M2801" s="69"/>
      <c r="N2801" s="69"/>
      <c r="O2801" s="69"/>
      <c r="P2801" s="78"/>
      <c r="Q2801" s="96"/>
      <c r="R2801" s="97"/>
      <c r="S2801" s="98"/>
    </row>
    <row r="2802" spans="1:19" ht="42.75">
      <c r="A2802" s="90" t="s">
        <v>52</v>
      </c>
      <c r="B2802" s="91" t="s">
        <v>4231</v>
      </c>
      <c r="C2802" s="91" t="s">
        <v>380</v>
      </c>
      <c r="D2802" s="90">
        <v>1254</v>
      </c>
      <c r="E2802" s="90">
        <v>1256</v>
      </c>
      <c r="F2802" s="90" t="s">
        <v>1454</v>
      </c>
      <c r="G2802" s="90"/>
      <c r="H2802" s="93"/>
      <c r="I2802" s="93"/>
      <c r="J2802" s="93"/>
      <c r="K2802" s="95"/>
      <c r="L2802" s="69"/>
      <c r="M2802" s="69"/>
      <c r="N2802" s="69"/>
      <c r="O2802" s="69"/>
      <c r="P2802" s="78"/>
      <c r="Q2802" s="96"/>
      <c r="R2802" s="97"/>
      <c r="S2802" s="98"/>
    </row>
    <row r="2803" spans="1:19" ht="42.75">
      <c r="A2803" s="90" t="s">
        <v>52</v>
      </c>
      <c r="B2803" s="91" t="s">
        <v>4231</v>
      </c>
      <c r="C2803" s="91" t="s">
        <v>2236</v>
      </c>
      <c r="D2803" s="90">
        <v>2983</v>
      </c>
      <c r="E2803" s="90">
        <v>2888</v>
      </c>
      <c r="F2803" s="90" t="s">
        <v>1454</v>
      </c>
      <c r="G2803" s="90"/>
      <c r="H2803" s="93"/>
      <c r="I2803" s="93"/>
      <c r="J2803" s="93"/>
      <c r="K2803" s="95"/>
      <c r="L2803" s="69"/>
      <c r="M2803" s="69"/>
      <c r="N2803" s="69"/>
      <c r="O2803" s="69"/>
      <c r="P2803" s="78"/>
      <c r="Q2803" s="96"/>
      <c r="R2803" s="97"/>
      <c r="S2803" s="98"/>
    </row>
    <row r="2804" spans="1:19" ht="42.75">
      <c r="A2804" s="90" t="s">
        <v>52</v>
      </c>
      <c r="B2804" s="91" t="s">
        <v>4231</v>
      </c>
      <c r="C2804" s="91" t="s">
        <v>526</v>
      </c>
      <c r="D2804" s="90">
        <v>1156</v>
      </c>
      <c r="E2804" s="90">
        <v>1319</v>
      </c>
      <c r="F2804" s="90" t="s">
        <v>1454</v>
      </c>
      <c r="G2804" s="90"/>
      <c r="H2804" s="93"/>
      <c r="I2804" s="93"/>
      <c r="J2804" s="93"/>
      <c r="K2804" s="95"/>
      <c r="L2804" s="69"/>
      <c r="M2804" s="69"/>
      <c r="N2804" s="69"/>
      <c r="O2804" s="69"/>
      <c r="P2804" s="78"/>
      <c r="Q2804" s="96"/>
      <c r="R2804" s="97"/>
      <c r="S2804" s="98"/>
    </row>
    <row r="2805" spans="1:19" ht="42.75">
      <c r="A2805" s="90" t="s">
        <v>52</v>
      </c>
      <c r="B2805" s="91" t="s">
        <v>4231</v>
      </c>
      <c r="C2805" s="91" t="s">
        <v>1879</v>
      </c>
      <c r="D2805" s="90">
        <v>653</v>
      </c>
      <c r="E2805" s="90">
        <v>720</v>
      </c>
      <c r="F2805" s="90" t="s">
        <v>1454</v>
      </c>
      <c r="G2805" s="90"/>
      <c r="H2805" s="93"/>
      <c r="I2805" s="93"/>
      <c r="J2805" s="93"/>
      <c r="K2805" s="95"/>
      <c r="L2805" s="69"/>
      <c r="M2805" s="69"/>
      <c r="N2805" s="69"/>
      <c r="O2805" s="69"/>
      <c r="P2805" s="78"/>
      <c r="Q2805" s="96"/>
      <c r="R2805" s="97"/>
      <c r="S2805" s="98"/>
    </row>
    <row r="2806" spans="1:19" ht="42.75">
      <c r="A2806" s="90" t="s">
        <v>52</v>
      </c>
      <c r="B2806" s="91" t="s">
        <v>4231</v>
      </c>
      <c r="C2806" s="91" t="s">
        <v>4266</v>
      </c>
      <c r="D2806" s="90">
        <v>10682</v>
      </c>
      <c r="E2806" s="90">
        <v>12307</v>
      </c>
      <c r="F2806" s="90" t="s">
        <v>1454</v>
      </c>
      <c r="G2806" s="90"/>
      <c r="H2806" s="93"/>
      <c r="I2806" s="93"/>
      <c r="J2806" s="93"/>
      <c r="K2806" s="95"/>
      <c r="L2806" s="69"/>
      <c r="M2806" s="69"/>
      <c r="N2806" s="69"/>
      <c r="O2806" s="69"/>
      <c r="P2806" s="78"/>
      <c r="Q2806" s="96"/>
      <c r="R2806" s="97"/>
      <c r="S2806" s="98"/>
    </row>
    <row r="2807" spans="1:19" ht="42.75">
      <c r="A2807" s="90" t="s">
        <v>52</v>
      </c>
      <c r="B2807" s="91" t="s">
        <v>4231</v>
      </c>
      <c r="C2807" s="91" t="s">
        <v>4267</v>
      </c>
      <c r="D2807" s="90">
        <v>5550</v>
      </c>
      <c r="E2807" s="90">
        <v>5226</v>
      </c>
      <c r="F2807" s="90" t="s">
        <v>1454</v>
      </c>
      <c r="G2807" s="90"/>
      <c r="H2807" s="93"/>
      <c r="I2807" s="93"/>
      <c r="J2807" s="93"/>
      <c r="K2807" s="95"/>
      <c r="L2807" s="69"/>
      <c r="M2807" s="69"/>
      <c r="N2807" s="69"/>
      <c r="O2807" s="69"/>
      <c r="P2807" s="78"/>
      <c r="Q2807" s="96"/>
      <c r="R2807" s="97"/>
      <c r="S2807" s="98"/>
    </row>
    <row r="2808" spans="1:19" ht="42.75">
      <c r="A2808" s="90" t="s">
        <v>52</v>
      </c>
      <c r="B2808" s="91" t="s">
        <v>4231</v>
      </c>
      <c r="C2808" s="91" t="s">
        <v>4268</v>
      </c>
      <c r="D2808" s="90">
        <v>4817</v>
      </c>
      <c r="E2808" s="90">
        <v>4817</v>
      </c>
      <c r="F2808" s="90" t="s">
        <v>1454</v>
      </c>
      <c r="G2808" s="90"/>
      <c r="H2808" s="93"/>
      <c r="I2808" s="93"/>
      <c r="J2808" s="93"/>
      <c r="K2808" s="95"/>
      <c r="L2808" s="69"/>
      <c r="M2808" s="69"/>
      <c r="N2808" s="69"/>
      <c r="O2808" s="69"/>
      <c r="P2808" s="78"/>
      <c r="Q2808" s="96"/>
      <c r="R2808" s="97"/>
      <c r="S2808" s="98"/>
    </row>
    <row r="2809" spans="1:19" ht="42.75">
      <c r="A2809" s="90" t="s">
        <v>52</v>
      </c>
      <c r="B2809" s="91" t="s">
        <v>4231</v>
      </c>
      <c r="C2809" s="91" t="s">
        <v>4269</v>
      </c>
      <c r="D2809" s="90">
        <v>2234</v>
      </c>
      <c r="E2809" s="90">
        <v>2533</v>
      </c>
      <c r="F2809" s="90" t="s">
        <v>1454</v>
      </c>
      <c r="G2809" s="90"/>
      <c r="H2809" s="93"/>
      <c r="I2809" s="93"/>
      <c r="J2809" s="93"/>
      <c r="K2809" s="95"/>
      <c r="L2809" s="69"/>
      <c r="M2809" s="69"/>
      <c r="N2809" s="69"/>
      <c r="O2809" s="69"/>
      <c r="P2809" s="78"/>
      <c r="Q2809" s="96"/>
      <c r="R2809" s="97"/>
      <c r="S2809" s="98"/>
    </row>
    <row r="2810" spans="1:19" ht="42.75">
      <c r="A2810" s="90" t="s">
        <v>52</v>
      </c>
      <c r="B2810" s="91" t="s">
        <v>4231</v>
      </c>
      <c r="C2810" s="91" t="s">
        <v>4270</v>
      </c>
      <c r="D2810" s="90">
        <v>4276</v>
      </c>
      <c r="E2810" s="90">
        <v>3967</v>
      </c>
      <c r="F2810" s="90" t="s">
        <v>1454</v>
      </c>
      <c r="G2810" s="90"/>
      <c r="H2810" s="93"/>
      <c r="I2810" s="93"/>
      <c r="J2810" s="93"/>
      <c r="K2810" s="95"/>
      <c r="L2810" s="69"/>
      <c r="M2810" s="69"/>
      <c r="N2810" s="69"/>
      <c r="O2810" s="69"/>
      <c r="P2810" s="78"/>
      <c r="Q2810" s="96"/>
      <c r="R2810" s="97"/>
      <c r="S2810" s="98"/>
    </row>
    <row r="2811" spans="1:19" ht="42.75">
      <c r="A2811" s="90" t="s">
        <v>52</v>
      </c>
      <c r="B2811" s="91" t="s">
        <v>4231</v>
      </c>
      <c r="C2811" s="91" t="s">
        <v>4271</v>
      </c>
      <c r="D2811" s="90">
        <v>2723</v>
      </c>
      <c r="E2811" s="90">
        <v>3076</v>
      </c>
      <c r="F2811" s="90" t="s">
        <v>1454</v>
      </c>
      <c r="G2811" s="90"/>
      <c r="H2811" s="93"/>
      <c r="I2811" s="93"/>
      <c r="J2811" s="93"/>
      <c r="K2811" s="95"/>
      <c r="L2811" s="69"/>
      <c r="M2811" s="69"/>
      <c r="N2811" s="69"/>
      <c r="O2811" s="69"/>
      <c r="P2811" s="78"/>
      <c r="Q2811" s="96"/>
      <c r="R2811" s="97"/>
      <c r="S2811" s="98"/>
    </row>
    <row r="2812" spans="1:19" ht="42.75">
      <c r="A2812" s="90" t="s">
        <v>52</v>
      </c>
      <c r="B2812" s="91" t="s">
        <v>4231</v>
      </c>
      <c r="C2812" s="91" t="s">
        <v>664</v>
      </c>
      <c r="D2812" s="90">
        <v>16328</v>
      </c>
      <c r="E2812" s="90">
        <v>17800</v>
      </c>
      <c r="F2812" s="90" t="s">
        <v>1454</v>
      </c>
      <c r="G2812" s="90"/>
      <c r="H2812" s="93"/>
      <c r="I2812" s="93"/>
      <c r="J2812" s="93"/>
      <c r="K2812" s="95"/>
      <c r="L2812" s="69"/>
      <c r="M2812" s="69"/>
      <c r="N2812" s="69"/>
      <c r="O2812" s="69"/>
      <c r="P2812" s="78"/>
      <c r="Q2812" s="96"/>
      <c r="R2812" s="97"/>
      <c r="S2812" s="98"/>
    </row>
    <row r="2813" spans="1:19" ht="42.75">
      <c r="A2813" s="90" t="s">
        <v>52</v>
      </c>
      <c r="B2813" s="91" t="s">
        <v>4231</v>
      </c>
      <c r="C2813" s="91" t="s">
        <v>2300</v>
      </c>
      <c r="D2813" s="90">
        <v>5459</v>
      </c>
      <c r="E2813" s="90">
        <v>6486</v>
      </c>
      <c r="F2813" s="90" t="s">
        <v>1454</v>
      </c>
      <c r="G2813" s="90"/>
      <c r="H2813" s="93"/>
      <c r="I2813" s="93"/>
      <c r="J2813" s="93"/>
      <c r="K2813" s="95"/>
      <c r="L2813" s="69"/>
      <c r="M2813" s="69"/>
      <c r="N2813" s="69"/>
      <c r="O2813" s="69"/>
      <c r="P2813" s="78"/>
      <c r="Q2813" s="96"/>
      <c r="R2813" s="97"/>
      <c r="S2813" s="98"/>
    </row>
    <row r="2814" spans="1:19" ht="42.75">
      <c r="A2814" s="90" t="s">
        <v>52</v>
      </c>
      <c r="B2814" s="91" t="s">
        <v>4231</v>
      </c>
      <c r="C2814" s="91" t="s">
        <v>4272</v>
      </c>
      <c r="D2814" s="90">
        <v>1516</v>
      </c>
      <c r="E2814" s="90">
        <v>2095</v>
      </c>
      <c r="F2814" s="90" t="s">
        <v>1454</v>
      </c>
      <c r="G2814" s="90"/>
      <c r="H2814" s="93"/>
      <c r="I2814" s="93"/>
      <c r="J2814" s="93"/>
      <c r="K2814" s="95"/>
      <c r="L2814" s="69"/>
      <c r="M2814" s="69"/>
      <c r="N2814" s="69"/>
      <c r="O2814" s="69"/>
      <c r="P2814" s="78"/>
      <c r="Q2814" s="96"/>
      <c r="R2814" s="97"/>
      <c r="S2814" s="98"/>
    </row>
    <row r="2815" spans="1:19" ht="42.75">
      <c r="A2815" s="90" t="s">
        <v>52</v>
      </c>
      <c r="B2815" s="91" t="s">
        <v>4231</v>
      </c>
      <c r="C2815" s="91" t="s">
        <v>4273</v>
      </c>
      <c r="D2815" s="90">
        <v>3343</v>
      </c>
      <c r="E2815" s="90">
        <v>4006</v>
      </c>
      <c r="F2815" s="90" t="s">
        <v>1454</v>
      </c>
      <c r="G2815" s="90"/>
      <c r="H2815" s="93"/>
      <c r="I2815" s="93"/>
      <c r="J2815" s="93"/>
      <c r="K2815" s="95"/>
      <c r="L2815" s="69"/>
      <c r="M2815" s="69"/>
      <c r="N2815" s="69"/>
      <c r="O2815" s="69"/>
      <c r="P2815" s="78"/>
      <c r="Q2815" s="96"/>
      <c r="R2815" s="97"/>
      <c r="S2815" s="98"/>
    </row>
    <row r="2816" spans="1:19" ht="42.75">
      <c r="A2816" s="90" t="s">
        <v>52</v>
      </c>
      <c r="B2816" s="91" t="s">
        <v>4231</v>
      </c>
      <c r="C2816" s="91" t="s">
        <v>4274</v>
      </c>
      <c r="D2816" s="90">
        <v>2330</v>
      </c>
      <c r="E2816" s="90">
        <v>2184</v>
      </c>
      <c r="F2816" s="90" t="s">
        <v>1454</v>
      </c>
      <c r="G2816" s="90"/>
      <c r="H2816" s="93"/>
      <c r="I2816" s="93"/>
      <c r="J2816" s="93"/>
      <c r="K2816" s="95"/>
      <c r="L2816" s="69"/>
      <c r="M2816" s="69"/>
      <c r="N2816" s="69"/>
      <c r="O2816" s="69"/>
      <c r="P2816" s="78"/>
      <c r="Q2816" s="96"/>
      <c r="R2816" s="97"/>
      <c r="S2816" s="98"/>
    </row>
    <row r="2817" spans="1:19" ht="42.75">
      <c r="A2817" s="90" t="s">
        <v>52</v>
      </c>
      <c r="B2817" s="91" t="s">
        <v>4231</v>
      </c>
      <c r="C2817" s="91" t="s">
        <v>2691</v>
      </c>
      <c r="D2817" s="90">
        <v>1740</v>
      </c>
      <c r="E2817" s="90">
        <v>2015</v>
      </c>
      <c r="F2817" s="90" t="s">
        <v>1454</v>
      </c>
      <c r="G2817" s="90"/>
      <c r="H2817" s="93"/>
      <c r="I2817" s="93"/>
      <c r="J2817" s="93"/>
      <c r="K2817" s="95"/>
      <c r="L2817" s="69"/>
      <c r="M2817" s="69"/>
      <c r="N2817" s="69"/>
      <c r="O2817" s="69"/>
      <c r="P2817" s="78"/>
      <c r="Q2817" s="96"/>
      <c r="R2817" s="97"/>
      <c r="S2817" s="98"/>
    </row>
    <row r="2818" spans="1:19" ht="42.75">
      <c r="A2818" s="90" t="s">
        <v>52</v>
      </c>
      <c r="B2818" s="91" t="s">
        <v>4231</v>
      </c>
      <c r="C2818" s="91" t="s">
        <v>4275</v>
      </c>
      <c r="D2818" s="90">
        <v>2123</v>
      </c>
      <c r="E2818" s="90">
        <v>2447</v>
      </c>
      <c r="F2818" s="90" t="s">
        <v>1454</v>
      </c>
      <c r="G2818" s="90"/>
      <c r="H2818" s="93"/>
      <c r="I2818" s="93"/>
      <c r="J2818" s="93"/>
      <c r="K2818" s="95"/>
      <c r="L2818" s="69"/>
      <c r="M2818" s="69"/>
      <c r="N2818" s="69"/>
      <c r="O2818" s="69"/>
      <c r="P2818" s="78"/>
      <c r="Q2818" s="96"/>
      <c r="R2818" s="97"/>
      <c r="S2818" s="98"/>
    </row>
    <row r="2819" spans="1:19" ht="42.75">
      <c r="A2819" s="90" t="s">
        <v>52</v>
      </c>
      <c r="B2819" s="91" t="s">
        <v>4231</v>
      </c>
      <c r="C2819" s="91" t="s">
        <v>4276</v>
      </c>
      <c r="D2819" s="90">
        <v>4465</v>
      </c>
      <c r="E2819" s="90">
        <v>5126</v>
      </c>
      <c r="F2819" s="90" t="s">
        <v>1454</v>
      </c>
      <c r="G2819" s="90"/>
      <c r="H2819" s="93"/>
      <c r="I2819" s="93"/>
      <c r="J2819" s="93"/>
      <c r="K2819" s="95"/>
      <c r="L2819" s="69"/>
      <c r="M2819" s="69"/>
      <c r="N2819" s="69"/>
      <c r="O2819" s="69"/>
      <c r="P2819" s="78"/>
      <c r="Q2819" s="96"/>
      <c r="R2819" s="97"/>
      <c r="S2819" s="98"/>
    </row>
    <row r="2820" spans="1:19" ht="42.75">
      <c r="A2820" s="90" t="s">
        <v>52</v>
      </c>
      <c r="B2820" s="91" t="s">
        <v>360</v>
      </c>
      <c r="C2820" s="91" t="s">
        <v>4277</v>
      </c>
      <c r="D2820" s="90">
        <v>4087</v>
      </c>
      <c r="E2820" s="90">
        <v>4325</v>
      </c>
      <c r="F2820" s="90" t="s">
        <v>1454</v>
      </c>
      <c r="G2820" s="90"/>
      <c r="H2820" s="93"/>
      <c r="I2820" s="93"/>
      <c r="J2820" s="93"/>
      <c r="K2820" s="95"/>
      <c r="L2820" s="69"/>
      <c r="M2820" s="69"/>
      <c r="N2820" s="69"/>
      <c r="O2820" s="69"/>
      <c r="P2820" s="78"/>
      <c r="Q2820" s="96"/>
      <c r="R2820" s="97"/>
      <c r="S2820" s="98"/>
    </row>
    <row r="2821" spans="1:19" ht="42.75">
      <c r="A2821" s="90" t="s">
        <v>52</v>
      </c>
      <c r="B2821" s="91" t="s">
        <v>360</v>
      </c>
      <c r="C2821" s="91" t="s">
        <v>4278</v>
      </c>
      <c r="D2821" s="90">
        <v>3257</v>
      </c>
      <c r="E2821" s="90">
        <v>3713</v>
      </c>
      <c r="F2821" s="90" t="s">
        <v>1434</v>
      </c>
      <c r="G2821" s="90">
        <v>2024</v>
      </c>
      <c r="H2821" s="101">
        <v>45566</v>
      </c>
      <c r="I2821" s="101">
        <v>45567</v>
      </c>
      <c r="J2821" s="94" t="s">
        <v>4279</v>
      </c>
      <c r="K2821" s="100">
        <v>45574</v>
      </c>
      <c r="L2821" s="69" t="s">
        <v>83</v>
      </c>
      <c r="M2821" s="69" t="s">
        <v>672</v>
      </c>
      <c r="N2821" s="69" t="s">
        <v>101</v>
      </c>
      <c r="O2821" s="69" t="s">
        <v>1436</v>
      </c>
      <c r="P2821" s="78"/>
      <c r="Q2821" s="115">
        <v>45575</v>
      </c>
      <c r="R2821" s="65" t="s">
        <v>929</v>
      </c>
      <c r="S2821" s="89"/>
    </row>
    <row r="2822" spans="1:19" ht="42.75">
      <c r="A2822" s="90" t="s">
        <v>52</v>
      </c>
      <c r="B2822" s="91" t="s">
        <v>360</v>
      </c>
      <c r="C2822" s="91" t="s">
        <v>4280</v>
      </c>
      <c r="D2822" s="90">
        <v>1942</v>
      </c>
      <c r="E2822" s="90">
        <v>2211</v>
      </c>
      <c r="F2822" s="90" t="s">
        <v>1454</v>
      </c>
      <c r="G2822" s="90"/>
      <c r="H2822" s="93"/>
      <c r="I2822" s="93"/>
      <c r="J2822" s="93"/>
      <c r="K2822" s="95"/>
      <c r="L2822" s="69"/>
      <c r="M2822" s="69"/>
      <c r="N2822" s="69"/>
      <c r="O2822" s="69"/>
      <c r="P2822" s="78"/>
      <c r="Q2822" s="96"/>
      <c r="R2822" s="97"/>
      <c r="S2822" s="98"/>
    </row>
    <row r="2823" spans="1:19" ht="42.75">
      <c r="A2823" s="90" t="s">
        <v>52</v>
      </c>
      <c r="B2823" s="91" t="s">
        <v>360</v>
      </c>
      <c r="C2823" s="91" t="s">
        <v>4281</v>
      </c>
      <c r="D2823" s="90">
        <v>2255</v>
      </c>
      <c r="E2823" s="90">
        <v>2648</v>
      </c>
      <c r="F2823" s="90" t="s">
        <v>1454</v>
      </c>
      <c r="G2823" s="90"/>
      <c r="H2823" s="93"/>
      <c r="I2823" s="93"/>
      <c r="J2823" s="93"/>
      <c r="K2823" s="95"/>
      <c r="L2823" s="69"/>
      <c r="M2823" s="69"/>
      <c r="N2823" s="69"/>
      <c r="O2823" s="69"/>
      <c r="P2823" s="78"/>
      <c r="Q2823" s="96"/>
      <c r="R2823" s="97"/>
      <c r="S2823" s="98"/>
    </row>
    <row r="2824" spans="1:19" ht="42.75">
      <c r="A2824" s="90" t="s">
        <v>52</v>
      </c>
      <c r="B2824" s="91" t="s">
        <v>360</v>
      </c>
      <c r="C2824" s="91" t="s">
        <v>730</v>
      </c>
      <c r="D2824" s="90">
        <v>2207</v>
      </c>
      <c r="E2824" s="90">
        <v>2430</v>
      </c>
      <c r="F2824" s="90" t="s">
        <v>1434</v>
      </c>
      <c r="G2824" s="90">
        <v>2024</v>
      </c>
      <c r="H2824" s="101">
        <v>45539</v>
      </c>
      <c r="I2824" s="101">
        <v>45539</v>
      </c>
      <c r="J2824" s="94" t="s">
        <v>4282</v>
      </c>
      <c r="K2824" s="100">
        <v>45544</v>
      </c>
      <c r="L2824" s="69" t="s">
        <v>82</v>
      </c>
      <c r="M2824" s="69" t="s">
        <v>672</v>
      </c>
      <c r="N2824" s="69" t="s">
        <v>101</v>
      </c>
      <c r="O2824" s="69" t="s">
        <v>1436</v>
      </c>
      <c r="P2824" s="78"/>
      <c r="Q2824" s="96">
        <v>45545</v>
      </c>
      <c r="R2824" s="97" t="s">
        <v>929</v>
      </c>
      <c r="S2824" s="98"/>
    </row>
    <row r="2825" spans="1:19" ht="42.75">
      <c r="A2825" s="90" t="s">
        <v>52</v>
      </c>
      <c r="B2825" s="91" t="s">
        <v>360</v>
      </c>
      <c r="C2825" s="91" t="s">
        <v>4283</v>
      </c>
      <c r="D2825" s="90">
        <v>1380</v>
      </c>
      <c r="E2825" s="90">
        <v>1510</v>
      </c>
      <c r="F2825" s="90" t="s">
        <v>1434</v>
      </c>
      <c r="G2825" s="90">
        <v>2024</v>
      </c>
      <c r="H2825" s="101">
        <v>45566</v>
      </c>
      <c r="I2825" s="101">
        <v>45567</v>
      </c>
      <c r="J2825" s="94" t="s">
        <v>4284</v>
      </c>
      <c r="K2825" s="100">
        <v>45574</v>
      </c>
      <c r="L2825" s="69" t="s">
        <v>83</v>
      </c>
      <c r="M2825" s="69" t="s">
        <v>672</v>
      </c>
      <c r="N2825" s="69" t="s">
        <v>101</v>
      </c>
      <c r="O2825" s="69" t="s">
        <v>1436</v>
      </c>
      <c r="P2825" s="78"/>
      <c r="Q2825" s="115">
        <v>45575</v>
      </c>
      <c r="R2825" s="65" t="s">
        <v>929</v>
      </c>
      <c r="S2825" s="89"/>
    </row>
    <row r="2826" spans="1:19" ht="42.75">
      <c r="A2826" s="90" t="s">
        <v>52</v>
      </c>
      <c r="B2826" s="91" t="s">
        <v>360</v>
      </c>
      <c r="C2826" s="91" t="s">
        <v>4285</v>
      </c>
      <c r="D2826" s="90">
        <v>2428</v>
      </c>
      <c r="E2826" s="90">
        <v>3031</v>
      </c>
      <c r="F2826" s="90" t="s">
        <v>1454</v>
      </c>
      <c r="G2826" s="90"/>
      <c r="H2826" s="93"/>
      <c r="I2826" s="93"/>
      <c r="J2826" s="93"/>
      <c r="K2826" s="95"/>
      <c r="L2826" s="69"/>
      <c r="M2826" s="69"/>
      <c r="N2826" s="69"/>
      <c r="O2826" s="69"/>
      <c r="P2826" s="78"/>
      <c r="Q2826" s="96"/>
      <c r="R2826" s="97"/>
      <c r="S2826" s="98"/>
    </row>
    <row r="2827" spans="1:19" ht="42.75">
      <c r="A2827" s="90" t="s">
        <v>52</v>
      </c>
      <c r="B2827" s="91" t="s">
        <v>360</v>
      </c>
      <c r="C2827" s="91" t="s">
        <v>4286</v>
      </c>
      <c r="D2827" s="90">
        <v>1339</v>
      </c>
      <c r="E2827" s="90">
        <v>1498</v>
      </c>
      <c r="F2827" s="90" t="s">
        <v>1454</v>
      </c>
      <c r="G2827" s="90"/>
      <c r="H2827" s="93"/>
      <c r="I2827" s="93"/>
      <c r="J2827" s="93"/>
      <c r="K2827" s="95"/>
      <c r="L2827" s="69"/>
      <c r="M2827" s="69"/>
      <c r="N2827" s="69"/>
      <c r="O2827" s="69"/>
      <c r="P2827" s="78"/>
      <c r="Q2827" s="96"/>
      <c r="R2827" s="97"/>
      <c r="S2827" s="98"/>
    </row>
    <row r="2828" spans="1:19" ht="42.75">
      <c r="A2828" s="90" t="s">
        <v>52</v>
      </c>
      <c r="B2828" s="91" t="s">
        <v>360</v>
      </c>
      <c r="C2828" s="91" t="s">
        <v>4287</v>
      </c>
      <c r="D2828" s="90">
        <v>2363</v>
      </c>
      <c r="E2828" s="90">
        <v>2569</v>
      </c>
      <c r="F2828" s="90" t="s">
        <v>1434</v>
      </c>
      <c r="G2828" s="90">
        <v>2024</v>
      </c>
      <c r="H2828" s="101">
        <v>45393</v>
      </c>
      <c r="I2828" s="101">
        <v>45398</v>
      </c>
      <c r="J2828" s="94" t="s">
        <v>4288</v>
      </c>
      <c r="K2828" s="100">
        <v>45399</v>
      </c>
      <c r="L2828" s="69" t="s">
        <v>77</v>
      </c>
      <c r="M2828" s="69"/>
      <c r="N2828" s="69"/>
      <c r="O2828" s="69" t="s">
        <v>1436</v>
      </c>
      <c r="P2828" s="78"/>
      <c r="Q2828" s="96"/>
      <c r="R2828" s="97"/>
      <c r="S2828" s="98"/>
    </row>
    <row r="2829" spans="1:19" ht="42.75">
      <c r="A2829" s="90" t="s">
        <v>52</v>
      </c>
      <c r="B2829" s="91" t="s">
        <v>360</v>
      </c>
      <c r="C2829" s="91" t="s">
        <v>4289</v>
      </c>
      <c r="D2829" s="90">
        <v>2181</v>
      </c>
      <c r="E2829" s="90">
        <v>2401</v>
      </c>
      <c r="F2829" s="90" t="s">
        <v>1454</v>
      </c>
      <c r="G2829" s="90"/>
      <c r="H2829" s="93"/>
      <c r="I2829" s="93"/>
      <c r="J2829" s="93"/>
      <c r="K2829" s="95"/>
      <c r="L2829" s="69"/>
      <c r="M2829" s="69"/>
      <c r="N2829" s="69"/>
      <c r="O2829" s="69"/>
      <c r="P2829" s="78"/>
      <c r="Q2829" s="96"/>
      <c r="R2829" s="97"/>
      <c r="S2829" s="98"/>
    </row>
    <row r="2830" spans="1:19" ht="42.75">
      <c r="A2830" s="90" t="s">
        <v>52</v>
      </c>
      <c r="B2830" s="91" t="s">
        <v>360</v>
      </c>
      <c r="C2830" s="91" t="s">
        <v>2753</v>
      </c>
      <c r="D2830" s="90">
        <v>1869</v>
      </c>
      <c r="E2830" s="90">
        <v>1934</v>
      </c>
      <c r="F2830" s="90" t="s">
        <v>1454</v>
      </c>
      <c r="G2830" s="90"/>
      <c r="H2830" s="93"/>
      <c r="I2830" s="93"/>
      <c r="J2830" s="93"/>
      <c r="K2830" s="95"/>
      <c r="L2830" s="69"/>
      <c r="M2830" s="69"/>
      <c r="N2830" s="69"/>
      <c r="O2830" s="69"/>
      <c r="P2830" s="78"/>
      <c r="Q2830" s="96"/>
      <c r="R2830" s="97"/>
      <c r="S2830" s="98"/>
    </row>
    <row r="2831" spans="1:19" ht="42.75">
      <c r="A2831" s="90" t="s">
        <v>52</v>
      </c>
      <c r="B2831" s="91" t="s">
        <v>360</v>
      </c>
      <c r="C2831" s="91" t="s">
        <v>4290</v>
      </c>
      <c r="D2831" s="90">
        <v>2221</v>
      </c>
      <c r="E2831" s="90">
        <v>2428</v>
      </c>
      <c r="F2831" s="90" t="s">
        <v>1454</v>
      </c>
      <c r="G2831" s="90"/>
      <c r="H2831" s="93"/>
      <c r="I2831" s="93"/>
      <c r="J2831" s="93"/>
      <c r="K2831" s="95"/>
      <c r="L2831" s="69"/>
      <c r="M2831" s="69"/>
      <c r="N2831" s="69"/>
      <c r="O2831" s="69"/>
      <c r="P2831" s="78"/>
      <c r="Q2831" s="96"/>
      <c r="R2831" s="97"/>
      <c r="S2831" s="98"/>
    </row>
    <row r="2832" spans="1:19" ht="42.75">
      <c r="A2832" s="90" t="s">
        <v>52</v>
      </c>
      <c r="B2832" s="91" t="s">
        <v>360</v>
      </c>
      <c r="C2832" s="91" t="s">
        <v>4291</v>
      </c>
      <c r="D2832" s="90">
        <v>3081</v>
      </c>
      <c r="E2832" s="90">
        <v>3193</v>
      </c>
      <c r="F2832" s="90" t="s">
        <v>1434</v>
      </c>
      <c r="G2832" s="90">
        <v>2024</v>
      </c>
      <c r="H2832" s="101">
        <v>45546</v>
      </c>
      <c r="I2832" s="101">
        <v>45546</v>
      </c>
      <c r="J2832" s="94" t="s">
        <v>4292</v>
      </c>
      <c r="K2832" s="95"/>
      <c r="L2832" s="69" t="s">
        <v>82</v>
      </c>
      <c r="M2832" s="69" t="s">
        <v>672</v>
      </c>
      <c r="N2832" s="69" t="s">
        <v>101</v>
      </c>
      <c r="O2832" s="69" t="s">
        <v>1436</v>
      </c>
      <c r="P2832" s="78"/>
      <c r="Q2832" s="96">
        <v>45552</v>
      </c>
      <c r="R2832" s="97" t="s">
        <v>929</v>
      </c>
      <c r="S2832" s="98"/>
    </row>
    <row r="2833" spans="1:19" ht="42.75">
      <c r="A2833" s="90" t="s">
        <v>52</v>
      </c>
      <c r="B2833" s="91" t="s">
        <v>360</v>
      </c>
      <c r="C2833" s="91" t="s">
        <v>4293</v>
      </c>
      <c r="D2833" s="90">
        <v>2477</v>
      </c>
      <c r="E2833" s="90">
        <v>2702</v>
      </c>
      <c r="F2833" s="90" t="s">
        <v>1454</v>
      </c>
      <c r="G2833" s="90"/>
      <c r="H2833" s="93"/>
      <c r="I2833" s="93"/>
      <c r="J2833" s="93"/>
      <c r="K2833" s="95"/>
      <c r="L2833" s="69"/>
      <c r="M2833" s="69"/>
      <c r="N2833" s="69"/>
      <c r="O2833" s="69"/>
      <c r="P2833" s="78"/>
      <c r="Q2833" s="96"/>
      <c r="R2833" s="97"/>
      <c r="S2833" s="98"/>
    </row>
    <row r="2834" spans="1:19" ht="42.75">
      <c r="A2834" s="90" t="s">
        <v>52</v>
      </c>
      <c r="B2834" s="91" t="s">
        <v>360</v>
      </c>
      <c r="C2834" s="91" t="s">
        <v>4294</v>
      </c>
      <c r="D2834" s="90">
        <v>1691</v>
      </c>
      <c r="E2834" s="90">
        <v>1849</v>
      </c>
      <c r="F2834" s="90" t="s">
        <v>1454</v>
      </c>
      <c r="G2834" s="90"/>
      <c r="H2834" s="93"/>
      <c r="I2834" s="93"/>
      <c r="J2834" s="93"/>
      <c r="K2834" s="95"/>
      <c r="L2834" s="69"/>
      <c r="M2834" s="69"/>
      <c r="N2834" s="69"/>
      <c r="O2834" s="69"/>
      <c r="P2834" s="78"/>
      <c r="Q2834" s="96"/>
      <c r="R2834" s="97"/>
      <c r="S2834" s="98"/>
    </row>
    <row r="2835" spans="1:19" ht="42.75">
      <c r="A2835" s="90" t="s">
        <v>52</v>
      </c>
      <c r="B2835" s="91" t="s">
        <v>360</v>
      </c>
      <c r="C2835" s="91" t="s">
        <v>4295</v>
      </c>
      <c r="D2835" s="90">
        <v>1672</v>
      </c>
      <c r="E2835" s="90">
        <v>1774</v>
      </c>
      <c r="F2835" s="90" t="s">
        <v>1454</v>
      </c>
      <c r="G2835" s="90"/>
      <c r="H2835" s="93"/>
      <c r="I2835" s="93"/>
      <c r="J2835" s="93"/>
      <c r="K2835" s="95"/>
      <c r="L2835" s="69"/>
      <c r="M2835" s="69"/>
      <c r="N2835" s="69"/>
      <c r="O2835" s="69"/>
      <c r="P2835" s="78"/>
      <c r="Q2835" s="96"/>
      <c r="R2835" s="97"/>
      <c r="S2835" s="98"/>
    </row>
    <row r="2836" spans="1:19" ht="42.75">
      <c r="A2836" s="90" t="s">
        <v>52</v>
      </c>
      <c r="B2836" s="91" t="s">
        <v>360</v>
      </c>
      <c r="C2836" s="91" t="s">
        <v>2342</v>
      </c>
      <c r="D2836" s="90">
        <v>3204</v>
      </c>
      <c r="E2836" s="90">
        <v>3587</v>
      </c>
      <c r="F2836" s="90" t="s">
        <v>1454</v>
      </c>
      <c r="G2836" s="90"/>
      <c r="H2836" s="93"/>
      <c r="I2836" s="93"/>
      <c r="J2836" s="93"/>
      <c r="K2836" s="95"/>
      <c r="L2836" s="69"/>
      <c r="M2836" s="69"/>
      <c r="N2836" s="69"/>
      <c r="O2836" s="69"/>
      <c r="P2836" s="78"/>
      <c r="Q2836" s="96"/>
      <c r="R2836" s="97"/>
      <c r="S2836" s="98"/>
    </row>
    <row r="2837" spans="1:19" ht="42.75">
      <c r="A2837" s="90" t="s">
        <v>52</v>
      </c>
      <c r="B2837" s="91" t="s">
        <v>360</v>
      </c>
      <c r="C2837" s="91" t="s">
        <v>3062</v>
      </c>
      <c r="D2837" s="90">
        <v>2211</v>
      </c>
      <c r="E2837" s="90">
        <v>2489</v>
      </c>
      <c r="F2837" s="90" t="s">
        <v>1454</v>
      </c>
      <c r="G2837" s="90"/>
      <c r="H2837" s="93"/>
      <c r="I2837" s="93"/>
      <c r="J2837" s="93"/>
      <c r="K2837" s="95"/>
      <c r="L2837" s="69"/>
      <c r="M2837" s="69"/>
      <c r="N2837" s="69"/>
      <c r="O2837" s="69"/>
      <c r="P2837" s="78"/>
      <c r="Q2837" s="96"/>
      <c r="R2837" s="97"/>
      <c r="S2837" s="98"/>
    </row>
    <row r="2838" spans="1:19" ht="42.75">
      <c r="A2838" s="90" t="s">
        <v>52</v>
      </c>
      <c r="B2838" s="91" t="s">
        <v>360</v>
      </c>
      <c r="C2838" s="91" t="s">
        <v>4296</v>
      </c>
      <c r="D2838" s="90">
        <v>3098</v>
      </c>
      <c r="E2838" s="90">
        <v>3329</v>
      </c>
      <c r="F2838" s="90" t="s">
        <v>1454</v>
      </c>
      <c r="G2838" s="90"/>
      <c r="H2838" s="93"/>
      <c r="I2838" s="93"/>
      <c r="J2838" s="93"/>
      <c r="K2838" s="100"/>
      <c r="L2838" s="69"/>
      <c r="M2838" s="69"/>
      <c r="N2838" s="69"/>
      <c r="O2838" s="69"/>
      <c r="P2838" s="78"/>
      <c r="Q2838" s="96"/>
      <c r="R2838" s="97"/>
      <c r="S2838" s="98"/>
    </row>
    <row r="2839" spans="1:19" ht="42.75">
      <c r="A2839" s="90" t="s">
        <v>52</v>
      </c>
      <c r="B2839" s="91" t="s">
        <v>360</v>
      </c>
      <c r="C2839" s="91" t="s">
        <v>2276</v>
      </c>
      <c r="D2839" s="90">
        <v>1603</v>
      </c>
      <c r="E2839" s="90">
        <v>1828</v>
      </c>
      <c r="F2839" s="90" t="s">
        <v>1434</v>
      </c>
      <c r="G2839" s="90">
        <v>2024</v>
      </c>
      <c r="H2839" s="101">
        <v>45611</v>
      </c>
      <c r="I2839" s="101">
        <v>45614</v>
      </c>
      <c r="J2839" s="94" t="s">
        <v>4297</v>
      </c>
      <c r="K2839" s="100">
        <v>45616</v>
      </c>
      <c r="L2839" s="69" t="s">
        <v>84</v>
      </c>
      <c r="M2839" s="69" t="s">
        <v>672</v>
      </c>
      <c r="N2839" s="69" t="s">
        <v>101</v>
      </c>
      <c r="O2839" s="69" t="s">
        <v>1436</v>
      </c>
      <c r="P2839" s="78"/>
      <c r="Q2839" s="96">
        <v>45618</v>
      </c>
      <c r="R2839" s="97" t="s">
        <v>929</v>
      </c>
      <c r="S2839" s="98"/>
    </row>
    <row r="2840" spans="1:19" ht="42.75">
      <c r="A2840" s="90" t="s">
        <v>52</v>
      </c>
      <c r="B2840" s="91" t="s">
        <v>360</v>
      </c>
      <c r="C2840" s="91" t="s">
        <v>4298</v>
      </c>
      <c r="D2840" s="90">
        <v>2268</v>
      </c>
      <c r="E2840" s="90">
        <v>2232</v>
      </c>
      <c r="F2840" s="90" t="s">
        <v>1454</v>
      </c>
      <c r="G2840" s="90"/>
      <c r="H2840" s="93"/>
      <c r="I2840" s="93"/>
      <c r="J2840" s="93"/>
      <c r="K2840" s="95"/>
      <c r="L2840" s="69"/>
      <c r="M2840" s="69"/>
      <c r="N2840" s="69"/>
      <c r="O2840" s="69"/>
      <c r="P2840" s="78"/>
      <c r="Q2840" s="96"/>
      <c r="R2840" s="97"/>
      <c r="S2840" s="98"/>
    </row>
    <row r="2841" spans="1:19" ht="42.75">
      <c r="A2841" s="90" t="s">
        <v>52</v>
      </c>
      <c r="B2841" s="91" t="s">
        <v>360</v>
      </c>
      <c r="C2841" s="91" t="s">
        <v>4206</v>
      </c>
      <c r="D2841" s="90">
        <v>3248</v>
      </c>
      <c r="E2841" s="90">
        <v>3332</v>
      </c>
      <c r="F2841" s="90" t="s">
        <v>1454</v>
      </c>
      <c r="G2841" s="90"/>
      <c r="H2841" s="93"/>
      <c r="I2841" s="93"/>
      <c r="J2841" s="93"/>
      <c r="K2841" s="95"/>
      <c r="L2841" s="69"/>
      <c r="M2841" s="69"/>
      <c r="N2841" s="69"/>
      <c r="O2841" s="69"/>
      <c r="P2841" s="78"/>
      <c r="Q2841" s="96"/>
      <c r="R2841" s="97"/>
      <c r="S2841" s="98"/>
    </row>
    <row r="2842" spans="1:19" ht="42.75">
      <c r="A2842" s="90" t="s">
        <v>52</v>
      </c>
      <c r="B2842" s="91" t="s">
        <v>360</v>
      </c>
      <c r="C2842" s="91" t="s">
        <v>3749</v>
      </c>
      <c r="D2842" s="90">
        <v>2739</v>
      </c>
      <c r="E2842" s="90">
        <v>2756</v>
      </c>
      <c r="F2842" s="90" t="s">
        <v>1454</v>
      </c>
      <c r="G2842" s="90"/>
      <c r="H2842" s="93"/>
      <c r="I2842" s="93"/>
      <c r="J2842" s="93"/>
      <c r="K2842" s="95"/>
      <c r="L2842" s="69"/>
      <c r="M2842" s="69"/>
      <c r="N2842" s="69"/>
      <c r="O2842" s="69"/>
      <c r="P2842" s="78"/>
      <c r="Q2842" s="96"/>
      <c r="R2842" s="97"/>
      <c r="S2842" s="98"/>
    </row>
    <row r="2843" spans="1:19" ht="42.75">
      <c r="A2843" s="90" t="s">
        <v>52</v>
      </c>
      <c r="B2843" s="91" t="s">
        <v>360</v>
      </c>
      <c r="C2843" s="91" t="s">
        <v>653</v>
      </c>
      <c r="D2843" s="90">
        <v>2103</v>
      </c>
      <c r="E2843" s="90">
        <v>2192</v>
      </c>
      <c r="F2843" s="90" t="s">
        <v>1454</v>
      </c>
      <c r="G2843" s="90"/>
      <c r="H2843" s="93"/>
      <c r="I2843" s="93"/>
      <c r="J2843" s="93"/>
      <c r="K2843" s="95"/>
      <c r="L2843" s="69"/>
      <c r="M2843" s="69"/>
      <c r="N2843" s="69"/>
      <c r="O2843" s="69"/>
      <c r="P2843" s="78"/>
      <c r="Q2843" s="96"/>
      <c r="R2843" s="97"/>
      <c r="S2843" s="98"/>
    </row>
    <row r="2844" spans="1:19" ht="42.75">
      <c r="A2844" s="90" t="s">
        <v>52</v>
      </c>
      <c r="B2844" s="91" t="s">
        <v>360</v>
      </c>
      <c r="C2844" s="91" t="s">
        <v>2235</v>
      </c>
      <c r="D2844" s="90">
        <v>5230</v>
      </c>
      <c r="E2844" s="90">
        <v>5837</v>
      </c>
      <c r="F2844" s="90" t="s">
        <v>1434</v>
      </c>
      <c r="G2844" s="90">
        <v>2024</v>
      </c>
      <c r="H2844" s="101">
        <v>45567</v>
      </c>
      <c r="I2844" s="101">
        <v>45567</v>
      </c>
      <c r="J2844" s="94" t="s">
        <v>4299</v>
      </c>
      <c r="K2844" s="100">
        <v>45574</v>
      </c>
      <c r="L2844" s="69" t="s">
        <v>83</v>
      </c>
      <c r="M2844" s="69" t="s">
        <v>4</v>
      </c>
      <c r="N2844" s="69" t="s">
        <v>101</v>
      </c>
      <c r="O2844" s="69" t="s">
        <v>1436</v>
      </c>
      <c r="P2844" s="78"/>
      <c r="Q2844" s="115">
        <v>45575</v>
      </c>
      <c r="R2844" s="65" t="s">
        <v>929</v>
      </c>
      <c r="S2844" s="89"/>
    </row>
    <row r="2845" spans="1:19" ht="42.75">
      <c r="A2845" s="90" t="s">
        <v>52</v>
      </c>
      <c r="B2845" s="91" t="s">
        <v>360</v>
      </c>
      <c r="C2845" s="91" t="s">
        <v>3684</v>
      </c>
      <c r="D2845" s="90">
        <v>1561</v>
      </c>
      <c r="E2845" s="90">
        <v>1572</v>
      </c>
      <c r="F2845" s="90" t="s">
        <v>1454</v>
      </c>
      <c r="G2845" s="90"/>
      <c r="H2845" s="93"/>
      <c r="I2845" s="93"/>
      <c r="J2845" s="93"/>
      <c r="K2845" s="95"/>
      <c r="L2845" s="69"/>
      <c r="M2845" s="69"/>
      <c r="N2845" s="69"/>
      <c r="O2845" s="69"/>
      <c r="P2845" s="78"/>
      <c r="Q2845" s="96"/>
      <c r="R2845" s="97"/>
      <c r="S2845" s="98"/>
    </row>
    <row r="2846" spans="1:19" ht="42.75">
      <c r="A2846" s="90" t="s">
        <v>52</v>
      </c>
      <c r="B2846" s="91" t="s">
        <v>427</v>
      </c>
      <c r="C2846" s="91" t="s">
        <v>1006</v>
      </c>
      <c r="D2846" s="90">
        <v>2972</v>
      </c>
      <c r="E2846" s="90">
        <v>3172</v>
      </c>
      <c r="F2846" s="90" t="s">
        <v>1454</v>
      </c>
      <c r="G2846" s="90"/>
      <c r="H2846" s="93"/>
      <c r="I2846" s="93"/>
      <c r="J2846" s="93"/>
      <c r="K2846" s="95"/>
      <c r="L2846" s="69"/>
      <c r="M2846" s="69"/>
      <c r="N2846" s="69"/>
      <c r="O2846" s="69"/>
      <c r="P2846" s="78"/>
      <c r="Q2846" s="96"/>
      <c r="R2846" s="97"/>
      <c r="S2846" s="98"/>
    </row>
    <row r="2847" spans="1:19" ht="42.75">
      <c r="A2847" s="90" t="s">
        <v>52</v>
      </c>
      <c r="B2847" s="91" t="s">
        <v>427</v>
      </c>
      <c r="C2847" s="91" t="s">
        <v>4300</v>
      </c>
      <c r="D2847" s="90">
        <v>1579</v>
      </c>
      <c r="E2847" s="90">
        <v>1749</v>
      </c>
      <c r="F2847" s="90" t="s">
        <v>1454</v>
      </c>
      <c r="G2847" s="90"/>
      <c r="H2847" s="93"/>
      <c r="I2847" s="93"/>
      <c r="J2847" s="93"/>
      <c r="K2847" s="95"/>
      <c r="L2847" s="69"/>
      <c r="M2847" s="69"/>
      <c r="N2847" s="69"/>
      <c r="O2847" s="69"/>
      <c r="P2847" s="78"/>
      <c r="Q2847" s="96"/>
      <c r="R2847" s="97"/>
      <c r="S2847" s="98"/>
    </row>
    <row r="2848" spans="1:19" ht="42.75">
      <c r="A2848" s="90" t="s">
        <v>52</v>
      </c>
      <c r="B2848" s="91" t="s">
        <v>427</v>
      </c>
      <c r="C2848" s="91" t="s">
        <v>422</v>
      </c>
      <c r="D2848" s="90">
        <v>4983</v>
      </c>
      <c r="E2848" s="90">
        <v>5598</v>
      </c>
      <c r="F2848" s="90" t="s">
        <v>1434</v>
      </c>
      <c r="G2848" s="90">
        <v>2024</v>
      </c>
      <c r="H2848" s="101">
        <v>45421</v>
      </c>
      <c r="I2848" s="101">
        <v>45422</v>
      </c>
      <c r="J2848" s="94" t="s">
        <v>4301</v>
      </c>
      <c r="K2848" s="100">
        <v>45427</v>
      </c>
      <c r="L2848" s="69" t="s">
        <v>78</v>
      </c>
      <c r="M2848" s="69"/>
      <c r="N2848" s="69"/>
      <c r="O2848" s="69" t="s">
        <v>1436</v>
      </c>
      <c r="P2848" s="78"/>
      <c r="Q2848" s="96"/>
      <c r="R2848" s="97"/>
      <c r="S2848" s="98"/>
    </row>
    <row r="2849" spans="1:19" ht="42.75">
      <c r="A2849" s="90" t="s">
        <v>52</v>
      </c>
      <c r="B2849" s="91" t="s">
        <v>427</v>
      </c>
      <c r="C2849" s="91" t="s">
        <v>3171</v>
      </c>
      <c r="D2849" s="90">
        <v>1878</v>
      </c>
      <c r="E2849" s="90">
        <v>2073</v>
      </c>
      <c r="F2849" s="90" t="s">
        <v>1434</v>
      </c>
      <c r="G2849" s="90">
        <v>2024</v>
      </c>
      <c r="H2849" s="101">
        <v>45603</v>
      </c>
      <c r="I2849" s="101">
        <v>45606</v>
      </c>
      <c r="J2849" s="94" t="s">
        <v>4302</v>
      </c>
      <c r="K2849" s="100">
        <v>45613</v>
      </c>
      <c r="L2849" s="69" t="s">
        <v>84</v>
      </c>
      <c r="M2849" s="69" t="s">
        <v>672</v>
      </c>
      <c r="N2849" s="69" t="s">
        <v>101</v>
      </c>
      <c r="O2849" s="69" t="s">
        <v>1436</v>
      </c>
      <c r="P2849" s="78"/>
      <c r="Q2849" s="96">
        <v>45614</v>
      </c>
      <c r="R2849" s="97" t="s">
        <v>929</v>
      </c>
      <c r="S2849" s="98"/>
    </row>
    <row r="2850" spans="1:19" ht="42.75">
      <c r="A2850" s="90" t="s">
        <v>52</v>
      </c>
      <c r="B2850" s="91" t="s">
        <v>427</v>
      </c>
      <c r="C2850" s="91" t="s">
        <v>789</v>
      </c>
      <c r="D2850" s="90">
        <v>1209</v>
      </c>
      <c r="E2850" s="90">
        <v>1371</v>
      </c>
      <c r="F2850" s="90" t="s">
        <v>1434</v>
      </c>
      <c r="G2850" s="90">
        <v>2024</v>
      </c>
      <c r="H2850" s="101">
        <v>45603</v>
      </c>
      <c r="I2850" s="101">
        <v>45606</v>
      </c>
      <c r="J2850" s="94" t="s">
        <v>4303</v>
      </c>
      <c r="K2850" s="100">
        <v>45613</v>
      </c>
      <c r="L2850" s="69" t="s">
        <v>84</v>
      </c>
      <c r="M2850" s="69" t="s">
        <v>4</v>
      </c>
      <c r="N2850" s="69" t="s">
        <v>101</v>
      </c>
      <c r="O2850" s="69" t="s">
        <v>1436</v>
      </c>
      <c r="P2850" s="78"/>
      <c r="Q2850" s="96">
        <v>45614</v>
      </c>
      <c r="R2850" s="97" t="s">
        <v>929</v>
      </c>
      <c r="S2850" s="98"/>
    </row>
    <row r="2851" spans="1:19" ht="42.75">
      <c r="A2851" s="90" t="s">
        <v>52</v>
      </c>
      <c r="B2851" s="91" t="s">
        <v>427</v>
      </c>
      <c r="C2851" s="91" t="s">
        <v>4304</v>
      </c>
      <c r="D2851" s="90">
        <v>1421</v>
      </c>
      <c r="E2851" s="90">
        <v>1709</v>
      </c>
      <c r="F2851" s="90" t="s">
        <v>1454</v>
      </c>
      <c r="G2851" s="90"/>
      <c r="H2851" s="93"/>
      <c r="I2851" s="93"/>
      <c r="J2851" s="93"/>
      <c r="K2851" s="95"/>
      <c r="L2851" s="69"/>
      <c r="M2851" s="69"/>
      <c r="N2851" s="69"/>
      <c r="O2851" s="69"/>
      <c r="P2851" s="78"/>
      <c r="Q2851" s="96"/>
      <c r="R2851" s="97"/>
      <c r="S2851" s="98"/>
    </row>
    <row r="2852" spans="1:19" ht="42.75">
      <c r="A2852" s="90" t="s">
        <v>52</v>
      </c>
      <c r="B2852" s="91" t="s">
        <v>427</v>
      </c>
      <c r="C2852" s="91" t="s">
        <v>4305</v>
      </c>
      <c r="D2852" s="90">
        <v>2726</v>
      </c>
      <c r="E2852" s="90">
        <v>2627</v>
      </c>
      <c r="F2852" s="90" t="s">
        <v>1454</v>
      </c>
      <c r="G2852" s="90"/>
      <c r="H2852" s="93"/>
      <c r="I2852" s="93"/>
      <c r="J2852" s="93"/>
      <c r="K2852" s="95"/>
      <c r="L2852" s="69"/>
      <c r="M2852" s="69"/>
      <c r="N2852" s="69"/>
      <c r="O2852" s="69"/>
      <c r="P2852" s="78"/>
      <c r="Q2852" s="96"/>
      <c r="R2852" s="97"/>
      <c r="S2852" s="98"/>
    </row>
    <row r="2853" spans="1:19" ht="42.75">
      <c r="A2853" s="90" t="s">
        <v>52</v>
      </c>
      <c r="B2853" s="91" t="s">
        <v>427</v>
      </c>
      <c r="C2853" s="91" t="s">
        <v>4306</v>
      </c>
      <c r="D2853" s="90">
        <v>3919</v>
      </c>
      <c r="E2853" s="90">
        <v>4404</v>
      </c>
      <c r="F2853" s="90" t="s">
        <v>1434</v>
      </c>
      <c r="G2853" s="90">
        <v>2024</v>
      </c>
      <c r="H2853" s="101">
        <v>45540</v>
      </c>
      <c r="I2853" s="101">
        <v>45541</v>
      </c>
      <c r="J2853" s="94" t="s">
        <v>4307</v>
      </c>
      <c r="K2853" s="100">
        <v>45552</v>
      </c>
      <c r="L2853" s="69" t="s">
        <v>82</v>
      </c>
      <c r="M2853" s="69" t="s">
        <v>4</v>
      </c>
      <c r="N2853" s="69" t="s">
        <v>101</v>
      </c>
      <c r="O2853" s="69" t="s">
        <v>1436</v>
      </c>
      <c r="P2853" s="78"/>
      <c r="Q2853" s="96">
        <v>45552</v>
      </c>
      <c r="R2853" s="97" t="s">
        <v>929</v>
      </c>
      <c r="S2853" s="98"/>
    </row>
    <row r="2854" spans="1:19" ht="42.75">
      <c r="A2854" s="90" t="s">
        <v>52</v>
      </c>
      <c r="B2854" s="91" t="s">
        <v>427</v>
      </c>
      <c r="C2854" s="91" t="s">
        <v>4308</v>
      </c>
      <c r="D2854" s="90">
        <v>3705</v>
      </c>
      <c r="E2854" s="90">
        <v>4401</v>
      </c>
      <c r="F2854" s="90" t="s">
        <v>1454</v>
      </c>
      <c r="G2854" s="90"/>
      <c r="H2854" s="93"/>
      <c r="I2854" s="93"/>
      <c r="J2854" s="93"/>
      <c r="K2854" s="95"/>
      <c r="L2854" s="69"/>
      <c r="M2854" s="69"/>
      <c r="N2854" s="69"/>
      <c r="O2854" s="69"/>
      <c r="P2854" s="78"/>
      <c r="Q2854" s="96"/>
      <c r="R2854" s="97"/>
      <c r="S2854" s="98"/>
    </row>
    <row r="2855" spans="1:19" ht="42.75">
      <c r="A2855" s="90" t="s">
        <v>52</v>
      </c>
      <c r="B2855" s="91" t="s">
        <v>427</v>
      </c>
      <c r="C2855" s="91" t="s">
        <v>4309</v>
      </c>
      <c r="D2855" s="90">
        <v>1709</v>
      </c>
      <c r="E2855" s="90">
        <v>1737</v>
      </c>
      <c r="F2855" s="90" t="s">
        <v>1454</v>
      </c>
      <c r="G2855" s="90"/>
      <c r="H2855" s="93"/>
      <c r="I2855" s="93"/>
      <c r="J2855" s="93"/>
      <c r="K2855" s="95"/>
      <c r="L2855" s="69"/>
      <c r="M2855" s="69"/>
      <c r="N2855" s="69"/>
      <c r="O2855" s="69"/>
      <c r="P2855" s="78"/>
      <c r="Q2855" s="96"/>
      <c r="R2855" s="97"/>
      <c r="S2855" s="98"/>
    </row>
    <row r="2856" spans="1:19" ht="42.75">
      <c r="A2856" s="90" t="s">
        <v>52</v>
      </c>
      <c r="B2856" s="91" t="s">
        <v>427</v>
      </c>
      <c r="C2856" s="91" t="s">
        <v>4310</v>
      </c>
      <c r="D2856" s="90">
        <v>1546</v>
      </c>
      <c r="E2856" s="90">
        <v>1572</v>
      </c>
      <c r="F2856" s="90" t="s">
        <v>1454</v>
      </c>
      <c r="G2856" s="90"/>
      <c r="H2856" s="93"/>
      <c r="I2856" s="93"/>
      <c r="J2856" s="93"/>
      <c r="K2856" s="95"/>
      <c r="L2856" s="69"/>
      <c r="M2856" s="69"/>
      <c r="N2856" s="69"/>
      <c r="O2856" s="69"/>
      <c r="P2856" s="78"/>
      <c r="Q2856" s="96"/>
      <c r="R2856" s="97"/>
      <c r="S2856" s="98"/>
    </row>
    <row r="2857" spans="1:19" ht="42.75">
      <c r="A2857" s="90" t="s">
        <v>52</v>
      </c>
      <c r="B2857" s="91" t="s">
        <v>427</v>
      </c>
      <c r="C2857" s="91" t="s">
        <v>4311</v>
      </c>
      <c r="D2857" s="90">
        <v>3682</v>
      </c>
      <c r="E2857" s="90">
        <v>5122</v>
      </c>
      <c r="F2857" s="90" t="s">
        <v>1454</v>
      </c>
      <c r="G2857" s="90"/>
      <c r="H2857" s="93"/>
      <c r="I2857" s="93"/>
      <c r="J2857" s="93"/>
      <c r="K2857" s="95"/>
      <c r="L2857" s="69"/>
      <c r="M2857" s="69"/>
      <c r="N2857" s="69"/>
      <c r="O2857" s="69"/>
      <c r="P2857" s="78"/>
      <c r="Q2857" s="96"/>
      <c r="R2857" s="97"/>
      <c r="S2857" s="98"/>
    </row>
    <row r="2858" spans="1:19" ht="42.75">
      <c r="A2858" s="90" t="s">
        <v>52</v>
      </c>
      <c r="B2858" s="91" t="s">
        <v>427</v>
      </c>
      <c r="C2858" s="91" t="s">
        <v>4312</v>
      </c>
      <c r="D2858" s="90">
        <v>4924</v>
      </c>
      <c r="E2858" s="90">
        <v>5647</v>
      </c>
      <c r="F2858" s="90" t="s">
        <v>1454</v>
      </c>
      <c r="G2858" s="90"/>
      <c r="H2858" s="93"/>
      <c r="I2858" s="93"/>
      <c r="J2858" s="93"/>
      <c r="K2858" s="95"/>
      <c r="L2858" s="69"/>
      <c r="M2858" s="69"/>
      <c r="N2858" s="69"/>
      <c r="O2858" s="69"/>
      <c r="P2858" s="78"/>
      <c r="Q2858" s="96"/>
      <c r="R2858" s="97"/>
      <c r="S2858" s="98"/>
    </row>
    <row r="2859" spans="1:19" ht="42.75">
      <c r="A2859" s="90" t="s">
        <v>53</v>
      </c>
      <c r="B2859" s="91" t="s">
        <v>329</v>
      </c>
      <c r="C2859" s="91" t="s">
        <v>4313</v>
      </c>
      <c r="D2859" s="90">
        <v>1327</v>
      </c>
      <c r="E2859" s="90">
        <v>1444</v>
      </c>
      <c r="F2859" s="90" t="s">
        <v>1454</v>
      </c>
      <c r="G2859" s="90"/>
      <c r="H2859" s="183"/>
      <c r="I2859" s="94"/>
      <c r="J2859" s="94"/>
      <c r="K2859" s="107"/>
      <c r="L2859" s="95"/>
      <c r="M2859" s="69"/>
      <c r="N2859" s="69"/>
      <c r="O2859" s="69"/>
      <c r="P2859" s="78"/>
      <c r="Q2859" s="96"/>
      <c r="R2859" s="97"/>
      <c r="S2859" s="98"/>
    </row>
    <row r="2860" spans="1:19" ht="42.75">
      <c r="A2860" s="90" t="s">
        <v>53</v>
      </c>
      <c r="B2860" s="91" t="s">
        <v>329</v>
      </c>
      <c r="C2860" s="91" t="s">
        <v>4314</v>
      </c>
      <c r="D2860" s="90">
        <v>1092</v>
      </c>
      <c r="E2860" s="90">
        <v>1455</v>
      </c>
      <c r="F2860" s="90" t="s">
        <v>1454</v>
      </c>
      <c r="G2860" s="90"/>
      <c r="H2860" s="183"/>
      <c r="I2860" s="94"/>
      <c r="J2860" s="94"/>
      <c r="K2860" s="107"/>
      <c r="L2860" s="95"/>
      <c r="M2860" s="69"/>
      <c r="N2860" s="69"/>
      <c r="O2860" s="69"/>
      <c r="P2860" s="78"/>
      <c r="Q2860" s="96"/>
      <c r="R2860" s="97"/>
      <c r="S2860" s="98"/>
    </row>
    <row r="2861" spans="1:19" ht="42.75">
      <c r="A2861" s="90" t="s">
        <v>53</v>
      </c>
      <c r="B2861" s="91" t="s">
        <v>329</v>
      </c>
      <c r="C2861" s="91" t="s">
        <v>4315</v>
      </c>
      <c r="D2861" s="90">
        <v>1575</v>
      </c>
      <c r="E2861" s="90">
        <v>1969</v>
      </c>
      <c r="F2861" s="90" t="s">
        <v>1454</v>
      </c>
      <c r="G2861" s="90"/>
      <c r="H2861" s="183"/>
      <c r="I2861" s="94"/>
      <c r="J2861" s="94"/>
      <c r="K2861" s="107"/>
      <c r="L2861" s="95"/>
      <c r="M2861" s="69"/>
      <c r="N2861" s="69"/>
      <c r="O2861" s="69"/>
      <c r="P2861" s="78"/>
      <c r="Q2861" s="96"/>
      <c r="R2861" s="97"/>
      <c r="S2861" s="98"/>
    </row>
    <row r="2862" spans="1:19" ht="42.75">
      <c r="A2862" s="90" t="s">
        <v>53</v>
      </c>
      <c r="B2862" s="91" t="s">
        <v>329</v>
      </c>
      <c r="C2862" s="91" t="s">
        <v>4316</v>
      </c>
      <c r="D2862" s="90">
        <v>1010</v>
      </c>
      <c r="E2862" s="90">
        <v>1187</v>
      </c>
      <c r="F2862" s="90" t="s">
        <v>1454</v>
      </c>
      <c r="G2862" s="90"/>
      <c r="H2862" s="183"/>
      <c r="I2862" s="94"/>
      <c r="J2862" s="94"/>
      <c r="K2862" s="107"/>
      <c r="L2862" s="95"/>
      <c r="M2862" s="69"/>
      <c r="N2862" s="69"/>
      <c r="O2862" s="69"/>
      <c r="P2862" s="78"/>
      <c r="Q2862" s="96"/>
      <c r="R2862" s="97"/>
      <c r="S2862" s="98"/>
    </row>
    <row r="2863" spans="1:19" ht="42.75">
      <c r="A2863" s="90" t="s">
        <v>53</v>
      </c>
      <c r="B2863" s="91" t="s">
        <v>329</v>
      </c>
      <c r="C2863" s="91" t="s">
        <v>3898</v>
      </c>
      <c r="D2863" s="90">
        <v>2057</v>
      </c>
      <c r="E2863" s="90">
        <v>2405</v>
      </c>
      <c r="F2863" s="90" t="s">
        <v>1454</v>
      </c>
      <c r="G2863" s="90"/>
      <c r="H2863" s="183"/>
      <c r="I2863" s="94"/>
      <c r="J2863" s="94"/>
      <c r="K2863" s="107"/>
      <c r="L2863" s="95"/>
      <c r="M2863" s="69"/>
      <c r="N2863" s="69"/>
      <c r="O2863" s="69"/>
      <c r="P2863" s="78"/>
      <c r="Q2863" s="96"/>
      <c r="R2863" s="97"/>
      <c r="S2863" s="98"/>
    </row>
    <row r="2864" spans="1:19" ht="42.75">
      <c r="A2864" s="90" t="s">
        <v>53</v>
      </c>
      <c r="B2864" s="91" t="s">
        <v>329</v>
      </c>
      <c r="C2864" s="91" t="s">
        <v>4317</v>
      </c>
      <c r="D2864" s="90">
        <v>2970</v>
      </c>
      <c r="E2864" s="90">
        <v>3053</v>
      </c>
      <c r="F2864" s="90" t="s">
        <v>1454</v>
      </c>
      <c r="G2864" s="90"/>
      <c r="H2864" s="183"/>
      <c r="I2864" s="94"/>
      <c r="J2864" s="94"/>
      <c r="K2864" s="107"/>
      <c r="L2864" s="95"/>
      <c r="M2864" s="69"/>
      <c r="N2864" s="69"/>
      <c r="O2864" s="69"/>
      <c r="P2864" s="78"/>
      <c r="Q2864" s="96"/>
      <c r="R2864" s="97"/>
      <c r="S2864" s="98"/>
    </row>
    <row r="2865" spans="1:19" ht="42.75">
      <c r="A2865" s="90" t="s">
        <v>53</v>
      </c>
      <c r="B2865" s="91" t="s">
        <v>329</v>
      </c>
      <c r="C2865" s="91" t="s">
        <v>4318</v>
      </c>
      <c r="D2865" s="90">
        <v>664</v>
      </c>
      <c r="E2865" s="90">
        <v>598</v>
      </c>
      <c r="F2865" s="90" t="s">
        <v>1454</v>
      </c>
      <c r="G2865" s="90"/>
      <c r="H2865" s="183"/>
      <c r="I2865" s="94"/>
      <c r="J2865" s="94"/>
      <c r="K2865" s="107"/>
      <c r="L2865" s="95"/>
      <c r="M2865" s="69"/>
      <c r="N2865" s="69"/>
      <c r="O2865" s="69"/>
      <c r="P2865" s="78"/>
      <c r="Q2865" s="96"/>
      <c r="R2865" s="97"/>
      <c r="S2865" s="98"/>
    </row>
    <row r="2866" spans="1:19" ht="42.75">
      <c r="A2866" s="90" t="s">
        <v>53</v>
      </c>
      <c r="B2866" s="91" t="s">
        <v>329</v>
      </c>
      <c r="C2866" s="91" t="s">
        <v>1029</v>
      </c>
      <c r="D2866" s="90">
        <v>4145</v>
      </c>
      <c r="E2866" s="90">
        <v>4524</v>
      </c>
      <c r="F2866" s="90" t="s">
        <v>1454</v>
      </c>
      <c r="G2866" s="90"/>
      <c r="H2866" s="183"/>
      <c r="I2866" s="94"/>
      <c r="J2866" s="94"/>
      <c r="K2866" s="107"/>
      <c r="L2866" s="95"/>
      <c r="M2866" s="69"/>
      <c r="N2866" s="69"/>
      <c r="O2866" s="69"/>
      <c r="P2866" s="78"/>
      <c r="Q2866" s="96"/>
      <c r="R2866" s="97"/>
      <c r="S2866" s="98"/>
    </row>
    <row r="2867" spans="1:19" ht="42.75">
      <c r="A2867" s="90" t="s">
        <v>53</v>
      </c>
      <c r="B2867" s="91" t="s">
        <v>329</v>
      </c>
      <c r="C2867" s="91" t="s">
        <v>4319</v>
      </c>
      <c r="D2867" s="90">
        <v>501</v>
      </c>
      <c r="E2867" s="90">
        <v>453</v>
      </c>
      <c r="F2867" s="90" t="s">
        <v>1454</v>
      </c>
      <c r="G2867" s="90"/>
      <c r="H2867" s="183"/>
      <c r="I2867" s="94"/>
      <c r="J2867" s="94"/>
      <c r="K2867" s="107"/>
      <c r="L2867" s="95"/>
      <c r="M2867" s="69"/>
      <c r="N2867" s="69"/>
      <c r="O2867" s="69"/>
      <c r="P2867" s="78"/>
      <c r="Q2867" s="96"/>
      <c r="R2867" s="97"/>
      <c r="S2867" s="98"/>
    </row>
    <row r="2868" spans="1:19" ht="42.75">
      <c r="A2868" s="90" t="s">
        <v>53</v>
      </c>
      <c r="B2868" s="91" t="s">
        <v>329</v>
      </c>
      <c r="C2868" s="91" t="s">
        <v>4320</v>
      </c>
      <c r="D2868" s="90">
        <v>1598</v>
      </c>
      <c r="E2868" s="90">
        <v>1935</v>
      </c>
      <c r="F2868" s="90" t="s">
        <v>1434</v>
      </c>
      <c r="G2868" s="90">
        <v>2024</v>
      </c>
      <c r="H2868" s="183">
        <v>45602</v>
      </c>
      <c r="I2868" s="183">
        <v>45610</v>
      </c>
      <c r="J2868" s="366" t="s">
        <v>4321</v>
      </c>
      <c r="K2868" s="184">
        <v>45616</v>
      </c>
      <c r="L2868" s="95" t="s">
        <v>84</v>
      </c>
      <c r="M2868" s="69" t="s">
        <v>4</v>
      </c>
      <c r="N2868" s="69" t="s">
        <v>101</v>
      </c>
      <c r="O2868" s="69" t="s">
        <v>1436</v>
      </c>
      <c r="P2868" s="78"/>
      <c r="Q2868" s="96">
        <v>45618</v>
      </c>
      <c r="R2868" s="97" t="s">
        <v>929</v>
      </c>
      <c r="S2868" s="98"/>
    </row>
    <row r="2869" spans="1:19" ht="42.75">
      <c r="A2869" s="90" t="s">
        <v>53</v>
      </c>
      <c r="B2869" s="91" t="s">
        <v>329</v>
      </c>
      <c r="C2869" s="91" t="s">
        <v>718</v>
      </c>
      <c r="D2869" s="90">
        <v>2728</v>
      </c>
      <c r="E2869" s="90">
        <v>2926</v>
      </c>
      <c r="F2869" s="90" t="s">
        <v>1454</v>
      </c>
      <c r="G2869" s="90"/>
      <c r="H2869" s="183"/>
      <c r="I2869" s="94"/>
      <c r="J2869" s="94"/>
      <c r="K2869" s="107"/>
      <c r="L2869" s="95"/>
      <c r="M2869" s="69"/>
      <c r="N2869" s="69"/>
      <c r="O2869" s="69"/>
      <c r="P2869" s="78"/>
      <c r="Q2869" s="96"/>
      <c r="R2869" s="97"/>
      <c r="S2869" s="98"/>
    </row>
    <row r="2870" spans="1:19" ht="42.75">
      <c r="A2870" s="90" t="s">
        <v>53</v>
      </c>
      <c r="B2870" s="91" t="s">
        <v>329</v>
      </c>
      <c r="C2870" s="91" t="s">
        <v>4322</v>
      </c>
      <c r="D2870" s="90">
        <v>1091</v>
      </c>
      <c r="E2870" s="90">
        <v>1257</v>
      </c>
      <c r="F2870" s="90" t="s">
        <v>1454</v>
      </c>
      <c r="G2870" s="90"/>
      <c r="H2870" s="183"/>
      <c r="I2870" s="94"/>
      <c r="J2870" s="94"/>
      <c r="K2870" s="107"/>
      <c r="L2870" s="95"/>
      <c r="M2870" s="69"/>
      <c r="N2870" s="69"/>
      <c r="O2870" s="69"/>
      <c r="P2870" s="78"/>
      <c r="Q2870" s="96"/>
      <c r="R2870" s="97"/>
      <c r="S2870" s="98"/>
    </row>
    <row r="2871" spans="1:19" ht="42.75">
      <c r="A2871" s="90" t="s">
        <v>53</v>
      </c>
      <c r="B2871" s="91" t="s">
        <v>329</v>
      </c>
      <c r="C2871" s="91" t="s">
        <v>4323</v>
      </c>
      <c r="D2871" s="90">
        <v>860</v>
      </c>
      <c r="E2871" s="90">
        <v>946</v>
      </c>
      <c r="F2871" s="90" t="s">
        <v>1434</v>
      </c>
      <c r="G2871" s="90">
        <v>2024</v>
      </c>
      <c r="H2871" s="183">
        <v>45602</v>
      </c>
      <c r="I2871" s="183">
        <v>45610</v>
      </c>
      <c r="J2871" s="366" t="s">
        <v>4324</v>
      </c>
      <c r="K2871" s="184">
        <v>45616</v>
      </c>
      <c r="L2871" s="95" t="s">
        <v>84</v>
      </c>
      <c r="M2871" s="69" t="s">
        <v>4</v>
      </c>
      <c r="N2871" s="69" t="s">
        <v>101</v>
      </c>
      <c r="O2871" s="69" t="s">
        <v>1436</v>
      </c>
      <c r="P2871" s="78"/>
      <c r="Q2871" s="96">
        <v>45618</v>
      </c>
      <c r="R2871" s="97" t="s">
        <v>929</v>
      </c>
      <c r="S2871" s="98"/>
    </row>
    <row r="2872" spans="1:19" ht="42.75">
      <c r="A2872" s="90" t="s">
        <v>53</v>
      </c>
      <c r="B2872" s="91" t="s">
        <v>329</v>
      </c>
      <c r="C2872" s="91" t="s">
        <v>4325</v>
      </c>
      <c r="D2872" s="90">
        <v>998</v>
      </c>
      <c r="E2872" s="90">
        <v>1333</v>
      </c>
      <c r="F2872" s="90" t="s">
        <v>1454</v>
      </c>
      <c r="G2872" s="90"/>
      <c r="H2872" s="183"/>
      <c r="I2872" s="94"/>
      <c r="J2872" s="94"/>
      <c r="K2872" s="107"/>
      <c r="L2872" s="95"/>
      <c r="M2872" s="69"/>
      <c r="N2872" s="69"/>
      <c r="O2872" s="69"/>
      <c r="P2872" s="78"/>
      <c r="Q2872" s="96"/>
      <c r="R2872" s="97"/>
      <c r="S2872" s="98"/>
    </row>
    <row r="2873" spans="1:19" ht="42.75">
      <c r="A2873" s="90" t="s">
        <v>53</v>
      </c>
      <c r="B2873" s="91" t="s">
        <v>329</v>
      </c>
      <c r="C2873" s="91" t="s">
        <v>416</v>
      </c>
      <c r="D2873" s="90">
        <v>3306</v>
      </c>
      <c r="E2873" s="90">
        <v>3579</v>
      </c>
      <c r="F2873" s="90" t="s">
        <v>1454</v>
      </c>
      <c r="G2873" s="90"/>
      <c r="H2873" s="183"/>
      <c r="I2873" s="94"/>
      <c r="J2873" s="94"/>
      <c r="K2873" s="107"/>
      <c r="L2873" s="95"/>
      <c r="M2873" s="69"/>
      <c r="N2873" s="69"/>
      <c r="O2873" s="69"/>
      <c r="P2873" s="78"/>
      <c r="Q2873" s="96"/>
      <c r="R2873" s="97"/>
      <c r="S2873" s="98"/>
    </row>
    <row r="2874" spans="1:19" ht="42.75">
      <c r="A2874" s="90" t="s">
        <v>53</v>
      </c>
      <c r="B2874" s="91" t="s">
        <v>329</v>
      </c>
      <c r="C2874" s="91" t="s">
        <v>520</v>
      </c>
      <c r="D2874" s="90">
        <v>1533</v>
      </c>
      <c r="E2874" s="90">
        <v>1802</v>
      </c>
      <c r="F2874" s="90" t="s">
        <v>1434</v>
      </c>
      <c r="G2874" s="90">
        <v>2024</v>
      </c>
      <c r="H2874" s="183">
        <v>45602</v>
      </c>
      <c r="I2874" s="183">
        <v>45610</v>
      </c>
      <c r="J2874" s="366" t="s">
        <v>4326</v>
      </c>
      <c r="K2874" s="184">
        <v>45616</v>
      </c>
      <c r="L2874" s="95" t="s">
        <v>84</v>
      </c>
      <c r="M2874" s="69" t="s">
        <v>4</v>
      </c>
      <c r="N2874" s="69" t="s">
        <v>101</v>
      </c>
      <c r="O2874" s="69" t="s">
        <v>1436</v>
      </c>
      <c r="P2874" s="78"/>
      <c r="Q2874" s="96">
        <v>45616</v>
      </c>
      <c r="R2874" s="97" t="s">
        <v>929</v>
      </c>
      <c r="S2874" s="98"/>
    </row>
    <row r="2875" spans="1:19" ht="42.75">
      <c r="A2875" s="90" t="s">
        <v>53</v>
      </c>
      <c r="B2875" s="91" t="s">
        <v>329</v>
      </c>
      <c r="C2875" s="91" t="s">
        <v>764</v>
      </c>
      <c r="D2875" s="90">
        <v>7002</v>
      </c>
      <c r="E2875" s="90">
        <v>8856</v>
      </c>
      <c r="F2875" s="90" t="s">
        <v>1434</v>
      </c>
      <c r="G2875" s="90">
        <v>2024</v>
      </c>
      <c r="H2875" s="183">
        <v>45602</v>
      </c>
      <c r="I2875" s="183">
        <v>45611</v>
      </c>
      <c r="J2875" s="185" t="s">
        <v>4327</v>
      </c>
      <c r="K2875" s="184">
        <v>45616</v>
      </c>
      <c r="L2875" s="95" t="s">
        <v>84</v>
      </c>
      <c r="M2875" s="69" t="s">
        <v>4</v>
      </c>
      <c r="N2875" s="69" t="s">
        <v>101</v>
      </c>
      <c r="O2875" s="69" t="s">
        <v>1436</v>
      </c>
      <c r="P2875" s="78"/>
      <c r="Q2875" s="96">
        <v>45616</v>
      </c>
      <c r="R2875" s="97" t="s">
        <v>929</v>
      </c>
      <c r="S2875" s="98"/>
    </row>
    <row r="2876" spans="1:19" ht="42.75">
      <c r="A2876" s="90" t="s">
        <v>53</v>
      </c>
      <c r="B2876" s="91" t="s">
        <v>329</v>
      </c>
      <c r="C2876" s="91" t="s">
        <v>440</v>
      </c>
      <c r="D2876" s="90">
        <v>1355</v>
      </c>
      <c r="E2876" s="90">
        <v>1518</v>
      </c>
      <c r="F2876" s="90" t="s">
        <v>1434</v>
      </c>
      <c r="G2876" s="90">
        <v>2024</v>
      </c>
      <c r="H2876" s="183">
        <v>45602</v>
      </c>
      <c r="I2876" s="183">
        <v>45611</v>
      </c>
      <c r="J2876" s="185" t="s">
        <v>4328</v>
      </c>
      <c r="K2876" s="184">
        <v>45616</v>
      </c>
      <c r="L2876" s="95" t="s">
        <v>84</v>
      </c>
      <c r="M2876" s="69" t="s">
        <v>4</v>
      </c>
      <c r="N2876" s="69" t="s">
        <v>101</v>
      </c>
      <c r="O2876" s="69" t="s">
        <v>1436</v>
      </c>
      <c r="P2876" s="78"/>
      <c r="Q2876" s="96">
        <v>45616</v>
      </c>
      <c r="R2876" s="97" t="s">
        <v>929</v>
      </c>
      <c r="S2876" s="98"/>
    </row>
    <row r="2877" spans="1:19" ht="42.75">
      <c r="A2877" s="90" t="s">
        <v>53</v>
      </c>
      <c r="B2877" s="91" t="s">
        <v>329</v>
      </c>
      <c r="C2877" s="91" t="s">
        <v>1020</v>
      </c>
      <c r="D2877" s="90">
        <v>2025</v>
      </c>
      <c r="E2877" s="90">
        <v>2331</v>
      </c>
      <c r="F2877" s="90" t="s">
        <v>1454</v>
      </c>
      <c r="G2877" s="90"/>
      <c r="H2877" s="183"/>
      <c r="I2877" s="94"/>
      <c r="J2877" s="94"/>
      <c r="K2877" s="107"/>
      <c r="L2877" s="95"/>
      <c r="M2877" s="69"/>
      <c r="N2877" s="69"/>
      <c r="O2877" s="69"/>
      <c r="P2877" s="78"/>
      <c r="Q2877" s="96"/>
      <c r="R2877" s="97"/>
      <c r="S2877" s="98"/>
    </row>
    <row r="2878" spans="1:19" ht="42.75">
      <c r="A2878" s="90" t="s">
        <v>53</v>
      </c>
      <c r="B2878" s="91" t="s">
        <v>329</v>
      </c>
      <c r="C2878" s="91" t="s">
        <v>4329</v>
      </c>
      <c r="D2878" s="90">
        <v>1733</v>
      </c>
      <c r="E2878" s="90">
        <v>1827</v>
      </c>
      <c r="F2878" s="90" t="s">
        <v>1454</v>
      </c>
      <c r="G2878" s="90"/>
      <c r="H2878" s="183"/>
      <c r="I2878" s="117"/>
      <c r="J2878" s="117"/>
      <c r="K2878" s="107"/>
      <c r="L2878" s="95"/>
      <c r="M2878" s="69"/>
      <c r="N2878" s="69"/>
      <c r="O2878" s="69"/>
      <c r="P2878" s="78"/>
      <c r="Q2878" s="96"/>
      <c r="R2878" s="97"/>
      <c r="S2878" s="98"/>
    </row>
    <row r="2879" spans="1:19" ht="42.75">
      <c r="A2879" s="90" t="s">
        <v>53</v>
      </c>
      <c r="B2879" s="91" t="s">
        <v>329</v>
      </c>
      <c r="C2879" s="91" t="s">
        <v>1048</v>
      </c>
      <c r="D2879" s="90">
        <v>11393</v>
      </c>
      <c r="E2879" s="90">
        <v>14122</v>
      </c>
      <c r="F2879" s="90" t="s">
        <v>1434</v>
      </c>
      <c r="G2879" s="90">
        <v>2024</v>
      </c>
      <c r="H2879" s="186">
        <v>45539</v>
      </c>
      <c r="I2879" s="184">
        <v>45544</v>
      </c>
      <c r="J2879" s="187" t="s">
        <v>4330</v>
      </c>
      <c r="K2879" s="188">
        <v>45552</v>
      </c>
      <c r="L2879" s="95" t="s">
        <v>82</v>
      </c>
      <c r="M2879" s="69" t="s">
        <v>4</v>
      </c>
      <c r="N2879" s="69" t="s">
        <v>101</v>
      </c>
      <c r="O2879" s="69" t="s">
        <v>1436</v>
      </c>
      <c r="P2879" s="78"/>
      <c r="Q2879" s="96">
        <v>45552</v>
      </c>
      <c r="R2879" s="97" t="s">
        <v>929</v>
      </c>
      <c r="S2879" s="98"/>
    </row>
    <row r="2880" spans="1:19" ht="42.75">
      <c r="A2880" s="90" t="s">
        <v>53</v>
      </c>
      <c r="B2880" s="91" t="s">
        <v>329</v>
      </c>
      <c r="C2880" s="91" t="s">
        <v>4331</v>
      </c>
      <c r="D2880" s="90">
        <v>1007</v>
      </c>
      <c r="E2880" s="90">
        <v>669</v>
      </c>
      <c r="F2880" s="90" t="s">
        <v>1454</v>
      </c>
      <c r="G2880" s="128"/>
      <c r="H2880" s="186"/>
      <c r="I2880" s="107"/>
      <c r="J2880" s="107"/>
      <c r="K2880" s="189"/>
      <c r="L2880" s="95"/>
      <c r="M2880" s="69"/>
      <c r="N2880" s="69"/>
      <c r="O2880" s="69"/>
      <c r="P2880" s="78"/>
      <c r="Q2880" s="96"/>
      <c r="R2880" s="97"/>
      <c r="S2880" s="98"/>
    </row>
    <row r="2881" spans="1:19" ht="42.75">
      <c r="A2881" s="90" t="s">
        <v>53</v>
      </c>
      <c r="B2881" s="91" t="s">
        <v>329</v>
      </c>
      <c r="C2881" s="91" t="s">
        <v>2421</v>
      </c>
      <c r="D2881" s="90">
        <v>1142</v>
      </c>
      <c r="E2881" s="90">
        <v>1146</v>
      </c>
      <c r="F2881" s="90" t="s">
        <v>1434</v>
      </c>
      <c r="G2881" s="90">
        <v>2024</v>
      </c>
      <c r="H2881" s="186">
        <v>45602</v>
      </c>
      <c r="I2881" s="184">
        <v>45610</v>
      </c>
      <c r="J2881" s="190" t="s">
        <v>4332</v>
      </c>
      <c r="K2881" s="188">
        <v>45616</v>
      </c>
      <c r="L2881" s="95" t="s">
        <v>84</v>
      </c>
      <c r="M2881" s="69" t="s">
        <v>4</v>
      </c>
      <c r="N2881" s="69" t="s">
        <v>101</v>
      </c>
      <c r="O2881" s="69" t="s">
        <v>1436</v>
      </c>
      <c r="P2881" s="78"/>
      <c r="Q2881" s="96">
        <v>45616</v>
      </c>
      <c r="R2881" s="97" t="s">
        <v>2415</v>
      </c>
      <c r="S2881" s="98"/>
    </row>
    <row r="2882" spans="1:19" ht="42.75">
      <c r="A2882" s="90" t="s">
        <v>53</v>
      </c>
      <c r="B2882" s="91" t="s">
        <v>329</v>
      </c>
      <c r="C2882" s="91" t="s">
        <v>4333</v>
      </c>
      <c r="D2882" s="90">
        <v>372</v>
      </c>
      <c r="E2882" s="90">
        <v>376</v>
      </c>
      <c r="F2882" s="90" t="s">
        <v>1454</v>
      </c>
      <c r="G2882" s="128"/>
      <c r="H2882" s="186"/>
      <c r="I2882" s="107"/>
      <c r="J2882" s="107"/>
      <c r="K2882" s="189"/>
      <c r="L2882" s="95"/>
      <c r="M2882" s="69"/>
      <c r="N2882" s="69"/>
      <c r="O2882" s="69"/>
      <c r="P2882" s="78"/>
      <c r="Q2882" s="96"/>
      <c r="R2882" s="97"/>
      <c r="S2882" s="98"/>
    </row>
    <row r="2883" spans="1:19" ht="42.75">
      <c r="A2883" s="90" t="s">
        <v>53</v>
      </c>
      <c r="B2883" s="91" t="s">
        <v>329</v>
      </c>
      <c r="C2883" s="91" t="s">
        <v>4334</v>
      </c>
      <c r="D2883" s="90">
        <v>1126</v>
      </c>
      <c r="E2883" s="90">
        <v>1239</v>
      </c>
      <c r="F2883" s="90" t="s">
        <v>1454</v>
      </c>
      <c r="G2883" s="128"/>
      <c r="H2883" s="186"/>
      <c r="I2883" s="107"/>
      <c r="J2883" s="107"/>
      <c r="K2883" s="189"/>
      <c r="L2883" s="95"/>
      <c r="M2883" s="69"/>
      <c r="N2883" s="69"/>
      <c r="O2883" s="69"/>
      <c r="P2883" s="78"/>
      <c r="Q2883" s="96"/>
      <c r="R2883" s="97"/>
      <c r="S2883" s="98"/>
    </row>
    <row r="2884" spans="1:19" ht="42.75">
      <c r="A2884" s="90" t="s">
        <v>53</v>
      </c>
      <c r="B2884" s="91" t="s">
        <v>329</v>
      </c>
      <c r="C2884" s="91" t="s">
        <v>1006</v>
      </c>
      <c r="D2884" s="90">
        <v>650</v>
      </c>
      <c r="E2884" s="90">
        <v>741</v>
      </c>
      <c r="F2884" s="90" t="s">
        <v>1454</v>
      </c>
      <c r="G2884" s="90"/>
      <c r="H2884" s="183"/>
      <c r="I2884" s="94"/>
      <c r="J2884" s="94"/>
      <c r="K2884" s="107"/>
      <c r="L2884" s="95"/>
      <c r="M2884" s="69"/>
      <c r="N2884" s="69"/>
      <c r="O2884" s="69"/>
      <c r="P2884" s="78"/>
      <c r="Q2884" s="96"/>
      <c r="R2884" s="97"/>
      <c r="S2884" s="98"/>
    </row>
    <row r="2885" spans="1:19" ht="42.75">
      <c r="A2885" s="90" t="s">
        <v>53</v>
      </c>
      <c r="B2885" s="91" t="s">
        <v>329</v>
      </c>
      <c r="C2885" s="91" t="s">
        <v>2916</v>
      </c>
      <c r="D2885" s="90">
        <v>507</v>
      </c>
      <c r="E2885" s="90">
        <v>814</v>
      </c>
      <c r="F2885" s="90" t="s">
        <v>1454</v>
      </c>
      <c r="G2885" s="90"/>
      <c r="H2885" s="183"/>
      <c r="I2885" s="94"/>
      <c r="J2885" s="94"/>
      <c r="K2885" s="107"/>
      <c r="L2885" s="95"/>
      <c r="M2885" s="69"/>
      <c r="N2885" s="69"/>
      <c r="O2885" s="69"/>
      <c r="P2885" s="78"/>
      <c r="Q2885" s="96"/>
      <c r="R2885" s="97"/>
      <c r="S2885" s="98"/>
    </row>
    <row r="2886" spans="1:19" ht="42.75">
      <c r="A2886" s="90" t="s">
        <v>53</v>
      </c>
      <c r="B2886" s="91" t="s">
        <v>329</v>
      </c>
      <c r="C2886" s="91" t="s">
        <v>4335</v>
      </c>
      <c r="D2886" s="90">
        <v>276</v>
      </c>
      <c r="E2886" s="90">
        <v>864</v>
      </c>
      <c r="F2886" s="90" t="s">
        <v>1454</v>
      </c>
      <c r="G2886" s="90"/>
      <c r="H2886" s="183"/>
      <c r="I2886" s="94"/>
      <c r="J2886" s="94"/>
      <c r="K2886" s="107"/>
      <c r="L2886" s="95"/>
      <c r="M2886" s="69"/>
      <c r="N2886" s="69"/>
      <c r="O2886" s="69"/>
      <c r="P2886" s="78"/>
      <c r="Q2886" s="96"/>
      <c r="R2886" s="97"/>
      <c r="S2886" s="98"/>
    </row>
    <row r="2887" spans="1:19" ht="42.75">
      <c r="A2887" s="90" t="s">
        <v>53</v>
      </c>
      <c r="B2887" s="91" t="s">
        <v>329</v>
      </c>
      <c r="C2887" s="91" t="s">
        <v>4336</v>
      </c>
      <c r="D2887" s="90">
        <v>776</v>
      </c>
      <c r="E2887" s="90">
        <v>495</v>
      </c>
      <c r="F2887" s="90" t="s">
        <v>1454</v>
      </c>
      <c r="G2887" s="90"/>
      <c r="H2887" s="183"/>
      <c r="I2887" s="94"/>
      <c r="J2887" s="94"/>
      <c r="K2887" s="107"/>
      <c r="L2887" s="95"/>
      <c r="M2887" s="69"/>
      <c r="N2887" s="69"/>
      <c r="O2887" s="69"/>
      <c r="P2887" s="78"/>
      <c r="Q2887" s="96"/>
      <c r="R2887" s="97"/>
      <c r="S2887" s="98"/>
    </row>
    <row r="2888" spans="1:19" ht="42.75">
      <c r="A2888" s="90" t="s">
        <v>53</v>
      </c>
      <c r="B2888" s="91" t="s">
        <v>329</v>
      </c>
      <c r="C2888" s="91" t="s">
        <v>4337</v>
      </c>
      <c r="D2888" s="90">
        <v>479</v>
      </c>
      <c r="E2888" s="90">
        <v>420</v>
      </c>
      <c r="F2888" s="90" t="s">
        <v>1454</v>
      </c>
      <c r="G2888" s="90"/>
      <c r="H2888" s="183"/>
      <c r="I2888" s="94"/>
      <c r="J2888" s="94"/>
      <c r="K2888" s="107"/>
      <c r="L2888" s="95"/>
      <c r="M2888" s="69"/>
      <c r="N2888" s="69"/>
      <c r="O2888" s="69"/>
      <c r="P2888" s="78"/>
      <c r="Q2888" s="96"/>
      <c r="R2888" s="97"/>
      <c r="S2888" s="98"/>
    </row>
    <row r="2889" spans="1:19" ht="42.75">
      <c r="A2889" s="90" t="s">
        <v>53</v>
      </c>
      <c r="B2889" s="91" t="s">
        <v>329</v>
      </c>
      <c r="C2889" s="91" t="s">
        <v>4338</v>
      </c>
      <c r="D2889" s="90">
        <v>409</v>
      </c>
      <c r="E2889" s="90">
        <v>455</v>
      </c>
      <c r="F2889" s="90" t="s">
        <v>1454</v>
      </c>
      <c r="G2889" s="90"/>
      <c r="H2889" s="183"/>
      <c r="I2889" s="94"/>
      <c r="J2889" s="94"/>
      <c r="K2889" s="107"/>
      <c r="L2889" s="95"/>
      <c r="M2889" s="69"/>
      <c r="N2889" s="69"/>
      <c r="O2889" s="69"/>
      <c r="P2889" s="78"/>
      <c r="Q2889" s="96"/>
      <c r="R2889" s="97"/>
      <c r="S2889" s="98"/>
    </row>
    <row r="2890" spans="1:19" ht="42.75">
      <c r="A2890" s="90" t="s">
        <v>53</v>
      </c>
      <c r="B2890" s="91" t="s">
        <v>544</v>
      </c>
      <c r="C2890" s="91" t="s">
        <v>4339</v>
      </c>
      <c r="D2890" s="90">
        <v>890</v>
      </c>
      <c r="E2890" s="90">
        <v>937</v>
      </c>
      <c r="F2890" s="90" t="s">
        <v>1454</v>
      </c>
      <c r="G2890" s="90"/>
      <c r="H2890" s="94"/>
      <c r="I2890" s="94"/>
      <c r="J2890" s="94"/>
      <c r="K2890" s="107"/>
      <c r="L2890" s="95"/>
      <c r="M2890" s="69"/>
      <c r="N2890" s="69"/>
      <c r="O2890" s="69"/>
      <c r="P2890" s="78"/>
      <c r="Q2890" s="96"/>
      <c r="R2890" s="97"/>
      <c r="S2890" s="98"/>
    </row>
    <row r="2891" spans="1:19" ht="42.75">
      <c r="A2891" s="90" t="s">
        <v>53</v>
      </c>
      <c r="B2891" s="91" t="s">
        <v>544</v>
      </c>
      <c r="C2891" s="91" t="s">
        <v>4340</v>
      </c>
      <c r="D2891" s="90">
        <v>658</v>
      </c>
      <c r="E2891" s="90">
        <v>651</v>
      </c>
      <c r="F2891" s="90" t="s">
        <v>1434</v>
      </c>
      <c r="G2891" s="90">
        <v>2024</v>
      </c>
      <c r="H2891" s="183">
        <v>45582</v>
      </c>
      <c r="I2891" s="183">
        <v>45583</v>
      </c>
      <c r="J2891" s="366" t="s">
        <v>4341</v>
      </c>
      <c r="K2891" s="184">
        <v>45584</v>
      </c>
      <c r="L2891" s="95" t="s">
        <v>83</v>
      </c>
      <c r="M2891" s="69" t="s">
        <v>4</v>
      </c>
      <c r="N2891" s="69" t="s">
        <v>101</v>
      </c>
      <c r="O2891" s="69" t="s">
        <v>1436</v>
      </c>
      <c r="P2891" s="78"/>
      <c r="Q2891" s="96">
        <v>45586</v>
      </c>
      <c r="R2891" s="97" t="s">
        <v>2415</v>
      </c>
      <c r="S2891" s="98"/>
    </row>
    <row r="2892" spans="1:19" ht="42.75">
      <c r="A2892" s="90" t="s">
        <v>53</v>
      </c>
      <c r="B2892" s="91" t="s">
        <v>544</v>
      </c>
      <c r="C2892" s="91" t="s">
        <v>4342</v>
      </c>
      <c r="D2892" s="90">
        <v>1049</v>
      </c>
      <c r="E2892" s="90">
        <v>1239</v>
      </c>
      <c r="F2892" s="90" t="s">
        <v>1454</v>
      </c>
      <c r="G2892" s="90"/>
      <c r="H2892" s="94"/>
      <c r="I2892" s="94"/>
      <c r="J2892" s="94"/>
      <c r="K2892" s="107"/>
      <c r="L2892" s="95"/>
      <c r="M2892" s="69"/>
      <c r="N2892" s="69"/>
      <c r="O2892" s="69"/>
      <c r="P2892" s="78"/>
      <c r="Q2892" s="96"/>
      <c r="R2892" s="97"/>
      <c r="S2892" s="98"/>
    </row>
    <row r="2893" spans="1:19" ht="42.75">
      <c r="A2893" s="90" t="s">
        <v>53</v>
      </c>
      <c r="B2893" s="91" t="s">
        <v>544</v>
      </c>
      <c r="C2893" s="91" t="s">
        <v>4343</v>
      </c>
      <c r="D2893" s="90">
        <v>275</v>
      </c>
      <c r="E2893" s="90">
        <v>329</v>
      </c>
      <c r="F2893" s="90" t="s">
        <v>1434</v>
      </c>
      <c r="G2893" s="90">
        <v>2024</v>
      </c>
      <c r="H2893" s="183">
        <v>45484</v>
      </c>
      <c r="I2893" s="183">
        <v>45486</v>
      </c>
      <c r="J2893" s="185" t="s">
        <v>4344</v>
      </c>
      <c r="K2893" s="184">
        <v>45490</v>
      </c>
      <c r="L2893" s="95" t="s">
        <v>80</v>
      </c>
      <c r="M2893" s="69" t="s">
        <v>4</v>
      </c>
      <c r="N2893" s="69" t="s">
        <v>101</v>
      </c>
      <c r="O2893" s="69" t="s">
        <v>1436</v>
      </c>
      <c r="P2893" s="78"/>
      <c r="Q2893" s="96">
        <v>45491</v>
      </c>
      <c r="R2893" s="97"/>
      <c r="S2893" s="98"/>
    </row>
    <row r="2894" spans="1:19" ht="42.75">
      <c r="A2894" s="90" t="s">
        <v>53</v>
      </c>
      <c r="B2894" s="91" t="s">
        <v>544</v>
      </c>
      <c r="C2894" s="91" t="s">
        <v>4345</v>
      </c>
      <c r="D2894" s="90">
        <v>2005</v>
      </c>
      <c r="E2894" s="90">
        <v>2427</v>
      </c>
      <c r="F2894" s="90" t="s">
        <v>1454</v>
      </c>
      <c r="G2894" s="90"/>
      <c r="H2894" s="94"/>
      <c r="I2894" s="94"/>
      <c r="J2894" s="94"/>
      <c r="K2894" s="107"/>
      <c r="L2894" s="95"/>
      <c r="M2894" s="69"/>
      <c r="N2894" s="69"/>
      <c r="O2894" s="69"/>
      <c r="P2894" s="78"/>
      <c r="Q2894" s="96"/>
      <c r="R2894" s="97"/>
      <c r="S2894" s="98"/>
    </row>
    <row r="2895" spans="1:19" ht="42.75">
      <c r="A2895" s="90" t="s">
        <v>53</v>
      </c>
      <c r="B2895" s="91" t="s">
        <v>544</v>
      </c>
      <c r="C2895" s="91" t="s">
        <v>368</v>
      </c>
      <c r="D2895" s="90">
        <v>1582</v>
      </c>
      <c r="E2895" s="90">
        <v>1685</v>
      </c>
      <c r="F2895" s="90" t="s">
        <v>1454</v>
      </c>
      <c r="G2895" s="90"/>
      <c r="H2895" s="94"/>
      <c r="I2895" s="94"/>
      <c r="J2895" s="94"/>
      <c r="K2895" s="107"/>
      <c r="L2895" s="95"/>
      <c r="M2895" s="69"/>
      <c r="N2895" s="69"/>
      <c r="O2895" s="69"/>
      <c r="P2895" s="78"/>
      <c r="Q2895" s="96"/>
      <c r="R2895" s="97"/>
      <c r="S2895" s="98"/>
    </row>
    <row r="2896" spans="1:19" ht="42.75">
      <c r="A2896" s="90" t="s">
        <v>53</v>
      </c>
      <c r="B2896" s="91" t="s">
        <v>544</v>
      </c>
      <c r="C2896" s="91" t="s">
        <v>4346</v>
      </c>
      <c r="D2896" s="90">
        <v>604</v>
      </c>
      <c r="E2896" s="90">
        <v>703</v>
      </c>
      <c r="F2896" s="90" t="s">
        <v>1454</v>
      </c>
      <c r="G2896" s="90"/>
      <c r="H2896" s="94"/>
      <c r="I2896" s="94"/>
      <c r="J2896" s="94"/>
      <c r="K2896" s="107"/>
      <c r="L2896" s="95"/>
      <c r="M2896" s="69"/>
      <c r="N2896" s="69"/>
      <c r="O2896" s="69"/>
      <c r="P2896" s="78"/>
      <c r="Q2896" s="96"/>
      <c r="R2896" s="97"/>
      <c r="S2896" s="98"/>
    </row>
    <row r="2897" spans="1:19" ht="42.75">
      <c r="A2897" s="90" t="s">
        <v>53</v>
      </c>
      <c r="B2897" s="91" t="s">
        <v>544</v>
      </c>
      <c r="C2897" s="91" t="s">
        <v>4347</v>
      </c>
      <c r="D2897" s="90">
        <v>1219</v>
      </c>
      <c r="E2897" s="90">
        <v>1310</v>
      </c>
      <c r="F2897" s="90" t="s">
        <v>1454</v>
      </c>
      <c r="G2897" s="90"/>
      <c r="H2897" s="94"/>
      <c r="I2897" s="94"/>
      <c r="J2897" s="94"/>
      <c r="K2897" s="107"/>
      <c r="L2897" s="95"/>
      <c r="M2897" s="69"/>
      <c r="N2897" s="69"/>
      <c r="O2897" s="69"/>
      <c r="P2897" s="78"/>
      <c r="Q2897" s="96"/>
      <c r="R2897" s="97"/>
      <c r="S2897" s="98"/>
    </row>
    <row r="2898" spans="1:19" ht="42.75">
      <c r="A2898" s="90" t="s">
        <v>53</v>
      </c>
      <c r="B2898" s="91" t="s">
        <v>544</v>
      </c>
      <c r="C2898" s="91" t="s">
        <v>4348</v>
      </c>
      <c r="D2898" s="90">
        <v>392</v>
      </c>
      <c r="E2898" s="90">
        <v>379</v>
      </c>
      <c r="F2898" s="90" t="s">
        <v>1454</v>
      </c>
      <c r="G2898" s="90"/>
      <c r="H2898" s="94"/>
      <c r="I2898" s="94"/>
      <c r="J2898" s="94"/>
      <c r="K2898" s="107"/>
      <c r="L2898" s="95"/>
      <c r="M2898" s="69"/>
      <c r="N2898" s="69"/>
      <c r="O2898" s="69"/>
      <c r="P2898" s="78"/>
      <c r="Q2898" s="96"/>
      <c r="R2898" s="97"/>
      <c r="S2898" s="98"/>
    </row>
    <row r="2899" spans="1:19" ht="42.75">
      <c r="A2899" s="90" t="s">
        <v>53</v>
      </c>
      <c r="B2899" s="91" t="s">
        <v>544</v>
      </c>
      <c r="C2899" s="91" t="s">
        <v>4349</v>
      </c>
      <c r="D2899" s="90">
        <v>1224</v>
      </c>
      <c r="E2899" s="90">
        <v>1458</v>
      </c>
      <c r="F2899" s="90" t="s">
        <v>1454</v>
      </c>
      <c r="G2899" s="90"/>
      <c r="H2899" s="94"/>
      <c r="I2899" s="94"/>
      <c r="J2899" s="94"/>
      <c r="K2899" s="107"/>
      <c r="L2899" s="95"/>
      <c r="M2899" s="69"/>
      <c r="N2899" s="69"/>
      <c r="O2899" s="69"/>
      <c r="P2899" s="78"/>
      <c r="Q2899" s="96"/>
      <c r="R2899" s="97"/>
      <c r="S2899" s="98"/>
    </row>
    <row r="2900" spans="1:19" ht="42.75">
      <c r="A2900" s="90" t="s">
        <v>53</v>
      </c>
      <c r="B2900" s="91" t="s">
        <v>544</v>
      </c>
      <c r="C2900" s="91" t="s">
        <v>3425</v>
      </c>
      <c r="D2900" s="90">
        <v>641</v>
      </c>
      <c r="E2900" s="90">
        <v>779</v>
      </c>
      <c r="F2900" s="90" t="s">
        <v>1454</v>
      </c>
      <c r="G2900" s="90"/>
      <c r="H2900" s="94"/>
      <c r="I2900" s="94"/>
      <c r="J2900" s="117"/>
      <c r="K2900" s="107"/>
      <c r="L2900" s="95"/>
      <c r="M2900" s="69"/>
      <c r="N2900" s="69"/>
      <c r="O2900" s="69"/>
      <c r="P2900" s="78"/>
      <c r="Q2900" s="96"/>
      <c r="R2900" s="97"/>
      <c r="S2900" s="98"/>
    </row>
    <row r="2901" spans="1:19" ht="42.75">
      <c r="A2901" s="90" t="s">
        <v>53</v>
      </c>
      <c r="B2901" s="91" t="s">
        <v>544</v>
      </c>
      <c r="C2901" s="91" t="s">
        <v>1039</v>
      </c>
      <c r="D2901" s="90">
        <v>1052</v>
      </c>
      <c r="E2901" s="90">
        <v>1192</v>
      </c>
      <c r="F2901" s="90" t="s">
        <v>1434</v>
      </c>
      <c r="G2901" s="90">
        <v>2024</v>
      </c>
      <c r="H2901" s="183">
        <v>45540</v>
      </c>
      <c r="I2901" s="186">
        <v>45544</v>
      </c>
      <c r="J2901" s="187" t="s">
        <v>4350</v>
      </c>
      <c r="K2901" s="188">
        <v>45552</v>
      </c>
      <c r="L2901" s="95" t="s">
        <v>82</v>
      </c>
      <c r="M2901" s="69" t="s">
        <v>4</v>
      </c>
      <c r="N2901" s="69" t="s">
        <v>101</v>
      </c>
      <c r="O2901" s="69" t="s">
        <v>1436</v>
      </c>
      <c r="P2901" s="78"/>
      <c r="Q2901" s="96">
        <v>45552</v>
      </c>
      <c r="R2901" s="97" t="s">
        <v>2415</v>
      </c>
      <c r="S2901" s="98"/>
    </row>
    <row r="2902" spans="1:19" ht="42.75">
      <c r="A2902" s="90" t="s">
        <v>53</v>
      </c>
      <c r="B2902" s="91" t="s">
        <v>544</v>
      </c>
      <c r="C2902" s="91" t="s">
        <v>4351</v>
      </c>
      <c r="D2902" s="90">
        <v>1991</v>
      </c>
      <c r="E2902" s="90">
        <v>2098</v>
      </c>
      <c r="F2902" s="90" t="s">
        <v>1454</v>
      </c>
      <c r="G2902" s="90"/>
      <c r="H2902" s="94"/>
      <c r="I2902" s="191"/>
      <c r="J2902" s="107"/>
      <c r="K2902" s="189"/>
      <c r="L2902" s="95"/>
      <c r="M2902" s="69"/>
      <c r="N2902" s="69"/>
      <c r="O2902" s="69"/>
      <c r="P2902" s="78"/>
      <c r="Q2902" s="96"/>
      <c r="R2902" s="97"/>
      <c r="S2902" s="98"/>
    </row>
    <row r="2903" spans="1:19" ht="42.75">
      <c r="A2903" s="90" t="s">
        <v>53</v>
      </c>
      <c r="B2903" s="91" t="s">
        <v>544</v>
      </c>
      <c r="C2903" s="91" t="s">
        <v>4352</v>
      </c>
      <c r="D2903" s="90">
        <v>1533</v>
      </c>
      <c r="E2903" s="90">
        <v>1848</v>
      </c>
      <c r="F2903" s="90" t="s">
        <v>1454</v>
      </c>
      <c r="G2903" s="90"/>
      <c r="H2903" s="94"/>
      <c r="I2903" s="94"/>
      <c r="J2903" s="94"/>
      <c r="K2903" s="107"/>
      <c r="L2903" s="95"/>
      <c r="M2903" s="69"/>
      <c r="N2903" s="69"/>
      <c r="O2903" s="69"/>
      <c r="P2903" s="78"/>
      <c r="Q2903" s="96"/>
      <c r="R2903" s="97"/>
      <c r="S2903" s="98"/>
    </row>
    <row r="2904" spans="1:19" ht="42.75">
      <c r="A2904" s="90" t="s">
        <v>53</v>
      </c>
      <c r="B2904" s="91" t="s">
        <v>544</v>
      </c>
      <c r="C2904" s="91" t="s">
        <v>714</v>
      </c>
      <c r="D2904" s="90">
        <v>742</v>
      </c>
      <c r="E2904" s="90">
        <v>788</v>
      </c>
      <c r="F2904" s="90" t="s">
        <v>1434</v>
      </c>
      <c r="G2904" s="90">
        <v>2024</v>
      </c>
      <c r="H2904" s="183">
        <v>45484</v>
      </c>
      <c r="I2904" s="183">
        <v>45486</v>
      </c>
      <c r="J2904" s="185" t="s">
        <v>4353</v>
      </c>
      <c r="K2904" s="184">
        <v>45490</v>
      </c>
      <c r="L2904" s="95" t="s">
        <v>80</v>
      </c>
      <c r="M2904" s="69" t="s">
        <v>4</v>
      </c>
      <c r="N2904" s="69" t="s">
        <v>101</v>
      </c>
      <c r="O2904" s="69" t="s">
        <v>1436</v>
      </c>
      <c r="P2904" s="78"/>
      <c r="Q2904" s="96">
        <v>45491</v>
      </c>
      <c r="R2904" s="97"/>
      <c r="S2904" s="98"/>
    </row>
    <row r="2905" spans="1:19" ht="42.75">
      <c r="A2905" s="90" t="s">
        <v>53</v>
      </c>
      <c r="B2905" s="91" t="s">
        <v>544</v>
      </c>
      <c r="C2905" s="91" t="s">
        <v>520</v>
      </c>
      <c r="D2905" s="90">
        <v>2180</v>
      </c>
      <c r="E2905" s="90">
        <v>2321</v>
      </c>
      <c r="F2905" s="90" t="s">
        <v>1454</v>
      </c>
      <c r="G2905" s="90"/>
      <c r="H2905" s="94"/>
      <c r="I2905" s="94"/>
      <c r="J2905" s="94"/>
      <c r="K2905" s="107"/>
      <c r="L2905" s="95"/>
      <c r="M2905" s="69"/>
      <c r="N2905" s="69"/>
      <c r="O2905" s="69"/>
      <c r="P2905" s="78"/>
      <c r="Q2905" s="96"/>
      <c r="R2905" s="97"/>
      <c r="S2905" s="98"/>
    </row>
    <row r="2906" spans="1:19" ht="42.75">
      <c r="A2906" s="90" t="s">
        <v>53</v>
      </c>
      <c r="B2906" s="91" t="s">
        <v>544</v>
      </c>
      <c r="C2906" s="91" t="s">
        <v>2178</v>
      </c>
      <c r="D2906" s="90">
        <v>1655</v>
      </c>
      <c r="E2906" s="90">
        <v>1671</v>
      </c>
      <c r="F2906" s="90" t="s">
        <v>1454</v>
      </c>
      <c r="G2906" s="90"/>
      <c r="H2906" s="94"/>
      <c r="I2906" s="94"/>
      <c r="J2906" s="94"/>
      <c r="K2906" s="107"/>
      <c r="L2906" s="95"/>
      <c r="M2906" s="69"/>
      <c r="N2906" s="69"/>
      <c r="O2906" s="69"/>
      <c r="P2906" s="78"/>
      <c r="Q2906" s="96"/>
      <c r="R2906" s="97"/>
      <c r="S2906" s="98"/>
    </row>
    <row r="2907" spans="1:19" ht="42.75">
      <c r="A2907" s="90" t="s">
        <v>53</v>
      </c>
      <c r="B2907" s="91" t="s">
        <v>544</v>
      </c>
      <c r="C2907" s="91" t="s">
        <v>378</v>
      </c>
      <c r="D2907" s="90">
        <v>932</v>
      </c>
      <c r="E2907" s="90">
        <v>1097</v>
      </c>
      <c r="F2907" s="90" t="s">
        <v>1454</v>
      </c>
      <c r="G2907" s="90"/>
      <c r="H2907" s="183"/>
      <c r="I2907" s="183"/>
      <c r="J2907" s="94"/>
      <c r="K2907" s="107"/>
      <c r="L2907" s="95"/>
      <c r="M2907" s="69"/>
      <c r="N2907" s="69"/>
      <c r="O2907" s="69"/>
      <c r="P2907" s="78"/>
      <c r="Q2907" s="96"/>
      <c r="R2907" s="97"/>
      <c r="S2907" s="98"/>
    </row>
    <row r="2908" spans="1:19" ht="42.75">
      <c r="A2908" s="90" t="s">
        <v>53</v>
      </c>
      <c r="B2908" s="91" t="s">
        <v>544</v>
      </c>
      <c r="C2908" s="91" t="s">
        <v>539</v>
      </c>
      <c r="D2908" s="90">
        <v>1944</v>
      </c>
      <c r="E2908" s="90">
        <v>2130</v>
      </c>
      <c r="F2908" s="90" t="s">
        <v>1434</v>
      </c>
      <c r="G2908" s="90">
        <v>2024</v>
      </c>
      <c r="H2908" s="183">
        <v>45484</v>
      </c>
      <c r="I2908" s="183">
        <v>45486</v>
      </c>
      <c r="J2908" s="192" t="s">
        <v>4354</v>
      </c>
      <c r="K2908" s="184">
        <v>45490</v>
      </c>
      <c r="L2908" s="95" t="s">
        <v>80</v>
      </c>
      <c r="M2908" s="69" t="s">
        <v>4</v>
      </c>
      <c r="N2908" s="69" t="s">
        <v>101</v>
      </c>
      <c r="O2908" s="69" t="s">
        <v>1436</v>
      </c>
      <c r="P2908" s="78"/>
      <c r="Q2908" s="96">
        <v>45491</v>
      </c>
      <c r="R2908" s="97"/>
      <c r="S2908" s="98"/>
    </row>
    <row r="2909" spans="1:19" ht="42.75">
      <c r="A2909" s="90" t="s">
        <v>53</v>
      </c>
      <c r="B2909" s="91" t="s">
        <v>544</v>
      </c>
      <c r="C2909" s="91" t="s">
        <v>1879</v>
      </c>
      <c r="D2909" s="90">
        <v>996</v>
      </c>
      <c r="E2909" s="90">
        <v>1185</v>
      </c>
      <c r="F2909" s="90" t="s">
        <v>1434</v>
      </c>
      <c r="G2909" s="90">
        <v>2024</v>
      </c>
      <c r="H2909" s="183">
        <v>45582</v>
      </c>
      <c r="I2909" s="183">
        <v>45583</v>
      </c>
      <c r="J2909" s="193" t="s">
        <v>4355</v>
      </c>
      <c r="K2909" s="184">
        <v>45593</v>
      </c>
      <c r="L2909" s="95" t="s">
        <v>83</v>
      </c>
      <c r="M2909" s="69" t="s">
        <v>4</v>
      </c>
      <c r="N2909" s="69" t="s">
        <v>101</v>
      </c>
      <c r="O2909" s="69" t="s">
        <v>1436</v>
      </c>
      <c r="P2909" s="78"/>
      <c r="Q2909" s="96">
        <v>45593</v>
      </c>
      <c r="R2909" s="97" t="s">
        <v>929</v>
      </c>
      <c r="S2909" s="98"/>
    </row>
    <row r="2910" spans="1:19" ht="42.75">
      <c r="A2910" s="90" t="s">
        <v>53</v>
      </c>
      <c r="B2910" s="91" t="s">
        <v>544</v>
      </c>
      <c r="C2910" s="91" t="s">
        <v>4356</v>
      </c>
      <c r="D2910" s="90">
        <v>1100</v>
      </c>
      <c r="E2910" s="90">
        <v>1279</v>
      </c>
      <c r="F2910" s="90" t="s">
        <v>1454</v>
      </c>
      <c r="G2910" s="90"/>
      <c r="H2910" s="94"/>
      <c r="I2910" s="94"/>
      <c r="J2910" s="94"/>
      <c r="K2910" s="107"/>
      <c r="L2910" s="95"/>
      <c r="M2910" s="69"/>
      <c r="N2910" s="69"/>
      <c r="O2910" s="69"/>
      <c r="P2910" s="78"/>
      <c r="Q2910" s="96"/>
      <c r="R2910" s="97"/>
      <c r="S2910" s="98"/>
    </row>
    <row r="2911" spans="1:19" ht="42.75">
      <c r="A2911" s="90" t="s">
        <v>53</v>
      </c>
      <c r="B2911" s="91" t="s">
        <v>544</v>
      </c>
      <c r="C2911" s="91" t="s">
        <v>4357</v>
      </c>
      <c r="D2911" s="90">
        <v>499</v>
      </c>
      <c r="E2911" s="90">
        <v>612</v>
      </c>
      <c r="F2911" s="90" t="s">
        <v>1454</v>
      </c>
      <c r="G2911" s="90"/>
      <c r="H2911" s="94"/>
      <c r="I2911" s="94"/>
      <c r="J2911" s="94"/>
      <c r="K2911" s="107"/>
      <c r="L2911" s="95"/>
      <c r="M2911" s="69"/>
      <c r="N2911" s="69"/>
      <c r="O2911" s="69"/>
      <c r="P2911" s="78"/>
      <c r="Q2911" s="96"/>
      <c r="R2911" s="97"/>
      <c r="S2911" s="98"/>
    </row>
    <row r="2912" spans="1:19" ht="42.75">
      <c r="A2912" s="90" t="s">
        <v>53</v>
      </c>
      <c r="B2912" s="91" t="s">
        <v>546</v>
      </c>
      <c r="C2912" s="91" t="s">
        <v>4358</v>
      </c>
      <c r="D2912" s="90">
        <v>1769</v>
      </c>
      <c r="E2912" s="90">
        <v>1987</v>
      </c>
      <c r="F2912" s="90" t="s">
        <v>1454</v>
      </c>
      <c r="G2912" s="90"/>
      <c r="H2912" s="194"/>
      <c r="I2912" s="94"/>
      <c r="J2912" s="94"/>
      <c r="K2912" s="107"/>
      <c r="L2912" s="95"/>
      <c r="M2912" s="69"/>
      <c r="N2912" s="69"/>
      <c r="O2912" s="69"/>
      <c r="P2912" s="78"/>
      <c r="Q2912" s="96"/>
      <c r="R2912" s="97"/>
      <c r="S2912" s="98"/>
    </row>
    <row r="2913" spans="1:19" ht="42.75">
      <c r="A2913" s="90" t="s">
        <v>53</v>
      </c>
      <c r="B2913" s="91" t="s">
        <v>546</v>
      </c>
      <c r="C2913" s="91" t="s">
        <v>4359</v>
      </c>
      <c r="D2913" s="90">
        <v>1951</v>
      </c>
      <c r="E2913" s="90">
        <v>2302</v>
      </c>
      <c r="F2913" s="90" t="s">
        <v>1434</v>
      </c>
      <c r="G2913" s="90">
        <v>2024</v>
      </c>
      <c r="H2913" s="183">
        <v>45484</v>
      </c>
      <c r="I2913" s="183">
        <v>45484</v>
      </c>
      <c r="J2913" s="185" t="s">
        <v>4360</v>
      </c>
      <c r="K2913" s="184">
        <v>45491</v>
      </c>
      <c r="L2913" s="95" t="s">
        <v>80</v>
      </c>
      <c r="M2913" s="69" t="s">
        <v>4</v>
      </c>
      <c r="N2913" s="69" t="s">
        <v>101</v>
      </c>
      <c r="O2913" s="69" t="s">
        <v>1436</v>
      </c>
      <c r="P2913" s="78"/>
      <c r="Q2913" s="96">
        <v>45492</v>
      </c>
      <c r="R2913" s="97"/>
      <c r="S2913" s="98"/>
    </row>
    <row r="2914" spans="1:19" ht="42.75">
      <c r="A2914" s="90" t="s">
        <v>53</v>
      </c>
      <c r="B2914" s="91" t="s">
        <v>546</v>
      </c>
      <c r="C2914" s="91" t="s">
        <v>4361</v>
      </c>
      <c r="D2914" s="90">
        <v>1344</v>
      </c>
      <c r="E2914" s="90">
        <v>1286</v>
      </c>
      <c r="F2914" s="90" t="s">
        <v>1434</v>
      </c>
      <c r="G2914" s="90">
        <v>2024</v>
      </c>
      <c r="H2914" s="183">
        <v>45484</v>
      </c>
      <c r="I2914" s="183">
        <v>45484</v>
      </c>
      <c r="J2914" s="185" t="s">
        <v>4362</v>
      </c>
      <c r="K2914" s="184">
        <v>45491</v>
      </c>
      <c r="L2914" s="95" t="s">
        <v>80</v>
      </c>
      <c r="M2914" s="69" t="s">
        <v>4</v>
      </c>
      <c r="N2914" s="69" t="s">
        <v>101</v>
      </c>
      <c r="O2914" s="69" t="s">
        <v>1436</v>
      </c>
      <c r="P2914" s="78"/>
      <c r="Q2914" s="70">
        <v>45491</v>
      </c>
      <c r="R2914" s="97"/>
      <c r="S2914" s="98"/>
    </row>
    <row r="2915" spans="1:19" ht="42.75">
      <c r="A2915" s="90" t="s">
        <v>53</v>
      </c>
      <c r="B2915" s="91" t="s">
        <v>546</v>
      </c>
      <c r="C2915" s="91" t="s">
        <v>4363</v>
      </c>
      <c r="D2915" s="90">
        <v>927</v>
      </c>
      <c r="E2915" s="90">
        <v>963</v>
      </c>
      <c r="F2915" s="90" t="s">
        <v>1454</v>
      </c>
      <c r="G2915" s="90"/>
      <c r="H2915" s="194"/>
      <c r="I2915" s="94"/>
      <c r="J2915" s="94"/>
      <c r="K2915" s="107"/>
      <c r="L2915" s="95"/>
      <c r="M2915" s="69"/>
      <c r="N2915" s="69"/>
      <c r="O2915" s="69"/>
      <c r="P2915" s="78"/>
      <c r="Q2915" s="96"/>
      <c r="R2915" s="97"/>
      <c r="S2915" s="98"/>
    </row>
    <row r="2916" spans="1:19" ht="42.75">
      <c r="A2916" s="90" t="s">
        <v>53</v>
      </c>
      <c r="B2916" s="91" t="s">
        <v>546</v>
      </c>
      <c r="C2916" s="91" t="s">
        <v>4364</v>
      </c>
      <c r="D2916" s="90">
        <v>1894</v>
      </c>
      <c r="E2916" s="90">
        <v>2133</v>
      </c>
      <c r="F2916" s="90" t="s">
        <v>1434</v>
      </c>
      <c r="G2916" s="90">
        <v>2024</v>
      </c>
      <c r="H2916" s="183">
        <v>45484</v>
      </c>
      <c r="I2916" s="183">
        <v>45484</v>
      </c>
      <c r="J2916" s="185" t="s">
        <v>4365</v>
      </c>
      <c r="K2916" s="184">
        <v>45491</v>
      </c>
      <c r="L2916" s="95" t="s">
        <v>80</v>
      </c>
      <c r="M2916" s="69" t="s">
        <v>4</v>
      </c>
      <c r="N2916" s="69" t="s">
        <v>101</v>
      </c>
      <c r="O2916" s="69" t="s">
        <v>1436</v>
      </c>
      <c r="P2916" s="78"/>
      <c r="Q2916" s="70">
        <v>45491</v>
      </c>
      <c r="R2916" s="97"/>
      <c r="S2916" s="98"/>
    </row>
    <row r="2917" spans="1:19" ht="42.75">
      <c r="A2917" s="90" t="s">
        <v>53</v>
      </c>
      <c r="B2917" s="91" t="s">
        <v>546</v>
      </c>
      <c r="C2917" s="91" t="s">
        <v>4366</v>
      </c>
      <c r="D2917" s="90">
        <v>1360</v>
      </c>
      <c r="E2917" s="90">
        <v>1416</v>
      </c>
      <c r="F2917" s="90" t="s">
        <v>1454</v>
      </c>
      <c r="G2917" s="90"/>
      <c r="H2917" s="194"/>
      <c r="I2917" s="94"/>
      <c r="J2917" s="117"/>
      <c r="K2917" s="107"/>
      <c r="L2917" s="95"/>
      <c r="M2917" s="69"/>
      <c r="N2917" s="69"/>
      <c r="O2917" s="69"/>
      <c r="P2917" s="78"/>
      <c r="Q2917" s="96"/>
      <c r="R2917" s="97"/>
      <c r="S2917" s="98"/>
    </row>
    <row r="2918" spans="1:19" ht="42.75">
      <c r="A2918" s="90" t="s">
        <v>53</v>
      </c>
      <c r="B2918" s="91" t="s">
        <v>546</v>
      </c>
      <c r="C2918" s="91" t="s">
        <v>4367</v>
      </c>
      <c r="D2918" s="90">
        <v>2627</v>
      </c>
      <c r="E2918" s="90">
        <v>3175</v>
      </c>
      <c r="F2918" s="90" t="s">
        <v>1434</v>
      </c>
      <c r="G2918" s="90">
        <v>2024</v>
      </c>
      <c r="H2918" s="194">
        <v>45610</v>
      </c>
      <c r="I2918" s="186">
        <v>45614</v>
      </c>
      <c r="J2918" s="195" t="s">
        <v>4368</v>
      </c>
      <c r="K2918" s="188">
        <v>45621</v>
      </c>
      <c r="L2918" s="95" t="s">
        <v>84</v>
      </c>
      <c r="M2918" s="69" t="s">
        <v>4</v>
      </c>
      <c r="N2918" s="69" t="s">
        <v>101</v>
      </c>
      <c r="O2918" s="69" t="s">
        <v>1436</v>
      </c>
      <c r="P2918" s="78"/>
      <c r="Q2918" s="96">
        <v>45622</v>
      </c>
      <c r="R2918" s="97" t="s">
        <v>929</v>
      </c>
      <c r="S2918" s="98"/>
    </row>
    <row r="2919" spans="1:19" ht="42.75">
      <c r="A2919" s="90" t="s">
        <v>53</v>
      </c>
      <c r="B2919" s="91" t="s">
        <v>546</v>
      </c>
      <c r="C2919" s="91" t="s">
        <v>4369</v>
      </c>
      <c r="D2919" s="90">
        <v>1148</v>
      </c>
      <c r="E2919" s="90">
        <v>1228</v>
      </c>
      <c r="F2919" s="90" t="s">
        <v>1434</v>
      </c>
      <c r="G2919" s="90">
        <v>2024</v>
      </c>
      <c r="H2919" s="194">
        <v>45610</v>
      </c>
      <c r="I2919" s="186">
        <v>45614</v>
      </c>
      <c r="J2919" s="190" t="s">
        <v>4370</v>
      </c>
      <c r="K2919" s="188">
        <v>45621</v>
      </c>
      <c r="L2919" s="95" t="s">
        <v>84</v>
      </c>
      <c r="M2919" s="69" t="s">
        <v>4</v>
      </c>
      <c r="N2919" s="69" t="s">
        <v>101</v>
      </c>
      <c r="O2919" s="69" t="s">
        <v>1436</v>
      </c>
      <c r="P2919" s="78"/>
      <c r="Q2919" s="96">
        <v>45622</v>
      </c>
      <c r="R2919" s="97" t="s">
        <v>929</v>
      </c>
      <c r="S2919" s="98"/>
    </row>
    <row r="2920" spans="1:19" ht="42.75">
      <c r="A2920" s="90" t="s">
        <v>53</v>
      </c>
      <c r="B2920" s="91" t="s">
        <v>546</v>
      </c>
      <c r="C2920" s="91" t="s">
        <v>4371</v>
      </c>
      <c r="D2920" s="90">
        <v>1316</v>
      </c>
      <c r="E2920" s="90">
        <v>1431</v>
      </c>
      <c r="F2920" s="90" t="s">
        <v>1434</v>
      </c>
      <c r="G2920" s="90">
        <v>2024</v>
      </c>
      <c r="H2920" s="183">
        <v>45484</v>
      </c>
      <c r="I2920" s="186">
        <v>45484</v>
      </c>
      <c r="J2920" s="190" t="s">
        <v>4372</v>
      </c>
      <c r="K2920" s="188">
        <v>45491</v>
      </c>
      <c r="L2920" s="95" t="s">
        <v>80</v>
      </c>
      <c r="M2920" s="69" t="s">
        <v>4</v>
      </c>
      <c r="N2920" s="69" t="s">
        <v>101</v>
      </c>
      <c r="O2920" s="69" t="s">
        <v>1436</v>
      </c>
      <c r="P2920" s="78"/>
      <c r="Q2920" s="70">
        <v>45491</v>
      </c>
      <c r="R2920" s="97"/>
      <c r="S2920" s="98"/>
    </row>
    <row r="2921" spans="1:19" ht="42.75">
      <c r="A2921" s="90" t="s">
        <v>53</v>
      </c>
      <c r="B2921" s="91" t="s">
        <v>546</v>
      </c>
      <c r="C2921" s="91" t="s">
        <v>4373</v>
      </c>
      <c r="D2921" s="90">
        <v>1067</v>
      </c>
      <c r="E2921" s="90">
        <v>1216</v>
      </c>
      <c r="F2921" s="90" t="s">
        <v>1454</v>
      </c>
      <c r="G2921" s="90"/>
      <c r="H2921" s="194"/>
      <c r="I2921" s="117"/>
      <c r="J2921" s="117"/>
      <c r="K2921" s="196"/>
      <c r="L2921" s="95"/>
      <c r="M2921" s="69"/>
      <c r="N2921" s="69"/>
      <c r="O2921" s="69"/>
      <c r="P2921" s="78"/>
      <c r="Q2921" s="96"/>
      <c r="R2921" s="97"/>
      <c r="S2921" s="98"/>
    </row>
    <row r="2922" spans="1:19" ht="42.75">
      <c r="A2922" s="90" t="s">
        <v>53</v>
      </c>
      <c r="B2922" s="91" t="s">
        <v>546</v>
      </c>
      <c r="C2922" s="91" t="s">
        <v>867</v>
      </c>
      <c r="D2922" s="90">
        <v>1183</v>
      </c>
      <c r="E2922" s="90">
        <v>1441</v>
      </c>
      <c r="F2922" s="90" t="s">
        <v>1454</v>
      </c>
      <c r="G2922" s="128"/>
      <c r="H2922" s="197"/>
      <c r="I2922" s="107"/>
      <c r="J2922" s="107"/>
      <c r="K2922" s="107"/>
      <c r="L2922" s="163"/>
      <c r="M2922" s="69"/>
      <c r="N2922" s="69"/>
      <c r="O2922" s="69"/>
      <c r="P2922" s="78"/>
      <c r="Q2922" s="96"/>
      <c r="R2922" s="97"/>
      <c r="S2922" s="98"/>
    </row>
    <row r="2923" spans="1:19" ht="42.75">
      <c r="A2923" s="90" t="s">
        <v>53</v>
      </c>
      <c r="B2923" s="91" t="s">
        <v>546</v>
      </c>
      <c r="C2923" s="91" t="s">
        <v>926</v>
      </c>
      <c r="D2923" s="90">
        <v>1093</v>
      </c>
      <c r="E2923" s="90">
        <v>1240</v>
      </c>
      <c r="F2923" s="90" t="s">
        <v>1454</v>
      </c>
      <c r="G2923" s="128"/>
      <c r="H2923" s="197"/>
      <c r="I2923" s="107"/>
      <c r="J2923" s="107"/>
      <c r="K2923" s="107"/>
      <c r="L2923" s="163"/>
      <c r="M2923" s="69"/>
      <c r="N2923" s="69"/>
      <c r="O2923" s="69"/>
      <c r="P2923" s="78"/>
      <c r="Q2923" s="96"/>
      <c r="R2923" s="97"/>
      <c r="S2923" s="98"/>
    </row>
    <row r="2924" spans="1:19" ht="42.75">
      <c r="A2924" s="90" t="s">
        <v>53</v>
      </c>
      <c r="B2924" s="91" t="s">
        <v>546</v>
      </c>
      <c r="C2924" s="91" t="s">
        <v>4374</v>
      </c>
      <c r="D2924" s="90">
        <v>3563</v>
      </c>
      <c r="E2924" s="90">
        <v>3906</v>
      </c>
      <c r="F2924" s="90" t="s">
        <v>1434</v>
      </c>
      <c r="G2924" s="90">
        <v>2024</v>
      </c>
      <c r="H2924" s="197">
        <v>45610</v>
      </c>
      <c r="I2924" s="184">
        <v>45614</v>
      </c>
      <c r="J2924" s="198" t="s">
        <v>4375</v>
      </c>
      <c r="K2924" s="184">
        <v>45621</v>
      </c>
      <c r="L2924" s="163" t="s">
        <v>84</v>
      </c>
      <c r="M2924" s="69" t="s">
        <v>4</v>
      </c>
      <c r="N2924" s="69" t="s">
        <v>101</v>
      </c>
      <c r="O2924" s="69" t="s">
        <v>1436</v>
      </c>
      <c r="P2924" s="78"/>
      <c r="Q2924" s="96">
        <v>45621</v>
      </c>
      <c r="R2924" s="97" t="s">
        <v>929</v>
      </c>
      <c r="S2924" s="98"/>
    </row>
    <row r="2925" spans="1:19" ht="42.75">
      <c r="A2925" s="90" t="s">
        <v>53</v>
      </c>
      <c r="B2925" s="91" t="s">
        <v>546</v>
      </c>
      <c r="C2925" s="91" t="s">
        <v>4376</v>
      </c>
      <c r="D2925" s="90">
        <v>1088</v>
      </c>
      <c r="E2925" s="90">
        <v>1164</v>
      </c>
      <c r="F2925" s="90" t="s">
        <v>1454</v>
      </c>
      <c r="G2925" s="128"/>
      <c r="H2925" s="197"/>
      <c r="I2925" s="107"/>
      <c r="J2925" s="107"/>
      <c r="K2925" s="107"/>
      <c r="L2925" s="163"/>
      <c r="M2925" s="69"/>
      <c r="N2925" s="69"/>
      <c r="O2925" s="69"/>
      <c r="P2925" s="78"/>
      <c r="Q2925" s="96"/>
      <c r="R2925" s="97"/>
      <c r="S2925" s="98"/>
    </row>
    <row r="2926" spans="1:19" ht="42.75">
      <c r="A2926" s="90" t="s">
        <v>53</v>
      </c>
      <c r="B2926" s="91" t="s">
        <v>546</v>
      </c>
      <c r="C2926" s="91" t="s">
        <v>4377</v>
      </c>
      <c r="D2926" s="90">
        <v>3471</v>
      </c>
      <c r="E2926" s="90">
        <v>3851</v>
      </c>
      <c r="F2926" s="90" t="s">
        <v>1434</v>
      </c>
      <c r="G2926" s="90">
        <v>2024</v>
      </c>
      <c r="H2926" s="197">
        <v>45610</v>
      </c>
      <c r="I2926" s="184">
        <v>45614</v>
      </c>
      <c r="J2926" s="190" t="s">
        <v>4378</v>
      </c>
      <c r="K2926" s="184">
        <v>45621</v>
      </c>
      <c r="L2926" s="163" t="s">
        <v>84</v>
      </c>
      <c r="M2926" s="69" t="s">
        <v>4</v>
      </c>
      <c r="N2926" s="69" t="s">
        <v>101</v>
      </c>
      <c r="O2926" s="69" t="s">
        <v>1436</v>
      </c>
      <c r="P2926" s="78"/>
      <c r="Q2926" s="96">
        <v>45621</v>
      </c>
      <c r="R2926" s="97" t="s">
        <v>929</v>
      </c>
      <c r="S2926" s="98"/>
    </row>
    <row r="2927" spans="1:19" ht="42.75">
      <c r="A2927" s="90" t="s">
        <v>53</v>
      </c>
      <c r="B2927" s="91" t="s">
        <v>546</v>
      </c>
      <c r="C2927" s="91" t="s">
        <v>4379</v>
      </c>
      <c r="D2927" s="90">
        <v>1373</v>
      </c>
      <c r="E2927" s="90">
        <v>1524</v>
      </c>
      <c r="F2927" s="90" t="s">
        <v>1434</v>
      </c>
      <c r="G2927" s="90">
        <v>2024</v>
      </c>
      <c r="H2927" s="186">
        <v>45484</v>
      </c>
      <c r="I2927" s="184">
        <v>45484</v>
      </c>
      <c r="J2927" s="190" t="s">
        <v>4380</v>
      </c>
      <c r="K2927" s="184">
        <v>45491</v>
      </c>
      <c r="L2927" s="163" t="s">
        <v>80</v>
      </c>
      <c r="M2927" s="69" t="s">
        <v>4</v>
      </c>
      <c r="N2927" s="69" t="s">
        <v>108</v>
      </c>
      <c r="O2927" s="69" t="s">
        <v>1436</v>
      </c>
      <c r="P2927" s="78"/>
      <c r="Q2927" s="70">
        <v>45491</v>
      </c>
      <c r="R2927" s="97"/>
      <c r="S2927" s="98"/>
    </row>
    <row r="2928" spans="1:19" ht="42.75">
      <c r="A2928" s="90" t="s">
        <v>53</v>
      </c>
      <c r="B2928" s="91" t="s">
        <v>397</v>
      </c>
      <c r="C2928" s="91" t="s">
        <v>4381</v>
      </c>
      <c r="D2928" s="90">
        <v>11064</v>
      </c>
      <c r="E2928" s="90">
        <v>10127</v>
      </c>
      <c r="F2928" s="90" t="s">
        <v>1454</v>
      </c>
      <c r="G2928" s="128"/>
      <c r="H2928" s="191"/>
      <c r="I2928" s="107"/>
      <c r="J2928" s="107"/>
      <c r="K2928" s="107"/>
      <c r="L2928" s="163"/>
      <c r="M2928" s="69"/>
      <c r="N2928" s="69"/>
      <c r="O2928" s="69"/>
      <c r="P2928" s="78"/>
      <c r="Q2928" s="96"/>
      <c r="R2928" s="97"/>
      <c r="S2928" s="98"/>
    </row>
    <row r="2929" spans="1:19" ht="42.75">
      <c r="A2929" s="90" t="s">
        <v>53</v>
      </c>
      <c r="B2929" s="91" t="s">
        <v>397</v>
      </c>
      <c r="C2929" s="91" t="s">
        <v>1557</v>
      </c>
      <c r="D2929" s="90">
        <v>850</v>
      </c>
      <c r="E2929" s="90">
        <v>851</v>
      </c>
      <c r="F2929" s="90" t="s">
        <v>1454</v>
      </c>
      <c r="G2929" s="128"/>
      <c r="H2929" s="191"/>
      <c r="I2929" s="196"/>
      <c r="J2929" s="196"/>
      <c r="K2929" s="196"/>
      <c r="L2929" s="163"/>
      <c r="M2929" s="69"/>
      <c r="N2929" s="69"/>
      <c r="O2929" s="69"/>
      <c r="P2929" s="78"/>
      <c r="Q2929" s="96"/>
      <c r="R2929" s="97"/>
      <c r="S2929" s="98"/>
    </row>
    <row r="2930" spans="1:19" ht="42.75">
      <c r="A2930" s="90" t="s">
        <v>53</v>
      </c>
      <c r="B2930" s="91" t="s">
        <v>397</v>
      </c>
      <c r="C2930" s="91" t="s">
        <v>3268</v>
      </c>
      <c r="D2930" s="90">
        <v>9115</v>
      </c>
      <c r="E2930" s="90">
        <v>12139</v>
      </c>
      <c r="F2930" s="90" t="s">
        <v>1434</v>
      </c>
      <c r="G2930" s="90">
        <v>2024</v>
      </c>
      <c r="H2930" s="186">
        <v>45568</v>
      </c>
      <c r="I2930" s="184">
        <v>45569</v>
      </c>
      <c r="J2930" s="190" t="s">
        <v>4382</v>
      </c>
      <c r="K2930" s="184">
        <v>45574</v>
      </c>
      <c r="L2930" s="163" t="s">
        <v>83</v>
      </c>
      <c r="M2930" s="69" t="s">
        <v>4</v>
      </c>
      <c r="N2930" s="69" t="s">
        <v>101</v>
      </c>
      <c r="O2930" s="69" t="s">
        <v>1436</v>
      </c>
      <c r="P2930" s="78"/>
      <c r="Q2930" s="115">
        <v>45574</v>
      </c>
      <c r="R2930" s="65" t="s">
        <v>929</v>
      </c>
      <c r="S2930" s="89"/>
    </row>
    <row r="2931" spans="1:19" ht="42.75">
      <c r="A2931" s="90" t="s">
        <v>53</v>
      </c>
      <c r="B2931" s="91" t="s">
        <v>397</v>
      </c>
      <c r="C2931" s="91" t="s">
        <v>4383</v>
      </c>
      <c r="D2931" s="90">
        <v>1954</v>
      </c>
      <c r="E2931" s="90">
        <v>1967</v>
      </c>
      <c r="F2931" s="90" t="s">
        <v>1454</v>
      </c>
      <c r="G2931" s="128"/>
      <c r="H2931" s="191"/>
      <c r="I2931" s="166"/>
      <c r="J2931" s="166"/>
      <c r="K2931" s="166"/>
      <c r="L2931" s="163"/>
      <c r="M2931" s="69"/>
      <c r="N2931" s="69"/>
      <c r="O2931" s="69"/>
      <c r="P2931" s="78"/>
      <c r="Q2931" s="96"/>
      <c r="R2931" s="97"/>
      <c r="S2931" s="98"/>
    </row>
    <row r="2932" spans="1:19" ht="42.75">
      <c r="A2932" s="90" t="s">
        <v>53</v>
      </c>
      <c r="B2932" s="91" t="s">
        <v>397</v>
      </c>
      <c r="C2932" s="91" t="s">
        <v>1850</v>
      </c>
      <c r="D2932" s="90">
        <v>3466</v>
      </c>
      <c r="E2932" s="90">
        <v>3673</v>
      </c>
      <c r="F2932" s="90" t="s">
        <v>1454</v>
      </c>
      <c r="G2932" s="128"/>
      <c r="H2932" s="191"/>
      <c r="I2932" s="107"/>
      <c r="J2932" s="107"/>
      <c r="K2932" s="107"/>
      <c r="L2932" s="163"/>
      <c r="M2932" s="69"/>
      <c r="N2932" s="69"/>
      <c r="O2932" s="69"/>
      <c r="P2932" s="78"/>
      <c r="Q2932" s="96"/>
      <c r="R2932" s="97"/>
      <c r="S2932" s="98"/>
    </row>
    <row r="2933" spans="1:19" ht="42.75">
      <c r="A2933" s="90" t="s">
        <v>53</v>
      </c>
      <c r="B2933" s="91" t="s">
        <v>397</v>
      </c>
      <c r="C2933" s="91" t="s">
        <v>747</v>
      </c>
      <c r="D2933" s="90">
        <v>2978</v>
      </c>
      <c r="E2933" s="90">
        <v>3602</v>
      </c>
      <c r="F2933" s="90" t="s">
        <v>1434</v>
      </c>
      <c r="G2933" s="90">
        <v>2024</v>
      </c>
      <c r="H2933" s="186">
        <v>45610</v>
      </c>
      <c r="I2933" s="184">
        <v>45614</v>
      </c>
      <c r="J2933" s="190" t="s">
        <v>4384</v>
      </c>
      <c r="K2933" s="184">
        <v>45621</v>
      </c>
      <c r="L2933" s="163" t="s">
        <v>84</v>
      </c>
      <c r="M2933" s="69" t="s">
        <v>4</v>
      </c>
      <c r="N2933" s="69" t="s">
        <v>101</v>
      </c>
      <c r="O2933" s="69" t="s">
        <v>1436</v>
      </c>
      <c r="P2933" s="78"/>
      <c r="Q2933" s="96">
        <v>45622</v>
      </c>
      <c r="R2933" s="97" t="s">
        <v>929</v>
      </c>
      <c r="S2933" s="98"/>
    </row>
    <row r="2934" spans="1:19" ht="42.75">
      <c r="A2934" s="90" t="s">
        <v>53</v>
      </c>
      <c r="B2934" s="91" t="s">
        <v>397</v>
      </c>
      <c r="C2934" s="91" t="s">
        <v>4385</v>
      </c>
      <c r="D2934" s="90">
        <v>6202</v>
      </c>
      <c r="E2934" s="90">
        <v>6962</v>
      </c>
      <c r="F2934" s="90" t="s">
        <v>1434</v>
      </c>
      <c r="G2934" s="90">
        <v>2024</v>
      </c>
      <c r="H2934" s="186">
        <v>45610</v>
      </c>
      <c r="I2934" s="184">
        <v>45614</v>
      </c>
      <c r="J2934" s="190" t="s">
        <v>4386</v>
      </c>
      <c r="K2934" s="184">
        <v>45618</v>
      </c>
      <c r="L2934" s="163" t="s">
        <v>84</v>
      </c>
      <c r="M2934" s="69" t="s">
        <v>4</v>
      </c>
      <c r="N2934" s="69" t="s">
        <v>101</v>
      </c>
      <c r="O2934" s="69" t="s">
        <v>1436</v>
      </c>
      <c r="P2934" s="78"/>
      <c r="Q2934" s="96">
        <v>45618</v>
      </c>
      <c r="R2934" s="97" t="s">
        <v>929</v>
      </c>
      <c r="S2934" s="98"/>
    </row>
    <row r="2935" spans="1:19" ht="42.75">
      <c r="A2935" s="90" t="s">
        <v>53</v>
      </c>
      <c r="B2935" s="91" t="s">
        <v>397</v>
      </c>
      <c r="C2935" s="91" t="s">
        <v>2342</v>
      </c>
      <c r="D2935" s="90">
        <v>4545</v>
      </c>
      <c r="E2935" s="90">
        <v>4827</v>
      </c>
      <c r="F2935" s="90" t="s">
        <v>1434</v>
      </c>
      <c r="G2935" s="90">
        <v>2025</v>
      </c>
      <c r="H2935" s="186"/>
      <c r="I2935" s="184"/>
      <c r="J2935" s="199"/>
      <c r="K2935" s="184"/>
      <c r="L2935" s="69" t="s">
        <v>74</v>
      </c>
      <c r="M2935" s="69"/>
      <c r="N2935" s="69"/>
      <c r="O2935" s="69"/>
      <c r="P2935" s="78"/>
      <c r="Q2935" s="96"/>
      <c r="R2935" s="97"/>
      <c r="S2935" s="98"/>
    </row>
    <row r="2936" spans="1:19" ht="42.75">
      <c r="A2936" s="90" t="s">
        <v>53</v>
      </c>
      <c r="B2936" s="91" t="s">
        <v>397</v>
      </c>
      <c r="C2936" s="91" t="s">
        <v>2278</v>
      </c>
      <c r="D2936" s="90">
        <v>3589</v>
      </c>
      <c r="E2936" s="90">
        <v>3792</v>
      </c>
      <c r="F2936" s="90" t="s">
        <v>1434</v>
      </c>
      <c r="G2936" s="90">
        <v>2024</v>
      </c>
      <c r="H2936" s="186">
        <v>45610</v>
      </c>
      <c r="I2936" s="200">
        <v>45614</v>
      </c>
      <c r="J2936" s="367" t="s">
        <v>4387</v>
      </c>
      <c r="K2936" s="201">
        <v>45618</v>
      </c>
      <c r="L2936" s="163" t="s">
        <v>84</v>
      </c>
      <c r="M2936" s="69" t="s">
        <v>4</v>
      </c>
      <c r="N2936" s="69" t="s">
        <v>101</v>
      </c>
      <c r="O2936" s="69" t="s">
        <v>1436</v>
      </c>
      <c r="P2936" s="78"/>
      <c r="Q2936" s="96">
        <v>45618</v>
      </c>
      <c r="R2936" s="97" t="s">
        <v>929</v>
      </c>
      <c r="S2936" s="98"/>
    </row>
    <row r="2937" spans="1:19" ht="42.75">
      <c r="A2937" s="90" t="s">
        <v>53</v>
      </c>
      <c r="B2937" s="91" t="s">
        <v>397</v>
      </c>
      <c r="C2937" s="91" t="s">
        <v>2178</v>
      </c>
      <c r="D2937" s="90">
        <v>991</v>
      </c>
      <c r="E2937" s="90">
        <v>989</v>
      </c>
      <c r="F2937" s="90" t="s">
        <v>1434</v>
      </c>
      <c r="G2937" s="90">
        <v>2024</v>
      </c>
      <c r="H2937" s="186">
        <v>45568</v>
      </c>
      <c r="I2937" s="202">
        <v>45569</v>
      </c>
      <c r="J2937" s="190" t="s">
        <v>4388</v>
      </c>
      <c r="K2937" s="188">
        <v>45574</v>
      </c>
      <c r="L2937" s="163" t="s">
        <v>83</v>
      </c>
      <c r="M2937" s="69" t="s">
        <v>4</v>
      </c>
      <c r="N2937" s="69" t="s">
        <v>101</v>
      </c>
      <c r="O2937" s="69" t="s">
        <v>1436</v>
      </c>
      <c r="P2937" s="78"/>
      <c r="Q2937" s="115">
        <v>45575</v>
      </c>
      <c r="R2937" s="65" t="s">
        <v>929</v>
      </c>
      <c r="S2937" s="89"/>
    </row>
    <row r="2938" spans="1:19" ht="42.75">
      <c r="A2938" s="90" t="s">
        <v>53</v>
      </c>
      <c r="B2938" s="91" t="s">
        <v>397</v>
      </c>
      <c r="C2938" s="91" t="s">
        <v>717</v>
      </c>
      <c r="D2938" s="90">
        <v>4893</v>
      </c>
      <c r="E2938" s="90">
        <v>4388</v>
      </c>
      <c r="F2938" s="90" t="s">
        <v>1434</v>
      </c>
      <c r="G2938" s="90">
        <v>2024</v>
      </c>
      <c r="H2938" s="186">
        <v>45610</v>
      </c>
      <c r="I2938" s="203">
        <v>45614</v>
      </c>
      <c r="J2938" s="368" t="s">
        <v>4389</v>
      </c>
      <c r="K2938" s="204">
        <v>45616</v>
      </c>
      <c r="L2938" s="163" t="s">
        <v>84</v>
      </c>
      <c r="M2938" s="69" t="s">
        <v>4</v>
      </c>
      <c r="N2938" s="69" t="s">
        <v>101</v>
      </c>
      <c r="O2938" s="69" t="s">
        <v>1436</v>
      </c>
      <c r="P2938" s="78"/>
      <c r="Q2938" s="96">
        <v>45618</v>
      </c>
      <c r="R2938" s="97" t="s">
        <v>929</v>
      </c>
      <c r="S2938" s="98"/>
    </row>
    <row r="2939" spans="1:19" ht="42.75">
      <c r="A2939" s="90" t="s">
        <v>53</v>
      </c>
      <c r="B2939" s="91" t="s">
        <v>397</v>
      </c>
      <c r="C2939" s="91" t="s">
        <v>3721</v>
      </c>
      <c r="D2939" s="90">
        <v>11579</v>
      </c>
      <c r="E2939" s="90">
        <v>11139</v>
      </c>
      <c r="F2939" s="90" t="s">
        <v>1434</v>
      </c>
      <c r="G2939" s="90">
        <v>2024</v>
      </c>
      <c r="H2939" s="205">
        <v>45568</v>
      </c>
      <c r="I2939" s="202">
        <v>45569</v>
      </c>
      <c r="J2939" s="190" t="s">
        <v>4390</v>
      </c>
      <c r="K2939" s="188">
        <v>45574</v>
      </c>
      <c r="L2939" s="206" t="s">
        <v>83</v>
      </c>
      <c r="M2939" s="69" t="s">
        <v>4</v>
      </c>
      <c r="N2939" s="69" t="s">
        <v>101</v>
      </c>
      <c r="O2939" s="69" t="s">
        <v>1436</v>
      </c>
      <c r="P2939" s="78"/>
      <c r="Q2939" s="115">
        <v>45574</v>
      </c>
      <c r="R2939" s="65" t="s">
        <v>929</v>
      </c>
      <c r="S2939" s="89"/>
    </row>
    <row r="2940" spans="1:19" ht="42.75">
      <c r="A2940" s="90" t="s">
        <v>53</v>
      </c>
      <c r="B2940" s="91" t="s">
        <v>397</v>
      </c>
      <c r="C2940" s="91" t="s">
        <v>2234</v>
      </c>
      <c r="D2940" s="90">
        <v>1571</v>
      </c>
      <c r="E2940" s="90">
        <v>1422</v>
      </c>
      <c r="F2940" s="90" t="s">
        <v>1434</v>
      </c>
      <c r="G2940" s="90">
        <v>2024</v>
      </c>
      <c r="H2940" s="202">
        <v>45568</v>
      </c>
      <c r="I2940" s="202">
        <v>45568</v>
      </c>
      <c r="J2940" s="207" t="s">
        <v>4391</v>
      </c>
      <c r="K2940" s="188">
        <v>45574</v>
      </c>
      <c r="L2940" s="163" t="s">
        <v>83</v>
      </c>
      <c r="M2940" s="158" t="s">
        <v>4</v>
      </c>
      <c r="N2940" s="69" t="s">
        <v>101</v>
      </c>
      <c r="O2940" s="69" t="s">
        <v>1436</v>
      </c>
      <c r="P2940" s="78"/>
      <c r="Q2940" s="115">
        <v>45575</v>
      </c>
      <c r="R2940" s="65" t="s">
        <v>929</v>
      </c>
      <c r="S2940" s="89"/>
    </row>
    <row r="2941" spans="1:19" ht="42.75">
      <c r="A2941" s="90" t="s">
        <v>53</v>
      </c>
      <c r="B2941" s="91" t="s">
        <v>397</v>
      </c>
      <c r="C2941" s="91" t="s">
        <v>380</v>
      </c>
      <c r="D2941" s="90">
        <v>2044</v>
      </c>
      <c r="E2941" s="90">
        <v>2011</v>
      </c>
      <c r="F2941" s="90" t="s">
        <v>1434</v>
      </c>
      <c r="G2941" s="90">
        <v>2024</v>
      </c>
      <c r="H2941" s="186">
        <v>45428</v>
      </c>
      <c r="I2941" s="208">
        <v>45429</v>
      </c>
      <c r="J2941" s="209" t="s">
        <v>4392</v>
      </c>
      <c r="K2941" s="183">
        <v>45429</v>
      </c>
      <c r="L2941" s="93" t="s">
        <v>78</v>
      </c>
      <c r="M2941" s="69" t="s">
        <v>4</v>
      </c>
      <c r="N2941" s="69" t="s">
        <v>101</v>
      </c>
      <c r="O2941" s="69" t="s">
        <v>1436</v>
      </c>
      <c r="P2941" s="78"/>
      <c r="Q2941" s="96">
        <v>45432</v>
      </c>
      <c r="R2941" s="97"/>
      <c r="S2941" s="98"/>
    </row>
    <row r="2942" spans="1:19" ht="42.75">
      <c r="A2942" s="90" t="s">
        <v>53</v>
      </c>
      <c r="B2942" s="91" t="s">
        <v>4393</v>
      </c>
      <c r="C2942" s="91" t="s">
        <v>858</v>
      </c>
      <c r="D2942" s="90">
        <v>9017</v>
      </c>
      <c r="E2942" s="90">
        <v>10714</v>
      </c>
      <c r="F2942" s="90" t="s">
        <v>1434</v>
      </c>
      <c r="G2942" s="90">
        <v>2024</v>
      </c>
      <c r="H2942" s="210">
        <v>45427</v>
      </c>
      <c r="I2942" s="211">
        <v>45429</v>
      </c>
      <c r="J2942" s="190" t="s">
        <v>4394</v>
      </c>
      <c r="K2942" s="212">
        <v>45429</v>
      </c>
      <c r="L2942" s="213" t="s">
        <v>78</v>
      </c>
      <c r="M2942" s="107" t="s">
        <v>4</v>
      </c>
      <c r="N2942" s="69" t="s">
        <v>101</v>
      </c>
      <c r="O2942" s="69" t="s">
        <v>1436</v>
      </c>
      <c r="P2942" s="78"/>
      <c r="Q2942" s="96">
        <v>45432</v>
      </c>
      <c r="R2942" s="97"/>
      <c r="S2942" s="98"/>
    </row>
    <row r="2943" spans="1:19" ht="42.75">
      <c r="A2943" s="90" t="s">
        <v>53</v>
      </c>
      <c r="B2943" s="91" t="s">
        <v>4393</v>
      </c>
      <c r="C2943" s="91" t="s">
        <v>4395</v>
      </c>
      <c r="D2943" s="90">
        <v>860</v>
      </c>
      <c r="E2943" s="90">
        <v>755</v>
      </c>
      <c r="F2943" s="90" t="s">
        <v>1434</v>
      </c>
      <c r="G2943" s="90">
        <v>2024</v>
      </c>
      <c r="H2943" s="210">
        <v>45581</v>
      </c>
      <c r="I2943" s="211">
        <v>45583</v>
      </c>
      <c r="J2943" s="214" t="s">
        <v>4396</v>
      </c>
      <c r="K2943" s="212">
        <v>45584</v>
      </c>
      <c r="L2943" s="213" t="s">
        <v>83</v>
      </c>
      <c r="M2943" s="107" t="s">
        <v>672</v>
      </c>
      <c r="N2943" s="69" t="s">
        <v>101</v>
      </c>
      <c r="O2943" s="69" t="s">
        <v>1436</v>
      </c>
      <c r="P2943" s="78"/>
      <c r="Q2943" s="96">
        <v>45586</v>
      </c>
      <c r="R2943" s="97" t="s">
        <v>929</v>
      </c>
      <c r="S2943" s="98"/>
    </row>
    <row r="2944" spans="1:19" ht="42.75">
      <c r="A2944" s="90" t="s">
        <v>53</v>
      </c>
      <c r="B2944" s="91" t="s">
        <v>4393</v>
      </c>
      <c r="C2944" s="91" t="s">
        <v>4397</v>
      </c>
      <c r="D2944" s="90">
        <v>1611</v>
      </c>
      <c r="E2944" s="90">
        <v>1407</v>
      </c>
      <c r="F2944" s="90" t="s">
        <v>1434</v>
      </c>
      <c r="G2944" s="90">
        <v>2024</v>
      </c>
      <c r="H2944" s="210">
        <v>45581</v>
      </c>
      <c r="I2944" s="211">
        <v>45583</v>
      </c>
      <c r="J2944" s="214" t="s">
        <v>4398</v>
      </c>
      <c r="K2944" s="212">
        <v>45593</v>
      </c>
      <c r="L2944" s="213" t="s">
        <v>83</v>
      </c>
      <c r="M2944" s="107" t="s">
        <v>672</v>
      </c>
      <c r="N2944" s="69" t="s">
        <v>101</v>
      </c>
      <c r="O2944" s="69" t="s">
        <v>1436</v>
      </c>
      <c r="P2944" s="78"/>
      <c r="Q2944" s="96">
        <v>45593</v>
      </c>
      <c r="R2944" s="97" t="s">
        <v>929</v>
      </c>
      <c r="S2944" s="98"/>
    </row>
    <row r="2945" spans="1:19" ht="42.75">
      <c r="A2945" s="90" t="s">
        <v>53</v>
      </c>
      <c r="B2945" s="91" t="s">
        <v>4393</v>
      </c>
      <c r="C2945" s="91" t="s">
        <v>1406</v>
      </c>
      <c r="D2945" s="90">
        <v>4759</v>
      </c>
      <c r="E2945" s="90">
        <v>5188</v>
      </c>
      <c r="F2945" s="90" t="s">
        <v>1434</v>
      </c>
      <c r="G2945" s="90">
        <v>2024</v>
      </c>
      <c r="H2945" s="210">
        <v>45489</v>
      </c>
      <c r="I2945" s="211">
        <v>45490</v>
      </c>
      <c r="J2945" s="214" t="s">
        <v>4399</v>
      </c>
      <c r="K2945" s="212">
        <v>45491</v>
      </c>
      <c r="L2945" s="213" t="s">
        <v>80</v>
      </c>
      <c r="M2945" s="107" t="s">
        <v>4</v>
      </c>
      <c r="N2945" s="69" t="s">
        <v>101</v>
      </c>
      <c r="O2945" s="69" t="s">
        <v>1436</v>
      </c>
      <c r="P2945" s="78"/>
      <c r="Q2945" s="96">
        <v>45492</v>
      </c>
      <c r="R2945" s="97"/>
      <c r="S2945" s="98"/>
    </row>
    <row r="2946" spans="1:19" ht="42.75">
      <c r="A2946" s="90" t="s">
        <v>53</v>
      </c>
      <c r="B2946" s="91" t="s">
        <v>4393</v>
      </c>
      <c r="C2946" s="91" t="s">
        <v>4400</v>
      </c>
      <c r="D2946" s="90">
        <v>690</v>
      </c>
      <c r="E2946" s="90">
        <v>787</v>
      </c>
      <c r="F2946" s="90" t="s">
        <v>1434</v>
      </c>
      <c r="G2946" s="90">
        <v>2024</v>
      </c>
      <c r="H2946" s="210">
        <v>45427</v>
      </c>
      <c r="I2946" s="211">
        <v>45429</v>
      </c>
      <c r="J2946" s="215" t="s">
        <v>4401</v>
      </c>
      <c r="K2946" s="212">
        <v>45429</v>
      </c>
      <c r="L2946" s="213" t="s">
        <v>78</v>
      </c>
      <c r="M2946" s="107" t="s">
        <v>4</v>
      </c>
      <c r="N2946" s="69" t="s">
        <v>101</v>
      </c>
      <c r="O2946" s="69" t="s">
        <v>1436</v>
      </c>
      <c r="P2946" s="78"/>
      <c r="Q2946" s="96">
        <v>45432</v>
      </c>
      <c r="R2946" s="97"/>
      <c r="S2946" s="98"/>
    </row>
    <row r="2947" spans="1:19" ht="42.75">
      <c r="A2947" s="90" t="s">
        <v>53</v>
      </c>
      <c r="B2947" s="91" t="s">
        <v>4393</v>
      </c>
      <c r="C2947" s="91" t="s">
        <v>4402</v>
      </c>
      <c r="D2947" s="90">
        <v>415</v>
      </c>
      <c r="E2947" s="90">
        <v>549</v>
      </c>
      <c r="F2947" s="90" t="s">
        <v>1434</v>
      </c>
      <c r="G2947" s="90">
        <v>2024</v>
      </c>
      <c r="H2947" s="210">
        <v>45581</v>
      </c>
      <c r="I2947" s="211">
        <v>45582</v>
      </c>
      <c r="J2947" s="216" t="s">
        <v>4403</v>
      </c>
      <c r="K2947" s="212">
        <v>45584</v>
      </c>
      <c r="L2947" s="213" t="s">
        <v>83</v>
      </c>
      <c r="M2947" s="107" t="s">
        <v>672</v>
      </c>
      <c r="N2947" s="69" t="s">
        <v>101</v>
      </c>
      <c r="O2947" s="69" t="s">
        <v>1436</v>
      </c>
      <c r="P2947" s="78"/>
      <c r="Q2947" s="96">
        <v>45586</v>
      </c>
      <c r="R2947" s="97" t="s">
        <v>929</v>
      </c>
      <c r="S2947" s="98"/>
    </row>
    <row r="2948" spans="1:19" ht="42.75">
      <c r="A2948" s="90" t="s">
        <v>53</v>
      </c>
      <c r="B2948" s="91" t="s">
        <v>4393</v>
      </c>
      <c r="C2948" s="91" t="s">
        <v>954</v>
      </c>
      <c r="D2948" s="90">
        <v>3162</v>
      </c>
      <c r="E2948" s="90">
        <v>3763</v>
      </c>
      <c r="F2948" s="90" t="s">
        <v>1434</v>
      </c>
      <c r="G2948" s="90">
        <v>2024</v>
      </c>
      <c r="H2948" s="210">
        <v>45427</v>
      </c>
      <c r="I2948" s="211">
        <v>45429</v>
      </c>
      <c r="J2948" s="215" t="s">
        <v>4403</v>
      </c>
      <c r="K2948" s="212">
        <v>45429</v>
      </c>
      <c r="L2948" s="213" t="s">
        <v>78</v>
      </c>
      <c r="M2948" s="107" t="s">
        <v>4</v>
      </c>
      <c r="N2948" s="69" t="s">
        <v>101</v>
      </c>
      <c r="O2948" s="69" t="s">
        <v>1436</v>
      </c>
      <c r="P2948" s="78"/>
      <c r="Q2948" s="96">
        <v>45432</v>
      </c>
      <c r="R2948" s="97"/>
      <c r="S2948" s="98"/>
    </row>
    <row r="2949" spans="1:19" ht="42.75">
      <c r="A2949" s="90" t="s">
        <v>53</v>
      </c>
      <c r="B2949" s="91" t="s">
        <v>4393</v>
      </c>
      <c r="C2949" s="91" t="s">
        <v>4404</v>
      </c>
      <c r="D2949" s="90">
        <v>2136</v>
      </c>
      <c r="E2949" s="90">
        <v>2403</v>
      </c>
      <c r="F2949" s="90" t="s">
        <v>1434</v>
      </c>
      <c r="G2949" s="90">
        <v>2024</v>
      </c>
      <c r="H2949" s="210">
        <v>45552</v>
      </c>
      <c r="I2949" s="211">
        <v>45553</v>
      </c>
      <c r="J2949" s="369" t="s">
        <v>4405</v>
      </c>
      <c r="K2949" s="212">
        <v>45553</v>
      </c>
      <c r="L2949" s="213" t="s">
        <v>82</v>
      </c>
      <c r="M2949" s="107" t="s">
        <v>1589</v>
      </c>
      <c r="N2949" s="69" t="s">
        <v>1676</v>
      </c>
      <c r="O2949" s="69" t="s">
        <v>1436</v>
      </c>
      <c r="P2949" s="78"/>
      <c r="Q2949" s="96">
        <v>45554</v>
      </c>
      <c r="R2949" s="97" t="s">
        <v>929</v>
      </c>
      <c r="S2949" s="98"/>
    </row>
    <row r="2950" spans="1:19" ht="42.75">
      <c r="A2950" s="90" t="s">
        <v>53</v>
      </c>
      <c r="B2950" s="91" t="s">
        <v>4393</v>
      </c>
      <c r="C2950" s="91" t="s">
        <v>4406</v>
      </c>
      <c r="D2950" s="90">
        <v>2987</v>
      </c>
      <c r="E2950" s="90">
        <v>3406</v>
      </c>
      <c r="F2950" s="90" t="s">
        <v>1434</v>
      </c>
      <c r="G2950" s="90">
        <v>2024</v>
      </c>
      <c r="H2950" s="210">
        <v>45489</v>
      </c>
      <c r="I2950" s="211">
        <v>45490</v>
      </c>
      <c r="J2950" s="214" t="s">
        <v>4407</v>
      </c>
      <c r="K2950" s="212">
        <v>45491</v>
      </c>
      <c r="L2950" s="213" t="s">
        <v>80</v>
      </c>
      <c r="M2950" s="107" t="s">
        <v>1589</v>
      </c>
      <c r="N2950" s="69" t="s">
        <v>1676</v>
      </c>
      <c r="O2950" s="69" t="s">
        <v>1436</v>
      </c>
      <c r="P2950" s="78"/>
      <c r="Q2950" s="96">
        <v>45492</v>
      </c>
      <c r="R2950" s="97"/>
      <c r="S2950" s="98"/>
    </row>
    <row r="2951" spans="1:19" ht="42.75">
      <c r="A2951" s="90" t="s">
        <v>53</v>
      </c>
      <c r="B2951" s="91" t="s">
        <v>4393</v>
      </c>
      <c r="C2951" s="91" t="s">
        <v>4408</v>
      </c>
      <c r="D2951" s="90">
        <v>10413</v>
      </c>
      <c r="E2951" s="90">
        <v>10973</v>
      </c>
      <c r="F2951" s="90" t="s">
        <v>1434</v>
      </c>
      <c r="G2951" s="90">
        <v>2024</v>
      </c>
      <c r="H2951" s="210">
        <v>45489</v>
      </c>
      <c r="I2951" s="211">
        <v>45490</v>
      </c>
      <c r="J2951" s="217" t="s">
        <v>4409</v>
      </c>
      <c r="K2951" s="212">
        <v>45491</v>
      </c>
      <c r="L2951" s="213" t="s">
        <v>80</v>
      </c>
      <c r="M2951" s="107" t="s">
        <v>1589</v>
      </c>
      <c r="N2951" s="69" t="s">
        <v>1676</v>
      </c>
      <c r="O2951" s="69" t="s">
        <v>1436</v>
      </c>
      <c r="P2951" s="78"/>
      <c r="Q2951" s="96">
        <v>45492</v>
      </c>
      <c r="R2951" s="97"/>
      <c r="S2951" s="98"/>
    </row>
    <row r="2952" spans="1:19" ht="42.75">
      <c r="A2952" s="90" t="s">
        <v>53</v>
      </c>
      <c r="B2952" s="91" t="s">
        <v>4393</v>
      </c>
      <c r="C2952" s="91" t="s">
        <v>4410</v>
      </c>
      <c r="D2952" s="90">
        <v>523</v>
      </c>
      <c r="E2952" s="90">
        <v>443</v>
      </c>
      <c r="F2952" s="90" t="s">
        <v>1434</v>
      </c>
      <c r="G2952" s="90">
        <v>2024</v>
      </c>
      <c r="H2952" s="210">
        <v>45581</v>
      </c>
      <c r="I2952" s="211">
        <v>45582</v>
      </c>
      <c r="J2952" s="369" t="s">
        <v>4411</v>
      </c>
      <c r="K2952" s="218">
        <v>45584</v>
      </c>
      <c r="L2952" s="190" t="s">
        <v>83</v>
      </c>
      <c r="M2952" s="107" t="s">
        <v>672</v>
      </c>
      <c r="N2952" s="69" t="s">
        <v>101</v>
      </c>
      <c r="O2952" s="69" t="s">
        <v>1436</v>
      </c>
      <c r="P2952" s="78"/>
      <c r="Q2952" s="96">
        <v>45586</v>
      </c>
      <c r="R2952" s="97" t="s">
        <v>929</v>
      </c>
      <c r="S2952" s="98"/>
    </row>
    <row r="2953" spans="1:19" ht="42.75">
      <c r="A2953" s="90" t="s">
        <v>53</v>
      </c>
      <c r="B2953" s="91" t="s">
        <v>4393</v>
      </c>
      <c r="C2953" s="91" t="s">
        <v>2342</v>
      </c>
      <c r="D2953" s="90">
        <v>5609</v>
      </c>
      <c r="E2953" s="90">
        <v>6301</v>
      </c>
      <c r="F2953" s="90" t="s">
        <v>1434</v>
      </c>
      <c r="G2953" s="90">
        <v>2024</v>
      </c>
      <c r="H2953" s="218">
        <v>45489</v>
      </c>
      <c r="I2953" s="210">
        <v>45490</v>
      </c>
      <c r="J2953" s="214" t="s">
        <v>4412</v>
      </c>
      <c r="K2953" s="212">
        <v>45491</v>
      </c>
      <c r="L2953" s="190" t="s">
        <v>80</v>
      </c>
      <c r="M2953" s="107" t="s">
        <v>4</v>
      </c>
      <c r="N2953" s="69" t="s">
        <v>101</v>
      </c>
      <c r="O2953" s="69" t="s">
        <v>1436</v>
      </c>
      <c r="P2953" s="78"/>
      <c r="Q2953" s="96">
        <v>45492</v>
      </c>
      <c r="R2953" s="97"/>
      <c r="S2953" s="98"/>
    </row>
    <row r="2954" spans="1:19" ht="42.75">
      <c r="A2954" s="90" t="s">
        <v>53</v>
      </c>
      <c r="B2954" s="91" t="s">
        <v>4393</v>
      </c>
      <c r="C2954" s="91" t="s">
        <v>2235</v>
      </c>
      <c r="D2954" s="90">
        <v>4345</v>
      </c>
      <c r="E2954" s="90">
        <v>4526</v>
      </c>
      <c r="F2954" s="90" t="s">
        <v>1434</v>
      </c>
      <c r="G2954" s="90">
        <v>2024</v>
      </c>
      <c r="H2954" s="218">
        <v>45427</v>
      </c>
      <c r="I2954" s="210">
        <v>45429</v>
      </c>
      <c r="J2954" s="215" t="s">
        <v>4413</v>
      </c>
      <c r="K2954" s="212">
        <v>45429</v>
      </c>
      <c r="L2954" s="190" t="s">
        <v>78</v>
      </c>
      <c r="M2954" s="107" t="s">
        <v>4</v>
      </c>
      <c r="N2954" s="69" t="s">
        <v>101</v>
      </c>
      <c r="O2954" s="69" t="s">
        <v>1436</v>
      </c>
      <c r="P2954" s="78"/>
      <c r="Q2954" s="96">
        <v>45432</v>
      </c>
      <c r="R2954" s="97"/>
      <c r="S2954" s="98"/>
    </row>
    <row r="2955" spans="1:19" ht="42.75">
      <c r="A2955" s="90" t="s">
        <v>53</v>
      </c>
      <c r="B2955" s="91" t="s">
        <v>4393</v>
      </c>
      <c r="C2955" s="91" t="s">
        <v>2347</v>
      </c>
      <c r="D2955" s="90">
        <v>3979</v>
      </c>
      <c r="E2955" s="90">
        <v>4366</v>
      </c>
      <c r="F2955" s="90" t="s">
        <v>1434</v>
      </c>
      <c r="G2955" s="90">
        <v>2024</v>
      </c>
      <c r="H2955" s="218">
        <v>45552</v>
      </c>
      <c r="I2955" s="210">
        <v>45553</v>
      </c>
      <c r="J2955" s="369" t="s">
        <v>4414</v>
      </c>
      <c r="K2955" s="212">
        <v>45553</v>
      </c>
      <c r="L2955" s="190" t="s">
        <v>82</v>
      </c>
      <c r="M2955" s="107" t="s">
        <v>1589</v>
      </c>
      <c r="N2955" s="69" t="s">
        <v>1676</v>
      </c>
      <c r="O2955" s="69" t="s">
        <v>1436</v>
      </c>
      <c r="P2955" s="78"/>
      <c r="Q2955" s="96">
        <v>45554</v>
      </c>
      <c r="R2955" s="97" t="s">
        <v>929</v>
      </c>
      <c r="S2955" s="98"/>
    </row>
    <row r="2956" spans="1:19" ht="42.75">
      <c r="A2956" s="90" t="s">
        <v>53</v>
      </c>
      <c r="B2956" s="91" t="s">
        <v>456</v>
      </c>
      <c r="C2956" s="91" t="s">
        <v>895</v>
      </c>
      <c r="D2956" s="90">
        <v>6783</v>
      </c>
      <c r="E2956" s="90">
        <v>7786</v>
      </c>
      <c r="F2956" s="90" t="s">
        <v>1454</v>
      </c>
      <c r="G2956" s="90"/>
      <c r="H2956" s="94"/>
      <c r="I2956" s="94"/>
      <c r="J2956" s="94"/>
      <c r="K2956" s="107"/>
      <c r="L2956" s="95"/>
      <c r="M2956" s="69"/>
      <c r="N2956" s="69"/>
      <c r="O2956" s="69"/>
      <c r="P2956" s="78"/>
      <c r="Q2956" s="96"/>
      <c r="R2956" s="97"/>
      <c r="S2956" s="98"/>
    </row>
    <row r="2957" spans="1:19" ht="42.75">
      <c r="A2957" s="90" t="s">
        <v>53</v>
      </c>
      <c r="B2957" s="91" t="s">
        <v>456</v>
      </c>
      <c r="C2957" s="91" t="s">
        <v>366</v>
      </c>
      <c r="D2957" s="90">
        <v>2429</v>
      </c>
      <c r="E2957" s="90">
        <v>2666</v>
      </c>
      <c r="F2957" s="90" t="s">
        <v>1454</v>
      </c>
      <c r="G2957" s="90"/>
      <c r="H2957" s="94"/>
      <c r="I2957" s="94"/>
      <c r="J2957" s="204"/>
      <c r="K2957" s="107"/>
      <c r="L2957" s="95"/>
      <c r="M2957" s="69"/>
      <c r="N2957" s="69"/>
      <c r="O2957" s="69"/>
      <c r="P2957" s="78"/>
      <c r="Q2957" s="96"/>
      <c r="R2957" s="97"/>
      <c r="S2957" s="98"/>
    </row>
    <row r="2958" spans="1:19" ht="42.75">
      <c r="A2958" s="90" t="s">
        <v>53</v>
      </c>
      <c r="B2958" s="91" t="s">
        <v>456</v>
      </c>
      <c r="C2958" s="91" t="s">
        <v>732</v>
      </c>
      <c r="D2958" s="90">
        <v>3972</v>
      </c>
      <c r="E2958" s="90">
        <v>5818</v>
      </c>
      <c r="F2958" s="90" t="s">
        <v>1434</v>
      </c>
      <c r="G2958" s="90">
        <v>2024</v>
      </c>
      <c r="H2958" s="183">
        <v>45513</v>
      </c>
      <c r="I2958" s="186">
        <v>45520</v>
      </c>
      <c r="J2958" s="219" t="s">
        <v>4415</v>
      </c>
      <c r="K2958" s="188">
        <v>45523</v>
      </c>
      <c r="L2958" s="95" t="s">
        <v>81</v>
      </c>
      <c r="M2958" s="69" t="s">
        <v>4</v>
      </c>
      <c r="N2958" s="69" t="s">
        <v>101</v>
      </c>
      <c r="O2958" s="69" t="s">
        <v>1436</v>
      </c>
      <c r="P2958" s="78"/>
      <c r="Q2958" s="96">
        <v>45531</v>
      </c>
      <c r="R2958" s="97" t="s">
        <v>929</v>
      </c>
      <c r="S2958" s="98"/>
    </row>
    <row r="2959" spans="1:19" ht="42.75">
      <c r="A2959" s="90" t="s">
        <v>53</v>
      </c>
      <c r="B2959" s="91" t="s">
        <v>456</v>
      </c>
      <c r="C2959" s="91" t="s">
        <v>4416</v>
      </c>
      <c r="D2959" s="90">
        <v>2781</v>
      </c>
      <c r="E2959" s="90">
        <v>3184</v>
      </c>
      <c r="F2959" s="90" t="s">
        <v>1454</v>
      </c>
      <c r="G2959" s="90"/>
      <c r="H2959" s="94"/>
      <c r="I2959" s="94"/>
      <c r="J2959" s="183"/>
      <c r="K2959" s="107"/>
      <c r="L2959" s="95"/>
      <c r="M2959" s="69"/>
      <c r="N2959" s="69"/>
      <c r="O2959" s="69"/>
      <c r="P2959" s="78"/>
      <c r="Q2959" s="96"/>
      <c r="R2959" s="97"/>
      <c r="S2959" s="98"/>
    </row>
    <row r="2960" spans="1:19" ht="42.75">
      <c r="A2960" s="90" t="s">
        <v>53</v>
      </c>
      <c r="B2960" s="91" t="s">
        <v>456</v>
      </c>
      <c r="C2960" s="91" t="s">
        <v>4417</v>
      </c>
      <c r="D2960" s="90">
        <v>8409</v>
      </c>
      <c r="E2960" s="90">
        <v>9799</v>
      </c>
      <c r="F2960" s="90" t="s">
        <v>1454</v>
      </c>
      <c r="G2960" s="90"/>
      <c r="H2960" s="94"/>
      <c r="I2960" s="94"/>
      <c r="J2960" s="204"/>
      <c r="K2960" s="107"/>
      <c r="L2960" s="95"/>
      <c r="M2960" s="69"/>
      <c r="N2960" s="69"/>
      <c r="O2960" s="69"/>
      <c r="P2960" s="78"/>
      <c r="Q2960" s="96"/>
      <c r="R2960" s="97"/>
      <c r="S2960" s="98"/>
    </row>
    <row r="2961" spans="1:19" ht="42.75">
      <c r="A2961" s="90" t="s">
        <v>53</v>
      </c>
      <c r="B2961" s="91" t="s">
        <v>456</v>
      </c>
      <c r="C2961" s="91" t="s">
        <v>603</v>
      </c>
      <c r="D2961" s="90">
        <v>1681</v>
      </c>
      <c r="E2961" s="90">
        <v>1672</v>
      </c>
      <c r="F2961" s="90" t="s">
        <v>1434</v>
      </c>
      <c r="G2961" s="90">
        <v>2024</v>
      </c>
      <c r="H2961" s="183">
        <v>45513</v>
      </c>
      <c r="I2961" s="186">
        <v>45520</v>
      </c>
      <c r="J2961" s="219" t="s">
        <v>4418</v>
      </c>
      <c r="K2961" s="188">
        <v>45523</v>
      </c>
      <c r="L2961" s="95" t="s">
        <v>81</v>
      </c>
      <c r="M2961" s="69" t="s">
        <v>4</v>
      </c>
      <c r="N2961" s="69" t="s">
        <v>101</v>
      </c>
      <c r="O2961" s="69" t="s">
        <v>1436</v>
      </c>
      <c r="P2961" s="78"/>
      <c r="Q2961" s="96">
        <v>45531</v>
      </c>
      <c r="R2961" s="97" t="s">
        <v>929</v>
      </c>
      <c r="S2961" s="98"/>
    </row>
    <row r="2962" spans="1:19" ht="42.75">
      <c r="A2962" s="90" t="s">
        <v>53</v>
      </c>
      <c r="B2962" s="91" t="s">
        <v>456</v>
      </c>
      <c r="C2962" s="91" t="s">
        <v>790</v>
      </c>
      <c r="D2962" s="90">
        <v>3151</v>
      </c>
      <c r="E2962" s="90">
        <v>3359</v>
      </c>
      <c r="F2962" s="90" t="s">
        <v>1434</v>
      </c>
      <c r="G2962" s="90">
        <v>2024</v>
      </c>
      <c r="H2962" s="183">
        <v>45513</v>
      </c>
      <c r="I2962" s="186">
        <v>45520</v>
      </c>
      <c r="J2962" s="219" t="s">
        <v>4419</v>
      </c>
      <c r="K2962" s="188">
        <v>45523</v>
      </c>
      <c r="L2962" s="95" t="s">
        <v>81</v>
      </c>
      <c r="M2962" s="69" t="s">
        <v>4</v>
      </c>
      <c r="N2962" s="69" t="s">
        <v>101</v>
      </c>
      <c r="O2962" s="69" t="s">
        <v>1436</v>
      </c>
      <c r="P2962" s="78"/>
      <c r="Q2962" s="96">
        <v>45531</v>
      </c>
      <c r="R2962" s="97" t="s">
        <v>929</v>
      </c>
      <c r="S2962" s="98"/>
    </row>
    <row r="2963" spans="1:19" ht="42.75">
      <c r="A2963" s="90" t="s">
        <v>53</v>
      </c>
      <c r="B2963" s="91" t="s">
        <v>456</v>
      </c>
      <c r="C2963" s="91" t="s">
        <v>4420</v>
      </c>
      <c r="D2963" s="90">
        <v>2214</v>
      </c>
      <c r="E2963" s="90">
        <v>2544</v>
      </c>
      <c r="F2963" s="90" t="s">
        <v>1454</v>
      </c>
      <c r="G2963" s="90"/>
      <c r="H2963" s="94"/>
      <c r="I2963" s="94"/>
      <c r="J2963" s="183"/>
      <c r="K2963" s="107"/>
      <c r="L2963" s="95"/>
      <c r="M2963" s="69"/>
      <c r="N2963" s="69"/>
      <c r="O2963" s="69"/>
      <c r="P2963" s="78"/>
      <c r="Q2963" s="96"/>
      <c r="R2963" s="97"/>
      <c r="S2963" s="98"/>
    </row>
    <row r="2964" spans="1:19" ht="42.75">
      <c r="A2964" s="90" t="s">
        <v>53</v>
      </c>
      <c r="B2964" s="91" t="s">
        <v>456</v>
      </c>
      <c r="C2964" s="91" t="s">
        <v>539</v>
      </c>
      <c r="D2964" s="90">
        <v>2840</v>
      </c>
      <c r="E2964" s="90">
        <v>3097</v>
      </c>
      <c r="F2964" s="90" t="s">
        <v>1434</v>
      </c>
      <c r="G2964" s="90">
        <v>2024</v>
      </c>
      <c r="H2964" s="183">
        <v>45513</v>
      </c>
      <c r="I2964" s="183">
        <v>45520</v>
      </c>
      <c r="J2964" s="220" t="s">
        <v>4421</v>
      </c>
      <c r="K2964" s="184">
        <v>45523</v>
      </c>
      <c r="L2964" s="95" t="s">
        <v>81</v>
      </c>
      <c r="M2964" s="69" t="s">
        <v>4</v>
      </c>
      <c r="N2964" s="69" t="s">
        <v>108</v>
      </c>
      <c r="O2964" s="69" t="s">
        <v>1436</v>
      </c>
      <c r="P2964" s="78"/>
      <c r="Q2964" s="96">
        <v>45531</v>
      </c>
      <c r="R2964" s="97" t="s">
        <v>929</v>
      </c>
      <c r="S2964" s="98"/>
    </row>
    <row r="2965" spans="1:19" ht="42.75">
      <c r="A2965" s="90" t="s">
        <v>53</v>
      </c>
      <c r="B2965" s="91" t="s">
        <v>456</v>
      </c>
      <c r="C2965" s="91" t="s">
        <v>2347</v>
      </c>
      <c r="D2965" s="90">
        <v>2102</v>
      </c>
      <c r="E2965" s="90">
        <v>2307</v>
      </c>
      <c r="F2965" s="90" t="s">
        <v>1454</v>
      </c>
      <c r="G2965" s="90"/>
      <c r="H2965" s="94"/>
      <c r="I2965" s="94"/>
      <c r="J2965" s="183"/>
      <c r="K2965" s="107"/>
      <c r="L2965" s="95"/>
      <c r="M2965" s="69"/>
      <c r="N2965" s="69"/>
      <c r="O2965" s="69"/>
      <c r="P2965" s="78"/>
      <c r="Q2965" s="96"/>
      <c r="R2965" s="97"/>
      <c r="S2965" s="98"/>
    </row>
    <row r="2966" spans="1:19" ht="42.75">
      <c r="A2966" s="90" t="s">
        <v>53</v>
      </c>
      <c r="B2966" s="91" t="s">
        <v>456</v>
      </c>
      <c r="C2966" s="91" t="s">
        <v>607</v>
      </c>
      <c r="D2966" s="90">
        <v>4112</v>
      </c>
      <c r="E2966" s="90">
        <v>4403</v>
      </c>
      <c r="F2966" s="90" t="s">
        <v>1434</v>
      </c>
      <c r="G2966" s="90">
        <v>2024</v>
      </c>
      <c r="H2966" s="183">
        <v>45513</v>
      </c>
      <c r="I2966" s="183">
        <v>45520</v>
      </c>
      <c r="J2966" s="220" t="s">
        <v>4422</v>
      </c>
      <c r="K2966" s="184">
        <v>45523</v>
      </c>
      <c r="L2966" s="95" t="s">
        <v>81</v>
      </c>
      <c r="M2966" s="69" t="s">
        <v>4</v>
      </c>
      <c r="N2966" s="69" t="s">
        <v>101</v>
      </c>
      <c r="O2966" s="69" t="s">
        <v>1436</v>
      </c>
      <c r="P2966" s="78"/>
      <c r="Q2966" s="96">
        <v>45531</v>
      </c>
      <c r="R2966" s="97" t="s">
        <v>929</v>
      </c>
      <c r="S2966" s="98"/>
    </row>
    <row r="2967" spans="1:19" ht="42.75">
      <c r="A2967" s="90" t="s">
        <v>53</v>
      </c>
      <c r="B2967" s="91" t="s">
        <v>456</v>
      </c>
      <c r="C2967" s="91" t="s">
        <v>792</v>
      </c>
      <c r="D2967" s="90">
        <v>4541</v>
      </c>
      <c r="E2967" s="90">
        <v>4807</v>
      </c>
      <c r="F2967" s="90" t="s">
        <v>1434</v>
      </c>
      <c r="G2967" s="90">
        <v>2024</v>
      </c>
      <c r="H2967" s="183">
        <v>45513</v>
      </c>
      <c r="I2967" s="183">
        <v>45520</v>
      </c>
      <c r="J2967" s="220" t="s">
        <v>4423</v>
      </c>
      <c r="K2967" s="184">
        <v>45523</v>
      </c>
      <c r="L2967" s="95" t="s">
        <v>81</v>
      </c>
      <c r="M2967" s="69" t="s">
        <v>4</v>
      </c>
      <c r="N2967" s="69" t="s">
        <v>101</v>
      </c>
      <c r="O2967" s="69" t="s">
        <v>1436</v>
      </c>
      <c r="P2967" s="78"/>
      <c r="Q2967" s="96">
        <v>45531</v>
      </c>
      <c r="R2967" s="97" t="s">
        <v>929</v>
      </c>
      <c r="S2967" s="98"/>
    </row>
    <row r="2968" spans="1:19" ht="42.75">
      <c r="A2968" s="90" t="s">
        <v>53</v>
      </c>
      <c r="B2968" s="91" t="s">
        <v>456</v>
      </c>
      <c r="C2968" s="91" t="s">
        <v>719</v>
      </c>
      <c r="D2968" s="90">
        <v>2704</v>
      </c>
      <c r="E2968" s="90">
        <v>3087</v>
      </c>
      <c r="F2968" s="90" t="s">
        <v>1434</v>
      </c>
      <c r="G2968" s="90">
        <v>2024</v>
      </c>
      <c r="H2968" s="183">
        <v>45513</v>
      </c>
      <c r="I2968" s="183">
        <v>45520</v>
      </c>
      <c r="J2968" s="220" t="s">
        <v>4424</v>
      </c>
      <c r="K2968" s="184">
        <v>45523</v>
      </c>
      <c r="L2968" s="95" t="s">
        <v>81</v>
      </c>
      <c r="M2968" s="69" t="s">
        <v>4</v>
      </c>
      <c r="N2968" s="69" t="s">
        <v>108</v>
      </c>
      <c r="O2968" s="69" t="s">
        <v>1436</v>
      </c>
      <c r="P2968" s="78"/>
      <c r="Q2968" s="96">
        <v>45531</v>
      </c>
      <c r="R2968" s="97" t="s">
        <v>929</v>
      </c>
      <c r="S2968" s="98"/>
    </row>
    <row r="2969" spans="1:19" ht="42.75">
      <c r="A2969" s="90" t="s">
        <v>53</v>
      </c>
      <c r="B2969" s="91" t="s">
        <v>4425</v>
      </c>
      <c r="C2969" s="91" t="s">
        <v>1050</v>
      </c>
      <c r="D2969" s="90">
        <v>3445</v>
      </c>
      <c r="E2969" s="90">
        <v>3485</v>
      </c>
      <c r="F2969" s="90" t="s">
        <v>1454</v>
      </c>
      <c r="G2969" s="90"/>
      <c r="H2969" s="94"/>
      <c r="I2969" s="94"/>
      <c r="J2969" s="94"/>
      <c r="K2969" s="107"/>
      <c r="L2969" s="95"/>
      <c r="M2969" s="69"/>
      <c r="N2969" s="69"/>
      <c r="O2969" s="69"/>
      <c r="P2969" s="78"/>
      <c r="Q2969" s="96"/>
      <c r="R2969" s="97"/>
      <c r="S2969" s="98"/>
    </row>
    <row r="2970" spans="1:19" ht="42.75">
      <c r="A2970" s="90" t="s">
        <v>53</v>
      </c>
      <c r="B2970" s="91" t="s">
        <v>4425</v>
      </c>
      <c r="C2970" s="91" t="s">
        <v>4426</v>
      </c>
      <c r="D2970" s="90">
        <v>6851</v>
      </c>
      <c r="E2970" s="90">
        <v>7563</v>
      </c>
      <c r="F2970" s="90" t="s">
        <v>1454</v>
      </c>
      <c r="G2970" s="90"/>
      <c r="H2970" s="94"/>
      <c r="I2970" s="94"/>
      <c r="J2970" s="94"/>
      <c r="K2970" s="107"/>
      <c r="L2970" s="95"/>
      <c r="M2970" s="69"/>
      <c r="N2970" s="69"/>
      <c r="O2970" s="69"/>
      <c r="P2970" s="78"/>
      <c r="Q2970" s="96"/>
      <c r="R2970" s="97"/>
      <c r="S2970" s="98"/>
    </row>
    <row r="2971" spans="1:19" ht="42.75">
      <c r="A2971" s="90" t="s">
        <v>53</v>
      </c>
      <c r="B2971" s="91" t="s">
        <v>4425</v>
      </c>
      <c r="C2971" s="91" t="s">
        <v>4427</v>
      </c>
      <c r="D2971" s="90">
        <v>19340</v>
      </c>
      <c r="E2971" s="90">
        <v>21794</v>
      </c>
      <c r="F2971" s="90" t="s">
        <v>1454</v>
      </c>
      <c r="G2971" s="90"/>
      <c r="H2971" s="94"/>
      <c r="I2971" s="94"/>
      <c r="J2971" s="94"/>
      <c r="K2971" s="107"/>
      <c r="L2971" s="95"/>
      <c r="M2971" s="69"/>
      <c r="N2971" s="69"/>
      <c r="O2971" s="69"/>
      <c r="P2971" s="78"/>
      <c r="Q2971" s="96"/>
      <c r="R2971" s="97"/>
      <c r="S2971" s="98"/>
    </row>
    <row r="2972" spans="1:19" ht="42.75">
      <c r="A2972" s="90" t="s">
        <v>53</v>
      </c>
      <c r="B2972" s="91" t="s">
        <v>4425</v>
      </c>
      <c r="C2972" s="91" t="s">
        <v>4428</v>
      </c>
      <c r="D2972" s="90">
        <v>17165</v>
      </c>
      <c r="E2972" s="90">
        <v>19387</v>
      </c>
      <c r="F2972" s="90" t="s">
        <v>1454</v>
      </c>
      <c r="G2972" s="90"/>
      <c r="H2972" s="94"/>
      <c r="I2972" s="94"/>
      <c r="J2972" s="94"/>
      <c r="K2972" s="107"/>
      <c r="L2972" s="95"/>
      <c r="M2972" s="69"/>
      <c r="N2972" s="69"/>
      <c r="O2972" s="69"/>
      <c r="P2972" s="78"/>
      <c r="Q2972" s="96"/>
      <c r="R2972" s="97"/>
      <c r="S2972" s="98"/>
    </row>
    <row r="2973" spans="1:19" ht="42.75">
      <c r="A2973" s="90" t="s">
        <v>53</v>
      </c>
      <c r="B2973" s="91" t="s">
        <v>4425</v>
      </c>
      <c r="C2973" s="91" t="s">
        <v>4429</v>
      </c>
      <c r="D2973" s="90">
        <v>9253</v>
      </c>
      <c r="E2973" s="90">
        <v>9952</v>
      </c>
      <c r="F2973" s="90" t="s">
        <v>1454</v>
      </c>
      <c r="G2973" s="90"/>
      <c r="H2973" s="94"/>
      <c r="I2973" s="94"/>
      <c r="J2973" s="94"/>
      <c r="K2973" s="107"/>
      <c r="L2973" s="95"/>
      <c r="M2973" s="69"/>
      <c r="N2973" s="69"/>
      <c r="O2973" s="69"/>
      <c r="P2973" s="78"/>
      <c r="Q2973" s="96"/>
      <c r="R2973" s="97"/>
      <c r="S2973" s="98"/>
    </row>
    <row r="2974" spans="1:19" ht="42.75">
      <c r="A2974" s="90" t="s">
        <v>53</v>
      </c>
      <c r="B2974" s="91" t="s">
        <v>4425</v>
      </c>
      <c r="C2974" s="91" t="s">
        <v>4430</v>
      </c>
      <c r="D2974" s="90">
        <v>27874</v>
      </c>
      <c r="E2974" s="90">
        <v>30729</v>
      </c>
      <c r="F2974" s="90" t="s">
        <v>1454</v>
      </c>
      <c r="G2974" s="90"/>
      <c r="H2974" s="94"/>
      <c r="I2974" s="94"/>
      <c r="J2974" s="94"/>
      <c r="K2974" s="107"/>
      <c r="L2974" s="95"/>
      <c r="M2974" s="69"/>
      <c r="N2974" s="69"/>
      <c r="O2974" s="69"/>
      <c r="P2974" s="78"/>
      <c r="Q2974" s="96"/>
      <c r="R2974" s="97"/>
      <c r="S2974" s="98"/>
    </row>
    <row r="2975" spans="1:19" ht="42.75">
      <c r="A2975" s="90" t="s">
        <v>53</v>
      </c>
      <c r="B2975" s="91" t="s">
        <v>4425</v>
      </c>
      <c r="C2975" s="91" t="s">
        <v>4431</v>
      </c>
      <c r="D2975" s="90">
        <v>13137</v>
      </c>
      <c r="E2975" s="90">
        <v>14703</v>
      </c>
      <c r="F2975" s="90" t="s">
        <v>1454</v>
      </c>
      <c r="G2975" s="90"/>
      <c r="H2975" s="94"/>
      <c r="I2975" s="94"/>
      <c r="J2975" s="94"/>
      <c r="K2975" s="107"/>
      <c r="L2975" s="95"/>
      <c r="M2975" s="69"/>
      <c r="N2975" s="69"/>
      <c r="O2975" s="69"/>
      <c r="P2975" s="78"/>
      <c r="Q2975" s="96"/>
      <c r="R2975" s="97"/>
      <c r="S2975" s="98"/>
    </row>
    <row r="2976" spans="1:19" ht="42.75">
      <c r="A2976" s="90" t="s">
        <v>53</v>
      </c>
      <c r="B2976" s="91" t="s">
        <v>4425</v>
      </c>
      <c r="C2976" s="91" t="s">
        <v>4432</v>
      </c>
      <c r="D2976" s="90">
        <v>9808</v>
      </c>
      <c r="E2976" s="90">
        <v>10296</v>
      </c>
      <c r="F2976" s="90" t="s">
        <v>1454</v>
      </c>
      <c r="G2976" s="90"/>
      <c r="H2976" s="94"/>
      <c r="I2976" s="94"/>
      <c r="J2976" s="94"/>
      <c r="K2976" s="107"/>
      <c r="L2976" s="95"/>
      <c r="M2976" s="69"/>
      <c r="N2976" s="69"/>
      <c r="O2976" s="69"/>
      <c r="P2976" s="78"/>
      <c r="Q2976" s="96"/>
      <c r="R2976" s="97"/>
      <c r="S2976" s="98"/>
    </row>
    <row r="2977" spans="1:19" ht="42.75">
      <c r="A2977" s="90" t="s">
        <v>53</v>
      </c>
      <c r="B2977" s="91" t="s">
        <v>4425</v>
      </c>
      <c r="C2977" s="91" t="s">
        <v>4433</v>
      </c>
      <c r="D2977" s="90">
        <v>10622</v>
      </c>
      <c r="E2977" s="90">
        <v>12436</v>
      </c>
      <c r="F2977" s="90" t="s">
        <v>1454</v>
      </c>
      <c r="G2977" s="90"/>
      <c r="H2977" s="94"/>
      <c r="I2977" s="94"/>
      <c r="J2977" s="94"/>
      <c r="K2977" s="107"/>
      <c r="L2977" s="95"/>
      <c r="M2977" s="69"/>
      <c r="N2977" s="69"/>
      <c r="O2977" s="69"/>
      <c r="P2977" s="78"/>
      <c r="Q2977" s="96"/>
      <c r="R2977" s="97"/>
      <c r="S2977" s="98"/>
    </row>
    <row r="2978" spans="1:19" ht="42.75">
      <c r="A2978" s="90" t="s">
        <v>53</v>
      </c>
      <c r="B2978" s="91" t="s">
        <v>4425</v>
      </c>
      <c r="C2978" s="91" t="s">
        <v>831</v>
      </c>
      <c r="D2978" s="90">
        <v>27714</v>
      </c>
      <c r="E2978" s="90">
        <v>33349</v>
      </c>
      <c r="F2978" s="90" t="s">
        <v>1454</v>
      </c>
      <c r="G2978" s="90"/>
      <c r="H2978" s="94"/>
      <c r="I2978" s="94"/>
      <c r="J2978" s="94"/>
      <c r="K2978" s="107"/>
      <c r="L2978" s="95"/>
      <c r="M2978" s="69"/>
      <c r="N2978" s="69"/>
      <c r="O2978" s="69"/>
      <c r="P2978" s="78"/>
      <c r="Q2978" s="96"/>
      <c r="R2978" s="97"/>
      <c r="S2978" s="98"/>
    </row>
    <row r="2979" spans="1:19" ht="42.75">
      <c r="A2979" s="90" t="s">
        <v>53</v>
      </c>
      <c r="B2979" s="91" t="s">
        <v>4425</v>
      </c>
      <c r="C2979" s="91" t="s">
        <v>4434</v>
      </c>
      <c r="D2979" s="90">
        <v>1518</v>
      </c>
      <c r="E2979" s="90">
        <v>1561</v>
      </c>
      <c r="F2979" s="90" t="s">
        <v>1454</v>
      </c>
      <c r="G2979" s="90"/>
      <c r="H2979" s="94"/>
      <c r="I2979" s="94"/>
      <c r="J2979" s="94"/>
      <c r="K2979" s="107"/>
      <c r="L2979" s="95"/>
      <c r="M2979" s="69"/>
      <c r="N2979" s="69"/>
      <c r="O2979" s="69"/>
      <c r="P2979" s="78"/>
      <c r="Q2979" s="96"/>
      <c r="R2979" s="97"/>
      <c r="S2979" s="98"/>
    </row>
    <row r="2980" spans="1:19" ht="42.75">
      <c r="A2980" s="90" t="s">
        <v>53</v>
      </c>
      <c r="B2980" s="91" t="s">
        <v>4425</v>
      </c>
      <c r="C2980" s="91" t="s">
        <v>4435</v>
      </c>
      <c r="D2980" s="90">
        <v>2404</v>
      </c>
      <c r="E2980" s="90">
        <v>2422</v>
      </c>
      <c r="F2980" s="90" t="s">
        <v>1454</v>
      </c>
      <c r="G2980" s="90"/>
      <c r="H2980" s="94"/>
      <c r="I2980" s="94"/>
      <c r="J2980" s="94"/>
      <c r="K2980" s="107"/>
      <c r="L2980" s="95"/>
      <c r="M2980" s="69"/>
      <c r="N2980" s="69"/>
      <c r="O2980" s="69"/>
      <c r="P2980" s="78"/>
      <c r="Q2980" s="96"/>
      <c r="R2980" s="97"/>
      <c r="S2980" s="98"/>
    </row>
    <row r="2981" spans="1:19" ht="42.75">
      <c r="A2981" s="90" t="s">
        <v>53</v>
      </c>
      <c r="B2981" s="91" t="s">
        <v>4425</v>
      </c>
      <c r="C2981" s="91" t="s">
        <v>1013</v>
      </c>
      <c r="D2981" s="90">
        <v>6070</v>
      </c>
      <c r="E2981" s="90">
        <v>6593</v>
      </c>
      <c r="F2981" s="90" t="s">
        <v>1454</v>
      </c>
      <c r="G2981" s="90"/>
      <c r="H2981" s="94"/>
      <c r="I2981" s="94"/>
      <c r="J2981" s="94"/>
      <c r="K2981" s="107"/>
      <c r="L2981" s="95"/>
      <c r="M2981" s="69"/>
      <c r="N2981" s="69"/>
      <c r="O2981" s="69"/>
      <c r="P2981" s="78"/>
      <c r="Q2981" s="96"/>
      <c r="R2981" s="97"/>
      <c r="S2981" s="98"/>
    </row>
    <row r="2982" spans="1:19" ht="42.75">
      <c r="A2982" s="90" t="s">
        <v>53</v>
      </c>
      <c r="B2982" s="91" t="s">
        <v>4425</v>
      </c>
      <c r="C2982" s="91" t="s">
        <v>539</v>
      </c>
      <c r="D2982" s="90">
        <v>43632</v>
      </c>
      <c r="E2982" s="90">
        <v>47034</v>
      </c>
      <c r="F2982" s="90" t="s">
        <v>1454</v>
      </c>
      <c r="G2982" s="90"/>
      <c r="H2982" s="94"/>
      <c r="I2982" s="94"/>
      <c r="J2982" s="94"/>
      <c r="K2982" s="107"/>
      <c r="L2982" s="95"/>
      <c r="M2982" s="69"/>
      <c r="N2982" s="69"/>
      <c r="O2982" s="69"/>
      <c r="P2982" s="78"/>
      <c r="Q2982" s="96"/>
      <c r="R2982" s="97"/>
      <c r="S2982" s="98"/>
    </row>
    <row r="2983" spans="1:19" ht="42.75">
      <c r="A2983" s="90" t="s">
        <v>53</v>
      </c>
      <c r="B2983" s="91" t="s">
        <v>4425</v>
      </c>
      <c r="C2983" s="91" t="s">
        <v>4436</v>
      </c>
      <c r="D2983" s="90">
        <v>8007</v>
      </c>
      <c r="E2983" s="90">
        <v>8433</v>
      </c>
      <c r="F2983" s="90" t="s">
        <v>1454</v>
      </c>
      <c r="G2983" s="90"/>
      <c r="H2983" s="94"/>
      <c r="I2983" s="94"/>
      <c r="J2983" s="94"/>
      <c r="K2983" s="107"/>
      <c r="L2983" s="95"/>
      <c r="M2983" s="69"/>
      <c r="N2983" s="69"/>
      <c r="O2983" s="69"/>
      <c r="P2983" s="78"/>
      <c r="Q2983" s="96"/>
      <c r="R2983" s="97"/>
      <c r="S2983" s="98"/>
    </row>
    <row r="2984" spans="1:19" ht="42.75">
      <c r="A2984" s="90" t="s">
        <v>53</v>
      </c>
      <c r="B2984" s="91" t="s">
        <v>4425</v>
      </c>
      <c r="C2984" s="91" t="s">
        <v>4437</v>
      </c>
      <c r="D2984" s="90">
        <v>6926</v>
      </c>
      <c r="E2984" s="90">
        <v>7179</v>
      </c>
      <c r="F2984" s="90" t="s">
        <v>1454</v>
      </c>
      <c r="G2984" s="90"/>
      <c r="H2984" s="94"/>
      <c r="I2984" s="94"/>
      <c r="J2984" s="94"/>
      <c r="K2984" s="107"/>
      <c r="L2984" s="95"/>
      <c r="M2984" s="69"/>
      <c r="N2984" s="69"/>
      <c r="O2984" s="69"/>
      <c r="P2984" s="78"/>
      <c r="Q2984" s="96"/>
      <c r="R2984" s="97"/>
      <c r="S2984" s="98"/>
    </row>
    <row r="2985" spans="1:19" ht="42.75">
      <c r="A2985" s="90" t="s">
        <v>53</v>
      </c>
      <c r="B2985" s="91" t="s">
        <v>4425</v>
      </c>
      <c r="C2985" s="91" t="s">
        <v>4438</v>
      </c>
      <c r="D2985" s="90">
        <v>19274</v>
      </c>
      <c r="E2985" s="90">
        <v>23401</v>
      </c>
      <c r="F2985" s="90" t="s">
        <v>1454</v>
      </c>
      <c r="G2985" s="90"/>
      <c r="H2985" s="94"/>
      <c r="I2985" s="94"/>
      <c r="J2985" s="94"/>
      <c r="K2985" s="107"/>
      <c r="L2985" s="95"/>
      <c r="M2985" s="69"/>
      <c r="N2985" s="69"/>
      <c r="O2985" s="69"/>
      <c r="P2985" s="78"/>
      <c r="Q2985" s="96"/>
      <c r="R2985" s="97"/>
      <c r="S2985" s="98"/>
    </row>
    <row r="2986" spans="1:19" ht="60">
      <c r="A2986" s="90" t="s">
        <v>53</v>
      </c>
      <c r="B2986" s="91" t="s">
        <v>733</v>
      </c>
      <c r="C2986" s="91" t="s">
        <v>4439</v>
      </c>
      <c r="D2986" s="90">
        <v>672</v>
      </c>
      <c r="E2986" s="90">
        <v>820</v>
      </c>
      <c r="F2986" s="90" t="s">
        <v>1434</v>
      </c>
      <c r="G2986" s="90">
        <v>2024</v>
      </c>
      <c r="H2986" s="183">
        <v>45447</v>
      </c>
      <c r="I2986" s="183">
        <v>45457</v>
      </c>
      <c r="J2986" s="185" t="s">
        <v>4440</v>
      </c>
      <c r="K2986" s="184">
        <v>45462</v>
      </c>
      <c r="L2986" s="95" t="s">
        <v>79</v>
      </c>
      <c r="M2986" s="69" t="s">
        <v>672</v>
      </c>
      <c r="N2986" s="69" t="s">
        <v>108</v>
      </c>
      <c r="O2986" s="69" t="s">
        <v>1436</v>
      </c>
      <c r="P2986" s="78"/>
      <c r="Q2986" s="70">
        <v>45462</v>
      </c>
      <c r="R2986" s="97" t="s">
        <v>4441</v>
      </c>
      <c r="S2986" s="98"/>
    </row>
    <row r="2987" spans="1:19" ht="42.75">
      <c r="A2987" s="90" t="s">
        <v>53</v>
      </c>
      <c r="B2987" s="91" t="s">
        <v>733</v>
      </c>
      <c r="C2987" s="91" t="s">
        <v>4442</v>
      </c>
      <c r="D2987" s="90">
        <v>1912</v>
      </c>
      <c r="E2987" s="90">
        <v>2010</v>
      </c>
      <c r="F2987" s="90" t="s">
        <v>1434</v>
      </c>
      <c r="G2987" s="90">
        <v>2024</v>
      </c>
      <c r="H2987" s="183">
        <v>45447</v>
      </c>
      <c r="I2987" s="183">
        <v>45457</v>
      </c>
      <c r="J2987" s="185" t="s">
        <v>4443</v>
      </c>
      <c r="K2987" s="184">
        <v>45462</v>
      </c>
      <c r="L2987" s="95" t="s">
        <v>79</v>
      </c>
      <c r="M2987" s="69" t="s">
        <v>1589</v>
      </c>
      <c r="N2987" s="69" t="s">
        <v>1676</v>
      </c>
      <c r="O2987" s="69" t="s">
        <v>1436</v>
      </c>
      <c r="P2987" s="78"/>
      <c r="Q2987" s="70">
        <v>45462</v>
      </c>
      <c r="R2987" s="97"/>
      <c r="S2987" s="98"/>
    </row>
    <row r="2988" spans="1:19" ht="42.75">
      <c r="A2988" s="90" t="s">
        <v>53</v>
      </c>
      <c r="B2988" s="91" t="s">
        <v>733</v>
      </c>
      <c r="C2988" s="91" t="s">
        <v>4444</v>
      </c>
      <c r="D2988" s="90">
        <v>4939</v>
      </c>
      <c r="E2988" s="90">
        <v>5284</v>
      </c>
      <c r="F2988" s="90" t="s">
        <v>1454</v>
      </c>
      <c r="G2988" s="90">
        <v>2025</v>
      </c>
      <c r="H2988" s="94"/>
      <c r="I2988" s="94"/>
      <c r="J2988" s="94"/>
      <c r="K2988" s="107"/>
      <c r="L2988" s="69" t="s">
        <v>74</v>
      </c>
      <c r="M2988" s="69"/>
      <c r="N2988" s="69"/>
      <c r="O2988" s="69"/>
      <c r="P2988" s="78"/>
      <c r="Q2988" s="96"/>
      <c r="R2988" s="97"/>
      <c r="S2988" s="98"/>
    </row>
    <row r="2989" spans="1:19" ht="42.75">
      <c r="A2989" s="90" t="s">
        <v>53</v>
      </c>
      <c r="B2989" s="91" t="s">
        <v>733</v>
      </c>
      <c r="C2989" s="91" t="s">
        <v>4445</v>
      </c>
      <c r="D2989" s="90">
        <v>1081</v>
      </c>
      <c r="E2989" s="90">
        <v>1142</v>
      </c>
      <c r="F2989" s="90" t="s">
        <v>1434</v>
      </c>
      <c r="G2989" s="90">
        <v>2024</v>
      </c>
      <c r="H2989" s="183">
        <v>45616</v>
      </c>
      <c r="I2989" s="183">
        <v>45619</v>
      </c>
      <c r="J2989" s="198" t="s">
        <v>4446</v>
      </c>
      <c r="K2989" s="184">
        <v>45621</v>
      </c>
      <c r="L2989" s="95" t="s">
        <v>4447</v>
      </c>
      <c r="M2989" s="69" t="s">
        <v>4</v>
      </c>
      <c r="N2989" s="69" t="s">
        <v>101</v>
      </c>
      <c r="O2989" s="69" t="s">
        <v>1436</v>
      </c>
      <c r="P2989" s="78"/>
      <c r="Q2989" s="96">
        <v>45622</v>
      </c>
      <c r="R2989" s="97" t="s">
        <v>929</v>
      </c>
      <c r="S2989" s="98"/>
    </row>
    <row r="2990" spans="1:19" ht="42.75">
      <c r="A2990" s="90" t="s">
        <v>53</v>
      </c>
      <c r="B2990" s="91" t="s">
        <v>733</v>
      </c>
      <c r="C2990" s="91" t="s">
        <v>4448</v>
      </c>
      <c r="D2990" s="90">
        <v>1369</v>
      </c>
      <c r="E2990" s="90">
        <v>1461</v>
      </c>
      <c r="F2990" s="90" t="s">
        <v>1434</v>
      </c>
      <c r="G2990" s="90">
        <v>2024</v>
      </c>
      <c r="H2990" s="183">
        <v>45616</v>
      </c>
      <c r="I2990" s="183">
        <v>45619</v>
      </c>
      <c r="J2990" s="185" t="s">
        <v>4449</v>
      </c>
      <c r="K2990" s="184">
        <v>45621</v>
      </c>
      <c r="L2990" s="95" t="s">
        <v>4447</v>
      </c>
      <c r="M2990" s="69" t="s">
        <v>1589</v>
      </c>
      <c r="N2990" s="69" t="s">
        <v>1676</v>
      </c>
      <c r="O2990" s="69" t="s">
        <v>1436</v>
      </c>
      <c r="P2990" s="78"/>
      <c r="Q2990" s="96">
        <v>45622</v>
      </c>
      <c r="R2990" s="97" t="s">
        <v>929</v>
      </c>
      <c r="S2990" s="98"/>
    </row>
    <row r="2991" spans="1:19" ht="42.75">
      <c r="A2991" s="90" t="s">
        <v>53</v>
      </c>
      <c r="B2991" s="91" t="s">
        <v>733</v>
      </c>
      <c r="C2991" s="91" t="s">
        <v>4450</v>
      </c>
      <c r="D2991" s="90">
        <v>740</v>
      </c>
      <c r="E2991" s="90">
        <v>896</v>
      </c>
      <c r="F2991" s="90" t="s">
        <v>1434</v>
      </c>
      <c r="G2991" s="90">
        <v>2024</v>
      </c>
      <c r="H2991" s="183">
        <v>45539</v>
      </c>
      <c r="I2991" s="183">
        <v>45546</v>
      </c>
      <c r="J2991" s="221" t="s">
        <v>4451</v>
      </c>
      <c r="K2991" s="184">
        <v>45552</v>
      </c>
      <c r="L2991" s="95" t="s">
        <v>82</v>
      </c>
      <c r="M2991" s="69" t="s">
        <v>672</v>
      </c>
      <c r="N2991" s="69" t="s">
        <v>101</v>
      </c>
      <c r="O2991" s="69" t="s">
        <v>1436</v>
      </c>
      <c r="P2991" s="78"/>
      <c r="Q2991" s="96">
        <v>45552</v>
      </c>
      <c r="R2991" s="97" t="s">
        <v>929</v>
      </c>
      <c r="S2991" s="98"/>
    </row>
    <row r="2992" spans="1:19" ht="42.75">
      <c r="A2992" s="90" t="s">
        <v>53</v>
      </c>
      <c r="B2992" s="91" t="s">
        <v>733</v>
      </c>
      <c r="C2992" s="91" t="s">
        <v>4452</v>
      </c>
      <c r="D2992" s="90">
        <v>3435</v>
      </c>
      <c r="E2992" s="90">
        <v>3613</v>
      </c>
      <c r="F2992" s="90" t="s">
        <v>1454</v>
      </c>
      <c r="G2992" s="90"/>
      <c r="H2992" s="94"/>
      <c r="I2992" s="94"/>
      <c r="J2992" s="94"/>
      <c r="K2992" s="107"/>
      <c r="L2992" s="95"/>
      <c r="M2992" s="69"/>
      <c r="N2992" s="69"/>
      <c r="O2992" s="69"/>
      <c r="P2992" s="78"/>
      <c r="Q2992" s="96"/>
      <c r="R2992" s="97"/>
      <c r="S2992" s="98"/>
    </row>
    <row r="2993" spans="1:19" ht="42.75">
      <c r="A2993" s="90" t="s">
        <v>53</v>
      </c>
      <c r="B2993" s="91" t="s">
        <v>733</v>
      </c>
      <c r="C2993" s="91" t="s">
        <v>4453</v>
      </c>
      <c r="D2993" s="90">
        <v>2707</v>
      </c>
      <c r="E2993" s="90">
        <v>2906</v>
      </c>
      <c r="F2993" s="90" t="s">
        <v>1454</v>
      </c>
      <c r="G2993" s="90"/>
      <c r="H2993" s="94"/>
      <c r="I2993" s="94"/>
      <c r="J2993" s="94"/>
      <c r="K2993" s="107"/>
      <c r="L2993" s="95"/>
      <c r="M2993" s="69"/>
      <c r="N2993" s="69"/>
      <c r="O2993" s="69"/>
      <c r="P2993" s="78"/>
      <c r="Q2993" s="96"/>
      <c r="R2993" s="97"/>
      <c r="S2993" s="98"/>
    </row>
    <row r="2994" spans="1:19" ht="42.75">
      <c r="A2994" s="90" t="s">
        <v>53</v>
      </c>
      <c r="B2994" s="91" t="s">
        <v>733</v>
      </c>
      <c r="C2994" s="91" t="s">
        <v>4454</v>
      </c>
      <c r="D2994" s="90">
        <v>1597</v>
      </c>
      <c r="E2994" s="90">
        <v>1938</v>
      </c>
      <c r="F2994" s="90" t="s">
        <v>1454</v>
      </c>
      <c r="G2994" s="90"/>
      <c r="H2994" s="94"/>
      <c r="I2994" s="94"/>
      <c r="J2994" s="94"/>
      <c r="K2994" s="107"/>
      <c r="L2994" s="95"/>
      <c r="M2994" s="69"/>
      <c r="N2994" s="69"/>
      <c r="O2994" s="69"/>
      <c r="P2994" s="78"/>
      <c r="Q2994" s="96"/>
      <c r="R2994" s="97"/>
      <c r="S2994" s="98"/>
    </row>
    <row r="2995" spans="1:19" ht="60">
      <c r="A2995" s="90" t="s">
        <v>53</v>
      </c>
      <c r="B2995" s="91" t="s">
        <v>733</v>
      </c>
      <c r="C2995" s="91" t="s">
        <v>4455</v>
      </c>
      <c r="D2995" s="90">
        <v>1545</v>
      </c>
      <c r="E2995" s="90">
        <v>1746</v>
      </c>
      <c r="F2995" s="90" t="s">
        <v>1434</v>
      </c>
      <c r="G2995" s="90">
        <v>2024</v>
      </c>
      <c r="H2995" s="183">
        <v>45447</v>
      </c>
      <c r="I2995" s="183">
        <v>45457</v>
      </c>
      <c r="J2995" s="185" t="s">
        <v>4456</v>
      </c>
      <c r="K2995" s="184">
        <v>45462</v>
      </c>
      <c r="L2995" s="95" t="s">
        <v>79</v>
      </c>
      <c r="M2995" s="69" t="s">
        <v>672</v>
      </c>
      <c r="N2995" s="69" t="s">
        <v>108</v>
      </c>
      <c r="O2995" s="69" t="s">
        <v>1436</v>
      </c>
      <c r="P2995" s="78"/>
      <c r="Q2995" s="96">
        <v>45462</v>
      </c>
      <c r="R2995" s="97" t="s">
        <v>4457</v>
      </c>
      <c r="S2995" s="98"/>
    </row>
    <row r="2996" spans="1:19" ht="42.75">
      <c r="A2996" s="90" t="s">
        <v>53</v>
      </c>
      <c r="B2996" s="91" t="s">
        <v>733</v>
      </c>
      <c r="C2996" s="91" t="s">
        <v>4458</v>
      </c>
      <c r="D2996" s="90">
        <v>373</v>
      </c>
      <c r="E2996" s="90">
        <v>419</v>
      </c>
      <c r="F2996" s="90" t="s">
        <v>1454</v>
      </c>
      <c r="G2996" s="90"/>
      <c r="H2996" s="94"/>
      <c r="I2996" s="94"/>
      <c r="J2996" s="117"/>
      <c r="K2996" s="107"/>
      <c r="L2996" s="95"/>
      <c r="M2996" s="69"/>
      <c r="N2996" s="69"/>
      <c r="O2996" s="69"/>
      <c r="P2996" s="78"/>
      <c r="Q2996" s="96"/>
      <c r="R2996" s="97"/>
      <c r="S2996" s="98"/>
    </row>
    <row r="2997" spans="1:19" ht="42.75">
      <c r="A2997" s="90" t="s">
        <v>53</v>
      </c>
      <c r="B2997" s="91" t="s">
        <v>733</v>
      </c>
      <c r="C2997" s="91" t="s">
        <v>4459</v>
      </c>
      <c r="D2997" s="90">
        <v>1791</v>
      </c>
      <c r="E2997" s="90">
        <v>2430</v>
      </c>
      <c r="F2997" s="90" t="s">
        <v>1434</v>
      </c>
      <c r="G2997" s="90">
        <v>2024</v>
      </c>
      <c r="H2997" s="183">
        <v>45539</v>
      </c>
      <c r="I2997" s="186">
        <v>45544</v>
      </c>
      <c r="J2997" s="190" t="s">
        <v>4460</v>
      </c>
      <c r="K2997" s="188">
        <v>45552</v>
      </c>
      <c r="L2997" s="95" t="s">
        <v>82</v>
      </c>
      <c r="M2997" s="69" t="s">
        <v>672</v>
      </c>
      <c r="N2997" s="69" t="s">
        <v>101</v>
      </c>
      <c r="O2997" s="69" t="s">
        <v>1436</v>
      </c>
      <c r="P2997" s="78"/>
      <c r="Q2997" s="96">
        <v>45553</v>
      </c>
      <c r="R2997" s="97" t="s">
        <v>929</v>
      </c>
      <c r="S2997" s="98"/>
    </row>
    <row r="2998" spans="1:19" ht="42.75">
      <c r="A2998" s="90" t="s">
        <v>53</v>
      </c>
      <c r="B2998" s="91" t="s">
        <v>733</v>
      </c>
      <c r="C2998" s="91" t="s">
        <v>4461</v>
      </c>
      <c r="D2998" s="90">
        <v>1641</v>
      </c>
      <c r="E2998" s="90">
        <v>1778</v>
      </c>
      <c r="F2998" s="90" t="s">
        <v>1434</v>
      </c>
      <c r="G2998" s="90">
        <v>2024</v>
      </c>
      <c r="H2998" s="183">
        <v>45539</v>
      </c>
      <c r="I2998" s="186">
        <v>45546</v>
      </c>
      <c r="J2998" s="190" t="s">
        <v>4462</v>
      </c>
      <c r="K2998" s="188">
        <v>45552</v>
      </c>
      <c r="L2998" s="95" t="s">
        <v>82</v>
      </c>
      <c r="M2998" s="69" t="s">
        <v>672</v>
      </c>
      <c r="N2998" s="69" t="s">
        <v>101</v>
      </c>
      <c r="O2998" s="69" t="s">
        <v>1436</v>
      </c>
      <c r="P2998" s="78"/>
      <c r="Q2998" s="96">
        <v>45552</v>
      </c>
      <c r="R2998" s="97" t="s">
        <v>929</v>
      </c>
      <c r="S2998" s="98"/>
    </row>
    <row r="2999" spans="1:19" ht="42.75">
      <c r="A2999" s="90" t="s">
        <v>53</v>
      </c>
      <c r="B2999" s="91" t="s">
        <v>733</v>
      </c>
      <c r="C2999" s="91" t="s">
        <v>3203</v>
      </c>
      <c r="D2999" s="90">
        <v>1101</v>
      </c>
      <c r="E2999" s="90">
        <v>1182</v>
      </c>
      <c r="F2999" s="90" t="s">
        <v>1434</v>
      </c>
      <c r="G2999" s="90">
        <v>2024</v>
      </c>
      <c r="H2999" s="183">
        <v>45616</v>
      </c>
      <c r="I2999" s="186">
        <v>45619</v>
      </c>
      <c r="J2999" s="190" t="s">
        <v>4463</v>
      </c>
      <c r="K2999" s="188">
        <v>45621</v>
      </c>
      <c r="L2999" s="95" t="s">
        <v>4447</v>
      </c>
      <c r="M2999" s="69" t="s">
        <v>1589</v>
      </c>
      <c r="N2999" s="69" t="s">
        <v>1676</v>
      </c>
      <c r="O2999" s="69" t="s">
        <v>1436</v>
      </c>
      <c r="P2999" s="78"/>
      <c r="Q2999" s="96">
        <v>45622</v>
      </c>
      <c r="R2999" s="97" t="s">
        <v>929</v>
      </c>
      <c r="S2999" s="98"/>
    </row>
    <row r="3000" spans="1:19" ht="42.75">
      <c r="A3000" s="90" t="s">
        <v>53</v>
      </c>
      <c r="B3000" s="91" t="s">
        <v>733</v>
      </c>
      <c r="C3000" s="91" t="s">
        <v>734</v>
      </c>
      <c r="D3000" s="90">
        <v>4126</v>
      </c>
      <c r="E3000" s="90">
        <v>5130</v>
      </c>
      <c r="F3000" s="90" t="s">
        <v>1434</v>
      </c>
      <c r="G3000" s="90">
        <v>2024</v>
      </c>
      <c r="H3000" s="183">
        <v>45539</v>
      </c>
      <c r="I3000" s="186">
        <v>45544</v>
      </c>
      <c r="J3000" s="190" t="s">
        <v>4464</v>
      </c>
      <c r="K3000" s="188">
        <v>45552</v>
      </c>
      <c r="L3000" s="95" t="s">
        <v>82</v>
      </c>
      <c r="M3000" s="69" t="s">
        <v>672</v>
      </c>
      <c r="N3000" s="69" t="s">
        <v>101</v>
      </c>
      <c r="O3000" s="69" t="s">
        <v>1436</v>
      </c>
      <c r="P3000" s="78"/>
      <c r="Q3000" s="96">
        <v>45552</v>
      </c>
      <c r="R3000" s="97" t="s">
        <v>929</v>
      </c>
      <c r="S3000" s="98"/>
    </row>
    <row r="3001" spans="1:19" ht="42.75">
      <c r="A3001" s="90" t="s">
        <v>53</v>
      </c>
      <c r="B3001" s="91" t="s">
        <v>733</v>
      </c>
      <c r="C3001" s="91" t="s">
        <v>764</v>
      </c>
      <c r="D3001" s="90">
        <v>1209</v>
      </c>
      <c r="E3001" s="90">
        <v>1352</v>
      </c>
      <c r="F3001" s="90" t="s">
        <v>1434</v>
      </c>
      <c r="G3001" s="90">
        <v>2024</v>
      </c>
      <c r="H3001" s="183">
        <v>45539</v>
      </c>
      <c r="I3001" s="186">
        <v>45546</v>
      </c>
      <c r="J3001" s="187" t="s">
        <v>4465</v>
      </c>
      <c r="K3001" s="188">
        <v>45552</v>
      </c>
      <c r="L3001" s="95" t="s">
        <v>82</v>
      </c>
      <c r="M3001" s="69" t="s">
        <v>672</v>
      </c>
      <c r="N3001" s="69" t="s">
        <v>101</v>
      </c>
      <c r="O3001" s="69" t="s">
        <v>1436</v>
      </c>
      <c r="P3001" s="78"/>
      <c r="Q3001" s="96">
        <v>45552</v>
      </c>
      <c r="R3001" s="97" t="s">
        <v>929</v>
      </c>
      <c r="S3001" s="98"/>
    </row>
    <row r="3002" spans="1:19" ht="42.75">
      <c r="A3002" s="90" t="s">
        <v>53</v>
      </c>
      <c r="B3002" s="91" t="s">
        <v>733</v>
      </c>
      <c r="C3002" s="91" t="s">
        <v>1879</v>
      </c>
      <c r="D3002" s="90">
        <v>1739</v>
      </c>
      <c r="E3002" s="90">
        <v>2075</v>
      </c>
      <c r="F3002" s="90" t="s">
        <v>1454</v>
      </c>
      <c r="G3002" s="90"/>
      <c r="H3002" s="94"/>
      <c r="I3002" s="191"/>
      <c r="J3002" s="107"/>
      <c r="K3002" s="189"/>
      <c r="L3002" s="95"/>
      <c r="M3002" s="69"/>
      <c r="N3002" s="69"/>
      <c r="O3002" s="69"/>
      <c r="P3002" s="78"/>
      <c r="Q3002" s="96"/>
      <c r="R3002" s="97"/>
      <c r="S3002" s="98"/>
    </row>
    <row r="3003" spans="1:19" ht="42.75">
      <c r="A3003" s="90" t="s">
        <v>53</v>
      </c>
      <c r="B3003" s="91" t="s">
        <v>733</v>
      </c>
      <c r="C3003" s="91" t="s">
        <v>1658</v>
      </c>
      <c r="D3003" s="90">
        <v>1384</v>
      </c>
      <c r="E3003" s="90">
        <v>1744</v>
      </c>
      <c r="F3003" s="90" t="s">
        <v>1434</v>
      </c>
      <c r="G3003" s="90">
        <v>2024</v>
      </c>
      <c r="H3003" s="183">
        <v>45447</v>
      </c>
      <c r="I3003" s="186">
        <v>45457</v>
      </c>
      <c r="J3003" s="190" t="s">
        <v>4466</v>
      </c>
      <c r="K3003" s="188">
        <v>45462</v>
      </c>
      <c r="L3003" s="95" t="s">
        <v>79</v>
      </c>
      <c r="M3003" s="69" t="s">
        <v>4</v>
      </c>
      <c r="N3003" s="69" t="s">
        <v>108</v>
      </c>
      <c r="O3003" s="69" t="s">
        <v>1436</v>
      </c>
      <c r="P3003" s="78"/>
      <c r="Q3003" s="70">
        <v>45462</v>
      </c>
      <c r="R3003" s="97"/>
      <c r="S3003" s="98"/>
    </row>
    <row r="3004" spans="1:19" ht="42.75">
      <c r="A3004" s="90" t="s">
        <v>53</v>
      </c>
      <c r="B3004" s="91" t="s">
        <v>733</v>
      </c>
      <c r="C3004" s="91" t="s">
        <v>4467</v>
      </c>
      <c r="D3004" s="90">
        <v>1586</v>
      </c>
      <c r="E3004" s="90">
        <v>1858</v>
      </c>
      <c r="F3004" s="90" t="s">
        <v>1454</v>
      </c>
      <c r="G3004" s="90"/>
      <c r="H3004" s="94"/>
      <c r="I3004" s="94"/>
      <c r="J3004" s="94"/>
      <c r="K3004" s="107"/>
      <c r="L3004" s="95"/>
      <c r="M3004" s="69"/>
      <c r="N3004" s="69"/>
      <c r="O3004" s="69"/>
      <c r="P3004" s="78"/>
      <c r="Q3004" s="96"/>
      <c r="R3004" s="97"/>
      <c r="S3004" s="98"/>
    </row>
    <row r="3005" spans="1:19" ht="42.75">
      <c r="A3005" s="90" t="s">
        <v>53</v>
      </c>
      <c r="B3005" s="91" t="s">
        <v>714</v>
      </c>
      <c r="C3005" s="91" t="s">
        <v>4468</v>
      </c>
      <c r="D3005" s="90">
        <v>1854</v>
      </c>
      <c r="E3005" s="90">
        <v>2136</v>
      </c>
      <c r="F3005" s="90" t="s">
        <v>1454</v>
      </c>
      <c r="G3005" s="90"/>
      <c r="H3005" s="94"/>
      <c r="I3005" s="94"/>
      <c r="J3005" s="94"/>
      <c r="K3005" s="107"/>
      <c r="L3005" s="95"/>
      <c r="M3005" s="69"/>
      <c r="N3005" s="69"/>
      <c r="O3005" s="69"/>
      <c r="P3005" s="78"/>
      <c r="Q3005" s="96"/>
      <c r="R3005" s="97"/>
      <c r="S3005" s="98"/>
    </row>
    <row r="3006" spans="1:19" ht="42.75">
      <c r="A3006" s="90" t="s">
        <v>53</v>
      </c>
      <c r="B3006" s="91" t="s">
        <v>714</v>
      </c>
      <c r="C3006" s="91" t="s">
        <v>4469</v>
      </c>
      <c r="D3006" s="90">
        <v>1765</v>
      </c>
      <c r="E3006" s="90">
        <v>1940</v>
      </c>
      <c r="F3006" s="90" t="s">
        <v>1454</v>
      </c>
      <c r="G3006" s="90"/>
      <c r="H3006" s="94"/>
      <c r="I3006" s="117"/>
      <c r="J3006" s="117"/>
      <c r="K3006" s="196"/>
      <c r="L3006" s="95"/>
      <c r="M3006" s="69"/>
      <c r="N3006" s="69"/>
      <c r="O3006" s="69"/>
      <c r="P3006" s="78"/>
      <c r="Q3006" s="96"/>
      <c r="R3006" s="97"/>
      <c r="S3006" s="98"/>
    </row>
    <row r="3007" spans="1:19" ht="42.75">
      <c r="A3007" s="90" t="s">
        <v>53</v>
      </c>
      <c r="B3007" s="91" t="s">
        <v>714</v>
      </c>
      <c r="C3007" s="91" t="s">
        <v>1817</v>
      </c>
      <c r="D3007" s="90">
        <v>5215</v>
      </c>
      <c r="E3007" s="90">
        <v>5898</v>
      </c>
      <c r="F3007" s="90" t="s">
        <v>1434</v>
      </c>
      <c r="G3007" s="90">
        <v>2024</v>
      </c>
      <c r="H3007" s="186">
        <v>45569</v>
      </c>
      <c r="I3007" s="184">
        <v>45569</v>
      </c>
      <c r="J3007" s="190" t="s">
        <v>4470</v>
      </c>
      <c r="K3007" s="184">
        <v>45574</v>
      </c>
      <c r="L3007" s="163" t="s">
        <v>4471</v>
      </c>
      <c r="M3007" s="69" t="s">
        <v>4</v>
      </c>
      <c r="N3007" s="69" t="s">
        <v>101</v>
      </c>
      <c r="O3007" s="69" t="s">
        <v>1436</v>
      </c>
      <c r="P3007" s="78"/>
      <c r="Q3007" s="115">
        <v>45575</v>
      </c>
      <c r="R3007" s="65" t="s">
        <v>929</v>
      </c>
      <c r="S3007" s="89"/>
    </row>
    <row r="3008" spans="1:19" ht="42.75">
      <c r="A3008" s="90" t="s">
        <v>53</v>
      </c>
      <c r="B3008" s="91" t="s">
        <v>714</v>
      </c>
      <c r="C3008" s="91" t="s">
        <v>4472</v>
      </c>
      <c r="D3008" s="90">
        <v>3147</v>
      </c>
      <c r="E3008" s="90">
        <v>3845</v>
      </c>
      <c r="F3008" s="90" t="s">
        <v>1434</v>
      </c>
      <c r="G3008" s="90">
        <v>2024</v>
      </c>
      <c r="H3008" s="186">
        <v>45569</v>
      </c>
      <c r="I3008" s="184">
        <v>45569</v>
      </c>
      <c r="J3008" s="222" t="s">
        <v>4473</v>
      </c>
      <c r="K3008" s="184">
        <v>45574</v>
      </c>
      <c r="L3008" s="163" t="s">
        <v>4471</v>
      </c>
      <c r="M3008" s="69" t="s">
        <v>4</v>
      </c>
      <c r="N3008" s="69" t="s">
        <v>101</v>
      </c>
      <c r="O3008" s="69" t="s">
        <v>1436</v>
      </c>
      <c r="P3008" s="78"/>
      <c r="Q3008" s="115">
        <v>45575</v>
      </c>
      <c r="R3008" s="65" t="s">
        <v>929</v>
      </c>
      <c r="S3008" s="89"/>
    </row>
    <row r="3009" spans="1:19" ht="42.75">
      <c r="A3009" s="90" t="s">
        <v>53</v>
      </c>
      <c r="B3009" s="91" t="s">
        <v>714</v>
      </c>
      <c r="C3009" s="91" t="s">
        <v>4474</v>
      </c>
      <c r="D3009" s="90">
        <v>3573</v>
      </c>
      <c r="E3009" s="90">
        <v>3852</v>
      </c>
      <c r="F3009" s="90" t="s">
        <v>1434</v>
      </c>
      <c r="G3009" s="90">
        <v>2024</v>
      </c>
      <c r="H3009" s="186">
        <v>45569</v>
      </c>
      <c r="I3009" s="184">
        <v>45569</v>
      </c>
      <c r="J3009" s="222" t="s">
        <v>4475</v>
      </c>
      <c r="K3009" s="184">
        <v>45574</v>
      </c>
      <c r="L3009" s="163" t="s">
        <v>83</v>
      </c>
      <c r="M3009" s="69" t="s">
        <v>4</v>
      </c>
      <c r="N3009" s="69" t="s">
        <v>101</v>
      </c>
      <c r="O3009" s="69" t="s">
        <v>1436</v>
      </c>
      <c r="P3009" s="78"/>
      <c r="Q3009" s="115">
        <v>45575</v>
      </c>
      <c r="R3009" s="65" t="s">
        <v>929</v>
      </c>
      <c r="S3009" s="89"/>
    </row>
    <row r="3010" spans="1:19" ht="42.75">
      <c r="A3010" s="90" t="s">
        <v>53</v>
      </c>
      <c r="B3010" s="91" t="s">
        <v>714</v>
      </c>
      <c r="C3010" s="91" t="s">
        <v>4476</v>
      </c>
      <c r="D3010" s="90">
        <v>2792</v>
      </c>
      <c r="E3010" s="90">
        <v>2675</v>
      </c>
      <c r="F3010" s="90" t="s">
        <v>1454</v>
      </c>
      <c r="G3010" s="90"/>
      <c r="H3010" s="94"/>
      <c r="I3010" s="94"/>
      <c r="J3010" s="94"/>
      <c r="K3010" s="166"/>
      <c r="L3010" s="95"/>
      <c r="M3010" s="69"/>
      <c r="N3010" s="69"/>
      <c r="O3010" s="69"/>
      <c r="P3010" s="78"/>
      <c r="Q3010" s="96"/>
      <c r="R3010" s="97"/>
      <c r="S3010" s="98"/>
    </row>
    <row r="3011" spans="1:19" ht="42.75">
      <c r="A3011" s="90" t="s">
        <v>53</v>
      </c>
      <c r="B3011" s="91" t="s">
        <v>714</v>
      </c>
      <c r="C3011" s="91" t="s">
        <v>4477</v>
      </c>
      <c r="D3011" s="90">
        <v>2878</v>
      </c>
      <c r="E3011" s="90">
        <v>3476</v>
      </c>
      <c r="F3011" s="90" t="s">
        <v>1434</v>
      </c>
      <c r="G3011" s="90">
        <v>2024</v>
      </c>
      <c r="H3011" s="183">
        <v>45427</v>
      </c>
      <c r="I3011" s="183">
        <v>45429</v>
      </c>
      <c r="J3011" s="185" t="s">
        <v>4478</v>
      </c>
      <c r="K3011" s="184">
        <v>45429</v>
      </c>
      <c r="L3011" s="95" t="s">
        <v>78</v>
      </c>
      <c r="M3011" s="69" t="s">
        <v>4</v>
      </c>
      <c r="N3011" s="69" t="s">
        <v>101</v>
      </c>
      <c r="O3011" s="69" t="s">
        <v>1436</v>
      </c>
      <c r="P3011" s="78"/>
      <c r="Q3011" s="96">
        <v>45432</v>
      </c>
      <c r="R3011" s="97"/>
      <c r="S3011" s="98"/>
    </row>
    <row r="3012" spans="1:19" ht="42.75">
      <c r="A3012" s="90" t="s">
        <v>53</v>
      </c>
      <c r="B3012" s="91" t="s">
        <v>714</v>
      </c>
      <c r="C3012" s="91" t="s">
        <v>3278</v>
      </c>
      <c r="D3012" s="90">
        <v>1525</v>
      </c>
      <c r="E3012" s="90">
        <v>1671</v>
      </c>
      <c r="F3012" s="90" t="s">
        <v>1454</v>
      </c>
      <c r="G3012" s="90"/>
      <c r="H3012" s="94"/>
      <c r="I3012" s="94"/>
      <c r="J3012" s="94"/>
      <c r="K3012" s="107"/>
      <c r="L3012" s="95"/>
      <c r="M3012" s="69"/>
      <c r="N3012" s="69"/>
      <c r="O3012" s="69"/>
      <c r="P3012" s="78"/>
      <c r="Q3012" s="96"/>
      <c r="R3012" s="97"/>
      <c r="S3012" s="98"/>
    </row>
    <row r="3013" spans="1:19" ht="42.75">
      <c r="A3013" s="90" t="s">
        <v>53</v>
      </c>
      <c r="B3013" s="91" t="s">
        <v>714</v>
      </c>
      <c r="C3013" s="91" t="s">
        <v>4479</v>
      </c>
      <c r="D3013" s="90">
        <v>931</v>
      </c>
      <c r="E3013" s="90">
        <v>1013</v>
      </c>
      <c r="F3013" s="90" t="s">
        <v>1454</v>
      </c>
      <c r="G3013" s="90"/>
      <c r="H3013" s="94"/>
      <c r="I3013" s="94"/>
      <c r="J3013" s="94"/>
      <c r="K3013" s="107"/>
      <c r="L3013" s="95"/>
      <c r="M3013" s="69"/>
      <c r="N3013" s="69"/>
      <c r="O3013" s="69"/>
      <c r="P3013" s="78"/>
      <c r="Q3013" s="96"/>
      <c r="R3013" s="97"/>
      <c r="S3013" s="98"/>
    </row>
    <row r="3014" spans="1:19" ht="42.75">
      <c r="A3014" s="90" t="s">
        <v>53</v>
      </c>
      <c r="B3014" s="91" t="s">
        <v>714</v>
      </c>
      <c r="C3014" s="91" t="s">
        <v>2178</v>
      </c>
      <c r="D3014" s="90">
        <v>1645</v>
      </c>
      <c r="E3014" s="90">
        <v>1634</v>
      </c>
      <c r="F3014" s="90" t="s">
        <v>1434</v>
      </c>
      <c r="G3014" s="90">
        <v>2024</v>
      </c>
      <c r="H3014" s="183">
        <v>45611</v>
      </c>
      <c r="I3014" s="183">
        <v>45614</v>
      </c>
      <c r="J3014" s="198" t="s">
        <v>4480</v>
      </c>
      <c r="K3014" s="184">
        <v>45621</v>
      </c>
      <c r="L3014" s="95" t="s">
        <v>4447</v>
      </c>
      <c r="M3014" s="69" t="s">
        <v>4</v>
      </c>
      <c r="N3014" s="69" t="s">
        <v>101</v>
      </c>
      <c r="O3014" s="69" t="s">
        <v>1436</v>
      </c>
      <c r="P3014" s="78"/>
      <c r="Q3014" s="96">
        <v>45622</v>
      </c>
      <c r="R3014" s="97" t="s">
        <v>929</v>
      </c>
      <c r="S3014" s="98"/>
    </row>
    <row r="3015" spans="1:19" ht="42.75">
      <c r="A3015" s="90" t="s">
        <v>53</v>
      </c>
      <c r="B3015" s="91" t="s">
        <v>714</v>
      </c>
      <c r="C3015" s="91" t="s">
        <v>440</v>
      </c>
      <c r="D3015" s="90">
        <v>4322</v>
      </c>
      <c r="E3015" s="90">
        <v>4079</v>
      </c>
      <c r="F3015" s="90" t="s">
        <v>1434</v>
      </c>
      <c r="G3015" s="90">
        <v>2024</v>
      </c>
      <c r="H3015" s="183">
        <v>45602</v>
      </c>
      <c r="I3015" s="183">
        <v>45605</v>
      </c>
      <c r="J3015" s="185" t="s">
        <v>4328</v>
      </c>
      <c r="K3015" s="184">
        <v>45616</v>
      </c>
      <c r="L3015" s="95" t="s">
        <v>84</v>
      </c>
      <c r="M3015" s="69" t="s">
        <v>4</v>
      </c>
      <c r="N3015" s="69" t="s">
        <v>101</v>
      </c>
      <c r="O3015" s="69" t="s">
        <v>1436</v>
      </c>
      <c r="P3015" s="78"/>
      <c r="Q3015" s="96"/>
      <c r="R3015" s="97"/>
      <c r="S3015" s="98"/>
    </row>
    <row r="3016" spans="1:19" ht="42.75">
      <c r="A3016" s="90" t="s">
        <v>53</v>
      </c>
      <c r="B3016" s="91" t="s">
        <v>714</v>
      </c>
      <c r="C3016" s="91" t="s">
        <v>3749</v>
      </c>
      <c r="D3016" s="90">
        <v>2933</v>
      </c>
      <c r="E3016" s="90">
        <v>3223</v>
      </c>
      <c r="F3016" s="90" t="s">
        <v>1454</v>
      </c>
      <c r="G3016" s="90"/>
      <c r="H3016" s="94"/>
      <c r="I3016" s="94"/>
      <c r="J3016" s="94"/>
      <c r="K3016" s="107"/>
      <c r="L3016" s="95"/>
      <c r="M3016" s="69"/>
      <c r="N3016" s="69"/>
      <c r="O3016" s="69"/>
      <c r="P3016" s="78"/>
      <c r="Q3016" s="96"/>
      <c r="R3016" s="97"/>
      <c r="S3016" s="98"/>
    </row>
    <row r="3017" spans="1:19" ht="42.75">
      <c r="A3017" s="90" t="s">
        <v>53</v>
      </c>
      <c r="B3017" s="91" t="s">
        <v>714</v>
      </c>
      <c r="C3017" s="91" t="s">
        <v>1020</v>
      </c>
      <c r="D3017" s="90">
        <v>1513</v>
      </c>
      <c r="E3017" s="90">
        <v>1552</v>
      </c>
      <c r="F3017" s="90" t="s">
        <v>1454</v>
      </c>
      <c r="G3017" s="90"/>
      <c r="H3017" s="94"/>
      <c r="I3017" s="94"/>
      <c r="J3017" s="94"/>
      <c r="K3017" s="107"/>
      <c r="L3017" s="95"/>
      <c r="M3017" s="69"/>
      <c r="N3017" s="69"/>
      <c r="O3017" s="69"/>
      <c r="P3017" s="78"/>
      <c r="Q3017" s="96"/>
      <c r="R3017" s="97"/>
      <c r="S3017" s="98"/>
    </row>
    <row r="3018" spans="1:19" ht="42.75">
      <c r="A3018" s="90" t="s">
        <v>53</v>
      </c>
      <c r="B3018" s="91" t="s">
        <v>714</v>
      </c>
      <c r="C3018" s="91" t="s">
        <v>444</v>
      </c>
      <c r="D3018" s="90">
        <v>568</v>
      </c>
      <c r="E3018" s="90">
        <v>456</v>
      </c>
      <c r="F3018" s="90" t="s">
        <v>1434</v>
      </c>
      <c r="G3018" s="90">
        <v>2024</v>
      </c>
      <c r="H3018" s="183">
        <v>45427</v>
      </c>
      <c r="I3018" s="183">
        <v>45429</v>
      </c>
      <c r="J3018" s="185" t="s">
        <v>4481</v>
      </c>
      <c r="K3018" s="184">
        <v>45429</v>
      </c>
      <c r="L3018" s="95" t="s">
        <v>78</v>
      </c>
      <c r="M3018" s="69" t="s">
        <v>4</v>
      </c>
      <c r="N3018" s="69" t="s">
        <v>101</v>
      </c>
      <c r="O3018" s="69" t="s">
        <v>1436</v>
      </c>
      <c r="P3018" s="78"/>
      <c r="Q3018" s="96">
        <v>45432</v>
      </c>
      <c r="R3018" s="97"/>
      <c r="S3018" s="98"/>
    </row>
    <row r="3019" spans="1:19" ht="42.75">
      <c r="A3019" s="90" t="s">
        <v>53</v>
      </c>
      <c r="B3019" s="91" t="s">
        <v>550</v>
      </c>
      <c r="C3019" s="91" t="s">
        <v>4482</v>
      </c>
      <c r="D3019" s="90">
        <v>1259</v>
      </c>
      <c r="E3019" s="90">
        <v>1282</v>
      </c>
      <c r="F3019" s="90" t="s">
        <v>1454</v>
      </c>
      <c r="G3019" s="90"/>
      <c r="H3019" s="94"/>
      <c r="I3019" s="94"/>
      <c r="J3019" s="94"/>
      <c r="K3019" s="107"/>
      <c r="L3019" s="95"/>
      <c r="M3019" s="69"/>
      <c r="N3019" s="69"/>
      <c r="O3019" s="69"/>
      <c r="P3019" s="78"/>
      <c r="Q3019" s="96"/>
      <c r="R3019" s="97"/>
      <c r="S3019" s="98"/>
    </row>
    <row r="3020" spans="1:19" ht="42.75">
      <c r="A3020" s="90" t="s">
        <v>53</v>
      </c>
      <c r="B3020" s="91" t="s">
        <v>550</v>
      </c>
      <c r="C3020" s="91" t="s">
        <v>4483</v>
      </c>
      <c r="D3020" s="90">
        <v>1832</v>
      </c>
      <c r="E3020" s="90">
        <v>1974</v>
      </c>
      <c r="F3020" s="90" t="s">
        <v>1454</v>
      </c>
      <c r="G3020" s="90"/>
      <c r="H3020" s="94"/>
      <c r="I3020" s="94"/>
      <c r="J3020" s="94"/>
      <c r="K3020" s="107"/>
      <c r="L3020" s="95"/>
      <c r="M3020" s="69"/>
      <c r="N3020" s="69"/>
      <c r="O3020" s="69"/>
      <c r="P3020" s="78"/>
      <c r="Q3020" s="96"/>
      <c r="R3020" s="97"/>
      <c r="S3020" s="98"/>
    </row>
    <row r="3021" spans="1:19" ht="42.75">
      <c r="A3021" s="90" t="s">
        <v>53</v>
      </c>
      <c r="B3021" s="91" t="s">
        <v>550</v>
      </c>
      <c r="C3021" s="91" t="s">
        <v>4484</v>
      </c>
      <c r="D3021" s="90">
        <v>1027</v>
      </c>
      <c r="E3021" s="90">
        <v>1178</v>
      </c>
      <c r="F3021" s="90" t="s">
        <v>1454</v>
      </c>
      <c r="G3021" s="90"/>
      <c r="H3021" s="94"/>
      <c r="I3021" s="94"/>
      <c r="J3021" s="94"/>
      <c r="K3021" s="107"/>
      <c r="L3021" s="95"/>
      <c r="M3021" s="69"/>
      <c r="N3021" s="69"/>
      <c r="O3021" s="69"/>
      <c r="P3021" s="78"/>
      <c r="Q3021" s="96"/>
      <c r="R3021" s="97"/>
      <c r="S3021" s="98"/>
    </row>
    <row r="3022" spans="1:19" ht="42.75">
      <c r="A3022" s="90" t="s">
        <v>53</v>
      </c>
      <c r="B3022" s="91" t="s">
        <v>550</v>
      </c>
      <c r="C3022" s="91" t="s">
        <v>4485</v>
      </c>
      <c r="D3022" s="90">
        <v>1672</v>
      </c>
      <c r="E3022" s="90">
        <v>1824</v>
      </c>
      <c r="F3022" s="90" t="s">
        <v>1434</v>
      </c>
      <c r="G3022" s="90">
        <v>2024</v>
      </c>
      <c r="H3022" s="183">
        <v>45457</v>
      </c>
      <c r="I3022" s="183">
        <v>45461</v>
      </c>
      <c r="J3022" s="185" t="s">
        <v>4486</v>
      </c>
      <c r="K3022" s="184">
        <v>45463</v>
      </c>
      <c r="L3022" s="95" t="s">
        <v>79</v>
      </c>
      <c r="M3022" s="69" t="s">
        <v>4</v>
      </c>
      <c r="N3022" s="69" t="s">
        <v>101</v>
      </c>
      <c r="O3022" s="69" t="s">
        <v>1436</v>
      </c>
      <c r="P3022" s="78"/>
      <c r="Q3022" s="96">
        <v>45464</v>
      </c>
      <c r="R3022" s="97"/>
      <c r="S3022" s="98"/>
    </row>
    <row r="3023" spans="1:19" ht="42.75">
      <c r="A3023" s="90" t="s">
        <v>53</v>
      </c>
      <c r="B3023" s="91" t="s">
        <v>550</v>
      </c>
      <c r="C3023" s="91" t="s">
        <v>4487</v>
      </c>
      <c r="D3023" s="90">
        <v>974</v>
      </c>
      <c r="E3023" s="90">
        <v>1093</v>
      </c>
      <c r="F3023" s="90" t="s">
        <v>1454</v>
      </c>
      <c r="G3023" s="90"/>
      <c r="H3023" s="94"/>
      <c r="I3023" s="94"/>
      <c r="J3023" s="94"/>
      <c r="K3023" s="107"/>
      <c r="L3023" s="95"/>
      <c r="M3023" s="69"/>
      <c r="N3023" s="69"/>
      <c r="O3023" s="69"/>
      <c r="P3023" s="78"/>
      <c r="Q3023" s="96"/>
      <c r="R3023" s="97"/>
      <c r="S3023" s="98"/>
    </row>
    <row r="3024" spans="1:19" ht="42.75">
      <c r="A3024" s="90" t="s">
        <v>53</v>
      </c>
      <c r="B3024" s="91" t="s">
        <v>550</v>
      </c>
      <c r="C3024" s="91" t="s">
        <v>4488</v>
      </c>
      <c r="D3024" s="90">
        <v>5290</v>
      </c>
      <c r="E3024" s="90">
        <v>6048</v>
      </c>
      <c r="F3024" s="90" t="s">
        <v>1434</v>
      </c>
      <c r="G3024" s="90">
        <v>2024</v>
      </c>
      <c r="H3024" s="183">
        <v>45457</v>
      </c>
      <c r="I3024" s="183">
        <v>45461</v>
      </c>
      <c r="J3024" s="185" t="s">
        <v>4489</v>
      </c>
      <c r="K3024" s="184">
        <v>45463</v>
      </c>
      <c r="L3024" s="95" t="s">
        <v>79</v>
      </c>
      <c r="M3024" s="69" t="s">
        <v>4</v>
      </c>
      <c r="N3024" s="69" t="s">
        <v>101</v>
      </c>
      <c r="O3024" s="69" t="s">
        <v>1436</v>
      </c>
      <c r="P3024" s="78"/>
      <c r="Q3024" s="96">
        <v>45464</v>
      </c>
      <c r="R3024" s="97"/>
      <c r="S3024" s="98"/>
    </row>
    <row r="3025" spans="1:19" ht="42.75">
      <c r="A3025" s="90" t="s">
        <v>53</v>
      </c>
      <c r="B3025" s="91" t="s">
        <v>550</v>
      </c>
      <c r="C3025" s="91" t="s">
        <v>4490</v>
      </c>
      <c r="D3025" s="90">
        <v>1723</v>
      </c>
      <c r="E3025" s="90">
        <v>1742</v>
      </c>
      <c r="F3025" s="90" t="s">
        <v>1454</v>
      </c>
      <c r="G3025" s="90"/>
      <c r="H3025" s="94"/>
      <c r="I3025" s="94"/>
      <c r="J3025" s="94"/>
      <c r="K3025" s="107"/>
      <c r="L3025" s="95"/>
      <c r="M3025" s="69"/>
      <c r="N3025" s="69"/>
      <c r="O3025" s="69"/>
      <c r="P3025" s="78"/>
      <c r="Q3025" s="96"/>
      <c r="R3025" s="97"/>
      <c r="S3025" s="98"/>
    </row>
    <row r="3026" spans="1:19" ht="42.75">
      <c r="A3026" s="90" t="s">
        <v>53</v>
      </c>
      <c r="B3026" s="91" t="s">
        <v>550</v>
      </c>
      <c r="C3026" s="91" t="s">
        <v>4491</v>
      </c>
      <c r="D3026" s="90">
        <v>1520</v>
      </c>
      <c r="E3026" s="90">
        <v>1509</v>
      </c>
      <c r="F3026" s="90" t="s">
        <v>1434</v>
      </c>
      <c r="G3026" s="90">
        <v>2024</v>
      </c>
      <c r="H3026" s="183">
        <v>45457</v>
      </c>
      <c r="I3026" s="183">
        <v>45461</v>
      </c>
      <c r="J3026" s="185" t="s">
        <v>4492</v>
      </c>
      <c r="K3026" s="184">
        <v>45463</v>
      </c>
      <c r="L3026" s="95" t="s">
        <v>79</v>
      </c>
      <c r="M3026" s="69" t="s">
        <v>4</v>
      </c>
      <c r="N3026" s="69" t="s">
        <v>1676</v>
      </c>
      <c r="O3026" s="69" t="s">
        <v>1436</v>
      </c>
      <c r="P3026" s="78"/>
      <c r="Q3026" s="96">
        <v>45464</v>
      </c>
      <c r="R3026" s="97" t="s">
        <v>4493</v>
      </c>
      <c r="S3026" s="98"/>
    </row>
    <row r="3027" spans="1:19" ht="42.75">
      <c r="A3027" s="90" t="s">
        <v>53</v>
      </c>
      <c r="B3027" s="91" t="s">
        <v>550</v>
      </c>
      <c r="C3027" s="91" t="s">
        <v>378</v>
      </c>
      <c r="D3027" s="90">
        <v>1296</v>
      </c>
      <c r="E3027" s="90">
        <v>1167</v>
      </c>
      <c r="F3027" s="90" t="s">
        <v>1454</v>
      </c>
      <c r="G3027" s="90"/>
      <c r="H3027" s="94"/>
      <c r="I3027" s="94"/>
      <c r="J3027" s="94"/>
      <c r="K3027" s="107"/>
      <c r="L3027" s="95"/>
      <c r="M3027" s="69"/>
      <c r="N3027" s="69"/>
      <c r="O3027" s="69"/>
      <c r="P3027" s="78"/>
      <c r="Q3027" s="96"/>
      <c r="R3027" s="97"/>
      <c r="S3027" s="98"/>
    </row>
    <row r="3028" spans="1:19" ht="42.75">
      <c r="A3028" s="90" t="s">
        <v>53</v>
      </c>
      <c r="B3028" s="91" t="s">
        <v>550</v>
      </c>
      <c r="C3028" s="91" t="s">
        <v>1879</v>
      </c>
      <c r="D3028" s="90">
        <v>4307</v>
      </c>
      <c r="E3028" s="90">
        <v>4896</v>
      </c>
      <c r="F3028" s="90" t="s">
        <v>1454</v>
      </c>
      <c r="G3028" s="90"/>
      <c r="H3028" s="94"/>
      <c r="I3028" s="94"/>
      <c r="J3028" s="94"/>
      <c r="K3028" s="107"/>
      <c r="L3028" s="95"/>
      <c r="M3028" s="69"/>
      <c r="N3028" s="69"/>
      <c r="O3028" s="69"/>
      <c r="P3028" s="78"/>
      <c r="Q3028" s="96"/>
      <c r="R3028" s="97"/>
      <c r="S3028" s="98"/>
    </row>
    <row r="3029" spans="1:19" ht="42.75">
      <c r="A3029" s="90" t="s">
        <v>53</v>
      </c>
      <c r="B3029" s="91" t="s">
        <v>550</v>
      </c>
      <c r="C3029" s="91" t="s">
        <v>4494</v>
      </c>
      <c r="D3029" s="90">
        <v>2283</v>
      </c>
      <c r="E3029" s="90">
        <v>2320</v>
      </c>
      <c r="F3029" s="90" t="s">
        <v>1454</v>
      </c>
      <c r="G3029" s="90"/>
      <c r="H3029" s="94"/>
      <c r="I3029" s="94"/>
      <c r="J3029" s="94"/>
      <c r="K3029" s="107"/>
      <c r="L3029" s="95"/>
      <c r="M3029" s="69"/>
      <c r="N3029" s="69"/>
      <c r="O3029" s="69"/>
      <c r="P3029" s="78"/>
      <c r="Q3029" s="96"/>
      <c r="R3029" s="97"/>
      <c r="S3029" s="98"/>
    </row>
    <row r="3030" spans="1:19" ht="42.75">
      <c r="A3030" s="90" t="s">
        <v>53</v>
      </c>
      <c r="B3030" s="91" t="s">
        <v>355</v>
      </c>
      <c r="C3030" s="91" t="s">
        <v>4495</v>
      </c>
      <c r="D3030" s="90">
        <v>1939</v>
      </c>
      <c r="E3030" s="90">
        <v>2380</v>
      </c>
      <c r="F3030" s="90" t="s">
        <v>1434</v>
      </c>
      <c r="G3030" s="90">
        <v>2024</v>
      </c>
      <c r="H3030" s="183">
        <v>45454</v>
      </c>
      <c r="I3030" s="183">
        <v>45460</v>
      </c>
      <c r="J3030" s="370" t="s">
        <v>4496</v>
      </c>
      <c r="K3030" s="184">
        <v>45463</v>
      </c>
      <c r="L3030" s="95" t="s">
        <v>79</v>
      </c>
      <c r="M3030" s="69" t="s">
        <v>4</v>
      </c>
      <c r="N3030" s="69" t="s">
        <v>101</v>
      </c>
      <c r="O3030" s="69" t="s">
        <v>1436</v>
      </c>
      <c r="P3030" s="78"/>
      <c r="Q3030" s="96">
        <v>45464</v>
      </c>
      <c r="R3030" s="97"/>
      <c r="S3030" s="98"/>
    </row>
    <row r="3031" spans="1:19" ht="42.75">
      <c r="A3031" s="90" t="s">
        <v>53</v>
      </c>
      <c r="B3031" s="91" t="s">
        <v>355</v>
      </c>
      <c r="C3031" s="91" t="s">
        <v>4497</v>
      </c>
      <c r="D3031" s="90">
        <v>2803</v>
      </c>
      <c r="E3031" s="90">
        <v>3256</v>
      </c>
      <c r="F3031" s="90" t="s">
        <v>1434</v>
      </c>
      <c r="G3031" s="90">
        <v>2024</v>
      </c>
      <c r="H3031" s="183">
        <v>45448</v>
      </c>
      <c r="I3031" s="204">
        <v>45449</v>
      </c>
      <c r="J3031" s="223" t="s">
        <v>4498</v>
      </c>
      <c r="K3031" s="224">
        <v>45461</v>
      </c>
      <c r="L3031" s="95" t="s">
        <v>79</v>
      </c>
      <c r="M3031" s="69" t="s">
        <v>4</v>
      </c>
      <c r="N3031" s="69" t="s">
        <v>101</v>
      </c>
      <c r="O3031" s="69" t="s">
        <v>1436</v>
      </c>
      <c r="P3031" s="78"/>
      <c r="Q3031" s="96">
        <v>45462</v>
      </c>
      <c r="R3031" s="97"/>
      <c r="S3031" s="98"/>
    </row>
    <row r="3032" spans="1:19" ht="42.75">
      <c r="A3032" s="90" t="s">
        <v>53</v>
      </c>
      <c r="B3032" s="91" t="s">
        <v>355</v>
      </c>
      <c r="C3032" s="91" t="s">
        <v>1817</v>
      </c>
      <c r="D3032" s="90">
        <v>2060</v>
      </c>
      <c r="E3032" s="90">
        <v>2155</v>
      </c>
      <c r="F3032" s="90" t="s">
        <v>1434</v>
      </c>
      <c r="G3032" s="90">
        <v>2024</v>
      </c>
      <c r="H3032" s="186">
        <v>45569</v>
      </c>
      <c r="I3032" s="184">
        <v>45569</v>
      </c>
      <c r="J3032" s="222" t="s">
        <v>4499</v>
      </c>
      <c r="K3032" s="184">
        <v>45574</v>
      </c>
      <c r="L3032" s="163" t="s">
        <v>83</v>
      </c>
      <c r="M3032" s="69" t="s">
        <v>4</v>
      </c>
      <c r="N3032" s="69" t="s">
        <v>101</v>
      </c>
      <c r="O3032" s="69" t="s">
        <v>1436</v>
      </c>
      <c r="P3032" s="78"/>
      <c r="Q3032" s="115">
        <v>45575</v>
      </c>
      <c r="R3032" s="65" t="s">
        <v>929</v>
      </c>
      <c r="S3032" s="89"/>
    </row>
    <row r="3033" spans="1:19" ht="42.75">
      <c r="A3033" s="90" t="s">
        <v>53</v>
      </c>
      <c r="B3033" s="91" t="s">
        <v>355</v>
      </c>
      <c r="C3033" s="91" t="s">
        <v>4500</v>
      </c>
      <c r="D3033" s="90">
        <v>2013</v>
      </c>
      <c r="E3033" s="90">
        <v>2025</v>
      </c>
      <c r="F3033" s="90" t="s">
        <v>1434</v>
      </c>
      <c r="G3033" s="90">
        <v>2024</v>
      </c>
      <c r="H3033" s="186">
        <v>45569</v>
      </c>
      <c r="I3033" s="184">
        <v>45569</v>
      </c>
      <c r="J3033" s="190" t="s">
        <v>4501</v>
      </c>
      <c r="K3033" s="184">
        <v>45574</v>
      </c>
      <c r="L3033" s="163" t="s">
        <v>83</v>
      </c>
      <c r="M3033" s="69" t="s">
        <v>4</v>
      </c>
      <c r="N3033" s="69" t="s">
        <v>101</v>
      </c>
      <c r="O3033" s="69" t="s">
        <v>1436</v>
      </c>
      <c r="P3033" s="78"/>
      <c r="Q3033" s="115">
        <v>45575</v>
      </c>
      <c r="R3033" s="65" t="s">
        <v>929</v>
      </c>
      <c r="S3033" s="89"/>
    </row>
    <row r="3034" spans="1:19" ht="42.75">
      <c r="A3034" s="90" t="s">
        <v>53</v>
      </c>
      <c r="B3034" s="91" t="s">
        <v>355</v>
      </c>
      <c r="C3034" s="91" t="s">
        <v>4502</v>
      </c>
      <c r="D3034" s="90">
        <v>1931</v>
      </c>
      <c r="E3034" s="90">
        <v>2053</v>
      </c>
      <c r="F3034" s="90" t="s">
        <v>1454</v>
      </c>
      <c r="G3034" s="90"/>
      <c r="H3034" s="94"/>
      <c r="I3034" s="94"/>
      <c r="J3034" s="94"/>
      <c r="K3034" s="166"/>
      <c r="L3034" s="95"/>
      <c r="M3034" s="69"/>
      <c r="N3034" s="69"/>
      <c r="O3034" s="69"/>
      <c r="P3034" s="78"/>
      <c r="Q3034" s="96"/>
      <c r="R3034" s="97"/>
      <c r="S3034" s="98"/>
    </row>
    <row r="3035" spans="1:19" ht="42.75">
      <c r="A3035" s="90" t="s">
        <v>53</v>
      </c>
      <c r="B3035" s="91" t="s">
        <v>355</v>
      </c>
      <c r="C3035" s="91" t="s">
        <v>4503</v>
      </c>
      <c r="D3035" s="90">
        <v>1236</v>
      </c>
      <c r="E3035" s="90">
        <v>1428</v>
      </c>
      <c r="F3035" s="90" t="s">
        <v>1454</v>
      </c>
      <c r="G3035" s="90"/>
      <c r="H3035" s="94"/>
      <c r="I3035" s="94"/>
      <c r="J3035" s="94"/>
      <c r="K3035" s="107"/>
      <c r="L3035" s="95"/>
      <c r="M3035" s="69"/>
      <c r="N3035" s="69"/>
      <c r="O3035" s="69"/>
      <c r="P3035" s="78"/>
      <c r="Q3035" s="96"/>
      <c r="R3035" s="97"/>
      <c r="S3035" s="98"/>
    </row>
    <row r="3036" spans="1:19" ht="42.75">
      <c r="A3036" s="90" t="s">
        <v>53</v>
      </c>
      <c r="B3036" s="91" t="s">
        <v>355</v>
      </c>
      <c r="C3036" s="91" t="s">
        <v>4349</v>
      </c>
      <c r="D3036" s="90">
        <v>2900</v>
      </c>
      <c r="E3036" s="90">
        <v>3210</v>
      </c>
      <c r="F3036" s="90" t="s">
        <v>1454</v>
      </c>
      <c r="G3036" s="90"/>
      <c r="H3036" s="94"/>
      <c r="I3036" s="94"/>
      <c r="J3036" s="94"/>
      <c r="K3036" s="107"/>
      <c r="L3036" s="95"/>
      <c r="M3036" s="69"/>
      <c r="N3036" s="69"/>
      <c r="O3036" s="69"/>
      <c r="P3036" s="78"/>
      <c r="Q3036" s="96"/>
      <c r="R3036" s="97"/>
      <c r="S3036" s="98"/>
    </row>
    <row r="3037" spans="1:19" ht="42.75">
      <c r="A3037" s="90" t="s">
        <v>53</v>
      </c>
      <c r="B3037" s="91" t="s">
        <v>355</v>
      </c>
      <c r="C3037" s="91" t="s">
        <v>1090</v>
      </c>
      <c r="D3037" s="90">
        <v>2544</v>
      </c>
      <c r="E3037" s="90">
        <v>3066</v>
      </c>
      <c r="F3037" s="90" t="s">
        <v>1454</v>
      </c>
      <c r="G3037" s="90"/>
      <c r="H3037" s="94"/>
      <c r="I3037" s="94"/>
      <c r="J3037" s="94"/>
      <c r="K3037" s="107"/>
      <c r="L3037" s="95"/>
      <c r="M3037" s="69"/>
      <c r="N3037" s="69"/>
      <c r="O3037" s="69"/>
      <c r="P3037" s="78"/>
      <c r="Q3037" s="96"/>
      <c r="R3037" s="97"/>
      <c r="S3037" s="98"/>
    </row>
    <row r="3038" spans="1:19" ht="42.75">
      <c r="A3038" s="90" t="s">
        <v>53</v>
      </c>
      <c r="B3038" s="91" t="s">
        <v>355</v>
      </c>
      <c r="C3038" s="91" t="s">
        <v>4504</v>
      </c>
      <c r="D3038" s="90">
        <v>1654</v>
      </c>
      <c r="E3038" s="90">
        <v>1686</v>
      </c>
      <c r="F3038" s="90" t="s">
        <v>1454</v>
      </c>
      <c r="G3038" s="90"/>
      <c r="H3038" s="94"/>
      <c r="I3038" s="94"/>
      <c r="J3038" s="94"/>
      <c r="K3038" s="107"/>
      <c r="L3038" s="95"/>
      <c r="M3038" s="69"/>
      <c r="N3038" s="69"/>
      <c r="O3038" s="69"/>
      <c r="P3038" s="78"/>
      <c r="Q3038" s="96"/>
      <c r="R3038" s="97"/>
      <c r="S3038" s="98"/>
    </row>
    <row r="3039" spans="1:19" ht="42.75">
      <c r="A3039" s="90" t="s">
        <v>53</v>
      </c>
      <c r="B3039" s="91" t="s">
        <v>355</v>
      </c>
      <c r="C3039" s="91" t="s">
        <v>4505</v>
      </c>
      <c r="D3039" s="90">
        <v>1617</v>
      </c>
      <c r="E3039" s="90">
        <v>1745</v>
      </c>
      <c r="F3039" s="90" t="s">
        <v>1454</v>
      </c>
      <c r="G3039" s="90"/>
      <c r="H3039" s="94"/>
      <c r="I3039" s="94"/>
      <c r="J3039" s="94"/>
      <c r="K3039" s="107"/>
      <c r="L3039" s="95"/>
      <c r="M3039" s="69"/>
      <c r="N3039" s="69"/>
      <c r="O3039" s="69"/>
      <c r="P3039" s="78"/>
      <c r="Q3039" s="96"/>
      <c r="R3039" s="97"/>
      <c r="S3039" s="98"/>
    </row>
    <row r="3040" spans="1:19" ht="42.75">
      <c r="A3040" s="90" t="s">
        <v>53</v>
      </c>
      <c r="B3040" s="91" t="s">
        <v>355</v>
      </c>
      <c r="C3040" s="91" t="s">
        <v>4385</v>
      </c>
      <c r="D3040" s="90">
        <v>2129</v>
      </c>
      <c r="E3040" s="90">
        <v>2425</v>
      </c>
      <c r="F3040" s="90" t="s">
        <v>1434</v>
      </c>
      <c r="G3040" s="90">
        <v>2024</v>
      </c>
      <c r="H3040" s="183">
        <v>45611</v>
      </c>
      <c r="I3040" s="183">
        <v>45614</v>
      </c>
      <c r="J3040" s="366" t="s">
        <v>4506</v>
      </c>
      <c r="K3040" s="184">
        <v>45616</v>
      </c>
      <c r="L3040" s="95" t="s">
        <v>84</v>
      </c>
      <c r="M3040" s="69" t="s">
        <v>4</v>
      </c>
      <c r="N3040" s="69" t="s">
        <v>101</v>
      </c>
      <c r="O3040" s="69" t="s">
        <v>1436</v>
      </c>
      <c r="P3040" s="78"/>
      <c r="Q3040" s="96">
        <v>45618</v>
      </c>
      <c r="R3040" s="97" t="s">
        <v>929</v>
      </c>
      <c r="S3040" s="98"/>
    </row>
    <row r="3041" spans="1:19" ht="42.75">
      <c r="A3041" s="90" t="s">
        <v>53</v>
      </c>
      <c r="B3041" s="91" t="s">
        <v>355</v>
      </c>
      <c r="C3041" s="91" t="s">
        <v>1862</v>
      </c>
      <c r="D3041" s="90">
        <v>910</v>
      </c>
      <c r="E3041" s="90">
        <v>1115</v>
      </c>
      <c r="F3041" s="90" t="s">
        <v>1434</v>
      </c>
      <c r="G3041" s="90">
        <v>2024</v>
      </c>
      <c r="H3041" s="183">
        <v>45611</v>
      </c>
      <c r="I3041" s="183">
        <v>45614</v>
      </c>
      <c r="J3041" s="185" t="s">
        <v>4507</v>
      </c>
      <c r="K3041" s="184">
        <v>45616</v>
      </c>
      <c r="L3041" s="95" t="s">
        <v>84</v>
      </c>
      <c r="M3041" s="69" t="s">
        <v>4</v>
      </c>
      <c r="N3041" s="69" t="s">
        <v>101</v>
      </c>
      <c r="O3041" s="69" t="s">
        <v>1436</v>
      </c>
      <c r="P3041" s="78"/>
      <c r="Q3041" s="96">
        <v>45618</v>
      </c>
      <c r="R3041" s="97" t="s">
        <v>929</v>
      </c>
      <c r="S3041" s="98"/>
    </row>
    <row r="3042" spans="1:19" ht="42.75">
      <c r="A3042" s="90" t="s">
        <v>53</v>
      </c>
      <c r="B3042" s="91" t="s">
        <v>355</v>
      </c>
      <c r="C3042" s="91" t="s">
        <v>4508</v>
      </c>
      <c r="D3042" s="90">
        <v>883</v>
      </c>
      <c r="E3042" s="90">
        <v>716</v>
      </c>
      <c r="F3042" s="90" t="s">
        <v>1454</v>
      </c>
      <c r="G3042" s="90"/>
      <c r="H3042" s="94"/>
      <c r="I3042" s="94"/>
      <c r="J3042" s="94"/>
      <c r="K3042" s="107"/>
      <c r="L3042" s="95"/>
      <c r="M3042" s="69"/>
      <c r="N3042" s="69"/>
      <c r="O3042" s="69"/>
      <c r="P3042" s="78"/>
      <c r="Q3042" s="96"/>
      <c r="R3042" s="97"/>
      <c r="S3042" s="98"/>
    </row>
    <row r="3043" spans="1:19" ht="42.75">
      <c r="A3043" s="90" t="s">
        <v>53</v>
      </c>
      <c r="B3043" s="91" t="s">
        <v>355</v>
      </c>
      <c r="C3043" s="91" t="s">
        <v>1869</v>
      </c>
      <c r="D3043" s="90">
        <v>1931</v>
      </c>
      <c r="E3043" s="90">
        <v>2095</v>
      </c>
      <c r="F3043" s="90" t="s">
        <v>1434</v>
      </c>
      <c r="G3043" s="90">
        <v>2024</v>
      </c>
      <c r="H3043" s="183">
        <v>45456</v>
      </c>
      <c r="I3043" s="183">
        <v>45461</v>
      </c>
      <c r="J3043" s="185" t="s">
        <v>4509</v>
      </c>
      <c r="K3043" s="184">
        <v>45463</v>
      </c>
      <c r="L3043" s="95" t="s">
        <v>79</v>
      </c>
      <c r="M3043" s="69" t="s">
        <v>4</v>
      </c>
      <c r="N3043" s="69" t="s">
        <v>101</v>
      </c>
      <c r="O3043" s="69" t="s">
        <v>1436</v>
      </c>
      <c r="P3043" s="78"/>
      <c r="Q3043" s="96">
        <v>45464</v>
      </c>
      <c r="R3043" s="97"/>
      <c r="S3043" s="98"/>
    </row>
    <row r="3044" spans="1:19" ht="42.75">
      <c r="A3044" s="90" t="s">
        <v>53</v>
      </c>
      <c r="B3044" s="91" t="s">
        <v>355</v>
      </c>
      <c r="C3044" s="91" t="s">
        <v>378</v>
      </c>
      <c r="D3044" s="90">
        <v>2480</v>
      </c>
      <c r="E3044" s="90">
        <v>2924</v>
      </c>
      <c r="F3044" s="90" t="s">
        <v>1434</v>
      </c>
      <c r="G3044" s="90">
        <v>2024</v>
      </c>
      <c r="H3044" s="183">
        <v>45461</v>
      </c>
      <c r="I3044" s="183">
        <v>45461</v>
      </c>
      <c r="J3044" s="185" t="s">
        <v>4510</v>
      </c>
      <c r="K3044" s="184">
        <v>45463</v>
      </c>
      <c r="L3044" s="95" t="s">
        <v>79</v>
      </c>
      <c r="M3044" s="69" t="s">
        <v>4</v>
      </c>
      <c r="N3044" s="69" t="s">
        <v>101</v>
      </c>
      <c r="O3044" s="69" t="s">
        <v>1436</v>
      </c>
      <c r="P3044" s="78"/>
      <c r="Q3044" s="96">
        <v>45464</v>
      </c>
      <c r="R3044" s="97"/>
      <c r="S3044" s="98"/>
    </row>
    <row r="3045" spans="1:19" ht="42.75">
      <c r="A3045" s="90" t="s">
        <v>53</v>
      </c>
      <c r="B3045" s="91" t="s">
        <v>355</v>
      </c>
      <c r="C3045" s="91" t="s">
        <v>4511</v>
      </c>
      <c r="D3045" s="90">
        <v>1839</v>
      </c>
      <c r="E3045" s="90">
        <v>2128</v>
      </c>
      <c r="F3045" s="90" t="s">
        <v>1454</v>
      </c>
      <c r="G3045" s="90"/>
      <c r="H3045" s="94"/>
      <c r="I3045" s="94"/>
      <c r="J3045" s="94"/>
      <c r="K3045" s="107"/>
      <c r="L3045" s="95"/>
      <c r="M3045" s="69"/>
      <c r="N3045" s="69"/>
      <c r="O3045" s="69"/>
      <c r="P3045" s="78"/>
      <c r="Q3045" s="96"/>
      <c r="R3045" s="97"/>
      <c r="S3045" s="98"/>
    </row>
    <row r="3046" spans="1:19" ht="42.75">
      <c r="A3046" s="90" t="s">
        <v>53</v>
      </c>
      <c r="B3046" s="91" t="s">
        <v>355</v>
      </c>
      <c r="C3046" s="91" t="s">
        <v>4512</v>
      </c>
      <c r="D3046" s="90">
        <v>761</v>
      </c>
      <c r="E3046" s="90">
        <v>694</v>
      </c>
      <c r="F3046" s="90" t="s">
        <v>1454</v>
      </c>
      <c r="G3046" s="90"/>
      <c r="H3046" s="94"/>
      <c r="I3046" s="94"/>
      <c r="J3046" s="94"/>
      <c r="K3046" s="107"/>
      <c r="L3046" s="95"/>
      <c r="M3046" s="69"/>
      <c r="N3046" s="69"/>
      <c r="O3046" s="69"/>
      <c r="P3046" s="78"/>
      <c r="Q3046" s="96"/>
      <c r="R3046" s="97"/>
      <c r="S3046" s="98"/>
    </row>
    <row r="3047" spans="1:19" ht="42.75">
      <c r="A3047" s="90" t="s">
        <v>53</v>
      </c>
      <c r="B3047" s="91" t="s">
        <v>355</v>
      </c>
      <c r="C3047" s="91" t="s">
        <v>4513</v>
      </c>
      <c r="D3047" s="90">
        <v>2035</v>
      </c>
      <c r="E3047" s="90">
        <v>2618</v>
      </c>
      <c r="F3047" s="90" t="s">
        <v>1454</v>
      </c>
      <c r="G3047" s="90"/>
      <c r="H3047" s="94"/>
      <c r="I3047" s="94"/>
      <c r="J3047" s="94"/>
      <c r="K3047" s="107"/>
      <c r="L3047" s="95"/>
      <c r="M3047" s="69"/>
      <c r="N3047" s="69"/>
      <c r="O3047" s="69"/>
      <c r="P3047" s="78"/>
      <c r="Q3047" s="96"/>
      <c r="R3047" s="97"/>
      <c r="S3047" s="98"/>
    </row>
    <row r="3048" spans="1:19" ht="42.75">
      <c r="A3048" s="90" t="s">
        <v>53</v>
      </c>
      <c r="B3048" s="91" t="s">
        <v>552</v>
      </c>
      <c r="C3048" s="91" t="s">
        <v>4514</v>
      </c>
      <c r="D3048" s="90">
        <v>1450</v>
      </c>
      <c r="E3048" s="90">
        <v>1484</v>
      </c>
      <c r="F3048" s="90" t="s">
        <v>1454</v>
      </c>
      <c r="G3048" s="90"/>
      <c r="H3048" s="94"/>
      <c r="I3048" s="94"/>
      <c r="J3048" s="94"/>
      <c r="K3048" s="107"/>
      <c r="L3048" s="95"/>
      <c r="M3048" s="69"/>
      <c r="N3048" s="69"/>
      <c r="O3048" s="69"/>
      <c r="P3048" s="78"/>
      <c r="Q3048" s="96"/>
      <c r="R3048" s="97"/>
      <c r="S3048" s="98"/>
    </row>
    <row r="3049" spans="1:19" ht="42.75">
      <c r="A3049" s="90" t="s">
        <v>53</v>
      </c>
      <c r="B3049" s="91" t="s">
        <v>552</v>
      </c>
      <c r="C3049" s="91" t="s">
        <v>4515</v>
      </c>
      <c r="D3049" s="90">
        <v>3293</v>
      </c>
      <c r="E3049" s="90">
        <v>3251</v>
      </c>
      <c r="F3049" s="90" t="s">
        <v>1434</v>
      </c>
      <c r="G3049" s="90">
        <v>2024</v>
      </c>
      <c r="H3049" s="183">
        <v>45511</v>
      </c>
      <c r="I3049" s="183">
        <v>45518</v>
      </c>
      <c r="J3049" s="185" t="s">
        <v>4516</v>
      </c>
      <c r="K3049" s="184">
        <v>45523</v>
      </c>
      <c r="L3049" s="95" t="s">
        <v>81</v>
      </c>
      <c r="M3049" s="69" t="s">
        <v>4</v>
      </c>
      <c r="N3049" s="69" t="s">
        <v>101</v>
      </c>
      <c r="O3049" s="69" t="s">
        <v>1436</v>
      </c>
      <c r="P3049" s="78"/>
      <c r="Q3049" s="96">
        <v>45531</v>
      </c>
      <c r="R3049" s="97" t="s">
        <v>929</v>
      </c>
      <c r="S3049" s="98"/>
    </row>
    <row r="3050" spans="1:19" ht="42.75">
      <c r="A3050" s="90" t="s">
        <v>53</v>
      </c>
      <c r="B3050" s="91" t="s">
        <v>552</v>
      </c>
      <c r="C3050" s="91" t="s">
        <v>4517</v>
      </c>
      <c r="D3050" s="90">
        <v>831</v>
      </c>
      <c r="E3050" s="90">
        <v>845</v>
      </c>
      <c r="F3050" s="90" t="s">
        <v>1454</v>
      </c>
      <c r="G3050" s="90"/>
      <c r="H3050" s="94"/>
      <c r="I3050" s="94"/>
      <c r="J3050" s="94"/>
      <c r="K3050" s="107"/>
      <c r="L3050" s="95"/>
      <c r="M3050" s="69"/>
      <c r="N3050" s="69"/>
      <c r="O3050" s="69"/>
      <c r="P3050" s="78"/>
      <c r="Q3050" s="96"/>
      <c r="R3050" s="97"/>
      <c r="S3050" s="98"/>
    </row>
    <row r="3051" spans="1:19" ht="42.75">
      <c r="A3051" s="90" t="s">
        <v>53</v>
      </c>
      <c r="B3051" s="91" t="s">
        <v>552</v>
      </c>
      <c r="C3051" s="91" t="s">
        <v>4518</v>
      </c>
      <c r="D3051" s="90">
        <v>1061</v>
      </c>
      <c r="E3051" s="90">
        <v>1016</v>
      </c>
      <c r="F3051" s="90" t="s">
        <v>1434</v>
      </c>
      <c r="G3051" s="90">
        <v>2024</v>
      </c>
      <c r="H3051" s="183">
        <v>45511</v>
      </c>
      <c r="I3051" s="183">
        <v>45518</v>
      </c>
      <c r="J3051" s="185" t="s">
        <v>4519</v>
      </c>
      <c r="K3051" s="184">
        <v>45523</v>
      </c>
      <c r="L3051" s="95" t="s">
        <v>81</v>
      </c>
      <c r="M3051" s="69" t="s">
        <v>4</v>
      </c>
      <c r="N3051" s="69" t="s">
        <v>101</v>
      </c>
      <c r="O3051" s="69" t="s">
        <v>1436</v>
      </c>
      <c r="P3051" s="78"/>
      <c r="Q3051" s="96"/>
      <c r="R3051" s="97"/>
      <c r="S3051" s="98"/>
    </row>
    <row r="3052" spans="1:19" ht="42.75">
      <c r="A3052" s="90" t="s">
        <v>53</v>
      </c>
      <c r="B3052" s="91" t="s">
        <v>552</v>
      </c>
      <c r="C3052" s="91" t="s">
        <v>4520</v>
      </c>
      <c r="D3052" s="90">
        <v>1749</v>
      </c>
      <c r="E3052" s="90">
        <v>1891</v>
      </c>
      <c r="F3052" s="90" t="s">
        <v>1434</v>
      </c>
      <c r="G3052" s="90">
        <v>2024</v>
      </c>
      <c r="H3052" s="183">
        <v>45511</v>
      </c>
      <c r="I3052" s="183">
        <v>45518</v>
      </c>
      <c r="J3052" s="185" t="s">
        <v>4521</v>
      </c>
      <c r="K3052" s="184">
        <v>45523</v>
      </c>
      <c r="L3052" s="95" t="s">
        <v>81</v>
      </c>
      <c r="M3052" s="69" t="s">
        <v>4</v>
      </c>
      <c r="N3052" s="69" t="s">
        <v>101</v>
      </c>
      <c r="O3052" s="69" t="s">
        <v>1436</v>
      </c>
      <c r="P3052" s="78"/>
      <c r="Q3052" s="96">
        <v>45531</v>
      </c>
      <c r="R3052" s="97" t="s">
        <v>929</v>
      </c>
      <c r="S3052" s="98"/>
    </row>
    <row r="3053" spans="1:19" ht="42.75">
      <c r="A3053" s="90" t="s">
        <v>53</v>
      </c>
      <c r="B3053" s="91" t="s">
        <v>552</v>
      </c>
      <c r="C3053" s="91" t="s">
        <v>318</v>
      </c>
      <c r="D3053" s="90">
        <v>3836</v>
      </c>
      <c r="E3053" s="90">
        <v>4322</v>
      </c>
      <c r="F3053" s="90" t="s">
        <v>1434</v>
      </c>
      <c r="G3053" s="90">
        <v>2024</v>
      </c>
      <c r="H3053" s="183">
        <v>45511</v>
      </c>
      <c r="I3053" s="183">
        <v>45518</v>
      </c>
      <c r="J3053" s="185" t="s">
        <v>4522</v>
      </c>
      <c r="K3053" s="184">
        <v>45523</v>
      </c>
      <c r="L3053" s="95" t="s">
        <v>81</v>
      </c>
      <c r="M3053" s="69" t="s">
        <v>4</v>
      </c>
      <c r="N3053" s="69" t="s">
        <v>101</v>
      </c>
      <c r="O3053" s="69" t="s">
        <v>1436</v>
      </c>
      <c r="P3053" s="78"/>
      <c r="Q3053" s="96">
        <v>45531</v>
      </c>
      <c r="R3053" s="97" t="s">
        <v>929</v>
      </c>
      <c r="S3053" s="98"/>
    </row>
    <row r="3054" spans="1:19" ht="42.75">
      <c r="A3054" s="90" t="s">
        <v>53</v>
      </c>
      <c r="B3054" s="91" t="s">
        <v>552</v>
      </c>
      <c r="C3054" s="91" t="s">
        <v>4523</v>
      </c>
      <c r="D3054" s="90">
        <v>489</v>
      </c>
      <c r="E3054" s="90">
        <v>548</v>
      </c>
      <c r="F3054" s="90" t="s">
        <v>1454</v>
      </c>
      <c r="G3054" s="90"/>
      <c r="H3054" s="94"/>
      <c r="I3054" s="94"/>
      <c r="J3054" s="94"/>
      <c r="K3054" s="107"/>
      <c r="L3054" s="95"/>
      <c r="M3054" s="69"/>
      <c r="N3054" s="69"/>
      <c r="O3054" s="69"/>
      <c r="P3054" s="78"/>
      <c r="Q3054" s="96"/>
      <c r="R3054" s="97"/>
      <c r="S3054" s="98"/>
    </row>
    <row r="3055" spans="1:19" ht="42.75">
      <c r="A3055" s="90" t="s">
        <v>53</v>
      </c>
      <c r="B3055" s="91" t="s">
        <v>552</v>
      </c>
      <c r="C3055" s="91" t="s">
        <v>4524</v>
      </c>
      <c r="D3055" s="90">
        <v>1808</v>
      </c>
      <c r="E3055" s="90">
        <v>1867</v>
      </c>
      <c r="F3055" s="90" t="s">
        <v>1434</v>
      </c>
      <c r="G3055" s="90">
        <v>2024</v>
      </c>
      <c r="H3055" s="183">
        <v>45511</v>
      </c>
      <c r="I3055" s="183">
        <v>45518</v>
      </c>
      <c r="J3055" s="185" t="s">
        <v>4525</v>
      </c>
      <c r="K3055" s="184">
        <v>45523</v>
      </c>
      <c r="L3055" s="95" t="s">
        <v>81</v>
      </c>
      <c r="M3055" s="69" t="s">
        <v>4</v>
      </c>
      <c r="N3055" s="69" t="s">
        <v>101</v>
      </c>
      <c r="O3055" s="69" t="s">
        <v>1436</v>
      </c>
      <c r="P3055" s="78"/>
      <c r="Q3055" s="96">
        <v>45531</v>
      </c>
      <c r="R3055" s="97" t="s">
        <v>929</v>
      </c>
      <c r="S3055" s="98"/>
    </row>
    <row r="3056" spans="1:19" ht="42.75">
      <c r="A3056" s="90" t="s">
        <v>53</v>
      </c>
      <c r="B3056" s="91" t="s">
        <v>552</v>
      </c>
      <c r="C3056" s="91" t="s">
        <v>4526</v>
      </c>
      <c r="D3056" s="90">
        <v>3278</v>
      </c>
      <c r="E3056" s="90">
        <v>4237</v>
      </c>
      <c r="F3056" s="90" t="s">
        <v>1454</v>
      </c>
      <c r="G3056" s="90"/>
      <c r="H3056" s="94"/>
      <c r="I3056" s="94"/>
      <c r="J3056" s="94"/>
      <c r="K3056" s="107"/>
      <c r="L3056" s="95"/>
      <c r="M3056" s="69"/>
      <c r="N3056" s="69"/>
      <c r="O3056" s="69"/>
      <c r="P3056" s="78"/>
      <c r="Q3056" s="96"/>
      <c r="R3056" s="97"/>
      <c r="S3056" s="98"/>
    </row>
    <row r="3057" spans="1:19" ht="42.75">
      <c r="A3057" s="90" t="s">
        <v>53</v>
      </c>
      <c r="B3057" s="91" t="s">
        <v>552</v>
      </c>
      <c r="C3057" s="91" t="s">
        <v>4527</v>
      </c>
      <c r="D3057" s="90">
        <v>653</v>
      </c>
      <c r="E3057" s="90">
        <v>762</v>
      </c>
      <c r="F3057" s="90" t="s">
        <v>1434</v>
      </c>
      <c r="G3057" s="90">
        <v>2024</v>
      </c>
      <c r="H3057" s="183">
        <v>45511</v>
      </c>
      <c r="I3057" s="183">
        <v>45518</v>
      </c>
      <c r="J3057" s="185" t="s">
        <v>4528</v>
      </c>
      <c r="K3057" s="184">
        <v>45523</v>
      </c>
      <c r="L3057" s="95" t="s">
        <v>81</v>
      </c>
      <c r="M3057" s="69" t="s">
        <v>4</v>
      </c>
      <c r="N3057" s="69" t="s">
        <v>101</v>
      </c>
      <c r="O3057" s="69" t="s">
        <v>1436</v>
      </c>
      <c r="P3057" s="78"/>
      <c r="Q3057" s="96">
        <v>45531</v>
      </c>
      <c r="R3057" s="97" t="s">
        <v>929</v>
      </c>
      <c r="S3057" s="98"/>
    </row>
    <row r="3058" spans="1:19" ht="42.75">
      <c r="A3058" s="90" t="s">
        <v>53</v>
      </c>
      <c r="B3058" s="91" t="s">
        <v>552</v>
      </c>
      <c r="C3058" s="91" t="s">
        <v>4529</v>
      </c>
      <c r="D3058" s="90">
        <v>2291</v>
      </c>
      <c r="E3058" s="90">
        <v>2313</v>
      </c>
      <c r="F3058" s="90" t="s">
        <v>1454</v>
      </c>
      <c r="G3058" s="90"/>
      <c r="H3058" s="94"/>
      <c r="I3058" s="94"/>
      <c r="J3058" s="94"/>
      <c r="K3058" s="107"/>
      <c r="L3058" s="95"/>
      <c r="M3058" s="69"/>
      <c r="N3058" s="69"/>
      <c r="O3058" s="69"/>
      <c r="P3058" s="78"/>
      <c r="Q3058" s="96"/>
      <c r="R3058" s="97"/>
      <c r="S3058" s="98"/>
    </row>
    <row r="3059" spans="1:19" ht="42.75">
      <c r="A3059" s="90" t="s">
        <v>53</v>
      </c>
      <c r="B3059" s="91" t="s">
        <v>552</v>
      </c>
      <c r="C3059" s="91" t="s">
        <v>2278</v>
      </c>
      <c r="D3059" s="90">
        <v>542</v>
      </c>
      <c r="E3059" s="90">
        <v>581</v>
      </c>
      <c r="F3059" s="90" t="s">
        <v>1454</v>
      </c>
      <c r="G3059" s="90"/>
      <c r="H3059" s="94"/>
      <c r="I3059" s="94"/>
      <c r="J3059" s="94"/>
      <c r="K3059" s="107"/>
      <c r="L3059" s="95"/>
      <c r="M3059" s="69"/>
      <c r="N3059" s="69"/>
      <c r="O3059" s="69"/>
      <c r="P3059" s="78"/>
      <c r="Q3059" s="96"/>
      <c r="R3059" s="97"/>
      <c r="S3059" s="98"/>
    </row>
    <row r="3060" spans="1:19" ht="42.75">
      <c r="A3060" s="90" t="s">
        <v>53</v>
      </c>
      <c r="B3060" s="91" t="s">
        <v>552</v>
      </c>
      <c r="C3060" s="91" t="s">
        <v>2178</v>
      </c>
      <c r="D3060" s="90">
        <v>1476</v>
      </c>
      <c r="E3060" s="90">
        <v>1516</v>
      </c>
      <c r="F3060" s="90" t="s">
        <v>1454</v>
      </c>
      <c r="G3060" s="90"/>
      <c r="H3060" s="94"/>
      <c r="I3060" s="94"/>
      <c r="J3060" s="94"/>
      <c r="K3060" s="107"/>
      <c r="L3060" s="95"/>
      <c r="M3060" s="69"/>
      <c r="N3060" s="69"/>
      <c r="O3060" s="69"/>
      <c r="P3060" s="78"/>
      <c r="Q3060" s="96"/>
      <c r="R3060" s="97"/>
      <c r="S3060" s="98"/>
    </row>
    <row r="3061" spans="1:19" ht="42.75">
      <c r="A3061" s="90" t="s">
        <v>53</v>
      </c>
      <c r="B3061" s="91" t="s">
        <v>552</v>
      </c>
      <c r="C3061" s="91" t="s">
        <v>4530</v>
      </c>
      <c r="D3061" s="90">
        <v>1874</v>
      </c>
      <c r="E3061" s="90">
        <v>1956</v>
      </c>
      <c r="F3061" s="90" t="s">
        <v>1454</v>
      </c>
      <c r="G3061" s="90"/>
      <c r="H3061" s="94"/>
      <c r="I3061" s="94"/>
      <c r="J3061" s="94"/>
      <c r="K3061" s="107"/>
      <c r="L3061" s="95"/>
      <c r="M3061" s="69"/>
      <c r="N3061" s="69"/>
      <c r="O3061" s="69"/>
      <c r="P3061" s="78"/>
      <c r="Q3061" s="96"/>
      <c r="R3061" s="97"/>
      <c r="S3061" s="98"/>
    </row>
    <row r="3062" spans="1:19" ht="42.75">
      <c r="A3062" s="90" t="s">
        <v>53</v>
      </c>
      <c r="B3062" s="91" t="s">
        <v>552</v>
      </c>
      <c r="C3062" s="91" t="s">
        <v>4531</v>
      </c>
      <c r="D3062" s="90">
        <v>1297</v>
      </c>
      <c r="E3062" s="90">
        <v>1302</v>
      </c>
      <c r="F3062" s="90" t="s">
        <v>1454</v>
      </c>
      <c r="G3062" s="90"/>
      <c r="H3062" s="94"/>
      <c r="I3062" s="94"/>
      <c r="J3062" s="94"/>
      <c r="K3062" s="107"/>
      <c r="L3062" s="95"/>
      <c r="M3062" s="69"/>
      <c r="N3062" s="69"/>
      <c r="O3062" s="69"/>
      <c r="P3062" s="78"/>
      <c r="Q3062" s="96"/>
      <c r="R3062" s="97"/>
      <c r="S3062" s="98"/>
    </row>
    <row r="3063" spans="1:19" ht="42.75">
      <c r="A3063" s="90" t="s">
        <v>53</v>
      </c>
      <c r="B3063" s="91" t="s">
        <v>552</v>
      </c>
      <c r="C3063" s="91" t="s">
        <v>4532</v>
      </c>
      <c r="D3063" s="90">
        <v>1822</v>
      </c>
      <c r="E3063" s="90">
        <v>2257</v>
      </c>
      <c r="F3063" s="90" t="s">
        <v>1434</v>
      </c>
      <c r="G3063" s="90">
        <v>2024</v>
      </c>
      <c r="H3063" s="183">
        <v>45511</v>
      </c>
      <c r="I3063" s="183">
        <v>45518</v>
      </c>
      <c r="J3063" s="185" t="s">
        <v>4533</v>
      </c>
      <c r="K3063" s="184">
        <v>45523</v>
      </c>
      <c r="L3063" s="95" t="s">
        <v>81</v>
      </c>
      <c r="M3063" s="69" t="s">
        <v>4</v>
      </c>
      <c r="N3063" s="69" t="s">
        <v>101</v>
      </c>
      <c r="O3063" s="69" t="s">
        <v>1436</v>
      </c>
      <c r="P3063" s="78"/>
      <c r="Q3063" s="225">
        <v>45531</v>
      </c>
      <c r="R3063" s="97" t="s">
        <v>929</v>
      </c>
      <c r="S3063" s="98"/>
    </row>
    <row r="3064" spans="1:19" ht="42.75">
      <c r="A3064" s="90" t="s">
        <v>53</v>
      </c>
      <c r="B3064" s="91" t="s">
        <v>552</v>
      </c>
      <c r="C3064" s="91" t="s">
        <v>4534</v>
      </c>
      <c r="D3064" s="90">
        <v>610</v>
      </c>
      <c r="E3064" s="90">
        <v>611</v>
      </c>
      <c r="F3064" s="90" t="s">
        <v>1434</v>
      </c>
      <c r="G3064" s="90">
        <v>2024</v>
      </c>
      <c r="H3064" s="183">
        <v>45511</v>
      </c>
      <c r="I3064" s="183">
        <v>45518</v>
      </c>
      <c r="J3064" s="185" t="s">
        <v>4535</v>
      </c>
      <c r="K3064" s="184">
        <v>45523</v>
      </c>
      <c r="L3064" s="95" t="s">
        <v>81</v>
      </c>
      <c r="M3064" s="69" t="s">
        <v>4</v>
      </c>
      <c r="N3064" s="69" t="s">
        <v>101</v>
      </c>
      <c r="O3064" s="69" t="s">
        <v>1436</v>
      </c>
      <c r="P3064" s="78"/>
      <c r="Q3064" s="96">
        <v>45525</v>
      </c>
      <c r="R3064" s="97"/>
      <c r="S3064" s="98"/>
    </row>
    <row r="3065" spans="1:19" ht="42.75">
      <c r="A3065" s="90" t="s">
        <v>53</v>
      </c>
      <c r="B3065" s="91" t="s">
        <v>4536</v>
      </c>
      <c r="C3065" s="91" t="s">
        <v>4537</v>
      </c>
      <c r="D3065" s="90">
        <v>523</v>
      </c>
      <c r="E3065" s="90">
        <v>555</v>
      </c>
      <c r="F3065" s="90" t="s">
        <v>1454</v>
      </c>
      <c r="G3065" s="90"/>
      <c r="H3065" s="183"/>
      <c r="I3065" s="183"/>
      <c r="J3065" s="94"/>
      <c r="K3065" s="184"/>
      <c r="L3065" s="95"/>
      <c r="M3065" s="69"/>
      <c r="N3065" s="69"/>
      <c r="O3065" s="69" t="s">
        <v>1436</v>
      </c>
      <c r="P3065" s="78"/>
      <c r="Q3065" s="226"/>
      <c r="R3065" s="97"/>
      <c r="S3065" s="98"/>
    </row>
    <row r="3066" spans="1:19" ht="42.75">
      <c r="A3066" s="90" t="s">
        <v>53</v>
      </c>
      <c r="B3066" s="91" t="s">
        <v>4536</v>
      </c>
      <c r="C3066" s="91" t="s">
        <v>4538</v>
      </c>
      <c r="D3066" s="90">
        <v>3375</v>
      </c>
      <c r="E3066" s="90">
        <v>3648</v>
      </c>
      <c r="F3066" s="90" t="s">
        <v>1454</v>
      </c>
      <c r="G3066" s="90"/>
      <c r="H3066" s="183"/>
      <c r="I3066" s="183"/>
      <c r="J3066" s="94"/>
      <c r="K3066" s="184"/>
      <c r="L3066" s="95"/>
      <c r="M3066" s="69"/>
      <c r="N3066" s="69"/>
      <c r="O3066" s="69" t="s">
        <v>1436</v>
      </c>
      <c r="P3066" s="78"/>
      <c r="Q3066" s="96"/>
      <c r="R3066" s="97"/>
      <c r="S3066" s="98"/>
    </row>
    <row r="3067" spans="1:19" ht="42.75">
      <c r="A3067" s="90" t="s">
        <v>53</v>
      </c>
      <c r="B3067" s="91" t="s">
        <v>4536</v>
      </c>
      <c r="C3067" s="91" t="s">
        <v>4539</v>
      </c>
      <c r="D3067" s="90">
        <v>925</v>
      </c>
      <c r="E3067" s="90">
        <v>1029</v>
      </c>
      <c r="F3067" s="90" t="s">
        <v>1434</v>
      </c>
      <c r="G3067" s="90">
        <v>2024</v>
      </c>
      <c r="H3067" s="183">
        <v>45581</v>
      </c>
      <c r="I3067" s="183">
        <v>45583</v>
      </c>
      <c r="J3067" s="185" t="s">
        <v>4540</v>
      </c>
      <c r="K3067" s="184">
        <v>45593</v>
      </c>
      <c r="L3067" s="95" t="s">
        <v>83</v>
      </c>
      <c r="M3067" s="69" t="s">
        <v>672</v>
      </c>
      <c r="N3067" s="69" t="s">
        <v>101</v>
      </c>
      <c r="O3067" s="69" t="s">
        <v>1436</v>
      </c>
      <c r="P3067" s="78"/>
      <c r="Q3067" s="96">
        <v>45593</v>
      </c>
      <c r="R3067" s="97" t="s">
        <v>929</v>
      </c>
      <c r="S3067" s="98"/>
    </row>
    <row r="3068" spans="1:19" ht="42.75">
      <c r="A3068" s="90" t="s">
        <v>53</v>
      </c>
      <c r="B3068" s="91" t="s">
        <v>4536</v>
      </c>
      <c r="C3068" s="91" t="s">
        <v>4541</v>
      </c>
      <c r="D3068" s="90">
        <v>3925</v>
      </c>
      <c r="E3068" s="90">
        <v>4116</v>
      </c>
      <c r="F3068" s="90" t="s">
        <v>1454</v>
      </c>
      <c r="G3068" s="90"/>
      <c r="H3068" s="183"/>
      <c r="I3068" s="183"/>
      <c r="J3068" s="94"/>
      <c r="K3068" s="184"/>
      <c r="L3068" s="95"/>
      <c r="M3068" s="69"/>
      <c r="N3068" s="69"/>
      <c r="O3068" s="69" t="s">
        <v>1436</v>
      </c>
      <c r="P3068" s="78"/>
      <c r="Q3068" s="96"/>
      <c r="R3068" s="97"/>
      <c r="S3068" s="98"/>
    </row>
    <row r="3069" spans="1:19" ht="42.75">
      <c r="A3069" s="102" t="s">
        <v>53</v>
      </c>
      <c r="B3069" s="102" t="s">
        <v>4536</v>
      </c>
      <c r="C3069" s="102" t="s">
        <v>4542</v>
      </c>
      <c r="D3069" s="102">
        <v>2379</v>
      </c>
      <c r="E3069" s="102">
        <v>2645</v>
      </c>
      <c r="F3069" s="90" t="s">
        <v>1434</v>
      </c>
      <c r="G3069" s="90">
        <v>2024</v>
      </c>
      <c r="H3069" s="227">
        <v>45428</v>
      </c>
      <c r="I3069" s="227">
        <v>45428</v>
      </c>
      <c r="J3069" s="228" t="s">
        <v>4543</v>
      </c>
      <c r="K3069" s="229">
        <v>45429</v>
      </c>
      <c r="L3069" s="230" t="s">
        <v>78</v>
      </c>
      <c r="M3069" s="231" t="s">
        <v>672</v>
      </c>
      <c r="N3069" s="231" t="s">
        <v>101</v>
      </c>
      <c r="O3069" s="231" t="s">
        <v>1436</v>
      </c>
      <c r="P3069" s="232"/>
      <c r="Q3069" s="233">
        <v>45432</v>
      </c>
      <c r="R3069" s="234"/>
      <c r="S3069" s="235"/>
    </row>
    <row r="3070" spans="1:19" ht="42.75">
      <c r="A3070" s="90" t="s">
        <v>53</v>
      </c>
      <c r="B3070" s="91" t="s">
        <v>4536</v>
      </c>
      <c r="C3070" s="91" t="s">
        <v>4544</v>
      </c>
      <c r="D3070" s="90">
        <v>1225</v>
      </c>
      <c r="E3070" s="90">
        <v>1180</v>
      </c>
      <c r="F3070" s="90" t="s">
        <v>1454</v>
      </c>
      <c r="G3070" s="90"/>
      <c r="H3070" s="183"/>
      <c r="I3070" s="183"/>
      <c r="J3070" s="94"/>
      <c r="K3070" s="184"/>
      <c r="L3070" s="95"/>
      <c r="M3070" s="69"/>
      <c r="N3070" s="69"/>
      <c r="O3070" s="69" t="s">
        <v>1436</v>
      </c>
      <c r="P3070" s="78"/>
      <c r="Q3070" s="96"/>
      <c r="R3070" s="97"/>
      <c r="S3070" s="98"/>
    </row>
    <row r="3071" spans="1:19" ht="42.75">
      <c r="A3071" s="90" t="s">
        <v>53</v>
      </c>
      <c r="B3071" s="91" t="s">
        <v>4536</v>
      </c>
      <c r="C3071" s="91" t="s">
        <v>4545</v>
      </c>
      <c r="D3071" s="90">
        <v>2025</v>
      </c>
      <c r="E3071" s="90">
        <v>2102</v>
      </c>
      <c r="F3071" s="90" t="s">
        <v>1454</v>
      </c>
      <c r="G3071" s="90"/>
      <c r="H3071" s="183"/>
      <c r="I3071" s="183"/>
      <c r="J3071" s="94"/>
      <c r="K3071" s="184"/>
      <c r="L3071" s="95"/>
      <c r="M3071" s="69"/>
      <c r="N3071" s="69"/>
      <c r="O3071" s="69" t="s">
        <v>1436</v>
      </c>
      <c r="P3071" s="78"/>
      <c r="Q3071" s="96"/>
      <c r="R3071" s="97"/>
      <c r="S3071" s="98"/>
    </row>
    <row r="3072" spans="1:19" ht="42.75">
      <c r="A3072" s="90" t="s">
        <v>53</v>
      </c>
      <c r="B3072" s="91" t="s">
        <v>4536</v>
      </c>
      <c r="C3072" s="91" t="s">
        <v>4546</v>
      </c>
      <c r="D3072" s="90">
        <v>1351</v>
      </c>
      <c r="E3072" s="90">
        <v>1657</v>
      </c>
      <c r="F3072" s="90" t="s">
        <v>1454</v>
      </c>
      <c r="G3072" s="90"/>
      <c r="H3072" s="183"/>
      <c r="I3072" s="183"/>
      <c r="J3072" s="94"/>
      <c r="K3072" s="184"/>
      <c r="L3072" s="95"/>
      <c r="M3072" s="69"/>
      <c r="N3072" s="69"/>
      <c r="O3072" s="69" t="s">
        <v>1436</v>
      </c>
      <c r="P3072" s="78"/>
      <c r="Q3072" s="96"/>
      <c r="R3072" s="97"/>
      <c r="S3072" s="98"/>
    </row>
    <row r="3073" spans="1:19" ht="42.75">
      <c r="A3073" s="90" t="s">
        <v>53</v>
      </c>
      <c r="B3073" s="91" t="s">
        <v>4536</v>
      </c>
      <c r="C3073" s="91" t="s">
        <v>4547</v>
      </c>
      <c r="D3073" s="90">
        <v>3356</v>
      </c>
      <c r="E3073" s="90">
        <v>3418</v>
      </c>
      <c r="F3073" s="90" t="s">
        <v>1454</v>
      </c>
      <c r="G3073" s="90"/>
      <c r="H3073" s="183"/>
      <c r="I3073" s="183"/>
      <c r="J3073" s="94"/>
      <c r="K3073" s="184"/>
      <c r="L3073" s="95"/>
      <c r="M3073" s="69"/>
      <c r="N3073" s="69"/>
      <c r="O3073" s="69" t="s">
        <v>1436</v>
      </c>
      <c r="P3073" s="78"/>
      <c r="Q3073" s="96"/>
      <c r="R3073" s="97"/>
      <c r="S3073" s="98"/>
    </row>
    <row r="3074" spans="1:19" ht="42.75">
      <c r="A3074" s="90" t="s">
        <v>53</v>
      </c>
      <c r="B3074" s="91" t="s">
        <v>4536</v>
      </c>
      <c r="C3074" s="91" t="s">
        <v>4453</v>
      </c>
      <c r="D3074" s="90">
        <v>6190</v>
      </c>
      <c r="E3074" s="90">
        <v>6446</v>
      </c>
      <c r="F3074" s="90" t="s">
        <v>1454</v>
      </c>
      <c r="G3074" s="90"/>
      <c r="H3074" s="183"/>
      <c r="I3074" s="183"/>
      <c r="J3074" s="94"/>
      <c r="K3074" s="184"/>
      <c r="L3074" s="95"/>
      <c r="M3074" s="69"/>
      <c r="N3074" s="69"/>
      <c r="O3074" s="69" t="s">
        <v>1436</v>
      </c>
      <c r="P3074" s="78"/>
      <c r="Q3074" s="96"/>
      <c r="R3074" s="97"/>
      <c r="S3074" s="98"/>
    </row>
    <row r="3075" spans="1:19" ht="42.75">
      <c r="A3075" s="90" t="s">
        <v>53</v>
      </c>
      <c r="B3075" s="91" t="s">
        <v>4536</v>
      </c>
      <c r="C3075" s="91" t="s">
        <v>3425</v>
      </c>
      <c r="D3075" s="90">
        <v>1553</v>
      </c>
      <c r="E3075" s="90">
        <v>1801</v>
      </c>
      <c r="F3075" s="90" t="s">
        <v>1454</v>
      </c>
      <c r="G3075" s="90"/>
      <c r="H3075" s="183"/>
      <c r="I3075" s="183"/>
      <c r="J3075" s="94"/>
      <c r="K3075" s="184"/>
      <c r="L3075" s="95"/>
      <c r="M3075" s="69"/>
      <c r="N3075" s="69"/>
      <c r="O3075" s="69" t="s">
        <v>1436</v>
      </c>
      <c r="P3075" s="78"/>
      <c r="Q3075" s="96"/>
      <c r="R3075" s="97"/>
      <c r="S3075" s="98"/>
    </row>
    <row r="3076" spans="1:19" ht="42.75">
      <c r="A3076" s="102" t="s">
        <v>53</v>
      </c>
      <c r="B3076" s="102" t="s">
        <v>4536</v>
      </c>
      <c r="C3076" s="102" t="s">
        <v>4548</v>
      </c>
      <c r="D3076" s="102">
        <v>2521</v>
      </c>
      <c r="E3076" s="102">
        <v>2657</v>
      </c>
      <c r="F3076" s="90" t="s">
        <v>1434</v>
      </c>
      <c r="G3076" s="90">
        <v>2024</v>
      </c>
      <c r="H3076" s="227">
        <v>45428</v>
      </c>
      <c r="I3076" s="227">
        <v>45428</v>
      </c>
      <c r="J3076" s="228" t="s">
        <v>4549</v>
      </c>
      <c r="K3076" s="229">
        <v>45429</v>
      </c>
      <c r="L3076" s="230" t="s">
        <v>78</v>
      </c>
      <c r="M3076" s="231" t="s">
        <v>672</v>
      </c>
      <c r="N3076" s="231" t="s">
        <v>101</v>
      </c>
      <c r="O3076" s="231" t="s">
        <v>1436</v>
      </c>
      <c r="P3076" s="232"/>
      <c r="Q3076" s="233">
        <v>45429</v>
      </c>
      <c r="R3076" s="234"/>
      <c r="S3076" s="235"/>
    </row>
    <row r="3077" spans="1:19" ht="42.75">
      <c r="A3077" s="102" t="s">
        <v>53</v>
      </c>
      <c r="B3077" s="102" t="s">
        <v>4536</v>
      </c>
      <c r="C3077" s="102" t="s">
        <v>4550</v>
      </c>
      <c r="D3077" s="102">
        <v>3941</v>
      </c>
      <c r="E3077" s="102">
        <v>4284</v>
      </c>
      <c r="F3077" s="90" t="s">
        <v>1434</v>
      </c>
      <c r="G3077" s="90">
        <v>2024</v>
      </c>
      <c r="H3077" s="227">
        <v>45428</v>
      </c>
      <c r="I3077" s="227">
        <v>45428</v>
      </c>
      <c r="J3077" s="228" t="s">
        <v>4551</v>
      </c>
      <c r="K3077" s="229">
        <v>45429</v>
      </c>
      <c r="L3077" s="230" t="s">
        <v>78</v>
      </c>
      <c r="M3077" s="231" t="s">
        <v>672</v>
      </c>
      <c r="N3077" s="231" t="s">
        <v>101</v>
      </c>
      <c r="O3077" s="231" t="s">
        <v>1436</v>
      </c>
      <c r="P3077" s="232"/>
      <c r="Q3077" s="233">
        <v>45429</v>
      </c>
      <c r="R3077" s="234"/>
      <c r="S3077" s="235"/>
    </row>
    <row r="3078" spans="1:19" ht="42.75">
      <c r="A3078" s="90" t="s">
        <v>53</v>
      </c>
      <c r="B3078" s="91" t="s">
        <v>4536</v>
      </c>
      <c r="C3078" s="91" t="s">
        <v>4552</v>
      </c>
      <c r="D3078" s="90">
        <v>2299</v>
      </c>
      <c r="E3078" s="90">
        <v>2781</v>
      </c>
      <c r="F3078" s="90" t="s">
        <v>1434</v>
      </c>
      <c r="G3078" s="90">
        <v>2024</v>
      </c>
      <c r="H3078" s="183">
        <v>45581</v>
      </c>
      <c r="I3078" s="183">
        <v>45583</v>
      </c>
      <c r="J3078" s="223" t="s">
        <v>4553</v>
      </c>
      <c r="K3078" s="184">
        <v>45584</v>
      </c>
      <c r="L3078" s="95" t="s">
        <v>83</v>
      </c>
      <c r="M3078" s="69" t="s">
        <v>1589</v>
      </c>
      <c r="N3078" s="69" t="s">
        <v>1676</v>
      </c>
      <c r="O3078" s="69" t="s">
        <v>1436</v>
      </c>
      <c r="P3078" s="78"/>
      <c r="Q3078" s="96">
        <v>45586</v>
      </c>
      <c r="R3078" s="97" t="s">
        <v>929</v>
      </c>
      <c r="S3078" s="98"/>
    </row>
    <row r="3079" spans="1:19" ht="42.75">
      <c r="A3079" s="90" t="s">
        <v>53</v>
      </c>
      <c r="B3079" s="91" t="s">
        <v>4536</v>
      </c>
      <c r="C3079" s="91" t="s">
        <v>4554</v>
      </c>
      <c r="D3079" s="90">
        <v>2021</v>
      </c>
      <c r="E3079" s="90">
        <v>2524</v>
      </c>
      <c r="F3079" s="90" t="s">
        <v>1434</v>
      </c>
      <c r="G3079" s="90">
        <v>2024</v>
      </c>
      <c r="H3079" s="183">
        <v>45428</v>
      </c>
      <c r="I3079" s="186">
        <v>45428</v>
      </c>
      <c r="J3079" s="190" t="s">
        <v>4555</v>
      </c>
      <c r="K3079" s="188">
        <v>45429</v>
      </c>
      <c r="L3079" s="95" t="s">
        <v>78</v>
      </c>
      <c r="M3079" s="69" t="s">
        <v>672</v>
      </c>
      <c r="N3079" s="69" t="s">
        <v>101</v>
      </c>
      <c r="O3079" s="69" t="s">
        <v>1436</v>
      </c>
      <c r="P3079" s="78"/>
      <c r="Q3079" s="96">
        <v>45432</v>
      </c>
      <c r="R3079" s="97"/>
      <c r="S3079" s="98"/>
    </row>
    <row r="3080" spans="1:19" ht="42.75">
      <c r="A3080" s="90" t="s">
        <v>53</v>
      </c>
      <c r="B3080" s="91" t="s">
        <v>4536</v>
      </c>
      <c r="C3080" s="91" t="s">
        <v>3157</v>
      </c>
      <c r="D3080" s="90">
        <v>3033</v>
      </c>
      <c r="E3080" s="90">
        <v>3163</v>
      </c>
      <c r="F3080" s="90" t="s">
        <v>1434</v>
      </c>
      <c r="G3080" s="90">
        <v>2024</v>
      </c>
      <c r="H3080" s="183">
        <v>45581</v>
      </c>
      <c r="I3080" s="186">
        <v>45583</v>
      </c>
      <c r="J3080" s="190" t="s">
        <v>4556</v>
      </c>
      <c r="K3080" s="188">
        <v>45584</v>
      </c>
      <c r="L3080" s="95" t="s">
        <v>83</v>
      </c>
      <c r="M3080" s="69" t="s">
        <v>1589</v>
      </c>
      <c r="N3080" s="69" t="s">
        <v>1676</v>
      </c>
      <c r="O3080" s="69" t="s">
        <v>1436</v>
      </c>
      <c r="P3080" s="78"/>
      <c r="Q3080" s="96">
        <v>45586</v>
      </c>
      <c r="R3080" s="97" t="s">
        <v>929</v>
      </c>
      <c r="S3080" s="98"/>
    </row>
    <row r="3081" spans="1:19" ht="42.75">
      <c r="A3081" s="90" t="s">
        <v>53</v>
      </c>
      <c r="B3081" s="91" t="s">
        <v>4536</v>
      </c>
      <c r="C3081" s="91" t="s">
        <v>4557</v>
      </c>
      <c r="D3081" s="90">
        <v>3101</v>
      </c>
      <c r="E3081" s="90">
        <v>3560</v>
      </c>
      <c r="F3081" s="90" t="s">
        <v>1434</v>
      </c>
      <c r="G3081" s="90">
        <v>2024</v>
      </c>
      <c r="H3081" s="183">
        <v>45581</v>
      </c>
      <c r="I3081" s="186">
        <v>45583</v>
      </c>
      <c r="J3081" s="190" t="s">
        <v>4558</v>
      </c>
      <c r="K3081" s="188">
        <v>45584</v>
      </c>
      <c r="L3081" s="95" t="s">
        <v>83</v>
      </c>
      <c r="M3081" s="69" t="s">
        <v>1589</v>
      </c>
      <c r="N3081" s="69" t="s">
        <v>1676</v>
      </c>
      <c r="O3081" s="69" t="s">
        <v>1436</v>
      </c>
      <c r="P3081" s="78"/>
      <c r="Q3081" s="96">
        <v>45586</v>
      </c>
      <c r="R3081" s="97" t="s">
        <v>929</v>
      </c>
      <c r="S3081" s="98"/>
    </row>
    <row r="3082" spans="1:19" ht="42.75">
      <c r="A3082" s="90" t="s">
        <v>53</v>
      </c>
      <c r="B3082" s="91" t="s">
        <v>4536</v>
      </c>
      <c r="C3082" s="91" t="s">
        <v>4559</v>
      </c>
      <c r="D3082" s="90">
        <v>1193</v>
      </c>
      <c r="E3082" s="90">
        <v>1261</v>
      </c>
      <c r="F3082" s="90" t="s">
        <v>1454</v>
      </c>
      <c r="G3082" s="90"/>
      <c r="H3082" s="183"/>
      <c r="I3082" s="183"/>
      <c r="J3082" s="94"/>
      <c r="K3082" s="184"/>
      <c r="L3082" s="95"/>
      <c r="M3082" s="69"/>
      <c r="N3082" s="69"/>
      <c r="O3082" s="69" t="s">
        <v>1436</v>
      </c>
      <c r="P3082" s="78"/>
      <c r="Q3082" s="96"/>
      <c r="R3082" s="97"/>
      <c r="S3082" s="98"/>
    </row>
    <row r="3083" spans="1:19" ht="42.75">
      <c r="A3083" s="90" t="s">
        <v>53</v>
      </c>
      <c r="B3083" s="91" t="s">
        <v>4536</v>
      </c>
      <c r="C3083" s="91" t="s">
        <v>794</v>
      </c>
      <c r="D3083" s="90">
        <v>1138</v>
      </c>
      <c r="E3083" s="90">
        <v>1410</v>
      </c>
      <c r="F3083" s="90" t="s">
        <v>1454</v>
      </c>
      <c r="G3083" s="90"/>
      <c r="H3083" s="183"/>
      <c r="I3083" s="183"/>
      <c r="J3083" s="94"/>
      <c r="K3083" s="184"/>
      <c r="L3083" s="95"/>
      <c r="M3083" s="69"/>
      <c r="N3083" s="69"/>
      <c r="O3083" s="69" t="s">
        <v>1436</v>
      </c>
      <c r="P3083" s="78"/>
      <c r="Q3083" s="96"/>
      <c r="R3083" s="97"/>
      <c r="S3083" s="98"/>
    </row>
    <row r="3084" spans="1:19" ht="42.75">
      <c r="A3084" s="90" t="s">
        <v>53</v>
      </c>
      <c r="B3084" s="91" t="s">
        <v>4536</v>
      </c>
      <c r="C3084" s="91" t="s">
        <v>3110</v>
      </c>
      <c r="D3084" s="90">
        <v>2227</v>
      </c>
      <c r="E3084" s="90">
        <v>2597</v>
      </c>
      <c r="F3084" s="90" t="s">
        <v>1454</v>
      </c>
      <c r="G3084" s="90"/>
      <c r="H3084" s="183"/>
      <c r="I3084" s="183"/>
      <c r="J3084" s="94"/>
      <c r="K3084" s="184"/>
      <c r="L3084" s="95"/>
      <c r="M3084" s="69"/>
      <c r="N3084" s="69"/>
      <c r="O3084" s="69" t="s">
        <v>1436</v>
      </c>
      <c r="P3084" s="78"/>
      <c r="Q3084" s="96"/>
      <c r="R3084" s="97"/>
      <c r="S3084" s="98"/>
    </row>
    <row r="3085" spans="1:19" ht="42.75">
      <c r="A3085" s="90" t="s">
        <v>53</v>
      </c>
      <c r="B3085" s="91" t="s">
        <v>4536</v>
      </c>
      <c r="C3085" s="91" t="s">
        <v>1091</v>
      </c>
      <c r="D3085" s="90">
        <v>3437</v>
      </c>
      <c r="E3085" s="90">
        <v>3705</v>
      </c>
      <c r="F3085" s="90" t="s">
        <v>1454</v>
      </c>
      <c r="G3085" s="90"/>
      <c r="H3085" s="183"/>
      <c r="I3085" s="183"/>
      <c r="J3085" s="94"/>
      <c r="K3085" s="184"/>
      <c r="L3085" s="95"/>
      <c r="M3085" s="69"/>
      <c r="N3085" s="69"/>
      <c r="O3085" s="69" t="s">
        <v>1436</v>
      </c>
      <c r="P3085" s="78"/>
      <c r="Q3085" s="96"/>
      <c r="R3085" s="97"/>
      <c r="S3085" s="98"/>
    </row>
    <row r="3086" spans="1:19" ht="42.75">
      <c r="A3086" s="90" t="s">
        <v>53</v>
      </c>
      <c r="B3086" s="91" t="s">
        <v>4536</v>
      </c>
      <c r="C3086" s="91" t="s">
        <v>4560</v>
      </c>
      <c r="D3086" s="90">
        <v>593</v>
      </c>
      <c r="E3086" s="90">
        <v>601</v>
      </c>
      <c r="F3086" s="90" t="s">
        <v>1454</v>
      </c>
      <c r="G3086" s="90"/>
      <c r="H3086" s="183"/>
      <c r="I3086" s="183"/>
      <c r="J3086" s="94"/>
      <c r="K3086" s="184"/>
      <c r="L3086" s="95"/>
      <c r="M3086" s="69"/>
      <c r="N3086" s="69"/>
      <c r="O3086" s="69" t="s">
        <v>1436</v>
      </c>
      <c r="P3086" s="78"/>
      <c r="Q3086" s="96"/>
      <c r="R3086" s="97"/>
      <c r="S3086" s="98"/>
    </row>
    <row r="3087" spans="1:19" ht="42.75">
      <c r="A3087" s="90" t="s">
        <v>53</v>
      </c>
      <c r="B3087" s="91" t="s">
        <v>4536</v>
      </c>
      <c r="C3087" s="91" t="s">
        <v>4561</v>
      </c>
      <c r="D3087" s="90">
        <v>2514</v>
      </c>
      <c r="E3087" s="90">
        <v>2839</v>
      </c>
      <c r="F3087" s="90" t="s">
        <v>1454</v>
      </c>
      <c r="G3087" s="90"/>
      <c r="H3087" s="183"/>
      <c r="I3087" s="183"/>
      <c r="J3087" s="94"/>
      <c r="K3087" s="184"/>
      <c r="L3087" s="95"/>
      <c r="M3087" s="69"/>
      <c r="N3087" s="69"/>
      <c r="O3087" s="69" t="s">
        <v>1436</v>
      </c>
      <c r="P3087" s="78"/>
      <c r="Q3087" s="96"/>
      <c r="R3087" s="97"/>
      <c r="S3087" s="98"/>
    </row>
    <row r="3088" spans="1:19" ht="42.75">
      <c r="A3088" s="90" t="s">
        <v>53</v>
      </c>
      <c r="B3088" s="91" t="s">
        <v>4536</v>
      </c>
      <c r="C3088" s="91" t="s">
        <v>4562</v>
      </c>
      <c r="D3088" s="90">
        <v>2062</v>
      </c>
      <c r="E3088" s="90">
        <v>2419</v>
      </c>
      <c r="F3088" s="90" t="s">
        <v>1454</v>
      </c>
      <c r="G3088" s="90"/>
      <c r="H3088" s="183"/>
      <c r="I3088" s="183"/>
      <c r="J3088" s="117"/>
      <c r="K3088" s="184"/>
      <c r="L3088" s="95"/>
      <c r="M3088" s="69"/>
      <c r="N3088" s="69"/>
      <c r="O3088" s="69" t="s">
        <v>1436</v>
      </c>
      <c r="P3088" s="78"/>
      <c r="Q3088" s="96"/>
      <c r="R3088" s="97"/>
      <c r="S3088" s="98"/>
    </row>
    <row r="3089" spans="1:19" ht="42.75">
      <c r="A3089" s="90" t="s">
        <v>53</v>
      </c>
      <c r="B3089" s="91" t="s">
        <v>4536</v>
      </c>
      <c r="C3089" s="91" t="s">
        <v>4563</v>
      </c>
      <c r="D3089" s="90">
        <v>1244</v>
      </c>
      <c r="E3089" s="90">
        <v>1441</v>
      </c>
      <c r="F3089" s="90" t="s">
        <v>1434</v>
      </c>
      <c r="G3089" s="90">
        <v>2024</v>
      </c>
      <c r="H3089" s="183">
        <v>45581</v>
      </c>
      <c r="I3089" s="186">
        <v>45583</v>
      </c>
      <c r="J3089" s="190" t="s">
        <v>4564</v>
      </c>
      <c r="K3089" s="188">
        <v>45593</v>
      </c>
      <c r="L3089" s="95" t="s">
        <v>83</v>
      </c>
      <c r="M3089" s="69" t="s">
        <v>4</v>
      </c>
      <c r="N3089" s="69" t="s">
        <v>101</v>
      </c>
      <c r="O3089" s="69" t="s">
        <v>1436</v>
      </c>
      <c r="P3089" s="78"/>
      <c r="Q3089" s="96">
        <v>45593</v>
      </c>
      <c r="R3089" s="97" t="s">
        <v>929</v>
      </c>
      <c r="S3089" s="98"/>
    </row>
    <row r="3090" spans="1:19" ht="42.75">
      <c r="A3090" s="90" t="s">
        <v>53</v>
      </c>
      <c r="B3090" s="91" t="s">
        <v>1049</v>
      </c>
      <c r="C3090" s="91" t="s">
        <v>4565</v>
      </c>
      <c r="D3090" s="90">
        <v>5357</v>
      </c>
      <c r="E3090" s="90">
        <v>5676</v>
      </c>
      <c r="F3090" s="90" t="s">
        <v>1434</v>
      </c>
      <c r="G3090" s="90">
        <v>2024</v>
      </c>
      <c r="H3090" s="183">
        <v>45545</v>
      </c>
      <c r="I3090" s="186">
        <v>45551</v>
      </c>
      <c r="J3090" s="190" t="s">
        <v>4566</v>
      </c>
      <c r="K3090" s="188">
        <v>45552</v>
      </c>
      <c r="L3090" s="95" t="s">
        <v>82</v>
      </c>
      <c r="M3090" s="69" t="s">
        <v>4</v>
      </c>
      <c r="N3090" s="69" t="s">
        <v>101</v>
      </c>
      <c r="O3090" s="69" t="s">
        <v>1436</v>
      </c>
      <c r="P3090" s="78"/>
      <c r="Q3090" s="96">
        <v>45552</v>
      </c>
      <c r="R3090" s="97" t="s">
        <v>929</v>
      </c>
      <c r="S3090" s="98"/>
    </row>
    <row r="3091" spans="1:19" ht="42.75">
      <c r="A3091" s="90" t="s">
        <v>53</v>
      </c>
      <c r="B3091" s="91" t="s">
        <v>1049</v>
      </c>
      <c r="C3091" s="91" t="s">
        <v>4567</v>
      </c>
      <c r="D3091" s="90">
        <v>1212</v>
      </c>
      <c r="E3091" s="90">
        <v>1072</v>
      </c>
      <c r="F3091" s="90" t="s">
        <v>1454</v>
      </c>
      <c r="G3091" s="90"/>
      <c r="H3091" s="94"/>
      <c r="I3091" s="94"/>
      <c r="J3091" s="94"/>
      <c r="K3091" s="107"/>
      <c r="L3091" s="95"/>
      <c r="M3091" s="69"/>
      <c r="N3091" s="69"/>
      <c r="O3091" s="69"/>
      <c r="P3091" s="78"/>
      <c r="Q3091" s="96"/>
      <c r="R3091" s="97"/>
      <c r="S3091" s="98"/>
    </row>
    <row r="3092" spans="1:19" ht="42.75">
      <c r="A3092" s="90" t="s">
        <v>53</v>
      </c>
      <c r="B3092" s="91" t="s">
        <v>1049</v>
      </c>
      <c r="C3092" s="91" t="s">
        <v>4568</v>
      </c>
      <c r="D3092" s="90">
        <v>7855</v>
      </c>
      <c r="E3092" s="90">
        <v>9049</v>
      </c>
      <c r="F3092" s="90" t="s">
        <v>1454</v>
      </c>
      <c r="G3092" s="90"/>
      <c r="H3092" s="94"/>
      <c r="I3092" s="94"/>
      <c r="J3092" s="94"/>
      <c r="K3092" s="107"/>
      <c r="L3092" s="95"/>
      <c r="M3092" s="69"/>
      <c r="N3092" s="69"/>
      <c r="O3092" s="69"/>
      <c r="P3092" s="78"/>
      <c r="Q3092" s="96"/>
      <c r="R3092" s="97"/>
      <c r="S3092" s="98"/>
    </row>
    <row r="3093" spans="1:19" ht="42.75">
      <c r="A3093" s="90" t="s">
        <v>53</v>
      </c>
      <c r="B3093" s="91" t="s">
        <v>1049</v>
      </c>
      <c r="C3093" s="91" t="s">
        <v>4569</v>
      </c>
      <c r="D3093" s="90">
        <v>3596</v>
      </c>
      <c r="E3093" s="90">
        <v>3369</v>
      </c>
      <c r="F3093" s="90" t="s">
        <v>1454</v>
      </c>
      <c r="G3093" s="90"/>
      <c r="H3093" s="94"/>
      <c r="I3093" s="94"/>
      <c r="J3093" s="94"/>
      <c r="K3093" s="107"/>
      <c r="L3093" s="95"/>
      <c r="M3093" s="69"/>
      <c r="N3093" s="69"/>
      <c r="O3093" s="69"/>
      <c r="P3093" s="78"/>
      <c r="Q3093" s="96"/>
      <c r="R3093" s="97"/>
      <c r="S3093" s="98"/>
    </row>
    <row r="3094" spans="1:19" ht="42.75">
      <c r="A3094" s="90" t="s">
        <v>53</v>
      </c>
      <c r="B3094" s="91" t="s">
        <v>1049</v>
      </c>
      <c r="C3094" s="91" t="s">
        <v>4570</v>
      </c>
      <c r="D3094" s="90">
        <v>1310</v>
      </c>
      <c r="E3094" s="90">
        <v>1389</v>
      </c>
      <c r="F3094" s="90" t="s">
        <v>1454</v>
      </c>
      <c r="G3094" s="90"/>
      <c r="H3094" s="94"/>
      <c r="I3094" s="94"/>
      <c r="J3094" s="94"/>
      <c r="K3094" s="107"/>
      <c r="L3094" s="95"/>
      <c r="M3094" s="69"/>
      <c r="N3094" s="69"/>
      <c r="O3094" s="69"/>
      <c r="P3094" s="78"/>
      <c r="Q3094" s="96"/>
      <c r="R3094" s="97"/>
      <c r="S3094" s="98"/>
    </row>
    <row r="3095" spans="1:19" ht="42.75">
      <c r="A3095" s="90" t="s">
        <v>53</v>
      </c>
      <c r="B3095" s="91" t="s">
        <v>1049</v>
      </c>
      <c r="C3095" s="91" t="s">
        <v>4571</v>
      </c>
      <c r="D3095" s="90">
        <v>14307</v>
      </c>
      <c r="E3095" s="90">
        <v>15626</v>
      </c>
      <c r="F3095" s="90" t="s">
        <v>1454</v>
      </c>
      <c r="G3095" s="90"/>
      <c r="H3095" s="94"/>
      <c r="I3095" s="94"/>
      <c r="J3095" s="94"/>
      <c r="K3095" s="107"/>
      <c r="L3095" s="95"/>
      <c r="M3095" s="69"/>
      <c r="N3095" s="69"/>
      <c r="O3095" s="69"/>
      <c r="P3095" s="78"/>
      <c r="Q3095" s="96"/>
      <c r="R3095" s="97"/>
      <c r="S3095" s="98"/>
    </row>
    <row r="3096" spans="1:19" ht="42.75">
      <c r="A3096" s="90" t="s">
        <v>53</v>
      </c>
      <c r="B3096" s="91" t="s">
        <v>1049</v>
      </c>
      <c r="C3096" s="91" t="s">
        <v>4572</v>
      </c>
      <c r="D3096" s="90">
        <v>9684</v>
      </c>
      <c r="E3096" s="90">
        <v>10343</v>
      </c>
      <c r="F3096" s="90" t="s">
        <v>1454</v>
      </c>
      <c r="G3096" s="90"/>
      <c r="H3096" s="94"/>
      <c r="I3096" s="94"/>
      <c r="J3096" s="94"/>
      <c r="K3096" s="107"/>
      <c r="L3096" s="95"/>
      <c r="M3096" s="69"/>
      <c r="N3096" s="69"/>
      <c r="O3096" s="69"/>
      <c r="P3096" s="78"/>
      <c r="Q3096" s="96"/>
      <c r="R3096" s="97"/>
      <c r="S3096" s="98"/>
    </row>
    <row r="3097" spans="1:19" ht="42.75">
      <c r="A3097" s="90" t="s">
        <v>53</v>
      </c>
      <c r="B3097" s="91" t="s">
        <v>1049</v>
      </c>
      <c r="C3097" s="91" t="s">
        <v>4573</v>
      </c>
      <c r="D3097" s="90">
        <v>15956</v>
      </c>
      <c r="E3097" s="90">
        <v>16982</v>
      </c>
      <c r="F3097" s="90" t="s">
        <v>1454</v>
      </c>
      <c r="G3097" s="90"/>
      <c r="H3097" s="94"/>
      <c r="I3097" s="94"/>
      <c r="J3097" s="94"/>
      <c r="K3097" s="107"/>
      <c r="L3097" s="95"/>
      <c r="M3097" s="69"/>
      <c r="N3097" s="69"/>
      <c r="O3097" s="69"/>
      <c r="P3097" s="78"/>
      <c r="Q3097" s="96"/>
      <c r="R3097" s="97"/>
      <c r="S3097" s="98"/>
    </row>
    <row r="3098" spans="1:19" ht="42.75">
      <c r="A3098" s="90" t="s">
        <v>53</v>
      </c>
      <c r="B3098" s="91" t="s">
        <v>1049</v>
      </c>
      <c r="C3098" s="91" t="s">
        <v>4574</v>
      </c>
      <c r="D3098" s="90">
        <v>3226</v>
      </c>
      <c r="E3098" s="90">
        <v>2953</v>
      </c>
      <c r="F3098" s="90" t="s">
        <v>1454</v>
      </c>
      <c r="G3098" s="90"/>
      <c r="H3098" s="94"/>
      <c r="I3098" s="94"/>
      <c r="J3098" s="94"/>
      <c r="K3098" s="107"/>
      <c r="L3098" s="95"/>
      <c r="M3098" s="69"/>
      <c r="N3098" s="69"/>
      <c r="O3098" s="69"/>
      <c r="P3098" s="78"/>
      <c r="Q3098" s="96"/>
      <c r="R3098" s="97"/>
      <c r="S3098" s="98"/>
    </row>
    <row r="3099" spans="1:19" ht="42.75">
      <c r="A3099" s="90" t="s">
        <v>53</v>
      </c>
      <c r="B3099" s="91" t="s">
        <v>1049</v>
      </c>
      <c r="C3099" s="91" t="s">
        <v>4575</v>
      </c>
      <c r="D3099" s="90">
        <v>11557</v>
      </c>
      <c r="E3099" s="90">
        <v>13563</v>
      </c>
      <c r="F3099" s="90" t="s">
        <v>1454</v>
      </c>
      <c r="G3099" s="90"/>
      <c r="H3099" s="94"/>
      <c r="I3099" s="94"/>
      <c r="J3099" s="94"/>
      <c r="K3099" s="107"/>
      <c r="L3099" s="95"/>
      <c r="M3099" s="69"/>
      <c r="N3099" s="69"/>
      <c r="O3099" s="69"/>
      <c r="P3099" s="78"/>
      <c r="Q3099" s="96"/>
      <c r="R3099" s="97"/>
      <c r="S3099" s="98"/>
    </row>
    <row r="3100" spans="1:19" ht="42.75">
      <c r="A3100" s="90" t="s">
        <v>53</v>
      </c>
      <c r="B3100" s="91" t="s">
        <v>1049</v>
      </c>
      <c r="C3100" s="91" t="s">
        <v>4576</v>
      </c>
      <c r="D3100" s="90">
        <v>8275</v>
      </c>
      <c r="E3100" s="90">
        <v>8230</v>
      </c>
      <c r="F3100" s="90" t="s">
        <v>1454</v>
      </c>
      <c r="G3100" s="90"/>
      <c r="H3100" s="94"/>
      <c r="I3100" s="94"/>
      <c r="J3100" s="117"/>
      <c r="K3100" s="107"/>
      <c r="L3100" s="95"/>
      <c r="M3100" s="69"/>
      <c r="N3100" s="69"/>
      <c r="O3100" s="69"/>
      <c r="P3100" s="78"/>
      <c r="Q3100" s="96"/>
      <c r="R3100" s="97"/>
      <c r="S3100" s="98"/>
    </row>
    <row r="3101" spans="1:19" ht="42.75">
      <c r="A3101" s="90" t="s">
        <v>53</v>
      </c>
      <c r="B3101" s="91" t="s">
        <v>1049</v>
      </c>
      <c r="C3101" s="91" t="s">
        <v>1416</v>
      </c>
      <c r="D3101" s="90">
        <v>2704</v>
      </c>
      <c r="E3101" s="90">
        <v>3257</v>
      </c>
      <c r="F3101" s="90" t="s">
        <v>1434</v>
      </c>
      <c r="G3101" s="90">
        <v>2024</v>
      </c>
      <c r="H3101" s="183">
        <v>45545</v>
      </c>
      <c r="I3101" s="186">
        <v>45551</v>
      </c>
      <c r="J3101" s="190" t="s">
        <v>4577</v>
      </c>
      <c r="K3101" s="188">
        <v>45552</v>
      </c>
      <c r="L3101" s="95" t="s">
        <v>82</v>
      </c>
      <c r="M3101" s="69" t="s">
        <v>4</v>
      </c>
      <c r="N3101" s="69" t="s">
        <v>101</v>
      </c>
      <c r="O3101" s="69" t="s">
        <v>1436</v>
      </c>
      <c r="P3101" s="78"/>
      <c r="Q3101" s="96">
        <v>45552</v>
      </c>
      <c r="R3101" s="97" t="s">
        <v>929</v>
      </c>
      <c r="S3101" s="98"/>
    </row>
    <row r="3102" spans="1:19" ht="42.75">
      <c r="A3102" s="90" t="s">
        <v>53</v>
      </c>
      <c r="B3102" s="91" t="s">
        <v>1049</v>
      </c>
      <c r="C3102" s="91" t="s">
        <v>4578</v>
      </c>
      <c r="D3102" s="90">
        <v>4292</v>
      </c>
      <c r="E3102" s="90">
        <v>4923</v>
      </c>
      <c r="F3102" s="90" t="s">
        <v>1434</v>
      </c>
      <c r="G3102" s="90">
        <v>2024</v>
      </c>
      <c r="H3102" s="183">
        <v>45545</v>
      </c>
      <c r="I3102" s="186">
        <v>45551</v>
      </c>
      <c r="J3102" s="190" t="s">
        <v>4579</v>
      </c>
      <c r="K3102" s="188">
        <v>45552</v>
      </c>
      <c r="L3102" s="95" t="s">
        <v>82</v>
      </c>
      <c r="M3102" s="69" t="s">
        <v>4</v>
      </c>
      <c r="N3102" s="69" t="s">
        <v>101</v>
      </c>
      <c r="O3102" s="69" t="s">
        <v>1436</v>
      </c>
      <c r="P3102" s="78"/>
      <c r="Q3102" s="96">
        <v>45552</v>
      </c>
      <c r="R3102" s="97" t="s">
        <v>929</v>
      </c>
      <c r="S3102" s="98"/>
    </row>
    <row r="3103" spans="1:19" ht="42.75">
      <c r="A3103" s="90" t="s">
        <v>53</v>
      </c>
      <c r="B3103" s="91" t="s">
        <v>1049</v>
      </c>
      <c r="C3103" s="91" t="s">
        <v>520</v>
      </c>
      <c r="D3103" s="90">
        <v>7869</v>
      </c>
      <c r="E3103" s="90">
        <v>8709</v>
      </c>
      <c r="F3103" s="90" t="s">
        <v>1434</v>
      </c>
      <c r="G3103" s="90">
        <v>2024</v>
      </c>
      <c r="H3103" s="183">
        <v>45545</v>
      </c>
      <c r="I3103" s="186">
        <v>45551</v>
      </c>
      <c r="J3103" s="190" t="s">
        <v>4580</v>
      </c>
      <c r="K3103" s="188">
        <v>45552</v>
      </c>
      <c r="L3103" s="95" t="s">
        <v>82</v>
      </c>
      <c r="M3103" s="69" t="s">
        <v>4</v>
      </c>
      <c r="N3103" s="69" t="s">
        <v>101</v>
      </c>
      <c r="O3103" s="69" t="s">
        <v>1436</v>
      </c>
      <c r="P3103" s="78"/>
      <c r="Q3103" s="96">
        <v>45552</v>
      </c>
      <c r="R3103" s="97" t="s">
        <v>929</v>
      </c>
      <c r="S3103" s="98"/>
    </row>
    <row r="3104" spans="1:19" ht="42.75">
      <c r="A3104" s="90" t="s">
        <v>53</v>
      </c>
      <c r="B3104" s="91" t="s">
        <v>1049</v>
      </c>
      <c r="C3104" s="91" t="s">
        <v>1658</v>
      </c>
      <c r="D3104" s="90">
        <v>5481</v>
      </c>
      <c r="E3104" s="90">
        <v>5427</v>
      </c>
      <c r="F3104" s="90" t="s">
        <v>1434</v>
      </c>
      <c r="G3104" s="90">
        <v>2024</v>
      </c>
      <c r="H3104" s="183">
        <v>45545</v>
      </c>
      <c r="I3104" s="186">
        <v>45551</v>
      </c>
      <c r="J3104" s="187" t="s">
        <v>4581</v>
      </c>
      <c r="K3104" s="188">
        <v>45552</v>
      </c>
      <c r="L3104" s="95" t="s">
        <v>82</v>
      </c>
      <c r="M3104" s="69" t="s">
        <v>4</v>
      </c>
      <c r="N3104" s="69" t="s">
        <v>101</v>
      </c>
      <c r="O3104" s="69" t="s">
        <v>1436</v>
      </c>
      <c r="P3104" s="78"/>
      <c r="Q3104" s="96">
        <v>45552</v>
      </c>
      <c r="R3104" s="97" t="s">
        <v>929</v>
      </c>
      <c r="S3104" s="98"/>
    </row>
    <row r="3105" spans="1:19" ht="42.75">
      <c r="A3105" s="90" t="s">
        <v>53</v>
      </c>
      <c r="B3105" s="91" t="s">
        <v>1049</v>
      </c>
      <c r="C3105" s="91" t="s">
        <v>4582</v>
      </c>
      <c r="D3105" s="90">
        <v>2090</v>
      </c>
      <c r="E3105" s="90">
        <v>1344</v>
      </c>
      <c r="F3105" s="90" t="s">
        <v>1454</v>
      </c>
      <c r="G3105" s="90"/>
      <c r="H3105" s="93"/>
      <c r="I3105" s="93"/>
      <c r="J3105" s="93"/>
      <c r="K3105" s="95"/>
      <c r="L3105" s="69"/>
      <c r="M3105" s="69"/>
      <c r="N3105" s="69"/>
      <c r="O3105" s="69"/>
      <c r="P3105" s="78"/>
      <c r="Q3105" s="96"/>
      <c r="R3105" s="97"/>
      <c r="S3105" s="98"/>
    </row>
  </sheetData>
  <dataValidations count="1">
    <dataValidation allowBlank="1" showInputMessage="1" showErrorMessage="1" sqref="G2:G3105" xr:uid="{A6235686-B89D-484B-8568-D0CD3B38A45E}"/>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B0E-222E-4A6D-A2E9-110F0EDBCB20}">
  <sheetPr codeName="Sheet15">
    <tabColor rgb="FF92D050"/>
  </sheetPr>
  <dimension ref="A1:AQ4"/>
  <sheetViews>
    <sheetView topLeftCell="C1" workbookViewId="0">
      <selection activeCell="S19" sqref="S19"/>
    </sheetView>
  </sheetViews>
  <sheetFormatPr defaultColWidth="8.7109375" defaultRowHeight="15" customHeight="1"/>
  <cols>
    <col min="1" max="1" width="10.7109375" bestFit="1" customWidth="1"/>
    <col min="2" max="2" width="12" bestFit="1" customWidth="1"/>
    <col min="3" max="3" width="15.85546875" bestFit="1" customWidth="1"/>
    <col min="4" max="4" width="22.5703125" bestFit="1" customWidth="1"/>
    <col min="5" max="5" width="20.28515625" bestFit="1" customWidth="1"/>
    <col min="6" max="6" width="12" bestFit="1" customWidth="1"/>
    <col min="7" max="7" width="11" bestFit="1" customWidth="1"/>
    <col min="8" max="8" width="22.5703125" bestFit="1" customWidth="1"/>
    <col min="9" max="9" width="21.42578125" bestFit="1" customWidth="1"/>
    <col min="10" max="10" width="18.5703125" bestFit="1" customWidth="1"/>
    <col min="11" max="11" width="22.28515625" bestFit="1" customWidth="1"/>
    <col min="12" max="12" width="12.7109375" bestFit="1" customWidth="1"/>
    <col min="13" max="13" width="15.85546875" bestFit="1" customWidth="1"/>
    <col min="14" max="14" width="13.140625" bestFit="1" customWidth="1"/>
    <col min="15" max="15" width="20.7109375" bestFit="1" customWidth="1"/>
    <col min="16" max="16" width="20.7109375" customWidth="1"/>
    <col min="17" max="17" width="23.140625" bestFit="1" customWidth="1"/>
    <col min="18" max="18" width="14.7109375" bestFit="1" customWidth="1"/>
    <col min="19" max="19" width="18" bestFit="1" customWidth="1"/>
    <col min="20" max="20" width="46.5703125" bestFit="1" customWidth="1"/>
    <col min="21" max="21" width="36.28515625" bestFit="1" customWidth="1"/>
    <col min="22" max="22" width="36.5703125" bestFit="1" customWidth="1"/>
    <col min="23" max="23" width="20.85546875" bestFit="1" customWidth="1"/>
    <col min="24" max="24" width="33" bestFit="1" customWidth="1"/>
    <col min="25" max="25" width="45.5703125" bestFit="1" customWidth="1"/>
    <col min="26" max="26" width="41.5703125" bestFit="1" customWidth="1"/>
    <col min="27" max="27" width="46.28515625" bestFit="1" customWidth="1"/>
    <col min="28" max="28" width="52.7109375" bestFit="1" customWidth="1"/>
    <col min="29" max="29" width="32.7109375" bestFit="1" customWidth="1"/>
    <col min="30" max="30" width="14.28515625" bestFit="1" customWidth="1"/>
    <col min="31" max="31" width="45.5703125" bestFit="1" customWidth="1"/>
    <col min="32" max="32" width="41.42578125" bestFit="1" customWidth="1"/>
    <col min="33" max="33" width="36.7109375" bestFit="1" customWidth="1"/>
    <col min="34" max="34" width="23" bestFit="1" customWidth="1"/>
    <col min="35" max="35" width="18.42578125" bestFit="1" customWidth="1"/>
    <col min="36" max="36" width="21.42578125" bestFit="1" customWidth="1"/>
    <col min="37" max="37" width="23" bestFit="1" customWidth="1"/>
    <col min="38" max="38" width="37.85546875" bestFit="1" customWidth="1"/>
    <col min="39" max="39" width="204.85546875" bestFit="1" customWidth="1"/>
    <col min="40" max="40" width="17" bestFit="1" customWidth="1"/>
    <col min="41" max="41" width="22.85546875" bestFit="1" customWidth="1"/>
    <col min="42" max="42" width="26.85546875" bestFit="1" customWidth="1"/>
    <col min="43" max="43" width="13.85546875" bestFit="1" customWidth="1"/>
  </cols>
  <sheetData>
    <row r="1" spans="1:43">
      <c r="A1" s="331" t="s">
        <v>44</v>
      </c>
      <c r="B1" s="331" t="s">
        <v>158</v>
      </c>
      <c r="C1" s="331" t="s">
        <v>556</v>
      </c>
      <c r="D1" s="331" t="s">
        <v>160</v>
      </c>
      <c r="E1" s="331" t="s">
        <v>161</v>
      </c>
      <c r="F1" s="331" t="s">
        <v>163</v>
      </c>
      <c r="G1" s="331" t="s">
        <v>162</v>
      </c>
      <c r="H1" s="331" t="s">
        <v>559</v>
      </c>
      <c r="I1" s="331" t="s">
        <v>798</v>
      </c>
      <c r="J1" s="331" t="s">
        <v>1237</v>
      </c>
      <c r="K1" s="331" t="s">
        <v>1238</v>
      </c>
      <c r="L1" s="331" t="s">
        <v>561</v>
      </c>
      <c r="M1" s="331" t="s">
        <v>562</v>
      </c>
      <c r="N1" s="332" t="s">
        <v>43</v>
      </c>
      <c r="O1" s="332" t="s">
        <v>2</v>
      </c>
      <c r="P1" s="668" t="s">
        <v>172</v>
      </c>
      <c r="Q1" s="332" t="s">
        <v>173</v>
      </c>
      <c r="R1" s="332" t="s">
        <v>174</v>
      </c>
      <c r="S1" s="332" t="s">
        <v>175</v>
      </c>
      <c r="T1" s="332" t="s">
        <v>176</v>
      </c>
      <c r="U1" s="332" t="s">
        <v>177</v>
      </c>
      <c r="V1" s="332" t="s">
        <v>178</v>
      </c>
      <c r="W1" s="332" t="s">
        <v>179</v>
      </c>
      <c r="X1" s="332" t="s">
        <v>180</v>
      </c>
      <c r="Y1" s="332" t="s">
        <v>806</v>
      </c>
      <c r="Z1" s="332" t="s">
        <v>182</v>
      </c>
      <c r="AA1" s="332" t="s">
        <v>183</v>
      </c>
      <c r="AB1" s="332" t="s">
        <v>1240</v>
      </c>
      <c r="AC1" s="333" t="s">
        <v>1241</v>
      </c>
      <c r="AD1" s="333" t="s">
        <v>1242</v>
      </c>
      <c r="AE1" s="333" t="s">
        <v>1243</v>
      </c>
      <c r="AF1" s="333" t="s">
        <v>1244</v>
      </c>
      <c r="AG1" s="333" t="s">
        <v>1245</v>
      </c>
      <c r="AH1" s="333" t="s">
        <v>1246</v>
      </c>
      <c r="AI1" s="333" t="s">
        <v>1247</v>
      </c>
      <c r="AJ1" s="333" t="s">
        <v>1248</v>
      </c>
      <c r="AK1" s="333" t="s">
        <v>1249</v>
      </c>
      <c r="AL1" s="333" t="s">
        <v>1250</v>
      </c>
      <c r="AM1" s="333" t="s">
        <v>1251</v>
      </c>
      <c r="AN1" s="334" t="s">
        <v>574</v>
      </c>
      <c r="AO1" s="334" t="s">
        <v>576</v>
      </c>
      <c r="AP1" s="334" t="s">
        <v>577</v>
      </c>
      <c r="AQ1" s="334" t="s">
        <v>578</v>
      </c>
    </row>
    <row r="2" spans="1:43" s="41" customFormat="1" ht="15" customHeight="1">
      <c r="A2" s="49" t="s">
        <v>49</v>
      </c>
      <c r="B2" s="344" t="s">
        <v>380</v>
      </c>
      <c r="C2" s="49" t="s">
        <v>782</v>
      </c>
      <c r="D2" s="49" t="s">
        <v>88</v>
      </c>
      <c r="E2" s="335" t="s">
        <v>381</v>
      </c>
      <c r="F2" s="49">
        <v>14.871143999999999</v>
      </c>
      <c r="G2" s="49">
        <v>120.972808</v>
      </c>
      <c r="H2" s="49" t="s">
        <v>1310</v>
      </c>
      <c r="I2" s="49">
        <v>2008</v>
      </c>
      <c r="J2" s="49">
        <v>2010</v>
      </c>
      <c r="K2" s="49">
        <v>2018</v>
      </c>
      <c r="L2" s="49">
        <v>2018</v>
      </c>
      <c r="M2" s="336">
        <v>1061965.01</v>
      </c>
      <c r="N2" s="372" t="s">
        <v>57</v>
      </c>
      <c r="O2" s="667" t="s">
        <v>24</v>
      </c>
      <c r="P2" s="9"/>
      <c r="Q2" s="568" t="s">
        <v>128</v>
      </c>
      <c r="R2" s="49"/>
      <c r="S2" s="337"/>
      <c r="T2" s="337"/>
      <c r="U2" s="337"/>
      <c r="V2" s="337"/>
      <c r="W2" s="337"/>
      <c r="X2" s="338" t="str">
        <f t="shared" ref="X2:AA3" si="0">IF(
    OR(ISBLANK(S2), ISBLANK(T2)),
    "",
    MAX(1, IF(
        NETWORKDAYS(S2, T2) &lt;= 0,
        1,
        NETWORKDAYS(S2, T2) - IF(S2 = T2, 0, 1)
    ))
)</f>
        <v/>
      </c>
      <c r="Y2" s="338" t="str">
        <f t="shared" si="0"/>
        <v/>
      </c>
      <c r="Z2" s="338" t="str">
        <f t="shared" si="0"/>
        <v/>
      </c>
      <c r="AA2" s="338" t="str">
        <f t="shared" si="0"/>
        <v/>
      </c>
      <c r="AB2" s="49"/>
      <c r="AC2" s="49"/>
      <c r="AD2" s="49"/>
      <c r="AE2" s="49"/>
      <c r="AF2" s="49"/>
      <c r="AG2" s="49"/>
      <c r="AH2" s="49"/>
      <c r="AI2" s="49"/>
      <c r="AJ2" s="49"/>
      <c r="AK2" s="49"/>
      <c r="AL2" s="49"/>
      <c r="AM2" s="49"/>
      <c r="AN2" s="49"/>
      <c r="AO2" s="49"/>
      <c r="AP2" s="49"/>
      <c r="AQ2" s="49"/>
    </row>
    <row r="3" spans="1:43" s="41" customFormat="1" ht="15" customHeight="1">
      <c r="A3" s="49" t="s">
        <v>53</v>
      </c>
      <c r="B3" s="343" t="s">
        <v>733</v>
      </c>
      <c r="C3" s="339" t="s">
        <v>734</v>
      </c>
      <c r="D3" s="49" t="s">
        <v>89</v>
      </c>
      <c r="E3" s="335" t="s">
        <v>271</v>
      </c>
      <c r="F3" s="49">
        <v>15.44514167</v>
      </c>
      <c r="G3" s="49">
        <v>120.01627499999999</v>
      </c>
      <c r="H3" s="49" t="s">
        <v>1409</v>
      </c>
      <c r="I3" s="49">
        <v>2015</v>
      </c>
      <c r="J3" s="49"/>
      <c r="K3" s="49" t="s">
        <v>1410</v>
      </c>
      <c r="L3" s="49">
        <v>2019</v>
      </c>
      <c r="M3" s="336">
        <v>925569.64</v>
      </c>
      <c r="N3" s="372"/>
      <c r="O3" s="667" t="s">
        <v>42</v>
      </c>
      <c r="P3" s="9"/>
      <c r="Q3" s="568" t="s">
        <v>133</v>
      </c>
      <c r="R3" s="49"/>
      <c r="S3" s="337"/>
      <c r="T3" s="337"/>
      <c r="U3" s="337"/>
      <c r="V3" s="337"/>
      <c r="W3" s="337"/>
      <c r="X3" s="340" t="str">
        <f t="shared" si="0"/>
        <v/>
      </c>
      <c r="Y3" s="340" t="str">
        <f t="shared" si="0"/>
        <v/>
      </c>
      <c r="Z3" s="340" t="str">
        <f t="shared" si="0"/>
        <v/>
      </c>
      <c r="AA3" s="340" t="str">
        <f t="shared" si="0"/>
        <v/>
      </c>
      <c r="AB3" s="339"/>
      <c r="AC3" s="339"/>
      <c r="AD3" s="339"/>
      <c r="AE3" s="339"/>
      <c r="AF3" s="339"/>
      <c r="AG3" s="339"/>
      <c r="AH3" s="339"/>
      <c r="AI3" s="339"/>
      <c r="AJ3" s="339"/>
      <c r="AK3" s="339"/>
      <c r="AL3" s="339"/>
      <c r="AM3" s="339"/>
      <c r="AN3" s="49"/>
      <c r="AO3" s="49"/>
      <c r="AP3" s="49"/>
      <c r="AQ3" s="49"/>
    </row>
    <row r="4" spans="1:43">
      <c r="A4" s="373" t="s">
        <v>53</v>
      </c>
      <c r="B4" s="374" t="s">
        <v>1049</v>
      </c>
      <c r="C4" s="373" t="s">
        <v>1416</v>
      </c>
      <c r="D4" s="49" t="s">
        <v>89</v>
      </c>
      <c r="E4" s="342" t="s">
        <v>243</v>
      </c>
      <c r="F4" s="342"/>
      <c r="G4" s="342"/>
      <c r="H4" s="342"/>
      <c r="I4" s="342"/>
      <c r="J4" s="342"/>
      <c r="K4" s="342"/>
      <c r="L4" s="342"/>
      <c r="M4" s="342"/>
      <c r="N4" s="342"/>
      <c r="O4" s="71" t="s">
        <v>836</v>
      </c>
      <c r="P4" s="9"/>
      <c r="Q4" s="568" t="s">
        <v>133</v>
      </c>
      <c r="R4" s="342"/>
      <c r="S4" s="342"/>
      <c r="T4" s="342"/>
      <c r="U4" s="342"/>
      <c r="V4" s="342"/>
      <c r="W4" s="341"/>
      <c r="X4" s="341"/>
      <c r="Y4" s="341"/>
      <c r="Z4" s="341"/>
      <c r="AA4" s="341"/>
      <c r="AB4" s="341"/>
      <c r="AC4" s="341"/>
      <c r="AD4" s="341"/>
      <c r="AE4" s="341"/>
      <c r="AF4" s="341"/>
      <c r="AG4" s="341"/>
      <c r="AH4" s="341"/>
      <c r="AI4" s="341"/>
      <c r="AJ4" s="341"/>
      <c r="AK4" s="341"/>
      <c r="AL4" s="341"/>
      <c r="AM4" s="341"/>
      <c r="AN4" s="341"/>
      <c r="AO4" s="341"/>
      <c r="AP4" s="341"/>
      <c r="AQ4" s="341"/>
    </row>
  </sheetData>
  <sheetProtection formatColumns="0" formatRows="0" insertColumns="0" insertRows="0" sort="0" autoFilter="0" pivotTables="0"/>
  <protectedRanges>
    <protectedRange algorithmName="SHA-512" hashValue="hE7tT5qJ2F6ffvHbaqcb1O8eKLNxUuNqUtLvKpofCGqjnRZvizlrZ7llGFUmY2ZUdVc3ooUYyJLMWhzFK5hmuQ==" saltValue="Y0KzpWEfoRqr4THftalm4w==" spinCount="100000" sqref="N2:N9" name="TARGET_MONTH"/>
  </protectedRanges>
  <autoFilter ref="A1:AQ4" xr:uid="{5399DB0E-222E-4A6D-A2E9-110F0EDBCB20}"/>
  <dataValidations count="2">
    <dataValidation type="list" allowBlank="1" showInputMessage="1" showErrorMessage="1" sqref="O2:P1048576" xr:uid="{5DE22F4E-FBA5-4FD6-AD9D-803966C02150}">
      <formula1>ENMO</formula1>
    </dataValidation>
    <dataValidation type="list" allowBlank="1" showInputMessage="1" showErrorMessage="1" sqref="Q2:Q1048576" xr:uid="{8978276B-3E22-4EE7-ACFC-8D60A8C7895B}">
      <formula1>ESWM_FOCAL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AB4A1CA-6A3A-44CE-8635-DDEA6AD4299E}">
          <x14:formula1>
            <xm:f>'Data Validation'!$N$2:$N$3</xm:f>
          </x14:formula1>
          <xm:sqref>AD2:AL3</xm:sqref>
        </x14:dataValidation>
        <x14:dataValidation type="list" allowBlank="1" showInputMessage="1" showErrorMessage="1" xr:uid="{32475608-70BA-4149-8EF0-1BDD24A89223}">
          <x14:formula1>
            <xm:f>'Data Validation'!$M$2:$M$5</xm:f>
          </x14:formula1>
          <xm:sqref>AC2:AC3</xm:sqref>
        </x14:dataValidation>
        <x14:dataValidation type="list" allowBlank="1" showInputMessage="1" showErrorMessage="1" xr:uid="{22ED17C7-0901-4069-AB88-3B3279764169}">
          <x14:formula1>
            <xm:f>'Data Validation'!$A$13:$A$24</xm:f>
          </x14:formula1>
          <xm:sqref>N2:N4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B15E-AE38-4478-88D1-5607D232037D}">
  <sheetPr codeName="Sheet19">
    <tabColor theme="9" tint="-0.249977111117893"/>
  </sheetPr>
  <dimension ref="A1:Z3112"/>
  <sheetViews>
    <sheetView zoomScale="80" zoomScaleNormal="80" workbookViewId="0">
      <pane xSplit="4" topLeftCell="E1" activePane="topRight" state="frozen"/>
      <selection pane="topRight" activeCell="V3111" sqref="V3111"/>
    </sheetView>
  </sheetViews>
  <sheetFormatPr defaultColWidth="9.28515625" defaultRowHeight="15"/>
  <cols>
    <col min="1" max="1" width="12.140625" bestFit="1" customWidth="1"/>
    <col min="2" max="2" width="25.28515625" bestFit="1" customWidth="1"/>
    <col min="3" max="3" width="32.5703125" bestFit="1" customWidth="1"/>
    <col min="4" max="4" width="16.28515625" customWidth="1"/>
    <col min="5" max="6" width="26.7109375" customWidth="1"/>
    <col min="7" max="7" width="26.42578125" customWidth="1"/>
    <col min="8" max="8" width="18" customWidth="1"/>
    <col min="9" max="9" width="38.42578125" customWidth="1"/>
    <col min="10" max="10" width="19.42578125" style="98" customWidth="1"/>
    <col min="11" max="11" width="18.5703125" customWidth="1"/>
    <col min="12" max="20" width="20.7109375" customWidth="1"/>
    <col min="21" max="21" width="23.7109375" bestFit="1" customWidth="1"/>
    <col min="22" max="22" width="37" bestFit="1" customWidth="1"/>
    <col min="23" max="23" width="20.85546875" hidden="1" customWidth="1"/>
    <col min="24" max="24" width="25.42578125" bestFit="1" customWidth="1"/>
    <col min="25" max="26" width="9.28515625" customWidth="1"/>
  </cols>
  <sheetData>
    <row r="1" spans="1:24" s="98" customFormat="1" ht="71.25" customHeight="1">
      <c r="A1" s="535" t="s">
        <v>44</v>
      </c>
      <c r="B1" s="536" t="s">
        <v>158</v>
      </c>
      <c r="C1" s="537" t="s">
        <v>556</v>
      </c>
      <c r="D1" s="537" t="s">
        <v>88</v>
      </c>
      <c r="E1" s="537" t="s">
        <v>171</v>
      </c>
      <c r="F1" s="537" t="s">
        <v>172</v>
      </c>
      <c r="G1" s="537" t="s">
        <v>173</v>
      </c>
      <c r="H1" s="536" t="s">
        <v>1421</v>
      </c>
      <c r="I1" s="537" t="s">
        <v>1422</v>
      </c>
      <c r="J1" s="537" t="s">
        <v>4583</v>
      </c>
      <c r="K1" s="537" t="s">
        <v>43</v>
      </c>
      <c r="L1" s="537" t="s">
        <v>176</v>
      </c>
      <c r="M1" s="537" t="s">
        <v>177</v>
      </c>
      <c r="N1" s="537" t="s">
        <v>178</v>
      </c>
      <c r="O1" s="537" t="s">
        <v>179</v>
      </c>
      <c r="P1" s="537" t="s">
        <v>180</v>
      </c>
      <c r="Q1" s="537" t="s">
        <v>181</v>
      </c>
      <c r="R1" s="537" t="s">
        <v>182</v>
      </c>
      <c r="S1" s="537" t="s">
        <v>183</v>
      </c>
      <c r="T1" s="537" t="s">
        <v>1100</v>
      </c>
      <c r="U1" s="537" t="s">
        <v>1427</v>
      </c>
      <c r="V1" s="537" t="s">
        <v>1428</v>
      </c>
      <c r="W1" s="537" t="s">
        <v>4584</v>
      </c>
      <c r="X1" s="537" t="s">
        <v>198</v>
      </c>
    </row>
    <row r="2" spans="1:24">
      <c r="A2" s="385" t="s">
        <v>47</v>
      </c>
      <c r="B2" s="385" t="s">
        <v>1432</v>
      </c>
      <c r="C2" s="385" t="s">
        <v>1433</v>
      </c>
      <c r="D2" s="385" t="s">
        <v>89</v>
      </c>
      <c r="E2" s="385"/>
      <c r="F2" s="385"/>
      <c r="G2" s="385"/>
      <c r="H2" s="385">
        <v>2024</v>
      </c>
      <c r="I2" s="385" t="s">
        <v>4585</v>
      </c>
      <c r="J2" s="30"/>
      <c r="K2" s="385"/>
      <c r="L2" s="385"/>
      <c r="M2" s="385"/>
      <c r="N2" s="385"/>
      <c r="O2" s="385"/>
      <c r="P2" s="385" t="str">
        <f>IFERROR(
    IF(
        OR(ISBLANK(I2), ISBLANK(L2)),
        "",
        MAX(
            1,
            IF(
                NETWORKDAYS(I2, L2, Holiday_Dates) &lt;= 0,
                1,
                NETWORKDAYS(I2, L2, Holiday_Dates) - IF(I2 = L2, 0, 1)
            )
        )
    ),
    ""
)</f>
        <v/>
      </c>
      <c r="Q2" s="385" t="str">
        <f>IF(
    OR(ISBLANK(L2), ISBLANK(M2)),
    "",
    MAX(
        1,
        IF(
            NETWORKDAYS(L2, M2, Holiday_Dates) &lt;= 0,
            1,
            NETWORKDAYS(L2, M2, Holiday_Dates) - IF(L2 = M2, 0, 1)
        )
    )
)</f>
        <v/>
      </c>
      <c r="R2" s="385" t="str">
        <f>IFERROR(
    IF(
        OR(ISBLANK(N2), AND(ISBLANK(L2), ISBLANK(M2))),
        "",
        MAX(
            1,
            IF(
                NETWORKDAYS(IF(NOT(ISBLANK(M2)), M2, L2), N2, Holiday_Dates) &lt;= 0,
                1,
                NETWORKDAYS(IF(NOT(ISBLANK(M2)), M2, L2), N2, Holiday_Dates)
                - IF(IF(NOT(ISBLANK(M2)), M2, L2) = N2, 0, 1)
            )
        )
    ),
    ""
)</f>
        <v/>
      </c>
      <c r="S2" s="385" t="str">
        <f>IFERROR(
    IF(
        OR(ISBLANK(N2), ISBLANK(O2)),
        "",
        MAX(
            1,
            IF(
                NETWORKDAYS(N2, O2, Holiday_Dates) &lt;= 0,
                1,
                NETWORKDAYS(N2, O2, Holiday_Dates) - IF(N2 = O2, 0, 1)
            )
        )
    ),
    ""
)</f>
        <v/>
      </c>
      <c r="T2" s="385"/>
      <c r="U2" s="385" t="s">
        <v>4</v>
      </c>
      <c r="V2" s="385" t="s">
        <v>101</v>
      </c>
      <c r="W2" s="385" t="s">
        <v>1436</v>
      </c>
      <c r="X2" s="1"/>
    </row>
    <row r="3" spans="1:24">
      <c r="A3" s="385" t="s">
        <v>47</v>
      </c>
      <c r="B3" s="385" t="s">
        <v>1432</v>
      </c>
      <c r="C3" s="385" t="s">
        <v>1437</v>
      </c>
      <c r="D3" s="385" t="s">
        <v>89</v>
      </c>
      <c r="E3" s="385"/>
      <c r="F3" s="385"/>
      <c r="G3" s="385"/>
      <c r="H3" s="385">
        <v>2024</v>
      </c>
      <c r="I3" s="385" t="s">
        <v>4586</v>
      </c>
      <c r="J3" s="30"/>
      <c r="K3" s="385"/>
      <c r="L3" s="385"/>
      <c r="M3" s="385"/>
      <c r="N3" s="385"/>
      <c r="O3" s="385"/>
      <c r="P3" s="385" t="str">
        <f>IFERROR(
    IF(
        OR(ISBLANK(I3), ISBLANK(L3)),
        "",
        MAX(
            1,
            IF(
                NETWORKDAYS(I3, L3, Holiday_Dates) &lt;= 0,
                1,
                NETWORKDAYS(I3, L3, Holiday_Dates) - IF(I3 = L3, 0, 1)
            )
        )
    ),
    ""
)</f>
        <v/>
      </c>
      <c r="Q3" s="385" t="str">
        <f>IF(
    OR(ISBLANK(L3), ISBLANK(M3)),
    "",
    MAX(
        1,
        IF(
            NETWORKDAYS(L3, M3, Holiday_Dates) &lt;= 0,
            1,
            NETWORKDAYS(L3, M3, Holiday_Dates) - IF(L3 = M3, 0, 1)
        )
    )
)</f>
        <v/>
      </c>
      <c r="R3" s="385" t="str">
        <f>IFERROR(
    IF(
        OR(ISBLANK(N3), AND(ISBLANK(L3), ISBLANK(M3))),
        "",
        MAX(
            1,
            IF(
                NETWORKDAYS(IF(NOT(ISBLANK(M3)), M3, L3), N3, Holiday_Dates) &lt;= 0,
                1,
                NETWORKDAYS(IF(NOT(ISBLANK(M3)), M3, L3), N3, Holiday_Dates)
                - IF(IF(NOT(ISBLANK(M3)), M3, L3) = N3, 0, 1)
            )
        )
    ),
    ""
)</f>
        <v/>
      </c>
      <c r="S3" s="385" t="str">
        <f>IFERROR(
    IF(
        OR(ISBLANK(N3), ISBLANK(O3)),
        "",
        MAX(
            1,
            IF(
                NETWORKDAYS(N3, O3, Holiday_Dates) &lt;= 0,
                1,
                NETWORKDAYS(N3, O3, Holiday_Dates) - IF(N3 = O3, 0, 1)
            )
        )
    ),
    ""
)</f>
        <v/>
      </c>
      <c r="T3" s="385"/>
      <c r="U3" s="385" t="s">
        <v>672</v>
      </c>
      <c r="V3" s="385" t="s">
        <v>101</v>
      </c>
      <c r="W3" s="385" t="s">
        <v>1436</v>
      </c>
      <c r="X3" s="1"/>
    </row>
    <row r="4" spans="1:24">
      <c r="A4" s="385" t="s">
        <v>47</v>
      </c>
      <c r="B4" s="385" t="s">
        <v>1432</v>
      </c>
      <c r="C4" s="385" t="s">
        <v>1439</v>
      </c>
      <c r="D4" s="385" t="s">
        <v>89</v>
      </c>
      <c r="E4" s="385"/>
      <c r="F4" s="385"/>
      <c r="G4" s="385"/>
      <c r="H4" s="385">
        <v>2024</v>
      </c>
      <c r="I4" s="386">
        <v>45392</v>
      </c>
      <c r="J4" s="30"/>
      <c r="K4" s="385"/>
      <c r="L4" s="385"/>
      <c r="M4" s="385"/>
      <c r="N4" s="385"/>
      <c r="O4" s="385"/>
      <c r="P4" s="385" t="str">
        <f>IFERROR(
    IF(
        OR(ISBLANK(I4), ISBLANK(L4)),
        "",
        MAX(
            1,
            IF(
                NETWORKDAYS(I4, L4, Holiday_Dates) &lt;= 0,
                1,
                NETWORKDAYS(I4, L4, Holiday_Dates) - IF(I4 = L4, 0, 1)
            )
        )
    ),
    ""
)</f>
        <v/>
      </c>
      <c r="Q4" s="385" t="str">
        <f>IF(
    OR(ISBLANK(L4), ISBLANK(M4)),
    "",
    MAX(
        1,
        IF(
            NETWORKDAYS(L4, M4, Holiday_Dates) &lt;= 0,
            1,
            NETWORKDAYS(L4, M4, Holiday_Dates) - IF(L4 = M4, 0, 1)
        )
    )
)</f>
        <v/>
      </c>
      <c r="R4" s="385" t="str">
        <f>IFERROR(
    IF(
        OR(ISBLANK(N4), AND(ISBLANK(L4), ISBLANK(M4))),
        "",
        MAX(
            1,
            IF(
                NETWORKDAYS(IF(NOT(ISBLANK(M4)), M4, L4), N4, Holiday_Dates) &lt;= 0,
                1,
                NETWORKDAYS(IF(NOT(ISBLANK(M4)), M4, L4), N4, Holiday_Dates)
                - IF(IF(NOT(ISBLANK(M4)), M4, L4) = N4, 0, 1)
            )
        )
    ),
    ""
)</f>
        <v/>
      </c>
      <c r="S4" s="385" t="str">
        <f>IFERROR(
    IF(
        OR(ISBLANK(N4), ISBLANK(O4)),
        "",
        MAX(
            1,
            IF(
                NETWORKDAYS(N4, O4, Holiday_Dates) &lt;= 0,
                1,
                NETWORKDAYS(N4, O4, Holiday_Dates) - IF(N4 = O4, 0, 1)
            )
        )
    ),
    ""
)</f>
        <v/>
      </c>
      <c r="T4" s="385"/>
      <c r="U4" s="385" t="s">
        <v>672</v>
      </c>
      <c r="V4" s="385"/>
      <c r="W4" s="385" t="s">
        <v>1436</v>
      </c>
      <c r="X4" s="1"/>
    </row>
    <row r="5" spans="1:24">
      <c r="A5" s="385" t="s">
        <v>47</v>
      </c>
      <c r="B5" s="385" t="s">
        <v>1432</v>
      </c>
      <c r="C5" s="385" t="s">
        <v>1441</v>
      </c>
      <c r="D5" s="385" t="s">
        <v>89</v>
      </c>
      <c r="E5" s="385"/>
      <c r="F5" s="385"/>
      <c r="G5" s="385"/>
      <c r="H5" s="385">
        <v>2024</v>
      </c>
      <c r="I5" s="386">
        <v>45405</v>
      </c>
      <c r="J5" s="30"/>
      <c r="K5" s="385"/>
      <c r="L5" s="385"/>
      <c r="M5" s="385"/>
      <c r="N5" s="385"/>
      <c r="O5" s="385"/>
      <c r="P5" s="385" t="str">
        <f>IFERROR(
    IF(
        OR(ISBLANK(I5), ISBLANK(L5)),
        "",
        MAX(
            1,
            IF(
                NETWORKDAYS(I5, L5, Holiday_Dates) &lt;= 0,
                1,
                NETWORKDAYS(I5, L5, Holiday_Dates) - IF(I5 = L5, 0, 1)
            )
        )
    ),
    ""
)</f>
        <v/>
      </c>
      <c r="Q5" s="385" t="str">
        <f>IF(
    OR(ISBLANK(L5), ISBLANK(M5)),
    "",
    MAX(
        1,
        IF(
            NETWORKDAYS(L5, M5, Holiday_Dates) &lt;= 0,
            1,
            NETWORKDAYS(L5, M5, Holiday_Dates) - IF(L5 = M5, 0, 1)
        )
    )
)</f>
        <v/>
      </c>
      <c r="R5" s="385" t="str">
        <f>IFERROR(
    IF(
        OR(ISBLANK(N5), AND(ISBLANK(L5), ISBLANK(M5))),
        "",
        MAX(
            1,
            IF(
                NETWORKDAYS(IF(NOT(ISBLANK(M5)), M5, L5), N5, Holiday_Dates) &lt;= 0,
                1,
                NETWORKDAYS(IF(NOT(ISBLANK(M5)), M5, L5), N5, Holiday_Dates)
                - IF(IF(NOT(ISBLANK(M5)), M5, L5) = N5, 0, 1)
            )
        )
    ),
    ""
)</f>
        <v/>
      </c>
      <c r="S5" s="385" t="str">
        <f>IFERROR(
    IF(
        OR(ISBLANK(N5), ISBLANK(O5)),
        "",
        MAX(
            1,
            IF(
                NETWORKDAYS(N5, O5, Holiday_Dates) &lt;= 0,
                1,
                NETWORKDAYS(N5, O5, Holiday_Dates) - IF(N5 = O5, 0, 1)
            )
        )
    ),
    ""
)</f>
        <v/>
      </c>
      <c r="T5" s="385"/>
      <c r="U5" s="385" t="s">
        <v>672</v>
      </c>
      <c r="V5" s="385"/>
      <c r="W5" s="385" t="s">
        <v>1436</v>
      </c>
      <c r="X5" s="1"/>
    </row>
    <row r="6" spans="1:24">
      <c r="A6" s="385" t="s">
        <v>47</v>
      </c>
      <c r="B6" s="385" t="s">
        <v>1432</v>
      </c>
      <c r="C6" s="385" t="s">
        <v>1443</v>
      </c>
      <c r="D6" s="385" t="s">
        <v>89</v>
      </c>
      <c r="E6" s="385"/>
      <c r="F6" s="385"/>
      <c r="G6" s="385"/>
      <c r="H6" s="385">
        <v>2024</v>
      </c>
      <c r="I6" s="385" t="s">
        <v>4587</v>
      </c>
      <c r="J6" s="30"/>
      <c r="K6" s="385"/>
      <c r="L6" s="385"/>
      <c r="M6" s="385"/>
      <c r="N6" s="385"/>
      <c r="O6" s="385"/>
      <c r="P6" s="385" t="str">
        <f>IFERROR(
    IF(
        OR(ISBLANK(I6), ISBLANK(L6)),
        "",
        MAX(
            1,
            IF(
                NETWORKDAYS(I6, L6, Holiday_Dates) &lt;= 0,
                1,
                NETWORKDAYS(I6, L6, Holiday_Dates) - IF(I6 = L6, 0, 1)
            )
        )
    ),
    ""
)</f>
        <v/>
      </c>
      <c r="Q6" s="385" t="str">
        <f>IF(
    OR(ISBLANK(L6), ISBLANK(M6)),
    "",
    MAX(
        1,
        IF(
            NETWORKDAYS(L6, M6, Holiday_Dates) &lt;= 0,
            1,
            NETWORKDAYS(L6, M6, Holiday_Dates) - IF(L6 = M6, 0, 1)
        )
    )
)</f>
        <v/>
      </c>
      <c r="R6" s="385" t="str">
        <f>IFERROR(
    IF(
        OR(ISBLANK(N6), AND(ISBLANK(L6), ISBLANK(M6))),
        "",
        MAX(
            1,
            IF(
                NETWORKDAYS(IF(NOT(ISBLANK(M6)), M6, L6), N6, Holiday_Dates) &lt;= 0,
                1,
                NETWORKDAYS(IF(NOT(ISBLANK(M6)), M6, L6), N6, Holiday_Dates)
                - IF(IF(NOT(ISBLANK(M6)), M6, L6) = N6, 0, 1)
            )
        )
    ),
    ""
)</f>
        <v/>
      </c>
      <c r="S6" s="385" t="str">
        <f>IFERROR(
    IF(
        OR(ISBLANK(N6), ISBLANK(O6)),
        "",
        MAX(
            1,
            IF(
                NETWORKDAYS(N6, O6, Holiday_Dates) &lt;= 0,
                1,
                NETWORKDAYS(N6, O6, Holiday_Dates) - IF(N6 = O6, 0, 1)
            )
        )
    ),
    ""
)</f>
        <v/>
      </c>
      <c r="T6" s="385"/>
      <c r="U6" s="385" t="s">
        <v>4</v>
      </c>
      <c r="V6" s="385" t="s">
        <v>101</v>
      </c>
      <c r="W6" s="385" t="s">
        <v>1436</v>
      </c>
      <c r="X6" s="1"/>
    </row>
    <row r="7" spans="1:24">
      <c r="A7" s="385" t="s">
        <v>47</v>
      </c>
      <c r="B7" s="385" t="s">
        <v>1432</v>
      </c>
      <c r="C7" s="385" t="s">
        <v>702</v>
      </c>
      <c r="D7" s="385" t="s">
        <v>89</v>
      </c>
      <c r="E7" s="385"/>
      <c r="F7" s="385"/>
      <c r="G7" s="385"/>
      <c r="H7" s="385">
        <v>2024</v>
      </c>
      <c r="I7" s="385" t="s">
        <v>4588</v>
      </c>
      <c r="J7" s="30"/>
      <c r="K7" s="385"/>
      <c r="L7" s="385"/>
      <c r="M7" s="385"/>
      <c r="N7" s="385"/>
      <c r="O7" s="385"/>
      <c r="P7" s="385" t="str">
        <f>IFERROR(
    IF(
        OR(ISBLANK(I7), ISBLANK(L7)),
        "",
        MAX(
            1,
            IF(
                NETWORKDAYS(I7, L7, Holiday_Dates) &lt;= 0,
                1,
                NETWORKDAYS(I7, L7, Holiday_Dates) - IF(I7 = L7, 0, 1)
            )
        )
    ),
    ""
)</f>
        <v/>
      </c>
      <c r="Q7" s="385" t="str">
        <f>IF(
    OR(ISBLANK(L7), ISBLANK(M7)),
    "",
    MAX(
        1,
        IF(
            NETWORKDAYS(L7, M7, Holiday_Dates) &lt;= 0,
            1,
            NETWORKDAYS(L7, M7, Holiday_Dates) - IF(L7 = M7, 0, 1)
        )
    )
)</f>
        <v/>
      </c>
      <c r="R7" s="385" t="str">
        <f>IFERROR(
    IF(
        OR(ISBLANK(N7), AND(ISBLANK(L7), ISBLANK(M7))),
        "",
        MAX(
            1,
            IF(
                NETWORKDAYS(IF(NOT(ISBLANK(M7)), M7, L7), N7, Holiday_Dates) &lt;= 0,
                1,
                NETWORKDAYS(IF(NOT(ISBLANK(M7)), M7, L7), N7, Holiday_Dates)
                - IF(IF(NOT(ISBLANK(M7)), M7, L7) = N7, 0, 1)
            )
        )
    ),
    ""
)</f>
        <v/>
      </c>
      <c r="S7" s="385" t="str">
        <f>IFERROR(
    IF(
        OR(ISBLANK(N7), ISBLANK(O7)),
        "",
        MAX(
            1,
            IF(
                NETWORKDAYS(N7, O7, Holiday_Dates) &lt;= 0,
                1,
                NETWORKDAYS(N7, O7, Holiday_Dates) - IF(N7 = O7, 0, 1)
            )
        )
    ),
    ""
)</f>
        <v/>
      </c>
      <c r="T7" s="385"/>
      <c r="U7" s="385" t="s">
        <v>4</v>
      </c>
      <c r="V7" s="385" t="s">
        <v>101</v>
      </c>
      <c r="W7" s="385" t="s">
        <v>1436</v>
      </c>
      <c r="X7" s="1"/>
    </row>
    <row r="8" spans="1:24">
      <c r="A8" s="385" t="s">
        <v>47</v>
      </c>
      <c r="B8" s="385" t="s">
        <v>1432</v>
      </c>
      <c r="C8" s="385" t="s">
        <v>1083</v>
      </c>
      <c r="D8" s="385" t="s">
        <v>89</v>
      </c>
      <c r="E8" s="385"/>
      <c r="F8" s="385"/>
      <c r="G8" s="385"/>
      <c r="H8" s="385">
        <v>2024</v>
      </c>
      <c r="I8" s="385" t="s">
        <v>4586</v>
      </c>
      <c r="J8" s="30"/>
      <c r="K8" s="385"/>
      <c r="L8" s="385"/>
      <c r="M8" s="385"/>
      <c r="N8" s="385"/>
      <c r="O8" s="385"/>
      <c r="P8" s="385" t="str">
        <f>IFERROR(
    IF(
        OR(ISBLANK(I8), ISBLANK(L8)),
        "",
        MAX(
            1,
            IF(
                NETWORKDAYS(I8, L8, Holiday_Dates) &lt;= 0,
                1,
                NETWORKDAYS(I8, L8, Holiday_Dates) - IF(I8 = L8, 0, 1)
            )
        )
    ),
    ""
)</f>
        <v/>
      </c>
      <c r="Q8" s="385" t="str">
        <f>IF(
    OR(ISBLANK(L8), ISBLANK(M8)),
    "",
    MAX(
        1,
        IF(
            NETWORKDAYS(L8, M8, Holiday_Dates) &lt;= 0,
            1,
            NETWORKDAYS(L8, M8, Holiday_Dates) - IF(L8 = M8, 0, 1)
        )
    )
)</f>
        <v/>
      </c>
      <c r="R8" s="385" t="str">
        <f>IFERROR(
    IF(
        OR(ISBLANK(N8), AND(ISBLANK(L8), ISBLANK(M8))),
        "",
        MAX(
            1,
            IF(
                NETWORKDAYS(IF(NOT(ISBLANK(M8)), M8, L8), N8, Holiday_Dates) &lt;= 0,
                1,
                NETWORKDAYS(IF(NOT(ISBLANK(M8)), M8, L8), N8, Holiday_Dates)
                - IF(IF(NOT(ISBLANK(M8)), M8, L8) = N8, 0, 1)
            )
        )
    ),
    ""
)</f>
        <v/>
      </c>
      <c r="S8" s="385" t="str">
        <f>IFERROR(
    IF(
        OR(ISBLANK(N8), ISBLANK(O8)),
        "",
        MAX(
            1,
            IF(
                NETWORKDAYS(N8, O8, Holiday_Dates) &lt;= 0,
                1,
                NETWORKDAYS(N8, O8, Holiday_Dates) - IF(N8 = O8, 0, 1)
            )
        )
    ),
    ""
)</f>
        <v/>
      </c>
      <c r="T8" s="385"/>
      <c r="U8" s="385" t="s">
        <v>672</v>
      </c>
      <c r="V8" s="385"/>
      <c r="W8" s="385" t="s">
        <v>1436</v>
      </c>
      <c r="X8" s="1"/>
    </row>
    <row r="9" spans="1:24">
      <c r="A9" s="385" t="s">
        <v>47</v>
      </c>
      <c r="B9" s="385" t="s">
        <v>1432</v>
      </c>
      <c r="C9" s="385" t="s">
        <v>1447</v>
      </c>
      <c r="D9" s="385" t="s">
        <v>89</v>
      </c>
      <c r="E9" s="385"/>
      <c r="F9" s="385"/>
      <c r="G9" s="385"/>
      <c r="H9" s="385">
        <v>2024</v>
      </c>
      <c r="I9" s="385" t="s">
        <v>4588</v>
      </c>
      <c r="J9" s="30"/>
      <c r="K9" s="385"/>
      <c r="L9" s="385"/>
      <c r="M9" s="385"/>
      <c r="N9" s="385"/>
      <c r="O9" s="385"/>
      <c r="P9" s="385" t="str">
        <f>IFERROR(
    IF(
        OR(ISBLANK(I9), ISBLANK(L9)),
        "",
        MAX(
            1,
            IF(
                NETWORKDAYS(I9, L9, Holiday_Dates) &lt;= 0,
                1,
                NETWORKDAYS(I9, L9, Holiday_Dates) - IF(I9 = L9, 0, 1)
            )
        )
    ),
    ""
)</f>
        <v/>
      </c>
      <c r="Q9" s="385" t="str">
        <f>IF(
    OR(ISBLANK(L9), ISBLANK(M9)),
    "",
    MAX(
        1,
        IF(
            NETWORKDAYS(L9, M9, Holiday_Dates) &lt;= 0,
            1,
            NETWORKDAYS(L9, M9, Holiday_Dates) - IF(L9 = M9, 0, 1)
        )
    )
)</f>
        <v/>
      </c>
      <c r="R9" s="385" t="str">
        <f>IFERROR(
    IF(
        OR(ISBLANK(N9), AND(ISBLANK(L9), ISBLANK(M9))),
        "",
        MAX(
            1,
            IF(
                NETWORKDAYS(IF(NOT(ISBLANK(M9)), M9, L9), N9, Holiday_Dates) &lt;= 0,
                1,
                NETWORKDAYS(IF(NOT(ISBLANK(M9)), M9, L9), N9, Holiday_Dates)
                - IF(IF(NOT(ISBLANK(M9)), M9, L9) = N9, 0, 1)
            )
        )
    ),
    ""
)</f>
        <v/>
      </c>
      <c r="S9" s="385" t="str">
        <f>IFERROR(
    IF(
        OR(ISBLANK(N9), ISBLANK(O9)),
        "",
        MAX(
            1,
            IF(
                NETWORKDAYS(N9, O9, Holiday_Dates) &lt;= 0,
                1,
                NETWORKDAYS(N9, O9, Holiday_Dates) - IF(N9 = O9, 0, 1)
            )
        )
    ),
    ""
)</f>
        <v/>
      </c>
      <c r="T9" s="385"/>
      <c r="U9" s="385" t="s">
        <v>4</v>
      </c>
      <c r="V9" s="385" t="s">
        <v>101</v>
      </c>
      <c r="W9" s="385" t="s">
        <v>1436</v>
      </c>
      <c r="X9" s="1"/>
    </row>
    <row r="10" spans="1:24" ht="28.5">
      <c r="A10" s="385" t="s">
        <v>47</v>
      </c>
      <c r="B10" s="385" t="s">
        <v>1432</v>
      </c>
      <c r="C10" s="385" t="s">
        <v>579</v>
      </c>
      <c r="D10" s="385" t="s">
        <v>89</v>
      </c>
      <c r="E10" s="385"/>
      <c r="F10" s="385"/>
      <c r="G10" s="385"/>
      <c r="H10" s="385">
        <v>2024</v>
      </c>
      <c r="I10" s="385" t="s">
        <v>1844</v>
      </c>
      <c r="J10" s="30" t="s">
        <v>4589</v>
      </c>
      <c r="K10" s="385"/>
      <c r="L10" s="385"/>
      <c r="M10" s="385"/>
      <c r="N10" s="385"/>
      <c r="O10" s="385"/>
      <c r="P10" s="385" t="str">
        <f>IFERROR(
    IF(
        OR(ISBLANK(I10), ISBLANK(L10)),
        "",
        MAX(
            1,
            IF(
                NETWORKDAYS(I10, L10, Holiday_Dates) &lt;= 0,
                1,
                NETWORKDAYS(I10, L10, Holiday_Dates) - IF(I10 = L10, 0, 1)
            )
        )
    ),
    ""
)</f>
        <v/>
      </c>
      <c r="Q10" s="385" t="str">
        <f>IF(
    OR(ISBLANK(L10), ISBLANK(M10)),
    "",
    MAX(
        1,
        IF(
            NETWORKDAYS(L10, M10, Holiday_Dates) &lt;= 0,
            1,
            NETWORKDAYS(L10, M10, Holiday_Dates) - IF(L10 = M10, 0, 1)
        )
    )
)</f>
        <v/>
      </c>
      <c r="R10" s="385" t="str">
        <f>IFERROR(
    IF(
        OR(ISBLANK(N10), AND(ISBLANK(L10), ISBLANK(M10))),
        "",
        MAX(
            1,
            IF(
                NETWORKDAYS(IF(NOT(ISBLANK(M10)), M10, L10), N10, Holiday_Dates) &lt;= 0,
                1,
                NETWORKDAYS(IF(NOT(ISBLANK(M10)), M10, L10), N10, Holiday_Dates)
                - IF(IF(NOT(ISBLANK(M10)), M10, L10) = N10, 0, 1)
            )
        )
    ),
    ""
)</f>
        <v/>
      </c>
      <c r="S10" s="385" t="str">
        <f>IFERROR(
    IF(
        OR(ISBLANK(N10), ISBLANK(O10)),
        "",
        MAX(
            1,
            IF(
                NETWORKDAYS(N10, O10, Holiday_Dates) &lt;= 0,
                1,
                NETWORKDAYS(N10, O10, Holiday_Dates) - IF(N10 = O10, 0, 1)
            )
        )
    ),
    ""
)</f>
        <v/>
      </c>
      <c r="T10" s="385"/>
      <c r="U10" s="385" t="s">
        <v>4</v>
      </c>
      <c r="V10" s="385" t="s">
        <v>101</v>
      </c>
      <c r="W10" s="385" t="s">
        <v>1436</v>
      </c>
      <c r="X10" s="1"/>
    </row>
    <row r="11" spans="1:24">
      <c r="A11" s="385" t="s">
        <v>47</v>
      </c>
      <c r="B11" s="385" t="s">
        <v>1432</v>
      </c>
      <c r="C11" s="385" t="s">
        <v>1450</v>
      </c>
      <c r="D11" s="385" t="s">
        <v>89</v>
      </c>
      <c r="E11" s="385"/>
      <c r="F11" s="385"/>
      <c r="G11" s="385"/>
      <c r="H11" s="385">
        <v>2024</v>
      </c>
      <c r="I11" s="385" t="s">
        <v>4590</v>
      </c>
      <c r="J11" s="30"/>
      <c r="K11" s="385"/>
      <c r="L11" s="385"/>
      <c r="M11" s="385"/>
      <c r="N11" s="385"/>
      <c r="O11" s="385"/>
      <c r="P11" s="385" t="str">
        <f>IFERROR(
    IF(
        OR(ISBLANK(I11), ISBLANK(L11)),
        "",
        MAX(
            1,
            IF(
                NETWORKDAYS(I11, L11, Holiday_Dates) &lt;= 0,
                1,
                NETWORKDAYS(I11, L11, Holiday_Dates) - IF(I11 = L11, 0, 1)
            )
        )
    ),
    ""
)</f>
        <v/>
      </c>
      <c r="Q11" s="385" t="str">
        <f>IF(
    OR(ISBLANK(L11), ISBLANK(M11)),
    "",
    MAX(
        1,
        IF(
            NETWORKDAYS(L11, M11, Holiday_Dates) &lt;= 0,
            1,
            NETWORKDAYS(L11, M11, Holiday_Dates) - IF(L11 = M11, 0, 1)
        )
    )
)</f>
        <v/>
      </c>
      <c r="R11" s="385" t="str">
        <f>IFERROR(
    IF(
        OR(ISBLANK(N11), AND(ISBLANK(L11), ISBLANK(M11))),
        "",
        MAX(
            1,
            IF(
                NETWORKDAYS(IF(NOT(ISBLANK(M11)), M11, L11), N11, Holiday_Dates) &lt;= 0,
                1,
                NETWORKDAYS(IF(NOT(ISBLANK(M11)), M11, L11), N11, Holiday_Dates)
                - IF(IF(NOT(ISBLANK(M11)), M11, L11) = N11, 0, 1)
            )
        )
    ),
    ""
)</f>
        <v/>
      </c>
      <c r="S11" s="385" t="str">
        <f>IFERROR(
    IF(
        OR(ISBLANK(N11), ISBLANK(O11)),
        "",
        MAX(
            1,
            IF(
                NETWORKDAYS(N11, O11, Holiday_Dates) &lt;= 0,
                1,
                NETWORKDAYS(N11, O11, Holiday_Dates) - IF(N11 = O11, 0, 1)
            )
        )
    ),
    ""
)</f>
        <v/>
      </c>
      <c r="T11" s="385"/>
      <c r="U11" s="385" t="s">
        <v>672</v>
      </c>
      <c r="V11" s="385"/>
      <c r="W11" s="385" t="s">
        <v>1436</v>
      </c>
      <c r="X11" s="1"/>
    </row>
    <row r="12" spans="1:24">
      <c r="A12" s="385" t="s">
        <v>47</v>
      </c>
      <c r="B12" s="385" t="s">
        <v>1432</v>
      </c>
      <c r="C12" s="385" t="s">
        <v>794</v>
      </c>
      <c r="D12" s="385" t="s">
        <v>89</v>
      </c>
      <c r="E12" s="385"/>
      <c r="F12" s="385"/>
      <c r="G12" s="385"/>
      <c r="H12" s="385">
        <v>2024</v>
      </c>
      <c r="I12" s="386">
        <v>45420</v>
      </c>
      <c r="J12" s="30"/>
      <c r="K12" s="385"/>
      <c r="L12" s="385"/>
      <c r="M12" s="385"/>
      <c r="N12" s="385"/>
      <c r="O12" s="385"/>
      <c r="P12" s="385" t="str">
        <f>IFERROR(
    IF(
        OR(ISBLANK(I12), ISBLANK(L12)),
        "",
        MAX(
            1,
            IF(
                NETWORKDAYS(I12, L12, Holiday_Dates) &lt;= 0,
                1,
                NETWORKDAYS(I12, L12, Holiday_Dates) - IF(I12 = L12, 0, 1)
            )
        )
    ),
    ""
)</f>
        <v/>
      </c>
      <c r="Q12" s="385" t="str">
        <f>IF(
    OR(ISBLANK(L12), ISBLANK(M12)),
    "",
    MAX(
        1,
        IF(
            NETWORKDAYS(L12, M12, Holiday_Dates) &lt;= 0,
            1,
            NETWORKDAYS(L12, M12, Holiday_Dates) - IF(L12 = M12, 0, 1)
        )
    )
)</f>
        <v/>
      </c>
      <c r="R12" s="385" t="str">
        <f>IFERROR(
    IF(
        OR(ISBLANK(N12), AND(ISBLANK(L12), ISBLANK(M12))),
        "",
        MAX(
            1,
            IF(
                NETWORKDAYS(IF(NOT(ISBLANK(M12)), M12, L12), N12, Holiday_Dates) &lt;= 0,
                1,
                NETWORKDAYS(IF(NOT(ISBLANK(M12)), M12, L12), N12, Holiday_Dates)
                - IF(IF(NOT(ISBLANK(M12)), M12, L12) = N12, 0, 1)
            )
        )
    ),
    ""
)</f>
        <v/>
      </c>
      <c r="S12" s="385" t="str">
        <f>IFERROR(
    IF(
        OR(ISBLANK(N12), ISBLANK(O12)),
        "",
        MAX(
            1,
            IF(
                NETWORKDAYS(N12, O12, Holiday_Dates) &lt;= 0,
                1,
                NETWORKDAYS(N12, O12, Holiday_Dates) - IF(N12 = O12, 0, 1)
            )
        )
    ),
    ""
)</f>
        <v/>
      </c>
      <c r="T12" s="385"/>
      <c r="U12" s="385" t="s">
        <v>672</v>
      </c>
      <c r="V12" s="385"/>
      <c r="W12" s="385" t="s">
        <v>1436</v>
      </c>
      <c r="X12" s="1"/>
    </row>
    <row r="13" spans="1:24">
      <c r="A13" s="385" t="s">
        <v>47</v>
      </c>
      <c r="B13" s="385" t="s">
        <v>1432</v>
      </c>
      <c r="C13" s="385" t="s">
        <v>1453</v>
      </c>
      <c r="D13" s="385" t="s">
        <v>89</v>
      </c>
      <c r="E13" s="385"/>
      <c r="F13" s="385"/>
      <c r="G13" s="385"/>
      <c r="H13" s="385">
        <v>2025</v>
      </c>
      <c r="I13" s="386">
        <v>45673</v>
      </c>
      <c r="J13" s="30" t="s">
        <v>4591</v>
      </c>
      <c r="K13" s="385"/>
      <c r="L13" s="385"/>
      <c r="M13" s="385"/>
      <c r="N13" s="385"/>
      <c r="O13" s="385"/>
      <c r="P13" s="385" t="str">
        <f>IFERROR(
    IF(
        OR(ISBLANK(I13), ISBLANK(L13)),
        "",
        MAX(
            1,
            IF(
                NETWORKDAYS(I13, L13, Holiday_Dates) &lt;= 0,
                1,
                NETWORKDAYS(I13, L13, Holiday_Dates) - IF(I13 = L13, 0, 1)
            )
        )
    ),
    ""
)</f>
        <v/>
      </c>
      <c r="Q13" s="385" t="str">
        <f>IF(
    OR(ISBLANK(L13), ISBLANK(M13)),
    "",
    MAX(
        1,
        IF(
            NETWORKDAYS(L13, M13, Holiday_Dates) &lt;= 0,
            1,
            NETWORKDAYS(L13, M13, Holiday_Dates) - IF(L13 = M13, 0, 1)
        )
    )
)</f>
        <v/>
      </c>
      <c r="R13" s="385" t="str">
        <f>IFERROR(
    IF(
        OR(ISBLANK(N13), AND(ISBLANK(L13), ISBLANK(M13))),
        "",
        MAX(
            1,
            IF(
                NETWORKDAYS(IF(NOT(ISBLANK(M13)), M13, L13), N13, Holiday_Dates) &lt;= 0,
                1,
                NETWORKDAYS(IF(NOT(ISBLANK(M13)), M13, L13), N13, Holiday_Dates)
                - IF(IF(NOT(ISBLANK(M13)), M13, L13) = N13, 0, 1)
            )
        )
    ),
    ""
)</f>
        <v/>
      </c>
      <c r="S13" s="385" t="str">
        <f>IFERROR(
    IF(
        OR(ISBLANK(N13), ISBLANK(O13)),
        "",
        MAX(
            1,
            IF(
                NETWORKDAYS(N13, O13, Holiday_Dates) &lt;= 0,
                1,
                NETWORKDAYS(N13, O13, Holiday_Dates) - IF(N13 = O13, 0, 1)
            )
        )
    ),
    ""
)</f>
        <v/>
      </c>
      <c r="T13" s="385"/>
      <c r="U13" s="385" t="s">
        <v>4</v>
      </c>
      <c r="V13" s="385" t="s">
        <v>101</v>
      </c>
      <c r="W13" s="385" t="s">
        <v>1436</v>
      </c>
      <c r="X13" s="1"/>
    </row>
    <row r="14" spans="1:24">
      <c r="A14" s="385" t="s">
        <v>47</v>
      </c>
      <c r="B14" s="385" t="s">
        <v>1432</v>
      </c>
      <c r="C14" s="385" t="s">
        <v>735</v>
      </c>
      <c r="D14" s="385" t="s">
        <v>89</v>
      </c>
      <c r="E14" s="385"/>
      <c r="F14" s="385"/>
      <c r="G14" s="385"/>
      <c r="H14" s="385">
        <v>2024</v>
      </c>
      <c r="I14" s="385" t="s">
        <v>4587</v>
      </c>
      <c r="J14" s="30"/>
      <c r="K14" s="385"/>
      <c r="L14" s="385"/>
      <c r="M14" s="385"/>
      <c r="N14" s="385"/>
      <c r="O14" s="385"/>
      <c r="P14" s="385" t="str">
        <f>IFERROR(
    IF(
        OR(ISBLANK(I14), ISBLANK(L14)),
        "",
        MAX(
            1,
            IF(
                NETWORKDAYS(I14, L14, Holiday_Dates) &lt;= 0,
                1,
                NETWORKDAYS(I14, L14, Holiday_Dates) - IF(I14 = L14, 0, 1)
            )
        )
    ),
    ""
)</f>
        <v/>
      </c>
      <c r="Q14" s="385" t="str">
        <f>IF(
    OR(ISBLANK(L14), ISBLANK(M14)),
    "",
    MAX(
        1,
        IF(
            NETWORKDAYS(L14, M14, Holiday_Dates) &lt;= 0,
            1,
            NETWORKDAYS(L14, M14, Holiday_Dates) - IF(L14 = M14, 0, 1)
        )
    )
)</f>
        <v/>
      </c>
      <c r="R14" s="385" t="str">
        <f>IFERROR(
    IF(
        OR(ISBLANK(N14), AND(ISBLANK(L14), ISBLANK(M14))),
        "",
        MAX(
            1,
            IF(
                NETWORKDAYS(IF(NOT(ISBLANK(M14)), M14, L14), N14, Holiday_Dates) &lt;= 0,
                1,
                NETWORKDAYS(IF(NOT(ISBLANK(M14)), M14, L14), N14, Holiday_Dates)
                - IF(IF(NOT(ISBLANK(M14)), M14, L14) = N14, 0, 1)
            )
        )
    ),
    ""
)</f>
        <v/>
      </c>
      <c r="S14" s="385" t="str">
        <f>IFERROR(
    IF(
        OR(ISBLANK(N14), ISBLANK(O14)),
        "",
        MAX(
            1,
            IF(
                NETWORKDAYS(N14, O14, Holiday_Dates) &lt;= 0,
                1,
                NETWORKDAYS(N14, O14, Holiday_Dates) - IF(N14 = O14, 0, 1)
            )
        )
    ),
    ""
)</f>
        <v/>
      </c>
      <c r="T14" s="385"/>
      <c r="U14" s="385" t="s">
        <v>4</v>
      </c>
      <c r="V14" s="385" t="s">
        <v>101</v>
      </c>
      <c r="W14" s="385" t="s">
        <v>1436</v>
      </c>
      <c r="X14" s="1"/>
    </row>
    <row r="15" spans="1:24">
      <c r="A15" s="385" t="s">
        <v>47</v>
      </c>
      <c r="B15" s="385" t="s">
        <v>334</v>
      </c>
      <c r="C15" s="385" t="s">
        <v>1456</v>
      </c>
      <c r="D15" s="385" t="s">
        <v>89</v>
      </c>
      <c r="E15" s="385"/>
      <c r="F15" s="385"/>
      <c r="G15" s="385"/>
      <c r="H15" s="385">
        <v>2024</v>
      </c>
      <c r="I15" s="385" t="s">
        <v>4592</v>
      </c>
      <c r="J15" s="30"/>
      <c r="K15" s="385"/>
      <c r="L15" s="385"/>
      <c r="M15" s="385"/>
      <c r="N15" s="385"/>
      <c r="O15" s="385"/>
      <c r="P15" s="385" t="str">
        <f>IFERROR(
    IF(
        OR(ISBLANK(I15), ISBLANK(L15)),
        "",
        MAX(
            1,
            IF(
                NETWORKDAYS(I15, L15, Holiday_Dates) &lt;= 0,
                1,
                NETWORKDAYS(I15, L15, Holiday_Dates) - IF(I15 = L15, 0, 1)
            )
        )
    ),
    ""
)</f>
        <v/>
      </c>
      <c r="Q15" s="385" t="str">
        <f>IF(
    OR(ISBLANK(L15), ISBLANK(M15)),
    "",
    MAX(
        1,
        IF(
            NETWORKDAYS(L15, M15, Holiday_Dates) &lt;= 0,
            1,
            NETWORKDAYS(L15, M15, Holiday_Dates) - IF(L15 = M15, 0, 1)
        )
    )
)</f>
        <v/>
      </c>
      <c r="R15" s="385" t="str">
        <f>IFERROR(
    IF(
        OR(ISBLANK(N15), AND(ISBLANK(L15), ISBLANK(M15))),
        "",
        MAX(
            1,
            IF(
                NETWORKDAYS(IF(NOT(ISBLANK(M15)), M15, L15), N15, Holiday_Dates) &lt;= 0,
                1,
                NETWORKDAYS(IF(NOT(ISBLANK(M15)), M15, L15), N15, Holiday_Dates)
                - IF(IF(NOT(ISBLANK(M15)), M15, L15) = N15, 0, 1)
            )
        )
    ),
    ""
)</f>
        <v/>
      </c>
      <c r="S15" s="385" t="str">
        <f>IFERROR(
    IF(
        OR(ISBLANK(N15), ISBLANK(O15)),
        "",
        MAX(
            1,
            IF(
                NETWORKDAYS(N15, O15, Holiday_Dates) &lt;= 0,
                1,
                NETWORKDAYS(N15, O15, Holiday_Dates) - IF(N15 = O15, 0, 1)
            )
        )
    ),
    ""
)</f>
        <v/>
      </c>
      <c r="T15" s="385"/>
      <c r="U15" s="385" t="s">
        <v>4</v>
      </c>
      <c r="V15" s="385" t="s">
        <v>101</v>
      </c>
      <c r="W15" s="385" t="s">
        <v>1436</v>
      </c>
      <c r="X15" s="1"/>
    </row>
    <row r="16" spans="1:24">
      <c r="A16" s="385" t="s">
        <v>47</v>
      </c>
      <c r="B16" s="385" t="s">
        <v>334</v>
      </c>
      <c r="C16" s="385" t="s">
        <v>1458</v>
      </c>
      <c r="D16" s="385" t="s">
        <v>89</v>
      </c>
      <c r="E16" s="385"/>
      <c r="F16" s="385"/>
      <c r="G16" s="385"/>
      <c r="H16" s="385">
        <v>2024</v>
      </c>
      <c r="I16" s="385" t="s">
        <v>4592</v>
      </c>
      <c r="J16" s="30"/>
      <c r="K16" s="385"/>
      <c r="L16" s="385"/>
      <c r="M16" s="385"/>
      <c r="N16" s="385"/>
      <c r="O16" s="385"/>
      <c r="P16" s="385" t="str">
        <f>IFERROR(
    IF(
        OR(ISBLANK(I16), ISBLANK(L16)),
        "",
        MAX(
            1,
            IF(
                NETWORKDAYS(I16, L16, Holiday_Dates) &lt;= 0,
                1,
                NETWORKDAYS(I16, L16, Holiday_Dates) - IF(I16 = L16, 0, 1)
            )
        )
    ),
    ""
)</f>
        <v/>
      </c>
      <c r="Q16" s="385" t="str">
        <f>IF(
    OR(ISBLANK(L16), ISBLANK(M16)),
    "",
    MAX(
        1,
        IF(
            NETWORKDAYS(L16, M16, Holiday_Dates) &lt;= 0,
            1,
            NETWORKDAYS(L16, M16, Holiday_Dates) - IF(L16 = M16, 0, 1)
        )
    )
)</f>
        <v/>
      </c>
      <c r="R16" s="385" t="str">
        <f>IFERROR(
    IF(
        OR(ISBLANK(N16), AND(ISBLANK(L16), ISBLANK(M16))),
        "",
        MAX(
            1,
            IF(
                NETWORKDAYS(IF(NOT(ISBLANK(M16)), M16, L16), N16, Holiday_Dates) &lt;= 0,
                1,
                NETWORKDAYS(IF(NOT(ISBLANK(M16)), M16, L16), N16, Holiday_Dates)
                - IF(IF(NOT(ISBLANK(M16)), M16, L16) = N16, 0, 1)
            )
        )
    ),
    ""
)</f>
        <v/>
      </c>
      <c r="S16" s="385" t="str">
        <f>IFERROR(
    IF(
        OR(ISBLANK(N16), ISBLANK(O16)),
        "",
        MAX(
            1,
            IF(
                NETWORKDAYS(N16, O16, Holiday_Dates) &lt;= 0,
                1,
                NETWORKDAYS(N16, O16, Holiday_Dates) - IF(N16 = O16, 0, 1)
            )
        )
    ),
    ""
)</f>
        <v/>
      </c>
      <c r="T16" s="385"/>
      <c r="U16" s="385" t="s">
        <v>4</v>
      </c>
      <c r="V16" s="385" t="s">
        <v>101</v>
      </c>
      <c r="W16" s="385" t="s">
        <v>1436</v>
      </c>
      <c r="X16" s="1"/>
    </row>
    <row r="17" spans="1:24">
      <c r="A17" s="385" t="s">
        <v>47</v>
      </c>
      <c r="B17" s="385" t="s">
        <v>334</v>
      </c>
      <c r="C17" s="385" t="s">
        <v>1460</v>
      </c>
      <c r="D17" s="385" t="s">
        <v>89</v>
      </c>
      <c r="E17" s="385"/>
      <c r="F17" s="385"/>
      <c r="G17" s="385"/>
      <c r="H17" s="385">
        <v>2024</v>
      </c>
      <c r="I17" s="385" t="s">
        <v>4593</v>
      </c>
      <c r="J17" s="30"/>
      <c r="K17" s="385"/>
      <c r="L17" s="385"/>
      <c r="M17" s="385"/>
      <c r="N17" s="385"/>
      <c r="O17" s="385"/>
      <c r="P17" s="385" t="str">
        <f>IFERROR(
    IF(
        OR(ISBLANK(I17), ISBLANK(L17)),
        "",
        MAX(
            1,
            IF(
                NETWORKDAYS(I17, L17, Holiday_Dates) &lt;= 0,
                1,
                NETWORKDAYS(I17, L17, Holiday_Dates) - IF(I17 = L17, 0, 1)
            )
        )
    ),
    ""
)</f>
        <v/>
      </c>
      <c r="Q17" s="385" t="str">
        <f>IF(
    OR(ISBLANK(L17), ISBLANK(M17)),
    "",
    MAX(
        1,
        IF(
            NETWORKDAYS(L17, M17, Holiday_Dates) &lt;= 0,
            1,
            NETWORKDAYS(L17, M17, Holiday_Dates) - IF(L17 = M17, 0, 1)
        )
    )
)</f>
        <v/>
      </c>
      <c r="R17" s="385" t="str">
        <f>IFERROR(
    IF(
        OR(ISBLANK(N17), AND(ISBLANK(L17), ISBLANK(M17))),
        "",
        MAX(
            1,
            IF(
                NETWORKDAYS(IF(NOT(ISBLANK(M17)), M17, L17), N17, Holiday_Dates) &lt;= 0,
                1,
                NETWORKDAYS(IF(NOT(ISBLANK(M17)), M17, L17), N17, Holiday_Dates)
                - IF(IF(NOT(ISBLANK(M17)), M17, L17) = N17, 0, 1)
            )
        )
    ),
    ""
)</f>
        <v/>
      </c>
      <c r="S17" s="385" t="str">
        <f>IFERROR(
    IF(
        OR(ISBLANK(N17), ISBLANK(O17)),
        "",
        MAX(
            1,
            IF(
                NETWORKDAYS(N17, O17, Holiday_Dates) &lt;= 0,
                1,
                NETWORKDAYS(N17, O17, Holiday_Dates) - IF(N17 = O17, 0, 1)
            )
        )
    ),
    ""
)</f>
        <v/>
      </c>
      <c r="T17" s="385"/>
      <c r="U17" s="385" t="s">
        <v>4</v>
      </c>
      <c r="V17" s="385" t="s">
        <v>101</v>
      </c>
      <c r="W17" s="385" t="s">
        <v>1436</v>
      </c>
      <c r="X17" s="1"/>
    </row>
    <row r="18" spans="1:24">
      <c r="A18" s="385" t="s">
        <v>47</v>
      </c>
      <c r="B18" s="385" t="s">
        <v>334</v>
      </c>
      <c r="C18" s="385" t="s">
        <v>1462</v>
      </c>
      <c r="D18" s="385" t="s">
        <v>89</v>
      </c>
      <c r="E18" s="385"/>
      <c r="F18" s="385"/>
      <c r="G18" s="385"/>
      <c r="H18" s="385">
        <v>2024</v>
      </c>
      <c r="I18" s="385" t="s">
        <v>4593</v>
      </c>
      <c r="J18" s="30"/>
      <c r="K18" s="385"/>
      <c r="L18" s="385"/>
      <c r="M18" s="385"/>
      <c r="N18" s="385"/>
      <c r="O18" s="385"/>
      <c r="P18" s="385" t="str">
        <f>IFERROR(
    IF(
        OR(ISBLANK(I18), ISBLANK(L18)),
        "",
        MAX(
            1,
            IF(
                NETWORKDAYS(I18, L18, Holiday_Dates) &lt;= 0,
                1,
                NETWORKDAYS(I18, L18, Holiday_Dates) - IF(I18 = L18, 0, 1)
            )
        )
    ),
    ""
)</f>
        <v/>
      </c>
      <c r="Q18" s="385" t="str">
        <f>IF(
    OR(ISBLANK(L18), ISBLANK(M18)),
    "",
    MAX(
        1,
        IF(
            NETWORKDAYS(L18, M18, Holiday_Dates) &lt;= 0,
            1,
            NETWORKDAYS(L18, M18, Holiday_Dates) - IF(L18 = M18, 0, 1)
        )
    )
)</f>
        <v/>
      </c>
      <c r="R18" s="385" t="str">
        <f>IFERROR(
    IF(
        OR(ISBLANK(N18), AND(ISBLANK(L18), ISBLANK(M18))),
        "",
        MAX(
            1,
            IF(
                NETWORKDAYS(IF(NOT(ISBLANK(M18)), M18, L18), N18, Holiday_Dates) &lt;= 0,
                1,
                NETWORKDAYS(IF(NOT(ISBLANK(M18)), M18, L18), N18, Holiday_Dates)
                - IF(IF(NOT(ISBLANK(M18)), M18, L18) = N18, 0, 1)
            )
        )
    ),
    ""
)</f>
        <v/>
      </c>
      <c r="S18" s="385" t="str">
        <f>IFERROR(
    IF(
        OR(ISBLANK(N18), ISBLANK(O18)),
        "",
        MAX(
            1,
            IF(
                NETWORKDAYS(N18, O18, Holiday_Dates) &lt;= 0,
                1,
                NETWORKDAYS(N18, O18, Holiday_Dates) - IF(N18 = O18, 0, 1)
            )
        )
    ),
    ""
)</f>
        <v/>
      </c>
      <c r="T18" s="385"/>
      <c r="U18" s="385" t="s">
        <v>4</v>
      </c>
      <c r="V18" s="385" t="s">
        <v>101</v>
      </c>
      <c r="W18" s="385" t="s">
        <v>1436</v>
      </c>
      <c r="X18" s="1"/>
    </row>
    <row r="19" spans="1:24">
      <c r="A19" s="385" t="s">
        <v>47</v>
      </c>
      <c r="B19" s="385" t="s">
        <v>334</v>
      </c>
      <c r="C19" s="385" t="s">
        <v>1464</v>
      </c>
      <c r="D19" s="385" t="s">
        <v>89</v>
      </c>
      <c r="E19" s="385"/>
      <c r="F19" s="385"/>
      <c r="G19" s="385"/>
      <c r="H19" s="385">
        <v>2024</v>
      </c>
      <c r="I19" s="386">
        <v>45414</v>
      </c>
      <c r="J19" s="30"/>
      <c r="K19" s="385"/>
      <c r="L19" s="385"/>
      <c r="M19" s="385"/>
      <c r="N19" s="385"/>
      <c r="O19" s="385"/>
      <c r="P19" s="385" t="str">
        <f>IFERROR(
    IF(
        OR(ISBLANK(I19), ISBLANK(L19)),
        "",
        MAX(
            1,
            IF(
                NETWORKDAYS(I19, L19, Holiday_Dates) &lt;= 0,
                1,
                NETWORKDAYS(I19, L19, Holiday_Dates) - IF(I19 = L19, 0, 1)
            )
        )
    ),
    ""
)</f>
        <v/>
      </c>
      <c r="Q19" s="385" t="str">
        <f>IF(
    OR(ISBLANK(L19), ISBLANK(M19)),
    "",
    MAX(
        1,
        IF(
            NETWORKDAYS(L19, M19, Holiday_Dates) &lt;= 0,
            1,
            NETWORKDAYS(L19, M19, Holiday_Dates) - IF(L19 = M19, 0, 1)
        )
    )
)</f>
        <v/>
      </c>
      <c r="R19" s="385" t="str">
        <f>IFERROR(
    IF(
        OR(ISBLANK(N19), AND(ISBLANK(L19), ISBLANK(M19))),
        "",
        MAX(
            1,
            IF(
                NETWORKDAYS(IF(NOT(ISBLANK(M19)), M19, L19), N19, Holiday_Dates) &lt;= 0,
                1,
                NETWORKDAYS(IF(NOT(ISBLANK(M19)), M19, L19), N19, Holiday_Dates)
                - IF(IF(NOT(ISBLANK(M19)), M19, L19) = N19, 0, 1)
            )
        )
    ),
    ""
)</f>
        <v/>
      </c>
      <c r="S19" s="385" t="str">
        <f>IFERROR(
    IF(
        OR(ISBLANK(N19), ISBLANK(O19)),
        "",
        MAX(
            1,
            IF(
                NETWORKDAYS(N19, O19, Holiday_Dates) &lt;= 0,
                1,
                NETWORKDAYS(N19, O19, Holiday_Dates) - IF(N19 = O19, 0, 1)
            )
        )
    ),
    ""
)</f>
        <v/>
      </c>
      <c r="T19" s="385"/>
      <c r="U19" s="385" t="s">
        <v>4</v>
      </c>
      <c r="V19" s="385" t="s">
        <v>101</v>
      </c>
      <c r="W19" s="385" t="s">
        <v>1436</v>
      </c>
      <c r="X19" s="1"/>
    </row>
    <row r="20" spans="1:24">
      <c r="A20" s="385" t="s">
        <v>47</v>
      </c>
      <c r="B20" s="385" t="s">
        <v>334</v>
      </c>
      <c r="C20" s="385" t="s">
        <v>1466</v>
      </c>
      <c r="D20" s="385" t="s">
        <v>89</v>
      </c>
      <c r="E20" s="385"/>
      <c r="F20" s="385"/>
      <c r="G20" s="385"/>
      <c r="H20" s="385">
        <v>2024</v>
      </c>
      <c r="I20" s="386">
        <v>45414</v>
      </c>
      <c r="J20" s="30"/>
      <c r="K20" s="385"/>
      <c r="L20" s="385"/>
      <c r="M20" s="385"/>
      <c r="N20" s="385"/>
      <c r="O20" s="385"/>
      <c r="P20" s="385" t="str">
        <f>IFERROR(
    IF(
        OR(ISBLANK(I20), ISBLANK(L20)),
        "",
        MAX(
            1,
            IF(
                NETWORKDAYS(I20, L20, Holiday_Dates) &lt;= 0,
                1,
                NETWORKDAYS(I20, L20, Holiday_Dates) - IF(I20 = L20, 0, 1)
            )
        )
    ),
    ""
)</f>
        <v/>
      </c>
      <c r="Q20" s="385" t="str">
        <f>IF(
    OR(ISBLANK(L20), ISBLANK(M20)),
    "",
    MAX(
        1,
        IF(
            NETWORKDAYS(L20, M20, Holiday_Dates) &lt;= 0,
            1,
            NETWORKDAYS(L20, M20, Holiday_Dates) - IF(L20 = M20, 0, 1)
        )
    )
)</f>
        <v/>
      </c>
      <c r="R20" s="385" t="str">
        <f>IFERROR(
    IF(
        OR(ISBLANK(N20), AND(ISBLANK(L20), ISBLANK(M20))),
        "",
        MAX(
            1,
            IF(
                NETWORKDAYS(IF(NOT(ISBLANK(M20)), M20, L20), N20, Holiday_Dates) &lt;= 0,
                1,
                NETWORKDAYS(IF(NOT(ISBLANK(M20)), M20, L20), N20, Holiday_Dates)
                - IF(IF(NOT(ISBLANK(M20)), M20, L20) = N20, 0, 1)
            )
        )
    ),
    ""
)</f>
        <v/>
      </c>
      <c r="S20" s="385" t="str">
        <f>IFERROR(
    IF(
        OR(ISBLANK(N20), ISBLANK(O20)),
        "",
        MAX(
            1,
            IF(
                NETWORKDAYS(N20, O20, Holiday_Dates) &lt;= 0,
                1,
                NETWORKDAYS(N20, O20, Holiday_Dates) - IF(N20 = O20, 0, 1)
            )
        )
    ),
    ""
)</f>
        <v/>
      </c>
      <c r="T20" s="385"/>
      <c r="U20" s="385" t="s">
        <v>4</v>
      </c>
      <c r="V20" s="385" t="s">
        <v>101</v>
      </c>
      <c r="W20" s="385" t="s">
        <v>1436</v>
      </c>
      <c r="X20" s="1"/>
    </row>
    <row r="21" spans="1:24">
      <c r="A21" s="385" t="s">
        <v>47</v>
      </c>
      <c r="B21" s="385" t="s">
        <v>334</v>
      </c>
      <c r="C21" s="385" t="s">
        <v>1468</v>
      </c>
      <c r="D21" s="385" t="s">
        <v>89</v>
      </c>
      <c r="E21" s="385"/>
      <c r="F21" s="385"/>
      <c r="G21" s="385"/>
      <c r="H21" s="385">
        <v>2024</v>
      </c>
      <c r="I21" s="386">
        <v>45415</v>
      </c>
      <c r="J21" s="30"/>
      <c r="K21" s="385"/>
      <c r="L21" s="385"/>
      <c r="M21" s="385"/>
      <c r="N21" s="385"/>
      <c r="O21" s="385"/>
      <c r="P21" s="385" t="str">
        <f>IFERROR(
    IF(
        OR(ISBLANK(I21), ISBLANK(L21)),
        "",
        MAX(
            1,
            IF(
                NETWORKDAYS(I21, L21, Holiday_Dates) &lt;= 0,
                1,
                NETWORKDAYS(I21, L21, Holiday_Dates) - IF(I21 = L21, 0, 1)
            )
        )
    ),
    ""
)</f>
        <v/>
      </c>
      <c r="Q21" s="385" t="str">
        <f>IF(
    OR(ISBLANK(L21), ISBLANK(M21)),
    "",
    MAX(
        1,
        IF(
            NETWORKDAYS(L21, M21, Holiday_Dates) &lt;= 0,
            1,
            NETWORKDAYS(L21, M21, Holiday_Dates) - IF(L21 = M21, 0, 1)
        )
    )
)</f>
        <v/>
      </c>
      <c r="R21" s="385" t="str">
        <f>IFERROR(
    IF(
        OR(ISBLANK(N21), AND(ISBLANK(L21), ISBLANK(M21))),
        "",
        MAX(
            1,
            IF(
                NETWORKDAYS(IF(NOT(ISBLANK(M21)), M21, L21), N21, Holiday_Dates) &lt;= 0,
                1,
                NETWORKDAYS(IF(NOT(ISBLANK(M21)), M21, L21), N21, Holiday_Dates)
                - IF(IF(NOT(ISBLANK(M21)), M21, L21) = N21, 0, 1)
            )
        )
    ),
    ""
)</f>
        <v/>
      </c>
      <c r="S21" s="385" t="str">
        <f>IFERROR(
    IF(
        OR(ISBLANK(N21), ISBLANK(O21)),
        "",
        MAX(
            1,
            IF(
                NETWORKDAYS(N21, O21, Holiday_Dates) &lt;= 0,
                1,
                NETWORKDAYS(N21, O21, Holiday_Dates) - IF(N21 = O21, 0, 1)
            )
        )
    ),
    ""
)</f>
        <v/>
      </c>
      <c r="T21" s="385"/>
      <c r="U21" s="385" t="s">
        <v>4</v>
      </c>
      <c r="V21" s="385" t="s">
        <v>101</v>
      </c>
      <c r="W21" s="385" t="s">
        <v>1436</v>
      </c>
      <c r="X21" s="1"/>
    </row>
    <row r="22" spans="1:24">
      <c r="A22" s="385" t="s">
        <v>47</v>
      </c>
      <c r="B22" s="385" t="s">
        <v>334</v>
      </c>
      <c r="C22" s="385" t="s">
        <v>1470</v>
      </c>
      <c r="D22" s="385" t="s">
        <v>89</v>
      </c>
      <c r="E22" s="385"/>
      <c r="F22" s="385"/>
      <c r="G22" s="385"/>
      <c r="H22" s="385">
        <v>2024</v>
      </c>
      <c r="I22" s="386">
        <v>45415</v>
      </c>
      <c r="J22" s="30"/>
      <c r="K22" s="385"/>
      <c r="L22" s="385"/>
      <c r="M22" s="385"/>
      <c r="N22" s="385"/>
      <c r="O22" s="385"/>
      <c r="P22" s="385" t="str">
        <f>IFERROR(
    IF(
        OR(ISBLANK(I22), ISBLANK(L22)),
        "",
        MAX(
            1,
            IF(
                NETWORKDAYS(I22, L22, Holiday_Dates) &lt;= 0,
                1,
                NETWORKDAYS(I22, L22, Holiday_Dates) - IF(I22 = L22, 0, 1)
            )
        )
    ),
    ""
)</f>
        <v/>
      </c>
      <c r="Q22" s="385" t="str">
        <f>IF(
    OR(ISBLANK(L22), ISBLANK(M22)),
    "",
    MAX(
        1,
        IF(
            NETWORKDAYS(L22, M22, Holiday_Dates) &lt;= 0,
            1,
            NETWORKDAYS(L22, M22, Holiday_Dates) - IF(L22 = M22, 0, 1)
        )
    )
)</f>
        <v/>
      </c>
      <c r="R22" s="385" t="str">
        <f>IFERROR(
    IF(
        OR(ISBLANK(N22), AND(ISBLANK(L22), ISBLANK(M22))),
        "",
        MAX(
            1,
            IF(
                NETWORKDAYS(IF(NOT(ISBLANK(M22)), M22, L22), N22, Holiday_Dates) &lt;= 0,
                1,
                NETWORKDAYS(IF(NOT(ISBLANK(M22)), M22, L22), N22, Holiday_Dates)
                - IF(IF(NOT(ISBLANK(M22)), M22, L22) = N22, 0, 1)
            )
        )
    ),
    ""
)</f>
        <v/>
      </c>
      <c r="S22" s="385" t="str">
        <f>IFERROR(
    IF(
        OR(ISBLANK(N22), ISBLANK(O22)),
        "",
        MAX(
            1,
            IF(
                NETWORKDAYS(N22, O22, Holiday_Dates) &lt;= 0,
                1,
                NETWORKDAYS(N22, O22, Holiday_Dates) - IF(N22 = O22, 0, 1)
            )
        )
    ),
    ""
)</f>
        <v/>
      </c>
      <c r="T22" s="385"/>
      <c r="U22" s="385" t="s">
        <v>4</v>
      </c>
      <c r="V22" s="385" t="s">
        <v>101</v>
      </c>
      <c r="W22" s="385" t="s">
        <v>1436</v>
      </c>
      <c r="X22" s="1"/>
    </row>
    <row r="23" spans="1:24">
      <c r="A23" s="385" t="s">
        <v>47</v>
      </c>
      <c r="B23" s="385" t="s">
        <v>334</v>
      </c>
      <c r="C23" s="385" t="s">
        <v>1492</v>
      </c>
      <c r="D23" s="385" t="s">
        <v>89</v>
      </c>
      <c r="E23" s="385"/>
      <c r="F23" s="385"/>
      <c r="G23" s="385"/>
      <c r="H23" s="385">
        <v>2024</v>
      </c>
      <c r="I23" s="386">
        <v>45545</v>
      </c>
      <c r="J23" s="30"/>
      <c r="K23" s="385"/>
      <c r="L23" s="385"/>
      <c r="M23" s="385"/>
      <c r="N23" s="385"/>
      <c r="O23" s="385"/>
      <c r="P23" s="385" t="str">
        <f>IFERROR(
    IF(
        OR(ISBLANK(I23), ISBLANK(L23)),
        "",
        MAX(
            1,
            IF(
                NETWORKDAYS(I23, L23, Holiday_Dates) &lt;= 0,
                1,
                NETWORKDAYS(I23, L23, Holiday_Dates) - IF(I23 = L23, 0, 1)
            )
        )
    ),
    ""
)</f>
        <v/>
      </c>
      <c r="Q23" s="385" t="str">
        <f>IF(
    OR(ISBLANK(L23), ISBLANK(M23)),
    "",
    MAX(
        1,
        IF(
            NETWORKDAYS(L23, M23, Holiday_Dates) &lt;= 0,
            1,
            NETWORKDAYS(L23, M23, Holiday_Dates) - IF(L23 = M23, 0, 1)
        )
    )
)</f>
        <v/>
      </c>
      <c r="R23" s="385" t="str">
        <f>IFERROR(
    IF(
        OR(ISBLANK(N23), AND(ISBLANK(L23), ISBLANK(M23))),
        "",
        MAX(
            1,
            IF(
                NETWORKDAYS(IF(NOT(ISBLANK(M23)), M23, L23), N23, Holiday_Dates) &lt;= 0,
                1,
                NETWORKDAYS(IF(NOT(ISBLANK(M23)), M23, L23), N23, Holiday_Dates)
                - IF(IF(NOT(ISBLANK(M23)), M23, L23) = N23, 0, 1)
            )
        )
    ),
    ""
)</f>
        <v/>
      </c>
      <c r="S23" s="385" t="str">
        <f>IFERROR(
    IF(
        OR(ISBLANK(N23), ISBLANK(O23)),
        "",
        MAX(
            1,
            IF(
                NETWORKDAYS(N23, O23, Holiday_Dates) &lt;= 0,
                1,
                NETWORKDAYS(N23, O23, Holiday_Dates) - IF(N23 = O23, 0, 1)
            )
        )
    ),
    ""
)</f>
        <v/>
      </c>
      <c r="T23" s="385"/>
      <c r="U23" s="385" t="s">
        <v>4</v>
      </c>
      <c r="V23" s="385" t="s">
        <v>101</v>
      </c>
      <c r="W23" s="385" t="s">
        <v>1436</v>
      </c>
      <c r="X23" s="1"/>
    </row>
    <row r="24" spans="1:24">
      <c r="A24" s="385" t="s">
        <v>47</v>
      </c>
      <c r="B24" s="385" t="s">
        <v>334</v>
      </c>
      <c r="C24" s="385" t="s">
        <v>1472</v>
      </c>
      <c r="D24" s="385" t="s">
        <v>89</v>
      </c>
      <c r="E24" s="385"/>
      <c r="F24" s="385"/>
      <c r="G24" s="385"/>
      <c r="H24" s="385">
        <v>2024</v>
      </c>
      <c r="I24" s="385" t="s">
        <v>4594</v>
      </c>
      <c r="J24" s="30"/>
      <c r="K24" s="385"/>
      <c r="L24" s="385"/>
      <c r="M24" s="385"/>
      <c r="N24" s="385"/>
      <c r="O24" s="385"/>
      <c r="P24" s="385" t="str">
        <f>IFERROR(
    IF(
        OR(ISBLANK(I24), ISBLANK(L24)),
        "",
        MAX(
            1,
            IF(
                NETWORKDAYS(I24, L24, Holiday_Dates) &lt;= 0,
                1,
                NETWORKDAYS(I24, L24, Holiday_Dates) - IF(I24 = L24, 0, 1)
            )
        )
    ),
    ""
)</f>
        <v/>
      </c>
      <c r="Q24" s="385" t="str">
        <f>IF(
    OR(ISBLANK(L24), ISBLANK(M24)),
    "",
    MAX(
        1,
        IF(
            NETWORKDAYS(L24, M24, Holiday_Dates) &lt;= 0,
            1,
            NETWORKDAYS(L24, M24, Holiday_Dates) - IF(L24 = M24, 0, 1)
        )
    )
)</f>
        <v/>
      </c>
      <c r="R24" s="385" t="str">
        <f>IFERROR(
    IF(
        OR(ISBLANK(N24), AND(ISBLANK(L24), ISBLANK(M24))),
        "",
        MAX(
            1,
            IF(
                NETWORKDAYS(IF(NOT(ISBLANK(M24)), M24, L24), N24, Holiday_Dates) &lt;= 0,
                1,
                NETWORKDAYS(IF(NOT(ISBLANK(M24)), M24, L24), N24, Holiday_Dates)
                - IF(IF(NOT(ISBLANK(M24)), M24, L24) = N24, 0, 1)
            )
        )
    ),
    ""
)</f>
        <v/>
      </c>
      <c r="S24" s="385" t="str">
        <f>IFERROR(
    IF(
        OR(ISBLANK(N24), ISBLANK(O24)),
        "",
        MAX(
            1,
            IF(
                NETWORKDAYS(N24, O24, Holiday_Dates) &lt;= 0,
                1,
                NETWORKDAYS(N24, O24, Holiday_Dates) - IF(N24 = O24, 0, 1)
            )
        )
    ),
    ""
)</f>
        <v/>
      </c>
      <c r="T24" s="385"/>
      <c r="U24" s="385" t="s">
        <v>4</v>
      </c>
      <c r="V24" s="385" t="s">
        <v>101</v>
      </c>
      <c r="W24" s="385" t="s">
        <v>1436</v>
      </c>
      <c r="X24" s="1"/>
    </row>
    <row r="25" spans="1:24">
      <c r="A25" s="385" t="s">
        <v>47</v>
      </c>
      <c r="B25" s="385" t="s">
        <v>334</v>
      </c>
      <c r="C25" s="385" t="s">
        <v>1474</v>
      </c>
      <c r="D25" s="385" t="s">
        <v>89</v>
      </c>
      <c r="E25" s="385"/>
      <c r="F25" s="385"/>
      <c r="G25" s="385"/>
      <c r="H25" s="385">
        <v>2024</v>
      </c>
      <c r="I25" s="386">
        <v>45448</v>
      </c>
      <c r="J25" s="30"/>
      <c r="K25" s="385"/>
      <c r="L25" s="385"/>
      <c r="M25" s="385"/>
      <c r="N25" s="385"/>
      <c r="O25" s="385"/>
      <c r="P25" s="385" t="str">
        <f>IFERROR(
    IF(
        OR(ISBLANK(I25), ISBLANK(L25)),
        "",
        MAX(
            1,
            IF(
                NETWORKDAYS(I25, L25, Holiday_Dates) &lt;= 0,
                1,
                NETWORKDAYS(I25, L25, Holiday_Dates) - IF(I25 = L25, 0, 1)
            )
        )
    ),
    ""
)</f>
        <v/>
      </c>
      <c r="Q25" s="385" t="str">
        <f>IF(
    OR(ISBLANK(L25), ISBLANK(M25)),
    "",
    MAX(
        1,
        IF(
            NETWORKDAYS(L25, M25, Holiday_Dates) &lt;= 0,
            1,
            NETWORKDAYS(L25, M25, Holiday_Dates) - IF(L25 = M25, 0, 1)
        )
    )
)</f>
        <v/>
      </c>
      <c r="R25" s="385" t="str">
        <f>IFERROR(
    IF(
        OR(ISBLANK(N25), AND(ISBLANK(L25), ISBLANK(M25))),
        "",
        MAX(
            1,
            IF(
                NETWORKDAYS(IF(NOT(ISBLANK(M25)), M25, L25), N25, Holiday_Dates) &lt;= 0,
                1,
                NETWORKDAYS(IF(NOT(ISBLANK(M25)), M25, L25), N25, Holiday_Dates)
                - IF(IF(NOT(ISBLANK(M25)), M25, L25) = N25, 0, 1)
            )
        )
    ),
    ""
)</f>
        <v/>
      </c>
      <c r="S25" s="385" t="str">
        <f>IFERROR(
    IF(
        OR(ISBLANK(N25), ISBLANK(O25)),
        "",
        MAX(
            1,
            IF(
                NETWORKDAYS(N25, O25, Holiday_Dates) &lt;= 0,
                1,
                NETWORKDAYS(N25, O25, Holiday_Dates) - IF(N25 = O25, 0, 1)
            )
        )
    ),
    ""
)</f>
        <v/>
      </c>
      <c r="T25" s="385"/>
      <c r="U25" s="385" t="s">
        <v>4</v>
      </c>
      <c r="V25" s="385" t="s">
        <v>101</v>
      </c>
      <c r="W25" s="385" t="s">
        <v>1436</v>
      </c>
      <c r="X25" s="1"/>
    </row>
    <row r="26" spans="1:24">
      <c r="A26" s="385" t="s">
        <v>47</v>
      </c>
      <c r="B26" s="385" t="s">
        <v>334</v>
      </c>
      <c r="C26" s="385" t="s">
        <v>703</v>
      </c>
      <c r="D26" s="385" t="s">
        <v>89</v>
      </c>
      <c r="E26" s="385"/>
      <c r="F26" s="385"/>
      <c r="G26" s="385"/>
      <c r="H26" s="385">
        <v>2024</v>
      </c>
      <c r="I26" s="386">
        <v>45398</v>
      </c>
      <c r="J26" s="30"/>
      <c r="K26" s="385"/>
      <c r="L26" s="385"/>
      <c r="M26" s="385"/>
      <c r="N26" s="385"/>
      <c r="O26" s="385"/>
      <c r="P26" s="385" t="str">
        <f>IFERROR(
    IF(
        OR(ISBLANK(I26), ISBLANK(L26)),
        "",
        MAX(
            1,
            IF(
                NETWORKDAYS(I26, L26, Holiday_Dates) &lt;= 0,
                1,
                NETWORKDAYS(I26, L26, Holiday_Dates) - IF(I26 = L26, 0, 1)
            )
        )
    ),
    ""
)</f>
        <v/>
      </c>
      <c r="Q26" s="385" t="str">
        <f>IF(
    OR(ISBLANK(L26), ISBLANK(M26)),
    "",
    MAX(
        1,
        IF(
            NETWORKDAYS(L26, M26, Holiday_Dates) &lt;= 0,
            1,
            NETWORKDAYS(L26, M26, Holiday_Dates) - IF(L26 = M26, 0, 1)
        )
    )
)</f>
        <v/>
      </c>
      <c r="R26" s="385" t="str">
        <f>IFERROR(
    IF(
        OR(ISBLANK(N26), AND(ISBLANK(L26), ISBLANK(M26))),
        "",
        MAX(
            1,
            IF(
                NETWORKDAYS(IF(NOT(ISBLANK(M26)), M26, L26), N26, Holiday_Dates) &lt;= 0,
                1,
                NETWORKDAYS(IF(NOT(ISBLANK(M26)), M26, L26), N26, Holiday_Dates)
                - IF(IF(NOT(ISBLANK(M26)), M26, L26) = N26, 0, 1)
            )
        )
    ),
    ""
)</f>
        <v/>
      </c>
      <c r="S26" s="385" t="str">
        <f>IFERROR(
    IF(
        OR(ISBLANK(N26), ISBLANK(O26)),
        "",
        MAX(
            1,
            IF(
                NETWORKDAYS(N26, O26, Holiday_Dates) &lt;= 0,
                1,
                NETWORKDAYS(N26, O26, Holiday_Dates) - IF(N26 = O26, 0, 1)
            )
        )
    ),
    ""
)</f>
        <v/>
      </c>
      <c r="T26" s="385"/>
      <c r="U26" s="385" t="s">
        <v>4</v>
      </c>
      <c r="V26" s="385" t="s">
        <v>101</v>
      </c>
      <c r="W26" s="385" t="s">
        <v>1436</v>
      </c>
      <c r="X26" s="1"/>
    </row>
    <row r="27" spans="1:24">
      <c r="A27" s="385" t="s">
        <v>47</v>
      </c>
      <c r="B27" s="385" t="s">
        <v>334</v>
      </c>
      <c r="C27" s="385" t="s">
        <v>1494</v>
      </c>
      <c r="D27" s="385" t="s">
        <v>89</v>
      </c>
      <c r="E27" s="385"/>
      <c r="F27" s="385"/>
      <c r="G27" s="385"/>
      <c r="H27" s="385">
        <v>2024</v>
      </c>
      <c r="I27" s="386">
        <v>45611</v>
      </c>
      <c r="J27" s="30"/>
      <c r="K27" s="385"/>
      <c r="L27" s="385"/>
      <c r="M27" s="385"/>
      <c r="N27" s="385"/>
      <c r="O27" s="385"/>
      <c r="P27" s="385" t="str">
        <f>IFERROR(
    IF(
        OR(ISBLANK(I27), ISBLANK(L27)),
        "",
        MAX(
            1,
            IF(
                NETWORKDAYS(I27, L27, Holiday_Dates) &lt;= 0,
                1,
                NETWORKDAYS(I27, L27, Holiday_Dates) - IF(I27 = L27, 0, 1)
            )
        )
    ),
    ""
)</f>
        <v/>
      </c>
      <c r="Q27" s="385" t="str">
        <f>IF(
    OR(ISBLANK(L27), ISBLANK(M27)),
    "",
    MAX(
        1,
        IF(
            NETWORKDAYS(L27, M27, Holiday_Dates) &lt;= 0,
            1,
            NETWORKDAYS(L27, M27, Holiday_Dates) - IF(L27 = M27, 0, 1)
        )
    )
)</f>
        <v/>
      </c>
      <c r="R27" s="385" t="str">
        <f>IFERROR(
    IF(
        OR(ISBLANK(N27), AND(ISBLANK(L27), ISBLANK(M27))),
        "",
        MAX(
            1,
            IF(
                NETWORKDAYS(IF(NOT(ISBLANK(M27)), M27, L27), N27, Holiday_Dates) &lt;= 0,
                1,
                NETWORKDAYS(IF(NOT(ISBLANK(M27)), M27, L27), N27, Holiday_Dates)
                - IF(IF(NOT(ISBLANK(M27)), M27, L27) = N27, 0, 1)
            )
        )
    ),
    ""
)</f>
        <v/>
      </c>
      <c r="S27" s="385" t="str">
        <f>IFERROR(
    IF(
        OR(ISBLANK(N27), ISBLANK(O27)),
        "",
        MAX(
            1,
            IF(
                NETWORKDAYS(N27, O27, Holiday_Dates) &lt;= 0,
                1,
                NETWORKDAYS(N27, O27, Holiday_Dates) - IF(N27 = O27, 0, 1)
            )
        )
    ),
    ""
)</f>
        <v/>
      </c>
      <c r="T27" s="385"/>
      <c r="U27" s="385" t="s">
        <v>4</v>
      </c>
      <c r="V27" s="385" t="s">
        <v>101</v>
      </c>
      <c r="W27" s="385" t="s">
        <v>1436</v>
      </c>
      <c r="X27" s="1"/>
    </row>
    <row r="28" spans="1:24">
      <c r="A28" s="385" t="s">
        <v>47</v>
      </c>
      <c r="B28" s="385" t="s">
        <v>334</v>
      </c>
      <c r="C28" s="385" t="s">
        <v>1477</v>
      </c>
      <c r="D28" s="385" t="s">
        <v>89</v>
      </c>
      <c r="E28" s="385"/>
      <c r="F28" s="385"/>
      <c r="G28" s="385"/>
      <c r="H28" s="385">
        <v>2024</v>
      </c>
      <c r="I28" s="386">
        <v>45454</v>
      </c>
      <c r="J28" s="30"/>
      <c r="K28" s="385"/>
      <c r="L28" s="385"/>
      <c r="M28" s="385"/>
      <c r="N28" s="385"/>
      <c r="O28" s="385"/>
      <c r="P28" s="385" t="str">
        <f>IFERROR(
    IF(
        OR(ISBLANK(I28), ISBLANK(L28)),
        "",
        MAX(
            1,
            IF(
                NETWORKDAYS(I28, L28, Holiday_Dates) &lt;= 0,
                1,
                NETWORKDAYS(I28, L28, Holiday_Dates) - IF(I28 = L28, 0, 1)
            )
        )
    ),
    ""
)</f>
        <v/>
      </c>
      <c r="Q28" s="385" t="str">
        <f>IF(
    OR(ISBLANK(L28), ISBLANK(M28)),
    "",
    MAX(
        1,
        IF(
            NETWORKDAYS(L28, M28, Holiday_Dates) &lt;= 0,
            1,
            NETWORKDAYS(L28, M28, Holiday_Dates) - IF(L28 = M28, 0, 1)
        )
    )
)</f>
        <v/>
      </c>
      <c r="R28" s="385" t="str">
        <f>IFERROR(
    IF(
        OR(ISBLANK(N28), AND(ISBLANK(L28), ISBLANK(M28))),
        "",
        MAX(
            1,
            IF(
                NETWORKDAYS(IF(NOT(ISBLANK(M28)), M28, L28), N28, Holiday_Dates) &lt;= 0,
                1,
                NETWORKDAYS(IF(NOT(ISBLANK(M28)), M28, L28), N28, Holiday_Dates)
                - IF(IF(NOT(ISBLANK(M28)), M28, L28) = N28, 0, 1)
            )
        )
    ),
    ""
)</f>
        <v/>
      </c>
      <c r="S28" s="385" t="str">
        <f>IFERROR(
    IF(
        OR(ISBLANK(N28), ISBLANK(O28)),
        "",
        MAX(
            1,
            IF(
                NETWORKDAYS(N28, O28, Holiday_Dates) &lt;= 0,
                1,
                NETWORKDAYS(N28, O28, Holiday_Dates) - IF(N28 = O28, 0, 1)
            )
        )
    ),
    ""
)</f>
        <v/>
      </c>
      <c r="T28" s="385"/>
      <c r="U28" s="385" t="s">
        <v>4</v>
      </c>
      <c r="V28" s="385" t="s">
        <v>101</v>
      </c>
      <c r="W28" s="385" t="s">
        <v>1436</v>
      </c>
      <c r="X28" s="1"/>
    </row>
    <row r="29" spans="1:24">
      <c r="A29" s="385" t="s">
        <v>47</v>
      </c>
      <c r="B29" s="385" t="s">
        <v>334</v>
      </c>
      <c r="C29" s="385" t="s">
        <v>1496</v>
      </c>
      <c r="D29" s="385" t="s">
        <v>89</v>
      </c>
      <c r="E29" s="385"/>
      <c r="F29" s="385"/>
      <c r="G29" s="385"/>
      <c r="H29" s="385">
        <v>2024</v>
      </c>
      <c r="I29" s="386">
        <v>45545</v>
      </c>
      <c r="J29" s="30"/>
      <c r="K29" s="385"/>
      <c r="L29" s="385"/>
      <c r="M29" s="385"/>
      <c r="N29" s="385"/>
      <c r="O29" s="385"/>
      <c r="P29" s="385" t="str">
        <f>IFERROR(
    IF(
        OR(ISBLANK(I29), ISBLANK(L29)),
        "",
        MAX(
            1,
            IF(
                NETWORKDAYS(I29, L29, Holiday_Dates) &lt;= 0,
                1,
                NETWORKDAYS(I29, L29, Holiday_Dates) - IF(I29 = L29, 0, 1)
            )
        )
    ),
    ""
)</f>
        <v/>
      </c>
      <c r="Q29" s="385" t="str">
        <f>IF(
    OR(ISBLANK(L29), ISBLANK(M29)),
    "",
    MAX(
        1,
        IF(
            NETWORKDAYS(L29, M29, Holiday_Dates) &lt;= 0,
            1,
            NETWORKDAYS(L29, M29, Holiday_Dates) - IF(L29 = M29, 0, 1)
        )
    )
)</f>
        <v/>
      </c>
      <c r="R29" s="385" t="str">
        <f>IFERROR(
    IF(
        OR(ISBLANK(N29), AND(ISBLANK(L29), ISBLANK(M29))),
        "",
        MAX(
            1,
            IF(
                NETWORKDAYS(IF(NOT(ISBLANK(M29)), M29, L29), N29, Holiday_Dates) &lt;= 0,
                1,
                NETWORKDAYS(IF(NOT(ISBLANK(M29)), M29, L29), N29, Holiday_Dates)
                - IF(IF(NOT(ISBLANK(M29)), M29, L29) = N29, 0, 1)
            )
        )
    ),
    ""
)</f>
        <v/>
      </c>
      <c r="S29" s="385" t="str">
        <f>IFERROR(
    IF(
        OR(ISBLANK(N29), ISBLANK(O29)),
        "",
        MAX(
            1,
            IF(
                NETWORKDAYS(N29, O29, Holiday_Dates) &lt;= 0,
                1,
                NETWORKDAYS(N29, O29, Holiday_Dates) - IF(N29 = O29, 0, 1)
            )
        )
    ),
    ""
)</f>
        <v/>
      </c>
      <c r="T29" s="385"/>
      <c r="U29" s="385" t="s">
        <v>4</v>
      </c>
      <c r="V29" s="385" t="s">
        <v>101</v>
      </c>
      <c r="W29" s="385" t="s">
        <v>1436</v>
      </c>
      <c r="X29" s="1"/>
    </row>
    <row r="30" spans="1:24">
      <c r="A30" s="385" t="s">
        <v>47</v>
      </c>
      <c r="B30" s="385" t="s">
        <v>334</v>
      </c>
      <c r="C30" s="385" t="s">
        <v>1479</v>
      </c>
      <c r="D30" s="385" t="s">
        <v>89</v>
      </c>
      <c r="E30" s="385"/>
      <c r="F30" s="385"/>
      <c r="G30" s="385"/>
      <c r="H30" s="385">
        <v>2024</v>
      </c>
      <c r="I30" s="386">
        <v>45574</v>
      </c>
      <c r="J30" s="30"/>
      <c r="K30" s="385"/>
      <c r="L30" s="385"/>
      <c r="M30" s="385"/>
      <c r="N30" s="385"/>
      <c r="O30" s="385"/>
      <c r="P30" s="385" t="str">
        <f>IFERROR(
    IF(
        OR(ISBLANK(I30), ISBLANK(L30)),
        "",
        MAX(
            1,
            IF(
                NETWORKDAYS(I30, L30, Holiday_Dates) &lt;= 0,
                1,
                NETWORKDAYS(I30, L30, Holiday_Dates) - IF(I30 = L30, 0, 1)
            )
        )
    ),
    ""
)</f>
        <v/>
      </c>
      <c r="Q30" s="385" t="str">
        <f>IF(
    OR(ISBLANK(L30), ISBLANK(M30)),
    "",
    MAX(
        1,
        IF(
            NETWORKDAYS(L30, M30, Holiday_Dates) &lt;= 0,
            1,
            NETWORKDAYS(L30, M30, Holiday_Dates) - IF(L30 = M30, 0, 1)
        )
    )
)</f>
        <v/>
      </c>
      <c r="R30" s="385" t="str">
        <f>IFERROR(
    IF(
        OR(ISBLANK(N30), AND(ISBLANK(L30), ISBLANK(M30))),
        "",
        MAX(
            1,
            IF(
                NETWORKDAYS(IF(NOT(ISBLANK(M30)), M30, L30), N30, Holiday_Dates) &lt;= 0,
                1,
                NETWORKDAYS(IF(NOT(ISBLANK(M30)), M30, L30), N30, Holiday_Dates)
                - IF(IF(NOT(ISBLANK(M30)), M30, L30) = N30, 0, 1)
            )
        )
    ),
    ""
)</f>
        <v/>
      </c>
      <c r="S30" s="385" t="str">
        <f>IFERROR(
    IF(
        OR(ISBLANK(N30), ISBLANK(O30)),
        "",
        MAX(
            1,
            IF(
                NETWORKDAYS(N30, O30, Holiday_Dates) &lt;= 0,
                1,
                NETWORKDAYS(N30, O30, Holiday_Dates) - IF(N30 = O30, 0, 1)
            )
        )
    ),
    ""
)</f>
        <v/>
      </c>
      <c r="T30" s="385"/>
      <c r="U30" s="385" t="s">
        <v>4</v>
      </c>
      <c r="V30" s="385" t="s">
        <v>101</v>
      </c>
      <c r="W30" s="385" t="s">
        <v>1436</v>
      </c>
      <c r="X30" s="1"/>
    </row>
    <row r="31" spans="1:24">
      <c r="A31" s="385" t="s">
        <v>47</v>
      </c>
      <c r="B31" s="385" t="s">
        <v>334</v>
      </c>
      <c r="C31" s="385" t="s">
        <v>1498</v>
      </c>
      <c r="D31" s="385" t="s">
        <v>89</v>
      </c>
      <c r="E31" s="385"/>
      <c r="F31" s="385"/>
      <c r="G31" s="385"/>
      <c r="H31" s="385">
        <v>2024</v>
      </c>
      <c r="I31" s="386">
        <v>45574</v>
      </c>
      <c r="J31" s="30"/>
      <c r="K31" s="385"/>
      <c r="L31" s="385"/>
      <c r="M31" s="385"/>
      <c r="N31" s="385"/>
      <c r="O31" s="385"/>
      <c r="P31" s="385" t="str">
        <f>IFERROR(
    IF(
        OR(ISBLANK(I31), ISBLANK(L31)),
        "",
        MAX(
            1,
            IF(
                NETWORKDAYS(I31, L31, Holiday_Dates) &lt;= 0,
                1,
                NETWORKDAYS(I31, L31, Holiday_Dates) - IF(I31 = L31, 0, 1)
            )
        )
    ),
    ""
)</f>
        <v/>
      </c>
      <c r="Q31" s="385" t="str">
        <f>IF(
    OR(ISBLANK(L31), ISBLANK(M31)),
    "",
    MAX(
        1,
        IF(
            NETWORKDAYS(L31, M31, Holiday_Dates) &lt;= 0,
            1,
            NETWORKDAYS(L31, M31, Holiday_Dates) - IF(L31 = M31, 0, 1)
        )
    )
)</f>
        <v/>
      </c>
      <c r="R31" s="385" t="str">
        <f>IFERROR(
    IF(
        OR(ISBLANK(N31), AND(ISBLANK(L31), ISBLANK(M31))),
        "",
        MAX(
            1,
            IF(
                NETWORKDAYS(IF(NOT(ISBLANK(M31)), M31, L31), N31, Holiday_Dates) &lt;= 0,
                1,
                NETWORKDAYS(IF(NOT(ISBLANK(M31)), M31, L31), N31, Holiday_Dates)
                - IF(IF(NOT(ISBLANK(M31)), M31, L31) = N31, 0, 1)
            )
        )
    ),
    ""
)</f>
        <v/>
      </c>
      <c r="S31" s="385" t="str">
        <f>IFERROR(
    IF(
        OR(ISBLANK(N31), ISBLANK(O31)),
        "",
        MAX(
            1,
            IF(
                NETWORKDAYS(N31, O31, Holiday_Dates) &lt;= 0,
                1,
                NETWORKDAYS(N31, O31, Holiday_Dates) - IF(N31 = O31, 0, 1)
            )
        )
    ),
    ""
)</f>
        <v/>
      </c>
      <c r="T31" s="385"/>
      <c r="U31" s="385" t="s">
        <v>4</v>
      </c>
      <c r="V31" s="385" t="s">
        <v>101</v>
      </c>
      <c r="W31" s="385" t="s">
        <v>1436</v>
      </c>
      <c r="X31" s="1"/>
    </row>
    <row r="32" spans="1:24">
      <c r="A32" s="385" t="s">
        <v>47</v>
      </c>
      <c r="B32" s="385" t="s">
        <v>334</v>
      </c>
      <c r="C32" s="385" t="s">
        <v>1482</v>
      </c>
      <c r="D32" s="385" t="s">
        <v>89</v>
      </c>
      <c r="E32" s="385"/>
      <c r="F32" s="385"/>
      <c r="G32" s="385"/>
      <c r="H32" s="385">
        <v>2024</v>
      </c>
      <c r="I32" s="386">
        <v>45604</v>
      </c>
      <c r="J32" s="30"/>
      <c r="K32" s="385"/>
      <c r="L32" s="385"/>
      <c r="M32" s="385"/>
      <c r="N32" s="385"/>
      <c r="O32" s="385"/>
      <c r="P32" s="385" t="str">
        <f>IFERROR(
    IF(
        OR(ISBLANK(I32), ISBLANK(L32)),
        "",
        MAX(
            1,
            IF(
                NETWORKDAYS(I32, L32, Holiday_Dates) &lt;= 0,
                1,
                NETWORKDAYS(I32, L32, Holiday_Dates) - IF(I32 = L32, 0, 1)
            )
        )
    ),
    ""
)</f>
        <v/>
      </c>
      <c r="Q32" s="385" t="str">
        <f>IF(
    OR(ISBLANK(L32), ISBLANK(M32)),
    "",
    MAX(
        1,
        IF(
            NETWORKDAYS(L32, M32, Holiday_Dates) &lt;= 0,
            1,
            NETWORKDAYS(L32, M32, Holiday_Dates) - IF(L32 = M32, 0, 1)
        )
    )
)</f>
        <v/>
      </c>
      <c r="R32" s="385" t="str">
        <f>IFERROR(
    IF(
        OR(ISBLANK(N32), AND(ISBLANK(L32), ISBLANK(M32))),
        "",
        MAX(
            1,
            IF(
                NETWORKDAYS(IF(NOT(ISBLANK(M32)), M32, L32), N32, Holiday_Dates) &lt;= 0,
                1,
                NETWORKDAYS(IF(NOT(ISBLANK(M32)), M32, L32), N32, Holiday_Dates)
                - IF(IF(NOT(ISBLANK(M32)), M32, L32) = N32, 0, 1)
            )
        )
    ),
    ""
)</f>
        <v/>
      </c>
      <c r="S32" s="385" t="str">
        <f>IFERROR(
    IF(
        OR(ISBLANK(N32), ISBLANK(O32)),
        "",
        MAX(
            1,
            IF(
                NETWORKDAYS(N32, O32, Holiday_Dates) &lt;= 0,
                1,
                NETWORKDAYS(N32, O32, Holiday_Dates) - IF(N32 = O32, 0, 1)
            )
        )
    ),
    ""
)</f>
        <v/>
      </c>
      <c r="T32" s="385"/>
      <c r="U32" s="385" t="s">
        <v>4</v>
      </c>
      <c r="V32" s="385" t="s">
        <v>101</v>
      </c>
      <c r="W32" s="385" t="s">
        <v>1436</v>
      </c>
      <c r="X32" s="1"/>
    </row>
    <row r="33" spans="1:24">
      <c r="A33" s="385" t="s">
        <v>47</v>
      </c>
      <c r="B33" s="385" t="s">
        <v>334</v>
      </c>
      <c r="C33" s="385" t="s">
        <v>1500</v>
      </c>
      <c r="D33" s="385" t="s">
        <v>89</v>
      </c>
      <c r="E33" s="385"/>
      <c r="F33" s="385"/>
      <c r="G33" s="385"/>
      <c r="H33" s="385">
        <v>2024</v>
      </c>
      <c r="I33" s="385" t="s">
        <v>4585</v>
      </c>
      <c r="J33" s="30"/>
      <c r="K33" s="385"/>
      <c r="L33" s="385"/>
      <c r="M33" s="385"/>
      <c r="N33" s="385"/>
      <c r="O33" s="385"/>
      <c r="P33" s="385" t="str">
        <f>IFERROR(
    IF(
        OR(ISBLANK(I33), ISBLANK(L33)),
        "",
        MAX(
            1,
            IF(
                NETWORKDAYS(I33, L33, Holiday_Dates) &lt;= 0,
                1,
                NETWORKDAYS(I33, L33, Holiday_Dates) - IF(I33 = L33, 0, 1)
            )
        )
    ),
    ""
)</f>
        <v/>
      </c>
      <c r="Q33" s="385" t="str">
        <f>IF(
    OR(ISBLANK(L33), ISBLANK(M33)),
    "",
    MAX(
        1,
        IF(
            NETWORKDAYS(L33, M33, Holiday_Dates) &lt;= 0,
            1,
            NETWORKDAYS(L33, M33, Holiday_Dates) - IF(L33 = M33, 0, 1)
        )
    )
)</f>
        <v/>
      </c>
      <c r="R33" s="385" t="str">
        <f>IFERROR(
    IF(
        OR(ISBLANK(N33), AND(ISBLANK(L33), ISBLANK(M33))),
        "",
        MAX(
            1,
            IF(
                NETWORKDAYS(IF(NOT(ISBLANK(M33)), M33, L33), N33, Holiday_Dates) &lt;= 0,
                1,
                NETWORKDAYS(IF(NOT(ISBLANK(M33)), M33, L33), N33, Holiday_Dates)
                - IF(IF(NOT(ISBLANK(M33)), M33, L33) = N33, 0, 1)
            )
        )
    ),
    ""
)</f>
        <v/>
      </c>
      <c r="S33" s="385" t="str">
        <f>IFERROR(
    IF(
        OR(ISBLANK(N33), ISBLANK(O33)),
        "",
        MAX(
            1,
            IF(
                NETWORKDAYS(N33, O33, Holiday_Dates) &lt;= 0,
                1,
                NETWORKDAYS(N33, O33, Holiday_Dates) - IF(N33 = O33, 0, 1)
            )
        )
    ),
    ""
)</f>
        <v/>
      </c>
      <c r="T33" s="385"/>
      <c r="U33" s="385" t="s">
        <v>4</v>
      </c>
      <c r="V33" s="385" t="s">
        <v>101</v>
      </c>
      <c r="W33" s="385" t="s">
        <v>1436</v>
      </c>
      <c r="X33" s="1"/>
    </row>
    <row r="34" spans="1:24" ht="28.5">
      <c r="A34" s="385" t="s">
        <v>47</v>
      </c>
      <c r="B34" s="385" t="s">
        <v>334</v>
      </c>
      <c r="C34" s="385" t="s">
        <v>1484</v>
      </c>
      <c r="D34" s="385" t="s">
        <v>89</v>
      </c>
      <c r="E34" s="385"/>
      <c r="F34" s="385"/>
      <c r="G34" s="385"/>
      <c r="H34" s="30" t="s">
        <v>4595</v>
      </c>
      <c r="I34" s="397" t="s">
        <v>4596</v>
      </c>
      <c r="J34" s="30" t="s">
        <v>4597</v>
      </c>
      <c r="K34" s="385"/>
      <c r="L34" s="385"/>
      <c r="M34" s="385"/>
      <c r="N34" s="385"/>
      <c r="O34" s="385"/>
      <c r="P34" s="385" t="str">
        <f>IFERROR(
    IF(
        OR(ISBLANK(I34), ISBLANK(L34)),
        "",
        MAX(
            1,
            IF(
                NETWORKDAYS(I34, L34, Holiday_Dates) &lt;= 0,
                1,
                NETWORKDAYS(I34, L34, Holiday_Dates) - IF(I34 = L34, 0, 1)
            )
        )
    ),
    ""
)</f>
        <v/>
      </c>
      <c r="Q34" s="385" t="str">
        <f>IF(
    OR(ISBLANK(L34), ISBLANK(M34)),
    "",
    MAX(
        1,
        IF(
            NETWORKDAYS(L34, M34, Holiday_Dates) &lt;= 0,
            1,
            NETWORKDAYS(L34, M34, Holiday_Dates) - IF(L34 = M34, 0, 1)
        )
    )
)</f>
        <v/>
      </c>
      <c r="R34" s="385" t="str">
        <f>IFERROR(
    IF(
        OR(ISBLANK(N34), AND(ISBLANK(L34), ISBLANK(M34))),
        "",
        MAX(
            1,
            IF(
                NETWORKDAYS(IF(NOT(ISBLANK(M34)), M34, L34), N34, Holiday_Dates) &lt;= 0,
                1,
                NETWORKDAYS(IF(NOT(ISBLANK(M34)), M34, L34), N34, Holiday_Dates)
                - IF(IF(NOT(ISBLANK(M34)), M34, L34) = N34, 0, 1)
            )
        )
    ),
    ""
)</f>
        <v/>
      </c>
      <c r="S34" s="385" t="str">
        <f>IFERROR(
    IF(
        OR(ISBLANK(N34), ISBLANK(O34)),
        "",
        MAX(
            1,
            IF(
                NETWORKDAYS(N34, O34, Holiday_Dates) &lt;= 0,
                1,
                NETWORKDAYS(N34, O34, Holiday_Dates) - IF(N34 = O34, 0, 1)
            )
        )
    ),
    ""
)</f>
        <v/>
      </c>
      <c r="T34" s="385"/>
      <c r="U34" s="385" t="s">
        <v>4</v>
      </c>
      <c r="V34" s="385" t="s">
        <v>101</v>
      </c>
      <c r="W34" s="385" t="s">
        <v>1436</v>
      </c>
      <c r="X34" s="1"/>
    </row>
    <row r="35" spans="1:24">
      <c r="A35" s="385" t="s">
        <v>47</v>
      </c>
      <c r="B35" s="385" t="s">
        <v>334</v>
      </c>
      <c r="C35" s="385" t="s">
        <v>1486</v>
      </c>
      <c r="D35" s="385" t="s">
        <v>89</v>
      </c>
      <c r="E35" s="385"/>
      <c r="F35" s="385"/>
      <c r="G35" s="385"/>
      <c r="H35" s="385">
        <v>2024</v>
      </c>
      <c r="I35" s="386">
        <v>45581</v>
      </c>
      <c r="J35" s="30"/>
      <c r="K35" s="385"/>
      <c r="L35" s="385"/>
      <c r="M35" s="385"/>
      <c r="N35" s="385"/>
      <c r="O35" s="385"/>
      <c r="P35" s="385" t="str">
        <f>IFERROR(
    IF(
        OR(ISBLANK(I35), ISBLANK(L35)),
        "",
        MAX(
            1,
            IF(
                NETWORKDAYS(I35, L35, Holiday_Dates) &lt;= 0,
                1,
                NETWORKDAYS(I35, L35, Holiday_Dates) - IF(I35 = L35, 0, 1)
            )
        )
    ),
    ""
)</f>
        <v/>
      </c>
      <c r="Q35" s="385" t="str">
        <f>IF(
    OR(ISBLANK(L35), ISBLANK(M35)),
    "",
    MAX(
        1,
        IF(
            NETWORKDAYS(L35, M35, Holiday_Dates) &lt;= 0,
            1,
            NETWORKDAYS(L35, M35, Holiday_Dates) - IF(L35 = M35, 0, 1)
        )
    )
)</f>
        <v/>
      </c>
      <c r="R35" s="385" t="str">
        <f>IFERROR(
    IF(
        OR(ISBLANK(N35), AND(ISBLANK(L35), ISBLANK(M35))),
        "",
        MAX(
            1,
            IF(
                NETWORKDAYS(IF(NOT(ISBLANK(M35)), M35, L35), N35, Holiday_Dates) &lt;= 0,
                1,
                NETWORKDAYS(IF(NOT(ISBLANK(M35)), M35, L35), N35, Holiday_Dates)
                - IF(IF(NOT(ISBLANK(M35)), M35, L35) = N35, 0, 1)
            )
        )
    ),
    ""
)</f>
        <v/>
      </c>
      <c r="S35" s="385" t="str">
        <f>IFERROR(
    IF(
        OR(ISBLANK(N35), ISBLANK(O35)),
        "",
        MAX(
            1,
            IF(
                NETWORKDAYS(N35, O35, Holiday_Dates) &lt;= 0,
                1,
                NETWORKDAYS(N35, O35, Holiday_Dates) - IF(N35 = O35, 0, 1)
            )
        )
    ),
    ""
)</f>
        <v/>
      </c>
      <c r="T35" s="385"/>
      <c r="U35" s="385" t="s">
        <v>4</v>
      </c>
      <c r="V35" s="385" t="s">
        <v>101</v>
      </c>
      <c r="W35" s="385" t="s">
        <v>1436</v>
      </c>
      <c r="X35" s="1"/>
    </row>
    <row r="36" spans="1:24">
      <c r="A36" s="385" t="s">
        <v>47</v>
      </c>
      <c r="B36" s="385" t="s">
        <v>334</v>
      </c>
      <c r="C36" s="385" t="s">
        <v>439</v>
      </c>
      <c r="D36" s="385" t="s">
        <v>89</v>
      </c>
      <c r="E36" s="385"/>
      <c r="F36" s="385"/>
      <c r="G36" s="385"/>
      <c r="H36" s="385">
        <v>2024</v>
      </c>
      <c r="I36" s="386">
        <v>45611</v>
      </c>
      <c r="J36" s="30"/>
      <c r="K36" s="385"/>
      <c r="L36" s="385"/>
      <c r="M36" s="385"/>
      <c r="N36" s="385"/>
      <c r="O36" s="385"/>
      <c r="P36" s="385" t="str">
        <f>IFERROR(
    IF(
        OR(ISBLANK(I36), ISBLANK(L36)),
        "",
        MAX(
            1,
            IF(
                NETWORKDAYS(I36, L36, Holiday_Dates) &lt;= 0,
                1,
                NETWORKDAYS(I36, L36, Holiday_Dates) - IF(I36 = L36, 0, 1)
            )
        )
    ),
    ""
)</f>
        <v/>
      </c>
      <c r="Q36" s="385" t="str">
        <f>IF(
    OR(ISBLANK(L36), ISBLANK(M36)),
    "",
    MAX(
        1,
        IF(
            NETWORKDAYS(L36, M36, Holiday_Dates) &lt;= 0,
            1,
            NETWORKDAYS(L36, M36, Holiday_Dates) - IF(L36 = M36, 0, 1)
        )
    )
)</f>
        <v/>
      </c>
      <c r="R36" s="385" t="str">
        <f>IFERROR(
    IF(
        OR(ISBLANK(N36), AND(ISBLANK(L36), ISBLANK(M36))),
        "",
        MAX(
            1,
            IF(
                NETWORKDAYS(IF(NOT(ISBLANK(M36)), M36, L36), N36, Holiday_Dates) &lt;= 0,
                1,
                NETWORKDAYS(IF(NOT(ISBLANK(M36)), M36, L36), N36, Holiday_Dates)
                - IF(IF(NOT(ISBLANK(M36)), M36, L36) = N36, 0, 1)
            )
        )
    ),
    ""
)</f>
        <v/>
      </c>
      <c r="S36" s="385" t="str">
        <f>IFERROR(
    IF(
        OR(ISBLANK(N36), ISBLANK(O36)),
        "",
        MAX(
            1,
            IF(
                NETWORKDAYS(N36, O36, Holiday_Dates) &lt;= 0,
                1,
                NETWORKDAYS(N36, O36, Holiday_Dates) - IF(N36 = O36, 0, 1)
            )
        )
    ),
    ""
)</f>
        <v/>
      </c>
      <c r="T36" s="385"/>
      <c r="U36" s="385" t="s">
        <v>4</v>
      </c>
      <c r="V36" s="385" t="s">
        <v>101</v>
      </c>
      <c r="W36" s="385" t="s">
        <v>1436</v>
      </c>
      <c r="X36" s="1"/>
    </row>
    <row r="37" spans="1:24">
      <c r="A37" s="385" t="s">
        <v>47</v>
      </c>
      <c r="B37" s="385" t="s">
        <v>334</v>
      </c>
      <c r="C37" s="385" t="s">
        <v>1488</v>
      </c>
      <c r="D37" s="385" t="s">
        <v>89</v>
      </c>
      <c r="E37" s="385"/>
      <c r="F37" s="385"/>
      <c r="G37" s="385"/>
      <c r="H37" s="385">
        <v>2024</v>
      </c>
      <c r="I37" s="386">
        <v>45604</v>
      </c>
      <c r="J37" s="30"/>
      <c r="K37" s="385"/>
      <c r="L37" s="385"/>
      <c r="M37" s="385"/>
      <c r="N37" s="385"/>
      <c r="O37" s="385"/>
      <c r="P37" s="385" t="str">
        <f>IFERROR(
    IF(
        OR(ISBLANK(I37), ISBLANK(L37)),
        "",
        MAX(
            1,
            IF(
                NETWORKDAYS(I37, L37, Holiday_Dates) &lt;= 0,
                1,
                NETWORKDAYS(I37, L37, Holiday_Dates) - IF(I37 = L37, 0, 1)
            )
        )
    ),
    ""
)</f>
        <v/>
      </c>
      <c r="Q37" s="385" t="str">
        <f>IF(
    OR(ISBLANK(L37), ISBLANK(M37)),
    "",
    MAX(
        1,
        IF(
            NETWORKDAYS(L37, M37, Holiday_Dates) &lt;= 0,
            1,
            NETWORKDAYS(L37, M37, Holiday_Dates) - IF(L37 = M37, 0, 1)
        )
    )
)</f>
        <v/>
      </c>
      <c r="R37" s="385" t="str">
        <f>IFERROR(
    IF(
        OR(ISBLANK(N37), AND(ISBLANK(L37), ISBLANK(M37))),
        "",
        MAX(
            1,
            IF(
                NETWORKDAYS(IF(NOT(ISBLANK(M37)), M37, L37), N37, Holiday_Dates) &lt;= 0,
                1,
                NETWORKDAYS(IF(NOT(ISBLANK(M37)), M37, L37), N37, Holiday_Dates)
                - IF(IF(NOT(ISBLANK(M37)), M37, L37) = N37, 0, 1)
            )
        )
    ),
    ""
)</f>
        <v/>
      </c>
      <c r="S37" s="385" t="str">
        <f>IFERROR(
    IF(
        OR(ISBLANK(N37), ISBLANK(O37)),
        "",
        MAX(
            1,
            IF(
                NETWORKDAYS(N37, O37, Holiday_Dates) &lt;= 0,
                1,
                NETWORKDAYS(N37, O37, Holiday_Dates) - IF(N37 = O37, 0, 1)
            )
        )
    ),
    ""
)</f>
        <v/>
      </c>
      <c r="T37" s="385"/>
      <c r="U37" s="385" t="s">
        <v>4</v>
      </c>
      <c r="V37" s="385" t="s">
        <v>101</v>
      </c>
      <c r="W37" s="385" t="s">
        <v>1436</v>
      </c>
      <c r="X37" s="1"/>
    </row>
    <row r="38" spans="1:24">
      <c r="A38" s="385" t="s">
        <v>47</v>
      </c>
      <c r="B38" s="385" t="s">
        <v>334</v>
      </c>
      <c r="C38" s="385" t="s">
        <v>1490</v>
      </c>
      <c r="D38" s="385" t="s">
        <v>89</v>
      </c>
      <c r="E38" s="385"/>
      <c r="F38" s="385"/>
      <c r="G38" s="385"/>
      <c r="H38" s="385">
        <v>2024</v>
      </c>
      <c r="I38" s="386">
        <v>45581</v>
      </c>
      <c r="J38" s="30"/>
      <c r="K38" s="385"/>
      <c r="L38" s="385"/>
      <c r="M38" s="385"/>
      <c r="N38" s="385"/>
      <c r="O38" s="385"/>
      <c r="P38" s="385" t="str">
        <f>IFERROR(
    IF(
        OR(ISBLANK(I38), ISBLANK(L38)),
        "",
        MAX(
            1,
            IF(
                NETWORKDAYS(I38, L38, Holiday_Dates) &lt;= 0,
                1,
                NETWORKDAYS(I38, L38, Holiday_Dates) - IF(I38 = L38, 0, 1)
            )
        )
    ),
    ""
)</f>
        <v/>
      </c>
      <c r="Q38" s="385" t="str">
        <f>IF(
    OR(ISBLANK(L38), ISBLANK(M38)),
    "",
    MAX(
        1,
        IF(
            NETWORKDAYS(L38, M38, Holiday_Dates) &lt;= 0,
            1,
            NETWORKDAYS(L38, M38, Holiday_Dates) - IF(L38 = M38, 0, 1)
        )
    )
)</f>
        <v/>
      </c>
      <c r="R38" s="385" t="str">
        <f>IFERROR(
    IF(
        OR(ISBLANK(N38), AND(ISBLANK(L38), ISBLANK(M38))),
        "",
        MAX(
            1,
            IF(
                NETWORKDAYS(IF(NOT(ISBLANK(M38)), M38, L38), N38, Holiday_Dates) &lt;= 0,
                1,
                NETWORKDAYS(IF(NOT(ISBLANK(M38)), M38, L38), N38, Holiday_Dates)
                - IF(IF(NOT(ISBLANK(M38)), M38, L38) = N38, 0, 1)
            )
        )
    ),
    ""
)</f>
        <v/>
      </c>
      <c r="S38" s="385" t="str">
        <f>IFERROR(
    IF(
        OR(ISBLANK(N38), ISBLANK(O38)),
        "",
        MAX(
            1,
            IF(
                NETWORKDAYS(N38, O38, Holiday_Dates) &lt;= 0,
                1,
                NETWORKDAYS(N38, O38, Holiday_Dates) - IF(N38 = O38, 0, 1)
            )
        )
    ),
    ""
)</f>
        <v/>
      </c>
      <c r="T38" s="385"/>
      <c r="U38" s="385" t="s">
        <v>4</v>
      </c>
      <c r="V38" s="385" t="s">
        <v>101</v>
      </c>
      <c r="W38" s="385" t="s">
        <v>1436</v>
      </c>
      <c r="X38" s="1"/>
    </row>
    <row r="39" spans="1:24">
      <c r="A39" s="385" t="s">
        <v>47</v>
      </c>
      <c r="B39" s="385" t="s">
        <v>468</v>
      </c>
      <c r="C39" s="385" t="s">
        <v>1503</v>
      </c>
      <c r="D39" s="385" t="s">
        <v>89</v>
      </c>
      <c r="E39" s="385"/>
      <c r="F39" s="385"/>
      <c r="G39" s="385"/>
      <c r="H39" s="385">
        <v>2025</v>
      </c>
      <c r="I39" s="386">
        <v>45693</v>
      </c>
      <c r="J39" s="30" t="s">
        <v>4598</v>
      </c>
      <c r="K39" s="385"/>
      <c r="L39" s="385"/>
      <c r="M39" s="385"/>
      <c r="N39" s="385"/>
      <c r="O39" s="385"/>
      <c r="P39" s="385" t="str">
        <f>IFERROR(
    IF(
        OR(ISBLANK(I39), ISBLANK(L39)),
        "",
        MAX(
            1,
            IF(
                NETWORKDAYS(I39, L39, Holiday_Dates) &lt;= 0,
                1,
                NETWORKDAYS(I39, L39, Holiday_Dates) - IF(I39 = L39, 0, 1)
            )
        )
    ),
    ""
)</f>
        <v/>
      </c>
      <c r="Q39" s="385" t="str">
        <f>IF(
    OR(ISBLANK(L39), ISBLANK(M39)),
    "",
    MAX(
        1,
        IF(
            NETWORKDAYS(L39, M39, Holiday_Dates) &lt;= 0,
            1,
            NETWORKDAYS(L39, M39, Holiday_Dates) - IF(L39 = M39, 0, 1)
        )
    )
)</f>
        <v/>
      </c>
      <c r="R39" s="385" t="str">
        <f>IFERROR(
    IF(
        OR(ISBLANK(N39), AND(ISBLANK(L39), ISBLANK(M39))),
        "",
        MAX(
            1,
            IF(
                NETWORKDAYS(IF(NOT(ISBLANK(M39)), M39, L39), N39, Holiday_Dates) &lt;= 0,
                1,
                NETWORKDAYS(IF(NOT(ISBLANK(M39)), M39, L39), N39, Holiday_Dates)
                - IF(IF(NOT(ISBLANK(M39)), M39, L39) = N39, 0, 1)
            )
        )
    ),
    ""
)</f>
        <v/>
      </c>
      <c r="S39" s="385" t="str">
        <f>IFERROR(
    IF(
        OR(ISBLANK(N39), ISBLANK(O39)),
        "",
        MAX(
            1,
            IF(
                NETWORKDAYS(N39, O39, Holiday_Dates) &lt;= 0,
                1,
                NETWORKDAYS(N39, O39, Holiday_Dates) - IF(N39 = O39, 0, 1)
            )
        )
    ),
    ""
)</f>
        <v/>
      </c>
      <c r="T39" s="385"/>
      <c r="U39" s="385" t="s">
        <v>672</v>
      </c>
      <c r="V39" s="385" t="s">
        <v>101</v>
      </c>
      <c r="W39" s="385" t="s">
        <v>1436</v>
      </c>
      <c r="X39" s="1"/>
    </row>
    <row r="40" spans="1:24">
      <c r="A40" s="385" t="s">
        <v>47</v>
      </c>
      <c r="B40" s="385" t="s">
        <v>468</v>
      </c>
      <c r="C40" s="385" t="s">
        <v>1504</v>
      </c>
      <c r="D40" s="385" t="s">
        <v>89</v>
      </c>
      <c r="E40" s="385"/>
      <c r="F40" s="385"/>
      <c r="G40" s="385"/>
      <c r="H40" s="385">
        <v>2024</v>
      </c>
      <c r="I40" s="386">
        <v>45602</v>
      </c>
      <c r="J40" s="30"/>
      <c r="K40" s="385"/>
      <c r="L40" s="385"/>
      <c r="M40" s="385"/>
      <c r="N40" s="385"/>
      <c r="O40" s="385"/>
      <c r="P40" s="385" t="str">
        <f>IFERROR(
    IF(
        OR(ISBLANK(I40), ISBLANK(L40)),
        "",
        MAX(
            1,
            IF(
                NETWORKDAYS(I40, L40, Holiday_Dates) &lt;= 0,
                1,
                NETWORKDAYS(I40, L40, Holiday_Dates) - IF(I40 = L40, 0, 1)
            )
        )
    ),
    ""
)</f>
        <v/>
      </c>
      <c r="Q40" s="385" t="str">
        <f>IF(
    OR(ISBLANK(L40), ISBLANK(M40)),
    "",
    MAX(
        1,
        IF(
            NETWORKDAYS(L40, M40, Holiday_Dates) &lt;= 0,
            1,
            NETWORKDAYS(L40, M40, Holiday_Dates) - IF(L40 = M40, 0, 1)
        )
    )
)</f>
        <v/>
      </c>
      <c r="R40" s="385" t="str">
        <f>IFERROR(
    IF(
        OR(ISBLANK(N40), AND(ISBLANK(L40), ISBLANK(M40))),
        "",
        MAX(
            1,
            IF(
                NETWORKDAYS(IF(NOT(ISBLANK(M40)), M40, L40), N40, Holiday_Dates) &lt;= 0,
                1,
                NETWORKDAYS(IF(NOT(ISBLANK(M40)), M40, L40), N40, Holiday_Dates)
                - IF(IF(NOT(ISBLANK(M40)), M40, L40) = N40, 0, 1)
            )
        )
    ),
    ""
)</f>
        <v/>
      </c>
      <c r="S40" s="385" t="str">
        <f>IFERROR(
    IF(
        OR(ISBLANK(N40), ISBLANK(O40)),
        "",
        MAX(
            1,
            IF(
                NETWORKDAYS(N40, O40, Holiday_Dates) &lt;= 0,
                1,
                NETWORKDAYS(N40, O40, Holiday_Dates) - IF(N40 = O40, 0, 1)
            )
        )
    ),
    ""
)</f>
        <v/>
      </c>
      <c r="T40" s="385"/>
      <c r="U40" s="385" t="s">
        <v>4</v>
      </c>
      <c r="V40" s="385" t="s">
        <v>101</v>
      </c>
      <c r="W40" s="385" t="s">
        <v>1436</v>
      </c>
      <c r="X40" s="1"/>
    </row>
    <row r="41" spans="1:24">
      <c r="A41" s="385" t="s">
        <v>47</v>
      </c>
      <c r="B41" s="385" t="s">
        <v>468</v>
      </c>
      <c r="C41" s="385" t="s">
        <v>1506</v>
      </c>
      <c r="D41" s="385" t="s">
        <v>89</v>
      </c>
      <c r="E41" s="385"/>
      <c r="F41" s="385"/>
      <c r="G41" s="385"/>
      <c r="H41" s="385">
        <v>2024</v>
      </c>
      <c r="I41" s="386">
        <v>45602</v>
      </c>
      <c r="J41" s="30"/>
      <c r="K41" s="385"/>
      <c r="L41" s="385"/>
      <c r="M41" s="385"/>
      <c r="N41" s="385"/>
      <c r="O41" s="385"/>
      <c r="P41" s="385" t="str">
        <f>IFERROR(
    IF(
        OR(ISBLANK(I41), ISBLANK(L41)),
        "",
        MAX(
            1,
            IF(
                NETWORKDAYS(I41, L41, Holiday_Dates) &lt;= 0,
                1,
                NETWORKDAYS(I41, L41, Holiday_Dates) - IF(I41 = L41, 0, 1)
            )
        )
    ),
    ""
)</f>
        <v/>
      </c>
      <c r="Q41" s="385" t="str">
        <f>IF(
    OR(ISBLANK(L41), ISBLANK(M41)),
    "",
    MAX(
        1,
        IF(
            NETWORKDAYS(L41, M41, Holiday_Dates) &lt;= 0,
            1,
            NETWORKDAYS(L41, M41, Holiday_Dates) - IF(L41 = M41, 0, 1)
        )
    )
)</f>
        <v/>
      </c>
      <c r="R41" s="385" t="str">
        <f>IFERROR(
    IF(
        OR(ISBLANK(N41), AND(ISBLANK(L41), ISBLANK(M41))),
        "",
        MAX(
            1,
            IF(
                NETWORKDAYS(IF(NOT(ISBLANK(M41)), M41, L41), N41, Holiday_Dates) &lt;= 0,
                1,
                NETWORKDAYS(IF(NOT(ISBLANK(M41)), M41, L41), N41, Holiday_Dates)
                - IF(IF(NOT(ISBLANK(M41)), M41, L41) = N41, 0, 1)
            )
        )
    ),
    ""
)</f>
        <v/>
      </c>
      <c r="S41" s="385" t="str">
        <f>IFERROR(
    IF(
        OR(ISBLANK(N41), ISBLANK(O41)),
        "",
        MAX(
            1,
            IF(
                NETWORKDAYS(N41, O41, Holiday_Dates) &lt;= 0,
                1,
                NETWORKDAYS(N41, O41, Holiday_Dates) - IF(N41 = O41, 0, 1)
            )
        )
    ),
    ""
)</f>
        <v/>
      </c>
      <c r="T41" s="385"/>
      <c r="U41" s="385" t="s">
        <v>4</v>
      </c>
      <c r="V41" s="385" t="s">
        <v>101</v>
      </c>
      <c r="W41" s="385" t="s">
        <v>1436</v>
      </c>
      <c r="X41" s="1"/>
    </row>
    <row r="42" spans="1:24">
      <c r="A42" s="385" t="s">
        <v>47</v>
      </c>
      <c r="B42" s="385" t="s">
        <v>468</v>
      </c>
      <c r="C42" s="385" t="s">
        <v>1508</v>
      </c>
      <c r="D42" s="385" t="s">
        <v>89</v>
      </c>
      <c r="E42" s="385"/>
      <c r="F42" s="385"/>
      <c r="G42" s="385"/>
      <c r="H42" s="385">
        <v>2024</v>
      </c>
      <c r="I42" s="386">
        <v>45552</v>
      </c>
      <c r="J42" s="30"/>
      <c r="K42" s="385"/>
      <c r="L42" s="385"/>
      <c r="M42" s="385"/>
      <c r="N42" s="385"/>
      <c r="O42" s="385"/>
      <c r="P42" s="385" t="str">
        <f>IFERROR(
    IF(
        OR(ISBLANK(I42), ISBLANK(L42)),
        "",
        MAX(
            1,
            IF(
                NETWORKDAYS(I42, L42, Holiday_Dates) &lt;= 0,
                1,
                NETWORKDAYS(I42, L42, Holiday_Dates) - IF(I42 = L42, 0, 1)
            )
        )
    ),
    ""
)</f>
        <v/>
      </c>
      <c r="Q42" s="385" t="str">
        <f>IF(
    OR(ISBLANK(L42), ISBLANK(M42)),
    "",
    MAX(
        1,
        IF(
            NETWORKDAYS(L42, M42, Holiday_Dates) &lt;= 0,
            1,
            NETWORKDAYS(L42, M42, Holiday_Dates) - IF(L42 = M42, 0, 1)
        )
    )
)</f>
        <v/>
      </c>
      <c r="R42" s="385" t="str">
        <f>IFERROR(
    IF(
        OR(ISBLANK(N42), AND(ISBLANK(L42), ISBLANK(M42))),
        "",
        MAX(
            1,
            IF(
                NETWORKDAYS(IF(NOT(ISBLANK(M42)), M42, L42), N42, Holiday_Dates) &lt;= 0,
                1,
                NETWORKDAYS(IF(NOT(ISBLANK(M42)), M42, L42), N42, Holiday_Dates)
                - IF(IF(NOT(ISBLANK(M42)), M42, L42) = N42, 0, 1)
            )
        )
    ),
    ""
)</f>
        <v/>
      </c>
      <c r="S42" s="385" t="str">
        <f>IFERROR(
    IF(
        OR(ISBLANK(N42), ISBLANK(O42)),
        "",
        MAX(
            1,
            IF(
                NETWORKDAYS(N42, O42, Holiday_Dates) &lt;= 0,
                1,
                NETWORKDAYS(N42, O42, Holiday_Dates) - IF(N42 = O42, 0, 1)
            )
        )
    ),
    ""
)</f>
        <v/>
      </c>
      <c r="T42" s="385"/>
      <c r="U42" s="385" t="s">
        <v>4</v>
      </c>
      <c r="V42" s="385" t="s">
        <v>101</v>
      </c>
      <c r="W42" s="385" t="s">
        <v>1436</v>
      </c>
      <c r="X42" s="1"/>
    </row>
    <row r="43" spans="1:24">
      <c r="A43" s="385" t="s">
        <v>47</v>
      </c>
      <c r="B43" s="385" t="s">
        <v>468</v>
      </c>
      <c r="C43" s="385" t="s">
        <v>1510</v>
      </c>
      <c r="D43" s="385" t="s">
        <v>89</v>
      </c>
      <c r="E43" s="385"/>
      <c r="F43" s="385"/>
      <c r="G43" s="385"/>
      <c r="H43" s="385">
        <v>2024</v>
      </c>
      <c r="I43" s="386">
        <v>45601</v>
      </c>
      <c r="J43" s="30"/>
      <c r="K43" s="385"/>
      <c r="L43" s="385"/>
      <c r="M43" s="385"/>
      <c r="N43" s="385"/>
      <c r="O43" s="385"/>
      <c r="P43" s="385" t="str">
        <f>IFERROR(
    IF(
        OR(ISBLANK(I43), ISBLANK(L43)),
        "",
        MAX(
            1,
            IF(
                NETWORKDAYS(I43, L43, Holiday_Dates) &lt;= 0,
                1,
                NETWORKDAYS(I43, L43, Holiday_Dates) - IF(I43 = L43, 0, 1)
            )
        )
    ),
    ""
)</f>
        <v/>
      </c>
      <c r="Q43" s="385" t="str">
        <f>IF(
    OR(ISBLANK(L43), ISBLANK(M43)),
    "",
    MAX(
        1,
        IF(
            NETWORKDAYS(L43, M43, Holiday_Dates) &lt;= 0,
            1,
            NETWORKDAYS(L43, M43, Holiday_Dates) - IF(L43 = M43, 0, 1)
        )
    )
)</f>
        <v/>
      </c>
      <c r="R43" s="385" t="str">
        <f>IFERROR(
    IF(
        OR(ISBLANK(N43), AND(ISBLANK(L43), ISBLANK(M43))),
        "",
        MAX(
            1,
            IF(
                NETWORKDAYS(IF(NOT(ISBLANK(M43)), M43, L43), N43, Holiday_Dates) &lt;= 0,
                1,
                NETWORKDAYS(IF(NOT(ISBLANK(M43)), M43, L43), N43, Holiday_Dates)
                - IF(IF(NOT(ISBLANK(M43)), M43, L43) = N43, 0, 1)
            )
        )
    ),
    ""
)</f>
        <v/>
      </c>
      <c r="S43" s="385" t="str">
        <f>IFERROR(
    IF(
        OR(ISBLANK(N43), ISBLANK(O43)),
        "",
        MAX(
            1,
            IF(
                NETWORKDAYS(N43, O43, Holiday_Dates) &lt;= 0,
                1,
                NETWORKDAYS(N43, O43, Holiday_Dates) - IF(N43 = O43, 0, 1)
            )
        )
    ),
    ""
)</f>
        <v/>
      </c>
      <c r="T43" s="385"/>
      <c r="U43" s="385" t="s">
        <v>4</v>
      </c>
      <c r="V43" s="385" t="s">
        <v>101</v>
      </c>
      <c r="W43" s="385" t="s">
        <v>1436</v>
      </c>
      <c r="X43" s="1"/>
    </row>
    <row r="44" spans="1:24">
      <c r="A44" s="385" t="s">
        <v>47</v>
      </c>
      <c r="B44" s="385" t="s">
        <v>468</v>
      </c>
      <c r="C44" s="385" t="s">
        <v>1482</v>
      </c>
      <c r="D44" s="385" t="s">
        <v>89</v>
      </c>
      <c r="E44" s="385"/>
      <c r="F44" s="385"/>
      <c r="G44" s="385"/>
      <c r="H44" s="385">
        <v>2024</v>
      </c>
      <c r="I44" s="386">
        <v>45610</v>
      </c>
      <c r="J44" s="30"/>
      <c r="K44" s="385"/>
      <c r="L44" s="385"/>
      <c r="M44" s="385"/>
      <c r="N44" s="385"/>
      <c r="O44" s="385"/>
      <c r="P44" s="385" t="str">
        <f>IFERROR(
    IF(
        OR(ISBLANK(I44), ISBLANK(L44)),
        "",
        MAX(
            1,
            IF(
                NETWORKDAYS(I44, L44, Holiday_Dates) &lt;= 0,
                1,
                NETWORKDAYS(I44, L44, Holiday_Dates) - IF(I44 = L44, 0, 1)
            )
        )
    ),
    ""
)</f>
        <v/>
      </c>
      <c r="Q44" s="385" t="str">
        <f>IF(
    OR(ISBLANK(L44), ISBLANK(M44)),
    "",
    MAX(
        1,
        IF(
            NETWORKDAYS(L44, M44, Holiday_Dates) &lt;= 0,
            1,
            NETWORKDAYS(L44, M44, Holiday_Dates) - IF(L44 = M44, 0, 1)
        )
    )
)</f>
        <v/>
      </c>
      <c r="R44" s="385" t="str">
        <f>IFERROR(
    IF(
        OR(ISBLANK(N44), AND(ISBLANK(L44), ISBLANK(M44))),
        "",
        MAX(
            1,
            IF(
                NETWORKDAYS(IF(NOT(ISBLANK(M44)), M44, L44), N44, Holiday_Dates) &lt;= 0,
                1,
                NETWORKDAYS(IF(NOT(ISBLANK(M44)), M44, L44), N44, Holiday_Dates)
                - IF(IF(NOT(ISBLANK(M44)), M44, L44) = N44, 0, 1)
            )
        )
    ),
    ""
)</f>
        <v/>
      </c>
      <c r="S44" s="385" t="str">
        <f>IFERROR(
    IF(
        OR(ISBLANK(N44), ISBLANK(O44)),
        "",
        MAX(
            1,
            IF(
                NETWORKDAYS(N44, O44, Holiday_Dates) &lt;= 0,
                1,
                NETWORKDAYS(N44, O44, Holiday_Dates) - IF(N44 = O44, 0, 1)
            )
        )
    ),
    ""
)</f>
        <v/>
      </c>
      <c r="T44" s="385"/>
      <c r="U44" s="385" t="s">
        <v>4</v>
      </c>
      <c r="V44" s="385" t="s">
        <v>101</v>
      </c>
      <c r="W44" s="385" t="s">
        <v>1436</v>
      </c>
      <c r="X44" s="1"/>
    </row>
    <row r="45" spans="1:24">
      <c r="A45" s="385" t="s">
        <v>47</v>
      </c>
      <c r="B45" s="385" t="s">
        <v>468</v>
      </c>
      <c r="C45" s="385" t="s">
        <v>1512</v>
      </c>
      <c r="D45" s="385" t="s">
        <v>89</v>
      </c>
      <c r="E45" s="385"/>
      <c r="F45" s="385"/>
      <c r="G45" s="385"/>
      <c r="H45" s="385">
        <v>2025</v>
      </c>
      <c r="I45" s="386">
        <v>45720</v>
      </c>
      <c r="J45" s="30" t="s">
        <v>4599</v>
      </c>
      <c r="K45" s="385"/>
      <c r="L45" s="385"/>
      <c r="M45" s="385"/>
      <c r="N45" s="385"/>
      <c r="O45" s="385"/>
      <c r="P45" s="385" t="str">
        <f>IFERROR(
    IF(
        OR(ISBLANK(I45), ISBLANK(L45)),
        "",
        MAX(
            1,
            IF(
                NETWORKDAYS(I45, L45, Holiday_Dates) &lt;= 0,
                1,
                NETWORKDAYS(I45, L45, Holiday_Dates) - IF(I45 = L45, 0, 1)
            )
        )
    ),
    ""
)</f>
        <v/>
      </c>
      <c r="Q45" s="385" t="str">
        <f>IF(
    OR(ISBLANK(L45), ISBLANK(M45)),
    "",
    MAX(
        1,
        IF(
            NETWORKDAYS(L45, M45, Holiday_Dates) &lt;= 0,
            1,
            NETWORKDAYS(L45, M45, Holiday_Dates) - IF(L45 = M45, 0, 1)
        )
    )
)</f>
        <v/>
      </c>
      <c r="R45" s="385" t="str">
        <f>IFERROR(
    IF(
        OR(ISBLANK(N45), AND(ISBLANK(L45), ISBLANK(M45))),
        "",
        MAX(
            1,
            IF(
                NETWORKDAYS(IF(NOT(ISBLANK(M45)), M45, L45), N45, Holiday_Dates) &lt;= 0,
                1,
                NETWORKDAYS(IF(NOT(ISBLANK(M45)), M45, L45), N45, Holiday_Dates)
                - IF(IF(NOT(ISBLANK(M45)), M45, L45) = N45, 0, 1)
            )
        )
    ),
    ""
)</f>
        <v/>
      </c>
      <c r="S45" s="385" t="str">
        <f>IFERROR(
    IF(
        OR(ISBLANK(N45), ISBLANK(O45)),
        "",
        MAX(
            1,
            IF(
                NETWORKDAYS(N45, O45, Holiday_Dates) &lt;= 0,
                1,
                NETWORKDAYS(N45, O45, Holiday_Dates) - IF(N45 = O45, 0, 1)
            )
        )
    ),
    ""
)</f>
        <v/>
      </c>
      <c r="T45" s="385"/>
      <c r="U45" s="385" t="s">
        <v>672</v>
      </c>
      <c r="V45" s="385" t="s">
        <v>101</v>
      </c>
      <c r="W45" s="385" t="s">
        <v>1436</v>
      </c>
      <c r="X45" s="1"/>
    </row>
    <row r="46" spans="1:24">
      <c r="A46" s="385" t="s">
        <v>47</v>
      </c>
      <c r="B46" s="385" t="s">
        <v>468</v>
      </c>
      <c r="C46" s="385" t="s">
        <v>1513</v>
      </c>
      <c r="D46" s="385" t="s">
        <v>89</v>
      </c>
      <c r="E46" s="385"/>
      <c r="F46" s="385"/>
      <c r="G46" s="385"/>
      <c r="H46" s="385">
        <v>2024</v>
      </c>
      <c r="I46" s="386">
        <v>45580</v>
      </c>
      <c r="J46" s="30"/>
      <c r="K46" s="385"/>
      <c r="L46" s="385"/>
      <c r="M46" s="385"/>
      <c r="N46" s="385"/>
      <c r="O46" s="385"/>
      <c r="P46" s="385" t="str">
        <f>IFERROR(
    IF(
        OR(ISBLANK(I46), ISBLANK(L46)),
        "",
        MAX(
            1,
            IF(
                NETWORKDAYS(I46, L46, Holiday_Dates) &lt;= 0,
                1,
                NETWORKDAYS(I46, L46, Holiday_Dates) - IF(I46 = L46, 0, 1)
            )
        )
    ),
    ""
)</f>
        <v/>
      </c>
      <c r="Q46" s="385" t="str">
        <f>IF(
    OR(ISBLANK(L46), ISBLANK(M46)),
    "",
    MAX(
        1,
        IF(
            NETWORKDAYS(L46, M46, Holiday_Dates) &lt;= 0,
            1,
            NETWORKDAYS(L46, M46, Holiday_Dates) - IF(L46 = M46, 0, 1)
        )
    )
)</f>
        <v/>
      </c>
      <c r="R46" s="385" t="str">
        <f>IFERROR(
    IF(
        OR(ISBLANK(N46), AND(ISBLANK(L46), ISBLANK(M46))),
        "",
        MAX(
            1,
            IF(
                NETWORKDAYS(IF(NOT(ISBLANK(M46)), M46, L46), N46, Holiday_Dates) &lt;= 0,
                1,
                NETWORKDAYS(IF(NOT(ISBLANK(M46)), M46, L46), N46, Holiday_Dates)
                - IF(IF(NOT(ISBLANK(M46)), M46, L46) = N46, 0, 1)
            )
        )
    ),
    ""
)</f>
        <v/>
      </c>
      <c r="S46" s="385" t="str">
        <f>IFERROR(
    IF(
        OR(ISBLANK(N46), ISBLANK(O46)),
        "",
        MAX(
            1,
            IF(
                NETWORKDAYS(N46, O46, Holiday_Dates) &lt;= 0,
                1,
                NETWORKDAYS(N46, O46, Holiday_Dates) - IF(N46 = O46, 0, 1)
            )
        )
    ),
    ""
)</f>
        <v/>
      </c>
      <c r="T46" s="385"/>
      <c r="U46" s="385" t="s">
        <v>4</v>
      </c>
      <c r="V46" s="385" t="s">
        <v>101</v>
      </c>
      <c r="W46" s="385" t="s">
        <v>1436</v>
      </c>
      <c r="X46" s="1"/>
    </row>
    <row r="47" spans="1:24">
      <c r="A47" s="385" t="s">
        <v>47</v>
      </c>
      <c r="B47" s="385" t="s">
        <v>468</v>
      </c>
      <c r="C47" s="385" t="s">
        <v>1515</v>
      </c>
      <c r="D47" s="385" t="s">
        <v>89</v>
      </c>
      <c r="E47" s="385"/>
      <c r="F47" s="385"/>
      <c r="G47" s="385"/>
      <c r="H47" s="385">
        <v>2024</v>
      </c>
      <c r="I47" s="386">
        <v>45552</v>
      </c>
      <c r="J47" s="30"/>
      <c r="K47" s="385"/>
      <c r="L47" s="385"/>
      <c r="M47" s="385"/>
      <c r="N47" s="385"/>
      <c r="O47" s="385"/>
      <c r="P47" s="385" t="str">
        <f>IFERROR(
    IF(
        OR(ISBLANK(I47), ISBLANK(L47)),
        "",
        MAX(
            1,
            IF(
                NETWORKDAYS(I47, L47, Holiday_Dates) &lt;= 0,
                1,
                NETWORKDAYS(I47, L47, Holiday_Dates) - IF(I47 = L47, 0, 1)
            )
        )
    ),
    ""
)</f>
        <v/>
      </c>
      <c r="Q47" s="385" t="str">
        <f>IF(
    OR(ISBLANK(L47), ISBLANK(M47)),
    "",
    MAX(
        1,
        IF(
            NETWORKDAYS(L47, M47, Holiday_Dates) &lt;= 0,
            1,
            NETWORKDAYS(L47, M47, Holiday_Dates) - IF(L47 = M47, 0, 1)
        )
    )
)</f>
        <v/>
      </c>
      <c r="R47" s="385" t="str">
        <f>IFERROR(
    IF(
        OR(ISBLANK(N47), AND(ISBLANK(L47), ISBLANK(M47))),
        "",
        MAX(
            1,
            IF(
                NETWORKDAYS(IF(NOT(ISBLANK(M47)), M47, L47), N47, Holiday_Dates) &lt;= 0,
                1,
                NETWORKDAYS(IF(NOT(ISBLANK(M47)), M47, L47), N47, Holiday_Dates)
                - IF(IF(NOT(ISBLANK(M47)), M47, L47) = N47, 0, 1)
            )
        )
    ),
    ""
)</f>
        <v/>
      </c>
      <c r="S47" s="385" t="str">
        <f>IFERROR(
    IF(
        OR(ISBLANK(N47), ISBLANK(O47)),
        "",
        MAX(
            1,
            IF(
                NETWORKDAYS(N47, O47, Holiday_Dates) &lt;= 0,
                1,
                NETWORKDAYS(N47, O47, Holiday_Dates) - IF(N47 = O47, 0, 1)
            )
        )
    ),
    ""
)</f>
        <v/>
      </c>
      <c r="T47" s="385"/>
      <c r="U47" s="385" t="s">
        <v>4</v>
      </c>
      <c r="V47" s="385" t="s">
        <v>101</v>
      </c>
      <c r="W47" s="385" t="s">
        <v>1436</v>
      </c>
      <c r="X47" s="1"/>
    </row>
    <row r="48" spans="1:24">
      <c r="A48" s="385" t="s">
        <v>47</v>
      </c>
      <c r="B48" s="385" t="s">
        <v>468</v>
      </c>
      <c r="C48" s="385" t="s">
        <v>1517</v>
      </c>
      <c r="D48" s="385" t="s">
        <v>89</v>
      </c>
      <c r="E48" s="385"/>
      <c r="F48" s="385"/>
      <c r="G48" s="385"/>
      <c r="H48" s="385">
        <v>2024</v>
      </c>
      <c r="I48" s="386">
        <v>45580</v>
      </c>
      <c r="J48" s="30"/>
      <c r="K48" s="385"/>
      <c r="L48" s="385"/>
      <c r="M48" s="385"/>
      <c r="N48" s="385"/>
      <c r="O48" s="385"/>
      <c r="P48" s="385" t="str">
        <f>IFERROR(
    IF(
        OR(ISBLANK(I48), ISBLANK(L48)),
        "",
        MAX(
            1,
            IF(
                NETWORKDAYS(I48, L48, Holiday_Dates) &lt;= 0,
                1,
                NETWORKDAYS(I48, L48, Holiday_Dates) - IF(I48 = L48, 0, 1)
            )
        )
    ),
    ""
)</f>
        <v/>
      </c>
      <c r="Q48" s="385" t="str">
        <f>IF(
    OR(ISBLANK(L48), ISBLANK(M48)),
    "",
    MAX(
        1,
        IF(
            NETWORKDAYS(L48, M48, Holiday_Dates) &lt;= 0,
            1,
            NETWORKDAYS(L48, M48, Holiday_Dates) - IF(L48 = M48, 0, 1)
        )
    )
)</f>
        <v/>
      </c>
      <c r="R48" s="385" t="str">
        <f>IFERROR(
    IF(
        OR(ISBLANK(N48), AND(ISBLANK(L48), ISBLANK(M48))),
        "",
        MAX(
            1,
            IF(
                NETWORKDAYS(IF(NOT(ISBLANK(M48)), M48, L48), N48, Holiday_Dates) &lt;= 0,
                1,
                NETWORKDAYS(IF(NOT(ISBLANK(M48)), M48, L48), N48, Holiday_Dates)
                - IF(IF(NOT(ISBLANK(M48)), M48, L48) = N48, 0, 1)
            )
        )
    ),
    ""
)</f>
        <v/>
      </c>
      <c r="S48" s="385" t="str">
        <f>IFERROR(
    IF(
        OR(ISBLANK(N48), ISBLANK(O48)),
        "",
        MAX(
            1,
            IF(
                NETWORKDAYS(N48, O48, Holiday_Dates) &lt;= 0,
                1,
                NETWORKDAYS(N48, O48, Holiday_Dates) - IF(N48 = O48, 0, 1)
            )
        )
    ),
    ""
)</f>
        <v/>
      </c>
      <c r="T48" s="385"/>
      <c r="U48" s="385" t="s">
        <v>4</v>
      </c>
      <c r="V48" s="385" t="s">
        <v>101</v>
      </c>
      <c r="W48" s="385" t="s">
        <v>1436</v>
      </c>
      <c r="X48" s="1"/>
    </row>
    <row r="49" spans="1:24">
      <c r="A49" s="385" t="s">
        <v>47</v>
      </c>
      <c r="B49" s="385" t="s">
        <v>468</v>
      </c>
      <c r="C49" s="385" t="s">
        <v>1519</v>
      </c>
      <c r="D49" s="385" t="s">
        <v>89</v>
      </c>
      <c r="E49" s="385"/>
      <c r="F49" s="385"/>
      <c r="G49" s="385"/>
      <c r="H49" s="385">
        <v>2025</v>
      </c>
      <c r="I49" s="386">
        <v>45755</v>
      </c>
      <c r="J49" s="30" t="s">
        <v>4600</v>
      </c>
      <c r="K49" s="385"/>
      <c r="L49" s="385"/>
      <c r="M49" s="385"/>
      <c r="N49" s="385"/>
      <c r="O49" s="385"/>
      <c r="P49" s="385" t="str">
        <f>IFERROR(
    IF(
        OR(ISBLANK(I49), ISBLANK(L49)),
        "",
        MAX(
            1,
            IF(
                NETWORKDAYS(I49, L49, Holiday_Dates) &lt;= 0,
                1,
                NETWORKDAYS(I49, L49, Holiday_Dates) - IF(I49 = L49, 0, 1)
            )
        )
    ),
    ""
)</f>
        <v/>
      </c>
      <c r="Q49" s="385" t="str">
        <f>IF(
    OR(ISBLANK(L49), ISBLANK(M49)),
    "",
    MAX(
        1,
        IF(
            NETWORKDAYS(L49, M49, Holiday_Dates) &lt;= 0,
            1,
            NETWORKDAYS(L49, M49, Holiday_Dates) - IF(L49 = M49, 0, 1)
        )
    )
)</f>
        <v/>
      </c>
      <c r="R49" s="385" t="str">
        <f>IFERROR(
    IF(
        OR(ISBLANK(N49), AND(ISBLANK(L49), ISBLANK(M49))),
        "",
        MAX(
            1,
            IF(
                NETWORKDAYS(IF(NOT(ISBLANK(M49)), M49, L49), N49, Holiday_Dates) &lt;= 0,
                1,
                NETWORKDAYS(IF(NOT(ISBLANK(M49)), M49, L49), N49, Holiday_Dates)
                - IF(IF(NOT(ISBLANK(M49)), M49, L49) = N49, 0, 1)
            )
        )
    ),
    ""
)</f>
        <v/>
      </c>
      <c r="S49" s="385" t="str">
        <f>IFERROR(
    IF(
        OR(ISBLANK(N49), ISBLANK(O49)),
        "",
        MAX(
            1,
            IF(
                NETWORKDAYS(N49, O49, Holiday_Dates) &lt;= 0,
                1,
                NETWORKDAYS(N49, O49, Holiday_Dates) - IF(N49 = O49, 0, 1)
            )
        )
    ),
    ""
)</f>
        <v/>
      </c>
      <c r="T49" s="385"/>
      <c r="U49" s="385" t="s">
        <v>672</v>
      </c>
      <c r="V49" s="385" t="s">
        <v>101</v>
      </c>
      <c r="W49" s="385" t="s">
        <v>1436</v>
      </c>
      <c r="X49" s="1"/>
    </row>
    <row r="50" spans="1:24">
      <c r="A50" s="385" t="s">
        <v>47</v>
      </c>
      <c r="B50" s="385" t="s">
        <v>470</v>
      </c>
      <c r="C50" s="385" t="s">
        <v>1521</v>
      </c>
      <c r="D50" s="385" t="s">
        <v>89</v>
      </c>
      <c r="E50" s="385"/>
      <c r="F50" s="385"/>
      <c r="G50" s="385"/>
      <c r="H50" s="385">
        <v>2024</v>
      </c>
      <c r="I50" s="386">
        <v>45546</v>
      </c>
      <c r="J50" s="30"/>
      <c r="K50" s="385"/>
      <c r="L50" s="385"/>
      <c r="M50" s="385"/>
      <c r="N50" s="385"/>
      <c r="O50" s="385"/>
      <c r="P50" s="385" t="str">
        <f>IFERROR(
    IF(
        OR(ISBLANK(I50), ISBLANK(L50)),
        "",
        MAX(
            1,
            IF(
                NETWORKDAYS(I50, L50, Holiday_Dates) &lt;= 0,
                1,
                NETWORKDAYS(I50, L50, Holiday_Dates) - IF(I50 = L50, 0, 1)
            )
        )
    ),
    ""
)</f>
        <v/>
      </c>
      <c r="Q50" s="385" t="str">
        <f>IF(
    OR(ISBLANK(L50), ISBLANK(M50)),
    "",
    MAX(
        1,
        IF(
            NETWORKDAYS(L50, M50, Holiday_Dates) &lt;= 0,
            1,
            NETWORKDAYS(L50, M50, Holiday_Dates) - IF(L50 = M50, 0, 1)
        )
    )
)</f>
        <v/>
      </c>
      <c r="R50" s="385" t="str">
        <f>IFERROR(
    IF(
        OR(ISBLANK(N50), AND(ISBLANK(L50), ISBLANK(M50))),
        "",
        MAX(
            1,
            IF(
                NETWORKDAYS(IF(NOT(ISBLANK(M50)), M50, L50), N50, Holiday_Dates) &lt;= 0,
                1,
                NETWORKDAYS(IF(NOT(ISBLANK(M50)), M50, L50), N50, Holiday_Dates)
                - IF(IF(NOT(ISBLANK(M50)), M50, L50) = N50, 0, 1)
            )
        )
    ),
    ""
)</f>
        <v/>
      </c>
      <c r="S50" s="385" t="str">
        <f>IFERROR(
    IF(
        OR(ISBLANK(N50), ISBLANK(O50)),
        "",
        MAX(
            1,
            IF(
                NETWORKDAYS(N50, O50, Holiday_Dates) &lt;= 0,
                1,
                NETWORKDAYS(N50, O50, Holiday_Dates) - IF(N50 = O50, 0, 1)
            )
        )
    ),
    ""
)</f>
        <v/>
      </c>
      <c r="T50" s="385"/>
      <c r="U50" s="385" t="s">
        <v>4</v>
      </c>
      <c r="V50" s="385" t="s">
        <v>101</v>
      </c>
      <c r="W50" s="385" t="s">
        <v>1436</v>
      </c>
      <c r="X50" s="1"/>
    </row>
    <row r="51" spans="1:24">
      <c r="A51" s="385" t="s">
        <v>47</v>
      </c>
      <c r="B51" s="385" t="s">
        <v>470</v>
      </c>
      <c r="C51" s="385" t="s">
        <v>1038</v>
      </c>
      <c r="D51" s="385" t="s">
        <v>89</v>
      </c>
      <c r="E51" s="385"/>
      <c r="F51" s="385"/>
      <c r="G51" s="385"/>
      <c r="H51" s="385">
        <v>2024</v>
      </c>
      <c r="I51" s="386">
        <v>45393</v>
      </c>
      <c r="J51" s="30"/>
      <c r="K51" s="385"/>
      <c r="L51" s="385"/>
      <c r="M51" s="385"/>
      <c r="N51" s="385"/>
      <c r="O51" s="385"/>
      <c r="P51" s="385" t="str">
        <f>IFERROR(
    IF(
        OR(ISBLANK(I51), ISBLANK(L51)),
        "",
        MAX(
            1,
            IF(
                NETWORKDAYS(I51, L51, Holiday_Dates) &lt;= 0,
                1,
                NETWORKDAYS(I51, L51, Holiday_Dates) - IF(I51 = L51, 0, 1)
            )
        )
    ),
    ""
)</f>
        <v/>
      </c>
      <c r="Q51" s="385" t="str">
        <f>IF(
    OR(ISBLANK(L51), ISBLANK(M51)),
    "",
    MAX(
        1,
        IF(
            NETWORKDAYS(L51, M51, Holiday_Dates) &lt;= 0,
            1,
            NETWORKDAYS(L51, M51, Holiday_Dates) - IF(L51 = M51, 0, 1)
        )
    )
)</f>
        <v/>
      </c>
      <c r="R51" s="385" t="str">
        <f>IFERROR(
    IF(
        OR(ISBLANK(N51), AND(ISBLANK(L51), ISBLANK(M51))),
        "",
        MAX(
            1,
            IF(
                NETWORKDAYS(IF(NOT(ISBLANK(M51)), M51, L51), N51, Holiday_Dates) &lt;= 0,
                1,
                NETWORKDAYS(IF(NOT(ISBLANK(M51)), M51, L51), N51, Holiday_Dates)
                - IF(IF(NOT(ISBLANK(M51)), M51, L51) = N51, 0, 1)
            )
        )
    ),
    ""
)</f>
        <v/>
      </c>
      <c r="S51" s="385" t="str">
        <f>IFERROR(
    IF(
        OR(ISBLANK(N51), ISBLANK(O51)),
        "",
        MAX(
            1,
            IF(
                NETWORKDAYS(N51, O51, Holiday_Dates) &lt;= 0,
                1,
                NETWORKDAYS(N51, O51, Holiday_Dates) - IF(N51 = O51, 0, 1)
            )
        )
    ),
    ""
)</f>
        <v/>
      </c>
      <c r="T51" s="385"/>
      <c r="U51" s="385" t="s">
        <v>672</v>
      </c>
      <c r="V51" s="385"/>
      <c r="W51" s="385" t="s">
        <v>1436</v>
      </c>
      <c r="X51" s="1"/>
    </row>
    <row r="52" spans="1:24">
      <c r="A52" s="385" t="s">
        <v>47</v>
      </c>
      <c r="B52" s="385" t="s">
        <v>470</v>
      </c>
      <c r="C52" s="385" t="s">
        <v>1530</v>
      </c>
      <c r="D52" s="385" t="s">
        <v>89</v>
      </c>
      <c r="E52" s="385"/>
      <c r="F52" s="385"/>
      <c r="G52" s="385"/>
      <c r="H52" s="385">
        <v>2024</v>
      </c>
      <c r="I52" s="386">
        <v>45546</v>
      </c>
      <c r="J52" s="30"/>
      <c r="K52" s="385"/>
      <c r="L52" s="385"/>
      <c r="M52" s="385"/>
      <c r="N52" s="385"/>
      <c r="O52" s="385"/>
      <c r="P52" s="385" t="str">
        <f>IFERROR(
    IF(
        OR(ISBLANK(I52), ISBLANK(L52)),
        "",
        MAX(
            1,
            IF(
                NETWORKDAYS(I52, L52, Holiday_Dates) &lt;= 0,
                1,
                NETWORKDAYS(I52, L52, Holiday_Dates) - IF(I52 = L52, 0, 1)
            )
        )
    ),
    ""
)</f>
        <v/>
      </c>
      <c r="Q52" s="385" t="str">
        <f>IF(
    OR(ISBLANK(L52), ISBLANK(M52)),
    "",
    MAX(
        1,
        IF(
            NETWORKDAYS(L52, M52, Holiday_Dates) &lt;= 0,
            1,
            NETWORKDAYS(L52, M52, Holiday_Dates) - IF(L52 = M52, 0, 1)
        )
    )
)</f>
        <v/>
      </c>
      <c r="R52" s="385" t="str">
        <f>IFERROR(
    IF(
        OR(ISBLANK(N52), AND(ISBLANK(L52), ISBLANK(M52))),
        "",
        MAX(
            1,
            IF(
                NETWORKDAYS(IF(NOT(ISBLANK(M52)), M52, L52), N52, Holiday_Dates) &lt;= 0,
                1,
                NETWORKDAYS(IF(NOT(ISBLANK(M52)), M52, L52), N52, Holiday_Dates)
                - IF(IF(NOT(ISBLANK(M52)), M52, L52) = N52, 0, 1)
            )
        )
    ),
    ""
)</f>
        <v/>
      </c>
      <c r="S52" s="385" t="str">
        <f>IFERROR(
    IF(
        OR(ISBLANK(N52), ISBLANK(O52)),
        "",
        MAX(
            1,
            IF(
                NETWORKDAYS(N52, O52, Holiday_Dates) &lt;= 0,
                1,
                NETWORKDAYS(N52, O52, Holiday_Dates) - IF(N52 = O52, 0, 1)
            )
        )
    ),
    ""
)</f>
        <v/>
      </c>
      <c r="T52" s="385"/>
      <c r="U52" s="385" t="s">
        <v>4</v>
      </c>
      <c r="V52" s="385" t="s">
        <v>101</v>
      </c>
      <c r="W52" s="385" t="s">
        <v>1436</v>
      </c>
      <c r="X52" s="1"/>
    </row>
    <row r="53" spans="1:24">
      <c r="A53" s="385" t="s">
        <v>47</v>
      </c>
      <c r="B53" s="385" t="s">
        <v>470</v>
      </c>
      <c r="C53" s="385" t="s">
        <v>1532</v>
      </c>
      <c r="D53" s="385" t="s">
        <v>89</v>
      </c>
      <c r="E53" s="385"/>
      <c r="F53" s="385"/>
      <c r="G53" s="385"/>
      <c r="H53" s="385">
        <v>2024</v>
      </c>
      <c r="I53" s="386">
        <v>45449</v>
      </c>
      <c r="J53" s="30"/>
      <c r="K53" s="385"/>
      <c r="L53" s="385"/>
      <c r="M53" s="385"/>
      <c r="N53" s="385"/>
      <c r="O53" s="385"/>
      <c r="P53" s="385" t="str">
        <f>IFERROR(
    IF(
        OR(ISBLANK(I53), ISBLANK(L53)),
        "",
        MAX(
            1,
            IF(
                NETWORKDAYS(I53, L53, Holiday_Dates) &lt;= 0,
                1,
                NETWORKDAYS(I53, L53, Holiday_Dates) - IF(I53 = L53, 0, 1)
            )
        )
    ),
    ""
)</f>
        <v/>
      </c>
      <c r="Q53" s="385" t="str">
        <f>IF(
    OR(ISBLANK(L53), ISBLANK(M53)),
    "",
    MAX(
        1,
        IF(
            NETWORKDAYS(L53, M53, Holiday_Dates) &lt;= 0,
            1,
            NETWORKDAYS(L53, M53, Holiday_Dates) - IF(L53 = M53, 0, 1)
        )
    )
)</f>
        <v/>
      </c>
      <c r="R53" s="385" t="str">
        <f>IFERROR(
    IF(
        OR(ISBLANK(N53), AND(ISBLANK(L53), ISBLANK(M53))),
        "",
        MAX(
            1,
            IF(
                NETWORKDAYS(IF(NOT(ISBLANK(M53)), M53, L53), N53, Holiday_Dates) &lt;= 0,
                1,
                NETWORKDAYS(IF(NOT(ISBLANK(M53)), M53, L53), N53, Holiday_Dates)
                - IF(IF(NOT(ISBLANK(M53)), M53, L53) = N53, 0, 1)
            )
        )
    ),
    ""
)</f>
        <v/>
      </c>
      <c r="S53" s="385" t="str">
        <f>IFERROR(
    IF(
        OR(ISBLANK(N53), ISBLANK(O53)),
        "",
        MAX(
            1,
            IF(
                NETWORKDAYS(N53, O53, Holiday_Dates) &lt;= 0,
                1,
                NETWORKDAYS(N53, O53, Holiday_Dates) - IF(N53 = O53, 0, 1)
            )
        )
    ),
    ""
)</f>
        <v/>
      </c>
      <c r="T53" s="385"/>
      <c r="U53" s="385" t="s">
        <v>672</v>
      </c>
      <c r="V53" s="385"/>
      <c r="W53" s="385" t="s">
        <v>1436</v>
      </c>
      <c r="X53" s="1"/>
    </row>
    <row r="54" spans="1:24" ht="28.5">
      <c r="A54" s="385" t="s">
        <v>47</v>
      </c>
      <c r="B54" s="385" t="s">
        <v>470</v>
      </c>
      <c r="C54" s="385" t="s">
        <v>1527</v>
      </c>
      <c r="D54" s="385" t="s">
        <v>89</v>
      </c>
      <c r="E54" s="385"/>
      <c r="F54" s="385"/>
      <c r="G54" s="385"/>
      <c r="H54" s="30" t="s">
        <v>4595</v>
      </c>
      <c r="I54" s="386" t="s">
        <v>4601</v>
      </c>
      <c r="J54" s="397" t="s">
        <v>4602</v>
      </c>
      <c r="K54" s="385"/>
      <c r="L54" s="385"/>
      <c r="M54" s="385"/>
      <c r="N54" s="385"/>
      <c r="O54" s="385"/>
      <c r="P54" s="385" t="str">
        <f>IFERROR(
    IF(
        OR(ISBLANK(I54), ISBLANK(L54)),
        "",
        MAX(
            1,
            IF(
                NETWORKDAYS(I54, L54, Holiday_Dates) &lt;= 0,
                1,
                NETWORKDAYS(I54, L54, Holiday_Dates) - IF(I54 = L54, 0, 1)
            )
        )
    ),
    ""
)</f>
        <v/>
      </c>
      <c r="Q54" s="385" t="str">
        <f>IF(
    OR(ISBLANK(L54), ISBLANK(M54)),
    "",
    MAX(
        1,
        IF(
            NETWORKDAYS(L54, M54, Holiday_Dates) &lt;= 0,
            1,
            NETWORKDAYS(L54, M54, Holiday_Dates) - IF(L54 = M54, 0, 1)
        )
    )
)</f>
        <v/>
      </c>
      <c r="R54" s="385" t="str">
        <f>IFERROR(
    IF(
        OR(ISBLANK(N54), AND(ISBLANK(L54), ISBLANK(M54))),
        "",
        MAX(
            1,
            IF(
                NETWORKDAYS(IF(NOT(ISBLANK(M54)), M54, L54), N54, Holiday_Dates) &lt;= 0,
                1,
                NETWORKDAYS(IF(NOT(ISBLANK(M54)), M54, L54), N54, Holiday_Dates)
                - IF(IF(NOT(ISBLANK(M54)), M54, L54) = N54, 0, 1)
            )
        )
    ),
    ""
)</f>
        <v/>
      </c>
      <c r="S54" s="385" t="str">
        <f>IFERROR(
    IF(
        OR(ISBLANK(N54), ISBLANK(O54)),
        "",
        MAX(
            1,
            IF(
                NETWORKDAYS(N54, O54, Holiday_Dates) &lt;= 0,
                1,
                NETWORKDAYS(N54, O54, Holiday_Dates) - IF(N54 = O54, 0, 1)
            )
        )
    ),
    ""
)</f>
        <v/>
      </c>
      <c r="T54" s="385"/>
      <c r="U54" s="385" t="s">
        <v>672</v>
      </c>
      <c r="V54" s="385" t="s">
        <v>101</v>
      </c>
      <c r="W54" s="385" t="s">
        <v>1436</v>
      </c>
      <c r="X54" s="1"/>
    </row>
    <row r="55" spans="1:24" ht="28.5">
      <c r="A55" s="385" t="s">
        <v>47</v>
      </c>
      <c r="B55" s="385" t="s">
        <v>470</v>
      </c>
      <c r="C55" s="385" t="s">
        <v>1534</v>
      </c>
      <c r="D55" s="385" t="s">
        <v>89</v>
      </c>
      <c r="E55" s="385"/>
      <c r="F55" s="385"/>
      <c r="G55" s="385"/>
      <c r="H55" s="30" t="s">
        <v>4595</v>
      </c>
      <c r="I55" s="386" t="s">
        <v>4603</v>
      </c>
      <c r="J55" s="30" t="s">
        <v>4604</v>
      </c>
      <c r="K55" s="385"/>
      <c r="L55" s="385"/>
      <c r="M55" s="385"/>
      <c r="N55" s="385"/>
      <c r="O55" s="385"/>
      <c r="P55" s="385" t="str">
        <f>IFERROR(
    IF(
        OR(ISBLANK(I55), ISBLANK(L55)),
        "",
        MAX(
            1,
            IF(
                NETWORKDAYS(I55, L55, Holiday_Dates) &lt;= 0,
                1,
                NETWORKDAYS(I55, L55, Holiday_Dates) - IF(I55 = L55, 0, 1)
            )
        )
    ),
    ""
)</f>
        <v/>
      </c>
      <c r="Q55" s="385" t="str">
        <f>IF(
    OR(ISBLANK(L55), ISBLANK(M55)),
    "",
    MAX(
        1,
        IF(
            NETWORKDAYS(L55, M55, Holiday_Dates) &lt;= 0,
            1,
            NETWORKDAYS(L55, M55, Holiday_Dates) - IF(L55 = M55, 0, 1)
        )
    )
)</f>
        <v/>
      </c>
      <c r="R55" s="385" t="str">
        <f>IFERROR(
    IF(
        OR(ISBLANK(N55), AND(ISBLANK(L55), ISBLANK(M55))),
        "",
        MAX(
            1,
            IF(
                NETWORKDAYS(IF(NOT(ISBLANK(M55)), M55, L55), N55, Holiday_Dates) &lt;= 0,
                1,
                NETWORKDAYS(IF(NOT(ISBLANK(M55)), M55, L55), N55, Holiday_Dates)
                - IF(IF(NOT(ISBLANK(M55)), M55, L55) = N55, 0, 1)
            )
        )
    ),
    ""
)</f>
        <v/>
      </c>
      <c r="S55" s="385" t="str">
        <f>IFERROR(
    IF(
        OR(ISBLANK(N55), ISBLANK(O55)),
        "",
        MAX(
            1,
            IF(
                NETWORKDAYS(N55, O55, Holiday_Dates) &lt;= 0,
                1,
                NETWORKDAYS(N55, O55, Holiday_Dates) - IF(N55 = O55, 0, 1)
            )
        )
    ),
    ""
)</f>
        <v/>
      </c>
      <c r="T55" s="385"/>
      <c r="U55" s="385" t="s">
        <v>4</v>
      </c>
      <c r="V55" s="385" t="s">
        <v>101</v>
      </c>
      <c r="W55" s="385" t="s">
        <v>1436</v>
      </c>
      <c r="X55" s="1"/>
    </row>
    <row r="56" spans="1:24">
      <c r="A56" s="385" t="s">
        <v>47</v>
      </c>
      <c r="B56" s="385" t="s">
        <v>470</v>
      </c>
      <c r="C56" s="385" t="s">
        <v>1536</v>
      </c>
      <c r="D56" s="385" t="s">
        <v>89</v>
      </c>
      <c r="E56" s="385"/>
      <c r="F56" s="385"/>
      <c r="G56" s="385"/>
      <c r="H56" s="385">
        <v>2024</v>
      </c>
      <c r="I56" s="386">
        <v>45450</v>
      </c>
      <c r="J56" s="30"/>
      <c r="K56" s="385"/>
      <c r="L56" s="385"/>
      <c r="M56" s="385"/>
      <c r="N56" s="385"/>
      <c r="O56" s="385"/>
      <c r="P56" s="385" t="str">
        <f>IFERROR(
    IF(
        OR(ISBLANK(I56), ISBLANK(L56)),
        "",
        MAX(
            1,
            IF(
                NETWORKDAYS(I56, L56, Holiday_Dates) &lt;= 0,
                1,
                NETWORKDAYS(I56, L56, Holiday_Dates) - IF(I56 = L56, 0, 1)
            )
        )
    ),
    ""
)</f>
        <v/>
      </c>
      <c r="Q56" s="385" t="str">
        <f>IF(
    OR(ISBLANK(L56), ISBLANK(M56)),
    "",
    MAX(
        1,
        IF(
            NETWORKDAYS(L56, M56, Holiday_Dates) &lt;= 0,
            1,
            NETWORKDAYS(L56, M56, Holiday_Dates) - IF(L56 = M56, 0, 1)
        )
    )
)</f>
        <v/>
      </c>
      <c r="R56" s="385" t="str">
        <f>IFERROR(
    IF(
        OR(ISBLANK(N56), AND(ISBLANK(L56), ISBLANK(M56))),
        "",
        MAX(
            1,
            IF(
                NETWORKDAYS(IF(NOT(ISBLANK(M56)), M56, L56), N56, Holiday_Dates) &lt;= 0,
                1,
                NETWORKDAYS(IF(NOT(ISBLANK(M56)), M56, L56), N56, Holiday_Dates)
                - IF(IF(NOT(ISBLANK(M56)), M56, L56) = N56, 0, 1)
            )
        )
    ),
    ""
)</f>
        <v/>
      </c>
      <c r="S56" s="385" t="str">
        <f>IFERROR(
    IF(
        OR(ISBLANK(N56), ISBLANK(O56)),
        "",
        MAX(
            1,
            IF(
                NETWORKDAYS(N56, O56, Holiday_Dates) &lt;= 0,
                1,
                NETWORKDAYS(N56, O56, Holiday_Dates) - IF(N56 = O56, 0, 1)
            )
        )
    ),
    ""
)</f>
        <v/>
      </c>
      <c r="T56" s="385"/>
      <c r="U56" s="385" t="s">
        <v>672</v>
      </c>
      <c r="V56" s="385"/>
      <c r="W56" s="385" t="s">
        <v>1436</v>
      </c>
      <c r="X56" s="1"/>
    </row>
    <row r="57" spans="1:24">
      <c r="A57" s="385" t="s">
        <v>47</v>
      </c>
      <c r="B57" s="385" t="s">
        <v>470</v>
      </c>
      <c r="C57" s="385" t="s">
        <v>1523</v>
      </c>
      <c r="D57" s="385" t="s">
        <v>89</v>
      </c>
      <c r="E57" s="385"/>
      <c r="F57" s="385"/>
      <c r="G57" s="385"/>
      <c r="H57" s="385">
        <v>2024</v>
      </c>
      <c r="I57" s="385" t="s">
        <v>4605</v>
      </c>
      <c r="J57" s="30"/>
      <c r="K57" s="385"/>
      <c r="L57" s="385"/>
      <c r="M57" s="385"/>
      <c r="N57" s="385"/>
      <c r="O57" s="385"/>
      <c r="P57" s="385" t="str">
        <f>IFERROR(
    IF(
        OR(ISBLANK(I57), ISBLANK(L57)),
        "",
        MAX(
            1,
            IF(
                NETWORKDAYS(I57, L57, Holiday_Dates) &lt;= 0,
                1,
                NETWORKDAYS(I57, L57, Holiday_Dates) - IF(I57 = L57, 0, 1)
            )
        )
    ),
    ""
)</f>
        <v/>
      </c>
      <c r="Q57" s="385" t="str">
        <f>IF(
    OR(ISBLANK(L57), ISBLANK(M57)),
    "",
    MAX(
        1,
        IF(
            NETWORKDAYS(L57, M57, Holiday_Dates) &lt;= 0,
            1,
            NETWORKDAYS(L57, M57, Holiday_Dates) - IF(L57 = M57, 0, 1)
        )
    )
)</f>
        <v/>
      </c>
      <c r="R57" s="385" t="str">
        <f>IFERROR(
    IF(
        OR(ISBLANK(N57), AND(ISBLANK(L57), ISBLANK(M57))),
        "",
        MAX(
            1,
            IF(
                NETWORKDAYS(IF(NOT(ISBLANK(M57)), M57, L57), N57, Holiday_Dates) &lt;= 0,
                1,
                NETWORKDAYS(IF(NOT(ISBLANK(M57)), M57, L57), N57, Holiday_Dates)
                - IF(IF(NOT(ISBLANK(M57)), M57, L57) = N57, 0, 1)
            )
        )
    ),
    ""
)</f>
        <v/>
      </c>
      <c r="S57" s="385" t="str">
        <f>IFERROR(
    IF(
        OR(ISBLANK(N57), ISBLANK(O57)),
        "",
        MAX(
            1,
            IF(
                NETWORKDAYS(N57, O57, Holiday_Dates) &lt;= 0,
                1,
                NETWORKDAYS(N57, O57, Holiday_Dates) - IF(N57 = O57, 0, 1)
            )
        )
    ),
    ""
)</f>
        <v/>
      </c>
      <c r="T57" s="385"/>
      <c r="U57" s="385" t="s">
        <v>672</v>
      </c>
      <c r="V57" s="385"/>
      <c r="W57" s="385" t="s">
        <v>1436</v>
      </c>
      <c r="X57" s="1"/>
    </row>
    <row r="58" spans="1:24">
      <c r="A58" s="385" t="s">
        <v>47</v>
      </c>
      <c r="B58" s="385" t="s">
        <v>470</v>
      </c>
      <c r="C58" s="385" t="s">
        <v>1525</v>
      </c>
      <c r="D58" s="385" t="s">
        <v>89</v>
      </c>
      <c r="E58" s="385"/>
      <c r="F58" s="385"/>
      <c r="G58" s="385"/>
      <c r="H58" s="385">
        <v>2024</v>
      </c>
      <c r="I58" s="385" t="s">
        <v>4605</v>
      </c>
      <c r="J58" s="30"/>
      <c r="K58" s="385"/>
      <c r="L58" s="385"/>
      <c r="M58" s="385"/>
      <c r="N58" s="385"/>
      <c r="O58" s="385"/>
      <c r="P58" s="385" t="str">
        <f>IFERROR(
    IF(
        OR(ISBLANK(I58), ISBLANK(L58)),
        "",
        MAX(
            1,
            IF(
                NETWORKDAYS(I58, L58, Holiday_Dates) &lt;= 0,
                1,
                NETWORKDAYS(I58, L58, Holiday_Dates) - IF(I58 = L58, 0, 1)
            )
        )
    ),
    ""
)</f>
        <v/>
      </c>
      <c r="Q58" s="385" t="str">
        <f>IF(
    OR(ISBLANK(L58), ISBLANK(M58)),
    "",
    MAX(
        1,
        IF(
            NETWORKDAYS(L58, M58, Holiday_Dates) &lt;= 0,
            1,
            NETWORKDAYS(L58, M58, Holiday_Dates) - IF(L58 = M58, 0, 1)
        )
    )
)</f>
        <v/>
      </c>
      <c r="R58" s="385" t="str">
        <f>IFERROR(
    IF(
        OR(ISBLANK(N58), AND(ISBLANK(L58), ISBLANK(M58))),
        "",
        MAX(
            1,
            IF(
                NETWORKDAYS(IF(NOT(ISBLANK(M58)), M58, L58), N58, Holiday_Dates) &lt;= 0,
                1,
                NETWORKDAYS(IF(NOT(ISBLANK(M58)), M58, L58), N58, Holiday_Dates)
                - IF(IF(NOT(ISBLANK(M58)), M58, L58) = N58, 0, 1)
            )
        )
    ),
    ""
)</f>
        <v/>
      </c>
      <c r="S58" s="385" t="str">
        <f>IFERROR(
    IF(
        OR(ISBLANK(N58), ISBLANK(O58)),
        "",
        MAX(
            1,
            IF(
                NETWORKDAYS(N58, O58, Holiday_Dates) &lt;= 0,
                1,
                NETWORKDAYS(N58, O58, Holiday_Dates) - IF(N58 = O58, 0, 1)
            )
        )
    ),
    ""
)</f>
        <v/>
      </c>
      <c r="T58" s="385"/>
      <c r="U58" s="385" t="s">
        <v>672</v>
      </c>
      <c r="V58" s="385"/>
      <c r="W58" s="385" t="s">
        <v>1436</v>
      </c>
      <c r="X58" s="1"/>
    </row>
    <row r="59" spans="1:24">
      <c r="A59" s="385" t="s">
        <v>47</v>
      </c>
      <c r="B59" s="385" t="s">
        <v>472</v>
      </c>
      <c r="C59" s="385" t="s">
        <v>1538</v>
      </c>
      <c r="D59" s="385" t="s">
        <v>89</v>
      </c>
      <c r="E59" s="385"/>
      <c r="F59" s="385"/>
      <c r="G59" s="385"/>
      <c r="H59" s="385">
        <v>2024</v>
      </c>
      <c r="I59" s="387">
        <v>45611</v>
      </c>
      <c r="J59" s="30"/>
      <c r="K59" s="385"/>
      <c r="L59" s="385"/>
      <c r="M59" s="385"/>
      <c r="N59" s="385"/>
      <c r="O59" s="385"/>
      <c r="P59" s="385" t="str">
        <f>IFERROR(
    IF(
        OR(ISBLANK(I59), ISBLANK(L59)),
        "",
        MAX(
            1,
            IF(
                NETWORKDAYS(I59, L59, Holiday_Dates) &lt;= 0,
                1,
                NETWORKDAYS(I59, L59, Holiday_Dates) - IF(I59 = L59, 0, 1)
            )
        )
    ),
    ""
)</f>
        <v/>
      </c>
      <c r="Q59" s="385" t="str">
        <f>IF(
    OR(ISBLANK(L59), ISBLANK(M59)),
    "",
    MAX(
        1,
        IF(
            NETWORKDAYS(L59, M59, Holiday_Dates) &lt;= 0,
            1,
            NETWORKDAYS(L59, M59, Holiday_Dates) - IF(L59 = M59, 0, 1)
        )
    )
)</f>
        <v/>
      </c>
      <c r="R59" s="385" t="str">
        <f>IFERROR(
    IF(
        OR(ISBLANK(N59), AND(ISBLANK(L59), ISBLANK(M59))),
        "",
        MAX(
            1,
            IF(
                NETWORKDAYS(IF(NOT(ISBLANK(M59)), M59, L59), N59, Holiday_Dates) &lt;= 0,
                1,
                NETWORKDAYS(IF(NOT(ISBLANK(M59)), M59, L59), N59, Holiday_Dates)
                - IF(IF(NOT(ISBLANK(M59)), M59, L59) = N59, 0, 1)
            )
        )
    ),
    ""
)</f>
        <v/>
      </c>
      <c r="S59" s="385" t="str">
        <f>IFERROR(
    IF(
        OR(ISBLANK(N59), ISBLANK(O59)),
        "",
        MAX(
            1,
            IF(
                NETWORKDAYS(N59, O59, Holiday_Dates) &lt;= 0,
                1,
                NETWORKDAYS(N59, O59, Holiday_Dates) - IF(N59 = O59, 0, 1)
            )
        )
    ),
    ""
)</f>
        <v/>
      </c>
      <c r="T59" s="385"/>
      <c r="U59" s="385" t="s">
        <v>4</v>
      </c>
      <c r="V59" s="385" t="s">
        <v>101</v>
      </c>
      <c r="W59" s="385" t="s">
        <v>1436</v>
      </c>
      <c r="X59" s="1"/>
    </row>
    <row r="60" spans="1:24">
      <c r="A60" s="385" t="s">
        <v>47</v>
      </c>
      <c r="B60" s="385" t="s">
        <v>472</v>
      </c>
      <c r="C60" s="385" t="s">
        <v>1540</v>
      </c>
      <c r="D60" s="385" t="s">
        <v>89</v>
      </c>
      <c r="E60" s="385"/>
      <c r="F60" s="385"/>
      <c r="G60" s="385"/>
      <c r="H60" s="385">
        <v>2024</v>
      </c>
      <c r="I60" s="386">
        <v>45611</v>
      </c>
      <c r="J60" s="30"/>
      <c r="K60" s="385"/>
      <c r="L60" s="385"/>
      <c r="M60" s="385"/>
      <c r="N60" s="385"/>
      <c r="O60" s="385"/>
      <c r="P60" s="385" t="str">
        <f>IFERROR(
    IF(
        OR(ISBLANK(I60), ISBLANK(L60)),
        "",
        MAX(
            1,
            IF(
                NETWORKDAYS(I60, L60, Holiday_Dates) &lt;= 0,
                1,
                NETWORKDAYS(I60, L60, Holiday_Dates) - IF(I60 = L60, 0, 1)
            )
        )
    ),
    ""
)</f>
        <v/>
      </c>
      <c r="Q60" s="385" t="str">
        <f>IF(
    OR(ISBLANK(L60), ISBLANK(M60)),
    "",
    MAX(
        1,
        IF(
            NETWORKDAYS(L60, M60, Holiday_Dates) &lt;= 0,
            1,
            NETWORKDAYS(L60, M60, Holiday_Dates) - IF(L60 = M60, 0, 1)
        )
    )
)</f>
        <v/>
      </c>
      <c r="R60" s="385" t="str">
        <f>IFERROR(
    IF(
        OR(ISBLANK(N60), AND(ISBLANK(L60), ISBLANK(M60))),
        "",
        MAX(
            1,
            IF(
                NETWORKDAYS(IF(NOT(ISBLANK(M60)), M60, L60), N60, Holiday_Dates) &lt;= 0,
                1,
                NETWORKDAYS(IF(NOT(ISBLANK(M60)), M60, L60), N60, Holiday_Dates)
                - IF(IF(NOT(ISBLANK(M60)), M60, L60) = N60, 0, 1)
            )
        )
    ),
    ""
)</f>
        <v/>
      </c>
      <c r="S60" s="385" t="str">
        <f>IFERROR(
    IF(
        OR(ISBLANK(N60), ISBLANK(O60)),
        "",
        MAX(
            1,
            IF(
                NETWORKDAYS(N60, O60, Holiday_Dates) &lt;= 0,
                1,
                NETWORKDAYS(N60, O60, Holiday_Dates) - IF(N60 = O60, 0, 1)
            )
        )
    ),
    ""
)</f>
        <v/>
      </c>
      <c r="T60" s="385"/>
      <c r="U60" s="385" t="s">
        <v>4</v>
      </c>
      <c r="V60" s="385" t="s">
        <v>101</v>
      </c>
      <c r="W60" s="385" t="s">
        <v>1436</v>
      </c>
      <c r="X60" s="1"/>
    </row>
    <row r="61" spans="1:24">
      <c r="A61" s="385" t="s">
        <v>47</v>
      </c>
      <c r="B61" s="385" t="s">
        <v>472</v>
      </c>
      <c r="C61" s="385" t="s">
        <v>1542</v>
      </c>
      <c r="D61" s="385" t="s">
        <v>89</v>
      </c>
      <c r="E61" s="385"/>
      <c r="F61" s="385"/>
      <c r="G61" s="385"/>
      <c r="H61" s="385">
        <v>2024</v>
      </c>
      <c r="I61" s="386">
        <v>45610</v>
      </c>
      <c r="J61" s="30"/>
      <c r="K61" s="385"/>
      <c r="L61" s="385"/>
      <c r="M61" s="385"/>
      <c r="N61" s="385"/>
      <c r="O61" s="385"/>
      <c r="P61" s="385" t="str">
        <f>IFERROR(
    IF(
        OR(ISBLANK(I61), ISBLANK(L61)),
        "",
        MAX(
            1,
            IF(
                NETWORKDAYS(I61, L61, Holiday_Dates) &lt;= 0,
                1,
                NETWORKDAYS(I61, L61, Holiday_Dates) - IF(I61 = L61, 0, 1)
            )
        )
    ),
    ""
)</f>
        <v/>
      </c>
      <c r="Q61" s="385" t="str">
        <f>IF(
    OR(ISBLANK(L61), ISBLANK(M61)),
    "",
    MAX(
        1,
        IF(
            NETWORKDAYS(L61, M61, Holiday_Dates) &lt;= 0,
            1,
            NETWORKDAYS(L61, M61, Holiday_Dates) - IF(L61 = M61, 0, 1)
        )
    )
)</f>
        <v/>
      </c>
      <c r="R61" s="385" t="str">
        <f>IFERROR(
    IF(
        OR(ISBLANK(N61), AND(ISBLANK(L61), ISBLANK(M61))),
        "",
        MAX(
            1,
            IF(
                NETWORKDAYS(IF(NOT(ISBLANK(M61)), M61, L61), N61, Holiday_Dates) &lt;= 0,
                1,
                NETWORKDAYS(IF(NOT(ISBLANK(M61)), M61, L61), N61, Holiday_Dates)
                - IF(IF(NOT(ISBLANK(M61)), M61, L61) = N61, 0, 1)
            )
        )
    ),
    ""
)</f>
        <v/>
      </c>
      <c r="S61" s="385" t="str">
        <f>IFERROR(
    IF(
        OR(ISBLANK(N61), ISBLANK(O61)),
        "",
        MAX(
            1,
            IF(
                NETWORKDAYS(N61, O61, Holiday_Dates) &lt;= 0,
                1,
                NETWORKDAYS(N61, O61, Holiday_Dates) - IF(N61 = O61, 0, 1)
            )
        )
    ),
    ""
)</f>
        <v/>
      </c>
      <c r="T61" s="385"/>
      <c r="U61" s="385" t="s">
        <v>4</v>
      </c>
      <c r="V61" s="385" t="s">
        <v>101</v>
      </c>
      <c r="W61" s="385" t="s">
        <v>1436</v>
      </c>
      <c r="X61" s="1"/>
    </row>
    <row r="62" spans="1:24" ht="28.5">
      <c r="A62" s="385" t="s">
        <v>47</v>
      </c>
      <c r="B62" s="385" t="s">
        <v>472</v>
      </c>
      <c r="C62" s="385" t="s">
        <v>875</v>
      </c>
      <c r="D62" s="385" t="s">
        <v>89</v>
      </c>
      <c r="E62" s="385"/>
      <c r="F62" s="385"/>
      <c r="G62" s="385"/>
      <c r="H62" s="30" t="s">
        <v>4595</v>
      </c>
      <c r="I62" s="386" t="s">
        <v>4606</v>
      </c>
      <c r="J62" s="30" t="s">
        <v>4607</v>
      </c>
      <c r="K62" s="385"/>
      <c r="L62" s="385"/>
      <c r="M62" s="385"/>
      <c r="N62" s="385"/>
      <c r="O62" s="385"/>
      <c r="P62" s="385" t="str">
        <f>IFERROR(
    IF(
        OR(ISBLANK(I62), ISBLANK(L62)),
        "",
        MAX(
            1,
            IF(
                NETWORKDAYS(I62, L62, Holiday_Dates) &lt;= 0,
                1,
                NETWORKDAYS(I62, L62, Holiday_Dates) - IF(I62 = L62, 0, 1)
            )
        )
    ),
    ""
)</f>
        <v/>
      </c>
      <c r="Q62" s="385" t="str">
        <f>IF(
    OR(ISBLANK(L62), ISBLANK(M62)),
    "",
    MAX(
        1,
        IF(
            NETWORKDAYS(L62, M62, Holiday_Dates) &lt;= 0,
            1,
            NETWORKDAYS(L62, M62, Holiday_Dates) - IF(L62 = M62, 0, 1)
        )
    )
)</f>
        <v/>
      </c>
      <c r="R62" s="385" t="str">
        <f>IFERROR(
    IF(
        OR(ISBLANK(N62), AND(ISBLANK(L62), ISBLANK(M62))),
        "",
        MAX(
            1,
            IF(
                NETWORKDAYS(IF(NOT(ISBLANK(M62)), M62, L62), N62, Holiday_Dates) &lt;= 0,
                1,
                NETWORKDAYS(IF(NOT(ISBLANK(M62)), M62, L62), N62, Holiday_Dates)
                - IF(IF(NOT(ISBLANK(M62)), M62, L62) = N62, 0, 1)
            )
        )
    ),
    ""
)</f>
        <v/>
      </c>
      <c r="S62" s="385" t="str">
        <f>IFERROR(
    IF(
        OR(ISBLANK(N62), ISBLANK(O62)),
        "",
        MAX(
            1,
            IF(
                NETWORKDAYS(N62, O62, Holiday_Dates) &lt;= 0,
                1,
                NETWORKDAYS(N62, O62, Holiday_Dates) - IF(N62 = O62, 0, 1)
            )
        )
    ),
    ""
)</f>
        <v/>
      </c>
      <c r="T62" s="385"/>
      <c r="U62" s="385" t="s">
        <v>4</v>
      </c>
      <c r="V62" s="385" t="s">
        <v>101</v>
      </c>
      <c r="W62" s="385" t="s">
        <v>1436</v>
      </c>
      <c r="X62" s="1"/>
    </row>
    <row r="63" spans="1:24">
      <c r="A63" s="385" t="s">
        <v>47</v>
      </c>
      <c r="B63" s="385" t="s">
        <v>472</v>
      </c>
      <c r="C63" s="385" t="s">
        <v>1545</v>
      </c>
      <c r="D63" s="385" t="s">
        <v>89</v>
      </c>
      <c r="E63" s="385"/>
      <c r="F63" s="385"/>
      <c r="G63" s="385"/>
      <c r="H63" s="385">
        <v>2024</v>
      </c>
      <c r="I63" s="385" t="s">
        <v>4608</v>
      </c>
      <c r="J63" s="30"/>
      <c r="K63" s="385"/>
      <c r="L63" s="385"/>
      <c r="M63" s="385"/>
      <c r="N63" s="385"/>
      <c r="O63" s="385"/>
      <c r="P63" s="385" t="str">
        <f>IFERROR(
    IF(
        OR(ISBLANK(I63), ISBLANK(L63)),
        "",
        MAX(
            1,
            IF(
                NETWORKDAYS(I63, L63, Holiday_Dates) &lt;= 0,
                1,
                NETWORKDAYS(I63, L63, Holiday_Dates) - IF(I63 = L63, 0, 1)
            )
        )
    ),
    ""
)</f>
        <v/>
      </c>
      <c r="Q63" s="385" t="str">
        <f>IF(
    OR(ISBLANK(L63), ISBLANK(M63)),
    "",
    MAX(
        1,
        IF(
            NETWORKDAYS(L63, M63, Holiday_Dates) &lt;= 0,
            1,
            NETWORKDAYS(L63, M63, Holiday_Dates) - IF(L63 = M63, 0, 1)
        )
    )
)</f>
        <v/>
      </c>
      <c r="R63" s="385" t="str">
        <f>IFERROR(
    IF(
        OR(ISBLANK(N63), AND(ISBLANK(L63), ISBLANK(M63))),
        "",
        MAX(
            1,
            IF(
                NETWORKDAYS(IF(NOT(ISBLANK(M63)), M63, L63), N63, Holiday_Dates) &lt;= 0,
                1,
                NETWORKDAYS(IF(NOT(ISBLANK(M63)), M63, L63), N63, Holiday_Dates)
                - IF(IF(NOT(ISBLANK(M63)), M63, L63) = N63, 0, 1)
            )
        )
    ),
    ""
)</f>
        <v/>
      </c>
      <c r="S63" s="385" t="str">
        <f>IFERROR(
    IF(
        OR(ISBLANK(N63), ISBLANK(O63)),
        "",
        MAX(
            1,
            IF(
                NETWORKDAYS(N63, O63, Holiday_Dates) &lt;= 0,
                1,
                NETWORKDAYS(N63, O63, Holiday_Dates) - IF(N63 = O63, 0, 1)
            )
        )
    ),
    ""
)</f>
        <v/>
      </c>
      <c r="T63" s="385"/>
      <c r="U63" s="385" t="s">
        <v>672</v>
      </c>
      <c r="V63" s="385"/>
      <c r="W63" s="385" t="s">
        <v>1436</v>
      </c>
      <c r="X63" s="1"/>
    </row>
    <row r="64" spans="1:24">
      <c r="A64" s="385" t="s">
        <v>47</v>
      </c>
      <c r="B64" s="385" t="s">
        <v>472</v>
      </c>
      <c r="C64" s="385" t="s">
        <v>1547</v>
      </c>
      <c r="D64" s="385" t="s">
        <v>89</v>
      </c>
      <c r="E64" s="385"/>
      <c r="F64" s="385"/>
      <c r="G64" s="385"/>
      <c r="H64" s="385">
        <v>2025</v>
      </c>
      <c r="I64" s="386">
        <v>45944</v>
      </c>
      <c r="J64" s="30" t="s">
        <v>4609</v>
      </c>
      <c r="K64" s="385"/>
      <c r="L64" s="385"/>
      <c r="M64" s="385"/>
      <c r="N64" s="385"/>
      <c r="O64" s="385"/>
      <c r="P64" s="385" t="str">
        <f>IFERROR(
    IF(
        OR(ISBLANK(I64), ISBLANK(L64)),
        "",
        MAX(
            1,
            IF(
                NETWORKDAYS(I64, L64, Holiday_Dates) &lt;= 0,
                1,
                NETWORKDAYS(I64, L64, Holiday_Dates) - IF(I64 = L64, 0, 1)
            )
        )
    ),
    ""
)</f>
        <v/>
      </c>
      <c r="Q64" s="385" t="str">
        <f>IF(
    OR(ISBLANK(L64), ISBLANK(M64)),
    "",
    MAX(
        1,
        IF(
            NETWORKDAYS(L64, M64, Holiday_Dates) &lt;= 0,
            1,
            NETWORKDAYS(L64, M64, Holiday_Dates) - IF(L64 = M64, 0, 1)
        )
    )
)</f>
        <v/>
      </c>
      <c r="R64" s="385" t="str">
        <f>IFERROR(
    IF(
        OR(ISBLANK(N64), AND(ISBLANK(L64), ISBLANK(M64))),
        "",
        MAX(
            1,
            IF(
                NETWORKDAYS(IF(NOT(ISBLANK(M64)), M64, L64), N64, Holiday_Dates) &lt;= 0,
                1,
                NETWORKDAYS(IF(NOT(ISBLANK(M64)), M64, L64), N64, Holiday_Dates)
                - IF(IF(NOT(ISBLANK(M64)), M64, L64) = N64, 0, 1)
            )
        )
    ),
    ""
)</f>
        <v/>
      </c>
      <c r="S64" s="385" t="str">
        <f>IFERROR(
    IF(
        OR(ISBLANK(N64), ISBLANK(O64)),
        "",
        MAX(
            1,
            IF(
                NETWORKDAYS(N64, O64, Holiday_Dates) &lt;= 0,
                1,
                NETWORKDAYS(N64, O64, Holiday_Dates) - IF(N64 = O64, 0, 1)
            )
        )
    ),
    ""
)</f>
        <v/>
      </c>
      <c r="T64" s="385"/>
      <c r="U64" s="385" t="s">
        <v>672</v>
      </c>
      <c r="V64" s="385" t="s">
        <v>101</v>
      </c>
      <c r="W64" s="385" t="s">
        <v>1436</v>
      </c>
      <c r="X64" s="1"/>
    </row>
    <row r="65" spans="1:24">
      <c r="A65" s="385" t="s">
        <v>47</v>
      </c>
      <c r="B65" s="385" t="s">
        <v>472</v>
      </c>
      <c r="C65" s="385" t="s">
        <v>1548</v>
      </c>
      <c r="D65" s="385" t="s">
        <v>89</v>
      </c>
      <c r="E65" s="385"/>
      <c r="F65" s="385"/>
      <c r="G65" s="385"/>
      <c r="H65" s="385">
        <v>2024</v>
      </c>
      <c r="I65" s="386">
        <v>45421</v>
      </c>
      <c r="J65" s="30"/>
      <c r="K65" s="385"/>
      <c r="L65" s="385"/>
      <c r="M65" s="385"/>
      <c r="N65" s="385"/>
      <c r="O65" s="385"/>
      <c r="P65" s="385" t="str">
        <f>IFERROR(
    IF(
        OR(ISBLANK(I65), ISBLANK(L65)),
        "",
        MAX(
            1,
            IF(
                NETWORKDAYS(I65, L65, Holiday_Dates) &lt;= 0,
                1,
                NETWORKDAYS(I65, L65, Holiday_Dates) - IF(I65 = L65, 0, 1)
            )
        )
    ),
    ""
)</f>
        <v/>
      </c>
      <c r="Q65" s="385" t="str">
        <f>IF(
    OR(ISBLANK(L65), ISBLANK(M65)),
    "",
    MAX(
        1,
        IF(
            NETWORKDAYS(L65, M65, Holiday_Dates) &lt;= 0,
            1,
            NETWORKDAYS(L65, M65, Holiday_Dates) - IF(L65 = M65, 0, 1)
        )
    )
)</f>
        <v/>
      </c>
      <c r="R65" s="385" t="str">
        <f>IFERROR(
    IF(
        OR(ISBLANK(N65), AND(ISBLANK(L65), ISBLANK(M65))),
        "",
        MAX(
            1,
            IF(
                NETWORKDAYS(IF(NOT(ISBLANK(M65)), M65, L65), N65, Holiday_Dates) &lt;= 0,
                1,
                NETWORKDAYS(IF(NOT(ISBLANK(M65)), M65, L65), N65, Holiday_Dates)
                - IF(IF(NOT(ISBLANK(M65)), M65, L65) = N65, 0, 1)
            )
        )
    ),
    ""
)</f>
        <v/>
      </c>
      <c r="S65" s="385" t="str">
        <f>IFERROR(
    IF(
        OR(ISBLANK(N65), ISBLANK(O65)),
        "",
        MAX(
            1,
            IF(
                NETWORKDAYS(N65, O65, Holiday_Dates) &lt;= 0,
                1,
                NETWORKDAYS(N65, O65, Holiday_Dates) - IF(N65 = O65, 0, 1)
            )
        )
    ),
    ""
)</f>
        <v/>
      </c>
      <c r="T65" s="385"/>
      <c r="U65" s="385" t="s">
        <v>672</v>
      </c>
      <c r="V65" s="385"/>
      <c r="W65" s="385" t="s">
        <v>1436</v>
      </c>
      <c r="X65" s="1"/>
    </row>
    <row r="66" spans="1:24">
      <c r="A66" s="385" t="s">
        <v>47</v>
      </c>
      <c r="B66" s="385" t="s">
        <v>472</v>
      </c>
      <c r="C66" s="385" t="s">
        <v>1550</v>
      </c>
      <c r="D66" s="385" t="s">
        <v>89</v>
      </c>
      <c r="E66" s="385"/>
      <c r="F66" s="385"/>
      <c r="G66" s="385"/>
      <c r="H66" s="385">
        <v>2024</v>
      </c>
      <c r="I66" s="386">
        <v>45610</v>
      </c>
      <c r="J66" s="30"/>
      <c r="K66" s="385"/>
      <c r="L66" s="385"/>
      <c r="M66" s="385"/>
      <c r="N66" s="385"/>
      <c r="O66" s="385"/>
      <c r="P66" s="385" t="str">
        <f>IFERROR(
    IF(
        OR(ISBLANK(I66), ISBLANK(L66)),
        "",
        MAX(
            1,
            IF(
                NETWORKDAYS(I66, L66, Holiday_Dates) &lt;= 0,
                1,
                NETWORKDAYS(I66, L66, Holiday_Dates) - IF(I66 = L66, 0, 1)
            )
        )
    ),
    ""
)</f>
        <v/>
      </c>
      <c r="Q66" s="385" t="str">
        <f>IF(
    OR(ISBLANK(L66), ISBLANK(M66)),
    "",
    MAX(
        1,
        IF(
            NETWORKDAYS(L66, M66, Holiday_Dates) &lt;= 0,
            1,
            NETWORKDAYS(L66, M66, Holiday_Dates) - IF(L66 = M66, 0, 1)
        )
    )
)</f>
        <v/>
      </c>
      <c r="R66" s="385" t="str">
        <f>IFERROR(
    IF(
        OR(ISBLANK(N66), AND(ISBLANK(L66), ISBLANK(M66))),
        "",
        MAX(
            1,
            IF(
                NETWORKDAYS(IF(NOT(ISBLANK(M66)), M66, L66), N66, Holiday_Dates) &lt;= 0,
                1,
                NETWORKDAYS(IF(NOT(ISBLANK(M66)), M66, L66), N66, Holiday_Dates)
                - IF(IF(NOT(ISBLANK(M66)), M66, L66) = N66, 0, 1)
            )
        )
    ),
    ""
)</f>
        <v/>
      </c>
      <c r="S66" s="385" t="str">
        <f>IFERROR(
    IF(
        OR(ISBLANK(N66), ISBLANK(O66)),
        "",
        MAX(
            1,
            IF(
                NETWORKDAYS(N66, O66, Holiday_Dates) &lt;= 0,
                1,
                NETWORKDAYS(N66, O66, Holiday_Dates) - IF(N66 = O66, 0, 1)
            )
        )
    ),
    ""
)</f>
        <v/>
      </c>
      <c r="T66" s="385"/>
      <c r="U66" s="385" t="s">
        <v>4</v>
      </c>
      <c r="V66" s="385" t="s">
        <v>101</v>
      </c>
      <c r="W66" s="385" t="s">
        <v>1436</v>
      </c>
      <c r="X66" s="1"/>
    </row>
    <row r="67" spans="1:24">
      <c r="A67" s="385" t="s">
        <v>47</v>
      </c>
      <c r="B67" s="385" t="s">
        <v>472</v>
      </c>
      <c r="C67" s="385" t="s">
        <v>926</v>
      </c>
      <c r="D67" s="385" t="s">
        <v>89</v>
      </c>
      <c r="E67" s="385"/>
      <c r="F67" s="385"/>
      <c r="G67" s="385"/>
      <c r="H67" s="385">
        <v>2024</v>
      </c>
      <c r="I67" s="385" t="s">
        <v>4585</v>
      </c>
      <c r="J67" s="30"/>
      <c r="K67" s="385"/>
      <c r="L67" s="385"/>
      <c r="M67" s="385"/>
      <c r="N67" s="385"/>
      <c r="O67" s="385"/>
      <c r="P67" s="385" t="str">
        <f>IFERROR(
    IF(
        OR(ISBLANK(I67), ISBLANK(L67)),
        "",
        MAX(
            1,
            IF(
                NETWORKDAYS(I67, L67, Holiday_Dates) &lt;= 0,
                1,
                NETWORKDAYS(I67, L67, Holiday_Dates) - IF(I67 = L67, 0, 1)
            )
        )
    ),
    ""
)</f>
        <v/>
      </c>
      <c r="Q67" s="385" t="str">
        <f>IF(
    OR(ISBLANK(L67), ISBLANK(M67)),
    "",
    MAX(
        1,
        IF(
            NETWORKDAYS(L67, M67, Holiday_Dates) &lt;= 0,
            1,
            NETWORKDAYS(L67, M67, Holiday_Dates) - IF(L67 = M67, 0, 1)
        )
    )
)</f>
        <v/>
      </c>
      <c r="R67" s="385" t="str">
        <f>IFERROR(
    IF(
        OR(ISBLANK(N67), AND(ISBLANK(L67), ISBLANK(M67))),
        "",
        MAX(
            1,
            IF(
                NETWORKDAYS(IF(NOT(ISBLANK(M67)), M67, L67), N67, Holiday_Dates) &lt;= 0,
                1,
                NETWORKDAYS(IF(NOT(ISBLANK(M67)), M67, L67), N67, Holiday_Dates)
                - IF(IF(NOT(ISBLANK(M67)), M67, L67) = N67, 0, 1)
            )
        )
    ),
    ""
)</f>
        <v/>
      </c>
      <c r="S67" s="385" t="str">
        <f>IFERROR(
    IF(
        OR(ISBLANK(N67), ISBLANK(O67)),
        "",
        MAX(
            1,
            IF(
                NETWORKDAYS(N67, O67, Holiday_Dates) &lt;= 0,
                1,
                NETWORKDAYS(N67, O67, Holiday_Dates) - IF(N67 = O67, 0, 1)
            )
        )
    ),
    ""
)</f>
        <v/>
      </c>
      <c r="T67" s="385"/>
      <c r="U67" s="385" t="s">
        <v>672</v>
      </c>
      <c r="V67" s="385"/>
      <c r="W67" s="385" t="s">
        <v>1436</v>
      </c>
      <c r="X67" s="1"/>
    </row>
    <row r="68" spans="1:24" ht="28.5">
      <c r="A68" s="385" t="s">
        <v>47</v>
      </c>
      <c r="B68" s="385" t="s">
        <v>472</v>
      </c>
      <c r="C68" s="385" t="s">
        <v>1065</v>
      </c>
      <c r="D68" s="385" t="s">
        <v>89</v>
      </c>
      <c r="E68" s="385"/>
      <c r="F68" s="385"/>
      <c r="G68" s="385"/>
      <c r="H68" s="30" t="s">
        <v>4595</v>
      </c>
      <c r="I68" s="386" t="s">
        <v>4610</v>
      </c>
      <c r="J68" s="30" t="s">
        <v>4611</v>
      </c>
      <c r="K68" s="385"/>
      <c r="L68" s="385"/>
      <c r="M68" s="385"/>
      <c r="N68" s="385"/>
      <c r="O68" s="385"/>
      <c r="P68" s="385" t="str">
        <f>IFERROR(
    IF(
        OR(ISBLANK(I68), ISBLANK(L68)),
        "",
        MAX(
            1,
            IF(
                NETWORKDAYS(I68, L68, Holiday_Dates) &lt;= 0,
                1,
                NETWORKDAYS(I68, L68, Holiday_Dates) - IF(I68 = L68, 0, 1)
            )
        )
    ),
    ""
)</f>
        <v/>
      </c>
      <c r="Q68" s="385" t="str">
        <f>IF(
    OR(ISBLANK(L68), ISBLANK(M68)),
    "",
    MAX(
        1,
        IF(
            NETWORKDAYS(L68, M68, Holiday_Dates) &lt;= 0,
            1,
            NETWORKDAYS(L68, M68, Holiday_Dates) - IF(L68 = M68, 0, 1)
        )
    )
)</f>
        <v/>
      </c>
      <c r="R68" s="385" t="str">
        <f>IFERROR(
    IF(
        OR(ISBLANK(N68), AND(ISBLANK(L68), ISBLANK(M68))),
        "",
        MAX(
            1,
            IF(
                NETWORKDAYS(IF(NOT(ISBLANK(M68)), M68, L68), N68, Holiday_Dates) &lt;= 0,
                1,
                NETWORKDAYS(IF(NOT(ISBLANK(M68)), M68, L68), N68, Holiday_Dates)
                - IF(IF(NOT(ISBLANK(M68)), M68, L68) = N68, 0, 1)
            )
        )
    ),
    ""
)</f>
        <v/>
      </c>
      <c r="S68" s="385" t="str">
        <f>IFERROR(
    IF(
        OR(ISBLANK(N68), ISBLANK(O68)),
        "",
        MAX(
            1,
            IF(
                NETWORKDAYS(N68, O68, Holiday_Dates) &lt;= 0,
                1,
                NETWORKDAYS(N68, O68, Holiday_Dates) - IF(N68 = O68, 0, 1)
            )
        )
    ),
    ""
)</f>
        <v/>
      </c>
      <c r="T68" s="385"/>
      <c r="U68" s="385" t="s">
        <v>4</v>
      </c>
      <c r="V68" s="385" t="s">
        <v>101</v>
      </c>
      <c r="W68" s="385" t="s">
        <v>1436</v>
      </c>
      <c r="X68" s="1"/>
    </row>
    <row r="69" spans="1:24">
      <c r="A69" s="385" t="s">
        <v>47</v>
      </c>
      <c r="B69" s="385" t="s">
        <v>472</v>
      </c>
      <c r="C69" s="385" t="s">
        <v>722</v>
      </c>
      <c r="D69" s="385" t="s">
        <v>89</v>
      </c>
      <c r="E69" s="385"/>
      <c r="F69" s="385"/>
      <c r="G69" s="385"/>
      <c r="H69" s="385">
        <v>2024</v>
      </c>
      <c r="I69" s="386">
        <v>45610</v>
      </c>
      <c r="J69" s="30"/>
      <c r="K69" s="385"/>
      <c r="L69" s="385"/>
      <c r="M69" s="385"/>
      <c r="N69" s="385"/>
      <c r="O69" s="385"/>
      <c r="P69" s="385" t="str">
        <f>IFERROR(
    IF(
        OR(ISBLANK(I69), ISBLANK(L69)),
        "",
        MAX(
            1,
            IF(
                NETWORKDAYS(I69, L69, Holiday_Dates) &lt;= 0,
                1,
                NETWORKDAYS(I69, L69, Holiday_Dates) - IF(I69 = L69, 0, 1)
            )
        )
    ),
    ""
)</f>
        <v/>
      </c>
      <c r="Q69" s="385" t="str">
        <f>IF(
    OR(ISBLANK(L69), ISBLANK(M69)),
    "",
    MAX(
        1,
        IF(
            NETWORKDAYS(L69, M69, Holiday_Dates) &lt;= 0,
            1,
            NETWORKDAYS(L69, M69, Holiday_Dates) - IF(L69 = M69, 0, 1)
        )
    )
)</f>
        <v/>
      </c>
      <c r="R69" s="385" t="str">
        <f>IFERROR(
    IF(
        OR(ISBLANK(N69), AND(ISBLANK(L69), ISBLANK(M69))),
        "",
        MAX(
            1,
            IF(
                NETWORKDAYS(IF(NOT(ISBLANK(M69)), M69, L69), N69, Holiday_Dates) &lt;= 0,
                1,
                NETWORKDAYS(IF(NOT(ISBLANK(M69)), M69, L69), N69, Holiday_Dates)
                - IF(IF(NOT(ISBLANK(M69)), M69, L69) = N69, 0, 1)
            )
        )
    ),
    ""
)</f>
        <v/>
      </c>
      <c r="S69" s="385" t="str">
        <f>IFERROR(
    IF(
        OR(ISBLANK(N69), ISBLANK(O69)),
        "",
        MAX(
            1,
            IF(
                NETWORKDAYS(N69, O69, Holiday_Dates) &lt;= 0,
                1,
                NETWORKDAYS(N69, O69, Holiday_Dates) - IF(N69 = O69, 0, 1)
            )
        )
    ),
    ""
)</f>
        <v/>
      </c>
      <c r="T69" s="385"/>
      <c r="U69" s="385" t="s">
        <v>4</v>
      </c>
      <c r="V69" s="385" t="s">
        <v>101</v>
      </c>
      <c r="W69" s="385" t="s">
        <v>1436</v>
      </c>
      <c r="X69" s="1"/>
    </row>
    <row r="70" spans="1:24">
      <c r="A70" s="385" t="s">
        <v>47</v>
      </c>
      <c r="B70" s="385" t="s">
        <v>474</v>
      </c>
      <c r="C70" s="385" t="s">
        <v>1555</v>
      </c>
      <c r="D70" s="385" t="s">
        <v>89</v>
      </c>
      <c r="E70" s="385"/>
      <c r="F70" s="385"/>
      <c r="G70" s="385"/>
      <c r="H70" s="385">
        <v>2024</v>
      </c>
      <c r="I70" s="386">
        <v>45568</v>
      </c>
      <c r="J70" s="30"/>
      <c r="K70" s="385"/>
      <c r="L70" s="385"/>
      <c r="M70" s="385"/>
      <c r="N70" s="385"/>
      <c r="O70" s="385"/>
      <c r="P70" s="385" t="str">
        <f>IFERROR(
    IF(
        OR(ISBLANK(I70), ISBLANK(L70)),
        "",
        MAX(
            1,
            IF(
                NETWORKDAYS(I70, L70, Holiday_Dates) &lt;= 0,
                1,
                NETWORKDAYS(I70, L70, Holiday_Dates) - IF(I70 = L70, 0, 1)
            )
        )
    ),
    ""
)</f>
        <v/>
      </c>
      <c r="Q70" s="385" t="str">
        <f>IF(
    OR(ISBLANK(L70), ISBLANK(M70)),
    "",
    MAX(
        1,
        IF(
            NETWORKDAYS(L70, M70, Holiday_Dates) &lt;= 0,
            1,
            NETWORKDAYS(L70, M70, Holiday_Dates) - IF(L70 = M70, 0, 1)
        )
    )
)</f>
        <v/>
      </c>
      <c r="R70" s="385" t="str">
        <f>IFERROR(
    IF(
        OR(ISBLANK(N70), AND(ISBLANK(L70), ISBLANK(M70))),
        "",
        MAX(
            1,
            IF(
                NETWORKDAYS(IF(NOT(ISBLANK(M70)), M70, L70), N70, Holiday_Dates) &lt;= 0,
                1,
                NETWORKDAYS(IF(NOT(ISBLANK(M70)), M70, L70), N70, Holiday_Dates)
                - IF(IF(NOT(ISBLANK(M70)), M70, L70) = N70, 0, 1)
            )
        )
    ),
    ""
)</f>
        <v/>
      </c>
      <c r="S70" s="385" t="str">
        <f>IFERROR(
    IF(
        OR(ISBLANK(N70), ISBLANK(O70)),
        "",
        MAX(
            1,
            IF(
                NETWORKDAYS(N70, O70, Holiday_Dates) &lt;= 0,
                1,
                NETWORKDAYS(N70, O70, Holiday_Dates) - IF(N70 = O70, 0, 1)
            )
        )
    ),
    ""
)</f>
        <v/>
      </c>
      <c r="T70" s="385"/>
      <c r="U70" s="385" t="s">
        <v>4</v>
      </c>
      <c r="V70" s="385" t="s">
        <v>101</v>
      </c>
      <c r="W70" s="385" t="s">
        <v>1436</v>
      </c>
      <c r="X70" s="1"/>
    </row>
    <row r="71" spans="1:24">
      <c r="A71" s="385" t="s">
        <v>47</v>
      </c>
      <c r="B71" s="385" t="s">
        <v>474</v>
      </c>
      <c r="C71" s="385" t="s">
        <v>1559</v>
      </c>
      <c r="D71" s="385" t="s">
        <v>89</v>
      </c>
      <c r="E71" s="385"/>
      <c r="F71" s="385"/>
      <c r="G71" s="385"/>
      <c r="H71" s="385">
        <v>2024</v>
      </c>
      <c r="I71" s="386">
        <v>45609</v>
      </c>
      <c r="J71" s="30"/>
      <c r="K71" s="385"/>
      <c r="L71" s="385"/>
      <c r="M71" s="385"/>
      <c r="N71" s="385"/>
      <c r="O71" s="385"/>
      <c r="P71" s="385" t="str">
        <f>IFERROR(
    IF(
        OR(ISBLANK(I71), ISBLANK(L71)),
        "",
        MAX(
            1,
            IF(
                NETWORKDAYS(I71, L71, Holiday_Dates) &lt;= 0,
                1,
                NETWORKDAYS(I71, L71, Holiday_Dates) - IF(I71 = L71, 0, 1)
            )
        )
    ),
    ""
)</f>
        <v/>
      </c>
      <c r="Q71" s="385" t="str">
        <f>IF(
    OR(ISBLANK(L71), ISBLANK(M71)),
    "",
    MAX(
        1,
        IF(
            NETWORKDAYS(L71, M71, Holiday_Dates) &lt;= 0,
            1,
            NETWORKDAYS(L71, M71, Holiday_Dates) - IF(L71 = M71, 0, 1)
        )
    )
)</f>
        <v/>
      </c>
      <c r="R71" s="385" t="str">
        <f>IFERROR(
    IF(
        OR(ISBLANK(N71), AND(ISBLANK(L71), ISBLANK(M71))),
        "",
        MAX(
            1,
            IF(
                NETWORKDAYS(IF(NOT(ISBLANK(M71)), M71, L71), N71, Holiday_Dates) &lt;= 0,
                1,
                NETWORKDAYS(IF(NOT(ISBLANK(M71)), M71, L71), N71, Holiday_Dates)
                - IF(IF(NOT(ISBLANK(M71)), M71, L71) = N71, 0, 1)
            )
        )
    ),
    ""
)</f>
        <v/>
      </c>
      <c r="S71" s="385" t="str">
        <f>IFERROR(
    IF(
        OR(ISBLANK(N71), ISBLANK(O71)),
        "",
        MAX(
            1,
            IF(
                NETWORKDAYS(N71, O71, Holiday_Dates) &lt;= 0,
                1,
                NETWORKDAYS(N71, O71, Holiday_Dates) - IF(N71 = O71, 0, 1)
            )
        )
    ),
    ""
)</f>
        <v/>
      </c>
      <c r="T71" s="385"/>
      <c r="U71" s="385" t="s">
        <v>4</v>
      </c>
      <c r="V71" s="385" t="s">
        <v>101</v>
      </c>
      <c r="W71" s="385" t="s">
        <v>1436</v>
      </c>
      <c r="X71" s="1"/>
    </row>
    <row r="72" spans="1:24">
      <c r="A72" s="385" t="s">
        <v>47</v>
      </c>
      <c r="B72" s="385" t="s">
        <v>474</v>
      </c>
      <c r="C72" s="385" t="s">
        <v>1557</v>
      </c>
      <c r="D72" s="385" t="s">
        <v>89</v>
      </c>
      <c r="E72" s="385"/>
      <c r="F72" s="385"/>
      <c r="G72" s="385"/>
      <c r="H72" s="385">
        <v>2024</v>
      </c>
      <c r="I72" s="386">
        <v>45449</v>
      </c>
      <c r="J72" s="30"/>
      <c r="K72" s="385"/>
      <c r="L72" s="385"/>
      <c r="M72" s="385"/>
      <c r="N72" s="385"/>
      <c r="O72" s="385"/>
      <c r="P72" s="385" t="str">
        <f>IFERROR(
    IF(
        OR(ISBLANK(I72), ISBLANK(L72)),
        "",
        MAX(
            1,
            IF(
                NETWORKDAYS(I72, L72, Holiday_Dates) &lt;= 0,
                1,
                NETWORKDAYS(I72, L72, Holiday_Dates) - IF(I72 = L72, 0, 1)
            )
        )
    ),
    ""
)</f>
        <v/>
      </c>
      <c r="Q72" s="385" t="str">
        <f>IF(
    OR(ISBLANK(L72), ISBLANK(M72)),
    "",
    MAX(
        1,
        IF(
            NETWORKDAYS(L72, M72, Holiday_Dates) &lt;= 0,
            1,
            NETWORKDAYS(L72, M72, Holiday_Dates) - IF(L72 = M72, 0, 1)
        )
    )
)</f>
        <v/>
      </c>
      <c r="R72" s="385" t="str">
        <f>IFERROR(
    IF(
        OR(ISBLANK(N72), AND(ISBLANK(L72), ISBLANK(M72))),
        "",
        MAX(
            1,
            IF(
                NETWORKDAYS(IF(NOT(ISBLANK(M72)), M72, L72), N72, Holiday_Dates) &lt;= 0,
                1,
                NETWORKDAYS(IF(NOT(ISBLANK(M72)), M72, L72), N72, Holiday_Dates)
                - IF(IF(NOT(ISBLANK(M72)), M72, L72) = N72, 0, 1)
            )
        )
    ),
    ""
)</f>
        <v/>
      </c>
      <c r="S72" s="385" t="str">
        <f>IFERROR(
    IF(
        OR(ISBLANK(N72), ISBLANK(O72)),
        "",
        MAX(
            1,
            IF(
                NETWORKDAYS(N72, O72, Holiday_Dates) &lt;= 0,
                1,
                NETWORKDAYS(N72, O72, Holiday_Dates) - IF(N72 = O72, 0, 1)
            )
        )
    ),
    ""
)</f>
        <v/>
      </c>
      <c r="T72" s="385"/>
      <c r="U72" s="385" t="s">
        <v>672</v>
      </c>
      <c r="V72" s="385"/>
      <c r="W72" s="385" t="s">
        <v>1436</v>
      </c>
      <c r="X72" s="1"/>
    </row>
    <row r="73" spans="1:24">
      <c r="A73" s="385" t="s">
        <v>47</v>
      </c>
      <c r="B73" s="385" t="s">
        <v>474</v>
      </c>
      <c r="C73" s="385" t="s">
        <v>1561</v>
      </c>
      <c r="D73" s="385" t="s">
        <v>89</v>
      </c>
      <c r="E73" s="385"/>
      <c r="F73" s="385"/>
      <c r="G73" s="385"/>
      <c r="H73" s="385">
        <v>2024</v>
      </c>
      <c r="I73" s="386">
        <v>45608</v>
      </c>
      <c r="J73" s="30"/>
      <c r="K73" s="385"/>
      <c r="L73" s="385"/>
      <c r="M73" s="385"/>
      <c r="N73" s="385"/>
      <c r="O73" s="385"/>
      <c r="P73" s="385" t="str">
        <f>IFERROR(
    IF(
        OR(ISBLANK(I73), ISBLANK(L73)),
        "",
        MAX(
            1,
            IF(
                NETWORKDAYS(I73, L73, Holiday_Dates) &lt;= 0,
                1,
                NETWORKDAYS(I73, L73, Holiday_Dates) - IF(I73 = L73, 0, 1)
            )
        )
    ),
    ""
)</f>
        <v/>
      </c>
      <c r="Q73" s="385" t="str">
        <f>IF(
    OR(ISBLANK(L73), ISBLANK(M73)),
    "",
    MAX(
        1,
        IF(
            NETWORKDAYS(L73, M73, Holiday_Dates) &lt;= 0,
            1,
            NETWORKDAYS(L73, M73, Holiday_Dates) - IF(L73 = M73, 0, 1)
        )
    )
)</f>
        <v/>
      </c>
      <c r="R73" s="385" t="str">
        <f>IFERROR(
    IF(
        OR(ISBLANK(N73), AND(ISBLANK(L73), ISBLANK(M73))),
        "",
        MAX(
            1,
            IF(
                NETWORKDAYS(IF(NOT(ISBLANK(M73)), M73, L73), N73, Holiday_Dates) &lt;= 0,
                1,
                NETWORKDAYS(IF(NOT(ISBLANK(M73)), M73, L73), N73, Holiday_Dates)
                - IF(IF(NOT(ISBLANK(M73)), M73, L73) = N73, 0, 1)
            )
        )
    ),
    ""
)</f>
        <v/>
      </c>
      <c r="S73" s="385" t="str">
        <f>IFERROR(
    IF(
        OR(ISBLANK(N73), ISBLANK(O73)),
        "",
        MAX(
            1,
            IF(
                NETWORKDAYS(N73, O73, Holiday_Dates) &lt;= 0,
                1,
                NETWORKDAYS(N73, O73, Holiday_Dates) - IF(N73 = O73, 0, 1)
            )
        )
    ),
    ""
)</f>
        <v/>
      </c>
      <c r="T73" s="385"/>
      <c r="U73" s="385" t="s">
        <v>4</v>
      </c>
      <c r="V73" s="385" t="s">
        <v>101</v>
      </c>
      <c r="W73" s="385" t="s">
        <v>1436</v>
      </c>
      <c r="X73" s="1"/>
    </row>
    <row r="74" spans="1:24">
      <c r="A74" s="385" t="s">
        <v>47</v>
      </c>
      <c r="B74" s="385" t="s">
        <v>474</v>
      </c>
      <c r="C74" s="385" t="s">
        <v>1597</v>
      </c>
      <c r="D74" s="385" t="s">
        <v>89</v>
      </c>
      <c r="E74" s="385"/>
      <c r="F74" s="385"/>
      <c r="G74" s="385"/>
      <c r="H74" s="385">
        <v>2025</v>
      </c>
      <c r="I74" s="386">
        <v>45902</v>
      </c>
      <c r="J74" s="30" t="s">
        <v>4612</v>
      </c>
      <c r="K74" s="385"/>
      <c r="L74" s="385"/>
      <c r="M74" s="385"/>
      <c r="N74" s="385"/>
      <c r="O74" s="385"/>
      <c r="P74" s="385" t="str">
        <f>IFERROR(
    IF(
        OR(ISBLANK(I74), ISBLANK(L74)),
        "",
        MAX(
            1,
            IF(
                NETWORKDAYS(I74, L74, Holiday_Dates) &lt;= 0,
                1,
                NETWORKDAYS(I74, L74, Holiday_Dates) - IF(I74 = L74, 0, 1)
            )
        )
    ),
    ""
)</f>
        <v/>
      </c>
      <c r="Q74" s="385" t="str">
        <f>IF(
    OR(ISBLANK(L74), ISBLANK(M74)),
    "",
    MAX(
        1,
        IF(
            NETWORKDAYS(L74, M74, Holiday_Dates) &lt;= 0,
            1,
            NETWORKDAYS(L74, M74, Holiday_Dates) - IF(L74 = M74, 0, 1)
        )
    )
)</f>
        <v/>
      </c>
      <c r="R74" s="385" t="str">
        <f>IFERROR(
    IF(
        OR(ISBLANK(N74), AND(ISBLANK(L74), ISBLANK(M74))),
        "",
        MAX(
            1,
            IF(
                NETWORKDAYS(IF(NOT(ISBLANK(M74)), M74, L74), N74, Holiday_Dates) &lt;= 0,
                1,
                NETWORKDAYS(IF(NOT(ISBLANK(M74)), M74, L74), N74, Holiday_Dates)
                - IF(IF(NOT(ISBLANK(M74)), M74, L74) = N74, 0, 1)
            )
        )
    ),
    ""
)</f>
        <v/>
      </c>
      <c r="S74" s="385" t="str">
        <f>IFERROR(
    IF(
        OR(ISBLANK(N74), ISBLANK(O74)),
        "",
        MAX(
            1,
            IF(
                NETWORKDAYS(N74, O74, Holiday_Dates) &lt;= 0,
                1,
                NETWORKDAYS(N74, O74, Holiday_Dates) - IF(N74 = O74, 0, 1)
            )
        )
    ),
    ""
)</f>
        <v/>
      </c>
      <c r="T74" s="385"/>
      <c r="U74" s="385" t="s">
        <v>4</v>
      </c>
      <c r="V74" s="385" t="s">
        <v>101</v>
      </c>
      <c r="W74" s="385" t="s">
        <v>1436</v>
      </c>
      <c r="X74" s="1"/>
    </row>
    <row r="75" spans="1:24">
      <c r="A75" s="385" t="s">
        <v>47</v>
      </c>
      <c r="B75" s="385" t="s">
        <v>474</v>
      </c>
      <c r="C75" s="385" t="s">
        <v>1563</v>
      </c>
      <c r="D75" s="385" t="s">
        <v>89</v>
      </c>
      <c r="E75" s="385"/>
      <c r="F75" s="385"/>
      <c r="G75" s="385"/>
      <c r="H75" s="385">
        <v>2024</v>
      </c>
      <c r="I75" s="386">
        <v>45608</v>
      </c>
      <c r="J75" s="30"/>
      <c r="K75" s="385"/>
      <c r="L75" s="385"/>
      <c r="M75" s="385"/>
      <c r="N75" s="385"/>
      <c r="O75" s="385"/>
      <c r="P75" s="385" t="str">
        <f>IFERROR(
    IF(
        OR(ISBLANK(I75), ISBLANK(L75)),
        "",
        MAX(
            1,
            IF(
                NETWORKDAYS(I75, L75, Holiday_Dates) &lt;= 0,
                1,
                NETWORKDAYS(I75, L75, Holiday_Dates) - IF(I75 = L75, 0, 1)
            )
        )
    ),
    ""
)</f>
        <v/>
      </c>
      <c r="Q75" s="385" t="str">
        <f>IF(
    OR(ISBLANK(L75), ISBLANK(M75)),
    "",
    MAX(
        1,
        IF(
            NETWORKDAYS(L75, M75, Holiday_Dates) &lt;= 0,
            1,
            NETWORKDAYS(L75, M75, Holiday_Dates) - IF(L75 = M75, 0, 1)
        )
    )
)</f>
        <v/>
      </c>
      <c r="R75" s="385" t="str">
        <f>IFERROR(
    IF(
        OR(ISBLANK(N75), AND(ISBLANK(L75), ISBLANK(M75))),
        "",
        MAX(
            1,
            IF(
                NETWORKDAYS(IF(NOT(ISBLANK(M75)), M75, L75), N75, Holiday_Dates) &lt;= 0,
                1,
                NETWORKDAYS(IF(NOT(ISBLANK(M75)), M75, L75), N75, Holiday_Dates)
                - IF(IF(NOT(ISBLANK(M75)), M75, L75) = N75, 0, 1)
            )
        )
    ),
    ""
)</f>
        <v/>
      </c>
      <c r="S75" s="385" t="str">
        <f>IFERROR(
    IF(
        OR(ISBLANK(N75), ISBLANK(O75)),
        "",
        MAX(
            1,
            IF(
                NETWORKDAYS(N75, O75, Holiday_Dates) &lt;= 0,
                1,
                NETWORKDAYS(N75, O75, Holiday_Dates) - IF(N75 = O75, 0, 1)
            )
        )
    ),
    ""
)</f>
        <v/>
      </c>
      <c r="T75" s="385"/>
      <c r="U75" s="385" t="s">
        <v>4</v>
      </c>
      <c r="V75" s="385" t="s">
        <v>101</v>
      </c>
      <c r="W75" s="385" t="s">
        <v>1436</v>
      </c>
      <c r="X75" s="1"/>
    </row>
    <row r="76" spans="1:24">
      <c r="A76" s="385" t="s">
        <v>47</v>
      </c>
      <c r="B76" s="385" t="s">
        <v>474</v>
      </c>
      <c r="C76" s="385" t="s">
        <v>1565</v>
      </c>
      <c r="D76" s="385" t="s">
        <v>89</v>
      </c>
      <c r="E76" s="385"/>
      <c r="F76" s="385"/>
      <c r="G76" s="385"/>
      <c r="H76" s="385">
        <v>2024</v>
      </c>
      <c r="I76" s="386">
        <v>45609</v>
      </c>
      <c r="J76" s="30"/>
      <c r="K76" s="385"/>
      <c r="L76" s="385"/>
      <c r="M76" s="385"/>
      <c r="N76" s="385"/>
      <c r="O76" s="385"/>
      <c r="P76" s="385" t="str">
        <f>IFERROR(
    IF(
        OR(ISBLANK(I76), ISBLANK(L76)),
        "",
        MAX(
            1,
            IF(
                NETWORKDAYS(I76, L76, Holiday_Dates) &lt;= 0,
                1,
                NETWORKDAYS(I76, L76, Holiday_Dates) - IF(I76 = L76, 0, 1)
            )
        )
    ),
    ""
)</f>
        <v/>
      </c>
      <c r="Q76" s="385" t="str">
        <f>IF(
    OR(ISBLANK(L76), ISBLANK(M76)),
    "",
    MAX(
        1,
        IF(
            NETWORKDAYS(L76, M76, Holiday_Dates) &lt;= 0,
            1,
            NETWORKDAYS(L76, M76, Holiday_Dates) - IF(L76 = M76, 0, 1)
        )
    )
)</f>
        <v/>
      </c>
      <c r="R76" s="385" t="str">
        <f>IFERROR(
    IF(
        OR(ISBLANK(N76), AND(ISBLANK(L76), ISBLANK(M76))),
        "",
        MAX(
            1,
            IF(
                NETWORKDAYS(IF(NOT(ISBLANK(M76)), M76, L76), N76, Holiday_Dates) &lt;= 0,
                1,
                NETWORKDAYS(IF(NOT(ISBLANK(M76)), M76, L76), N76, Holiday_Dates)
                - IF(IF(NOT(ISBLANK(M76)), M76, L76) = N76, 0, 1)
            )
        )
    ),
    ""
)</f>
        <v/>
      </c>
      <c r="S76" s="385" t="str">
        <f>IFERROR(
    IF(
        OR(ISBLANK(N76), ISBLANK(O76)),
        "",
        MAX(
            1,
            IF(
                NETWORKDAYS(N76, O76, Holiday_Dates) &lt;= 0,
                1,
                NETWORKDAYS(N76, O76, Holiday_Dates) - IF(N76 = O76, 0, 1)
            )
        )
    ),
    ""
)</f>
        <v/>
      </c>
      <c r="T76" s="385"/>
      <c r="U76" s="385" t="s">
        <v>4</v>
      </c>
      <c r="V76" s="385" t="s">
        <v>101</v>
      </c>
      <c r="W76" s="385" t="s">
        <v>1436</v>
      </c>
      <c r="X76" s="1"/>
    </row>
    <row r="77" spans="1:24">
      <c r="A77" s="385" t="s">
        <v>47</v>
      </c>
      <c r="B77" s="385" t="s">
        <v>474</v>
      </c>
      <c r="C77" s="385" t="s">
        <v>1567</v>
      </c>
      <c r="D77" s="385" t="s">
        <v>89</v>
      </c>
      <c r="E77" s="385"/>
      <c r="F77" s="385"/>
      <c r="G77" s="385"/>
      <c r="H77" s="385">
        <v>2024</v>
      </c>
      <c r="I77" s="386">
        <v>45519</v>
      </c>
      <c r="J77" s="30"/>
      <c r="K77" s="385"/>
      <c r="L77" s="385"/>
      <c r="M77" s="385"/>
      <c r="N77" s="385"/>
      <c r="O77" s="385"/>
      <c r="P77" s="385" t="str">
        <f>IFERROR(
    IF(
        OR(ISBLANK(I77), ISBLANK(L77)),
        "",
        MAX(
            1,
            IF(
                NETWORKDAYS(I77, L77, Holiday_Dates) &lt;= 0,
                1,
                NETWORKDAYS(I77, L77, Holiday_Dates) - IF(I77 = L77, 0, 1)
            )
        )
    ),
    ""
)</f>
        <v/>
      </c>
      <c r="Q77" s="385" t="str">
        <f>IF(
    OR(ISBLANK(L77), ISBLANK(M77)),
    "",
    MAX(
        1,
        IF(
            NETWORKDAYS(L77, M77, Holiday_Dates) &lt;= 0,
            1,
            NETWORKDAYS(L77, M77, Holiday_Dates) - IF(L77 = M77, 0, 1)
        )
    )
)</f>
        <v/>
      </c>
      <c r="R77" s="385" t="str">
        <f>IFERROR(
    IF(
        OR(ISBLANK(N77), AND(ISBLANK(L77), ISBLANK(M77))),
        "",
        MAX(
            1,
            IF(
                NETWORKDAYS(IF(NOT(ISBLANK(M77)), M77, L77), N77, Holiday_Dates) &lt;= 0,
                1,
                NETWORKDAYS(IF(NOT(ISBLANK(M77)), M77, L77), N77, Holiday_Dates)
                - IF(IF(NOT(ISBLANK(M77)), M77, L77) = N77, 0, 1)
            )
        )
    ),
    ""
)</f>
        <v/>
      </c>
      <c r="S77" s="385" t="str">
        <f>IFERROR(
    IF(
        OR(ISBLANK(N77), ISBLANK(O77)),
        "",
        MAX(
            1,
            IF(
                NETWORKDAYS(N77, O77, Holiday_Dates) &lt;= 0,
                1,
                NETWORKDAYS(N77, O77, Holiday_Dates) - IF(N77 = O77, 0, 1)
            )
        )
    ),
    ""
)</f>
        <v/>
      </c>
      <c r="T77" s="385"/>
      <c r="U77" s="385" t="s">
        <v>4</v>
      </c>
      <c r="V77" s="385" t="s">
        <v>101</v>
      </c>
      <c r="W77" s="385" t="s">
        <v>1436</v>
      </c>
      <c r="X77" s="1"/>
    </row>
    <row r="78" spans="1:24">
      <c r="A78" s="385" t="s">
        <v>47</v>
      </c>
      <c r="B78" s="385" t="s">
        <v>474</v>
      </c>
      <c r="C78" s="385" t="s">
        <v>1569</v>
      </c>
      <c r="D78" s="385" t="s">
        <v>89</v>
      </c>
      <c r="E78" s="385"/>
      <c r="F78" s="385"/>
      <c r="G78" s="385"/>
      <c r="H78" s="385">
        <v>2024</v>
      </c>
      <c r="I78" s="386">
        <v>45520</v>
      </c>
      <c r="J78" s="30"/>
      <c r="K78" s="385"/>
      <c r="L78" s="385"/>
      <c r="M78" s="385"/>
      <c r="N78" s="385"/>
      <c r="O78" s="385"/>
      <c r="P78" s="385" t="str">
        <f>IFERROR(
    IF(
        OR(ISBLANK(I78), ISBLANK(L78)),
        "",
        MAX(
            1,
            IF(
                NETWORKDAYS(I78, L78, Holiday_Dates) &lt;= 0,
                1,
                NETWORKDAYS(I78, L78, Holiday_Dates) - IF(I78 = L78, 0, 1)
            )
        )
    ),
    ""
)</f>
        <v/>
      </c>
      <c r="Q78" s="385" t="str">
        <f>IF(
    OR(ISBLANK(L78), ISBLANK(M78)),
    "",
    MAX(
        1,
        IF(
            NETWORKDAYS(L78, M78, Holiday_Dates) &lt;= 0,
            1,
            NETWORKDAYS(L78, M78, Holiday_Dates) - IF(L78 = M78, 0, 1)
        )
    )
)</f>
        <v/>
      </c>
      <c r="R78" s="385" t="str">
        <f>IFERROR(
    IF(
        OR(ISBLANK(N78), AND(ISBLANK(L78), ISBLANK(M78))),
        "",
        MAX(
            1,
            IF(
                NETWORKDAYS(IF(NOT(ISBLANK(M78)), M78, L78), N78, Holiday_Dates) &lt;= 0,
                1,
                NETWORKDAYS(IF(NOT(ISBLANK(M78)), M78, L78), N78, Holiday_Dates)
                - IF(IF(NOT(ISBLANK(M78)), M78, L78) = N78, 0, 1)
            )
        )
    ),
    ""
)</f>
        <v/>
      </c>
      <c r="S78" s="385" t="str">
        <f>IFERROR(
    IF(
        OR(ISBLANK(N78), ISBLANK(O78)),
        "",
        MAX(
            1,
            IF(
                NETWORKDAYS(N78, O78, Holiday_Dates) &lt;= 0,
                1,
                NETWORKDAYS(N78, O78, Holiday_Dates) - IF(N78 = O78, 0, 1)
            )
        )
    ),
    ""
)</f>
        <v/>
      </c>
      <c r="T78" s="385"/>
      <c r="U78" s="385" t="s">
        <v>4</v>
      </c>
      <c r="V78" s="385" t="s">
        <v>101</v>
      </c>
      <c r="W78" s="385" t="s">
        <v>1436</v>
      </c>
      <c r="X78" s="1"/>
    </row>
    <row r="79" spans="1:24">
      <c r="A79" s="385" t="s">
        <v>47</v>
      </c>
      <c r="B79" s="385" t="s">
        <v>474</v>
      </c>
      <c r="C79" s="385" t="s">
        <v>750</v>
      </c>
      <c r="D79" s="385" t="s">
        <v>89</v>
      </c>
      <c r="E79" s="385"/>
      <c r="F79" s="385"/>
      <c r="G79" s="385"/>
      <c r="H79" s="385">
        <v>2024</v>
      </c>
      <c r="I79" s="386">
        <v>45520</v>
      </c>
      <c r="J79" s="30"/>
      <c r="K79" s="385"/>
      <c r="L79" s="385"/>
      <c r="M79" s="385"/>
      <c r="N79" s="385"/>
      <c r="O79" s="385"/>
      <c r="P79" s="385" t="str">
        <f>IFERROR(
    IF(
        OR(ISBLANK(I79), ISBLANK(L79)),
        "",
        MAX(
            1,
            IF(
                NETWORKDAYS(I79, L79, Holiday_Dates) &lt;= 0,
                1,
                NETWORKDAYS(I79, L79, Holiday_Dates) - IF(I79 = L79, 0, 1)
            )
        )
    ),
    ""
)</f>
        <v/>
      </c>
      <c r="Q79" s="385" t="str">
        <f>IF(
    OR(ISBLANK(L79), ISBLANK(M79)),
    "",
    MAX(
        1,
        IF(
            NETWORKDAYS(L79, M79, Holiday_Dates) &lt;= 0,
            1,
            NETWORKDAYS(L79, M79, Holiday_Dates) - IF(L79 = M79, 0, 1)
        )
    )
)</f>
        <v/>
      </c>
      <c r="R79" s="385" t="str">
        <f>IFERROR(
    IF(
        OR(ISBLANK(N79), AND(ISBLANK(L79), ISBLANK(M79))),
        "",
        MAX(
            1,
            IF(
                NETWORKDAYS(IF(NOT(ISBLANK(M79)), M79, L79), N79, Holiday_Dates) &lt;= 0,
                1,
                NETWORKDAYS(IF(NOT(ISBLANK(M79)), M79, L79), N79, Holiday_Dates)
                - IF(IF(NOT(ISBLANK(M79)), M79, L79) = N79, 0, 1)
            )
        )
    ),
    ""
)</f>
        <v/>
      </c>
      <c r="S79" s="385" t="str">
        <f>IFERROR(
    IF(
        OR(ISBLANK(N79), ISBLANK(O79)),
        "",
        MAX(
            1,
            IF(
                NETWORKDAYS(N79, O79, Holiday_Dates) &lt;= 0,
                1,
                NETWORKDAYS(N79, O79, Holiday_Dates) - IF(N79 = O79, 0, 1)
            )
        )
    ),
    ""
)</f>
        <v/>
      </c>
      <c r="T79" s="385"/>
      <c r="U79" s="385" t="s">
        <v>4</v>
      </c>
      <c r="V79" s="385" t="s">
        <v>101</v>
      </c>
      <c r="W79" s="385" t="s">
        <v>1436</v>
      </c>
      <c r="X79" s="1"/>
    </row>
    <row r="80" spans="1:24">
      <c r="A80" s="385" t="s">
        <v>47</v>
      </c>
      <c r="B80" s="385" t="s">
        <v>474</v>
      </c>
      <c r="C80" s="385" t="s">
        <v>1572</v>
      </c>
      <c r="D80" s="385" t="s">
        <v>89</v>
      </c>
      <c r="E80" s="385"/>
      <c r="F80" s="385"/>
      <c r="G80" s="385"/>
      <c r="H80" s="385">
        <v>2024</v>
      </c>
      <c r="I80" s="386">
        <v>45519</v>
      </c>
      <c r="J80" s="30"/>
      <c r="K80" s="385"/>
      <c r="L80" s="385"/>
      <c r="M80" s="385"/>
      <c r="N80" s="385"/>
      <c r="O80" s="385"/>
      <c r="P80" s="385" t="str">
        <f>IFERROR(
    IF(
        OR(ISBLANK(I80), ISBLANK(L80)),
        "",
        MAX(
            1,
            IF(
                NETWORKDAYS(I80, L80, Holiday_Dates) &lt;= 0,
                1,
                NETWORKDAYS(I80, L80, Holiday_Dates) - IF(I80 = L80, 0, 1)
            )
        )
    ),
    ""
)</f>
        <v/>
      </c>
      <c r="Q80" s="385" t="str">
        <f>IF(
    OR(ISBLANK(L80), ISBLANK(M80)),
    "",
    MAX(
        1,
        IF(
            NETWORKDAYS(L80, M80, Holiday_Dates) &lt;= 0,
            1,
            NETWORKDAYS(L80, M80, Holiday_Dates) - IF(L80 = M80, 0, 1)
        )
    )
)</f>
        <v/>
      </c>
      <c r="R80" s="385" t="str">
        <f>IFERROR(
    IF(
        OR(ISBLANK(N80), AND(ISBLANK(L80), ISBLANK(M80))),
        "",
        MAX(
            1,
            IF(
                NETWORKDAYS(IF(NOT(ISBLANK(M80)), M80, L80), N80, Holiday_Dates) &lt;= 0,
                1,
                NETWORKDAYS(IF(NOT(ISBLANK(M80)), M80, L80), N80, Holiday_Dates)
                - IF(IF(NOT(ISBLANK(M80)), M80, L80) = N80, 0, 1)
            )
        )
    ),
    ""
)</f>
        <v/>
      </c>
      <c r="S80" s="385" t="str">
        <f>IFERROR(
    IF(
        OR(ISBLANK(N80), ISBLANK(O80)),
        "",
        MAX(
            1,
            IF(
                NETWORKDAYS(N80, O80, Holiday_Dates) &lt;= 0,
                1,
                NETWORKDAYS(N80, O80, Holiday_Dates) - IF(N80 = O80, 0, 1)
            )
        )
    ),
    ""
)</f>
        <v/>
      </c>
      <c r="T80" s="385"/>
      <c r="U80" s="385" t="s">
        <v>672</v>
      </c>
      <c r="V80" s="385" t="s">
        <v>101</v>
      </c>
      <c r="W80" s="385" t="s">
        <v>1436</v>
      </c>
      <c r="X80" s="1"/>
    </row>
    <row r="81" spans="1:24">
      <c r="A81" s="385" t="s">
        <v>47</v>
      </c>
      <c r="B81" s="385" t="s">
        <v>474</v>
      </c>
      <c r="C81" s="385" t="s">
        <v>751</v>
      </c>
      <c r="D81" s="385" t="s">
        <v>89</v>
      </c>
      <c r="E81" s="385"/>
      <c r="F81" s="385"/>
      <c r="G81" s="385"/>
      <c r="H81" s="385">
        <v>2024</v>
      </c>
      <c r="I81" s="386">
        <v>45512</v>
      </c>
      <c r="J81" s="30"/>
      <c r="K81" s="385"/>
      <c r="L81" s="385"/>
      <c r="M81" s="385"/>
      <c r="N81" s="385"/>
      <c r="O81" s="385"/>
      <c r="P81" s="385" t="str">
        <f>IFERROR(
    IF(
        OR(ISBLANK(I81), ISBLANK(L81)),
        "",
        MAX(
            1,
            IF(
                NETWORKDAYS(I81, L81, Holiday_Dates) &lt;= 0,
                1,
                NETWORKDAYS(I81, L81, Holiday_Dates) - IF(I81 = L81, 0, 1)
            )
        )
    ),
    ""
)</f>
        <v/>
      </c>
      <c r="Q81" s="385" t="str">
        <f>IF(
    OR(ISBLANK(L81), ISBLANK(M81)),
    "",
    MAX(
        1,
        IF(
            NETWORKDAYS(L81, M81, Holiday_Dates) &lt;= 0,
            1,
            NETWORKDAYS(L81, M81, Holiday_Dates) - IF(L81 = M81, 0, 1)
        )
    )
)</f>
        <v/>
      </c>
      <c r="R81" s="385" t="str">
        <f>IFERROR(
    IF(
        OR(ISBLANK(N81), AND(ISBLANK(L81), ISBLANK(M81))),
        "",
        MAX(
            1,
            IF(
                NETWORKDAYS(IF(NOT(ISBLANK(M81)), M81, L81), N81, Holiday_Dates) &lt;= 0,
                1,
                NETWORKDAYS(IF(NOT(ISBLANK(M81)), M81, L81), N81, Holiday_Dates)
                - IF(IF(NOT(ISBLANK(M81)), M81, L81) = N81, 0, 1)
            )
        )
    ),
    ""
)</f>
        <v/>
      </c>
      <c r="S81" s="385" t="str">
        <f>IFERROR(
    IF(
        OR(ISBLANK(N81), ISBLANK(O81)),
        "",
        MAX(
            1,
            IF(
                NETWORKDAYS(N81, O81, Holiday_Dates) &lt;= 0,
                1,
                NETWORKDAYS(N81, O81, Holiday_Dates) - IF(N81 = O81, 0, 1)
            )
        )
    ),
    ""
)</f>
        <v/>
      </c>
      <c r="T81" s="385"/>
      <c r="U81" s="385" t="s">
        <v>4</v>
      </c>
      <c r="V81" s="385" t="s">
        <v>101</v>
      </c>
      <c r="W81" s="385" t="s">
        <v>1436</v>
      </c>
      <c r="X81" s="1"/>
    </row>
    <row r="82" spans="1:24">
      <c r="A82" s="385" t="s">
        <v>47</v>
      </c>
      <c r="B82" s="385" t="s">
        <v>474</v>
      </c>
      <c r="C82" s="385" t="s">
        <v>1575</v>
      </c>
      <c r="D82" s="385" t="s">
        <v>89</v>
      </c>
      <c r="E82" s="385"/>
      <c r="F82" s="385"/>
      <c r="G82" s="385"/>
      <c r="H82" s="385">
        <v>2024</v>
      </c>
      <c r="I82" s="385" t="s">
        <v>4613</v>
      </c>
      <c r="J82" s="30"/>
      <c r="K82" s="385"/>
      <c r="L82" s="385"/>
      <c r="M82" s="385"/>
      <c r="N82" s="385"/>
      <c r="O82" s="385"/>
      <c r="P82" s="385" t="str">
        <f>IFERROR(
    IF(
        OR(ISBLANK(I82), ISBLANK(L82)),
        "",
        MAX(
            1,
            IF(
                NETWORKDAYS(I82, L82, Holiday_Dates) &lt;= 0,
                1,
                NETWORKDAYS(I82, L82, Holiday_Dates) - IF(I82 = L82, 0, 1)
            )
        )
    ),
    ""
)</f>
        <v/>
      </c>
      <c r="Q82" s="385" t="str">
        <f>IF(
    OR(ISBLANK(L82), ISBLANK(M82)),
    "",
    MAX(
        1,
        IF(
            NETWORKDAYS(L82, M82, Holiday_Dates) &lt;= 0,
            1,
            NETWORKDAYS(L82, M82, Holiday_Dates) - IF(L82 = M82, 0, 1)
        )
    )
)</f>
        <v/>
      </c>
      <c r="R82" s="385" t="str">
        <f>IFERROR(
    IF(
        OR(ISBLANK(N82), AND(ISBLANK(L82), ISBLANK(M82))),
        "",
        MAX(
            1,
            IF(
                NETWORKDAYS(IF(NOT(ISBLANK(M82)), M82, L82), N82, Holiday_Dates) &lt;= 0,
                1,
                NETWORKDAYS(IF(NOT(ISBLANK(M82)), M82, L82), N82, Holiday_Dates)
                - IF(IF(NOT(ISBLANK(M82)), M82, L82) = N82, 0, 1)
            )
        )
    ),
    ""
)</f>
        <v/>
      </c>
      <c r="S82" s="385" t="str">
        <f>IFERROR(
    IF(
        OR(ISBLANK(N82), ISBLANK(O82)),
        "",
        MAX(
            1,
            IF(
                NETWORKDAYS(N82, O82, Holiday_Dates) &lt;= 0,
                1,
                NETWORKDAYS(N82, O82, Holiday_Dates) - IF(N82 = O82, 0, 1)
            )
        )
    ),
    ""
)</f>
        <v/>
      </c>
      <c r="T82" s="385"/>
      <c r="U82" s="385" t="s">
        <v>672</v>
      </c>
      <c r="V82" s="385"/>
      <c r="W82" s="385" t="s">
        <v>1436</v>
      </c>
      <c r="X82" s="1"/>
    </row>
    <row r="83" spans="1:24">
      <c r="A83" s="385" t="s">
        <v>47</v>
      </c>
      <c r="B83" s="385" t="s">
        <v>474</v>
      </c>
      <c r="C83" s="385" t="s">
        <v>1577</v>
      </c>
      <c r="D83" s="385" t="s">
        <v>89</v>
      </c>
      <c r="E83" s="385"/>
      <c r="F83" s="385"/>
      <c r="G83" s="385"/>
      <c r="H83" s="385">
        <v>2024</v>
      </c>
      <c r="I83" s="386">
        <v>45568</v>
      </c>
      <c r="J83" s="30"/>
      <c r="K83" s="385"/>
      <c r="L83" s="385"/>
      <c r="M83" s="385"/>
      <c r="N83" s="385"/>
      <c r="O83" s="385"/>
      <c r="P83" s="385" t="str">
        <f>IFERROR(
    IF(
        OR(ISBLANK(I83), ISBLANK(L83)),
        "",
        MAX(
            1,
            IF(
                NETWORKDAYS(I83, L83, Holiday_Dates) &lt;= 0,
                1,
                NETWORKDAYS(I83, L83, Holiday_Dates) - IF(I83 = L83, 0, 1)
            )
        )
    ),
    ""
)</f>
        <v/>
      </c>
      <c r="Q83" s="385" t="str">
        <f>IF(
    OR(ISBLANK(L83), ISBLANK(M83)),
    "",
    MAX(
        1,
        IF(
            NETWORKDAYS(L83, M83, Holiday_Dates) &lt;= 0,
            1,
            NETWORKDAYS(L83, M83, Holiday_Dates) - IF(L83 = M83, 0, 1)
        )
    )
)</f>
        <v/>
      </c>
      <c r="R83" s="385" t="str">
        <f>IFERROR(
    IF(
        OR(ISBLANK(N83), AND(ISBLANK(L83), ISBLANK(M83))),
        "",
        MAX(
            1,
            IF(
                NETWORKDAYS(IF(NOT(ISBLANK(M83)), M83, L83), N83, Holiday_Dates) &lt;= 0,
                1,
                NETWORKDAYS(IF(NOT(ISBLANK(M83)), M83, L83), N83, Holiday_Dates)
                - IF(IF(NOT(ISBLANK(M83)), M83, L83) = N83, 0, 1)
            )
        )
    ),
    ""
)</f>
        <v/>
      </c>
      <c r="S83" s="385" t="str">
        <f>IFERROR(
    IF(
        OR(ISBLANK(N83), ISBLANK(O83)),
        "",
        MAX(
            1,
            IF(
                NETWORKDAYS(N83, O83, Holiday_Dates) &lt;= 0,
                1,
                NETWORKDAYS(N83, O83, Holiday_Dates) - IF(N83 = O83, 0, 1)
            )
        )
    ),
    ""
)</f>
        <v/>
      </c>
      <c r="T83" s="385"/>
      <c r="U83" s="385" t="s">
        <v>4</v>
      </c>
      <c r="V83" s="385" t="s">
        <v>101</v>
      </c>
      <c r="W83" s="385" t="s">
        <v>1436</v>
      </c>
      <c r="X83" s="1"/>
    </row>
    <row r="84" spans="1:24">
      <c r="A84" s="385" t="s">
        <v>47</v>
      </c>
      <c r="B84" s="385" t="s">
        <v>474</v>
      </c>
      <c r="C84" s="385" t="s">
        <v>1579</v>
      </c>
      <c r="D84" s="385" t="s">
        <v>89</v>
      </c>
      <c r="E84" s="385"/>
      <c r="F84" s="385"/>
      <c r="G84" s="385"/>
      <c r="H84" s="385">
        <v>2024</v>
      </c>
      <c r="I84" s="386">
        <v>45552</v>
      </c>
      <c r="J84" s="30"/>
      <c r="K84" s="385"/>
      <c r="L84" s="385"/>
      <c r="M84" s="385"/>
      <c r="N84" s="385"/>
      <c r="O84" s="385"/>
      <c r="P84" s="385" t="str">
        <f>IFERROR(
    IF(
        OR(ISBLANK(I84), ISBLANK(L84)),
        "",
        MAX(
            1,
            IF(
                NETWORKDAYS(I84, L84, Holiday_Dates) &lt;= 0,
                1,
                NETWORKDAYS(I84, L84, Holiday_Dates) - IF(I84 = L84, 0, 1)
            )
        )
    ),
    ""
)</f>
        <v/>
      </c>
      <c r="Q84" s="385" t="str">
        <f>IF(
    OR(ISBLANK(L84), ISBLANK(M84)),
    "",
    MAX(
        1,
        IF(
            NETWORKDAYS(L84, M84, Holiday_Dates) &lt;= 0,
            1,
            NETWORKDAYS(L84, M84, Holiday_Dates) - IF(L84 = M84, 0, 1)
        )
    )
)</f>
        <v/>
      </c>
      <c r="R84" s="385" t="str">
        <f>IFERROR(
    IF(
        OR(ISBLANK(N84), AND(ISBLANK(L84), ISBLANK(M84))),
        "",
        MAX(
            1,
            IF(
                NETWORKDAYS(IF(NOT(ISBLANK(M84)), M84, L84), N84, Holiday_Dates) &lt;= 0,
                1,
                NETWORKDAYS(IF(NOT(ISBLANK(M84)), M84, L84), N84, Holiday_Dates)
                - IF(IF(NOT(ISBLANK(M84)), M84, L84) = N84, 0, 1)
            )
        )
    ),
    ""
)</f>
        <v/>
      </c>
      <c r="S84" s="385" t="str">
        <f>IFERROR(
    IF(
        OR(ISBLANK(N84), ISBLANK(O84)),
        "",
        MAX(
            1,
            IF(
                NETWORKDAYS(N84, O84, Holiday_Dates) &lt;= 0,
                1,
                NETWORKDAYS(N84, O84, Holiday_Dates) - IF(N84 = O84, 0, 1)
            )
        )
    ),
    ""
)</f>
        <v/>
      </c>
      <c r="T84" s="385"/>
      <c r="U84" s="385" t="s">
        <v>4</v>
      </c>
      <c r="V84" s="385" t="s">
        <v>101</v>
      </c>
      <c r="W84" s="385" t="s">
        <v>1436</v>
      </c>
      <c r="X84" s="1"/>
    </row>
    <row r="85" spans="1:24">
      <c r="A85" s="385" t="s">
        <v>47</v>
      </c>
      <c r="B85" s="385" t="s">
        <v>474</v>
      </c>
      <c r="C85" s="385" t="s">
        <v>1581</v>
      </c>
      <c r="D85" s="385" t="s">
        <v>89</v>
      </c>
      <c r="E85" s="385"/>
      <c r="F85" s="385"/>
      <c r="G85" s="385"/>
      <c r="H85" s="385">
        <v>2024</v>
      </c>
      <c r="I85" s="386">
        <v>45575</v>
      </c>
      <c r="J85" s="30"/>
      <c r="K85" s="385"/>
      <c r="L85" s="385"/>
      <c r="M85" s="385"/>
      <c r="N85" s="385"/>
      <c r="O85" s="385"/>
      <c r="P85" s="385" t="str">
        <f>IFERROR(
    IF(
        OR(ISBLANK(I85), ISBLANK(L85)),
        "",
        MAX(
            1,
            IF(
                NETWORKDAYS(I85, L85, Holiday_Dates) &lt;= 0,
                1,
                NETWORKDAYS(I85, L85, Holiday_Dates) - IF(I85 = L85, 0, 1)
            )
        )
    ),
    ""
)</f>
        <v/>
      </c>
      <c r="Q85" s="385" t="str">
        <f>IF(
    OR(ISBLANK(L85), ISBLANK(M85)),
    "",
    MAX(
        1,
        IF(
            NETWORKDAYS(L85, M85, Holiday_Dates) &lt;= 0,
            1,
            NETWORKDAYS(L85, M85, Holiday_Dates) - IF(L85 = M85, 0, 1)
        )
    )
)</f>
        <v/>
      </c>
      <c r="R85" s="385" t="str">
        <f>IFERROR(
    IF(
        OR(ISBLANK(N85), AND(ISBLANK(L85), ISBLANK(M85))),
        "",
        MAX(
            1,
            IF(
                NETWORKDAYS(IF(NOT(ISBLANK(M85)), M85, L85), N85, Holiday_Dates) &lt;= 0,
                1,
                NETWORKDAYS(IF(NOT(ISBLANK(M85)), M85, L85), N85, Holiday_Dates)
                - IF(IF(NOT(ISBLANK(M85)), M85, L85) = N85, 0, 1)
            )
        )
    ),
    ""
)</f>
        <v/>
      </c>
      <c r="S85" s="385" t="str">
        <f>IFERROR(
    IF(
        OR(ISBLANK(N85), ISBLANK(O85)),
        "",
        MAX(
            1,
            IF(
                NETWORKDAYS(N85, O85, Holiday_Dates) &lt;= 0,
                1,
                NETWORKDAYS(N85, O85, Holiday_Dates) - IF(N85 = O85, 0, 1)
            )
        )
    ),
    ""
)</f>
        <v/>
      </c>
      <c r="T85" s="385"/>
      <c r="U85" s="385" t="s">
        <v>4</v>
      </c>
      <c r="V85" s="385" t="s">
        <v>101</v>
      </c>
      <c r="W85" s="385" t="s">
        <v>1436</v>
      </c>
      <c r="X85" s="1"/>
    </row>
    <row r="86" spans="1:24">
      <c r="A86" s="385" t="s">
        <v>47</v>
      </c>
      <c r="B86" s="385" t="s">
        <v>474</v>
      </c>
      <c r="C86" s="385" t="s">
        <v>1059</v>
      </c>
      <c r="D86" s="385" t="s">
        <v>89</v>
      </c>
      <c r="E86" s="385"/>
      <c r="F86" s="385"/>
      <c r="G86" s="385"/>
      <c r="H86" s="385">
        <v>2024</v>
      </c>
      <c r="I86" s="386">
        <v>45552</v>
      </c>
      <c r="J86" s="30"/>
      <c r="K86" s="385"/>
      <c r="L86" s="385"/>
      <c r="M86" s="385"/>
      <c r="N86" s="385"/>
      <c r="O86" s="385"/>
      <c r="P86" s="385" t="str">
        <f>IFERROR(
    IF(
        OR(ISBLANK(I86), ISBLANK(L86)),
        "",
        MAX(
            1,
            IF(
                NETWORKDAYS(I86, L86, Holiday_Dates) &lt;= 0,
                1,
                NETWORKDAYS(I86, L86, Holiday_Dates) - IF(I86 = L86, 0, 1)
            )
        )
    ),
    ""
)</f>
        <v/>
      </c>
      <c r="Q86" s="385" t="str">
        <f>IF(
    OR(ISBLANK(L86), ISBLANK(M86)),
    "",
    MAX(
        1,
        IF(
            NETWORKDAYS(L86, M86, Holiday_Dates) &lt;= 0,
            1,
            NETWORKDAYS(L86, M86, Holiday_Dates) - IF(L86 = M86, 0, 1)
        )
    )
)</f>
        <v/>
      </c>
      <c r="R86" s="385" t="str">
        <f>IFERROR(
    IF(
        OR(ISBLANK(N86), AND(ISBLANK(L86), ISBLANK(M86))),
        "",
        MAX(
            1,
            IF(
                NETWORKDAYS(IF(NOT(ISBLANK(M86)), M86, L86), N86, Holiday_Dates) &lt;= 0,
                1,
                NETWORKDAYS(IF(NOT(ISBLANK(M86)), M86, L86), N86, Holiday_Dates)
                - IF(IF(NOT(ISBLANK(M86)), M86, L86) = N86, 0, 1)
            )
        )
    ),
    ""
)</f>
        <v/>
      </c>
      <c r="S86" s="385" t="str">
        <f>IFERROR(
    IF(
        OR(ISBLANK(N86), ISBLANK(O86)),
        "",
        MAX(
            1,
            IF(
                NETWORKDAYS(N86, O86, Holiday_Dates) &lt;= 0,
                1,
                NETWORKDAYS(N86, O86, Holiday_Dates) - IF(N86 = O86, 0, 1)
            )
        )
    ),
    ""
)</f>
        <v/>
      </c>
      <c r="T86" s="385"/>
      <c r="U86" s="385" t="s">
        <v>4</v>
      </c>
      <c r="V86" s="385" t="s">
        <v>101</v>
      </c>
      <c r="W86" s="385" t="s">
        <v>1436</v>
      </c>
      <c r="X86" s="1"/>
    </row>
    <row r="87" spans="1:24">
      <c r="A87" s="385" t="s">
        <v>47</v>
      </c>
      <c r="B87" s="385" t="s">
        <v>474</v>
      </c>
      <c r="C87" s="385" t="s">
        <v>1584</v>
      </c>
      <c r="D87" s="385" t="s">
        <v>89</v>
      </c>
      <c r="E87" s="385"/>
      <c r="F87" s="385"/>
      <c r="G87" s="385"/>
      <c r="H87" s="385">
        <v>2024</v>
      </c>
      <c r="I87" s="386">
        <v>45516</v>
      </c>
      <c r="J87" s="30"/>
      <c r="K87" s="385"/>
      <c r="L87" s="385"/>
      <c r="M87" s="385"/>
      <c r="N87" s="385"/>
      <c r="O87" s="385"/>
      <c r="P87" s="385" t="str">
        <f>IFERROR(
    IF(
        OR(ISBLANK(I87), ISBLANK(L87)),
        "",
        MAX(
            1,
            IF(
                NETWORKDAYS(I87, L87, Holiday_Dates) &lt;= 0,
                1,
                NETWORKDAYS(I87, L87, Holiday_Dates) - IF(I87 = L87, 0, 1)
            )
        )
    ),
    ""
)</f>
        <v/>
      </c>
      <c r="Q87" s="385" t="str">
        <f>IF(
    OR(ISBLANK(L87), ISBLANK(M87)),
    "",
    MAX(
        1,
        IF(
            NETWORKDAYS(L87, M87, Holiday_Dates) &lt;= 0,
            1,
            NETWORKDAYS(L87, M87, Holiday_Dates) - IF(L87 = M87, 0, 1)
        )
    )
)</f>
        <v/>
      </c>
      <c r="R87" s="385" t="str">
        <f>IFERROR(
    IF(
        OR(ISBLANK(N87), AND(ISBLANK(L87), ISBLANK(M87))),
        "",
        MAX(
            1,
            IF(
                NETWORKDAYS(IF(NOT(ISBLANK(M87)), M87, L87), N87, Holiday_Dates) &lt;= 0,
                1,
                NETWORKDAYS(IF(NOT(ISBLANK(M87)), M87, L87), N87, Holiday_Dates)
                - IF(IF(NOT(ISBLANK(M87)), M87, L87) = N87, 0, 1)
            )
        )
    ),
    ""
)</f>
        <v/>
      </c>
      <c r="S87" s="385" t="str">
        <f>IFERROR(
    IF(
        OR(ISBLANK(N87), ISBLANK(O87)),
        "",
        MAX(
            1,
            IF(
                NETWORKDAYS(N87, O87, Holiday_Dates) &lt;= 0,
                1,
                NETWORKDAYS(N87, O87, Holiday_Dates) - IF(N87 = O87, 0, 1)
            )
        )
    ),
    ""
)</f>
        <v/>
      </c>
      <c r="T87" s="385"/>
      <c r="U87" s="385" t="s">
        <v>4</v>
      </c>
      <c r="V87" s="385" t="s">
        <v>101</v>
      </c>
      <c r="W87" s="385" t="s">
        <v>1436</v>
      </c>
      <c r="X87" s="1"/>
    </row>
    <row r="88" spans="1:24">
      <c r="A88" s="385" t="s">
        <v>47</v>
      </c>
      <c r="B88" s="385" t="s">
        <v>474</v>
      </c>
      <c r="C88" s="385" t="s">
        <v>1586</v>
      </c>
      <c r="D88" s="385" t="s">
        <v>89</v>
      </c>
      <c r="E88" s="385"/>
      <c r="F88" s="385"/>
      <c r="G88" s="385"/>
      <c r="H88" s="385">
        <v>2024</v>
      </c>
      <c r="I88" s="386">
        <v>45546</v>
      </c>
      <c r="J88" s="30"/>
      <c r="K88" s="385"/>
      <c r="L88" s="385"/>
      <c r="M88" s="385"/>
      <c r="N88" s="385"/>
      <c r="O88" s="385"/>
      <c r="P88" s="385" t="str">
        <f>IFERROR(
    IF(
        OR(ISBLANK(I88), ISBLANK(L88)),
        "",
        MAX(
            1,
            IF(
                NETWORKDAYS(I88, L88, Holiday_Dates) &lt;= 0,
                1,
                NETWORKDAYS(I88, L88, Holiday_Dates) - IF(I88 = L88, 0, 1)
            )
        )
    ),
    ""
)</f>
        <v/>
      </c>
      <c r="Q88" s="385" t="str">
        <f>IF(
    OR(ISBLANK(L88), ISBLANK(M88)),
    "",
    MAX(
        1,
        IF(
            NETWORKDAYS(L88, M88, Holiday_Dates) &lt;= 0,
            1,
            NETWORKDAYS(L88, M88, Holiday_Dates) - IF(L88 = M88, 0, 1)
        )
    )
)</f>
        <v/>
      </c>
      <c r="R88" s="385" t="str">
        <f>IFERROR(
    IF(
        OR(ISBLANK(N88), AND(ISBLANK(L88), ISBLANK(M88))),
        "",
        MAX(
            1,
            IF(
                NETWORKDAYS(IF(NOT(ISBLANK(M88)), M88, L88), N88, Holiday_Dates) &lt;= 0,
                1,
                NETWORKDAYS(IF(NOT(ISBLANK(M88)), M88, L88), N88, Holiday_Dates)
                - IF(IF(NOT(ISBLANK(M88)), M88, L88) = N88, 0, 1)
            )
        )
    ),
    ""
)</f>
        <v/>
      </c>
      <c r="S88" s="385" t="str">
        <f>IFERROR(
    IF(
        OR(ISBLANK(N88), ISBLANK(O88)),
        "",
        MAX(
            1,
            IF(
                NETWORKDAYS(N88, O88, Holiday_Dates) &lt;= 0,
                1,
                NETWORKDAYS(N88, O88, Holiday_Dates) - IF(N88 = O88, 0, 1)
            )
        )
    ),
    ""
)</f>
        <v/>
      </c>
      <c r="T88" s="385"/>
      <c r="U88" s="385" t="s">
        <v>4</v>
      </c>
      <c r="V88" s="385" t="s">
        <v>101</v>
      </c>
      <c r="W88" s="385" t="s">
        <v>1436</v>
      </c>
      <c r="X88" s="1"/>
    </row>
    <row r="89" spans="1:24" ht="28.5">
      <c r="A89" s="385" t="s">
        <v>47</v>
      </c>
      <c r="B89" s="385" t="s">
        <v>474</v>
      </c>
      <c r="C89" s="385" t="s">
        <v>603</v>
      </c>
      <c r="D89" s="385" t="s">
        <v>89</v>
      </c>
      <c r="E89" s="385"/>
      <c r="F89" s="385"/>
      <c r="G89" s="385"/>
      <c r="H89" s="30" t="s">
        <v>4595</v>
      </c>
      <c r="I89" s="386" t="s">
        <v>4614</v>
      </c>
      <c r="J89" s="30" t="s">
        <v>4615</v>
      </c>
      <c r="K89" s="385"/>
      <c r="L89" s="385"/>
      <c r="M89" s="385"/>
      <c r="N89" s="385"/>
      <c r="O89" s="385"/>
      <c r="P89" s="385" t="str">
        <f>IFERROR(
    IF(
        OR(ISBLANK(I89), ISBLANK(L89)),
        "",
        MAX(
            1,
            IF(
                NETWORKDAYS(I89, L89, Holiday_Dates) &lt;= 0,
                1,
                NETWORKDAYS(I89, L89, Holiday_Dates) - IF(I89 = L89, 0, 1)
            )
        )
    ),
    ""
)</f>
        <v/>
      </c>
      <c r="Q89" s="385" t="str">
        <f>IF(
    OR(ISBLANK(L89), ISBLANK(M89)),
    "",
    MAX(
        1,
        IF(
            NETWORKDAYS(L89, M89, Holiday_Dates) &lt;= 0,
            1,
            NETWORKDAYS(L89, M89, Holiday_Dates) - IF(L89 = M89, 0, 1)
        )
    )
)</f>
        <v/>
      </c>
      <c r="R89" s="385" t="str">
        <f>IFERROR(
    IF(
        OR(ISBLANK(N89), AND(ISBLANK(L89), ISBLANK(M89))),
        "",
        MAX(
            1,
            IF(
                NETWORKDAYS(IF(NOT(ISBLANK(M89)), M89, L89), N89, Holiday_Dates) &lt;= 0,
                1,
                NETWORKDAYS(IF(NOT(ISBLANK(M89)), M89, L89), N89, Holiday_Dates)
                - IF(IF(NOT(ISBLANK(M89)), M89, L89) = N89, 0, 1)
            )
        )
    ),
    ""
)</f>
        <v/>
      </c>
      <c r="S89" s="385" t="str">
        <f>IFERROR(
    IF(
        OR(ISBLANK(N89), ISBLANK(O89)),
        "",
        MAX(
            1,
            IF(
                NETWORKDAYS(N89, O89, Holiday_Dates) &lt;= 0,
                1,
                NETWORKDAYS(N89, O89, Holiday_Dates) - IF(N89 = O89, 0, 1)
            )
        )
    ),
    ""
)</f>
        <v/>
      </c>
      <c r="T89" s="385"/>
      <c r="U89" s="385" t="s">
        <v>4616</v>
      </c>
      <c r="V89" s="385" t="s">
        <v>4617</v>
      </c>
      <c r="W89" s="385" t="s">
        <v>1436</v>
      </c>
      <c r="X89" s="1"/>
    </row>
    <row r="90" spans="1:24">
      <c r="A90" s="385" t="s">
        <v>47</v>
      </c>
      <c r="B90" s="385" t="s">
        <v>474</v>
      </c>
      <c r="C90" s="385" t="s">
        <v>1590</v>
      </c>
      <c r="D90" s="385" t="s">
        <v>89</v>
      </c>
      <c r="E90" s="385"/>
      <c r="F90" s="385"/>
      <c r="G90" s="385"/>
      <c r="H90" s="385">
        <v>2024</v>
      </c>
      <c r="I90" s="386">
        <v>45450</v>
      </c>
      <c r="J90" s="30"/>
      <c r="K90" s="385"/>
      <c r="L90" s="385"/>
      <c r="M90" s="385"/>
      <c r="N90" s="385"/>
      <c r="O90" s="385"/>
      <c r="P90" s="385" t="str">
        <f>IFERROR(
    IF(
        OR(ISBLANK(I90), ISBLANK(L90)),
        "",
        MAX(
            1,
            IF(
                NETWORKDAYS(I90, L90, Holiday_Dates) &lt;= 0,
                1,
                NETWORKDAYS(I90, L90, Holiday_Dates) - IF(I90 = L90, 0, 1)
            )
        )
    ),
    ""
)</f>
        <v/>
      </c>
      <c r="Q90" s="385" t="str">
        <f>IF(
    OR(ISBLANK(L90), ISBLANK(M90)),
    "",
    MAX(
        1,
        IF(
            NETWORKDAYS(L90, M90, Holiday_Dates) &lt;= 0,
            1,
            NETWORKDAYS(L90, M90, Holiday_Dates) - IF(L90 = M90, 0, 1)
        )
    )
)</f>
        <v/>
      </c>
      <c r="R90" s="385" t="str">
        <f>IFERROR(
    IF(
        OR(ISBLANK(N90), AND(ISBLANK(L90), ISBLANK(M90))),
        "",
        MAX(
            1,
            IF(
                NETWORKDAYS(IF(NOT(ISBLANK(M90)), M90, L90), N90, Holiday_Dates) &lt;= 0,
                1,
                NETWORKDAYS(IF(NOT(ISBLANK(M90)), M90, L90), N90, Holiday_Dates)
                - IF(IF(NOT(ISBLANK(M90)), M90, L90) = N90, 0, 1)
            )
        )
    ),
    ""
)</f>
        <v/>
      </c>
      <c r="S90" s="385" t="str">
        <f>IFERROR(
    IF(
        OR(ISBLANK(N90), ISBLANK(O90)),
        "",
        MAX(
            1,
            IF(
                NETWORKDAYS(N90, O90, Holiday_Dates) &lt;= 0,
                1,
                NETWORKDAYS(N90, O90, Holiday_Dates) - IF(N90 = O90, 0, 1)
            )
        )
    ),
    ""
)</f>
        <v/>
      </c>
      <c r="T90" s="385"/>
      <c r="U90" s="385" t="s">
        <v>4</v>
      </c>
      <c r="V90" s="385"/>
      <c r="W90" s="385" t="s">
        <v>1436</v>
      </c>
      <c r="X90" s="1"/>
    </row>
    <row r="91" spans="1:24">
      <c r="A91" s="385" t="s">
        <v>47</v>
      </c>
      <c r="B91" s="385" t="s">
        <v>474</v>
      </c>
      <c r="C91" s="385" t="s">
        <v>1592</v>
      </c>
      <c r="D91" s="385" t="s">
        <v>89</v>
      </c>
      <c r="E91" s="385"/>
      <c r="F91" s="385"/>
      <c r="G91" s="385"/>
      <c r="H91" s="385">
        <v>2024</v>
      </c>
      <c r="I91" s="386">
        <v>45604</v>
      </c>
      <c r="J91" s="30"/>
      <c r="K91" s="385"/>
      <c r="L91" s="385"/>
      <c r="M91" s="385"/>
      <c r="N91" s="385"/>
      <c r="O91" s="385"/>
      <c r="P91" s="385" t="str">
        <f>IFERROR(
    IF(
        OR(ISBLANK(I91), ISBLANK(L91)),
        "",
        MAX(
            1,
            IF(
                NETWORKDAYS(I91, L91, Holiday_Dates) &lt;= 0,
                1,
                NETWORKDAYS(I91, L91, Holiday_Dates) - IF(I91 = L91, 0, 1)
            )
        )
    ),
    ""
)</f>
        <v/>
      </c>
      <c r="Q91" s="385" t="str">
        <f>IF(
    OR(ISBLANK(L91), ISBLANK(M91)),
    "",
    MAX(
        1,
        IF(
            NETWORKDAYS(L91, M91, Holiday_Dates) &lt;= 0,
            1,
            NETWORKDAYS(L91, M91, Holiday_Dates) - IF(L91 = M91, 0, 1)
        )
    )
)</f>
        <v/>
      </c>
      <c r="R91" s="385" t="str">
        <f>IFERROR(
    IF(
        OR(ISBLANK(N91), AND(ISBLANK(L91), ISBLANK(M91))),
        "",
        MAX(
            1,
            IF(
                NETWORKDAYS(IF(NOT(ISBLANK(M91)), M91, L91), N91, Holiday_Dates) &lt;= 0,
                1,
                NETWORKDAYS(IF(NOT(ISBLANK(M91)), M91, L91), N91, Holiday_Dates)
                - IF(IF(NOT(ISBLANK(M91)), M91, L91) = N91, 0, 1)
            )
        )
    ),
    ""
)</f>
        <v/>
      </c>
      <c r="S91" s="385" t="str">
        <f>IFERROR(
    IF(
        OR(ISBLANK(N91), ISBLANK(O91)),
        "",
        MAX(
            1,
            IF(
                NETWORKDAYS(N91, O91, Holiday_Dates) &lt;= 0,
                1,
                NETWORKDAYS(N91, O91, Holiday_Dates) - IF(N91 = O91, 0, 1)
            )
        )
    ),
    ""
)</f>
        <v/>
      </c>
      <c r="T91" s="385"/>
      <c r="U91" s="385" t="s">
        <v>4</v>
      </c>
      <c r="V91" s="385"/>
      <c r="W91" s="385" t="s">
        <v>1436</v>
      </c>
      <c r="X91" s="1"/>
    </row>
    <row r="92" spans="1:24">
      <c r="A92" s="385" t="s">
        <v>47</v>
      </c>
      <c r="B92" s="385" t="s">
        <v>474</v>
      </c>
      <c r="C92" s="385" t="s">
        <v>1594</v>
      </c>
      <c r="D92" s="385" t="s">
        <v>89</v>
      </c>
      <c r="E92" s="385"/>
      <c r="F92" s="385"/>
      <c r="G92" s="385"/>
      <c r="H92" s="385">
        <v>2025</v>
      </c>
      <c r="I92" s="386">
        <v>45792</v>
      </c>
      <c r="J92" s="30" t="s">
        <v>4618</v>
      </c>
      <c r="K92" s="385"/>
      <c r="L92" s="385"/>
      <c r="M92" s="385"/>
      <c r="N92" s="385"/>
      <c r="O92" s="385"/>
      <c r="P92" s="385" t="str">
        <f>IFERROR(
    IF(
        OR(ISBLANK(I92), ISBLANK(L92)),
        "",
        MAX(
            1,
            IF(
                NETWORKDAYS(I92, L92, Holiday_Dates) &lt;= 0,
                1,
                NETWORKDAYS(I92, L92, Holiday_Dates) - IF(I92 = L92, 0, 1)
            )
        )
    ),
    ""
)</f>
        <v/>
      </c>
      <c r="Q92" s="385" t="str">
        <f>IF(
    OR(ISBLANK(L92), ISBLANK(M92)),
    "",
    MAX(
        1,
        IF(
            NETWORKDAYS(L92, M92, Holiday_Dates) &lt;= 0,
            1,
            NETWORKDAYS(L92, M92, Holiday_Dates) - IF(L92 = M92, 0, 1)
        )
    )
)</f>
        <v/>
      </c>
      <c r="R92" s="385" t="str">
        <f>IFERROR(
    IF(
        OR(ISBLANK(N92), AND(ISBLANK(L92), ISBLANK(M92))),
        "",
        MAX(
            1,
            IF(
                NETWORKDAYS(IF(NOT(ISBLANK(M92)), M92, L92), N92, Holiday_Dates) &lt;= 0,
                1,
                NETWORKDAYS(IF(NOT(ISBLANK(M92)), M92, L92), N92, Holiday_Dates)
                - IF(IF(NOT(ISBLANK(M92)), M92, L92) = N92, 0, 1)
            )
        )
    ),
    ""
)</f>
        <v/>
      </c>
      <c r="S92" s="385" t="str">
        <f>IFERROR(
    IF(
        OR(ISBLANK(N92), ISBLANK(O92)),
        "",
        MAX(
            1,
            IF(
                NETWORKDAYS(N92, O92, Holiday_Dates) &lt;= 0,
                1,
                NETWORKDAYS(N92, O92, Holiday_Dates) - IF(N92 = O92, 0, 1)
            )
        )
    ),
    ""
)</f>
        <v/>
      </c>
      <c r="T92" s="385"/>
      <c r="U92" s="385" t="s">
        <v>672</v>
      </c>
      <c r="V92" s="385" t="s">
        <v>101</v>
      </c>
      <c r="W92" s="385" t="s">
        <v>1436</v>
      </c>
      <c r="X92" s="1"/>
    </row>
    <row r="93" spans="1:24">
      <c r="A93" s="385" t="s">
        <v>47</v>
      </c>
      <c r="B93" s="385" t="s">
        <v>474</v>
      </c>
      <c r="C93" s="385" t="s">
        <v>607</v>
      </c>
      <c r="D93" s="385" t="s">
        <v>89</v>
      </c>
      <c r="E93" s="385"/>
      <c r="F93" s="385"/>
      <c r="G93" s="385"/>
      <c r="H93" s="385">
        <v>2024</v>
      </c>
      <c r="I93" s="386">
        <v>45575</v>
      </c>
      <c r="J93" s="30"/>
      <c r="K93" s="385"/>
      <c r="L93" s="385"/>
      <c r="M93" s="385"/>
      <c r="N93" s="385"/>
      <c r="O93" s="385"/>
      <c r="P93" s="385" t="str">
        <f>IFERROR(
    IF(
        OR(ISBLANK(I93), ISBLANK(L93)),
        "",
        MAX(
            1,
            IF(
                NETWORKDAYS(I93, L93, Holiday_Dates) &lt;= 0,
                1,
                NETWORKDAYS(I93, L93, Holiday_Dates) - IF(I93 = L93, 0, 1)
            )
        )
    ),
    ""
)</f>
        <v/>
      </c>
      <c r="Q93" s="385" t="str">
        <f>IF(
    OR(ISBLANK(L93), ISBLANK(M93)),
    "",
    MAX(
        1,
        IF(
            NETWORKDAYS(L93, M93, Holiday_Dates) &lt;= 0,
            1,
            NETWORKDAYS(L93, M93, Holiday_Dates) - IF(L93 = M93, 0, 1)
        )
    )
)</f>
        <v/>
      </c>
      <c r="R93" s="385" t="str">
        <f>IFERROR(
    IF(
        OR(ISBLANK(N93), AND(ISBLANK(L93), ISBLANK(M93))),
        "",
        MAX(
            1,
            IF(
                NETWORKDAYS(IF(NOT(ISBLANK(M93)), M93, L93), N93, Holiday_Dates) &lt;= 0,
                1,
                NETWORKDAYS(IF(NOT(ISBLANK(M93)), M93, L93), N93, Holiday_Dates)
                - IF(IF(NOT(ISBLANK(M93)), M93, L93) = N93, 0, 1)
            )
        )
    ),
    ""
)</f>
        <v/>
      </c>
      <c r="S93" s="385" t="str">
        <f>IFERROR(
    IF(
        OR(ISBLANK(N93), ISBLANK(O93)),
        "",
        MAX(
            1,
            IF(
                NETWORKDAYS(N93, O93, Holiday_Dates) &lt;= 0,
                1,
                NETWORKDAYS(N93, O93, Holiday_Dates) - IF(N93 = O93, 0, 1)
            )
        )
    ),
    ""
)</f>
        <v/>
      </c>
      <c r="T93" s="385"/>
      <c r="U93" s="385" t="s">
        <v>672</v>
      </c>
      <c r="V93" s="385"/>
      <c r="W93" s="385" t="s">
        <v>1436</v>
      </c>
      <c r="X93" s="1"/>
    </row>
    <row r="94" spans="1:24">
      <c r="A94" s="385" t="s">
        <v>47</v>
      </c>
      <c r="B94" s="385" t="s">
        <v>474</v>
      </c>
      <c r="C94" s="385" t="s">
        <v>753</v>
      </c>
      <c r="D94" s="385" t="s">
        <v>89</v>
      </c>
      <c r="E94" s="385"/>
      <c r="F94" s="385"/>
      <c r="G94" s="385"/>
      <c r="H94" s="385">
        <v>2024</v>
      </c>
      <c r="I94" s="386">
        <v>45576</v>
      </c>
      <c r="J94" s="30"/>
      <c r="K94" s="385"/>
      <c r="L94" s="385"/>
      <c r="M94" s="385"/>
      <c r="N94" s="385"/>
      <c r="O94" s="385"/>
      <c r="P94" s="385" t="str">
        <f>IFERROR(
    IF(
        OR(ISBLANK(I94), ISBLANK(L94)),
        "",
        MAX(
            1,
            IF(
                NETWORKDAYS(I94, L94, Holiday_Dates) &lt;= 0,
                1,
                NETWORKDAYS(I94, L94, Holiday_Dates) - IF(I94 = L94, 0, 1)
            )
        )
    ),
    ""
)</f>
        <v/>
      </c>
      <c r="Q94" s="385" t="str">
        <f>IF(
    OR(ISBLANK(L94), ISBLANK(M94)),
    "",
    MAX(
        1,
        IF(
            NETWORKDAYS(L94, M94, Holiday_Dates) &lt;= 0,
            1,
            NETWORKDAYS(L94, M94, Holiday_Dates) - IF(L94 = M94, 0, 1)
        )
    )
)</f>
        <v/>
      </c>
      <c r="R94" s="385" t="str">
        <f>IFERROR(
    IF(
        OR(ISBLANK(N94), AND(ISBLANK(L94), ISBLANK(M94))),
        "",
        MAX(
            1,
            IF(
                NETWORKDAYS(IF(NOT(ISBLANK(M94)), M94, L94), N94, Holiday_Dates) &lt;= 0,
                1,
                NETWORKDAYS(IF(NOT(ISBLANK(M94)), M94, L94), N94, Holiday_Dates)
                - IF(IF(NOT(ISBLANK(M94)), M94, L94) = N94, 0, 1)
            )
        )
    ),
    ""
)</f>
        <v/>
      </c>
      <c r="S94" s="385" t="str">
        <f>IFERROR(
    IF(
        OR(ISBLANK(N94), ISBLANK(O94)),
        "",
        MAX(
            1,
            IF(
                NETWORKDAYS(N94, O94, Holiday_Dates) &lt;= 0,
                1,
                NETWORKDAYS(N94, O94, Holiday_Dates) - IF(N94 = O94, 0, 1)
            )
        )
    ),
    ""
)</f>
        <v/>
      </c>
      <c r="T94" s="385"/>
      <c r="U94" s="385" t="s">
        <v>4</v>
      </c>
      <c r="V94" s="385" t="s">
        <v>101</v>
      </c>
      <c r="W94" s="385" t="s">
        <v>1436</v>
      </c>
      <c r="X94" s="1"/>
    </row>
    <row r="95" spans="1:24">
      <c r="A95" s="385" t="s">
        <v>47</v>
      </c>
      <c r="B95" s="385" t="s">
        <v>258</v>
      </c>
      <c r="C95" s="385" t="s">
        <v>1598</v>
      </c>
      <c r="D95" s="385" t="s">
        <v>89</v>
      </c>
      <c r="E95" s="385"/>
      <c r="F95" s="385"/>
      <c r="G95" s="385"/>
      <c r="H95" s="385">
        <v>2024</v>
      </c>
      <c r="I95" s="386">
        <v>45448</v>
      </c>
      <c r="J95" s="30"/>
      <c r="K95" s="385"/>
      <c r="L95" s="385"/>
      <c r="M95" s="385"/>
      <c r="N95" s="385"/>
      <c r="O95" s="385"/>
      <c r="P95" s="385" t="str">
        <f>IFERROR(
    IF(
        OR(ISBLANK(I95), ISBLANK(L95)),
        "",
        MAX(
            1,
            IF(
                NETWORKDAYS(I95, L95, Holiday_Dates) &lt;= 0,
                1,
                NETWORKDAYS(I95, L95, Holiday_Dates) - IF(I95 = L95, 0, 1)
            )
        )
    ),
    ""
)</f>
        <v/>
      </c>
      <c r="Q95" s="385" t="str">
        <f>IF(
    OR(ISBLANK(L95), ISBLANK(M95)),
    "",
    MAX(
        1,
        IF(
            NETWORKDAYS(L95, M95, Holiday_Dates) &lt;= 0,
            1,
            NETWORKDAYS(L95, M95, Holiday_Dates) - IF(L95 = M95, 0, 1)
        )
    )
)</f>
        <v/>
      </c>
      <c r="R95" s="385" t="str">
        <f>IFERROR(
    IF(
        OR(ISBLANK(N95), AND(ISBLANK(L95), ISBLANK(M95))),
        "",
        MAX(
            1,
            IF(
                NETWORKDAYS(IF(NOT(ISBLANK(M95)), M95, L95), N95, Holiday_Dates) &lt;= 0,
                1,
                NETWORKDAYS(IF(NOT(ISBLANK(M95)), M95, L95), N95, Holiday_Dates)
                - IF(IF(NOT(ISBLANK(M95)), M95, L95) = N95, 0, 1)
            )
        )
    ),
    ""
)</f>
        <v/>
      </c>
      <c r="S95" s="385" t="str">
        <f>IFERROR(
    IF(
        OR(ISBLANK(N95), ISBLANK(O95)),
        "",
        MAX(
            1,
            IF(
                NETWORKDAYS(N95, O95, Holiday_Dates) &lt;= 0,
                1,
                NETWORKDAYS(N95, O95, Holiday_Dates) - IF(N95 = O95, 0, 1)
            )
        )
    ),
    ""
)</f>
        <v/>
      </c>
      <c r="T95" s="385"/>
      <c r="U95" s="385" t="s">
        <v>672</v>
      </c>
      <c r="V95" s="385"/>
      <c r="W95" s="385" t="s">
        <v>1436</v>
      </c>
      <c r="X95" s="1"/>
    </row>
    <row r="96" spans="1:24">
      <c r="A96" s="385" t="s">
        <v>47</v>
      </c>
      <c r="B96" s="385" t="s">
        <v>258</v>
      </c>
      <c r="C96" s="385" t="s">
        <v>1600</v>
      </c>
      <c r="D96" s="385" t="s">
        <v>89</v>
      </c>
      <c r="E96" s="385"/>
      <c r="F96" s="385"/>
      <c r="G96" s="385"/>
      <c r="H96" s="385">
        <v>2024</v>
      </c>
      <c r="I96" s="386">
        <v>45482</v>
      </c>
      <c r="J96" s="30"/>
      <c r="K96" s="385"/>
      <c r="L96" s="385"/>
      <c r="M96" s="385"/>
      <c r="N96" s="385"/>
      <c r="O96" s="385"/>
      <c r="P96" s="385" t="str">
        <f>IFERROR(
    IF(
        OR(ISBLANK(I96), ISBLANK(L96)),
        "",
        MAX(
            1,
            IF(
                NETWORKDAYS(I96, L96, Holiday_Dates) &lt;= 0,
                1,
                NETWORKDAYS(I96, L96, Holiday_Dates) - IF(I96 = L96, 0, 1)
            )
        )
    ),
    ""
)</f>
        <v/>
      </c>
      <c r="Q96" s="385" t="str">
        <f>IF(
    OR(ISBLANK(L96), ISBLANK(M96)),
    "",
    MAX(
        1,
        IF(
            NETWORKDAYS(L96, M96, Holiday_Dates) &lt;= 0,
            1,
            NETWORKDAYS(L96, M96, Holiday_Dates) - IF(L96 = M96, 0, 1)
        )
    )
)</f>
        <v/>
      </c>
      <c r="R96" s="385" t="str">
        <f>IFERROR(
    IF(
        OR(ISBLANK(N96), AND(ISBLANK(L96), ISBLANK(M96))),
        "",
        MAX(
            1,
            IF(
                NETWORKDAYS(IF(NOT(ISBLANK(M96)), M96, L96), N96, Holiday_Dates) &lt;= 0,
                1,
                NETWORKDAYS(IF(NOT(ISBLANK(M96)), M96, L96), N96, Holiday_Dates)
                - IF(IF(NOT(ISBLANK(M96)), M96, L96) = N96, 0, 1)
            )
        )
    ),
    ""
)</f>
        <v/>
      </c>
      <c r="S96" s="385" t="str">
        <f>IFERROR(
    IF(
        OR(ISBLANK(N96), ISBLANK(O96)),
        "",
        MAX(
            1,
            IF(
                NETWORKDAYS(N96, O96, Holiday_Dates) &lt;= 0,
                1,
                NETWORKDAYS(N96, O96, Holiday_Dates) - IF(N96 = O96, 0, 1)
            )
        )
    ),
    ""
)</f>
        <v/>
      </c>
      <c r="T96" s="385"/>
      <c r="U96" s="385" t="s">
        <v>4</v>
      </c>
      <c r="V96" s="385" t="s">
        <v>101</v>
      </c>
      <c r="W96" s="385" t="s">
        <v>1436</v>
      </c>
      <c r="X96" s="1"/>
    </row>
    <row r="97" spans="1:24">
      <c r="A97" s="385" t="s">
        <v>47</v>
      </c>
      <c r="B97" s="385" t="s">
        <v>258</v>
      </c>
      <c r="C97" s="385" t="s">
        <v>1602</v>
      </c>
      <c r="D97" s="385" t="s">
        <v>89</v>
      </c>
      <c r="E97" s="385"/>
      <c r="F97" s="385"/>
      <c r="G97" s="385"/>
      <c r="H97" s="385">
        <v>2024</v>
      </c>
      <c r="I97" s="386">
        <v>45454</v>
      </c>
      <c r="J97" s="30"/>
      <c r="K97" s="385"/>
      <c r="L97" s="385"/>
      <c r="M97" s="385"/>
      <c r="N97" s="385"/>
      <c r="O97" s="385"/>
      <c r="P97" s="385" t="str">
        <f>IFERROR(
    IF(
        OR(ISBLANK(I97), ISBLANK(L97)),
        "",
        MAX(
            1,
            IF(
                NETWORKDAYS(I97, L97, Holiday_Dates) &lt;= 0,
                1,
                NETWORKDAYS(I97, L97, Holiday_Dates) - IF(I97 = L97, 0, 1)
            )
        )
    ),
    ""
)</f>
        <v/>
      </c>
      <c r="Q97" s="385" t="str">
        <f>IF(
    OR(ISBLANK(L97), ISBLANK(M97)),
    "",
    MAX(
        1,
        IF(
            NETWORKDAYS(L97, M97, Holiday_Dates) &lt;= 0,
            1,
            NETWORKDAYS(L97, M97, Holiday_Dates) - IF(L97 = M97, 0, 1)
        )
    )
)</f>
        <v/>
      </c>
      <c r="R97" s="385" t="str">
        <f>IFERROR(
    IF(
        OR(ISBLANK(N97), AND(ISBLANK(L97), ISBLANK(M97))),
        "",
        MAX(
            1,
            IF(
                NETWORKDAYS(IF(NOT(ISBLANK(M97)), M97, L97), N97, Holiday_Dates) &lt;= 0,
                1,
                NETWORKDAYS(IF(NOT(ISBLANK(M97)), M97, L97), N97, Holiday_Dates)
                - IF(IF(NOT(ISBLANK(M97)), M97, L97) = N97, 0, 1)
            )
        )
    ),
    ""
)</f>
        <v/>
      </c>
      <c r="S97" s="385" t="str">
        <f>IFERROR(
    IF(
        OR(ISBLANK(N97), ISBLANK(O97)),
        "",
        MAX(
            1,
            IF(
                NETWORKDAYS(N97, O97, Holiday_Dates) &lt;= 0,
                1,
                NETWORKDAYS(N97, O97, Holiday_Dates) - IF(N97 = O97, 0, 1)
            )
        )
    ),
    ""
)</f>
        <v/>
      </c>
      <c r="T97" s="385"/>
      <c r="U97" s="385" t="s">
        <v>672</v>
      </c>
      <c r="V97" s="385"/>
      <c r="W97" s="385" t="s">
        <v>1436</v>
      </c>
      <c r="X97" s="1"/>
    </row>
    <row r="98" spans="1:24">
      <c r="A98" s="385" t="s">
        <v>47</v>
      </c>
      <c r="B98" s="385" t="s">
        <v>258</v>
      </c>
      <c r="C98" s="385" t="s">
        <v>704</v>
      </c>
      <c r="D98" s="385" t="s">
        <v>89</v>
      </c>
      <c r="E98" s="385"/>
      <c r="F98" s="385"/>
      <c r="G98" s="385"/>
      <c r="H98" s="385">
        <v>2024</v>
      </c>
      <c r="I98" s="386">
        <v>45552</v>
      </c>
      <c r="J98" s="30"/>
      <c r="K98" s="385"/>
      <c r="L98" s="385"/>
      <c r="M98" s="385"/>
      <c r="N98" s="385"/>
      <c r="O98" s="385"/>
      <c r="P98" s="385" t="str">
        <f>IFERROR(
    IF(
        OR(ISBLANK(I98), ISBLANK(L98)),
        "",
        MAX(
            1,
            IF(
                NETWORKDAYS(I98, L98, Holiday_Dates) &lt;= 0,
                1,
                NETWORKDAYS(I98, L98, Holiday_Dates) - IF(I98 = L98, 0, 1)
            )
        )
    ),
    ""
)</f>
        <v/>
      </c>
      <c r="Q98" s="385" t="str">
        <f>IF(
    OR(ISBLANK(L98), ISBLANK(M98)),
    "",
    MAX(
        1,
        IF(
            NETWORKDAYS(L98, M98, Holiday_Dates) &lt;= 0,
            1,
            NETWORKDAYS(L98, M98, Holiday_Dates) - IF(L98 = M98, 0, 1)
        )
    )
)</f>
        <v/>
      </c>
      <c r="R98" s="385" t="str">
        <f>IFERROR(
    IF(
        OR(ISBLANK(N98), AND(ISBLANK(L98), ISBLANK(M98))),
        "",
        MAX(
            1,
            IF(
                NETWORKDAYS(IF(NOT(ISBLANK(M98)), M98, L98), N98, Holiday_Dates) &lt;= 0,
                1,
                NETWORKDAYS(IF(NOT(ISBLANK(M98)), M98, L98), N98, Holiday_Dates)
                - IF(IF(NOT(ISBLANK(M98)), M98, L98) = N98, 0, 1)
            )
        )
    ),
    ""
)</f>
        <v/>
      </c>
      <c r="S98" s="385" t="str">
        <f>IFERROR(
    IF(
        OR(ISBLANK(N98), ISBLANK(O98)),
        "",
        MAX(
            1,
            IF(
                NETWORKDAYS(N98, O98, Holiday_Dates) &lt;= 0,
                1,
                NETWORKDAYS(N98, O98, Holiday_Dates) - IF(N98 = O98, 0, 1)
            )
        )
    ),
    ""
)</f>
        <v/>
      </c>
      <c r="T98" s="385"/>
      <c r="U98" s="385" t="s">
        <v>4</v>
      </c>
      <c r="V98" s="385" t="s">
        <v>101</v>
      </c>
      <c r="W98" s="385" t="s">
        <v>1436</v>
      </c>
      <c r="X98" s="1"/>
    </row>
    <row r="99" spans="1:24">
      <c r="A99" s="385" t="s">
        <v>47</v>
      </c>
      <c r="B99" s="385" t="s">
        <v>258</v>
      </c>
      <c r="C99" s="385" t="s">
        <v>1433</v>
      </c>
      <c r="D99" s="385" t="s">
        <v>89</v>
      </c>
      <c r="E99" s="385"/>
      <c r="F99" s="385"/>
      <c r="G99" s="385"/>
      <c r="H99" s="385">
        <v>2024</v>
      </c>
      <c r="I99" s="385" t="s">
        <v>1782</v>
      </c>
      <c r="J99" s="30"/>
      <c r="K99" s="385"/>
      <c r="L99" s="385"/>
      <c r="M99" s="385"/>
      <c r="N99" s="385"/>
      <c r="O99" s="385"/>
      <c r="P99" s="385" t="str">
        <f>IFERROR(
    IF(
        OR(ISBLANK(I99), ISBLANK(L99)),
        "",
        MAX(
            1,
            IF(
                NETWORKDAYS(I99, L99, Holiday_Dates) &lt;= 0,
                1,
                NETWORKDAYS(I99, L99, Holiday_Dates) - IF(I99 = L99, 0, 1)
            )
        )
    ),
    ""
)</f>
        <v/>
      </c>
      <c r="Q99" s="385" t="str">
        <f>IF(
    OR(ISBLANK(L99), ISBLANK(M99)),
    "",
    MAX(
        1,
        IF(
            NETWORKDAYS(L99, M99, Holiday_Dates) &lt;= 0,
            1,
            NETWORKDAYS(L99, M99, Holiday_Dates) - IF(L99 = M99, 0, 1)
        )
    )
)</f>
        <v/>
      </c>
      <c r="R99" s="385" t="str">
        <f>IFERROR(
    IF(
        OR(ISBLANK(N99), AND(ISBLANK(L99), ISBLANK(M99))),
        "",
        MAX(
            1,
            IF(
                NETWORKDAYS(IF(NOT(ISBLANK(M99)), M99, L99), N99, Holiday_Dates) &lt;= 0,
                1,
                NETWORKDAYS(IF(NOT(ISBLANK(M99)), M99, L99), N99, Holiday_Dates)
                - IF(IF(NOT(ISBLANK(M99)), M99, L99) = N99, 0, 1)
            )
        )
    ),
    ""
)</f>
        <v/>
      </c>
      <c r="S99" s="385" t="str">
        <f>IFERROR(
    IF(
        OR(ISBLANK(N99), ISBLANK(O99)),
        "",
        MAX(
            1,
            IF(
                NETWORKDAYS(N99, O99, Holiday_Dates) &lt;= 0,
                1,
                NETWORKDAYS(N99, O99, Holiday_Dates) - IF(N99 = O99, 0, 1)
            )
        )
    ),
    ""
)</f>
        <v/>
      </c>
      <c r="T99" s="385"/>
      <c r="U99" s="385" t="s">
        <v>672</v>
      </c>
      <c r="V99" s="385"/>
      <c r="W99" s="385" t="s">
        <v>1436</v>
      </c>
      <c r="X99" s="1"/>
    </row>
    <row r="100" spans="1:24">
      <c r="A100" s="385" t="s">
        <v>47</v>
      </c>
      <c r="B100" s="385" t="s">
        <v>258</v>
      </c>
      <c r="C100" s="385" t="s">
        <v>1437</v>
      </c>
      <c r="D100" s="385" t="s">
        <v>89</v>
      </c>
      <c r="E100" s="385"/>
      <c r="F100" s="385"/>
      <c r="G100" s="385"/>
      <c r="H100" s="385">
        <v>2024</v>
      </c>
      <c r="I100" s="385" t="s">
        <v>2062</v>
      </c>
      <c r="J100" s="30"/>
      <c r="K100" s="385"/>
      <c r="L100" s="385"/>
      <c r="M100" s="385"/>
      <c r="N100" s="385"/>
      <c r="O100" s="385"/>
      <c r="P100" s="385" t="str">
        <f>IFERROR(
    IF(
        OR(ISBLANK(I100), ISBLANK(L100)),
        "",
        MAX(
            1,
            IF(
                NETWORKDAYS(I100, L100, Holiday_Dates) &lt;= 0,
                1,
                NETWORKDAYS(I100, L100, Holiday_Dates) - IF(I100 = L100, 0, 1)
            )
        )
    ),
    ""
)</f>
        <v/>
      </c>
      <c r="Q100" s="385" t="str">
        <f>IF(
    OR(ISBLANK(L100), ISBLANK(M100)),
    "",
    MAX(
        1,
        IF(
            NETWORKDAYS(L100, M100, Holiday_Dates) &lt;= 0,
            1,
            NETWORKDAYS(L100, M100, Holiday_Dates) - IF(L100 = M100, 0, 1)
        )
    )
)</f>
        <v/>
      </c>
      <c r="R100" s="385" t="str">
        <f>IFERROR(
    IF(
        OR(ISBLANK(N100), AND(ISBLANK(L100), ISBLANK(M100))),
        "",
        MAX(
            1,
            IF(
                NETWORKDAYS(IF(NOT(ISBLANK(M100)), M100, L100), N100, Holiday_Dates) &lt;= 0,
                1,
                NETWORKDAYS(IF(NOT(ISBLANK(M100)), M100, L100), N100, Holiday_Dates)
                - IF(IF(NOT(ISBLANK(M100)), M100, L100) = N100, 0, 1)
            )
        )
    ),
    ""
)</f>
        <v/>
      </c>
      <c r="S100" s="385" t="str">
        <f>IFERROR(
    IF(
        OR(ISBLANK(N100), ISBLANK(O100)),
        "",
        MAX(
            1,
            IF(
                NETWORKDAYS(N100, O100, Holiday_Dates) &lt;= 0,
                1,
                NETWORKDAYS(N100, O100, Holiday_Dates) - IF(N100 = O100, 0, 1)
            )
        )
    ),
    ""
)</f>
        <v/>
      </c>
      <c r="T100" s="385"/>
      <c r="U100" s="385" t="s">
        <v>672</v>
      </c>
      <c r="V100" s="385"/>
      <c r="W100" s="385" t="s">
        <v>1436</v>
      </c>
      <c r="X100" s="1"/>
    </row>
    <row r="101" spans="1:24">
      <c r="A101" s="385" t="s">
        <v>47</v>
      </c>
      <c r="B101" s="385" t="s">
        <v>258</v>
      </c>
      <c r="C101" s="385" t="s">
        <v>1439</v>
      </c>
      <c r="D101" s="385" t="s">
        <v>89</v>
      </c>
      <c r="E101" s="385"/>
      <c r="F101" s="385"/>
      <c r="G101" s="385"/>
      <c r="H101" s="385">
        <v>2024</v>
      </c>
      <c r="I101" s="385" t="s">
        <v>4590</v>
      </c>
      <c r="J101" s="30"/>
      <c r="K101" s="385"/>
      <c r="L101" s="385"/>
      <c r="M101" s="385"/>
      <c r="N101" s="385"/>
      <c r="O101" s="385"/>
      <c r="P101" s="385" t="str">
        <f>IFERROR(
    IF(
        OR(ISBLANK(I101), ISBLANK(L101)),
        "",
        MAX(
            1,
            IF(
                NETWORKDAYS(I101, L101, Holiday_Dates) &lt;= 0,
                1,
                NETWORKDAYS(I101, L101, Holiday_Dates) - IF(I101 = L101, 0, 1)
            )
        )
    ),
    ""
)</f>
        <v/>
      </c>
      <c r="Q101" s="385" t="str">
        <f>IF(
    OR(ISBLANK(L101), ISBLANK(M101)),
    "",
    MAX(
        1,
        IF(
            NETWORKDAYS(L101, M101, Holiday_Dates) &lt;= 0,
            1,
            NETWORKDAYS(L101, M101, Holiday_Dates) - IF(L101 = M101, 0, 1)
        )
    )
)</f>
        <v/>
      </c>
      <c r="R101" s="385" t="str">
        <f>IFERROR(
    IF(
        OR(ISBLANK(N101), AND(ISBLANK(L101), ISBLANK(M101))),
        "",
        MAX(
            1,
            IF(
                NETWORKDAYS(IF(NOT(ISBLANK(M101)), M101, L101), N101, Holiday_Dates) &lt;= 0,
                1,
                NETWORKDAYS(IF(NOT(ISBLANK(M101)), M101, L101), N101, Holiday_Dates)
                - IF(IF(NOT(ISBLANK(M101)), M101, L101) = N101, 0, 1)
            )
        )
    ),
    ""
)</f>
        <v/>
      </c>
      <c r="S101" s="385" t="str">
        <f>IFERROR(
    IF(
        OR(ISBLANK(N101), ISBLANK(O101)),
        "",
        MAX(
            1,
            IF(
                NETWORKDAYS(N101, O101, Holiday_Dates) &lt;= 0,
                1,
                NETWORKDAYS(N101, O101, Holiday_Dates) - IF(N101 = O101, 0, 1)
            )
        )
    ),
    ""
)</f>
        <v/>
      </c>
      <c r="T101" s="385"/>
      <c r="U101" s="385" t="s">
        <v>672</v>
      </c>
      <c r="V101" s="385"/>
      <c r="W101" s="385" t="s">
        <v>1436</v>
      </c>
      <c r="X101" s="1"/>
    </row>
    <row r="102" spans="1:24">
      <c r="A102" s="385" t="s">
        <v>47</v>
      </c>
      <c r="B102" s="385" t="s">
        <v>258</v>
      </c>
      <c r="C102" s="385" t="s">
        <v>1441</v>
      </c>
      <c r="D102" s="385" t="s">
        <v>89</v>
      </c>
      <c r="E102" s="385"/>
      <c r="F102" s="385"/>
      <c r="G102" s="385"/>
      <c r="H102" s="385">
        <v>2024</v>
      </c>
      <c r="I102" s="386">
        <v>45511</v>
      </c>
      <c r="J102" s="30"/>
      <c r="K102" s="385"/>
      <c r="L102" s="385"/>
      <c r="M102" s="385"/>
      <c r="N102" s="385"/>
      <c r="O102" s="385"/>
      <c r="P102" s="385" t="str">
        <f>IFERROR(
    IF(
        OR(ISBLANK(I102), ISBLANK(L102)),
        "",
        MAX(
            1,
            IF(
                NETWORKDAYS(I102, L102, Holiday_Dates) &lt;= 0,
                1,
                NETWORKDAYS(I102, L102, Holiday_Dates) - IF(I102 = L102, 0, 1)
            )
        )
    ),
    ""
)</f>
        <v/>
      </c>
      <c r="Q102" s="385" t="str">
        <f>IF(
    OR(ISBLANK(L102), ISBLANK(M102)),
    "",
    MAX(
        1,
        IF(
            NETWORKDAYS(L102, M102, Holiday_Dates) &lt;= 0,
            1,
            NETWORKDAYS(L102, M102, Holiday_Dates) - IF(L102 = M102, 0, 1)
        )
    )
)</f>
        <v/>
      </c>
      <c r="R102" s="385" t="str">
        <f>IFERROR(
    IF(
        OR(ISBLANK(N102), AND(ISBLANK(L102), ISBLANK(M102))),
        "",
        MAX(
            1,
            IF(
                NETWORKDAYS(IF(NOT(ISBLANK(M102)), M102, L102), N102, Holiday_Dates) &lt;= 0,
                1,
                NETWORKDAYS(IF(NOT(ISBLANK(M102)), M102, L102), N102, Holiday_Dates)
                - IF(IF(NOT(ISBLANK(M102)), M102, L102) = N102, 0, 1)
            )
        )
    ),
    ""
)</f>
        <v/>
      </c>
      <c r="S102" s="385" t="str">
        <f>IFERROR(
    IF(
        OR(ISBLANK(N102), ISBLANK(O102)),
        "",
        MAX(
            1,
            IF(
                NETWORKDAYS(N102, O102, Holiday_Dates) &lt;= 0,
                1,
                NETWORKDAYS(N102, O102, Holiday_Dates) - IF(N102 = O102, 0, 1)
            )
        )
    ),
    ""
)</f>
        <v/>
      </c>
      <c r="T102" s="385"/>
      <c r="U102" s="385" t="s">
        <v>4</v>
      </c>
      <c r="V102" s="385" t="s">
        <v>101</v>
      </c>
      <c r="W102" s="385" t="s">
        <v>1436</v>
      </c>
      <c r="X102" s="1"/>
    </row>
    <row r="103" spans="1:24">
      <c r="A103" s="385" t="s">
        <v>47</v>
      </c>
      <c r="B103" s="385" t="s">
        <v>258</v>
      </c>
      <c r="C103" s="385" t="s">
        <v>1609</v>
      </c>
      <c r="D103" s="385" t="s">
        <v>89</v>
      </c>
      <c r="E103" s="385"/>
      <c r="F103" s="385"/>
      <c r="G103" s="385"/>
      <c r="H103" s="385">
        <v>2024</v>
      </c>
      <c r="I103" s="386">
        <v>45510</v>
      </c>
      <c r="J103" s="30"/>
      <c r="K103" s="385"/>
      <c r="L103" s="385"/>
      <c r="M103" s="385"/>
      <c r="N103" s="385"/>
      <c r="O103" s="385"/>
      <c r="P103" s="385" t="str">
        <f>IFERROR(
    IF(
        OR(ISBLANK(I103), ISBLANK(L103)),
        "",
        MAX(
            1,
            IF(
                NETWORKDAYS(I103, L103, Holiday_Dates) &lt;= 0,
                1,
                NETWORKDAYS(I103, L103, Holiday_Dates) - IF(I103 = L103, 0, 1)
            )
        )
    ),
    ""
)</f>
        <v/>
      </c>
      <c r="Q103" s="385" t="str">
        <f>IF(
    OR(ISBLANK(L103), ISBLANK(M103)),
    "",
    MAX(
        1,
        IF(
            NETWORKDAYS(L103, M103, Holiday_Dates) &lt;= 0,
            1,
            NETWORKDAYS(L103, M103, Holiday_Dates) - IF(L103 = M103, 0, 1)
        )
    )
)</f>
        <v/>
      </c>
      <c r="R103" s="385" t="str">
        <f>IFERROR(
    IF(
        OR(ISBLANK(N103), AND(ISBLANK(L103), ISBLANK(M103))),
        "",
        MAX(
            1,
            IF(
                NETWORKDAYS(IF(NOT(ISBLANK(M103)), M103, L103), N103, Holiday_Dates) &lt;= 0,
                1,
                NETWORKDAYS(IF(NOT(ISBLANK(M103)), M103, L103), N103, Holiday_Dates)
                - IF(IF(NOT(ISBLANK(M103)), M103, L103) = N103, 0, 1)
            )
        )
    ),
    ""
)</f>
        <v/>
      </c>
      <c r="S103" s="385" t="str">
        <f>IFERROR(
    IF(
        OR(ISBLANK(N103), ISBLANK(O103)),
        "",
        MAX(
            1,
            IF(
                NETWORKDAYS(N103, O103, Holiday_Dates) &lt;= 0,
                1,
                NETWORKDAYS(N103, O103, Holiday_Dates) - IF(N103 = O103, 0, 1)
            )
        )
    ),
    ""
)</f>
        <v/>
      </c>
      <c r="T103" s="385"/>
      <c r="U103" s="385" t="s">
        <v>4</v>
      </c>
      <c r="V103" s="385" t="s">
        <v>101</v>
      </c>
      <c r="W103" s="385" t="s">
        <v>1436</v>
      </c>
      <c r="X103" s="1"/>
    </row>
    <row r="104" spans="1:24">
      <c r="A104" s="385" t="s">
        <v>47</v>
      </c>
      <c r="B104" s="385" t="s">
        <v>258</v>
      </c>
      <c r="C104" s="385" t="s">
        <v>1611</v>
      </c>
      <c r="D104" s="385" t="s">
        <v>89</v>
      </c>
      <c r="E104" s="385"/>
      <c r="F104" s="385"/>
      <c r="G104" s="385"/>
      <c r="H104" s="385">
        <v>2024</v>
      </c>
      <c r="I104" s="386">
        <v>45552</v>
      </c>
      <c r="J104" s="30"/>
      <c r="K104" s="385"/>
      <c r="L104" s="385"/>
      <c r="M104" s="385"/>
      <c r="N104" s="385"/>
      <c r="O104" s="385"/>
      <c r="P104" s="385" t="str">
        <f>IFERROR(
    IF(
        OR(ISBLANK(I104), ISBLANK(L104)),
        "",
        MAX(
            1,
            IF(
                NETWORKDAYS(I104, L104, Holiday_Dates) &lt;= 0,
                1,
                NETWORKDAYS(I104, L104, Holiday_Dates) - IF(I104 = L104, 0, 1)
            )
        )
    ),
    ""
)</f>
        <v/>
      </c>
      <c r="Q104" s="385" t="str">
        <f>IF(
    OR(ISBLANK(L104), ISBLANK(M104)),
    "",
    MAX(
        1,
        IF(
            NETWORKDAYS(L104, M104, Holiday_Dates) &lt;= 0,
            1,
            NETWORKDAYS(L104, M104, Holiday_Dates) - IF(L104 = M104, 0, 1)
        )
    )
)</f>
        <v/>
      </c>
      <c r="R104" s="385" t="str">
        <f>IFERROR(
    IF(
        OR(ISBLANK(N104), AND(ISBLANK(L104), ISBLANK(M104))),
        "",
        MAX(
            1,
            IF(
                NETWORKDAYS(IF(NOT(ISBLANK(M104)), M104, L104), N104, Holiday_Dates) &lt;= 0,
                1,
                NETWORKDAYS(IF(NOT(ISBLANK(M104)), M104, L104), N104, Holiday_Dates)
                - IF(IF(NOT(ISBLANK(M104)), M104, L104) = N104, 0, 1)
            )
        )
    ),
    ""
)</f>
        <v/>
      </c>
      <c r="S104" s="385" t="str">
        <f>IFERROR(
    IF(
        OR(ISBLANK(N104), ISBLANK(O104)),
        "",
        MAX(
            1,
            IF(
                NETWORKDAYS(N104, O104, Holiday_Dates) &lt;= 0,
                1,
                NETWORKDAYS(N104, O104, Holiday_Dates) - IF(N104 = O104, 0, 1)
            )
        )
    ),
    ""
)</f>
        <v/>
      </c>
      <c r="T104" s="385"/>
      <c r="U104" s="385" t="s">
        <v>4</v>
      </c>
      <c r="V104" s="385" t="s">
        <v>101</v>
      </c>
      <c r="W104" s="385" t="s">
        <v>1436</v>
      </c>
      <c r="X104" s="1"/>
    </row>
    <row r="105" spans="1:24">
      <c r="A105" s="385" t="s">
        <v>47</v>
      </c>
      <c r="B105" s="385" t="s">
        <v>258</v>
      </c>
      <c r="C105" s="385" t="s">
        <v>1613</v>
      </c>
      <c r="D105" s="385" t="s">
        <v>89</v>
      </c>
      <c r="E105" s="385"/>
      <c r="F105" s="385"/>
      <c r="G105" s="385"/>
      <c r="H105" s="385">
        <v>2024</v>
      </c>
      <c r="I105" s="385" t="s">
        <v>4592</v>
      </c>
      <c r="J105" s="30"/>
      <c r="K105" s="385"/>
      <c r="L105" s="385"/>
      <c r="M105" s="385"/>
      <c r="N105" s="385"/>
      <c r="O105" s="385"/>
      <c r="P105" s="385" t="str">
        <f>IFERROR(
    IF(
        OR(ISBLANK(I105), ISBLANK(L105)),
        "",
        MAX(
            1,
            IF(
                NETWORKDAYS(I105, L105, Holiday_Dates) &lt;= 0,
                1,
                NETWORKDAYS(I105, L105, Holiday_Dates) - IF(I105 = L105, 0, 1)
            )
        )
    ),
    ""
)</f>
        <v/>
      </c>
      <c r="Q105" s="385" t="str">
        <f>IF(
    OR(ISBLANK(L105), ISBLANK(M105)),
    "",
    MAX(
        1,
        IF(
            NETWORKDAYS(L105, M105, Holiday_Dates) &lt;= 0,
            1,
            NETWORKDAYS(L105, M105, Holiday_Dates) - IF(L105 = M105, 0, 1)
        )
    )
)</f>
        <v/>
      </c>
      <c r="R105" s="385" t="str">
        <f>IFERROR(
    IF(
        OR(ISBLANK(N105), AND(ISBLANK(L105), ISBLANK(M105))),
        "",
        MAX(
            1,
            IF(
                NETWORKDAYS(IF(NOT(ISBLANK(M105)), M105, L105), N105, Holiday_Dates) &lt;= 0,
                1,
                NETWORKDAYS(IF(NOT(ISBLANK(M105)), M105, L105), N105, Holiday_Dates)
                - IF(IF(NOT(ISBLANK(M105)), M105, L105) = N105, 0, 1)
            )
        )
    ),
    ""
)</f>
        <v/>
      </c>
      <c r="S105" s="385" t="str">
        <f>IFERROR(
    IF(
        OR(ISBLANK(N105), ISBLANK(O105)),
        "",
        MAX(
            1,
            IF(
                NETWORKDAYS(N105, O105, Holiday_Dates) &lt;= 0,
                1,
                NETWORKDAYS(N105, O105, Holiday_Dates) - IF(N105 = O105, 0, 1)
            )
        )
    ),
    ""
)</f>
        <v/>
      </c>
      <c r="T105" s="385"/>
      <c r="U105" s="385" t="s">
        <v>672</v>
      </c>
      <c r="V105" s="385"/>
      <c r="W105" s="385" t="s">
        <v>1436</v>
      </c>
      <c r="X105" s="1"/>
    </row>
    <row r="106" spans="1:24">
      <c r="A106" s="385" t="s">
        <v>47</v>
      </c>
      <c r="B106" s="385" t="s">
        <v>258</v>
      </c>
      <c r="C106" s="385" t="s">
        <v>1615</v>
      </c>
      <c r="D106" s="385" t="s">
        <v>89</v>
      </c>
      <c r="E106" s="385"/>
      <c r="F106" s="385"/>
      <c r="G106" s="385"/>
      <c r="H106" s="385">
        <v>2024</v>
      </c>
      <c r="I106" s="386">
        <v>45540</v>
      </c>
      <c r="J106" s="30"/>
      <c r="K106" s="385"/>
      <c r="L106" s="385"/>
      <c r="M106" s="385"/>
      <c r="N106" s="385"/>
      <c r="O106" s="385"/>
      <c r="P106" s="385" t="str">
        <f>IFERROR(
    IF(
        OR(ISBLANK(I106), ISBLANK(L106)),
        "",
        MAX(
            1,
            IF(
                NETWORKDAYS(I106, L106, Holiday_Dates) &lt;= 0,
                1,
                NETWORKDAYS(I106, L106, Holiday_Dates) - IF(I106 = L106, 0, 1)
            )
        )
    ),
    ""
)</f>
        <v/>
      </c>
      <c r="Q106" s="385" t="str">
        <f>IF(
    OR(ISBLANK(L106), ISBLANK(M106)),
    "",
    MAX(
        1,
        IF(
            NETWORKDAYS(L106, M106, Holiday_Dates) &lt;= 0,
            1,
            NETWORKDAYS(L106, M106, Holiday_Dates) - IF(L106 = M106, 0, 1)
        )
    )
)</f>
        <v/>
      </c>
      <c r="R106" s="385" t="str">
        <f>IFERROR(
    IF(
        OR(ISBLANK(N106), AND(ISBLANK(L106), ISBLANK(M106))),
        "",
        MAX(
            1,
            IF(
                NETWORKDAYS(IF(NOT(ISBLANK(M106)), M106, L106), N106, Holiday_Dates) &lt;= 0,
                1,
                NETWORKDAYS(IF(NOT(ISBLANK(M106)), M106, L106), N106, Holiday_Dates)
                - IF(IF(NOT(ISBLANK(M106)), M106, L106) = N106, 0, 1)
            )
        )
    ),
    ""
)</f>
        <v/>
      </c>
      <c r="S106" s="385" t="str">
        <f>IFERROR(
    IF(
        OR(ISBLANK(N106), ISBLANK(O106)),
        "",
        MAX(
            1,
            IF(
                NETWORKDAYS(N106, O106, Holiday_Dates) &lt;= 0,
                1,
                NETWORKDAYS(N106, O106, Holiday_Dates) - IF(N106 = O106, 0, 1)
            )
        )
    ),
    ""
)</f>
        <v/>
      </c>
      <c r="T106" s="385"/>
      <c r="U106" s="385" t="s">
        <v>4</v>
      </c>
      <c r="V106" s="385" t="s">
        <v>101</v>
      </c>
      <c r="W106" s="385" t="s">
        <v>1436</v>
      </c>
      <c r="X106" s="1"/>
    </row>
    <row r="107" spans="1:24">
      <c r="A107" s="385" t="s">
        <v>47</v>
      </c>
      <c r="B107" s="385" t="s">
        <v>258</v>
      </c>
      <c r="C107" s="385" t="s">
        <v>1617</v>
      </c>
      <c r="D107" s="385" t="s">
        <v>89</v>
      </c>
      <c r="E107" s="385"/>
      <c r="F107" s="385"/>
      <c r="G107" s="385"/>
      <c r="H107" s="385">
        <v>2024</v>
      </c>
      <c r="I107" s="385" t="s">
        <v>4594</v>
      </c>
      <c r="J107" s="30"/>
      <c r="K107" s="385"/>
      <c r="L107" s="385"/>
      <c r="M107" s="385"/>
      <c r="N107" s="385"/>
      <c r="O107" s="385"/>
      <c r="P107" s="385" t="str">
        <f>IFERROR(
    IF(
        OR(ISBLANK(I107), ISBLANK(L107)),
        "",
        MAX(
            1,
            IF(
                NETWORKDAYS(I107, L107, Holiday_Dates) &lt;= 0,
                1,
                NETWORKDAYS(I107, L107, Holiday_Dates) - IF(I107 = L107, 0, 1)
            )
        )
    ),
    ""
)</f>
        <v/>
      </c>
      <c r="Q107" s="385" t="str">
        <f>IF(
    OR(ISBLANK(L107), ISBLANK(M107)),
    "",
    MAX(
        1,
        IF(
            NETWORKDAYS(L107, M107, Holiday_Dates) &lt;= 0,
            1,
            NETWORKDAYS(L107, M107, Holiday_Dates) - IF(L107 = M107, 0, 1)
        )
    )
)</f>
        <v/>
      </c>
      <c r="R107" s="385" t="str">
        <f>IFERROR(
    IF(
        OR(ISBLANK(N107), AND(ISBLANK(L107), ISBLANK(M107))),
        "",
        MAX(
            1,
            IF(
                NETWORKDAYS(IF(NOT(ISBLANK(M107)), M107, L107), N107, Holiday_Dates) &lt;= 0,
                1,
                NETWORKDAYS(IF(NOT(ISBLANK(M107)), M107, L107), N107, Holiday_Dates)
                - IF(IF(NOT(ISBLANK(M107)), M107, L107) = N107, 0, 1)
            )
        )
    ),
    ""
)</f>
        <v/>
      </c>
      <c r="S107" s="385" t="str">
        <f>IFERROR(
    IF(
        OR(ISBLANK(N107), ISBLANK(O107)),
        "",
        MAX(
            1,
            IF(
                NETWORKDAYS(N107, O107, Holiday_Dates) &lt;= 0,
                1,
                NETWORKDAYS(N107, O107, Holiday_Dates) - IF(N107 = O107, 0, 1)
            )
        )
    ),
    ""
)</f>
        <v/>
      </c>
      <c r="T107" s="385"/>
      <c r="U107" s="385" t="s">
        <v>672</v>
      </c>
      <c r="V107" s="385"/>
      <c r="W107" s="385" t="s">
        <v>1436</v>
      </c>
      <c r="X107" s="1"/>
    </row>
    <row r="108" spans="1:24">
      <c r="A108" s="385" t="s">
        <v>47</v>
      </c>
      <c r="B108" s="385" t="s">
        <v>258</v>
      </c>
      <c r="C108" s="385" t="s">
        <v>1645</v>
      </c>
      <c r="D108" s="385" t="s">
        <v>89</v>
      </c>
      <c r="E108" s="385"/>
      <c r="F108" s="385"/>
      <c r="G108" s="385"/>
      <c r="H108" s="385">
        <v>2024</v>
      </c>
      <c r="I108" s="386">
        <v>45483</v>
      </c>
      <c r="J108" s="30"/>
      <c r="K108" s="385"/>
      <c r="L108" s="385"/>
      <c r="M108" s="385"/>
      <c r="N108" s="385"/>
      <c r="O108" s="385"/>
      <c r="P108" s="385" t="str">
        <f>IFERROR(
    IF(
        OR(ISBLANK(I108), ISBLANK(L108)),
        "",
        MAX(
            1,
            IF(
                NETWORKDAYS(I108, L108, Holiday_Dates) &lt;= 0,
                1,
                NETWORKDAYS(I108, L108, Holiday_Dates) - IF(I108 = L108, 0, 1)
            )
        )
    ),
    ""
)</f>
        <v/>
      </c>
      <c r="Q108" s="385" t="str">
        <f>IF(
    OR(ISBLANK(L108), ISBLANK(M108)),
    "",
    MAX(
        1,
        IF(
            NETWORKDAYS(L108, M108, Holiday_Dates) &lt;= 0,
            1,
            NETWORKDAYS(L108, M108, Holiday_Dates) - IF(L108 = M108, 0, 1)
        )
    )
)</f>
        <v/>
      </c>
      <c r="R108" s="385" t="str">
        <f>IFERROR(
    IF(
        OR(ISBLANK(N108), AND(ISBLANK(L108), ISBLANK(M108))),
        "",
        MAX(
            1,
            IF(
                NETWORKDAYS(IF(NOT(ISBLANK(M108)), M108, L108), N108, Holiday_Dates) &lt;= 0,
                1,
                NETWORKDAYS(IF(NOT(ISBLANK(M108)), M108, L108), N108, Holiday_Dates)
                - IF(IF(NOT(ISBLANK(M108)), M108, L108) = N108, 0, 1)
            )
        )
    ),
    ""
)</f>
        <v/>
      </c>
      <c r="S108" s="385" t="str">
        <f>IFERROR(
    IF(
        OR(ISBLANK(N108), ISBLANK(O108)),
        "",
        MAX(
            1,
            IF(
                NETWORKDAYS(N108, O108, Holiday_Dates) &lt;= 0,
                1,
                NETWORKDAYS(N108, O108, Holiday_Dates) - IF(N108 = O108, 0, 1)
            )
        )
    ),
    ""
)</f>
        <v/>
      </c>
      <c r="T108" s="385"/>
      <c r="U108" s="385" t="s">
        <v>4</v>
      </c>
      <c r="V108" s="385" t="s">
        <v>101</v>
      </c>
      <c r="W108" s="385" t="s">
        <v>1436</v>
      </c>
      <c r="X108" s="1"/>
    </row>
    <row r="109" spans="1:24">
      <c r="A109" s="385" t="s">
        <v>47</v>
      </c>
      <c r="B109" s="385" t="s">
        <v>258</v>
      </c>
      <c r="C109" s="385" t="s">
        <v>1619</v>
      </c>
      <c r="D109" s="385" t="s">
        <v>89</v>
      </c>
      <c r="E109" s="385"/>
      <c r="F109" s="385"/>
      <c r="G109" s="385"/>
      <c r="H109" s="385">
        <v>2024</v>
      </c>
      <c r="I109" s="386">
        <v>45483</v>
      </c>
      <c r="J109" s="30"/>
      <c r="K109" s="385"/>
      <c r="L109" s="385"/>
      <c r="M109" s="385"/>
      <c r="N109" s="385"/>
      <c r="O109" s="385"/>
      <c r="P109" s="385" t="str">
        <f>IFERROR(
    IF(
        OR(ISBLANK(I109), ISBLANK(L109)),
        "",
        MAX(
            1,
            IF(
                NETWORKDAYS(I109, L109, Holiday_Dates) &lt;= 0,
                1,
                NETWORKDAYS(I109, L109, Holiday_Dates) - IF(I109 = L109, 0, 1)
            )
        )
    ),
    ""
)</f>
        <v/>
      </c>
      <c r="Q109" s="385" t="str">
        <f>IF(
    OR(ISBLANK(L109), ISBLANK(M109)),
    "",
    MAX(
        1,
        IF(
            NETWORKDAYS(L109, M109, Holiday_Dates) &lt;= 0,
            1,
            NETWORKDAYS(L109, M109, Holiday_Dates) - IF(L109 = M109, 0, 1)
        )
    )
)</f>
        <v/>
      </c>
      <c r="R109" s="385" t="str">
        <f>IFERROR(
    IF(
        OR(ISBLANK(N109), AND(ISBLANK(L109), ISBLANK(M109))),
        "",
        MAX(
            1,
            IF(
                NETWORKDAYS(IF(NOT(ISBLANK(M109)), M109, L109), N109, Holiday_Dates) &lt;= 0,
                1,
                NETWORKDAYS(IF(NOT(ISBLANK(M109)), M109, L109), N109, Holiday_Dates)
                - IF(IF(NOT(ISBLANK(M109)), M109, L109) = N109, 0, 1)
            )
        )
    ),
    ""
)</f>
        <v/>
      </c>
      <c r="S109" s="385" t="str">
        <f>IFERROR(
    IF(
        OR(ISBLANK(N109), ISBLANK(O109)),
        "",
        MAX(
            1,
            IF(
                NETWORKDAYS(N109, O109, Holiday_Dates) &lt;= 0,
                1,
                NETWORKDAYS(N109, O109, Holiday_Dates) - IF(N109 = O109, 0, 1)
            )
        )
    ),
    ""
)</f>
        <v/>
      </c>
      <c r="T109" s="385"/>
      <c r="U109" s="385" t="s">
        <v>4</v>
      </c>
      <c r="V109" s="385" t="s">
        <v>101</v>
      </c>
      <c r="W109" s="385" t="s">
        <v>1436</v>
      </c>
      <c r="X109" s="1"/>
    </row>
    <row r="110" spans="1:24">
      <c r="A110" s="385" t="s">
        <v>47</v>
      </c>
      <c r="B110" s="385" t="s">
        <v>258</v>
      </c>
      <c r="C110" s="385" t="s">
        <v>1621</v>
      </c>
      <c r="D110" s="385" t="s">
        <v>89</v>
      </c>
      <c r="E110" s="385"/>
      <c r="F110" s="385"/>
      <c r="G110" s="385"/>
      <c r="H110" s="385">
        <v>2024</v>
      </c>
      <c r="I110" s="386">
        <v>45573</v>
      </c>
      <c r="J110" s="30"/>
      <c r="K110" s="385"/>
      <c r="L110" s="385"/>
      <c r="M110" s="385"/>
      <c r="N110" s="385"/>
      <c r="O110" s="385"/>
      <c r="P110" s="385" t="str">
        <f>IFERROR(
    IF(
        OR(ISBLANK(I110), ISBLANK(L110)),
        "",
        MAX(
            1,
            IF(
                NETWORKDAYS(I110, L110, Holiday_Dates) &lt;= 0,
                1,
                NETWORKDAYS(I110, L110, Holiday_Dates) - IF(I110 = L110, 0, 1)
            )
        )
    ),
    ""
)</f>
        <v/>
      </c>
      <c r="Q110" s="385" t="str">
        <f>IF(
    OR(ISBLANK(L110), ISBLANK(M110)),
    "",
    MAX(
        1,
        IF(
            NETWORKDAYS(L110, M110, Holiday_Dates) &lt;= 0,
            1,
            NETWORKDAYS(L110, M110, Holiday_Dates) - IF(L110 = M110, 0, 1)
        )
    )
)</f>
        <v/>
      </c>
      <c r="R110" s="385" t="str">
        <f>IFERROR(
    IF(
        OR(ISBLANK(N110), AND(ISBLANK(L110), ISBLANK(M110))),
        "",
        MAX(
            1,
            IF(
                NETWORKDAYS(IF(NOT(ISBLANK(M110)), M110, L110), N110, Holiday_Dates) &lt;= 0,
                1,
                NETWORKDAYS(IF(NOT(ISBLANK(M110)), M110, L110), N110, Holiday_Dates)
                - IF(IF(NOT(ISBLANK(M110)), M110, L110) = N110, 0, 1)
            )
        )
    ),
    ""
)</f>
        <v/>
      </c>
      <c r="S110" s="385" t="str">
        <f>IFERROR(
    IF(
        OR(ISBLANK(N110), ISBLANK(O110)),
        "",
        MAX(
            1,
            IF(
                NETWORKDAYS(N110, O110, Holiday_Dates) &lt;= 0,
                1,
                NETWORKDAYS(N110, O110, Holiday_Dates) - IF(N110 = O110, 0, 1)
            )
        )
    ),
    ""
)</f>
        <v/>
      </c>
      <c r="T110" s="385"/>
      <c r="U110" s="385" t="s">
        <v>4</v>
      </c>
      <c r="V110" s="385" t="s">
        <v>101</v>
      </c>
      <c r="W110" s="385" t="s">
        <v>1436</v>
      </c>
      <c r="X110" s="1"/>
    </row>
    <row r="111" spans="1:24">
      <c r="A111" s="385" t="s">
        <v>47</v>
      </c>
      <c r="B111" s="385" t="s">
        <v>258</v>
      </c>
      <c r="C111" s="385" t="s">
        <v>1623</v>
      </c>
      <c r="D111" s="385" t="s">
        <v>89</v>
      </c>
      <c r="E111" s="385"/>
      <c r="F111" s="385"/>
      <c r="G111" s="385"/>
      <c r="H111" s="385">
        <v>2024</v>
      </c>
      <c r="I111" s="386">
        <v>45419</v>
      </c>
      <c r="J111" s="30"/>
      <c r="K111" s="385"/>
      <c r="L111" s="385"/>
      <c r="M111" s="385"/>
      <c r="N111" s="385"/>
      <c r="O111" s="385"/>
      <c r="P111" s="385" t="str">
        <f>IFERROR(
    IF(
        OR(ISBLANK(I111), ISBLANK(L111)),
        "",
        MAX(
            1,
            IF(
                NETWORKDAYS(I111, L111, Holiday_Dates) &lt;= 0,
                1,
                NETWORKDAYS(I111, L111, Holiday_Dates) - IF(I111 = L111, 0, 1)
            )
        )
    ),
    ""
)</f>
        <v/>
      </c>
      <c r="Q111" s="385" t="str">
        <f>IF(
    OR(ISBLANK(L111), ISBLANK(M111)),
    "",
    MAX(
        1,
        IF(
            NETWORKDAYS(L111, M111, Holiday_Dates) &lt;= 0,
            1,
            NETWORKDAYS(L111, M111, Holiday_Dates) - IF(L111 = M111, 0, 1)
        )
    )
)</f>
        <v/>
      </c>
      <c r="R111" s="385" t="str">
        <f>IFERROR(
    IF(
        OR(ISBLANK(N111), AND(ISBLANK(L111), ISBLANK(M111))),
        "",
        MAX(
            1,
            IF(
                NETWORKDAYS(IF(NOT(ISBLANK(M111)), M111, L111), N111, Holiday_Dates) &lt;= 0,
                1,
                NETWORKDAYS(IF(NOT(ISBLANK(M111)), M111, L111), N111, Holiday_Dates)
                - IF(IF(NOT(ISBLANK(M111)), M111, L111) = N111, 0, 1)
            )
        )
    ),
    ""
)</f>
        <v/>
      </c>
      <c r="S111" s="385" t="str">
        <f>IFERROR(
    IF(
        OR(ISBLANK(N111), ISBLANK(O111)),
        "",
        MAX(
            1,
            IF(
                NETWORKDAYS(N111, O111, Holiday_Dates) &lt;= 0,
                1,
                NETWORKDAYS(N111, O111, Holiday_Dates) - IF(N111 = O111, 0, 1)
            )
        )
    ),
    ""
)</f>
        <v/>
      </c>
      <c r="T111" s="385"/>
      <c r="U111" s="385" t="s">
        <v>672</v>
      </c>
      <c r="V111" s="385"/>
      <c r="W111" s="385" t="s">
        <v>1436</v>
      </c>
      <c r="X111" s="1"/>
    </row>
    <row r="112" spans="1:24">
      <c r="A112" s="385" t="s">
        <v>47</v>
      </c>
      <c r="B112" s="385" t="s">
        <v>258</v>
      </c>
      <c r="C112" s="385" t="s">
        <v>1625</v>
      </c>
      <c r="D112" s="385" t="s">
        <v>89</v>
      </c>
      <c r="E112" s="385"/>
      <c r="F112" s="385"/>
      <c r="G112" s="385"/>
      <c r="H112" s="385">
        <v>2024</v>
      </c>
      <c r="I112" s="386">
        <v>45517</v>
      </c>
      <c r="J112" s="30"/>
      <c r="K112" s="385"/>
      <c r="L112" s="385"/>
      <c r="M112" s="385"/>
      <c r="N112" s="385"/>
      <c r="O112" s="385"/>
      <c r="P112" s="385" t="str">
        <f>IFERROR(
    IF(
        OR(ISBLANK(I112), ISBLANK(L112)),
        "",
        MAX(
            1,
            IF(
                NETWORKDAYS(I112, L112, Holiday_Dates) &lt;= 0,
                1,
                NETWORKDAYS(I112, L112, Holiday_Dates) - IF(I112 = L112, 0, 1)
            )
        )
    ),
    ""
)</f>
        <v/>
      </c>
      <c r="Q112" s="385" t="str">
        <f>IF(
    OR(ISBLANK(L112), ISBLANK(M112)),
    "",
    MAX(
        1,
        IF(
            NETWORKDAYS(L112, M112, Holiday_Dates) &lt;= 0,
            1,
            NETWORKDAYS(L112, M112, Holiday_Dates) - IF(L112 = M112, 0, 1)
        )
    )
)</f>
        <v/>
      </c>
      <c r="R112" s="385" t="str">
        <f>IFERROR(
    IF(
        OR(ISBLANK(N112), AND(ISBLANK(L112), ISBLANK(M112))),
        "",
        MAX(
            1,
            IF(
                NETWORKDAYS(IF(NOT(ISBLANK(M112)), M112, L112), N112, Holiday_Dates) &lt;= 0,
                1,
                NETWORKDAYS(IF(NOT(ISBLANK(M112)), M112, L112), N112, Holiday_Dates)
                - IF(IF(NOT(ISBLANK(M112)), M112, L112) = N112, 0, 1)
            )
        )
    ),
    ""
)</f>
        <v/>
      </c>
      <c r="S112" s="385" t="str">
        <f>IFERROR(
    IF(
        OR(ISBLANK(N112), ISBLANK(O112)),
        "",
        MAX(
            1,
            IF(
                NETWORKDAYS(N112, O112, Holiday_Dates) &lt;= 0,
                1,
                NETWORKDAYS(N112, O112, Holiday_Dates) - IF(N112 = O112, 0, 1)
            )
        )
    ),
    ""
)</f>
        <v/>
      </c>
      <c r="T112" s="385"/>
      <c r="U112" s="385" t="s">
        <v>4</v>
      </c>
      <c r="V112" s="385" t="s">
        <v>101</v>
      </c>
      <c r="W112" s="385" t="s">
        <v>1436</v>
      </c>
      <c r="X112" s="1"/>
    </row>
    <row r="113" spans="1:24">
      <c r="A113" s="385" t="s">
        <v>47</v>
      </c>
      <c r="B113" s="385" t="s">
        <v>258</v>
      </c>
      <c r="C113" s="385" t="s">
        <v>1627</v>
      </c>
      <c r="D113" s="385" t="s">
        <v>89</v>
      </c>
      <c r="E113" s="385"/>
      <c r="F113" s="385"/>
      <c r="G113" s="385"/>
      <c r="H113" s="385">
        <v>2024</v>
      </c>
      <c r="I113" s="386">
        <v>45580</v>
      </c>
      <c r="J113" s="30"/>
      <c r="K113" s="385"/>
      <c r="L113" s="385"/>
      <c r="M113" s="385"/>
      <c r="N113" s="385"/>
      <c r="O113" s="385"/>
      <c r="P113" s="385" t="str">
        <f>IFERROR(
    IF(
        OR(ISBLANK(I113), ISBLANK(L113)),
        "",
        MAX(
            1,
            IF(
                NETWORKDAYS(I113, L113, Holiday_Dates) &lt;= 0,
                1,
                NETWORKDAYS(I113, L113, Holiday_Dates) - IF(I113 = L113, 0, 1)
            )
        )
    ),
    ""
)</f>
        <v/>
      </c>
      <c r="Q113" s="385" t="str">
        <f>IF(
    OR(ISBLANK(L113), ISBLANK(M113)),
    "",
    MAX(
        1,
        IF(
            NETWORKDAYS(L113, M113, Holiday_Dates) &lt;= 0,
            1,
            NETWORKDAYS(L113, M113, Holiday_Dates) - IF(L113 = M113, 0, 1)
        )
    )
)</f>
        <v/>
      </c>
      <c r="R113" s="385" t="str">
        <f>IFERROR(
    IF(
        OR(ISBLANK(N113), AND(ISBLANK(L113), ISBLANK(M113))),
        "",
        MAX(
            1,
            IF(
                NETWORKDAYS(IF(NOT(ISBLANK(M113)), M113, L113), N113, Holiday_Dates) &lt;= 0,
                1,
                NETWORKDAYS(IF(NOT(ISBLANK(M113)), M113, L113), N113, Holiday_Dates)
                - IF(IF(NOT(ISBLANK(M113)), M113, L113) = N113, 0, 1)
            )
        )
    ),
    ""
)</f>
        <v/>
      </c>
      <c r="S113" s="385" t="str">
        <f>IFERROR(
    IF(
        OR(ISBLANK(N113), ISBLANK(O113)),
        "",
        MAX(
            1,
            IF(
                NETWORKDAYS(N113, O113, Holiday_Dates) &lt;= 0,
                1,
                NETWORKDAYS(N113, O113, Holiday_Dates) - IF(N113 = O113, 0, 1)
            )
        )
    ),
    ""
)</f>
        <v/>
      </c>
      <c r="T113" s="385"/>
      <c r="U113" s="385" t="s">
        <v>4</v>
      </c>
      <c r="V113" s="385" t="s">
        <v>101</v>
      </c>
      <c r="W113" s="385" t="s">
        <v>1436</v>
      </c>
      <c r="X113" s="1"/>
    </row>
    <row r="114" spans="1:24">
      <c r="A114" s="385" t="s">
        <v>47</v>
      </c>
      <c r="B114" s="385" t="s">
        <v>258</v>
      </c>
      <c r="C114" s="385" t="s">
        <v>1629</v>
      </c>
      <c r="D114" s="385" t="s">
        <v>89</v>
      </c>
      <c r="E114" s="385"/>
      <c r="F114" s="385"/>
      <c r="G114" s="385"/>
      <c r="H114" s="385">
        <v>2024</v>
      </c>
      <c r="I114" s="386">
        <v>45580</v>
      </c>
      <c r="J114" s="30"/>
      <c r="K114" s="385"/>
      <c r="L114" s="385"/>
      <c r="M114" s="385"/>
      <c r="N114" s="385"/>
      <c r="O114" s="385"/>
      <c r="P114" s="385" t="str">
        <f>IFERROR(
    IF(
        OR(ISBLANK(I114), ISBLANK(L114)),
        "",
        MAX(
            1,
            IF(
                NETWORKDAYS(I114, L114, Holiday_Dates) &lt;= 0,
                1,
                NETWORKDAYS(I114, L114, Holiday_Dates) - IF(I114 = L114, 0, 1)
            )
        )
    ),
    ""
)</f>
        <v/>
      </c>
      <c r="Q114" s="385" t="str">
        <f>IF(
    OR(ISBLANK(L114), ISBLANK(M114)),
    "",
    MAX(
        1,
        IF(
            NETWORKDAYS(L114, M114, Holiday_Dates) &lt;= 0,
            1,
            NETWORKDAYS(L114, M114, Holiday_Dates) - IF(L114 = M114, 0, 1)
        )
    )
)</f>
        <v/>
      </c>
      <c r="R114" s="385" t="str">
        <f>IFERROR(
    IF(
        OR(ISBLANK(N114), AND(ISBLANK(L114), ISBLANK(M114))),
        "",
        MAX(
            1,
            IF(
                NETWORKDAYS(IF(NOT(ISBLANK(M114)), M114, L114), N114, Holiday_Dates) &lt;= 0,
                1,
                NETWORKDAYS(IF(NOT(ISBLANK(M114)), M114, L114), N114, Holiday_Dates)
                - IF(IF(NOT(ISBLANK(M114)), M114, L114) = N114, 0, 1)
            )
        )
    ),
    ""
)</f>
        <v/>
      </c>
      <c r="S114" s="385" t="str">
        <f>IFERROR(
    IF(
        OR(ISBLANK(N114), ISBLANK(O114)),
        "",
        MAX(
            1,
            IF(
                NETWORKDAYS(N114, O114, Holiday_Dates) &lt;= 0,
                1,
                NETWORKDAYS(N114, O114, Holiday_Dates) - IF(N114 = O114, 0, 1)
            )
        )
    ),
    ""
)</f>
        <v/>
      </c>
      <c r="T114" s="385"/>
      <c r="U114" s="385" t="s">
        <v>4</v>
      </c>
      <c r="V114" s="385" t="s">
        <v>101</v>
      </c>
      <c r="W114" s="385" t="s">
        <v>1436</v>
      </c>
      <c r="X114" s="1"/>
    </row>
    <row r="115" spans="1:24">
      <c r="A115" s="385" t="s">
        <v>47</v>
      </c>
      <c r="B115" s="385" t="s">
        <v>258</v>
      </c>
      <c r="C115" s="385" t="s">
        <v>1631</v>
      </c>
      <c r="D115" s="385" t="s">
        <v>89</v>
      </c>
      <c r="E115" s="385"/>
      <c r="F115" s="385"/>
      <c r="G115" s="385"/>
      <c r="H115" s="385">
        <v>2024</v>
      </c>
      <c r="I115" s="386">
        <v>45576</v>
      </c>
      <c r="J115" s="30"/>
      <c r="K115" s="385"/>
      <c r="L115" s="385"/>
      <c r="M115" s="385"/>
      <c r="N115" s="385"/>
      <c r="O115" s="385"/>
      <c r="P115" s="385" t="str">
        <f>IFERROR(
    IF(
        OR(ISBLANK(I115), ISBLANK(L115)),
        "",
        MAX(
            1,
            IF(
                NETWORKDAYS(I115, L115, Holiday_Dates) &lt;= 0,
                1,
                NETWORKDAYS(I115, L115, Holiday_Dates) - IF(I115 = L115, 0, 1)
            )
        )
    ),
    ""
)</f>
        <v/>
      </c>
      <c r="Q115" s="385" t="str">
        <f>IF(
    OR(ISBLANK(L115), ISBLANK(M115)),
    "",
    MAX(
        1,
        IF(
            NETWORKDAYS(L115, M115, Holiday_Dates) &lt;= 0,
            1,
            NETWORKDAYS(L115, M115, Holiday_Dates) - IF(L115 = M115, 0, 1)
        )
    )
)</f>
        <v/>
      </c>
      <c r="R115" s="385" t="str">
        <f>IFERROR(
    IF(
        OR(ISBLANK(N115), AND(ISBLANK(L115), ISBLANK(M115))),
        "",
        MAX(
            1,
            IF(
                NETWORKDAYS(IF(NOT(ISBLANK(M115)), M115, L115), N115, Holiday_Dates) &lt;= 0,
                1,
                NETWORKDAYS(IF(NOT(ISBLANK(M115)), M115, L115), N115, Holiday_Dates)
                - IF(IF(NOT(ISBLANK(M115)), M115, L115) = N115, 0, 1)
            )
        )
    ),
    ""
)</f>
        <v/>
      </c>
      <c r="S115" s="385" t="str">
        <f>IFERROR(
    IF(
        OR(ISBLANK(N115), ISBLANK(O115)),
        "",
        MAX(
            1,
            IF(
                NETWORKDAYS(N115, O115, Holiday_Dates) &lt;= 0,
                1,
                NETWORKDAYS(N115, O115, Holiday_Dates) - IF(N115 = O115, 0, 1)
            )
        )
    ),
    ""
)</f>
        <v/>
      </c>
      <c r="T115" s="385"/>
      <c r="U115" s="385" t="s">
        <v>4</v>
      </c>
      <c r="V115" s="385" t="s">
        <v>101</v>
      </c>
      <c r="W115" s="385" t="s">
        <v>1436</v>
      </c>
      <c r="X115" s="1"/>
    </row>
    <row r="116" spans="1:24">
      <c r="A116" s="385" t="s">
        <v>47</v>
      </c>
      <c r="B116" s="385" t="s">
        <v>258</v>
      </c>
      <c r="C116" s="385" t="s">
        <v>1633</v>
      </c>
      <c r="D116" s="385" t="s">
        <v>89</v>
      </c>
      <c r="E116" s="385"/>
      <c r="F116" s="385"/>
      <c r="G116" s="385"/>
      <c r="H116" s="385">
        <v>2024</v>
      </c>
      <c r="I116" s="385" t="s">
        <v>4592</v>
      </c>
      <c r="J116" s="30"/>
      <c r="K116" s="385"/>
      <c r="L116" s="385"/>
      <c r="M116" s="385"/>
      <c r="N116" s="385"/>
      <c r="O116" s="385"/>
      <c r="P116" s="385" t="str">
        <f>IFERROR(
    IF(
        OR(ISBLANK(I116), ISBLANK(L116)),
        "",
        MAX(
            1,
            IF(
                NETWORKDAYS(I116, L116, Holiday_Dates) &lt;= 0,
                1,
                NETWORKDAYS(I116, L116, Holiday_Dates) - IF(I116 = L116, 0, 1)
            )
        )
    ),
    ""
)</f>
        <v/>
      </c>
      <c r="Q116" s="385" t="str">
        <f>IF(
    OR(ISBLANK(L116), ISBLANK(M116)),
    "",
    MAX(
        1,
        IF(
            NETWORKDAYS(L116, M116, Holiday_Dates) &lt;= 0,
            1,
            NETWORKDAYS(L116, M116, Holiday_Dates) - IF(L116 = M116, 0, 1)
        )
    )
)</f>
        <v/>
      </c>
      <c r="R116" s="385" t="str">
        <f>IFERROR(
    IF(
        OR(ISBLANK(N116), AND(ISBLANK(L116), ISBLANK(M116))),
        "",
        MAX(
            1,
            IF(
                NETWORKDAYS(IF(NOT(ISBLANK(M116)), M116, L116), N116, Holiday_Dates) &lt;= 0,
                1,
                NETWORKDAYS(IF(NOT(ISBLANK(M116)), M116, L116), N116, Holiday_Dates)
                - IF(IF(NOT(ISBLANK(M116)), M116, L116) = N116, 0, 1)
            )
        )
    ),
    ""
)</f>
        <v/>
      </c>
      <c r="S116" s="385" t="str">
        <f>IFERROR(
    IF(
        OR(ISBLANK(N116), ISBLANK(O116)),
        "",
        MAX(
            1,
            IF(
                NETWORKDAYS(N116, O116, Holiday_Dates) &lt;= 0,
                1,
                NETWORKDAYS(N116, O116, Holiday_Dates) - IF(N116 = O116, 0, 1)
            )
        )
    ),
    ""
)</f>
        <v/>
      </c>
      <c r="T116" s="385"/>
      <c r="U116" s="385" t="s">
        <v>672</v>
      </c>
      <c r="V116" s="385"/>
      <c r="W116" s="385" t="s">
        <v>1436</v>
      </c>
      <c r="X116" s="1"/>
    </row>
    <row r="117" spans="1:24">
      <c r="A117" s="385" t="s">
        <v>47</v>
      </c>
      <c r="B117" s="385" t="s">
        <v>258</v>
      </c>
      <c r="C117" s="385" t="s">
        <v>1635</v>
      </c>
      <c r="D117" s="385" t="s">
        <v>89</v>
      </c>
      <c r="E117" s="385"/>
      <c r="F117" s="385"/>
      <c r="G117" s="385"/>
      <c r="H117" s="385">
        <v>2024</v>
      </c>
      <c r="I117" s="385" t="s">
        <v>4594</v>
      </c>
      <c r="J117" s="30"/>
      <c r="K117" s="385"/>
      <c r="L117" s="385"/>
      <c r="M117" s="385"/>
      <c r="N117" s="385"/>
      <c r="O117" s="385"/>
      <c r="P117" s="385" t="str">
        <f>IFERROR(
    IF(
        OR(ISBLANK(I117), ISBLANK(L117)),
        "",
        MAX(
            1,
            IF(
                NETWORKDAYS(I117, L117, Holiday_Dates) &lt;= 0,
                1,
                NETWORKDAYS(I117, L117, Holiday_Dates) - IF(I117 = L117, 0, 1)
            )
        )
    ),
    ""
)</f>
        <v/>
      </c>
      <c r="Q117" s="385" t="str">
        <f>IF(
    OR(ISBLANK(L117), ISBLANK(M117)),
    "",
    MAX(
        1,
        IF(
            NETWORKDAYS(L117, M117, Holiday_Dates) &lt;= 0,
            1,
            NETWORKDAYS(L117, M117, Holiday_Dates) - IF(L117 = M117, 0, 1)
        )
    )
)</f>
        <v/>
      </c>
      <c r="R117" s="385" t="str">
        <f>IFERROR(
    IF(
        OR(ISBLANK(N117), AND(ISBLANK(L117), ISBLANK(M117))),
        "",
        MAX(
            1,
            IF(
                NETWORKDAYS(IF(NOT(ISBLANK(M117)), M117, L117), N117, Holiday_Dates) &lt;= 0,
                1,
                NETWORKDAYS(IF(NOT(ISBLANK(M117)), M117, L117), N117, Holiday_Dates)
                - IF(IF(NOT(ISBLANK(M117)), M117, L117) = N117, 0, 1)
            )
        )
    ),
    ""
)</f>
        <v/>
      </c>
      <c r="S117" s="385" t="str">
        <f>IFERROR(
    IF(
        OR(ISBLANK(N117), ISBLANK(O117)),
        "",
        MAX(
            1,
            IF(
                NETWORKDAYS(N117, O117, Holiday_Dates) &lt;= 0,
                1,
                NETWORKDAYS(N117, O117, Holiday_Dates) - IF(N117 = O117, 0, 1)
            )
        )
    ),
    ""
)</f>
        <v/>
      </c>
      <c r="T117" s="385"/>
      <c r="U117" s="385" t="s">
        <v>672</v>
      </c>
      <c r="V117" s="385"/>
      <c r="W117" s="385" t="s">
        <v>1436</v>
      </c>
      <c r="X117" s="1"/>
    </row>
    <row r="118" spans="1:24">
      <c r="A118" s="385" t="s">
        <v>47</v>
      </c>
      <c r="B118" s="385" t="s">
        <v>258</v>
      </c>
      <c r="C118" s="385" t="s">
        <v>1637</v>
      </c>
      <c r="D118" s="385" t="s">
        <v>89</v>
      </c>
      <c r="E118" s="385"/>
      <c r="F118" s="385"/>
      <c r="G118" s="385"/>
      <c r="H118" s="385">
        <v>2024</v>
      </c>
      <c r="I118" s="386">
        <v>45517</v>
      </c>
      <c r="J118" s="30"/>
      <c r="K118" s="385"/>
      <c r="L118" s="385"/>
      <c r="M118" s="385"/>
      <c r="N118" s="385"/>
      <c r="O118" s="385"/>
      <c r="P118" s="385" t="str">
        <f>IFERROR(
    IF(
        OR(ISBLANK(I118), ISBLANK(L118)),
        "",
        MAX(
            1,
            IF(
                NETWORKDAYS(I118, L118, Holiday_Dates) &lt;= 0,
                1,
                NETWORKDAYS(I118, L118, Holiday_Dates) - IF(I118 = L118, 0, 1)
            )
        )
    ),
    ""
)</f>
        <v/>
      </c>
      <c r="Q118" s="385" t="str">
        <f>IF(
    OR(ISBLANK(L118), ISBLANK(M118)),
    "",
    MAX(
        1,
        IF(
            NETWORKDAYS(L118, M118, Holiday_Dates) &lt;= 0,
            1,
            NETWORKDAYS(L118, M118, Holiday_Dates) - IF(L118 = M118, 0, 1)
        )
    )
)</f>
        <v/>
      </c>
      <c r="R118" s="385" t="str">
        <f>IFERROR(
    IF(
        OR(ISBLANK(N118), AND(ISBLANK(L118), ISBLANK(M118))),
        "",
        MAX(
            1,
            IF(
                NETWORKDAYS(IF(NOT(ISBLANK(M118)), M118, L118), N118, Holiday_Dates) &lt;= 0,
                1,
                NETWORKDAYS(IF(NOT(ISBLANK(M118)), M118, L118), N118, Holiday_Dates)
                - IF(IF(NOT(ISBLANK(M118)), M118, L118) = N118, 0, 1)
            )
        )
    ),
    ""
)</f>
        <v/>
      </c>
      <c r="S118" s="385" t="str">
        <f>IFERROR(
    IF(
        OR(ISBLANK(N118), ISBLANK(O118)),
        "",
        MAX(
            1,
            IF(
                NETWORKDAYS(N118, O118, Holiday_Dates) &lt;= 0,
                1,
                NETWORKDAYS(N118, O118, Holiday_Dates) - IF(N118 = O118, 0, 1)
            )
        )
    ),
    ""
)</f>
        <v/>
      </c>
      <c r="T118" s="385"/>
      <c r="U118" s="385" t="s">
        <v>4</v>
      </c>
      <c r="V118" s="385" t="s">
        <v>101</v>
      </c>
      <c r="W118" s="385" t="s">
        <v>1436</v>
      </c>
      <c r="X118" s="1"/>
    </row>
    <row r="119" spans="1:24">
      <c r="A119" s="385" t="s">
        <v>47</v>
      </c>
      <c r="B119" s="385" t="s">
        <v>258</v>
      </c>
      <c r="C119" s="385" t="s">
        <v>1639</v>
      </c>
      <c r="D119" s="385" t="s">
        <v>89</v>
      </c>
      <c r="E119" s="385"/>
      <c r="F119" s="385"/>
      <c r="G119" s="385"/>
      <c r="H119" s="385">
        <v>2024</v>
      </c>
      <c r="I119" s="386">
        <v>45544</v>
      </c>
      <c r="J119" s="30"/>
      <c r="K119" s="385"/>
      <c r="L119" s="385"/>
      <c r="M119" s="385"/>
      <c r="N119" s="385"/>
      <c r="O119" s="385"/>
      <c r="P119" s="385" t="str">
        <f>IFERROR(
    IF(
        OR(ISBLANK(I119), ISBLANK(L119)),
        "",
        MAX(
            1,
            IF(
                NETWORKDAYS(I119, L119, Holiday_Dates) &lt;= 0,
                1,
                NETWORKDAYS(I119, L119, Holiday_Dates) - IF(I119 = L119, 0, 1)
            )
        )
    ),
    ""
)</f>
        <v/>
      </c>
      <c r="Q119" s="385" t="str">
        <f>IF(
    OR(ISBLANK(L119), ISBLANK(M119)),
    "",
    MAX(
        1,
        IF(
            NETWORKDAYS(L119, M119, Holiday_Dates) &lt;= 0,
            1,
            NETWORKDAYS(L119, M119, Holiday_Dates) - IF(L119 = M119, 0, 1)
        )
    )
)</f>
        <v/>
      </c>
      <c r="R119" s="385" t="str">
        <f>IFERROR(
    IF(
        OR(ISBLANK(N119), AND(ISBLANK(L119), ISBLANK(M119))),
        "",
        MAX(
            1,
            IF(
                NETWORKDAYS(IF(NOT(ISBLANK(M119)), M119, L119), N119, Holiday_Dates) &lt;= 0,
                1,
                NETWORKDAYS(IF(NOT(ISBLANK(M119)), M119, L119), N119, Holiday_Dates)
                - IF(IF(NOT(ISBLANK(M119)), M119, L119) = N119, 0, 1)
            )
        )
    ),
    ""
)</f>
        <v/>
      </c>
      <c r="S119" s="385" t="str">
        <f>IFERROR(
    IF(
        OR(ISBLANK(N119), ISBLANK(O119)),
        "",
        MAX(
            1,
            IF(
                NETWORKDAYS(N119, O119, Holiday_Dates) &lt;= 0,
                1,
                NETWORKDAYS(N119, O119, Holiday_Dates) - IF(N119 = O119, 0, 1)
            )
        )
    ),
    ""
)</f>
        <v/>
      </c>
      <c r="T119" s="385"/>
      <c r="U119" s="385" t="s">
        <v>4</v>
      </c>
      <c r="V119" s="385" t="s">
        <v>108</v>
      </c>
      <c r="W119" s="385" t="s">
        <v>1436</v>
      </c>
      <c r="X119" s="1"/>
    </row>
    <row r="120" spans="1:24">
      <c r="A120" s="385" t="s">
        <v>47</v>
      </c>
      <c r="B120" s="385" t="s">
        <v>258</v>
      </c>
      <c r="C120" s="385" t="s">
        <v>1641</v>
      </c>
      <c r="D120" s="385" t="s">
        <v>89</v>
      </c>
      <c r="E120" s="385"/>
      <c r="F120" s="385"/>
      <c r="G120" s="385"/>
      <c r="H120" s="385">
        <v>2024</v>
      </c>
      <c r="I120" s="386">
        <v>45608</v>
      </c>
      <c r="J120" s="30"/>
      <c r="K120" s="385"/>
      <c r="L120" s="385"/>
      <c r="M120" s="385"/>
      <c r="N120" s="385"/>
      <c r="O120" s="385"/>
      <c r="P120" s="385" t="str">
        <f>IFERROR(
    IF(
        OR(ISBLANK(I120), ISBLANK(L120)),
        "",
        MAX(
            1,
            IF(
                NETWORKDAYS(I120, L120, Holiday_Dates) &lt;= 0,
                1,
                NETWORKDAYS(I120, L120, Holiday_Dates) - IF(I120 = L120, 0, 1)
            )
        )
    ),
    ""
)</f>
        <v/>
      </c>
      <c r="Q120" s="385" t="str">
        <f>IF(
    OR(ISBLANK(L120), ISBLANK(M120)),
    "",
    MAX(
        1,
        IF(
            NETWORKDAYS(L120, M120, Holiday_Dates) &lt;= 0,
            1,
            NETWORKDAYS(L120, M120, Holiday_Dates) - IF(L120 = M120, 0, 1)
        )
    )
)</f>
        <v/>
      </c>
      <c r="R120" s="385" t="str">
        <f>IFERROR(
    IF(
        OR(ISBLANK(N120), AND(ISBLANK(L120), ISBLANK(M120))),
        "",
        MAX(
            1,
            IF(
                NETWORKDAYS(IF(NOT(ISBLANK(M120)), M120, L120), N120, Holiday_Dates) &lt;= 0,
                1,
                NETWORKDAYS(IF(NOT(ISBLANK(M120)), M120, L120), N120, Holiday_Dates)
                - IF(IF(NOT(ISBLANK(M120)), M120, L120) = N120, 0, 1)
            )
        )
    ),
    ""
)</f>
        <v/>
      </c>
      <c r="S120" s="385" t="str">
        <f>IFERROR(
    IF(
        OR(ISBLANK(N120), ISBLANK(O120)),
        "",
        MAX(
            1,
            IF(
                NETWORKDAYS(N120, O120, Holiday_Dates) &lt;= 0,
                1,
                NETWORKDAYS(N120, O120, Holiday_Dates) - IF(N120 = O120, 0, 1)
            )
        )
    ),
    ""
)</f>
        <v/>
      </c>
      <c r="T120" s="385"/>
      <c r="U120" s="385" t="s">
        <v>4</v>
      </c>
      <c r="V120" s="385" t="s">
        <v>101</v>
      </c>
      <c r="W120" s="385" t="s">
        <v>1436</v>
      </c>
      <c r="X120" s="1"/>
    </row>
    <row r="121" spans="1:24">
      <c r="A121" s="385" t="s">
        <v>47</v>
      </c>
      <c r="B121" s="385" t="s">
        <v>258</v>
      </c>
      <c r="C121" s="385" t="s">
        <v>1643</v>
      </c>
      <c r="D121" s="385" t="s">
        <v>89</v>
      </c>
      <c r="E121" s="385"/>
      <c r="F121" s="385"/>
      <c r="G121" s="385"/>
      <c r="H121" s="385">
        <v>2024</v>
      </c>
      <c r="I121" s="386">
        <v>45576</v>
      </c>
      <c r="J121" s="30"/>
      <c r="K121" s="385"/>
      <c r="L121" s="385"/>
      <c r="M121" s="385"/>
      <c r="N121" s="385"/>
      <c r="O121" s="385"/>
      <c r="P121" s="385" t="str">
        <f>IFERROR(
    IF(
        OR(ISBLANK(I121), ISBLANK(L121)),
        "",
        MAX(
            1,
            IF(
                NETWORKDAYS(I121, L121, Holiday_Dates) &lt;= 0,
                1,
                NETWORKDAYS(I121, L121, Holiday_Dates) - IF(I121 = L121, 0, 1)
            )
        )
    ),
    ""
)</f>
        <v/>
      </c>
      <c r="Q121" s="385" t="str">
        <f>IF(
    OR(ISBLANK(L121), ISBLANK(M121)),
    "",
    MAX(
        1,
        IF(
            NETWORKDAYS(L121, M121, Holiday_Dates) &lt;= 0,
            1,
            NETWORKDAYS(L121, M121, Holiday_Dates) - IF(L121 = M121, 0, 1)
        )
    )
)</f>
        <v/>
      </c>
      <c r="R121" s="385" t="str">
        <f>IFERROR(
    IF(
        OR(ISBLANK(N121), AND(ISBLANK(L121), ISBLANK(M121))),
        "",
        MAX(
            1,
            IF(
                NETWORKDAYS(IF(NOT(ISBLANK(M121)), M121, L121), N121, Holiday_Dates) &lt;= 0,
                1,
                NETWORKDAYS(IF(NOT(ISBLANK(M121)), M121, L121), N121, Holiday_Dates)
                - IF(IF(NOT(ISBLANK(M121)), M121, L121) = N121, 0, 1)
            )
        )
    ),
    ""
)</f>
        <v/>
      </c>
      <c r="S121" s="385" t="str">
        <f>IFERROR(
    IF(
        OR(ISBLANK(N121), ISBLANK(O121)),
        "",
        MAX(
            1,
            IF(
                NETWORKDAYS(N121, O121, Holiday_Dates) &lt;= 0,
                1,
                NETWORKDAYS(N121, O121, Holiday_Dates) - IF(N121 = O121, 0, 1)
            )
        )
    ),
    ""
)</f>
        <v/>
      </c>
      <c r="T121" s="385"/>
      <c r="U121" s="385" t="s">
        <v>4</v>
      </c>
      <c r="V121" s="385" t="s">
        <v>101</v>
      </c>
      <c r="W121" s="385" t="s">
        <v>1436</v>
      </c>
      <c r="X121" s="1"/>
    </row>
    <row r="122" spans="1:24">
      <c r="A122" s="385" t="s">
        <v>47</v>
      </c>
      <c r="B122" s="385" t="s">
        <v>258</v>
      </c>
      <c r="C122" s="385" t="s">
        <v>939</v>
      </c>
      <c r="D122" s="385" t="s">
        <v>89</v>
      </c>
      <c r="E122" s="385"/>
      <c r="F122" s="385"/>
      <c r="G122" s="385"/>
      <c r="H122" s="385">
        <v>2024</v>
      </c>
      <c r="I122" s="386">
        <v>45420</v>
      </c>
      <c r="J122" s="30"/>
      <c r="K122" s="385"/>
      <c r="L122" s="385"/>
      <c r="M122" s="385"/>
      <c r="N122" s="385"/>
      <c r="O122" s="385"/>
      <c r="P122" s="385" t="str">
        <f>IFERROR(
    IF(
        OR(ISBLANK(I122), ISBLANK(L122)),
        "",
        MAX(
            1,
            IF(
                NETWORKDAYS(I122, L122, Holiday_Dates) &lt;= 0,
                1,
                NETWORKDAYS(I122, L122, Holiday_Dates) - IF(I122 = L122, 0, 1)
            )
        )
    ),
    ""
)</f>
        <v/>
      </c>
      <c r="Q122" s="385" t="str">
        <f>IF(
    OR(ISBLANK(L122), ISBLANK(M122)),
    "",
    MAX(
        1,
        IF(
            NETWORKDAYS(L122, M122, Holiday_Dates) &lt;= 0,
            1,
            NETWORKDAYS(L122, M122, Holiday_Dates) - IF(L122 = M122, 0, 1)
        )
    )
)</f>
        <v/>
      </c>
      <c r="R122" s="385" t="str">
        <f>IFERROR(
    IF(
        OR(ISBLANK(N122), AND(ISBLANK(L122), ISBLANK(M122))),
        "",
        MAX(
            1,
            IF(
                NETWORKDAYS(IF(NOT(ISBLANK(M122)), M122, L122), N122, Holiday_Dates) &lt;= 0,
                1,
                NETWORKDAYS(IF(NOT(ISBLANK(M122)), M122, L122), N122, Holiday_Dates)
                - IF(IF(NOT(ISBLANK(M122)), M122, L122) = N122, 0, 1)
            )
        )
    ),
    ""
)</f>
        <v/>
      </c>
      <c r="S122" s="385" t="str">
        <f>IFERROR(
    IF(
        OR(ISBLANK(N122), ISBLANK(O122)),
        "",
        MAX(
            1,
            IF(
                NETWORKDAYS(N122, O122, Holiday_Dates) &lt;= 0,
                1,
                NETWORKDAYS(N122, O122, Holiday_Dates) - IF(N122 = O122, 0, 1)
            )
        )
    ),
    ""
)</f>
        <v/>
      </c>
      <c r="T122" s="385"/>
      <c r="U122" s="385" t="s">
        <v>672</v>
      </c>
      <c r="V122" s="385"/>
      <c r="W122" s="385" t="s">
        <v>1436</v>
      </c>
      <c r="X122" s="1"/>
    </row>
    <row r="123" spans="1:24">
      <c r="A123" s="385" t="s">
        <v>47</v>
      </c>
      <c r="B123" s="385" t="s">
        <v>258</v>
      </c>
      <c r="C123" s="385" t="s">
        <v>1648</v>
      </c>
      <c r="D123" s="385" t="s">
        <v>89</v>
      </c>
      <c r="E123" s="385"/>
      <c r="F123" s="385"/>
      <c r="G123" s="385"/>
      <c r="H123" s="385">
        <v>2025</v>
      </c>
      <c r="I123" s="386">
        <v>45965</v>
      </c>
      <c r="J123" s="30" t="s">
        <v>4619</v>
      </c>
      <c r="K123" s="385"/>
      <c r="L123" s="385"/>
      <c r="M123" s="385"/>
      <c r="N123" s="385"/>
      <c r="O123" s="385"/>
      <c r="P123" s="385" t="str">
        <f>IFERROR(
    IF(
        OR(ISBLANK(I123), ISBLANK(L123)),
        "",
        MAX(
            1,
            IF(
                NETWORKDAYS(I123, L123, Holiday_Dates) &lt;= 0,
                1,
                NETWORKDAYS(I123, L123, Holiday_Dates) - IF(I123 = L123, 0, 1)
            )
        )
    ),
    ""
)</f>
        <v/>
      </c>
      <c r="Q123" s="385" t="str">
        <f>IF(
    OR(ISBLANK(L123), ISBLANK(M123)),
    "",
    MAX(
        1,
        IF(
            NETWORKDAYS(L123, M123, Holiday_Dates) &lt;= 0,
            1,
            NETWORKDAYS(L123, M123, Holiday_Dates) - IF(L123 = M123, 0, 1)
        )
    )
)</f>
        <v/>
      </c>
      <c r="R123" s="385" t="str">
        <f>IFERROR(
    IF(
        OR(ISBLANK(N123), AND(ISBLANK(L123), ISBLANK(M123))),
        "",
        MAX(
            1,
            IF(
                NETWORKDAYS(IF(NOT(ISBLANK(M123)), M123, L123), N123, Holiday_Dates) &lt;= 0,
                1,
                NETWORKDAYS(IF(NOT(ISBLANK(M123)), M123, L123), N123, Holiday_Dates)
                - IF(IF(NOT(ISBLANK(M123)), M123, L123) = N123, 0, 1)
            )
        )
    ),
    ""
)</f>
        <v/>
      </c>
      <c r="S123" s="385" t="str">
        <f>IFERROR(
    IF(
        OR(ISBLANK(N123), ISBLANK(O123)),
        "",
        MAX(
            1,
            IF(
                NETWORKDAYS(N123, O123, Holiday_Dates) &lt;= 0,
                1,
                NETWORKDAYS(N123, O123, Holiday_Dates) - IF(N123 = O123, 0, 1)
            )
        )
    ),
    ""
)</f>
        <v/>
      </c>
      <c r="T123" s="385"/>
      <c r="U123" s="385" t="s">
        <v>672</v>
      </c>
      <c r="V123" s="385" t="s">
        <v>101</v>
      </c>
      <c r="W123" s="385" t="s">
        <v>1436</v>
      </c>
      <c r="X123" s="1"/>
    </row>
    <row r="124" spans="1:24">
      <c r="A124" s="385" t="s">
        <v>47</v>
      </c>
      <c r="B124" s="385" t="s">
        <v>258</v>
      </c>
      <c r="C124" s="385" t="s">
        <v>1649</v>
      </c>
      <c r="D124" s="385" t="s">
        <v>89</v>
      </c>
      <c r="E124" s="385"/>
      <c r="F124" s="385"/>
      <c r="G124" s="385"/>
      <c r="H124" s="385">
        <v>2024</v>
      </c>
      <c r="I124" s="386">
        <v>45552</v>
      </c>
      <c r="J124" s="30"/>
      <c r="K124" s="385"/>
      <c r="L124" s="385"/>
      <c r="M124" s="385"/>
      <c r="N124" s="385"/>
      <c r="O124" s="385"/>
      <c r="P124" s="385" t="str">
        <f>IFERROR(
    IF(
        OR(ISBLANK(I124), ISBLANK(L124)),
        "",
        MAX(
            1,
            IF(
                NETWORKDAYS(I124, L124, Holiday_Dates) &lt;= 0,
                1,
                NETWORKDAYS(I124, L124, Holiday_Dates) - IF(I124 = L124, 0, 1)
            )
        )
    ),
    ""
)</f>
        <v/>
      </c>
      <c r="Q124" s="385" t="str">
        <f>IF(
    OR(ISBLANK(L124), ISBLANK(M124)),
    "",
    MAX(
        1,
        IF(
            NETWORKDAYS(L124, M124, Holiday_Dates) &lt;= 0,
            1,
            NETWORKDAYS(L124, M124, Holiday_Dates) - IF(L124 = M124, 0, 1)
        )
    )
)</f>
        <v/>
      </c>
      <c r="R124" s="385" t="str">
        <f>IFERROR(
    IF(
        OR(ISBLANK(N124), AND(ISBLANK(L124), ISBLANK(M124))),
        "",
        MAX(
            1,
            IF(
                NETWORKDAYS(IF(NOT(ISBLANK(M124)), M124, L124), N124, Holiday_Dates) &lt;= 0,
                1,
                NETWORKDAYS(IF(NOT(ISBLANK(M124)), M124, L124), N124, Holiday_Dates)
                - IF(IF(NOT(ISBLANK(M124)), M124, L124) = N124, 0, 1)
            )
        )
    ),
    ""
)</f>
        <v/>
      </c>
      <c r="S124" s="385" t="str">
        <f>IFERROR(
    IF(
        OR(ISBLANK(N124), ISBLANK(O124)),
        "",
        MAX(
            1,
            IF(
                NETWORKDAYS(N124, O124, Holiday_Dates) &lt;= 0,
                1,
                NETWORKDAYS(N124, O124, Holiday_Dates) - IF(N124 = O124, 0, 1)
            )
        )
    ),
    ""
)</f>
        <v/>
      </c>
      <c r="T124" s="385"/>
      <c r="U124" s="385" t="s">
        <v>4</v>
      </c>
      <c r="V124" s="385" t="s">
        <v>101</v>
      </c>
      <c r="W124" s="385" t="s">
        <v>1436</v>
      </c>
      <c r="X124" s="1"/>
    </row>
    <row r="125" spans="1:24">
      <c r="A125" s="385" t="s">
        <v>47</v>
      </c>
      <c r="B125" s="385" t="s">
        <v>258</v>
      </c>
      <c r="C125" s="385" t="s">
        <v>1651</v>
      </c>
      <c r="D125" s="385" t="s">
        <v>89</v>
      </c>
      <c r="E125" s="385"/>
      <c r="F125" s="385"/>
      <c r="G125" s="385"/>
      <c r="H125" s="385">
        <v>2024</v>
      </c>
      <c r="I125" s="386">
        <v>45399</v>
      </c>
      <c r="J125" s="30"/>
      <c r="K125" s="385"/>
      <c r="L125" s="385"/>
      <c r="M125" s="385"/>
      <c r="N125" s="385"/>
      <c r="O125" s="385"/>
      <c r="P125" s="385" t="str">
        <f>IFERROR(
    IF(
        OR(ISBLANK(I125), ISBLANK(L125)),
        "",
        MAX(
            1,
            IF(
                NETWORKDAYS(I125, L125, Holiday_Dates) &lt;= 0,
                1,
                NETWORKDAYS(I125, L125, Holiday_Dates) - IF(I125 = L125, 0, 1)
            )
        )
    ),
    ""
)</f>
        <v/>
      </c>
      <c r="Q125" s="385" t="str">
        <f>IF(
    OR(ISBLANK(L125), ISBLANK(M125)),
    "",
    MAX(
        1,
        IF(
            NETWORKDAYS(L125, M125, Holiday_Dates) &lt;= 0,
            1,
            NETWORKDAYS(L125, M125, Holiday_Dates) - IF(L125 = M125, 0, 1)
        )
    )
)</f>
        <v/>
      </c>
      <c r="R125" s="385" t="str">
        <f>IFERROR(
    IF(
        OR(ISBLANK(N125), AND(ISBLANK(L125), ISBLANK(M125))),
        "",
        MAX(
            1,
            IF(
                NETWORKDAYS(IF(NOT(ISBLANK(M125)), M125, L125), N125, Holiday_Dates) &lt;= 0,
                1,
                NETWORKDAYS(IF(NOT(ISBLANK(M125)), M125, L125), N125, Holiday_Dates)
                - IF(IF(NOT(ISBLANK(M125)), M125, L125) = N125, 0, 1)
            )
        )
    ),
    ""
)</f>
        <v/>
      </c>
      <c r="S125" s="385" t="str">
        <f>IFERROR(
    IF(
        OR(ISBLANK(N125), ISBLANK(O125)),
        "",
        MAX(
            1,
            IF(
                NETWORKDAYS(N125, O125, Holiday_Dates) &lt;= 0,
                1,
                NETWORKDAYS(N125, O125, Holiday_Dates) - IF(N125 = O125, 0, 1)
            )
        )
    ),
    ""
)</f>
        <v/>
      </c>
      <c r="T125" s="385"/>
      <c r="U125" s="385" t="s">
        <v>672</v>
      </c>
      <c r="V125" s="385"/>
      <c r="W125" s="385" t="s">
        <v>1436</v>
      </c>
      <c r="X125" s="1"/>
    </row>
    <row r="126" spans="1:24">
      <c r="A126" s="385" t="s">
        <v>47</v>
      </c>
      <c r="B126" s="385" t="s">
        <v>258</v>
      </c>
      <c r="C126" s="385" t="s">
        <v>610</v>
      </c>
      <c r="D126" s="385" t="s">
        <v>89</v>
      </c>
      <c r="E126" s="385"/>
      <c r="F126" s="385"/>
      <c r="G126" s="385"/>
      <c r="H126" s="385">
        <v>2024</v>
      </c>
      <c r="I126" s="385" t="s">
        <v>4590</v>
      </c>
      <c r="J126" s="30"/>
      <c r="K126" s="385"/>
      <c r="L126" s="385"/>
      <c r="M126" s="385"/>
      <c r="N126" s="385"/>
      <c r="O126" s="385"/>
      <c r="P126" s="385" t="str">
        <f>IFERROR(
    IF(
        OR(ISBLANK(I126), ISBLANK(L126)),
        "",
        MAX(
            1,
            IF(
                NETWORKDAYS(I126, L126, Holiday_Dates) &lt;= 0,
                1,
                NETWORKDAYS(I126, L126, Holiday_Dates) - IF(I126 = L126, 0, 1)
            )
        )
    ),
    ""
)</f>
        <v/>
      </c>
      <c r="Q126" s="385" t="str">
        <f>IF(
    OR(ISBLANK(L126), ISBLANK(M126)),
    "",
    MAX(
        1,
        IF(
            NETWORKDAYS(L126, M126, Holiday_Dates) &lt;= 0,
            1,
            NETWORKDAYS(L126, M126, Holiday_Dates) - IF(L126 = M126, 0, 1)
        )
    )
)</f>
        <v/>
      </c>
      <c r="R126" s="385" t="str">
        <f>IFERROR(
    IF(
        OR(ISBLANK(N126), AND(ISBLANK(L126), ISBLANK(M126))),
        "",
        MAX(
            1,
            IF(
                NETWORKDAYS(IF(NOT(ISBLANK(M126)), M126, L126), N126, Holiday_Dates) &lt;= 0,
                1,
                NETWORKDAYS(IF(NOT(ISBLANK(M126)), M126, L126), N126, Holiday_Dates)
                - IF(IF(NOT(ISBLANK(M126)), M126, L126) = N126, 0, 1)
            )
        )
    ),
    ""
)</f>
        <v/>
      </c>
      <c r="S126" s="385" t="str">
        <f>IFERROR(
    IF(
        OR(ISBLANK(N126), ISBLANK(O126)),
        "",
        MAX(
            1,
            IF(
                NETWORKDAYS(N126, O126, Holiday_Dates) &lt;= 0,
                1,
                NETWORKDAYS(N126, O126, Holiday_Dates) - IF(N126 = O126, 0, 1)
            )
        )
    ),
    ""
)</f>
        <v/>
      </c>
      <c r="T126" s="385"/>
      <c r="U126" s="385" t="s">
        <v>672</v>
      </c>
      <c r="V126" s="385"/>
      <c r="W126" s="385" t="s">
        <v>1436</v>
      </c>
      <c r="X126" s="1"/>
    </row>
    <row r="127" spans="1:24">
      <c r="A127" s="385" t="s">
        <v>47</v>
      </c>
      <c r="B127" s="385" t="s">
        <v>258</v>
      </c>
      <c r="C127" s="385" t="s">
        <v>427</v>
      </c>
      <c r="D127" s="385" t="s">
        <v>89</v>
      </c>
      <c r="E127" s="385"/>
      <c r="F127" s="385"/>
      <c r="G127" s="385"/>
      <c r="H127" s="385">
        <v>2024</v>
      </c>
      <c r="I127" s="385" t="s">
        <v>4620</v>
      </c>
      <c r="J127" s="30"/>
      <c r="K127" s="385"/>
      <c r="L127" s="385"/>
      <c r="M127" s="385"/>
      <c r="N127" s="385"/>
      <c r="O127" s="385"/>
      <c r="P127" s="385" t="str">
        <f>IFERROR(
    IF(
        OR(ISBLANK(I127), ISBLANK(L127)),
        "",
        MAX(
            1,
            IF(
                NETWORKDAYS(I127, L127, Holiday_Dates) &lt;= 0,
                1,
                NETWORKDAYS(I127, L127, Holiday_Dates) - IF(I127 = L127, 0, 1)
            )
        )
    ),
    ""
)</f>
        <v/>
      </c>
      <c r="Q127" s="385" t="str">
        <f>IF(
    OR(ISBLANK(L127), ISBLANK(M127)),
    "",
    MAX(
        1,
        IF(
            NETWORKDAYS(L127, M127, Holiday_Dates) &lt;= 0,
            1,
            NETWORKDAYS(L127, M127, Holiday_Dates) - IF(L127 = M127, 0, 1)
        )
    )
)</f>
        <v/>
      </c>
      <c r="R127" s="385" t="str">
        <f>IFERROR(
    IF(
        OR(ISBLANK(N127), AND(ISBLANK(L127), ISBLANK(M127))),
        "",
        MAX(
            1,
            IF(
                NETWORKDAYS(IF(NOT(ISBLANK(M127)), M127, L127), N127, Holiday_Dates) &lt;= 0,
                1,
                NETWORKDAYS(IF(NOT(ISBLANK(M127)), M127, L127), N127, Holiday_Dates)
                - IF(IF(NOT(ISBLANK(M127)), M127, L127) = N127, 0, 1)
            )
        )
    ),
    ""
)</f>
        <v/>
      </c>
      <c r="S127" s="385" t="str">
        <f>IFERROR(
    IF(
        OR(ISBLANK(N127), ISBLANK(O127)),
        "",
        MAX(
            1,
            IF(
                NETWORKDAYS(N127, O127, Holiday_Dates) &lt;= 0,
                1,
                NETWORKDAYS(N127, O127, Holiday_Dates) - IF(N127 = O127, 0, 1)
            )
        )
    ),
    ""
)</f>
        <v/>
      </c>
      <c r="T127" s="385"/>
      <c r="U127" s="385" t="s">
        <v>672</v>
      </c>
      <c r="V127" s="385"/>
      <c r="W127" s="385" t="s">
        <v>1436</v>
      </c>
      <c r="X127" s="1"/>
    </row>
    <row r="128" spans="1:24">
      <c r="A128" s="385" t="s">
        <v>47</v>
      </c>
      <c r="B128" s="385" t="s">
        <v>258</v>
      </c>
      <c r="C128" s="385" t="s">
        <v>764</v>
      </c>
      <c r="D128" s="385" t="s">
        <v>89</v>
      </c>
      <c r="E128" s="385"/>
      <c r="F128" s="385"/>
      <c r="G128" s="385"/>
      <c r="H128" s="385">
        <v>2024</v>
      </c>
      <c r="I128" s="386">
        <v>45574</v>
      </c>
      <c r="J128" s="30"/>
      <c r="K128" s="385"/>
      <c r="L128" s="385"/>
      <c r="M128" s="385"/>
      <c r="N128" s="385"/>
      <c r="O128" s="385"/>
      <c r="P128" s="385" t="str">
        <f>IFERROR(
    IF(
        OR(ISBLANK(I128), ISBLANK(L128)),
        "",
        MAX(
            1,
            IF(
                NETWORKDAYS(I128, L128, Holiday_Dates) &lt;= 0,
                1,
                NETWORKDAYS(I128, L128, Holiday_Dates) - IF(I128 = L128, 0, 1)
            )
        )
    ),
    ""
)</f>
        <v/>
      </c>
      <c r="Q128" s="385" t="str">
        <f>IF(
    OR(ISBLANK(L128), ISBLANK(M128)),
    "",
    MAX(
        1,
        IF(
            NETWORKDAYS(L128, M128, Holiday_Dates) &lt;= 0,
            1,
            NETWORKDAYS(L128, M128, Holiday_Dates) - IF(L128 = M128, 0, 1)
        )
    )
)</f>
        <v/>
      </c>
      <c r="R128" s="385" t="str">
        <f>IFERROR(
    IF(
        OR(ISBLANK(N128), AND(ISBLANK(L128), ISBLANK(M128))),
        "",
        MAX(
            1,
            IF(
                NETWORKDAYS(IF(NOT(ISBLANK(M128)), M128, L128), N128, Holiday_Dates) &lt;= 0,
                1,
                NETWORKDAYS(IF(NOT(ISBLANK(M128)), M128, L128), N128, Holiday_Dates)
                - IF(IF(NOT(ISBLANK(M128)), M128, L128) = N128, 0, 1)
            )
        )
    ),
    ""
)</f>
        <v/>
      </c>
      <c r="S128" s="385" t="str">
        <f>IFERROR(
    IF(
        OR(ISBLANK(N128), ISBLANK(O128)),
        "",
        MAX(
            1,
            IF(
                NETWORKDAYS(N128, O128, Holiday_Dates) &lt;= 0,
                1,
                NETWORKDAYS(N128, O128, Holiday_Dates) - IF(N128 = O128, 0, 1)
            )
        )
    ),
    ""
)</f>
        <v/>
      </c>
      <c r="T128" s="385"/>
      <c r="U128" s="385" t="s">
        <v>4</v>
      </c>
      <c r="V128" s="385" t="s">
        <v>101</v>
      </c>
      <c r="W128" s="385" t="s">
        <v>1436</v>
      </c>
      <c r="X128" s="1"/>
    </row>
    <row r="129" spans="1:24">
      <c r="A129" s="385" t="s">
        <v>47</v>
      </c>
      <c r="B129" s="385" t="s">
        <v>258</v>
      </c>
      <c r="C129" s="385" t="s">
        <v>522</v>
      </c>
      <c r="D129" s="385" t="s">
        <v>89</v>
      </c>
      <c r="E129" s="385"/>
      <c r="F129" s="385"/>
      <c r="G129" s="385"/>
      <c r="H129" s="385">
        <v>2024</v>
      </c>
      <c r="I129" s="386">
        <v>45449</v>
      </c>
      <c r="J129" s="30"/>
      <c r="K129" s="385"/>
      <c r="L129" s="385"/>
      <c r="M129" s="385"/>
      <c r="N129" s="385"/>
      <c r="O129" s="385"/>
      <c r="P129" s="385" t="str">
        <f>IFERROR(
    IF(
        OR(ISBLANK(I129), ISBLANK(L129)),
        "",
        MAX(
            1,
            IF(
                NETWORKDAYS(I129, L129, Holiday_Dates) &lt;= 0,
                1,
                NETWORKDAYS(I129, L129, Holiday_Dates) - IF(I129 = L129, 0, 1)
            )
        )
    ),
    ""
)</f>
        <v/>
      </c>
      <c r="Q129" s="385" t="str">
        <f>IF(
    OR(ISBLANK(L129), ISBLANK(M129)),
    "",
    MAX(
        1,
        IF(
            NETWORKDAYS(L129, M129, Holiday_Dates) &lt;= 0,
            1,
            NETWORKDAYS(L129, M129, Holiday_Dates) - IF(L129 = M129, 0, 1)
        )
    )
)</f>
        <v/>
      </c>
      <c r="R129" s="385" t="str">
        <f>IFERROR(
    IF(
        OR(ISBLANK(N129), AND(ISBLANK(L129), ISBLANK(M129))),
        "",
        MAX(
            1,
            IF(
                NETWORKDAYS(IF(NOT(ISBLANK(M129)), M129, L129), N129, Holiday_Dates) &lt;= 0,
                1,
                NETWORKDAYS(IF(NOT(ISBLANK(M129)), M129, L129), N129, Holiday_Dates)
                - IF(IF(NOT(ISBLANK(M129)), M129, L129) = N129, 0, 1)
            )
        )
    ),
    ""
)</f>
        <v/>
      </c>
      <c r="S129" s="385" t="str">
        <f>IFERROR(
    IF(
        OR(ISBLANK(N129), ISBLANK(O129)),
        "",
        MAX(
            1,
            IF(
                NETWORKDAYS(N129, O129, Holiday_Dates) &lt;= 0,
                1,
                NETWORKDAYS(N129, O129, Holiday_Dates) - IF(N129 = O129, 0, 1)
            )
        )
    ),
    ""
)</f>
        <v/>
      </c>
      <c r="T129" s="385"/>
      <c r="U129" s="385" t="s">
        <v>672</v>
      </c>
      <c r="V129" s="385"/>
      <c r="W129" s="385" t="s">
        <v>1436</v>
      </c>
      <c r="X129" s="1"/>
    </row>
    <row r="130" spans="1:24">
      <c r="A130" s="385" t="s">
        <v>47</v>
      </c>
      <c r="B130" s="385" t="s">
        <v>258</v>
      </c>
      <c r="C130" s="385" t="s">
        <v>1656</v>
      </c>
      <c r="D130" s="385" t="s">
        <v>89</v>
      </c>
      <c r="E130" s="385"/>
      <c r="F130" s="385"/>
      <c r="G130" s="385"/>
      <c r="H130" s="385">
        <v>2024</v>
      </c>
      <c r="I130" s="386">
        <v>45454</v>
      </c>
      <c r="J130" s="30"/>
      <c r="K130" s="385"/>
      <c r="L130" s="385"/>
      <c r="M130" s="385"/>
      <c r="N130" s="385"/>
      <c r="O130" s="385"/>
      <c r="P130" s="385" t="str">
        <f>IFERROR(
    IF(
        OR(ISBLANK(I130), ISBLANK(L130)),
        "",
        MAX(
            1,
            IF(
                NETWORKDAYS(I130, L130, Holiday_Dates) &lt;= 0,
                1,
                NETWORKDAYS(I130, L130, Holiday_Dates) - IF(I130 = L130, 0, 1)
            )
        )
    ),
    ""
)</f>
        <v/>
      </c>
      <c r="Q130" s="385" t="str">
        <f>IF(
    OR(ISBLANK(L130), ISBLANK(M130)),
    "",
    MAX(
        1,
        IF(
            NETWORKDAYS(L130, M130, Holiday_Dates) &lt;= 0,
            1,
            NETWORKDAYS(L130, M130, Holiday_Dates) - IF(L130 = M130, 0, 1)
        )
    )
)</f>
        <v/>
      </c>
      <c r="R130" s="385" t="str">
        <f>IFERROR(
    IF(
        OR(ISBLANK(N130), AND(ISBLANK(L130), ISBLANK(M130))),
        "",
        MAX(
            1,
            IF(
                NETWORKDAYS(IF(NOT(ISBLANK(M130)), M130, L130), N130, Holiday_Dates) &lt;= 0,
                1,
                NETWORKDAYS(IF(NOT(ISBLANK(M130)), M130, L130), N130, Holiday_Dates)
                - IF(IF(NOT(ISBLANK(M130)), M130, L130) = N130, 0, 1)
            )
        )
    ),
    ""
)</f>
        <v/>
      </c>
      <c r="S130" s="385" t="str">
        <f>IFERROR(
    IF(
        OR(ISBLANK(N130), ISBLANK(O130)),
        "",
        MAX(
            1,
            IF(
                NETWORKDAYS(N130, O130, Holiday_Dates) &lt;= 0,
                1,
                NETWORKDAYS(N130, O130, Holiday_Dates) - IF(N130 = O130, 0, 1)
            )
        )
    ),
    ""
)</f>
        <v/>
      </c>
      <c r="T130" s="385"/>
      <c r="U130" s="385" t="s">
        <v>672</v>
      </c>
      <c r="V130" s="385"/>
      <c r="W130" s="385" t="s">
        <v>1436</v>
      </c>
      <c r="X130" s="1"/>
    </row>
    <row r="131" spans="1:24">
      <c r="A131" s="385" t="s">
        <v>47</v>
      </c>
      <c r="B131" s="385" t="s">
        <v>258</v>
      </c>
      <c r="C131" s="385" t="s">
        <v>1658</v>
      </c>
      <c r="D131" s="385" t="s">
        <v>89</v>
      </c>
      <c r="E131" s="385"/>
      <c r="F131" s="385"/>
      <c r="G131" s="385"/>
      <c r="H131" s="385">
        <v>2024</v>
      </c>
      <c r="I131" s="386">
        <v>45510</v>
      </c>
      <c r="J131" s="30"/>
      <c r="K131" s="385"/>
      <c r="L131" s="385"/>
      <c r="M131" s="385"/>
      <c r="N131" s="385"/>
      <c r="O131" s="385"/>
      <c r="P131" s="385" t="str">
        <f>IFERROR(
    IF(
        OR(ISBLANK(I131), ISBLANK(L131)),
        "",
        MAX(
            1,
            IF(
                NETWORKDAYS(I131, L131, Holiday_Dates) &lt;= 0,
                1,
                NETWORKDAYS(I131, L131, Holiday_Dates) - IF(I131 = L131, 0, 1)
            )
        )
    ),
    ""
)</f>
        <v/>
      </c>
      <c r="Q131" s="385" t="str">
        <f>IF(
    OR(ISBLANK(L131), ISBLANK(M131)),
    "",
    MAX(
        1,
        IF(
            NETWORKDAYS(L131, M131, Holiday_Dates) &lt;= 0,
            1,
            NETWORKDAYS(L131, M131, Holiday_Dates) - IF(L131 = M131, 0, 1)
        )
    )
)</f>
        <v/>
      </c>
      <c r="R131" s="385" t="str">
        <f>IFERROR(
    IF(
        OR(ISBLANK(N131), AND(ISBLANK(L131), ISBLANK(M131))),
        "",
        MAX(
            1,
            IF(
                NETWORKDAYS(IF(NOT(ISBLANK(M131)), M131, L131), N131, Holiday_Dates) &lt;= 0,
                1,
                NETWORKDAYS(IF(NOT(ISBLANK(M131)), M131, L131), N131, Holiday_Dates)
                - IF(IF(NOT(ISBLANK(M131)), M131, L131) = N131, 0, 1)
            )
        )
    ),
    ""
)</f>
        <v/>
      </c>
      <c r="S131" s="385" t="str">
        <f>IFERROR(
    IF(
        OR(ISBLANK(N131), ISBLANK(O131)),
        "",
        MAX(
            1,
            IF(
                NETWORKDAYS(N131, O131, Holiday_Dates) &lt;= 0,
                1,
                NETWORKDAYS(N131, O131, Holiday_Dates) - IF(N131 = O131, 0, 1)
            )
        )
    ),
    ""
)</f>
        <v/>
      </c>
      <c r="T131" s="385"/>
      <c r="U131" s="385" t="s">
        <v>4</v>
      </c>
      <c r="V131" s="385" t="s">
        <v>101</v>
      </c>
      <c r="W131" s="385" t="s">
        <v>1436</v>
      </c>
      <c r="X131" s="1"/>
    </row>
    <row r="132" spans="1:24">
      <c r="A132" s="385" t="s">
        <v>47</v>
      </c>
      <c r="B132" s="385" t="s">
        <v>258</v>
      </c>
      <c r="C132" s="385" t="s">
        <v>1660</v>
      </c>
      <c r="D132" s="385" t="s">
        <v>89</v>
      </c>
      <c r="E132" s="385"/>
      <c r="F132" s="385"/>
      <c r="G132" s="385"/>
      <c r="H132" s="385">
        <v>2024</v>
      </c>
      <c r="I132" s="386">
        <v>45581</v>
      </c>
      <c r="J132" s="30"/>
      <c r="K132" s="385"/>
      <c r="L132" s="385"/>
      <c r="M132" s="385"/>
      <c r="N132" s="385"/>
      <c r="O132" s="385"/>
      <c r="P132" s="385" t="str">
        <f>IFERROR(
    IF(
        OR(ISBLANK(I132), ISBLANK(L132)),
        "",
        MAX(
            1,
            IF(
                NETWORKDAYS(I132, L132, Holiday_Dates) &lt;= 0,
                1,
                NETWORKDAYS(I132, L132, Holiday_Dates) - IF(I132 = L132, 0, 1)
            )
        )
    ),
    ""
)</f>
        <v/>
      </c>
      <c r="Q132" s="385" t="str">
        <f>IF(
    OR(ISBLANK(L132), ISBLANK(M132)),
    "",
    MAX(
        1,
        IF(
            NETWORKDAYS(L132, M132, Holiday_Dates) &lt;= 0,
            1,
            NETWORKDAYS(L132, M132, Holiday_Dates) - IF(L132 = M132, 0, 1)
        )
    )
)</f>
        <v/>
      </c>
      <c r="R132" s="385" t="str">
        <f>IFERROR(
    IF(
        OR(ISBLANK(N132), AND(ISBLANK(L132), ISBLANK(M132))),
        "",
        MAX(
            1,
            IF(
                NETWORKDAYS(IF(NOT(ISBLANK(M132)), M132, L132), N132, Holiday_Dates) &lt;= 0,
                1,
                NETWORKDAYS(IF(NOT(ISBLANK(M132)), M132, L132), N132, Holiday_Dates)
                - IF(IF(NOT(ISBLANK(M132)), M132, L132) = N132, 0, 1)
            )
        )
    ),
    ""
)</f>
        <v/>
      </c>
      <c r="S132" s="385" t="str">
        <f>IFERROR(
    IF(
        OR(ISBLANK(N132), ISBLANK(O132)),
        "",
        MAX(
            1,
            IF(
                NETWORKDAYS(N132, O132, Holiday_Dates) &lt;= 0,
                1,
                NETWORKDAYS(N132, O132, Holiday_Dates) - IF(N132 = O132, 0, 1)
            )
        )
    ),
    ""
)</f>
        <v/>
      </c>
      <c r="T132" s="385"/>
      <c r="U132" s="385" t="s">
        <v>4</v>
      </c>
      <c r="V132" s="385" t="s">
        <v>101</v>
      </c>
      <c r="W132" s="385" t="s">
        <v>1436</v>
      </c>
      <c r="X132" s="1"/>
    </row>
    <row r="133" spans="1:24">
      <c r="A133" s="385" t="s">
        <v>47</v>
      </c>
      <c r="B133" s="385" t="s">
        <v>258</v>
      </c>
      <c r="C133" s="385" t="s">
        <v>1662</v>
      </c>
      <c r="D133" s="385" t="s">
        <v>89</v>
      </c>
      <c r="E133" s="385"/>
      <c r="F133" s="385"/>
      <c r="G133" s="385"/>
      <c r="H133" s="385">
        <v>2024</v>
      </c>
      <c r="I133" s="386">
        <v>45609</v>
      </c>
      <c r="J133" s="30"/>
      <c r="K133" s="385"/>
      <c r="L133" s="385"/>
      <c r="M133" s="385"/>
      <c r="N133" s="385"/>
      <c r="O133" s="385"/>
      <c r="P133" s="385" t="str">
        <f>IFERROR(
    IF(
        OR(ISBLANK(I133), ISBLANK(L133)),
        "",
        MAX(
            1,
            IF(
                NETWORKDAYS(I133, L133, Holiday_Dates) &lt;= 0,
                1,
                NETWORKDAYS(I133, L133, Holiday_Dates) - IF(I133 = L133, 0, 1)
            )
        )
    ),
    ""
)</f>
        <v/>
      </c>
      <c r="Q133" s="385" t="str">
        <f>IF(
    OR(ISBLANK(L133), ISBLANK(M133)),
    "",
    MAX(
        1,
        IF(
            NETWORKDAYS(L133, M133, Holiday_Dates) &lt;= 0,
            1,
            NETWORKDAYS(L133, M133, Holiday_Dates) - IF(L133 = M133, 0, 1)
        )
    )
)</f>
        <v/>
      </c>
      <c r="R133" s="385" t="str">
        <f>IFERROR(
    IF(
        OR(ISBLANK(N133), AND(ISBLANK(L133), ISBLANK(M133))),
        "",
        MAX(
            1,
            IF(
                NETWORKDAYS(IF(NOT(ISBLANK(M133)), M133, L133), N133, Holiday_Dates) &lt;= 0,
                1,
                NETWORKDAYS(IF(NOT(ISBLANK(M133)), M133, L133), N133, Holiday_Dates)
                - IF(IF(NOT(ISBLANK(M133)), M133, L133) = N133, 0, 1)
            )
        )
    ),
    ""
)</f>
        <v/>
      </c>
      <c r="S133" s="385" t="str">
        <f>IFERROR(
    IF(
        OR(ISBLANK(N133), ISBLANK(O133)),
        "",
        MAX(
            1,
            IF(
                NETWORKDAYS(N133, O133, Holiday_Dates) &lt;= 0,
                1,
                NETWORKDAYS(N133, O133, Holiday_Dates) - IF(N133 = O133, 0, 1)
            )
        )
    ),
    ""
)</f>
        <v/>
      </c>
      <c r="T133" s="385"/>
      <c r="U133" s="385" t="s">
        <v>4</v>
      </c>
      <c r="V133" s="385" t="s">
        <v>101</v>
      </c>
      <c r="W133" s="385" t="s">
        <v>1436</v>
      </c>
      <c r="X133" s="1"/>
    </row>
    <row r="134" spans="1:24">
      <c r="A134" s="385" t="s">
        <v>47</v>
      </c>
      <c r="B134" s="385" t="s">
        <v>258</v>
      </c>
      <c r="C134" s="385" t="s">
        <v>1664</v>
      </c>
      <c r="D134" s="385" t="s">
        <v>89</v>
      </c>
      <c r="E134" s="385"/>
      <c r="F134" s="385"/>
      <c r="G134" s="385"/>
      <c r="H134" s="385">
        <v>2024</v>
      </c>
      <c r="I134" s="386">
        <v>45482</v>
      </c>
      <c r="J134" s="30"/>
      <c r="K134" s="385"/>
      <c r="L134" s="385"/>
      <c r="M134" s="385"/>
      <c r="N134" s="385"/>
      <c r="O134" s="385"/>
      <c r="P134" s="385" t="str">
        <f>IFERROR(
    IF(
        OR(ISBLANK(I134), ISBLANK(L134)),
        "",
        MAX(
            1,
            IF(
                NETWORKDAYS(I134, L134, Holiday_Dates) &lt;= 0,
                1,
                NETWORKDAYS(I134, L134, Holiday_Dates) - IF(I134 = L134, 0, 1)
            )
        )
    ),
    ""
)</f>
        <v/>
      </c>
      <c r="Q134" s="385" t="str">
        <f>IF(
    OR(ISBLANK(L134), ISBLANK(M134)),
    "",
    MAX(
        1,
        IF(
            NETWORKDAYS(L134, M134, Holiday_Dates) &lt;= 0,
            1,
            NETWORKDAYS(L134, M134, Holiday_Dates) - IF(L134 = M134, 0, 1)
        )
    )
)</f>
        <v/>
      </c>
      <c r="R134" s="385" t="str">
        <f>IFERROR(
    IF(
        OR(ISBLANK(N134), AND(ISBLANK(L134), ISBLANK(M134))),
        "",
        MAX(
            1,
            IF(
                NETWORKDAYS(IF(NOT(ISBLANK(M134)), M134, L134), N134, Holiday_Dates) &lt;= 0,
                1,
                NETWORKDAYS(IF(NOT(ISBLANK(M134)), M134, L134), N134, Holiday_Dates)
                - IF(IF(NOT(ISBLANK(M134)), M134, L134) = N134, 0, 1)
            )
        )
    ),
    ""
)</f>
        <v/>
      </c>
      <c r="S134" s="385" t="str">
        <f>IFERROR(
    IF(
        OR(ISBLANK(N134), ISBLANK(O134)),
        "",
        MAX(
            1,
            IF(
                NETWORKDAYS(N134, O134, Holiday_Dates) &lt;= 0,
                1,
                NETWORKDAYS(N134, O134, Holiday_Dates) - IF(N134 = O134, 0, 1)
            )
        )
    ),
    ""
)</f>
        <v/>
      </c>
      <c r="T134" s="385"/>
      <c r="U134" s="385" t="s">
        <v>4</v>
      </c>
      <c r="V134" s="385" t="s">
        <v>101</v>
      </c>
      <c r="W134" s="385" t="s">
        <v>1436</v>
      </c>
      <c r="X134" s="1"/>
    </row>
    <row r="135" spans="1:24" ht="28.5">
      <c r="A135" s="385" t="s">
        <v>47</v>
      </c>
      <c r="B135" s="385" t="s">
        <v>418</v>
      </c>
      <c r="C135" s="385" t="s">
        <v>1667</v>
      </c>
      <c r="D135" s="385" t="s">
        <v>89</v>
      </c>
      <c r="E135" s="385"/>
      <c r="F135" s="385"/>
      <c r="G135" s="385"/>
      <c r="H135" s="30" t="s">
        <v>4595</v>
      </c>
      <c r="I135" s="386" t="s">
        <v>4621</v>
      </c>
      <c r="J135" s="30" t="s">
        <v>4622</v>
      </c>
      <c r="K135" s="385"/>
      <c r="L135" s="385"/>
      <c r="M135" s="385"/>
      <c r="N135" s="385"/>
      <c r="O135" s="385"/>
      <c r="P135" s="385" t="str">
        <f>IFERROR(
    IF(
        OR(ISBLANK(I135), ISBLANK(L135)),
        "",
        MAX(
            1,
            IF(
                NETWORKDAYS(I135, L135, Holiday_Dates) &lt;= 0,
                1,
                NETWORKDAYS(I135, L135, Holiday_Dates) - IF(I135 = L135, 0, 1)
            )
        )
    ),
    ""
)</f>
        <v/>
      </c>
      <c r="Q135" s="385" t="str">
        <f>IF(
    OR(ISBLANK(L135), ISBLANK(M135)),
    "",
    MAX(
        1,
        IF(
            NETWORKDAYS(L135, M135, Holiday_Dates) &lt;= 0,
            1,
            NETWORKDAYS(L135, M135, Holiday_Dates) - IF(L135 = M135, 0, 1)
        )
    )
)</f>
        <v/>
      </c>
      <c r="R135" s="385" t="str">
        <f>IFERROR(
    IF(
        OR(ISBLANK(N135), AND(ISBLANK(L135), ISBLANK(M135))),
        "",
        MAX(
            1,
            IF(
                NETWORKDAYS(IF(NOT(ISBLANK(M135)), M135, L135), N135, Holiday_Dates) &lt;= 0,
                1,
                NETWORKDAYS(IF(NOT(ISBLANK(M135)), M135, L135), N135, Holiday_Dates)
                - IF(IF(NOT(ISBLANK(M135)), M135, L135) = N135, 0, 1)
            )
        )
    ),
    ""
)</f>
        <v/>
      </c>
      <c r="S135" s="385" t="str">
        <f>IFERROR(
    IF(
        OR(ISBLANK(N135), ISBLANK(O135)),
        "",
        MAX(
            1,
            IF(
                NETWORKDAYS(N135, O135, Holiday_Dates) &lt;= 0,
                1,
                NETWORKDAYS(N135, O135, Holiday_Dates) - IF(N135 = O135, 0, 1)
            )
        )
    ),
    ""
)</f>
        <v/>
      </c>
      <c r="T135" s="385"/>
      <c r="U135" s="385" t="s">
        <v>4</v>
      </c>
      <c r="V135" s="385" t="s">
        <v>101</v>
      </c>
      <c r="W135" s="385" t="s">
        <v>1436</v>
      </c>
      <c r="X135" s="1"/>
    </row>
    <row r="136" spans="1:24">
      <c r="A136" s="385" t="s">
        <v>47</v>
      </c>
      <c r="B136" s="385" t="s">
        <v>418</v>
      </c>
      <c r="C136" s="385" t="s">
        <v>1433</v>
      </c>
      <c r="D136" s="385" t="s">
        <v>89</v>
      </c>
      <c r="E136" s="385"/>
      <c r="F136" s="385"/>
      <c r="G136" s="385"/>
      <c r="H136" s="385">
        <v>2024</v>
      </c>
      <c r="I136" s="385" t="s">
        <v>4605</v>
      </c>
      <c r="J136" s="30"/>
      <c r="K136" s="385"/>
      <c r="L136" s="385"/>
      <c r="M136" s="385"/>
      <c r="N136" s="385"/>
      <c r="O136" s="385"/>
      <c r="P136" s="385" t="str">
        <f>IFERROR(
    IF(
        OR(ISBLANK(I136), ISBLANK(L136)),
        "",
        MAX(
            1,
            IF(
                NETWORKDAYS(I136, L136, Holiday_Dates) &lt;= 0,
                1,
                NETWORKDAYS(I136, L136, Holiday_Dates) - IF(I136 = L136, 0, 1)
            )
        )
    ),
    ""
)</f>
        <v/>
      </c>
      <c r="Q136" s="385" t="str">
        <f>IF(
    OR(ISBLANK(L136), ISBLANK(M136)),
    "",
    MAX(
        1,
        IF(
            NETWORKDAYS(L136, M136, Holiday_Dates) &lt;= 0,
            1,
            NETWORKDAYS(L136, M136, Holiday_Dates) - IF(L136 = M136, 0, 1)
        )
    )
)</f>
        <v/>
      </c>
      <c r="R136" s="385" t="str">
        <f>IFERROR(
    IF(
        OR(ISBLANK(N136), AND(ISBLANK(L136), ISBLANK(M136))),
        "",
        MAX(
            1,
            IF(
                NETWORKDAYS(IF(NOT(ISBLANK(M136)), M136, L136), N136, Holiday_Dates) &lt;= 0,
                1,
                NETWORKDAYS(IF(NOT(ISBLANK(M136)), M136, L136), N136, Holiday_Dates)
                - IF(IF(NOT(ISBLANK(M136)), M136, L136) = N136, 0, 1)
            )
        )
    ),
    ""
)</f>
        <v/>
      </c>
      <c r="S136" s="385" t="str">
        <f>IFERROR(
    IF(
        OR(ISBLANK(N136), ISBLANK(O136)),
        "",
        MAX(
            1,
            IF(
                NETWORKDAYS(N136, O136, Holiday_Dates) &lt;= 0,
                1,
                NETWORKDAYS(N136, O136, Holiday_Dates) - IF(N136 = O136, 0, 1)
            )
        )
    ),
    ""
)</f>
        <v/>
      </c>
      <c r="T136" s="385"/>
      <c r="U136" s="385" t="s">
        <v>672</v>
      </c>
      <c r="V136" s="385"/>
      <c r="W136" s="385" t="s">
        <v>1436</v>
      </c>
      <c r="X136" s="1"/>
    </row>
    <row r="137" spans="1:24">
      <c r="A137" s="385" t="s">
        <v>47</v>
      </c>
      <c r="B137" s="385" t="s">
        <v>418</v>
      </c>
      <c r="C137" s="385" t="s">
        <v>1437</v>
      </c>
      <c r="D137" s="385" t="s">
        <v>89</v>
      </c>
      <c r="E137" s="385"/>
      <c r="F137" s="385"/>
      <c r="G137" s="385"/>
      <c r="H137" s="385">
        <v>2024</v>
      </c>
      <c r="I137" s="385" t="s">
        <v>1670</v>
      </c>
      <c r="J137" s="30"/>
      <c r="K137" s="385"/>
      <c r="L137" s="385"/>
      <c r="M137" s="385"/>
      <c r="N137" s="385"/>
      <c r="O137" s="385"/>
      <c r="P137" s="385" t="str">
        <f>IFERROR(
    IF(
        OR(ISBLANK(I137), ISBLANK(L137)),
        "",
        MAX(
            1,
            IF(
                NETWORKDAYS(I137, L137, Holiday_Dates) &lt;= 0,
                1,
                NETWORKDAYS(I137, L137, Holiday_Dates) - IF(I137 = L137, 0, 1)
            )
        )
    ),
    ""
)</f>
        <v/>
      </c>
      <c r="Q137" s="385" t="str">
        <f>IF(
    OR(ISBLANK(L137), ISBLANK(M137)),
    "",
    MAX(
        1,
        IF(
            NETWORKDAYS(L137, M137, Holiday_Dates) &lt;= 0,
            1,
            NETWORKDAYS(L137, M137, Holiday_Dates) - IF(L137 = M137, 0, 1)
        )
    )
)</f>
        <v/>
      </c>
      <c r="R137" s="385" t="str">
        <f>IFERROR(
    IF(
        OR(ISBLANK(N137), AND(ISBLANK(L137), ISBLANK(M137))),
        "",
        MAX(
            1,
            IF(
                NETWORKDAYS(IF(NOT(ISBLANK(M137)), M137, L137), N137, Holiday_Dates) &lt;= 0,
                1,
                NETWORKDAYS(IF(NOT(ISBLANK(M137)), M137, L137), N137, Holiday_Dates)
                - IF(IF(NOT(ISBLANK(M137)), M137, L137) = N137, 0, 1)
            )
        )
    ),
    ""
)</f>
        <v/>
      </c>
      <c r="S137" s="385" t="str">
        <f>IFERROR(
    IF(
        OR(ISBLANK(N137), ISBLANK(O137)),
        "",
        MAX(
            1,
            IF(
                NETWORKDAYS(N137, O137, Holiday_Dates) &lt;= 0,
                1,
                NETWORKDAYS(N137, O137, Holiday_Dates) - IF(N137 = O137, 0, 1)
            )
        )
    ),
    ""
)</f>
        <v/>
      </c>
      <c r="T137" s="385"/>
      <c r="U137" s="385" t="s">
        <v>672</v>
      </c>
      <c r="V137" s="385"/>
      <c r="W137" s="385" t="s">
        <v>1436</v>
      </c>
      <c r="X137" s="1"/>
    </row>
    <row r="138" spans="1:24">
      <c r="A138" s="385" t="s">
        <v>47</v>
      </c>
      <c r="B138" s="385" t="s">
        <v>418</v>
      </c>
      <c r="C138" s="385" t="s">
        <v>1439</v>
      </c>
      <c r="D138" s="385" t="s">
        <v>89</v>
      </c>
      <c r="E138" s="385"/>
      <c r="F138" s="385"/>
      <c r="G138" s="385"/>
      <c r="H138" s="385">
        <v>2024</v>
      </c>
      <c r="I138" s="385" t="s">
        <v>1670</v>
      </c>
      <c r="J138" s="30"/>
      <c r="K138" s="385"/>
      <c r="L138" s="385"/>
      <c r="M138" s="385"/>
      <c r="N138" s="385"/>
      <c r="O138" s="385"/>
      <c r="P138" s="385" t="str">
        <f>IFERROR(
    IF(
        OR(ISBLANK(I138), ISBLANK(L138)),
        "",
        MAX(
            1,
            IF(
                NETWORKDAYS(I138, L138, Holiday_Dates) &lt;= 0,
                1,
                NETWORKDAYS(I138, L138, Holiday_Dates) - IF(I138 = L138, 0, 1)
            )
        )
    ),
    ""
)</f>
        <v/>
      </c>
      <c r="Q138" s="385" t="str">
        <f>IF(
    OR(ISBLANK(L138), ISBLANK(M138)),
    "",
    MAX(
        1,
        IF(
            NETWORKDAYS(L138, M138, Holiday_Dates) &lt;= 0,
            1,
            NETWORKDAYS(L138, M138, Holiday_Dates) - IF(L138 = M138, 0, 1)
        )
    )
)</f>
        <v/>
      </c>
      <c r="R138" s="385" t="str">
        <f>IFERROR(
    IF(
        OR(ISBLANK(N138), AND(ISBLANK(L138), ISBLANK(M138))),
        "",
        MAX(
            1,
            IF(
                NETWORKDAYS(IF(NOT(ISBLANK(M138)), M138, L138), N138, Holiday_Dates) &lt;= 0,
                1,
                NETWORKDAYS(IF(NOT(ISBLANK(M138)), M138, L138), N138, Holiday_Dates)
                - IF(IF(NOT(ISBLANK(M138)), M138, L138) = N138, 0, 1)
            )
        )
    ),
    ""
)</f>
        <v/>
      </c>
      <c r="S138" s="385" t="str">
        <f>IFERROR(
    IF(
        OR(ISBLANK(N138), ISBLANK(O138)),
        "",
        MAX(
            1,
            IF(
                NETWORKDAYS(N138, O138, Holiday_Dates) &lt;= 0,
                1,
                NETWORKDAYS(N138, O138, Holiday_Dates) - IF(N138 = O138, 0, 1)
            )
        )
    ),
    ""
)</f>
        <v/>
      </c>
      <c r="T138" s="385"/>
      <c r="U138" s="385" t="s">
        <v>672</v>
      </c>
      <c r="V138" s="385"/>
      <c r="W138" s="385" t="s">
        <v>1436</v>
      </c>
      <c r="X138" s="1"/>
    </row>
    <row r="139" spans="1:24">
      <c r="A139" s="385" t="s">
        <v>47</v>
      </c>
      <c r="B139" s="385" t="s">
        <v>418</v>
      </c>
      <c r="C139" s="385" t="s">
        <v>1441</v>
      </c>
      <c r="D139" s="385" t="s">
        <v>89</v>
      </c>
      <c r="E139" s="385"/>
      <c r="F139" s="385"/>
      <c r="G139" s="385"/>
      <c r="H139" s="385">
        <v>2024</v>
      </c>
      <c r="I139" s="386">
        <v>45569</v>
      </c>
      <c r="J139" s="30"/>
      <c r="K139" s="385"/>
      <c r="L139" s="385"/>
      <c r="M139" s="385"/>
      <c r="N139" s="385"/>
      <c r="O139" s="385"/>
      <c r="P139" s="385" t="str">
        <f>IFERROR(
    IF(
        OR(ISBLANK(I139), ISBLANK(L139)),
        "",
        MAX(
            1,
            IF(
                NETWORKDAYS(I139, L139, Holiday_Dates) &lt;= 0,
                1,
                NETWORKDAYS(I139, L139, Holiday_Dates) - IF(I139 = L139, 0, 1)
            )
        )
    ),
    ""
)</f>
        <v/>
      </c>
      <c r="Q139" s="385" t="str">
        <f>IF(
    OR(ISBLANK(L139), ISBLANK(M139)),
    "",
    MAX(
        1,
        IF(
            NETWORKDAYS(L139, M139, Holiday_Dates) &lt;= 0,
            1,
            NETWORKDAYS(L139, M139, Holiday_Dates) - IF(L139 = M139, 0, 1)
        )
    )
)</f>
        <v/>
      </c>
      <c r="R139" s="385" t="str">
        <f>IFERROR(
    IF(
        OR(ISBLANK(N139), AND(ISBLANK(L139), ISBLANK(M139))),
        "",
        MAX(
            1,
            IF(
                NETWORKDAYS(IF(NOT(ISBLANK(M139)), M139, L139), N139, Holiday_Dates) &lt;= 0,
                1,
                NETWORKDAYS(IF(NOT(ISBLANK(M139)), M139, L139), N139, Holiday_Dates)
                - IF(IF(NOT(ISBLANK(M139)), M139, L139) = N139, 0, 1)
            )
        )
    ),
    ""
)</f>
        <v/>
      </c>
      <c r="S139" s="385" t="str">
        <f>IFERROR(
    IF(
        OR(ISBLANK(N139), ISBLANK(O139)),
        "",
        MAX(
            1,
            IF(
                NETWORKDAYS(N139, O139, Holiday_Dates) &lt;= 0,
                1,
                NETWORKDAYS(N139, O139, Holiday_Dates) - IF(N139 = O139, 0, 1)
            )
        )
    ),
    ""
)</f>
        <v/>
      </c>
      <c r="T139" s="385"/>
      <c r="U139" s="385" t="s">
        <v>4</v>
      </c>
      <c r="V139" s="385" t="s">
        <v>101</v>
      </c>
      <c r="W139" s="385" t="s">
        <v>1436</v>
      </c>
      <c r="X139" s="1"/>
    </row>
    <row r="140" spans="1:24">
      <c r="A140" s="385" t="s">
        <v>47</v>
      </c>
      <c r="B140" s="385" t="s">
        <v>418</v>
      </c>
      <c r="C140" s="385" t="s">
        <v>1674</v>
      </c>
      <c r="D140" s="385" t="s">
        <v>89</v>
      </c>
      <c r="E140" s="385"/>
      <c r="F140" s="385"/>
      <c r="G140" s="385"/>
      <c r="H140" s="385">
        <v>2024</v>
      </c>
      <c r="I140" s="386">
        <v>45603</v>
      </c>
      <c r="J140" s="30"/>
      <c r="K140" s="385"/>
      <c r="L140" s="385"/>
      <c r="M140" s="385"/>
      <c r="N140" s="385"/>
      <c r="O140" s="385"/>
      <c r="P140" s="385" t="str">
        <f>IFERROR(
    IF(
        OR(ISBLANK(I140), ISBLANK(L140)),
        "",
        MAX(
            1,
            IF(
                NETWORKDAYS(I140, L140, Holiday_Dates) &lt;= 0,
                1,
                NETWORKDAYS(I140, L140, Holiday_Dates) - IF(I140 = L140, 0, 1)
            )
        )
    ),
    ""
)</f>
        <v/>
      </c>
      <c r="Q140" s="385" t="str">
        <f>IF(
    OR(ISBLANK(L140), ISBLANK(M140)),
    "",
    MAX(
        1,
        IF(
            NETWORKDAYS(L140, M140, Holiday_Dates) &lt;= 0,
            1,
            NETWORKDAYS(L140, M140, Holiday_Dates) - IF(L140 = M140, 0, 1)
        )
    )
)</f>
        <v/>
      </c>
      <c r="R140" s="385" t="str">
        <f>IFERROR(
    IF(
        OR(ISBLANK(N140), AND(ISBLANK(L140), ISBLANK(M140))),
        "",
        MAX(
            1,
            IF(
                NETWORKDAYS(IF(NOT(ISBLANK(M140)), M140, L140), N140, Holiday_Dates) &lt;= 0,
                1,
                NETWORKDAYS(IF(NOT(ISBLANK(M140)), M140, L140), N140, Holiday_Dates)
                - IF(IF(NOT(ISBLANK(M140)), M140, L140) = N140, 0, 1)
            )
        )
    ),
    ""
)</f>
        <v/>
      </c>
      <c r="S140" s="385" t="str">
        <f>IFERROR(
    IF(
        OR(ISBLANK(N140), ISBLANK(O140)),
        "",
        MAX(
            1,
            IF(
                NETWORKDAYS(N140, O140, Holiday_Dates) &lt;= 0,
                1,
                NETWORKDAYS(N140, O140, Holiday_Dates) - IF(N140 = O140, 0, 1)
            )
        )
    ),
    ""
)</f>
        <v/>
      </c>
      <c r="T140" s="385"/>
      <c r="U140" s="385" t="s">
        <v>672</v>
      </c>
      <c r="V140" s="385" t="s">
        <v>1676</v>
      </c>
      <c r="W140" s="385" t="s">
        <v>1436</v>
      </c>
      <c r="X140" s="1"/>
    </row>
    <row r="141" spans="1:24">
      <c r="A141" s="385" t="s">
        <v>47</v>
      </c>
      <c r="B141" s="385" t="s">
        <v>418</v>
      </c>
      <c r="C141" s="385" t="s">
        <v>1677</v>
      </c>
      <c r="D141" s="385" t="s">
        <v>89</v>
      </c>
      <c r="E141" s="385"/>
      <c r="F141" s="385"/>
      <c r="G141" s="385"/>
      <c r="H141" s="385">
        <v>2025</v>
      </c>
      <c r="I141" s="386">
        <v>45834</v>
      </c>
      <c r="J141" s="30" t="s">
        <v>4623</v>
      </c>
      <c r="K141" s="385"/>
      <c r="L141" s="385"/>
      <c r="M141" s="385"/>
      <c r="N141" s="385"/>
      <c r="O141" s="385"/>
      <c r="P141" s="385" t="str">
        <f>IFERROR(
    IF(
        OR(ISBLANK(I141), ISBLANK(L141)),
        "",
        MAX(
            1,
            IF(
                NETWORKDAYS(I141, L141, Holiday_Dates) &lt;= 0,
                1,
                NETWORKDAYS(I141, L141, Holiday_Dates) - IF(I141 = L141, 0, 1)
            )
        )
    ),
    ""
)</f>
        <v/>
      </c>
      <c r="Q141" s="385" t="str">
        <f>IF(
    OR(ISBLANK(L141), ISBLANK(M141)),
    "",
    MAX(
        1,
        IF(
            NETWORKDAYS(L141, M141, Holiday_Dates) &lt;= 0,
            1,
            NETWORKDAYS(L141, M141, Holiday_Dates) - IF(L141 = M141, 0, 1)
        )
    )
)</f>
        <v/>
      </c>
      <c r="R141" s="385" t="str">
        <f>IFERROR(
    IF(
        OR(ISBLANK(N141), AND(ISBLANK(L141), ISBLANK(M141))),
        "",
        MAX(
            1,
            IF(
                NETWORKDAYS(IF(NOT(ISBLANK(M141)), M141, L141), N141, Holiday_Dates) &lt;= 0,
                1,
                NETWORKDAYS(IF(NOT(ISBLANK(M141)), M141, L141), N141, Holiday_Dates)
                - IF(IF(NOT(ISBLANK(M141)), M141, L141) = N141, 0, 1)
            )
        )
    ),
    ""
)</f>
        <v/>
      </c>
      <c r="S141" s="385" t="str">
        <f>IFERROR(
    IF(
        OR(ISBLANK(N141), ISBLANK(O141)),
        "",
        MAX(
            1,
            IF(
                NETWORKDAYS(N141, O141, Holiday_Dates) &lt;= 0,
                1,
                NETWORKDAYS(N141, O141, Holiday_Dates) - IF(N141 = O141, 0, 1)
            )
        )
    ),
    ""
)</f>
        <v/>
      </c>
      <c r="T141" s="385"/>
      <c r="U141" s="385" t="s">
        <v>4</v>
      </c>
      <c r="V141" s="385" t="s">
        <v>108</v>
      </c>
      <c r="W141" s="385" t="s">
        <v>1436</v>
      </c>
      <c r="X141" s="1"/>
    </row>
    <row r="142" spans="1:24">
      <c r="A142" s="385" t="s">
        <v>47</v>
      </c>
      <c r="B142" s="385" t="s">
        <v>418</v>
      </c>
      <c r="C142" s="385" t="s">
        <v>1678</v>
      </c>
      <c r="D142" s="385" t="s">
        <v>89</v>
      </c>
      <c r="E142" s="385"/>
      <c r="F142" s="385"/>
      <c r="G142" s="385"/>
      <c r="H142" s="385">
        <v>2025</v>
      </c>
      <c r="I142" s="386">
        <v>45835</v>
      </c>
      <c r="J142" s="30" t="s">
        <v>4624</v>
      </c>
      <c r="K142" s="385"/>
      <c r="L142" s="385"/>
      <c r="M142" s="385"/>
      <c r="N142" s="385"/>
      <c r="O142" s="385"/>
      <c r="P142" s="385" t="str">
        <f>IFERROR(
    IF(
        OR(ISBLANK(I142), ISBLANK(L142)),
        "",
        MAX(
            1,
            IF(
                NETWORKDAYS(I142, L142, Holiday_Dates) &lt;= 0,
                1,
                NETWORKDAYS(I142, L142, Holiday_Dates) - IF(I142 = L142, 0, 1)
            )
        )
    ),
    ""
)</f>
        <v/>
      </c>
      <c r="Q142" s="385" t="str">
        <f>IF(
    OR(ISBLANK(L142), ISBLANK(M142)),
    "",
    MAX(
        1,
        IF(
            NETWORKDAYS(L142, M142, Holiday_Dates) &lt;= 0,
            1,
            NETWORKDAYS(L142, M142, Holiday_Dates) - IF(L142 = M142, 0, 1)
        )
    )
)</f>
        <v/>
      </c>
      <c r="R142" s="385" t="str">
        <f>IFERROR(
    IF(
        OR(ISBLANK(N142), AND(ISBLANK(L142), ISBLANK(M142))),
        "",
        MAX(
            1,
            IF(
                NETWORKDAYS(IF(NOT(ISBLANK(M142)), M142, L142), N142, Holiday_Dates) &lt;= 0,
                1,
                NETWORKDAYS(IF(NOT(ISBLANK(M142)), M142, L142), N142, Holiday_Dates)
                - IF(IF(NOT(ISBLANK(M142)), M142, L142) = N142, 0, 1)
            )
        )
    ),
    ""
)</f>
        <v/>
      </c>
      <c r="S142" s="385" t="str">
        <f>IFERROR(
    IF(
        OR(ISBLANK(N142), ISBLANK(O142)),
        "",
        MAX(
            1,
            IF(
                NETWORKDAYS(N142, O142, Holiday_Dates) &lt;= 0,
                1,
                NETWORKDAYS(N142, O142, Holiday_Dates) - IF(N142 = O142, 0, 1)
            )
        )
    ),
    ""
)</f>
        <v/>
      </c>
      <c r="T142" s="385"/>
      <c r="U142" s="385" t="s">
        <v>672</v>
      </c>
      <c r="V142" s="385" t="s">
        <v>108</v>
      </c>
      <c r="W142" s="385" t="s">
        <v>1436</v>
      </c>
      <c r="X142" s="1"/>
    </row>
    <row r="143" spans="1:24">
      <c r="A143" s="385" t="s">
        <v>47</v>
      </c>
      <c r="B143" s="385" t="s">
        <v>418</v>
      </c>
      <c r="C143" s="385" t="s">
        <v>1679</v>
      </c>
      <c r="D143" s="385" t="s">
        <v>89</v>
      </c>
      <c r="E143" s="385"/>
      <c r="F143" s="385"/>
      <c r="G143" s="385"/>
      <c r="H143" s="385">
        <v>2025</v>
      </c>
      <c r="I143" s="386">
        <v>45834</v>
      </c>
      <c r="J143" s="30" t="s">
        <v>4625</v>
      </c>
      <c r="K143" s="385"/>
      <c r="L143" s="385"/>
      <c r="M143" s="385"/>
      <c r="N143" s="385"/>
      <c r="O143" s="385"/>
      <c r="P143" s="385" t="str">
        <f>IFERROR(
    IF(
        OR(ISBLANK(I143), ISBLANK(L143)),
        "",
        MAX(
            1,
            IF(
                NETWORKDAYS(I143, L143, Holiday_Dates) &lt;= 0,
                1,
                NETWORKDAYS(I143, L143, Holiday_Dates) - IF(I143 = L143, 0, 1)
            )
        )
    ),
    ""
)</f>
        <v/>
      </c>
      <c r="Q143" s="385" t="str">
        <f>IF(
    OR(ISBLANK(L143), ISBLANK(M143)),
    "",
    MAX(
        1,
        IF(
            NETWORKDAYS(L143, M143, Holiday_Dates) &lt;= 0,
            1,
            NETWORKDAYS(L143, M143, Holiday_Dates) - IF(L143 = M143, 0, 1)
        )
    )
)</f>
        <v/>
      </c>
      <c r="R143" s="385" t="str">
        <f>IFERROR(
    IF(
        OR(ISBLANK(N143), AND(ISBLANK(L143), ISBLANK(M143))),
        "",
        MAX(
            1,
            IF(
                NETWORKDAYS(IF(NOT(ISBLANK(M143)), M143, L143), N143, Holiday_Dates) &lt;= 0,
                1,
                NETWORKDAYS(IF(NOT(ISBLANK(M143)), M143, L143), N143, Holiday_Dates)
                - IF(IF(NOT(ISBLANK(M143)), M143, L143) = N143, 0, 1)
            )
        )
    ),
    ""
)</f>
        <v/>
      </c>
      <c r="S143" s="385" t="str">
        <f>IFERROR(
    IF(
        OR(ISBLANK(N143), ISBLANK(O143)),
        "",
        MAX(
            1,
            IF(
                NETWORKDAYS(N143, O143, Holiday_Dates) &lt;= 0,
                1,
                NETWORKDAYS(N143, O143, Holiday_Dates) - IF(N143 = O143, 0, 1)
            )
        )
    ),
    ""
)</f>
        <v/>
      </c>
      <c r="T143" s="385"/>
      <c r="U143" s="385" t="s">
        <v>672</v>
      </c>
      <c r="V143" s="385" t="s">
        <v>108</v>
      </c>
      <c r="W143" s="385" t="s">
        <v>1436</v>
      </c>
      <c r="X143" s="1"/>
    </row>
    <row r="144" spans="1:24">
      <c r="A144" s="385" t="s">
        <v>47</v>
      </c>
      <c r="B144" s="385" t="s">
        <v>418</v>
      </c>
      <c r="C144" s="385" t="s">
        <v>1680</v>
      </c>
      <c r="D144" s="385" t="s">
        <v>89</v>
      </c>
      <c r="E144" s="385"/>
      <c r="F144" s="385"/>
      <c r="G144" s="385"/>
      <c r="H144" s="385">
        <v>2025</v>
      </c>
      <c r="I144" s="386">
        <v>45832</v>
      </c>
      <c r="J144" s="30" t="s">
        <v>4626</v>
      </c>
      <c r="K144" s="385"/>
      <c r="L144" s="385"/>
      <c r="M144" s="385"/>
      <c r="N144" s="385"/>
      <c r="O144" s="385"/>
      <c r="P144" s="385" t="str">
        <f>IFERROR(
    IF(
        OR(ISBLANK(I144), ISBLANK(L144)),
        "",
        MAX(
            1,
            IF(
                NETWORKDAYS(I144, L144, Holiday_Dates) &lt;= 0,
                1,
                NETWORKDAYS(I144, L144, Holiday_Dates) - IF(I144 = L144, 0, 1)
            )
        )
    ),
    ""
)</f>
        <v/>
      </c>
      <c r="Q144" s="385" t="str">
        <f>IF(
    OR(ISBLANK(L144), ISBLANK(M144)),
    "",
    MAX(
        1,
        IF(
            NETWORKDAYS(L144, M144, Holiday_Dates) &lt;= 0,
            1,
            NETWORKDAYS(L144, M144, Holiday_Dates) - IF(L144 = M144, 0, 1)
        )
    )
)</f>
        <v/>
      </c>
      <c r="R144" s="385" t="str">
        <f>IFERROR(
    IF(
        OR(ISBLANK(N144), AND(ISBLANK(L144), ISBLANK(M144))),
        "",
        MAX(
            1,
            IF(
                NETWORKDAYS(IF(NOT(ISBLANK(M144)), M144, L144), N144, Holiday_Dates) &lt;= 0,
                1,
                NETWORKDAYS(IF(NOT(ISBLANK(M144)), M144, L144), N144, Holiday_Dates)
                - IF(IF(NOT(ISBLANK(M144)), M144, L144) = N144, 0, 1)
            )
        )
    ),
    ""
)</f>
        <v/>
      </c>
      <c r="S144" s="385" t="str">
        <f>IFERROR(
    IF(
        OR(ISBLANK(N144), ISBLANK(O144)),
        "",
        MAX(
            1,
            IF(
                NETWORKDAYS(N144, O144, Holiday_Dates) &lt;= 0,
                1,
                NETWORKDAYS(N144, O144, Holiday_Dates) - IF(N144 = O144, 0, 1)
            )
        )
    ),
    ""
)</f>
        <v/>
      </c>
      <c r="T144" s="385"/>
      <c r="U144" s="385" t="s">
        <v>672</v>
      </c>
      <c r="V144" s="385" t="s">
        <v>1676</v>
      </c>
      <c r="W144" s="385" t="s">
        <v>1436</v>
      </c>
      <c r="X144" s="1"/>
    </row>
    <row r="145" spans="1:24">
      <c r="A145" s="385" t="s">
        <v>47</v>
      </c>
      <c r="B145" s="385" t="s">
        <v>418</v>
      </c>
      <c r="C145" s="385" t="s">
        <v>1681</v>
      </c>
      <c r="D145" s="385" t="s">
        <v>89</v>
      </c>
      <c r="E145" s="385"/>
      <c r="F145" s="385"/>
      <c r="G145" s="385"/>
      <c r="H145" s="385">
        <v>2024</v>
      </c>
      <c r="I145" s="385" t="s">
        <v>4605</v>
      </c>
      <c r="J145" s="30"/>
      <c r="K145" s="385"/>
      <c r="L145" s="385"/>
      <c r="M145" s="385"/>
      <c r="N145" s="385"/>
      <c r="O145" s="385"/>
      <c r="P145" s="385" t="str">
        <f>IFERROR(
    IF(
        OR(ISBLANK(I145), ISBLANK(L145)),
        "",
        MAX(
            1,
            IF(
                NETWORKDAYS(I145, L145, Holiday_Dates) &lt;= 0,
                1,
                NETWORKDAYS(I145, L145, Holiday_Dates) - IF(I145 = L145, 0, 1)
            )
        )
    ),
    ""
)</f>
        <v/>
      </c>
      <c r="Q145" s="385" t="str">
        <f>IF(
    OR(ISBLANK(L145), ISBLANK(M145)),
    "",
    MAX(
        1,
        IF(
            NETWORKDAYS(L145, M145, Holiday_Dates) &lt;= 0,
            1,
            NETWORKDAYS(L145, M145, Holiday_Dates) - IF(L145 = M145, 0, 1)
        )
    )
)</f>
        <v/>
      </c>
      <c r="R145" s="385" t="str">
        <f>IFERROR(
    IF(
        OR(ISBLANK(N145), AND(ISBLANK(L145), ISBLANK(M145))),
        "",
        MAX(
            1,
            IF(
                NETWORKDAYS(IF(NOT(ISBLANK(M145)), M145, L145), N145, Holiday_Dates) &lt;= 0,
                1,
                NETWORKDAYS(IF(NOT(ISBLANK(M145)), M145, L145), N145, Holiday_Dates)
                - IF(IF(NOT(ISBLANK(M145)), M145, L145) = N145, 0, 1)
            )
        )
    ),
    ""
)</f>
        <v/>
      </c>
      <c r="S145" s="385" t="str">
        <f>IFERROR(
    IF(
        OR(ISBLANK(N145), ISBLANK(O145)),
        "",
        MAX(
            1,
            IF(
                NETWORKDAYS(N145, O145, Holiday_Dates) &lt;= 0,
                1,
                NETWORKDAYS(N145, O145, Holiday_Dates) - IF(N145 = O145, 0, 1)
            )
        )
    ),
    ""
)</f>
        <v/>
      </c>
      <c r="T145" s="385"/>
      <c r="U145" s="385" t="s">
        <v>672</v>
      </c>
      <c r="V145" s="385"/>
      <c r="W145" s="385" t="s">
        <v>1436</v>
      </c>
      <c r="X145" s="1"/>
    </row>
    <row r="146" spans="1:24">
      <c r="A146" s="385" t="s">
        <v>47</v>
      </c>
      <c r="B146" s="385" t="s">
        <v>418</v>
      </c>
      <c r="C146" s="385" t="s">
        <v>1683</v>
      </c>
      <c r="D146" s="385" t="s">
        <v>89</v>
      </c>
      <c r="E146" s="385"/>
      <c r="F146" s="385"/>
      <c r="G146" s="385"/>
      <c r="H146" s="385">
        <v>2024</v>
      </c>
      <c r="I146" s="386">
        <v>45454</v>
      </c>
      <c r="J146" s="30"/>
      <c r="K146" s="385"/>
      <c r="L146" s="385"/>
      <c r="M146" s="385"/>
      <c r="N146" s="385"/>
      <c r="O146" s="385"/>
      <c r="P146" s="385" t="str">
        <f>IFERROR(
    IF(
        OR(ISBLANK(I146), ISBLANK(L146)),
        "",
        MAX(
            1,
            IF(
                NETWORKDAYS(I146, L146, Holiday_Dates) &lt;= 0,
                1,
                NETWORKDAYS(I146, L146, Holiday_Dates) - IF(I146 = L146, 0, 1)
            )
        )
    ),
    ""
)</f>
        <v/>
      </c>
      <c r="Q146" s="385" t="str">
        <f>IF(
    OR(ISBLANK(L146), ISBLANK(M146)),
    "",
    MAX(
        1,
        IF(
            NETWORKDAYS(L146, M146, Holiday_Dates) &lt;= 0,
            1,
            NETWORKDAYS(L146, M146, Holiday_Dates) - IF(L146 = M146, 0, 1)
        )
    )
)</f>
        <v/>
      </c>
      <c r="R146" s="385" t="str">
        <f>IFERROR(
    IF(
        OR(ISBLANK(N146), AND(ISBLANK(L146), ISBLANK(M146))),
        "",
        MAX(
            1,
            IF(
                NETWORKDAYS(IF(NOT(ISBLANK(M146)), M146, L146), N146, Holiday_Dates) &lt;= 0,
                1,
                NETWORKDAYS(IF(NOT(ISBLANK(M146)), M146, L146), N146, Holiday_Dates)
                - IF(IF(NOT(ISBLANK(M146)), M146, L146) = N146, 0, 1)
            )
        )
    ),
    ""
)</f>
        <v/>
      </c>
      <c r="S146" s="385" t="str">
        <f>IFERROR(
    IF(
        OR(ISBLANK(N146), ISBLANK(O146)),
        "",
        MAX(
            1,
            IF(
                NETWORKDAYS(N146, O146, Holiday_Dates) &lt;= 0,
                1,
                NETWORKDAYS(N146, O146, Holiday_Dates) - IF(N146 = O146, 0, 1)
            )
        )
    ),
    ""
)</f>
        <v/>
      </c>
      <c r="T146" s="385"/>
      <c r="U146" s="385" t="s">
        <v>672</v>
      </c>
      <c r="V146" s="385"/>
      <c r="W146" s="385" t="s">
        <v>1436</v>
      </c>
      <c r="X146" s="1"/>
    </row>
    <row r="147" spans="1:24">
      <c r="A147" s="385" t="s">
        <v>47</v>
      </c>
      <c r="B147" s="385" t="s">
        <v>418</v>
      </c>
      <c r="C147" s="385" t="s">
        <v>736</v>
      </c>
      <c r="D147" s="385" t="s">
        <v>89</v>
      </c>
      <c r="E147" s="385"/>
      <c r="F147" s="385"/>
      <c r="G147" s="385"/>
      <c r="H147" s="385">
        <v>2024</v>
      </c>
      <c r="I147" s="386">
        <v>45545</v>
      </c>
      <c r="J147" s="30"/>
      <c r="K147" s="385"/>
      <c r="L147" s="385"/>
      <c r="M147" s="385"/>
      <c r="N147" s="385"/>
      <c r="O147" s="385"/>
      <c r="P147" s="385" t="str">
        <f>IFERROR(
    IF(
        OR(ISBLANK(I147), ISBLANK(L147)),
        "",
        MAX(
            1,
            IF(
                NETWORKDAYS(I147, L147, Holiday_Dates) &lt;= 0,
                1,
                NETWORKDAYS(I147, L147, Holiday_Dates) - IF(I147 = L147, 0, 1)
            )
        )
    ),
    ""
)</f>
        <v/>
      </c>
      <c r="Q147" s="385" t="str">
        <f>IF(
    OR(ISBLANK(L147), ISBLANK(M147)),
    "",
    MAX(
        1,
        IF(
            NETWORKDAYS(L147, M147, Holiday_Dates) &lt;= 0,
            1,
            NETWORKDAYS(L147, M147, Holiday_Dates) - IF(L147 = M147, 0, 1)
        )
    )
)</f>
        <v/>
      </c>
      <c r="R147" s="385" t="str">
        <f>IFERROR(
    IF(
        OR(ISBLANK(N147), AND(ISBLANK(L147), ISBLANK(M147))),
        "",
        MAX(
            1,
            IF(
                NETWORKDAYS(IF(NOT(ISBLANK(M147)), M147, L147), N147, Holiday_Dates) &lt;= 0,
                1,
                NETWORKDAYS(IF(NOT(ISBLANK(M147)), M147, L147), N147, Holiday_Dates)
                - IF(IF(NOT(ISBLANK(M147)), M147, L147) = N147, 0, 1)
            )
        )
    ),
    ""
)</f>
        <v/>
      </c>
      <c r="S147" s="385" t="str">
        <f>IFERROR(
    IF(
        OR(ISBLANK(N147), ISBLANK(O147)),
        "",
        MAX(
            1,
            IF(
                NETWORKDAYS(N147, O147, Holiday_Dates) &lt;= 0,
                1,
                NETWORKDAYS(N147, O147, Holiday_Dates) - IF(N147 = O147, 0, 1)
            )
        )
    ),
    ""
)</f>
        <v/>
      </c>
      <c r="T147" s="385"/>
      <c r="U147" s="385" t="s">
        <v>4</v>
      </c>
      <c r="V147" s="385" t="s">
        <v>101</v>
      </c>
      <c r="W147" s="385" t="s">
        <v>1436</v>
      </c>
      <c r="X147" s="1"/>
    </row>
    <row r="148" spans="1:24">
      <c r="A148" s="385" t="s">
        <v>47</v>
      </c>
      <c r="B148" s="385" t="s">
        <v>418</v>
      </c>
      <c r="C148" s="385" t="s">
        <v>1686</v>
      </c>
      <c r="D148" s="385" t="s">
        <v>89</v>
      </c>
      <c r="E148" s="385"/>
      <c r="F148" s="385"/>
      <c r="G148" s="385"/>
      <c r="H148" s="385">
        <v>2024</v>
      </c>
      <c r="I148" s="386">
        <v>45393</v>
      </c>
      <c r="J148" s="30"/>
      <c r="K148" s="385"/>
      <c r="L148" s="385"/>
      <c r="M148" s="385"/>
      <c r="N148" s="385"/>
      <c r="O148" s="385"/>
      <c r="P148" s="385" t="str">
        <f>IFERROR(
    IF(
        OR(ISBLANK(I148), ISBLANK(L148)),
        "",
        MAX(
            1,
            IF(
                NETWORKDAYS(I148, L148, Holiday_Dates) &lt;= 0,
                1,
                NETWORKDAYS(I148, L148, Holiday_Dates) - IF(I148 = L148, 0, 1)
            )
        )
    ),
    ""
)</f>
        <v/>
      </c>
      <c r="Q148" s="385" t="str">
        <f>IF(
    OR(ISBLANK(L148), ISBLANK(M148)),
    "",
    MAX(
        1,
        IF(
            NETWORKDAYS(L148, M148, Holiday_Dates) &lt;= 0,
            1,
            NETWORKDAYS(L148, M148, Holiday_Dates) - IF(L148 = M148, 0, 1)
        )
    )
)</f>
        <v/>
      </c>
      <c r="R148" s="385" t="str">
        <f>IFERROR(
    IF(
        OR(ISBLANK(N148), AND(ISBLANK(L148), ISBLANK(M148))),
        "",
        MAX(
            1,
            IF(
                NETWORKDAYS(IF(NOT(ISBLANK(M148)), M148, L148), N148, Holiday_Dates) &lt;= 0,
                1,
                NETWORKDAYS(IF(NOT(ISBLANK(M148)), M148, L148), N148, Holiday_Dates)
                - IF(IF(NOT(ISBLANK(M148)), M148, L148) = N148, 0, 1)
            )
        )
    ),
    ""
)</f>
        <v/>
      </c>
      <c r="S148" s="385" t="str">
        <f>IFERROR(
    IF(
        OR(ISBLANK(N148), ISBLANK(O148)),
        "",
        MAX(
            1,
            IF(
                NETWORKDAYS(N148, O148, Holiday_Dates) &lt;= 0,
                1,
                NETWORKDAYS(N148, O148, Holiday_Dates) - IF(N148 = O148, 0, 1)
            )
        )
    ),
    ""
)</f>
        <v/>
      </c>
      <c r="T148" s="385"/>
      <c r="U148" s="385" t="s">
        <v>672</v>
      </c>
      <c r="V148" s="385"/>
      <c r="W148" s="385" t="s">
        <v>1436</v>
      </c>
      <c r="X148" s="1"/>
    </row>
    <row r="149" spans="1:24">
      <c r="A149" s="385" t="s">
        <v>47</v>
      </c>
      <c r="B149" s="385" t="s">
        <v>418</v>
      </c>
      <c r="C149" s="385" t="s">
        <v>1688</v>
      </c>
      <c r="D149" s="385" t="s">
        <v>89</v>
      </c>
      <c r="E149" s="385"/>
      <c r="F149" s="385"/>
      <c r="G149" s="385"/>
      <c r="H149" s="385">
        <v>2024</v>
      </c>
      <c r="I149" s="385" t="s">
        <v>4627</v>
      </c>
      <c r="J149" s="30"/>
      <c r="K149" s="385"/>
      <c r="L149" s="385"/>
      <c r="M149" s="385"/>
      <c r="N149" s="385"/>
      <c r="O149" s="385"/>
      <c r="P149" s="385" t="str">
        <f>IFERROR(
    IF(
        OR(ISBLANK(I149), ISBLANK(L149)),
        "",
        MAX(
            1,
            IF(
                NETWORKDAYS(I149, L149, Holiday_Dates) &lt;= 0,
                1,
                NETWORKDAYS(I149, L149, Holiday_Dates) - IF(I149 = L149, 0, 1)
            )
        )
    ),
    ""
)</f>
        <v/>
      </c>
      <c r="Q149" s="385" t="str">
        <f>IF(
    OR(ISBLANK(L149), ISBLANK(M149)),
    "",
    MAX(
        1,
        IF(
            NETWORKDAYS(L149, M149, Holiday_Dates) &lt;= 0,
            1,
            NETWORKDAYS(L149, M149, Holiday_Dates) - IF(L149 = M149, 0, 1)
        )
    )
)</f>
        <v/>
      </c>
      <c r="R149" s="385" t="str">
        <f>IFERROR(
    IF(
        OR(ISBLANK(N149), AND(ISBLANK(L149), ISBLANK(M149))),
        "",
        MAX(
            1,
            IF(
                NETWORKDAYS(IF(NOT(ISBLANK(M149)), M149, L149), N149, Holiday_Dates) &lt;= 0,
                1,
                NETWORKDAYS(IF(NOT(ISBLANK(M149)), M149, L149), N149, Holiday_Dates)
                - IF(IF(NOT(ISBLANK(M149)), M149, L149) = N149, 0, 1)
            )
        )
    ),
    ""
)</f>
        <v/>
      </c>
      <c r="S149" s="385" t="str">
        <f>IFERROR(
    IF(
        OR(ISBLANK(N149), ISBLANK(O149)),
        "",
        MAX(
            1,
            IF(
                NETWORKDAYS(N149, O149, Holiday_Dates) &lt;= 0,
                1,
                NETWORKDAYS(N149, O149, Holiday_Dates) - IF(N149 = O149, 0, 1)
            )
        )
    ),
    ""
)</f>
        <v/>
      </c>
      <c r="T149" s="385"/>
      <c r="U149" s="385" t="s">
        <v>672</v>
      </c>
      <c r="V149" s="385"/>
      <c r="W149" s="385" t="s">
        <v>1436</v>
      </c>
      <c r="X149" s="1"/>
    </row>
    <row r="150" spans="1:24">
      <c r="A150" s="385" t="s">
        <v>47</v>
      </c>
      <c r="B150" s="385" t="s">
        <v>418</v>
      </c>
      <c r="C150" s="385" t="s">
        <v>520</v>
      </c>
      <c r="D150" s="385" t="s">
        <v>89</v>
      </c>
      <c r="E150" s="385"/>
      <c r="F150" s="385"/>
      <c r="G150" s="385"/>
      <c r="H150" s="385">
        <v>2024</v>
      </c>
      <c r="I150" s="386">
        <v>45461</v>
      </c>
      <c r="J150" s="30"/>
      <c r="K150" s="385"/>
      <c r="L150" s="385"/>
      <c r="M150" s="385"/>
      <c r="N150" s="385"/>
      <c r="O150" s="385"/>
      <c r="P150" s="385" t="str">
        <f>IFERROR(
    IF(
        OR(ISBLANK(I150), ISBLANK(L150)),
        "",
        MAX(
            1,
            IF(
                NETWORKDAYS(I150, L150, Holiday_Dates) &lt;= 0,
                1,
                NETWORKDAYS(I150, L150, Holiday_Dates) - IF(I150 = L150, 0, 1)
            )
        )
    ),
    ""
)</f>
        <v/>
      </c>
      <c r="Q150" s="385" t="str">
        <f>IF(
    OR(ISBLANK(L150), ISBLANK(M150)),
    "",
    MAX(
        1,
        IF(
            NETWORKDAYS(L150, M150, Holiday_Dates) &lt;= 0,
            1,
            NETWORKDAYS(L150, M150, Holiday_Dates) - IF(L150 = M150, 0, 1)
        )
    )
)</f>
        <v/>
      </c>
      <c r="R150" s="385" t="str">
        <f>IFERROR(
    IF(
        OR(ISBLANK(N150), AND(ISBLANK(L150), ISBLANK(M150))),
        "",
        MAX(
            1,
            IF(
                NETWORKDAYS(IF(NOT(ISBLANK(M150)), M150, L150), N150, Holiday_Dates) &lt;= 0,
                1,
                NETWORKDAYS(IF(NOT(ISBLANK(M150)), M150, L150), N150, Holiday_Dates)
                - IF(IF(NOT(ISBLANK(M150)), M150, L150) = N150, 0, 1)
            )
        )
    ),
    ""
)</f>
        <v/>
      </c>
      <c r="S150" s="385" t="str">
        <f>IFERROR(
    IF(
        OR(ISBLANK(N150), ISBLANK(O150)),
        "",
        MAX(
            1,
            IF(
                NETWORKDAYS(N150, O150, Holiday_Dates) &lt;= 0,
                1,
                NETWORKDAYS(N150, O150, Holiday_Dates) - IF(N150 = O150, 0, 1)
            )
        )
    ),
    ""
)</f>
        <v/>
      </c>
      <c r="T150" s="385"/>
      <c r="U150" s="385" t="s">
        <v>672</v>
      </c>
      <c r="V150" s="385"/>
      <c r="W150" s="385" t="s">
        <v>1436</v>
      </c>
      <c r="X150" s="1"/>
    </row>
    <row r="151" spans="1:24">
      <c r="A151" s="385" t="s">
        <v>47</v>
      </c>
      <c r="B151" s="385" t="s">
        <v>418</v>
      </c>
      <c r="C151" s="385" t="s">
        <v>427</v>
      </c>
      <c r="D151" s="385" t="s">
        <v>89</v>
      </c>
      <c r="E151" s="385"/>
      <c r="F151" s="385"/>
      <c r="G151" s="385"/>
      <c r="H151" s="385">
        <v>2024</v>
      </c>
      <c r="I151" s="386">
        <v>45545</v>
      </c>
      <c r="J151" s="30"/>
      <c r="K151" s="385"/>
      <c r="L151" s="385"/>
      <c r="M151" s="385"/>
      <c r="N151" s="385"/>
      <c r="O151" s="385"/>
      <c r="P151" s="385" t="str">
        <f>IFERROR(
    IF(
        OR(ISBLANK(I151), ISBLANK(L151)),
        "",
        MAX(
            1,
            IF(
                NETWORKDAYS(I151, L151, Holiday_Dates) &lt;= 0,
                1,
                NETWORKDAYS(I151, L151, Holiday_Dates) - IF(I151 = L151, 0, 1)
            )
        )
    ),
    ""
)</f>
        <v/>
      </c>
      <c r="Q151" s="385" t="str">
        <f>IF(
    OR(ISBLANK(L151), ISBLANK(M151)),
    "",
    MAX(
        1,
        IF(
            NETWORKDAYS(L151, M151, Holiday_Dates) &lt;= 0,
            1,
            NETWORKDAYS(L151, M151, Holiday_Dates) - IF(L151 = M151, 0, 1)
        )
    )
)</f>
        <v/>
      </c>
      <c r="R151" s="385" t="str">
        <f>IFERROR(
    IF(
        OR(ISBLANK(N151), AND(ISBLANK(L151), ISBLANK(M151))),
        "",
        MAX(
            1,
            IF(
                NETWORKDAYS(IF(NOT(ISBLANK(M151)), M151, L151), N151, Holiday_Dates) &lt;= 0,
                1,
                NETWORKDAYS(IF(NOT(ISBLANK(M151)), M151, L151), N151, Holiday_Dates)
                - IF(IF(NOT(ISBLANK(M151)), M151, L151) = N151, 0, 1)
            )
        )
    ),
    ""
)</f>
        <v/>
      </c>
      <c r="S151" s="385" t="str">
        <f>IFERROR(
    IF(
        OR(ISBLANK(N151), ISBLANK(O151)),
        "",
        MAX(
            1,
            IF(
                NETWORKDAYS(N151, O151, Holiday_Dates) &lt;= 0,
                1,
                NETWORKDAYS(N151, O151, Holiday_Dates) - IF(N151 = O151, 0, 1)
            )
        )
    ),
    ""
)</f>
        <v/>
      </c>
      <c r="T151" s="385"/>
      <c r="U151" s="385" t="s">
        <v>4</v>
      </c>
      <c r="V151" s="385" t="s">
        <v>101</v>
      </c>
      <c r="W151" s="385" t="s">
        <v>1436</v>
      </c>
      <c r="X151" s="1"/>
    </row>
    <row r="152" spans="1:24">
      <c r="A152" s="385" t="s">
        <v>47</v>
      </c>
      <c r="B152" s="385" t="s">
        <v>418</v>
      </c>
      <c r="C152" s="385" t="s">
        <v>1692</v>
      </c>
      <c r="D152" s="385" t="s">
        <v>89</v>
      </c>
      <c r="E152" s="385"/>
      <c r="F152" s="385"/>
      <c r="G152" s="385"/>
      <c r="H152" s="385">
        <v>2024</v>
      </c>
      <c r="I152" s="386">
        <v>45428</v>
      </c>
      <c r="J152" s="30"/>
      <c r="K152" s="385"/>
      <c r="L152" s="385"/>
      <c r="M152" s="385"/>
      <c r="N152" s="385"/>
      <c r="O152" s="385"/>
      <c r="P152" s="385" t="str">
        <f>IFERROR(
    IF(
        OR(ISBLANK(I152), ISBLANK(L152)),
        "",
        MAX(
            1,
            IF(
                NETWORKDAYS(I152, L152, Holiday_Dates) &lt;= 0,
                1,
                NETWORKDAYS(I152, L152, Holiday_Dates) - IF(I152 = L152, 0, 1)
            )
        )
    ),
    ""
)</f>
        <v/>
      </c>
      <c r="Q152" s="385" t="str">
        <f>IF(
    OR(ISBLANK(L152), ISBLANK(M152)),
    "",
    MAX(
        1,
        IF(
            NETWORKDAYS(L152, M152, Holiday_Dates) &lt;= 0,
            1,
            NETWORKDAYS(L152, M152, Holiday_Dates) - IF(L152 = M152, 0, 1)
        )
    )
)</f>
        <v/>
      </c>
      <c r="R152" s="385" t="str">
        <f>IFERROR(
    IF(
        OR(ISBLANK(N152), AND(ISBLANK(L152), ISBLANK(M152))),
        "",
        MAX(
            1,
            IF(
                NETWORKDAYS(IF(NOT(ISBLANK(M152)), M152, L152), N152, Holiday_Dates) &lt;= 0,
                1,
                NETWORKDAYS(IF(NOT(ISBLANK(M152)), M152, L152), N152, Holiday_Dates)
                - IF(IF(NOT(ISBLANK(M152)), M152, L152) = N152, 0, 1)
            )
        )
    ),
    ""
)</f>
        <v/>
      </c>
      <c r="S152" s="385" t="str">
        <f>IFERROR(
    IF(
        OR(ISBLANK(N152), ISBLANK(O152)),
        "",
        MAX(
            1,
            IF(
                NETWORKDAYS(N152, O152, Holiday_Dates) &lt;= 0,
                1,
                NETWORKDAYS(N152, O152, Holiday_Dates) - IF(N152 = O152, 0, 1)
            )
        )
    ),
    ""
)</f>
        <v/>
      </c>
      <c r="T152" s="385"/>
      <c r="U152" s="385" t="s">
        <v>672</v>
      </c>
      <c r="V152" s="385"/>
      <c r="W152" s="385" t="s">
        <v>1436</v>
      </c>
      <c r="X152" s="1"/>
    </row>
    <row r="153" spans="1:24">
      <c r="A153" s="385" t="s">
        <v>48</v>
      </c>
      <c r="B153" s="385" t="s">
        <v>477</v>
      </c>
      <c r="C153" s="385" t="s">
        <v>1694</v>
      </c>
      <c r="D153" s="385" t="s">
        <v>88</v>
      </c>
      <c r="E153" s="385"/>
      <c r="F153" s="385"/>
      <c r="G153" s="385"/>
      <c r="H153" s="385">
        <v>2024</v>
      </c>
      <c r="I153" s="385" t="s">
        <v>1695</v>
      </c>
      <c r="J153" s="30"/>
      <c r="K153" s="385"/>
      <c r="L153" s="385"/>
      <c r="M153" s="385"/>
      <c r="N153" s="385"/>
      <c r="O153" s="385"/>
      <c r="P153" s="385" t="str">
        <f>IFERROR(
    IF(
        OR(ISBLANK(I153), ISBLANK(L153)),
        "",
        MAX(
            1,
            IF(
                NETWORKDAYS(I153, L153, Holiday_Dates) &lt;= 0,
                1,
                NETWORKDAYS(I153, L153, Holiday_Dates) - IF(I153 = L153, 0, 1)
            )
        )
    ),
    ""
)</f>
        <v/>
      </c>
      <c r="Q153" s="385" t="str">
        <f>IF(
    OR(ISBLANK(L153), ISBLANK(M153)),
    "",
    MAX(
        1,
        IF(
            NETWORKDAYS(L153, M153, Holiday_Dates) &lt;= 0,
            1,
            NETWORKDAYS(L153, M153, Holiday_Dates) - IF(L153 = M153, 0, 1)
        )
    )
)</f>
        <v/>
      </c>
      <c r="R153" s="385" t="str">
        <f>IFERROR(
    IF(
        OR(ISBLANK(N153), AND(ISBLANK(L153), ISBLANK(M153))),
        "",
        MAX(
            1,
            IF(
                NETWORKDAYS(IF(NOT(ISBLANK(M153)), M153, L153), N153, Holiday_Dates) &lt;= 0,
                1,
                NETWORKDAYS(IF(NOT(ISBLANK(M153)), M153, L153), N153, Holiday_Dates)
                - IF(IF(NOT(ISBLANK(M153)), M153, L153) = N153, 0, 1)
            )
        )
    ),
    ""
)</f>
        <v/>
      </c>
      <c r="S153" s="385" t="str">
        <f>IFERROR(
    IF(
        OR(ISBLANK(N153), ISBLANK(O153)),
        "",
        MAX(
            1,
            IF(
                NETWORKDAYS(N153, O153, Holiday_Dates) &lt;= 0,
                1,
                NETWORKDAYS(N153, O153, Holiday_Dates) - IF(N153 = O153, 0, 1)
            )
        )
    ),
    ""
)</f>
        <v/>
      </c>
      <c r="T153" s="385"/>
      <c r="U153" s="385" t="s">
        <v>672</v>
      </c>
      <c r="V153" s="385" t="s">
        <v>101</v>
      </c>
      <c r="W153" s="385" t="s">
        <v>1436</v>
      </c>
      <c r="X153" s="1"/>
    </row>
    <row r="154" spans="1:24">
      <c r="A154" s="385" t="s">
        <v>48</v>
      </c>
      <c r="B154" s="385" t="s">
        <v>477</v>
      </c>
      <c r="C154" s="385" t="s">
        <v>1698</v>
      </c>
      <c r="D154" s="385" t="s">
        <v>88</v>
      </c>
      <c r="E154" s="385"/>
      <c r="F154" s="385"/>
      <c r="G154" s="385"/>
      <c r="H154" s="385">
        <v>2024</v>
      </c>
      <c r="I154" s="385" t="s">
        <v>4628</v>
      </c>
      <c r="J154" s="30"/>
      <c r="K154" s="385"/>
      <c r="L154" s="385"/>
      <c r="M154" s="385"/>
      <c r="N154" s="385"/>
      <c r="O154" s="385"/>
      <c r="P154" s="385" t="str">
        <f>IFERROR(
    IF(
        OR(ISBLANK(I154), ISBLANK(L154)),
        "",
        MAX(
            1,
            IF(
                NETWORKDAYS(I154, L154, Holiday_Dates) &lt;= 0,
                1,
                NETWORKDAYS(I154, L154, Holiday_Dates) - IF(I154 = L154, 0, 1)
            )
        )
    ),
    ""
)</f>
        <v/>
      </c>
      <c r="Q154" s="385" t="str">
        <f>IF(
    OR(ISBLANK(L154), ISBLANK(M154)),
    "",
    MAX(
        1,
        IF(
            NETWORKDAYS(L154, M154, Holiday_Dates) &lt;= 0,
            1,
            NETWORKDAYS(L154, M154, Holiday_Dates) - IF(L154 = M154, 0, 1)
        )
    )
)</f>
        <v/>
      </c>
      <c r="R154" s="385" t="str">
        <f>IFERROR(
    IF(
        OR(ISBLANK(N154), AND(ISBLANK(L154), ISBLANK(M154))),
        "",
        MAX(
            1,
            IF(
                NETWORKDAYS(IF(NOT(ISBLANK(M154)), M154, L154), N154, Holiday_Dates) &lt;= 0,
                1,
                NETWORKDAYS(IF(NOT(ISBLANK(M154)), M154, L154), N154, Holiday_Dates)
                - IF(IF(NOT(ISBLANK(M154)), M154, L154) = N154, 0, 1)
            )
        )
    ),
    ""
)</f>
        <v/>
      </c>
      <c r="S154" s="385" t="str">
        <f>IFERROR(
    IF(
        OR(ISBLANK(N154), ISBLANK(O154)),
        "",
        MAX(
            1,
            IF(
                NETWORKDAYS(N154, O154, Holiday_Dates) &lt;= 0,
                1,
                NETWORKDAYS(N154, O154, Holiday_Dates) - IF(N154 = O154, 0, 1)
            )
        )
    ),
    ""
)</f>
        <v/>
      </c>
      <c r="T154" s="385"/>
      <c r="U154" s="385" t="s">
        <v>4</v>
      </c>
      <c r="V154" s="385" t="s">
        <v>101</v>
      </c>
      <c r="W154" s="385" t="s">
        <v>1436</v>
      </c>
      <c r="X154" s="1"/>
    </row>
    <row r="155" spans="1:24">
      <c r="A155" s="385" t="s">
        <v>48</v>
      </c>
      <c r="B155" s="385" t="s">
        <v>477</v>
      </c>
      <c r="C155" s="385" t="s">
        <v>817</v>
      </c>
      <c r="D155" s="385" t="s">
        <v>88</v>
      </c>
      <c r="E155" s="385"/>
      <c r="F155" s="385"/>
      <c r="G155" s="385"/>
      <c r="H155" s="385">
        <v>2024</v>
      </c>
      <c r="I155" s="385" t="s">
        <v>1700</v>
      </c>
      <c r="J155" s="30"/>
      <c r="K155" s="385"/>
      <c r="L155" s="385"/>
      <c r="M155" s="385"/>
      <c r="N155" s="385"/>
      <c r="O155" s="385"/>
      <c r="P155" s="385" t="str">
        <f>IFERROR(
    IF(
        OR(ISBLANK(I155), ISBLANK(L155)),
        "",
        MAX(
            1,
            IF(
                NETWORKDAYS(I155, L155, Holiday_Dates) &lt;= 0,
                1,
                NETWORKDAYS(I155, L155, Holiday_Dates) - IF(I155 = L155, 0, 1)
            )
        )
    ),
    ""
)</f>
        <v/>
      </c>
      <c r="Q155" s="385" t="str">
        <f>IF(
    OR(ISBLANK(L155), ISBLANK(M155)),
    "",
    MAX(
        1,
        IF(
            NETWORKDAYS(L155, M155, Holiday_Dates) &lt;= 0,
            1,
            NETWORKDAYS(L155, M155, Holiday_Dates) - IF(L155 = M155, 0, 1)
        )
    )
)</f>
        <v/>
      </c>
      <c r="R155" s="385" t="str">
        <f>IFERROR(
    IF(
        OR(ISBLANK(N155), AND(ISBLANK(L155), ISBLANK(M155))),
        "",
        MAX(
            1,
            IF(
                NETWORKDAYS(IF(NOT(ISBLANK(M155)), M155, L155), N155, Holiday_Dates) &lt;= 0,
                1,
                NETWORKDAYS(IF(NOT(ISBLANK(M155)), M155, L155), N155, Holiday_Dates)
                - IF(IF(NOT(ISBLANK(M155)), M155, L155) = N155, 0, 1)
            )
        )
    ),
    ""
)</f>
        <v/>
      </c>
      <c r="S155" s="385" t="str">
        <f>IFERROR(
    IF(
        OR(ISBLANK(N155), ISBLANK(O155)),
        "",
        MAX(
            1,
            IF(
                NETWORKDAYS(N155, O155, Holiday_Dates) &lt;= 0,
                1,
                NETWORKDAYS(N155, O155, Holiday_Dates) - IF(N155 = O155, 0, 1)
            )
        )
    ),
    ""
)</f>
        <v/>
      </c>
      <c r="T155" s="385"/>
      <c r="U155" s="385" t="s">
        <v>672</v>
      </c>
      <c r="V155" s="385" t="s">
        <v>1676</v>
      </c>
      <c r="W155" s="385" t="s">
        <v>1436</v>
      </c>
      <c r="X155" s="1"/>
    </row>
    <row r="156" spans="1:24">
      <c r="A156" s="385" t="s">
        <v>48</v>
      </c>
      <c r="B156" s="385" t="s">
        <v>477</v>
      </c>
      <c r="C156" s="385" t="s">
        <v>1704</v>
      </c>
      <c r="D156" s="385" t="s">
        <v>88</v>
      </c>
      <c r="E156" s="385"/>
      <c r="F156" s="385"/>
      <c r="G156" s="385"/>
      <c r="H156" s="385">
        <v>2024</v>
      </c>
      <c r="I156" s="385" t="s">
        <v>4629</v>
      </c>
      <c r="J156" s="30"/>
      <c r="K156" s="385"/>
      <c r="L156" s="385"/>
      <c r="M156" s="385"/>
      <c r="N156" s="385"/>
      <c r="O156" s="385"/>
      <c r="P156" s="385" t="str">
        <f>IFERROR(
    IF(
        OR(ISBLANK(I156), ISBLANK(L156)),
        "",
        MAX(
            1,
            IF(
                NETWORKDAYS(I156, L156, Holiday_Dates) &lt;= 0,
                1,
                NETWORKDAYS(I156, L156, Holiday_Dates) - IF(I156 = L156, 0, 1)
            )
        )
    ),
    ""
)</f>
        <v/>
      </c>
      <c r="Q156" s="385" t="str">
        <f>IF(
    OR(ISBLANK(L156), ISBLANK(M156)),
    "",
    MAX(
        1,
        IF(
            NETWORKDAYS(L156, M156, Holiday_Dates) &lt;= 0,
            1,
            NETWORKDAYS(L156, M156, Holiday_Dates) - IF(L156 = M156, 0, 1)
        )
    )
)</f>
        <v/>
      </c>
      <c r="R156" s="385" t="str">
        <f>IFERROR(
    IF(
        OR(ISBLANK(N156), AND(ISBLANK(L156), ISBLANK(M156))),
        "",
        MAX(
            1,
            IF(
                NETWORKDAYS(IF(NOT(ISBLANK(M156)), M156, L156), N156, Holiday_Dates) &lt;= 0,
                1,
                NETWORKDAYS(IF(NOT(ISBLANK(M156)), M156, L156), N156, Holiday_Dates)
                - IF(IF(NOT(ISBLANK(M156)), M156, L156) = N156, 0, 1)
            )
        )
    ),
    ""
)</f>
        <v/>
      </c>
      <c r="S156" s="385" t="str">
        <f>IFERROR(
    IF(
        OR(ISBLANK(N156), ISBLANK(O156)),
        "",
        MAX(
            1,
            IF(
                NETWORKDAYS(N156, O156, Holiday_Dates) &lt;= 0,
                1,
                NETWORKDAYS(N156, O156, Holiday_Dates) - IF(N156 = O156, 0, 1)
            )
        )
    ),
    ""
)</f>
        <v/>
      </c>
      <c r="T156" s="385"/>
      <c r="U156" s="385" t="s">
        <v>672</v>
      </c>
      <c r="V156" s="385" t="s">
        <v>101</v>
      </c>
      <c r="W156" s="385" t="s">
        <v>1436</v>
      </c>
      <c r="X156" s="1"/>
    </row>
    <row r="157" spans="1:24">
      <c r="A157" s="385" t="s">
        <v>48</v>
      </c>
      <c r="B157" s="385" t="s">
        <v>477</v>
      </c>
      <c r="C157" s="385" t="s">
        <v>1706</v>
      </c>
      <c r="D157" s="385" t="s">
        <v>88</v>
      </c>
      <c r="E157" s="385"/>
      <c r="F157" s="385"/>
      <c r="G157" s="385"/>
      <c r="H157" s="385">
        <v>2024</v>
      </c>
      <c r="I157" s="385" t="s">
        <v>1707</v>
      </c>
      <c r="J157" s="30"/>
      <c r="K157" s="385"/>
      <c r="L157" s="385"/>
      <c r="M157" s="385"/>
      <c r="N157" s="385"/>
      <c r="O157" s="385"/>
      <c r="P157" s="385" t="str">
        <f>IFERROR(
    IF(
        OR(ISBLANK(I157), ISBLANK(L157)),
        "",
        MAX(
            1,
            IF(
                NETWORKDAYS(I157, L157, Holiday_Dates) &lt;= 0,
                1,
                NETWORKDAYS(I157, L157, Holiday_Dates) - IF(I157 = L157, 0, 1)
            )
        )
    ),
    ""
)</f>
        <v/>
      </c>
      <c r="Q157" s="385" t="str">
        <f>IF(
    OR(ISBLANK(L157), ISBLANK(M157)),
    "",
    MAX(
        1,
        IF(
            NETWORKDAYS(L157, M157, Holiday_Dates) &lt;= 0,
            1,
            NETWORKDAYS(L157, M157, Holiday_Dates) - IF(L157 = M157, 0, 1)
        )
    )
)</f>
        <v/>
      </c>
      <c r="R157" s="385" t="str">
        <f>IFERROR(
    IF(
        OR(ISBLANK(N157), AND(ISBLANK(L157), ISBLANK(M157))),
        "",
        MAX(
            1,
            IF(
                NETWORKDAYS(IF(NOT(ISBLANK(M157)), M157, L157), N157, Holiday_Dates) &lt;= 0,
                1,
                NETWORKDAYS(IF(NOT(ISBLANK(M157)), M157, L157), N157, Holiday_Dates)
                - IF(IF(NOT(ISBLANK(M157)), M157, L157) = N157, 0, 1)
            )
        )
    ),
    ""
)</f>
        <v/>
      </c>
      <c r="S157" s="385" t="str">
        <f>IFERROR(
    IF(
        OR(ISBLANK(N157), ISBLANK(O157)),
        "",
        MAX(
            1,
            IF(
                NETWORKDAYS(N157, O157, Holiday_Dates) &lt;= 0,
                1,
                NETWORKDAYS(N157, O157, Holiday_Dates) - IF(N157 = O157, 0, 1)
            )
        )
    ),
    ""
)</f>
        <v/>
      </c>
      <c r="T157" s="385"/>
      <c r="U157" s="385" t="s">
        <v>672</v>
      </c>
      <c r="V157" s="385" t="s">
        <v>101</v>
      </c>
      <c r="W157" s="385" t="s">
        <v>1436</v>
      </c>
      <c r="X157" s="1"/>
    </row>
    <row r="158" spans="1:24">
      <c r="A158" s="385" t="s">
        <v>48</v>
      </c>
      <c r="B158" s="385" t="s">
        <v>477</v>
      </c>
      <c r="C158" s="385" t="s">
        <v>1711</v>
      </c>
      <c r="D158" s="385" t="s">
        <v>88</v>
      </c>
      <c r="E158" s="385"/>
      <c r="F158" s="385"/>
      <c r="G158" s="385"/>
      <c r="H158" s="385">
        <v>2024</v>
      </c>
      <c r="I158" s="385" t="s">
        <v>4630</v>
      </c>
      <c r="J158" s="30"/>
      <c r="K158" s="385"/>
      <c r="L158" s="385"/>
      <c r="M158" s="385"/>
      <c r="N158" s="385"/>
      <c r="O158" s="385"/>
      <c r="P158" s="385" t="str">
        <f>IFERROR(
    IF(
        OR(ISBLANK(I158), ISBLANK(L158)),
        "",
        MAX(
            1,
            IF(
                NETWORKDAYS(I158, L158, Holiday_Dates) &lt;= 0,
                1,
                NETWORKDAYS(I158, L158, Holiday_Dates) - IF(I158 = L158, 0, 1)
            )
        )
    ),
    ""
)</f>
        <v/>
      </c>
      <c r="Q158" s="385" t="str">
        <f>IF(
    OR(ISBLANK(L158), ISBLANK(M158)),
    "",
    MAX(
        1,
        IF(
            NETWORKDAYS(L158, M158, Holiday_Dates) &lt;= 0,
            1,
            NETWORKDAYS(L158, M158, Holiday_Dates) - IF(L158 = M158, 0, 1)
        )
    )
)</f>
        <v/>
      </c>
      <c r="R158" s="385" t="str">
        <f>IFERROR(
    IF(
        OR(ISBLANK(N158), AND(ISBLANK(L158), ISBLANK(M158))),
        "",
        MAX(
            1,
            IF(
                NETWORKDAYS(IF(NOT(ISBLANK(M158)), M158, L158), N158, Holiday_Dates) &lt;= 0,
                1,
                NETWORKDAYS(IF(NOT(ISBLANK(M158)), M158, L158), N158, Holiday_Dates)
                - IF(IF(NOT(ISBLANK(M158)), M158, L158) = N158, 0, 1)
            )
        )
    ),
    ""
)</f>
        <v/>
      </c>
      <c r="S158" s="385" t="str">
        <f>IFERROR(
    IF(
        OR(ISBLANK(N158), ISBLANK(O158)),
        "",
        MAX(
            1,
            IF(
                NETWORKDAYS(N158, O158, Holiday_Dates) &lt;= 0,
                1,
                NETWORKDAYS(N158, O158, Holiday_Dates) - IF(N158 = O158, 0, 1)
            )
        )
    ),
    ""
)</f>
        <v/>
      </c>
      <c r="T158" s="385"/>
      <c r="U158" s="385" t="s">
        <v>672</v>
      </c>
      <c r="V158" s="385" t="s">
        <v>101</v>
      </c>
      <c r="W158" s="385" t="s">
        <v>1436</v>
      </c>
      <c r="X158" s="1"/>
    </row>
    <row r="159" spans="1:24">
      <c r="A159" s="385" t="s">
        <v>48</v>
      </c>
      <c r="B159" s="385" t="s">
        <v>477</v>
      </c>
      <c r="C159" s="385" t="s">
        <v>1713</v>
      </c>
      <c r="D159" s="385" t="s">
        <v>88</v>
      </c>
      <c r="E159" s="385"/>
      <c r="F159" s="385"/>
      <c r="G159" s="385"/>
      <c r="H159" s="385">
        <v>2024</v>
      </c>
      <c r="I159" s="385" t="s">
        <v>4630</v>
      </c>
      <c r="J159" s="30"/>
      <c r="K159" s="385"/>
      <c r="L159" s="385"/>
      <c r="M159" s="385"/>
      <c r="N159" s="385"/>
      <c r="O159" s="385"/>
      <c r="P159" s="385" t="str">
        <f>IFERROR(
    IF(
        OR(ISBLANK(I159), ISBLANK(L159)),
        "",
        MAX(
            1,
            IF(
                NETWORKDAYS(I159, L159, Holiday_Dates) &lt;= 0,
                1,
                NETWORKDAYS(I159, L159, Holiday_Dates) - IF(I159 = L159, 0, 1)
            )
        )
    ),
    ""
)</f>
        <v/>
      </c>
      <c r="Q159" s="385" t="str">
        <f>IF(
    OR(ISBLANK(L159), ISBLANK(M159)),
    "",
    MAX(
        1,
        IF(
            NETWORKDAYS(L159, M159, Holiday_Dates) &lt;= 0,
            1,
            NETWORKDAYS(L159, M159, Holiday_Dates) - IF(L159 = M159, 0, 1)
        )
    )
)</f>
        <v/>
      </c>
      <c r="R159" s="385" t="str">
        <f>IFERROR(
    IF(
        OR(ISBLANK(N159), AND(ISBLANK(L159), ISBLANK(M159))),
        "",
        MAX(
            1,
            IF(
                NETWORKDAYS(IF(NOT(ISBLANK(M159)), M159, L159), N159, Holiday_Dates) &lt;= 0,
                1,
                NETWORKDAYS(IF(NOT(ISBLANK(M159)), M159, L159), N159, Holiday_Dates)
                - IF(IF(NOT(ISBLANK(M159)), M159, L159) = N159, 0, 1)
            )
        )
    ),
    ""
)</f>
        <v/>
      </c>
      <c r="S159" s="385" t="str">
        <f>IFERROR(
    IF(
        OR(ISBLANK(N159), ISBLANK(O159)),
        "",
        MAX(
            1,
            IF(
                NETWORKDAYS(N159, O159, Holiday_Dates) &lt;= 0,
                1,
                NETWORKDAYS(N159, O159, Holiday_Dates) - IF(N159 = O159, 0, 1)
            )
        )
    ),
    ""
)</f>
        <v/>
      </c>
      <c r="T159" s="385"/>
      <c r="U159" s="385" t="s">
        <v>672</v>
      </c>
      <c r="V159" s="385" t="s">
        <v>101</v>
      </c>
      <c r="W159" s="385" t="s">
        <v>1436</v>
      </c>
      <c r="X159" s="1"/>
    </row>
    <row r="160" spans="1:24">
      <c r="A160" s="385" t="s">
        <v>48</v>
      </c>
      <c r="B160" s="385" t="s">
        <v>477</v>
      </c>
      <c r="C160" s="385" t="s">
        <v>1715</v>
      </c>
      <c r="D160" s="385" t="s">
        <v>88</v>
      </c>
      <c r="E160" s="385"/>
      <c r="F160" s="385"/>
      <c r="G160" s="385"/>
      <c r="H160" s="385">
        <v>2024</v>
      </c>
      <c r="I160" s="385" t="s">
        <v>1716</v>
      </c>
      <c r="J160" s="30"/>
      <c r="K160" s="385"/>
      <c r="L160" s="385"/>
      <c r="M160" s="385"/>
      <c r="N160" s="385"/>
      <c r="O160" s="385"/>
      <c r="P160" s="385" t="str">
        <f>IFERROR(
    IF(
        OR(ISBLANK(I160), ISBLANK(L160)),
        "",
        MAX(
            1,
            IF(
                NETWORKDAYS(I160, L160, Holiday_Dates) &lt;= 0,
                1,
                NETWORKDAYS(I160, L160, Holiday_Dates) - IF(I160 = L160, 0, 1)
            )
        )
    ),
    ""
)</f>
        <v/>
      </c>
      <c r="Q160" s="385" t="str">
        <f>IF(
    OR(ISBLANK(L160), ISBLANK(M160)),
    "",
    MAX(
        1,
        IF(
            NETWORKDAYS(L160, M160, Holiday_Dates) &lt;= 0,
            1,
            NETWORKDAYS(L160, M160, Holiday_Dates) - IF(L160 = M160, 0, 1)
        )
    )
)</f>
        <v/>
      </c>
      <c r="R160" s="385" t="str">
        <f>IFERROR(
    IF(
        OR(ISBLANK(N160), AND(ISBLANK(L160), ISBLANK(M160))),
        "",
        MAX(
            1,
            IF(
                NETWORKDAYS(IF(NOT(ISBLANK(M160)), M160, L160), N160, Holiday_Dates) &lt;= 0,
                1,
                NETWORKDAYS(IF(NOT(ISBLANK(M160)), M160, L160), N160, Holiday_Dates)
                - IF(IF(NOT(ISBLANK(M160)), M160, L160) = N160, 0, 1)
            )
        )
    ),
    ""
)</f>
        <v/>
      </c>
      <c r="S160" s="385" t="str">
        <f>IFERROR(
    IF(
        OR(ISBLANK(N160), ISBLANK(O160)),
        "",
        MAX(
            1,
            IF(
                NETWORKDAYS(N160, O160, Holiday_Dates) &lt;= 0,
                1,
                NETWORKDAYS(N160, O160, Holiday_Dates) - IF(N160 = O160, 0, 1)
            )
        )
    ),
    ""
)</f>
        <v/>
      </c>
      <c r="T160" s="385"/>
      <c r="U160" s="385" t="s">
        <v>672</v>
      </c>
      <c r="V160" s="385" t="s">
        <v>101</v>
      </c>
      <c r="W160" s="385" t="s">
        <v>1436</v>
      </c>
      <c r="X160" s="1"/>
    </row>
    <row r="161" spans="1:24">
      <c r="A161" s="385" t="s">
        <v>48</v>
      </c>
      <c r="B161" s="385" t="s">
        <v>477</v>
      </c>
      <c r="C161" s="385" t="s">
        <v>1719</v>
      </c>
      <c r="D161" s="385" t="s">
        <v>88</v>
      </c>
      <c r="E161" s="385"/>
      <c r="F161" s="385"/>
      <c r="G161" s="385"/>
      <c r="H161" s="385">
        <v>2024</v>
      </c>
      <c r="I161" s="385" t="s">
        <v>1720</v>
      </c>
      <c r="J161" s="30"/>
      <c r="K161" s="385"/>
      <c r="L161" s="385"/>
      <c r="M161" s="385"/>
      <c r="N161" s="385"/>
      <c r="O161" s="385"/>
      <c r="P161" s="385" t="str">
        <f>IFERROR(
    IF(
        OR(ISBLANK(I161), ISBLANK(L161)),
        "",
        MAX(
            1,
            IF(
                NETWORKDAYS(I161, L161, Holiday_Dates) &lt;= 0,
                1,
                NETWORKDAYS(I161, L161, Holiday_Dates) - IF(I161 = L161, 0, 1)
            )
        )
    ),
    ""
)</f>
        <v/>
      </c>
      <c r="Q161" s="385" t="str">
        <f>IF(
    OR(ISBLANK(L161), ISBLANK(M161)),
    "",
    MAX(
        1,
        IF(
            NETWORKDAYS(L161, M161, Holiday_Dates) &lt;= 0,
            1,
            NETWORKDAYS(L161, M161, Holiday_Dates) - IF(L161 = M161, 0, 1)
        )
    )
)</f>
        <v/>
      </c>
      <c r="R161" s="385" t="str">
        <f>IFERROR(
    IF(
        OR(ISBLANK(N161), AND(ISBLANK(L161), ISBLANK(M161))),
        "",
        MAX(
            1,
            IF(
                NETWORKDAYS(IF(NOT(ISBLANK(M161)), M161, L161), N161, Holiday_Dates) &lt;= 0,
                1,
                NETWORKDAYS(IF(NOT(ISBLANK(M161)), M161, L161), N161, Holiday_Dates)
                - IF(IF(NOT(ISBLANK(M161)), M161, L161) = N161, 0, 1)
            )
        )
    ),
    ""
)</f>
        <v/>
      </c>
      <c r="S161" s="385" t="str">
        <f>IFERROR(
    IF(
        OR(ISBLANK(N161), ISBLANK(O161)),
        "",
        MAX(
            1,
            IF(
                NETWORKDAYS(N161, O161, Holiday_Dates) &lt;= 0,
                1,
                NETWORKDAYS(N161, O161, Holiday_Dates) - IF(N161 = O161, 0, 1)
            )
        )
    ),
    ""
)</f>
        <v/>
      </c>
      <c r="T161" s="385"/>
      <c r="U161" s="385" t="s">
        <v>672</v>
      </c>
      <c r="V161" s="385" t="s">
        <v>101</v>
      </c>
      <c r="W161" s="385" t="s">
        <v>1436</v>
      </c>
      <c r="X161" s="1"/>
    </row>
    <row r="162" spans="1:24">
      <c r="A162" s="385" t="s">
        <v>48</v>
      </c>
      <c r="B162" s="385" t="s">
        <v>265</v>
      </c>
      <c r="C162" s="385" t="s">
        <v>1753</v>
      </c>
      <c r="D162" s="385" t="s">
        <v>88</v>
      </c>
      <c r="E162" s="385"/>
      <c r="F162" s="385"/>
      <c r="G162" s="385"/>
      <c r="H162" s="385">
        <v>2024</v>
      </c>
      <c r="I162" s="386">
        <v>45580</v>
      </c>
      <c r="J162" s="30"/>
      <c r="K162" s="385"/>
      <c r="L162" s="385"/>
      <c r="M162" s="385"/>
      <c r="N162" s="385"/>
      <c r="O162" s="385"/>
      <c r="P162" s="385" t="str">
        <f>IFERROR(
    IF(
        OR(ISBLANK(I162), ISBLANK(L162)),
        "",
        MAX(
            1,
            IF(
                NETWORKDAYS(I162, L162, Holiday_Dates) &lt;= 0,
                1,
                NETWORKDAYS(I162, L162, Holiday_Dates) - IF(I162 = L162, 0, 1)
            )
        )
    ),
    ""
)</f>
        <v/>
      </c>
      <c r="Q162" s="385" t="str">
        <f>IF(
    OR(ISBLANK(L162), ISBLANK(M162)),
    "",
    MAX(
        1,
        IF(
            NETWORKDAYS(L162, M162, Holiday_Dates) &lt;= 0,
            1,
            NETWORKDAYS(L162, M162, Holiday_Dates) - IF(L162 = M162, 0, 1)
        )
    )
)</f>
        <v/>
      </c>
      <c r="R162" s="385" t="str">
        <f>IFERROR(
    IF(
        OR(ISBLANK(N162), AND(ISBLANK(L162), ISBLANK(M162))),
        "",
        MAX(
            1,
            IF(
                NETWORKDAYS(IF(NOT(ISBLANK(M162)), M162, L162), N162, Holiday_Dates) &lt;= 0,
                1,
                NETWORKDAYS(IF(NOT(ISBLANK(M162)), M162, L162), N162, Holiday_Dates)
                - IF(IF(NOT(ISBLANK(M162)), M162, L162) = N162, 0, 1)
            )
        )
    ),
    ""
)</f>
        <v/>
      </c>
      <c r="S162" s="385" t="str">
        <f>IFERROR(
    IF(
        OR(ISBLANK(N162), ISBLANK(O162)),
        "",
        MAX(
            1,
            IF(
                NETWORKDAYS(N162, O162, Holiday_Dates) &lt;= 0,
                1,
                NETWORKDAYS(N162, O162, Holiday_Dates) - IF(N162 = O162, 0, 1)
            )
        )
    ),
    ""
)</f>
        <v/>
      </c>
      <c r="T162" s="385"/>
      <c r="U162" s="385" t="s">
        <v>4</v>
      </c>
      <c r="V162" s="385" t="s">
        <v>101</v>
      </c>
      <c r="W162" s="385" t="s">
        <v>1436</v>
      </c>
      <c r="X162" s="1"/>
    </row>
    <row r="163" spans="1:24">
      <c r="A163" s="385" t="s">
        <v>48</v>
      </c>
      <c r="B163" s="385" t="s">
        <v>265</v>
      </c>
      <c r="C163" s="385" t="s">
        <v>1724</v>
      </c>
      <c r="D163" s="385" t="s">
        <v>88</v>
      </c>
      <c r="E163" s="385"/>
      <c r="F163" s="385"/>
      <c r="G163" s="385"/>
      <c r="H163" s="385">
        <v>2024</v>
      </c>
      <c r="I163" s="385" t="s">
        <v>1725</v>
      </c>
      <c r="J163" s="30"/>
      <c r="K163" s="385"/>
      <c r="L163" s="385"/>
      <c r="M163" s="385"/>
      <c r="N163" s="385"/>
      <c r="O163" s="385"/>
      <c r="P163" s="385" t="str">
        <f>IFERROR(
    IF(
        OR(ISBLANK(I163), ISBLANK(L163)),
        "",
        MAX(
            1,
            IF(
                NETWORKDAYS(I163, L163, Holiday_Dates) &lt;= 0,
                1,
                NETWORKDAYS(I163, L163, Holiday_Dates) - IF(I163 = L163, 0, 1)
            )
        )
    ),
    ""
)</f>
        <v/>
      </c>
      <c r="Q163" s="385" t="str">
        <f>IF(
    OR(ISBLANK(L163), ISBLANK(M163)),
    "",
    MAX(
        1,
        IF(
            NETWORKDAYS(L163, M163, Holiday_Dates) &lt;= 0,
            1,
            NETWORKDAYS(L163, M163, Holiday_Dates) - IF(L163 = M163, 0, 1)
        )
    )
)</f>
        <v/>
      </c>
      <c r="R163" s="385" t="str">
        <f>IFERROR(
    IF(
        OR(ISBLANK(N163), AND(ISBLANK(L163), ISBLANK(M163))),
        "",
        MAX(
            1,
            IF(
                NETWORKDAYS(IF(NOT(ISBLANK(M163)), M163, L163), N163, Holiday_Dates) &lt;= 0,
                1,
                NETWORKDAYS(IF(NOT(ISBLANK(M163)), M163, L163), N163, Holiday_Dates)
                - IF(IF(NOT(ISBLANK(M163)), M163, L163) = N163, 0, 1)
            )
        )
    ),
    ""
)</f>
        <v/>
      </c>
      <c r="S163" s="385" t="str">
        <f>IFERROR(
    IF(
        OR(ISBLANK(N163), ISBLANK(O163)),
        "",
        MAX(
            1,
            IF(
                NETWORKDAYS(N163, O163, Holiday_Dates) &lt;= 0,
                1,
                NETWORKDAYS(N163, O163, Holiday_Dates) - IF(N163 = O163, 0, 1)
            )
        )
    ),
    ""
)</f>
        <v/>
      </c>
      <c r="T163" s="385"/>
      <c r="U163" s="385" t="s">
        <v>4</v>
      </c>
      <c r="V163" s="385" t="s">
        <v>101</v>
      </c>
      <c r="W163" s="385" t="s">
        <v>1436</v>
      </c>
      <c r="X163" s="1"/>
    </row>
    <row r="164" spans="1:24">
      <c r="A164" s="385" t="s">
        <v>48</v>
      </c>
      <c r="B164" s="385" t="s">
        <v>265</v>
      </c>
      <c r="C164" s="385" t="s">
        <v>756</v>
      </c>
      <c r="D164" s="385" t="s">
        <v>88</v>
      </c>
      <c r="E164" s="385"/>
      <c r="F164" s="385"/>
      <c r="G164" s="385"/>
      <c r="H164" s="385">
        <v>2024</v>
      </c>
      <c r="I164" s="385" t="s">
        <v>1728</v>
      </c>
      <c r="J164" s="30"/>
      <c r="K164" s="385"/>
      <c r="L164" s="385"/>
      <c r="M164" s="385"/>
      <c r="N164" s="385"/>
      <c r="O164" s="385"/>
      <c r="P164" s="385" t="str">
        <f>IFERROR(
    IF(
        OR(ISBLANK(I164), ISBLANK(L164)),
        "",
        MAX(
            1,
            IF(
                NETWORKDAYS(I164, L164, Holiday_Dates) &lt;= 0,
                1,
                NETWORKDAYS(I164, L164, Holiday_Dates) - IF(I164 = L164, 0, 1)
            )
        )
    ),
    ""
)</f>
        <v/>
      </c>
      <c r="Q164" s="385" t="str">
        <f>IF(
    OR(ISBLANK(L164), ISBLANK(M164)),
    "",
    MAX(
        1,
        IF(
            NETWORKDAYS(L164, M164, Holiday_Dates) &lt;= 0,
            1,
            NETWORKDAYS(L164, M164, Holiday_Dates) - IF(L164 = M164, 0, 1)
        )
    )
)</f>
        <v/>
      </c>
      <c r="R164" s="385" t="str">
        <f>IFERROR(
    IF(
        OR(ISBLANK(N164), AND(ISBLANK(L164), ISBLANK(M164))),
        "",
        MAX(
            1,
            IF(
                NETWORKDAYS(IF(NOT(ISBLANK(M164)), M164, L164), N164, Holiday_Dates) &lt;= 0,
                1,
                NETWORKDAYS(IF(NOT(ISBLANK(M164)), M164, L164), N164, Holiday_Dates)
                - IF(IF(NOT(ISBLANK(M164)), M164, L164) = N164, 0, 1)
            )
        )
    ),
    ""
)</f>
        <v/>
      </c>
      <c r="S164" s="385" t="str">
        <f>IFERROR(
    IF(
        OR(ISBLANK(N164), ISBLANK(O164)),
        "",
        MAX(
            1,
            IF(
                NETWORKDAYS(N164, O164, Holiday_Dates) &lt;= 0,
                1,
                NETWORKDAYS(N164, O164, Holiday_Dates) - IF(N164 = O164, 0, 1)
            )
        )
    ),
    ""
)</f>
        <v/>
      </c>
      <c r="T164" s="385"/>
      <c r="U164" s="385" t="s">
        <v>4</v>
      </c>
      <c r="V164" s="385" t="s">
        <v>101</v>
      </c>
      <c r="W164" s="385" t="s">
        <v>1436</v>
      </c>
      <c r="X164" s="1"/>
    </row>
    <row r="165" spans="1:24">
      <c r="A165" s="385" t="s">
        <v>48</v>
      </c>
      <c r="B165" s="385" t="s">
        <v>265</v>
      </c>
      <c r="C165" s="385" t="s">
        <v>669</v>
      </c>
      <c r="D165" s="385" t="s">
        <v>88</v>
      </c>
      <c r="E165" s="385"/>
      <c r="F165" s="385"/>
      <c r="G165" s="385"/>
      <c r="H165" s="385">
        <v>2024</v>
      </c>
      <c r="I165" s="386">
        <v>45601</v>
      </c>
      <c r="J165" s="30"/>
      <c r="K165" s="385"/>
      <c r="L165" s="385"/>
      <c r="M165" s="385"/>
      <c r="N165" s="385"/>
      <c r="O165" s="385"/>
      <c r="P165" s="385" t="str">
        <f>IFERROR(
    IF(
        OR(ISBLANK(I165), ISBLANK(L165)),
        "",
        MAX(
            1,
            IF(
                NETWORKDAYS(I165, L165, Holiday_Dates) &lt;= 0,
                1,
                NETWORKDAYS(I165, L165, Holiday_Dates) - IF(I165 = L165, 0, 1)
            )
        )
    ),
    ""
)</f>
        <v/>
      </c>
      <c r="Q165" s="385" t="str">
        <f>IF(
    OR(ISBLANK(L165), ISBLANK(M165)),
    "",
    MAX(
        1,
        IF(
            NETWORKDAYS(L165, M165, Holiday_Dates) &lt;= 0,
            1,
            NETWORKDAYS(L165, M165, Holiday_Dates) - IF(L165 = M165, 0, 1)
        )
    )
)</f>
        <v/>
      </c>
      <c r="R165" s="385" t="str">
        <f>IFERROR(
    IF(
        OR(ISBLANK(N165), AND(ISBLANK(L165), ISBLANK(M165))),
        "",
        MAX(
            1,
            IF(
                NETWORKDAYS(IF(NOT(ISBLANK(M165)), M165, L165), N165, Holiday_Dates) &lt;= 0,
                1,
                NETWORKDAYS(IF(NOT(ISBLANK(M165)), M165, L165), N165, Holiday_Dates)
                - IF(IF(NOT(ISBLANK(M165)), M165, L165) = N165, 0, 1)
            )
        )
    ),
    ""
)</f>
        <v/>
      </c>
      <c r="S165" s="385" t="str">
        <f>IFERROR(
    IF(
        OR(ISBLANK(N165), ISBLANK(O165)),
        "",
        MAX(
            1,
            IF(
                NETWORKDAYS(N165, O165, Holiday_Dates) &lt;= 0,
                1,
                NETWORKDAYS(N165, O165, Holiday_Dates) - IF(N165 = O165, 0, 1)
            )
        )
    ),
    ""
)</f>
        <v/>
      </c>
      <c r="T165" s="385"/>
      <c r="U165" s="385" t="s">
        <v>4</v>
      </c>
      <c r="V165" s="385" t="s">
        <v>101</v>
      </c>
      <c r="W165" s="385" t="s">
        <v>1436</v>
      </c>
      <c r="X165" s="1"/>
    </row>
    <row r="166" spans="1:24">
      <c r="A166" s="385" t="s">
        <v>48</v>
      </c>
      <c r="B166" s="385" t="s">
        <v>265</v>
      </c>
      <c r="C166" s="385" t="s">
        <v>1732</v>
      </c>
      <c r="D166" s="385" t="s">
        <v>88</v>
      </c>
      <c r="E166" s="385"/>
      <c r="F166" s="385"/>
      <c r="G166" s="385"/>
      <c r="H166" s="385">
        <v>2024</v>
      </c>
      <c r="I166" s="385" t="s">
        <v>1733</v>
      </c>
      <c r="J166" s="30"/>
      <c r="K166" s="385"/>
      <c r="L166" s="385"/>
      <c r="M166" s="385"/>
      <c r="N166" s="385"/>
      <c r="O166" s="385"/>
      <c r="P166" s="385" t="str">
        <f>IFERROR(
    IF(
        OR(ISBLANK(I166), ISBLANK(L166)),
        "",
        MAX(
            1,
            IF(
                NETWORKDAYS(I166, L166, Holiday_Dates) &lt;= 0,
                1,
                NETWORKDAYS(I166, L166, Holiday_Dates) - IF(I166 = L166, 0, 1)
            )
        )
    ),
    ""
)</f>
        <v/>
      </c>
      <c r="Q166" s="385" t="str">
        <f>IF(
    OR(ISBLANK(L166), ISBLANK(M166)),
    "",
    MAX(
        1,
        IF(
            NETWORKDAYS(L166, M166, Holiday_Dates) &lt;= 0,
            1,
            NETWORKDAYS(L166, M166, Holiday_Dates) - IF(L166 = M166, 0, 1)
        )
    )
)</f>
        <v/>
      </c>
      <c r="R166" s="385" t="str">
        <f>IFERROR(
    IF(
        OR(ISBLANK(N166), AND(ISBLANK(L166), ISBLANK(M166))),
        "",
        MAX(
            1,
            IF(
                NETWORKDAYS(IF(NOT(ISBLANK(M166)), M166, L166), N166, Holiday_Dates) &lt;= 0,
                1,
                NETWORKDAYS(IF(NOT(ISBLANK(M166)), M166, L166), N166, Holiday_Dates)
                - IF(IF(NOT(ISBLANK(M166)), M166, L166) = N166, 0, 1)
            )
        )
    ),
    ""
)</f>
        <v/>
      </c>
      <c r="S166" s="385" t="str">
        <f>IFERROR(
    IF(
        OR(ISBLANK(N166), ISBLANK(O166)),
        "",
        MAX(
            1,
            IF(
                NETWORKDAYS(N166, O166, Holiday_Dates) &lt;= 0,
                1,
                NETWORKDAYS(N166, O166, Holiday_Dates) - IF(N166 = O166, 0, 1)
            )
        )
    ),
    ""
)</f>
        <v/>
      </c>
      <c r="T166" s="385"/>
      <c r="U166" s="385" t="s">
        <v>4</v>
      </c>
      <c r="V166" s="385" t="s">
        <v>101</v>
      </c>
      <c r="W166" s="385" t="s">
        <v>1436</v>
      </c>
      <c r="X166" s="1"/>
    </row>
    <row r="167" spans="1:24">
      <c r="A167" s="385" t="s">
        <v>48</v>
      </c>
      <c r="B167" s="385" t="s">
        <v>265</v>
      </c>
      <c r="C167" s="385" t="s">
        <v>1736</v>
      </c>
      <c r="D167" s="385" t="s">
        <v>88</v>
      </c>
      <c r="E167" s="385"/>
      <c r="F167" s="385"/>
      <c r="G167" s="385"/>
      <c r="H167" s="385">
        <v>2025</v>
      </c>
      <c r="I167" s="386">
        <v>45744</v>
      </c>
      <c r="J167" s="30" t="s">
        <v>4631</v>
      </c>
      <c r="K167" s="385"/>
      <c r="L167" s="385"/>
      <c r="M167" s="385"/>
      <c r="N167" s="385"/>
      <c r="O167" s="385"/>
      <c r="P167" s="385" t="str">
        <f>IFERROR(
    IF(
        OR(ISBLANK(I167), ISBLANK(L167)),
        "",
        MAX(
            1,
            IF(
                NETWORKDAYS(I167, L167, Holiday_Dates) &lt;= 0,
                1,
                NETWORKDAYS(I167, L167, Holiday_Dates) - IF(I167 = L167, 0, 1)
            )
        )
    ),
    ""
)</f>
        <v/>
      </c>
      <c r="Q167" s="385" t="str">
        <f>IF(
    OR(ISBLANK(L167), ISBLANK(M167)),
    "",
    MAX(
        1,
        IF(
            NETWORKDAYS(L167, M167, Holiday_Dates) &lt;= 0,
            1,
            NETWORKDAYS(L167, M167, Holiday_Dates) - IF(L167 = M167, 0, 1)
        )
    )
)</f>
        <v/>
      </c>
      <c r="R167" s="385" t="str">
        <f>IFERROR(
    IF(
        OR(ISBLANK(N167), AND(ISBLANK(L167), ISBLANK(M167))),
        "",
        MAX(
            1,
            IF(
                NETWORKDAYS(IF(NOT(ISBLANK(M167)), M167, L167), N167, Holiday_Dates) &lt;= 0,
                1,
                NETWORKDAYS(IF(NOT(ISBLANK(M167)), M167, L167), N167, Holiday_Dates)
                - IF(IF(NOT(ISBLANK(M167)), M167, L167) = N167, 0, 1)
            )
        )
    ),
    ""
)</f>
        <v/>
      </c>
      <c r="S167" s="385" t="str">
        <f>IFERROR(
    IF(
        OR(ISBLANK(N167), ISBLANK(O167)),
        "",
        MAX(
            1,
            IF(
                NETWORKDAYS(N167, O167, Holiday_Dates) &lt;= 0,
                1,
                NETWORKDAYS(N167, O167, Holiday_Dates) - IF(N167 = O167, 0, 1)
            )
        )
    ),
    ""
)</f>
        <v/>
      </c>
      <c r="T167" s="385"/>
      <c r="U167" s="385" t="s">
        <v>4616</v>
      </c>
      <c r="V167" s="385" t="s">
        <v>4632</v>
      </c>
      <c r="W167" s="385" t="s">
        <v>1436</v>
      </c>
      <c r="X167" s="1"/>
    </row>
    <row r="168" spans="1:24">
      <c r="A168" s="385" t="s">
        <v>48</v>
      </c>
      <c r="B168" s="385" t="s">
        <v>265</v>
      </c>
      <c r="C168" s="385" t="s">
        <v>1737</v>
      </c>
      <c r="D168" s="385" t="s">
        <v>88</v>
      </c>
      <c r="E168" s="385"/>
      <c r="F168" s="385"/>
      <c r="G168" s="385"/>
      <c r="H168" s="385">
        <v>2024</v>
      </c>
      <c r="I168" s="386">
        <v>45594</v>
      </c>
      <c r="J168" s="30"/>
      <c r="K168" s="385"/>
      <c r="L168" s="385"/>
      <c r="M168" s="385"/>
      <c r="N168" s="385"/>
      <c r="O168" s="385"/>
      <c r="P168" s="385" t="str">
        <f>IFERROR(
    IF(
        OR(ISBLANK(I168), ISBLANK(L168)),
        "",
        MAX(
            1,
            IF(
                NETWORKDAYS(I168, L168, Holiday_Dates) &lt;= 0,
                1,
                NETWORKDAYS(I168, L168, Holiday_Dates) - IF(I168 = L168, 0, 1)
            )
        )
    ),
    ""
)</f>
        <v/>
      </c>
      <c r="Q168" s="385" t="str">
        <f>IF(
    OR(ISBLANK(L168), ISBLANK(M168)),
    "",
    MAX(
        1,
        IF(
            NETWORKDAYS(L168, M168, Holiday_Dates) &lt;= 0,
            1,
            NETWORKDAYS(L168, M168, Holiday_Dates) - IF(L168 = M168, 0, 1)
        )
    )
)</f>
        <v/>
      </c>
      <c r="R168" s="385" t="str">
        <f>IFERROR(
    IF(
        OR(ISBLANK(N168), AND(ISBLANK(L168), ISBLANK(M168))),
        "",
        MAX(
            1,
            IF(
                NETWORKDAYS(IF(NOT(ISBLANK(M168)), M168, L168), N168, Holiday_Dates) &lt;= 0,
                1,
                NETWORKDAYS(IF(NOT(ISBLANK(M168)), M168, L168), N168, Holiday_Dates)
                - IF(IF(NOT(ISBLANK(M168)), M168, L168) = N168, 0, 1)
            )
        )
    ),
    ""
)</f>
        <v/>
      </c>
      <c r="S168" s="385" t="str">
        <f>IFERROR(
    IF(
        OR(ISBLANK(N168), ISBLANK(O168)),
        "",
        MAX(
            1,
            IF(
                NETWORKDAYS(N168, O168, Holiday_Dates) &lt;= 0,
                1,
                NETWORKDAYS(N168, O168, Holiday_Dates) - IF(N168 = O168, 0, 1)
            )
        )
    ),
    ""
)</f>
        <v/>
      </c>
      <c r="T168" s="385"/>
      <c r="U168" s="385" t="s">
        <v>4</v>
      </c>
      <c r="V168" s="385" t="s">
        <v>101</v>
      </c>
      <c r="W168" s="385" t="s">
        <v>1436</v>
      </c>
      <c r="X168" s="1"/>
    </row>
    <row r="169" spans="1:24">
      <c r="A169" s="385" t="s">
        <v>48</v>
      </c>
      <c r="B169" s="385" t="s">
        <v>265</v>
      </c>
      <c r="C169" s="385" t="s">
        <v>1013</v>
      </c>
      <c r="D169" s="385" t="s">
        <v>88</v>
      </c>
      <c r="E169" s="385"/>
      <c r="F169" s="385"/>
      <c r="G169" s="385"/>
      <c r="H169" s="385">
        <v>2024</v>
      </c>
      <c r="I169" s="386">
        <v>45587</v>
      </c>
      <c r="J169" s="30"/>
      <c r="K169" s="385"/>
      <c r="L169" s="385"/>
      <c r="M169" s="385"/>
      <c r="N169" s="385"/>
      <c r="O169" s="385"/>
      <c r="P169" s="385" t="str">
        <f>IFERROR(
    IF(
        OR(ISBLANK(I169), ISBLANK(L169)),
        "",
        MAX(
            1,
            IF(
                NETWORKDAYS(I169, L169, Holiday_Dates) &lt;= 0,
                1,
                NETWORKDAYS(I169, L169, Holiday_Dates) - IF(I169 = L169, 0, 1)
            )
        )
    ),
    ""
)</f>
        <v/>
      </c>
      <c r="Q169" s="385" t="str">
        <f>IF(
    OR(ISBLANK(L169), ISBLANK(M169)),
    "",
    MAX(
        1,
        IF(
            NETWORKDAYS(L169, M169, Holiday_Dates) &lt;= 0,
            1,
            NETWORKDAYS(L169, M169, Holiday_Dates) - IF(L169 = M169, 0, 1)
        )
    )
)</f>
        <v/>
      </c>
      <c r="R169" s="385" t="str">
        <f>IFERROR(
    IF(
        OR(ISBLANK(N169), AND(ISBLANK(L169), ISBLANK(M169))),
        "",
        MAX(
            1,
            IF(
                NETWORKDAYS(IF(NOT(ISBLANK(M169)), M169, L169), N169, Holiday_Dates) &lt;= 0,
                1,
                NETWORKDAYS(IF(NOT(ISBLANK(M169)), M169, L169), N169, Holiday_Dates)
                - IF(IF(NOT(ISBLANK(M169)), M169, L169) = N169, 0, 1)
            )
        )
    ),
    ""
)</f>
        <v/>
      </c>
      <c r="S169" s="385" t="str">
        <f>IFERROR(
    IF(
        OR(ISBLANK(N169), ISBLANK(O169)),
        "",
        MAX(
            1,
            IF(
                NETWORKDAYS(N169, O169, Holiday_Dates) &lt;= 0,
                1,
                NETWORKDAYS(N169, O169, Holiday_Dates) - IF(N169 = O169, 0, 1)
            )
        )
    ),
    ""
)</f>
        <v/>
      </c>
      <c r="T169" s="385"/>
      <c r="U169" s="385" t="s">
        <v>4</v>
      </c>
      <c r="V169" s="385" t="s">
        <v>101</v>
      </c>
      <c r="W169" s="385" t="s">
        <v>1436</v>
      </c>
      <c r="X169" s="1"/>
    </row>
    <row r="170" spans="1:24">
      <c r="A170" s="385" t="s">
        <v>48</v>
      </c>
      <c r="B170" s="385" t="s">
        <v>265</v>
      </c>
      <c r="C170" s="385" t="s">
        <v>1740</v>
      </c>
      <c r="D170" s="385" t="s">
        <v>88</v>
      </c>
      <c r="E170" s="385"/>
      <c r="F170" s="385"/>
      <c r="G170" s="385"/>
      <c r="H170" s="385">
        <v>2024</v>
      </c>
      <c r="I170" s="385" t="s">
        <v>1741</v>
      </c>
      <c r="J170" s="30"/>
      <c r="K170" s="385"/>
      <c r="L170" s="385"/>
      <c r="M170" s="385"/>
      <c r="N170" s="385"/>
      <c r="O170" s="385"/>
      <c r="P170" s="385" t="str">
        <f>IFERROR(
    IF(
        OR(ISBLANK(I170), ISBLANK(L170)),
        "",
        MAX(
            1,
            IF(
                NETWORKDAYS(I170, L170, Holiday_Dates) &lt;= 0,
                1,
                NETWORKDAYS(I170, L170, Holiday_Dates) - IF(I170 = L170, 0, 1)
            )
        )
    ),
    ""
)</f>
        <v/>
      </c>
      <c r="Q170" s="385" t="str">
        <f>IF(
    OR(ISBLANK(L170), ISBLANK(M170)),
    "",
    MAX(
        1,
        IF(
            NETWORKDAYS(L170, M170, Holiday_Dates) &lt;= 0,
            1,
            NETWORKDAYS(L170, M170, Holiday_Dates) - IF(L170 = M170, 0, 1)
        )
    )
)</f>
        <v/>
      </c>
      <c r="R170" s="385" t="str">
        <f>IFERROR(
    IF(
        OR(ISBLANK(N170), AND(ISBLANK(L170), ISBLANK(M170))),
        "",
        MAX(
            1,
            IF(
                NETWORKDAYS(IF(NOT(ISBLANK(M170)), M170, L170), N170, Holiday_Dates) &lt;= 0,
                1,
                NETWORKDAYS(IF(NOT(ISBLANK(M170)), M170, L170), N170, Holiday_Dates)
                - IF(IF(NOT(ISBLANK(M170)), M170, L170) = N170, 0, 1)
            )
        )
    ),
    ""
)</f>
        <v/>
      </c>
      <c r="S170" s="385" t="str">
        <f>IFERROR(
    IF(
        OR(ISBLANK(N170), ISBLANK(O170)),
        "",
        MAX(
            1,
            IF(
                NETWORKDAYS(N170, O170, Holiday_Dates) &lt;= 0,
                1,
                NETWORKDAYS(N170, O170, Holiday_Dates) - IF(N170 = O170, 0, 1)
            )
        )
    ),
    ""
)</f>
        <v/>
      </c>
      <c r="T170" s="385"/>
      <c r="U170" s="385" t="s">
        <v>4</v>
      </c>
      <c r="V170" s="385" t="s">
        <v>101</v>
      </c>
      <c r="W170" s="385" t="s">
        <v>1436</v>
      </c>
      <c r="X170" s="1"/>
    </row>
    <row r="171" spans="1:24">
      <c r="A171" s="385" t="s">
        <v>48</v>
      </c>
      <c r="B171" s="385" t="s">
        <v>265</v>
      </c>
      <c r="C171" s="385" t="s">
        <v>1744</v>
      </c>
      <c r="D171" s="385" t="s">
        <v>88</v>
      </c>
      <c r="E171" s="385"/>
      <c r="F171" s="385"/>
      <c r="G171" s="385"/>
      <c r="H171" s="385">
        <v>2024</v>
      </c>
      <c r="I171" s="386">
        <v>45601</v>
      </c>
      <c r="J171" s="30"/>
      <c r="K171" s="385"/>
      <c r="L171" s="385"/>
      <c r="M171" s="385"/>
      <c r="N171" s="385"/>
      <c r="O171" s="385"/>
      <c r="P171" s="385" t="str">
        <f>IFERROR(
    IF(
        OR(ISBLANK(I171), ISBLANK(L171)),
        "",
        MAX(
            1,
            IF(
                NETWORKDAYS(I171, L171, Holiday_Dates) &lt;= 0,
                1,
                NETWORKDAYS(I171, L171, Holiday_Dates) - IF(I171 = L171, 0, 1)
            )
        )
    ),
    ""
)</f>
        <v/>
      </c>
      <c r="Q171" s="385" t="str">
        <f>IF(
    OR(ISBLANK(L171), ISBLANK(M171)),
    "",
    MAX(
        1,
        IF(
            NETWORKDAYS(L171, M171, Holiday_Dates) &lt;= 0,
            1,
            NETWORKDAYS(L171, M171, Holiday_Dates) - IF(L171 = M171, 0, 1)
        )
    )
)</f>
        <v/>
      </c>
      <c r="R171" s="385" t="str">
        <f>IFERROR(
    IF(
        OR(ISBLANK(N171), AND(ISBLANK(L171), ISBLANK(M171))),
        "",
        MAX(
            1,
            IF(
                NETWORKDAYS(IF(NOT(ISBLANK(M171)), M171, L171), N171, Holiday_Dates) &lt;= 0,
                1,
                NETWORKDAYS(IF(NOT(ISBLANK(M171)), M171, L171), N171, Holiday_Dates)
                - IF(IF(NOT(ISBLANK(M171)), M171, L171) = N171, 0, 1)
            )
        )
    ),
    ""
)</f>
        <v/>
      </c>
      <c r="S171" s="385" t="str">
        <f>IFERROR(
    IF(
        OR(ISBLANK(N171), ISBLANK(O171)),
        "",
        MAX(
            1,
            IF(
                NETWORKDAYS(N171, O171, Holiday_Dates) &lt;= 0,
                1,
                NETWORKDAYS(N171, O171, Holiday_Dates) - IF(N171 = O171, 0, 1)
            )
        )
    ),
    ""
)</f>
        <v/>
      </c>
      <c r="T171" s="385"/>
      <c r="U171" s="385" t="s">
        <v>4</v>
      </c>
      <c r="V171" s="385" t="s">
        <v>101</v>
      </c>
      <c r="W171" s="385" t="s">
        <v>1436</v>
      </c>
      <c r="X171" s="1"/>
    </row>
    <row r="172" spans="1:24">
      <c r="A172" s="385" t="s">
        <v>48</v>
      </c>
      <c r="B172" s="385" t="s">
        <v>265</v>
      </c>
      <c r="C172" s="385" t="s">
        <v>757</v>
      </c>
      <c r="D172" s="385" t="s">
        <v>88</v>
      </c>
      <c r="E172" s="385"/>
      <c r="F172" s="385"/>
      <c r="G172" s="385"/>
      <c r="H172" s="385">
        <v>2024</v>
      </c>
      <c r="I172" s="386">
        <v>45604</v>
      </c>
      <c r="J172" s="30"/>
      <c r="K172" s="385"/>
      <c r="L172" s="385"/>
      <c r="M172" s="385"/>
      <c r="N172" s="385"/>
      <c r="O172" s="385"/>
      <c r="P172" s="385" t="str">
        <f>IFERROR(
    IF(
        OR(ISBLANK(I172), ISBLANK(L172)),
        "",
        MAX(
            1,
            IF(
                NETWORKDAYS(I172, L172, Holiday_Dates) &lt;= 0,
                1,
                NETWORKDAYS(I172, L172, Holiday_Dates) - IF(I172 = L172, 0, 1)
            )
        )
    ),
    ""
)</f>
        <v/>
      </c>
      <c r="Q172" s="385" t="str">
        <f>IF(
    OR(ISBLANK(L172), ISBLANK(M172)),
    "",
    MAX(
        1,
        IF(
            NETWORKDAYS(L172, M172, Holiday_Dates) &lt;= 0,
            1,
            NETWORKDAYS(L172, M172, Holiday_Dates) - IF(L172 = M172, 0, 1)
        )
    )
)</f>
        <v/>
      </c>
      <c r="R172" s="385" t="str">
        <f>IFERROR(
    IF(
        OR(ISBLANK(N172), AND(ISBLANK(L172), ISBLANK(M172))),
        "",
        MAX(
            1,
            IF(
                NETWORKDAYS(IF(NOT(ISBLANK(M172)), M172, L172), N172, Holiday_Dates) &lt;= 0,
                1,
                NETWORKDAYS(IF(NOT(ISBLANK(M172)), M172, L172), N172, Holiday_Dates)
                - IF(IF(NOT(ISBLANK(M172)), M172, L172) = N172, 0, 1)
            )
        )
    ),
    ""
)</f>
        <v/>
      </c>
      <c r="S172" s="385" t="str">
        <f>IFERROR(
    IF(
        OR(ISBLANK(N172), ISBLANK(O172)),
        "",
        MAX(
            1,
            IF(
                NETWORKDAYS(N172, O172, Holiday_Dates) &lt;= 0,
                1,
                NETWORKDAYS(N172, O172, Holiday_Dates) - IF(N172 = O172, 0, 1)
            )
        )
    ),
    ""
)</f>
        <v/>
      </c>
      <c r="T172" s="385"/>
      <c r="U172" s="385" t="s">
        <v>4</v>
      </c>
      <c r="V172" s="385" t="s">
        <v>101</v>
      </c>
      <c r="W172" s="385" t="s">
        <v>1436</v>
      </c>
      <c r="X172" s="1"/>
    </row>
    <row r="173" spans="1:24">
      <c r="A173" s="385" t="s">
        <v>48</v>
      </c>
      <c r="B173" s="385" t="s">
        <v>265</v>
      </c>
      <c r="C173" s="385" t="s">
        <v>714</v>
      </c>
      <c r="D173" s="385" t="s">
        <v>88</v>
      </c>
      <c r="E173" s="385"/>
      <c r="F173" s="385"/>
      <c r="G173" s="385"/>
      <c r="H173" s="385">
        <v>2024</v>
      </c>
      <c r="I173" s="385" t="s">
        <v>1747</v>
      </c>
      <c r="J173" s="30"/>
      <c r="K173" s="385"/>
      <c r="L173" s="385"/>
      <c r="M173" s="385"/>
      <c r="N173" s="385"/>
      <c r="O173" s="385"/>
      <c r="P173" s="385" t="str">
        <f>IFERROR(
    IF(
        OR(ISBLANK(I173), ISBLANK(L173)),
        "",
        MAX(
            1,
            IF(
                NETWORKDAYS(I173, L173, Holiday_Dates) &lt;= 0,
                1,
                NETWORKDAYS(I173, L173, Holiday_Dates) - IF(I173 = L173, 0, 1)
            )
        )
    ),
    ""
)</f>
        <v/>
      </c>
      <c r="Q173" s="385" t="str">
        <f>IF(
    OR(ISBLANK(L173), ISBLANK(M173)),
    "",
    MAX(
        1,
        IF(
            NETWORKDAYS(L173, M173, Holiday_Dates) &lt;= 0,
            1,
            NETWORKDAYS(L173, M173, Holiday_Dates) - IF(L173 = M173, 0, 1)
        )
    )
)</f>
        <v/>
      </c>
      <c r="R173" s="385" t="str">
        <f>IFERROR(
    IF(
        OR(ISBLANK(N173), AND(ISBLANK(L173), ISBLANK(M173))),
        "",
        MAX(
            1,
            IF(
                NETWORKDAYS(IF(NOT(ISBLANK(M173)), M173, L173), N173, Holiday_Dates) &lt;= 0,
                1,
                NETWORKDAYS(IF(NOT(ISBLANK(M173)), M173, L173), N173, Holiday_Dates)
                - IF(IF(NOT(ISBLANK(M173)), M173, L173) = N173, 0, 1)
            )
        )
    ),
    ""
)</f>
        <v/>
      </c>
      <c r="S173" s="385" t="str">
        <f>IFERROR(
    IF(
        OR(ISBLANK(N173), ISBLANK(O173)),
        "",
        MAX(
            1,
            IF(
                NETWORKDAYS(N173, O173, Holiday_Dates) &lt;= 0,
                1,
                NETWORKDAYS(N173, O173, Holiday_Dates) - IF(N173 = O173, 0, 1)
            )
        )
    ),
    ""
)</f>
        <v/>
      </c>
      <c r="T173" s="385"/>
      <c r="U173" s="385" t="s">
        <v>4</v>
      </c>
      <c r="V173" s="385" t="s">
        <v>101</v>
      </c>
      <c r="W173" s="385" t="s">
        <v>1436</v>
      </c>
      <c r="X173" s="1"/>
    </row>
    <row r="174" spans="1:24">
      <c r="A174" s="385" t="s">
        <v>48</v>
      </c>
      <c r="B174" s="385" t="s">
        <v>265</v>
      </c>
      <c r="C174" s="385" t="s">
        <v>1749</v>
      </c>
      <c r="D174" s="385" t="s">
        <v>88</v>
      </c>
      <c r="E174" s="385"/>
      <c r="F174" s="385"/>
      <c r="G174" s="385"/>
      <c r="H174" s="385">
        <v>2024</v>
      </c>
      <c r="I174" s="386">
        <v>45596</v>
      </c>
      <c r="J174" s="30"/>
      <c r="K174" s="385"/>
      <c r="L174" s="385"/>
      <c r="M174" s="385"/>
      <c r="N174" s="385"/>
      <c r="O174" s="385"/>
      <c r="P174" s="385" t="str">
        <f>IFERROR(
    IF(
        OR(ISBLANK(I174), ISBLANK(L174)),
        "",
        MAX(
            1,
            IF(
                NETWORKDAYS(I174, L174, Holiday_Dates) &lt;= 0,
                1,
                NETWORKDAYS(I174, L174, Holiday_Dates) - IF(I174 = L174, 0, 1)
            )
        )
    ),
    ""
)</f>
        <v/>
      </c>
      <c r="Q174" s="385" t="str">
        <f>IF(
    OR(ISBLANK(L174), ISBLANK(M174)),
    "",
    MAX(
        1,
        IF(
            NETWORKDAYS(L174, M174, Holiday_Dates) &lt;= 0,
            1,
            NETWORKDAYS(L174, M174, Holiday_Dates) - IF(L174 = M174, 0, 1)
        )
    )
)</f>
        <v/>
      </c>
      <c r="R174" s="385" t="str">
        <f>IFERROR(
    IF(
        OR(ISBLANK(N174), AND(ISBLANK(L174), ISBLANK(M174))),
        "",
        MAX(
            1,
            IF(
                NETWORKDAYS(IF(NOT(ISBLANK(M174)), M174, L174), N174, Holiday_Dates) &lt;= 0,
                1,
                NETWORKDAYS(IF(NOT(ISBLANK(M174)), M174, L174), N174, Holiday_Dates)
                - IF(IF(NOT(ISBLANK(M174)), M174, L174) = N174, 0, 1)
            )
        )
    ),
    ""
)</f>
        <v/>
      </c>
      <c r="S174" s="385" t="str">
        <f>IFERROR(
    IF(
        OR(ISBLANK(N174), ISBLANK(O174)),
        "",
        MAX(
            1,
            IF(
                NETWORKDAYS(N174, O174, Holiday_Dates) &lt;= 0,
                1,
                NETWORKDAYS(N174, O174, Holiday_Dates) - IF(N174 = O174, 0, 1)
            )
        )
    ),
    ""
)</f>
        <v/>
      </c>
      <c r="T174" s="385"/>
      <c r="U174" s="385" t="s">
        <v>4</v>
      </c>
      <c r="V174" s="385" t="s">
        <v>101</v>
      </c>
      <c r="W174" s="385" t="s">
        <v>1436</v>
      </c>
      <c r="X174" s="1"/>
    </row>
    <row r="175" spans="1:24">
      <c r="A175" s="385" t="s">
        <v>48</v>
      </c>
      <c r="B175" s="385" t="s">
        <v>265</v>
      </c>
      <c r="C175" s="385" t="s">
        <v>1751</v>
      </c>
      <c r="D175" s="385" t="s">
        <v>88</v>
      </c>
      <c r="E175" s="385"/>
      <c r="F175" s="385"/>
      <c r="G175" s="385"/>
      <c r="H175" s="385">
        <v>2024</v>
      </c>
      <c r="I175" s="386">
        <v>45583</v>
      </c>
      <c r="J175" s="30"/>
      <c r="K175" s="385"/>
      <c r="L175" s="385"/>
      <c r="M175" s="385"/>
      <c r="N175" s="385"/>
      <c r="O175" s="385"/>
      <c r="P175" s="385" t="str">
        <f>IFERROR(
    IF(
        OR(ISBLANK(I175), ISBLANK(L175)),
        "",
        MAX(
            1,
            IF(
                NETWORKDAYS(I175, L175, Holiday_Dates) &lt;= 0,
                1,
                NETWORKDAYS(I175, L175, Holiday_Dates) - IF(I175 = L175, 0, 1)
            )
        )
    ),
    ""
)</f>
        <v/>
      </c>
      <c r="Q175" s="385" t="str">
        <f>IF(
    OR(ISBLANK(L175), ISBLANK(M175)),
    "",
    MAX(
        1,
        IF(
            NETWORKDAYS(L175, M175, Holiday_Dates) &lt;= 0,
            1,
            NETWORKDAYS(L175, M175, Holiday_Dates) - IF(L175 = M175, 0, 1)
        )
    )
)</f>
        <v/>
      </c>
      <c r="R175" s="385" t="str">
        <f>IFERROR(
    IF(
        OR(ISBLANK(N175), AND(ISBLANK(L175), ISBLANK(M175))),
        "",
        MAX(
            1,
            IF(
                NETWORKDAYS(IF(NOT(ISBLANK(M175)), M175, L175), N175, Holiday_Dates) &lt;= 0,
                1,
                NETWORKDAYS(IF(NOT(ISBLANK(M175)), M175, L175), N175, Holiday_Dates)
                - IF(IF(NOT(ISBLANK(M175)), M175, L175) = N175, 0, 1)
            )
        )
    ),
    ""
)</f>
        <v/>
      </c>
      <c r="S175" s="385" t="str">
        <f>IFERROR(
    IF(
        OR(ISBLANK(N175), ISBLANK(O175)),
        "",
        MAX(
            1,
            IF(
                NETWORKDAYS(N175, O175, Holiday_Dates) &lt;= 0,
                1,
                NETWORKDAYS(N175, O175, Holiday_Dates) - IF(N175 = O175, 0, 1)
            )
        )
    ),
    ""
)</f>
        <v/>
      </c>
      <c r="T175" s="385"/>
      <c r="U175" s="385" t="s">
        <v>4</v>
      </c>
      <c r="V175" s="385" t="s">
        <v>101</v>
      </c>
      <c r="W175" s="385" t="s">
        <v>1436</v>
      </c>
      <c r="X175" s="1"/>
    </row>
    <row r="176" spans="1:24">
      <c r="A176" s="385" t="s">
        <v>48</v>
      </c>
      <c r="B176" s="385" t="s">
        <v>1755</v>
      </c>
      <c r="C176" s="385" t="s">
        <v>985</v>
      </c>
      <c r="D176" s="385" t="s">
        <v>88</v>
      </c>
      <c r="E176" s="385"/>
      <c r="F176" s="385"/>
      <c r="G176" s="385"/>
      <c r="H176" s="385">
        <v>2024</v>
      </c>
      <c r="I176" s="385" t="s">
        <v>1733</v>
      </c>
      <c r="J176" s="30"/>
      <c r="K176" s="385"/>
      <c r="L176" s="385"/>
      <c r="M176" s="385"/>
      <c r="N176" s="385"/>
      <c r="O176" s="385"/>
      <c r="P176" s="385" t="str">
        <f>IFERROR(
    IF(
        OR(ISBLANK(I176), ISBLANK(L176)),
        "",
        MAX(
            1,
            IF(
                NETWORKDAYS(I176, L176, Holiday_Dates) &lt;= 0,
                1,
                NETWORKDAYS(I176, L176, Holiday_Dates) - IF(I176 = L176, 0, 1)
            )
        )
    ),
    ""
)</f>
        <v/>
      </c>
      <c r="Q176" s="385" t="str">
        <f>IF(
    OR(ISBLANK(L176), ISBLANK(M176)),
    "",
    MAX(
        1,
        IF(
            NETWORKDAYS(L176, M176, Holiday_Dates) &lt;= 0,
            1,
            NETWORKDAYS(L176, M176, Holiday_Dates) - IF(L176 = M176, 0, 1)
        )
    )
)</f>
        <v/>
      </c>
      <c r="R176" s="385" t="str">
        <f>IFERROR(
    IF(
        OR(ISBLANK(N176), AND(ISBLANK(L176), ISBLANK(M176))),
        "",
        MAX(
            1,
            IF(
                NETWORKDAYS(IF(NOT(ISBLANK(M176)), M176, L176), N176, Holiday_Dates) &lt;= 0,
                1,
                NETWORKDAYS(IF(NOT(ISBLANK(M176)), M176, L176), N176, Holiday_Dates)
                - IF(IF(NOT(ISBLANK(M176)), M176, L176) = N176, 0, 1)
            )
        )
    ),
    ""
)</f>
        <v/>
      </c>
      <c r="S176" s="385" t="str">
        <f>IFERROR(
    IF(
        OR(ISBLANK(N176), ISBLANK(O176)),
        "",
        MAX(
            1,
            IF(
                NETWORKDAYS(N176, O176, Holiday_Dates) &lt;= 0,
                1,
                NETWORKDAYS(N176, O176, Holiday_Dates) - IF(N176 = O176, 0, 1)
            )
        )
    ),
    ""
)</f>
        <v/>
      </c>
      <c r="T176" s="385"/>
      <c r="U176" s="385" t="s">
        <v>4</v>
      </c>
      <c r="V176" s="385" t="s">
        <v>101</v>
      </c>
      <c r="W176" s="385" t="s">
        <v>1436</v>
      </c>
      <c r="X176" s="1"/>
    </row>
    <row r="177" spans="1:24">
      <c r="A177" s="385" t="s">
        <v>48</v>
      </c>
      <c r="B177" s="385" t="s">
        <v>1755</v>
      </c>
      <c r="C177" s="385" t="s">
        <v>1023</v>
      </c>
      <c r="D177" s="385" t="s">
        <v>88</v>
      </c>
      <c r="E177" s="385"/>
      <c r="F177" s="385"/>
      <c r="G177" s="385"/>
      <c r="H177" s="385">
        <v>2024</v>
      </c>
      <c r="I177" s="385" t="s">
        <v>4633</v>
      </c>
      <c r="J177" s="30"/>
      <c r="K177" s="385"/>
      <c r="L177" s="385"/>
      <c r="M177" s="385"/>
      <c r="N177" s="385"/>
      <c r="O177" s="385"/>
      <c r="P177" s="385" t="str">
        <f>IFERROR(
    IF(
        OR(ISBLANK(I177), ISBLANK(L177)),
        "",
        MAX(
            1,
            IF(
                NETWORKDAYS(I177, L177, Holiday_Dates) &lt;= 0,
                1,
                NETWORKDAYS(I177, L177, Holiday_Dates) - IF(I177 = L177, 0, 1)
            )
        )
    ),
    ""
)</f>
        <v/>
      </c>
      <c r="Q177" s="385" t="str">
        <f>IF(
    OR(ISBLANK(L177), ISBLANK(M177)),
    "",
    MAX(
        1,
        IF(
            NETWORKDAYS(L177, M177, Holiday_Dates) &lt;= 0,
            1,
            NETWORKDAYS(L177, M177, Holiday_Dates) - IF(L177 = M177, 0, 1)
        )
    )
)</f>
        <v/>
      </c>
      <c r="R177" s="385" t="str">
        <f>IFERROR(
    IF(
        OR(ISBLANK(N177), AND(ISBLANK(L177), ISBLANK(M177))),
        "",
        MAX(
            1,
            IF(
                NETWORKDAYS(IF(NOT(ISBLANK(M177)), M177, L177), N177, Holiday_Dates) &lt;= 0,
                1,
                NETWORKDAYS(IF(NOT(ISBLANK(M177)), M177, L177), N177, Holiday_Dates)
                - IF(IF(NOT(ISBLANK(M177)), M177, L177) = N177, 0, 1)
            )
        )
    ),
    ""
)</f>
        <v/>
      </c>
      <c r="S177" s="385" t="str">
        <f>IFERROR(
    IF(
        OR(ISBLANK(N177), ISBLANK(O177)),
        "",
        MAX(
            1,
            IF(
                NETWORKDAYS(N177, O177, Holiday_Dates) &lt;= 0,
                1,
                NETWORKDAYS(N177, O177, Holiday_Dates) - IF(N177 = O177, 0, 1)
            )
        )
    ),
    ""
)</f>
        <v/>
      </c>
      <c r="T177" s="385"/>
      <c r="U177" s="385" t="s">
        <v>4</v>
      </c>
      <c r="V177" s="385" t="s">
        <v>101</v>
      </c>
      <c r="W177" s="385" t="s">
        <v>1436</v>
      </c>
      <c r="X177" s="1"/>
    </row>
    <row r="178" spans="1:24">
      <c r="A178" s="385" t="s">
        <v>48</v>
      </c>
      <c r="B178" s="385" t="s">
        <v>1755</v>
      </c>
      <c r="C178" s="385" t="s">
        <v>1757</v>
      </c>
      <c r="D178" s="385" t="s">
        <v>88</v>
      </c>
      <c r="E178" s="385"/>
      <c r="F178" s="385"/>
      <c r="G178" s="385"/>
      <c r="H178" s="385">
        <v>2024</v>
      </c>
      <c r="I178" s="385" t="s">
        <v>1758</v>
      </c>
      <c r="J178" s="30"/>
      <c r="K178" s="385"/>
      <c r="L178" s="385"/>
      <c r="M178" s="385"/>
      <c r="N178" s="385"/>
      <c r="O178" s="385"/>
      <c r="P178" s="385" t="str">
        <f>IFERROR(
    IF(
        OR(ISBLANK(I178), ISBLANK(L178)),
        "",
        MAX(
            1,
            IF(
                NETWORKDAYS(I178, L178, Holiday_Dates) &lt;= 0,
                1,
                NETWORKDAYS(I178, L178, Holiday_Dates) - IF(I178 = L178, 0, 1)
            )
        )
    ),
    ""
)</f>
        <v/>
      </c>
      <c r="Q178" s="385" t="str">
        <f>IF(
    OR(ISBLANK(L178), ISBLANK(M178)),
    "",
    MAX(
        1,
        IF(
            NETWORKDAYS(L178, M178, Holiday_Dates) &lt;= 0,
            1,
            NETWORKDAYS(L178, M178, Holiday_Dates) - IF(L178 = M178, 0, 1)
        )
    )
)</f>
        <v/>
      </c>
      <c r="R178" s="385" t="str">
        <f>IFERROR(
    IF(
        OR(ISBLANK(N178), AND(ISBLANK(L178), ISBLANK(M178))),
        "",
        MAX(
            1,
            IF(
                NETWORKDAYS(IF(NOT(ISBLANK(M178)), M178, L178), N178, Holiday_Dates) &lt;= 0,
                1,
                NETWORKDAYS(IF(NOT(ISBLANK(M178)), M178, L178), N178, Holiday_Dates)
                - IF(IF(NOT(ISBLANK(M178)), M178, L178) = N178, 0, 1)
            )
        )
    ),
    ""
)</f>
        <v/>
      </c>
      <c r="S178" s="385" t="str">
        <f>IFERROR(
    IF(
        OR(ISBLANK(N178), ISBLANK(O178)),
        "",
        MAX(
            1,
            IF(
                NETWORKDAYS(N178, O178, Holiday_Dates) &lt;= 0,
                1,
                NETWORKDAYS(N178, O178, Holiday_Dates) - IF(N178 = O178, 0, 1)
            )
        )
    ),
    ""
)</f>
        <v/>
      </c>
      <c r="T178" s="385"/>
      <c r="U178" s="385" t="s">
        <v>4</v>
      </c>
      <c r="V178" s="385" t="s">
        <v>101</v>
      </c>
      <c r="W178" s="385" t="s">
        <v>1436</v>
      </c>
      <c r="X178" s="1"/>
    </row>
    <row r="179" spans="1:24">
      <c r="A179" s="385" t="s">
        <v>48</v>
      </c>
      <c r="B179" s="385" t="s">
        <v>1755</v>
      </c>
      <c r="C179" s="385" t="s">
        <v>1785</v>
      </c>
      <c r="D179" s="385" t="s">
        <v>88</v>
      </c>
      <c r="E179" s="385"/>
      <c r="F179" s="385"/>
      <c r="G179" s="385"/>
      <c r="H179" s="385">
        <v>2024</v>
      </c>
      <c r="I179" s="385" t="s">
        <v>1786</v>
      </c>
      <c r="J179" s="30"/>
      <c r="K179" s="385"/>
      <c r="L179" s="385"/>
      <c r="M179" s="385"/>
      <c r="N179" s="385"/>
      <c r="O179" s="385"/>
      <c r="P179" s="385" t="str">
        <f>IFERROR(
    IF(
        OR(ISBLANK(I179), ISBLANK(L179)),
        "",
        MAX(
            1,
            IF(
                NETWORKDAYS(I179, L179, Holiday_Dates) &lt;= 0,
                1,
                NETWORKDAYS(I179, L179, Holiday_Dates) - IF(I179 = L179, 0, 1)
            )
        )
    ),
    ""
)</f>
        <v/>
      </c>
      <c r="Q179" s="385" t="str">
        <f>IF(
    OR(ISBLANK(L179), ISBLANK(M179)),
    "",
    MAX(
        1,
        IF(
            NETWORKDAYS(L179, M179, Holiday_Dates) &lt;= 0,
            1,
            NETWORKDAYS(L179, M179, Holiday_Dates) - IF(L179 = M179, 0, 1)
        )
    )
)</f>
        <v/>
      </c>
      <c r="R179" s="385" t="str">
        <f>IFERROR(
    IF(
        OR(ISBLANK(N179), AND(ISBLANK(L179), ISBLANK(M179))),
        "",
        MAX(
            1,
            IF(
                NETWORKDAYS(IF(NOT(ISBLANK(M179)), M179, L179), N179, Holiday_Dates) &lt;= 0,
                1,
                NETWORKDAYS(IF(NOT(ISBLANK(M179)), M179, L179), N179, Holiday_Dates)
                - IF(IF(NOT(ISBLANK(M179)), M179, L179) = N179, 0, 1)
            )
        )
    ),
    ""
)</f>
        <v/>
      </c>
      <c r="S179" s="385" t="str">
        <f>IFERROR(
    IF(
        OR(ISBLANK(N179), ISBLANK(O179)),
        "",
        MAX(
            1,
            IF(
                NETWORKDAYS(N179, O179, Holiday_Dates) &lt;= 0,
                1,
                NETWORKDAYS(N179, O179, Holiday_Dates) - IF(N179 = O179, 0, 1)
            )
        )
    ),
    ""
)</f>
        <v/>
      </c>
      <c r="T179" s="385"/>
      <c r="U179" s="385" t="s">
        <v>4</v>
      </c>
      <c r="V179" s="385" t="s">
        <v>101</v>
      </c>
      <c r="W179" s="385" t="s">
        <v>1436</v>
      </c>
      <c r="X179" s="1"/>
    </row>
    <row r="180" spans="1:24">
      <c r="A180" s="385" t="s">
        <v>48</v>
      </c>
      <c r="B180" s="385" t="s">
        <v>1755</v>
      </c>
      <c r="C180" s="385" t="s">
        <v>1762</v>
      </c>
      <c r="D180" s="385" t="s">
        <v>88</v>
      </c>
      <c r="E180" s="385"/>
      <c r="F180" s="385"/>
      <c r="G180" s="385"/>
      <c r="H180" s="385">
        <v>2024</v>
      </c>
      <c r="I180" s="385" t="s">
        <v>1763</v>
      </c>
      <c r="J180" s="30"/>
      <c r="K180" s="385"/>
      <c r="L180" s="385"/>
      <c r="M180" s="385"/>
      <c r="N180" s="385"/>
      <c r="O180" s="385"/>
      <c r="P180" s="385" t="str">
        <f>IFERROR(
    IF(
        OR(ISBLANK(I180), ISBLANK(L180)),
        "",
        MAX(
            1,
            IF(
                NETWORKDAYS(I180, L180, Holiday_Dates) &lt;= 0,
                1,
                NETWORKDAYS(I180, L180, Holiday_Dates) - IF(I180 = L180, 0, 1)
            )
        )
    ),
    ""
)</f>
        <v/>
      </c>
      <c r="Q180" s="385" t="str">
        <f>IF(
    OR(ISBLANK(L180), ISBLANK(M180)),
    "",
    MAX(
        1,
        IF(
            NETWORKDAYS(L180, M180, Holiday_Dates) &lt;= 0,
            1,
            NETWORKDAYS(L180, M180, Holiday_Dates) - IF(L180 = M180, 0, 1)
        )
    )
)</f>
        <v/>
      </c>
      <c r="R180" s="385" t="str">
        <f>IFERROR(
    IF(
        OR(ISBLANK(N180), AND(ISBLANK(L180), ISBLANK(M180))),
        "",
        MAX(
            1,
            IF(
                NETWORKDAYS(IF(NOT(ISBLANK(M180)), M180, L180), N180, Holiday_Dates) &lt;= 0,
                1,
                NETWORKDAYS(IF(NOT(ISBLANK(M180)), M180, L180), N180, Holiday_Dates)
                - IF(IF(NOT(ISBLANK(M180)), M180, L180) = N180, 0, 1)
            )
        )
    ),
    ""
)</f>
        <v/>
      </c>
      <c r="S180" s="385" t="str">
        <f>IFERROR(
    IF(
        OR(ISBLANK(N180), ISBLANK(O180)),
        "",
        MAX(
            1,
            IF(
                NETWORKDAYS(N180, O180, Holiday_Dates) &lt;= 0,
                1,
                NETWORKDAYS(N180, O180, Holiday_Dates) - IF(N180 = O180, 0, 1)
            )
        )
    ),
    ""
)</f>
        <v/>
      </c>
      <c r="T180" s="385"/>
      <c r="U180" s="385" t="s">
        <v>4</v>
      </c>
      <c r="V180" s="385" t="s">
        <v>101</v>
      </c>
      <c r="W180" s="385" t="s">
        <v>1436</v>
      </c>
      <c r="X180" s="1"/>
    </row>
    <row r="181" spans="1:24">
      <c r="A181" s="385" t="s">
        <v>48</v>
      </c>
      <c r="B181" s="385" t="s">
        <v>1755</v>
      </c>
      <c r="C181" s="385" t="s">
        <v>1766</v>
      </c>
      <c r="D181" s="385" t="s">
        <v>88</v>
      </c>
      <c r="E181" s="385"/>
      <c r="F181" s="385"/>
      <c r="G181" s="385"/>
      <c r="H181" s="385">
        <v>2025</v>
      </c>
      <c r="I181" s="386">
        <v>45706</v>
      </c>
      <c r="J181" s="30" t="s">
        <v>4634</v>
      </c>
      <c r="K181" s="385"/>
      <c r="L181" s="385"/>
      <c r="M181" s="385"/>
      <c r="N181" s="385"/>
      <c r="O181" s="385"/>
      <c r="P181" s="385" t="str">
        <f>IFERROR(
    IF(
        OR(ISBLANK(I181), ISBLANK(L181)),
        "",
        MAX(
            1,
            IF(
                NETWORKDAYS(I181, L181, Holiday_Dates) &lt;= 0,
                1,
                NETWORKDAYS(I181, L181, Holiday_Dates) - IF(I181 = L181, 0, 1)
            )
        )
    ),
    ""
)</f>
        <v/>
      </c>
      <c r="Q181" s="385" t="str">
        <f>IF(
    OR(ISBLANK(L181), ISBLANK(M181)),
    "",
    MAX(
        1,
        IF(
            NETWORKDAYS(L181, M181, Holiday_Dates) &lt;= 0,
            1,
            NETWORKDAYS(L181, M181, Holiday_Dates) - IF(L181 = M181, 0, 1)
        )
    )
)</f>
        <v/>
      </c>
      <c r="R181" s="385" t="str">
        <f>IFERROR(
    IF(
        OR(ISBLANK(N181), AND(ISBLANK(L181), ISBLANK(M181))),
        "",
        MAX(
            1,
            IF(
                NETWORKDAYS(IF(NOT(ISBLANK(M181)), M181, L181), N181, Holiday_Dates) &lt;= 0,
                1,
                NETWORKDAYS(IF(NOT(ISBLANK(M181)), M181, L181), N181, Holiday_Dates)
                - IF(IF(NOT(ISBLANK(M181)), M181, L181) = N181, 0, 1)
            )
        )
    ),
    ""
)</f>
        <v/>
      </c>
      <c r="S181" s="385" t="str">
        <f>IFERROR(
    IF(
        OR(ISBLANK(N181), ISBLANK(O181)),
        "",
        MAX(
            1,
            IF(
                NETWORKDAYS(N181, O181, Holiday_Dates) &lt;= 0,
                1,
                NETWORKDAYS(N181, O181, Holiday_Dates) - IF(N181 = O181, 0, 1)
            )
        )
    ),
    ""
)</f>
        <v/>
      </c>
      <c r="T181" s="385"/>
      <c r="U181" s="385" t="s">
        <v>4</v>
      </c>
      <c r="V181" s="385" t="s">
        <v>101</v>
      </c>
      <c r="W181" s="385" t="s">
        <v>1436</v>
      </c>
      <c r="X181" s="1"/>
    </row>
    <row r="182" spans="1:24">
      <c r="A182" s="385" t="s">
        <v>48</v>
      </c>
      <c r="B182" s="385" t="s">
        <v>1755</v>
      </c>
      <c r="C182" s="385" t="s">
        <v>1801</v>
      </c>
      <c r="D182" s="385" t="s">
        <v>88</v>
      </c>
      <c r="E182" s="385"/>
      <c r="F182" s="385"/>
      <c r="G182" s="385"/>
      <c r="H182" s="385">
        <v>2024</v>
      </c>
      <c r="I182" s="385" t="s">
        <v>1802</v>
      </c>
      <c r="J182" s="30"/>
      <c r="K182" s="385"/>
      <c r="L182" s="385"/>
      <c r="M182" s="385"/>
      <c r="N182" s="385"/>
      <c r="O182" s="385"/>
      <c r="P182" s="385" t="str">
        <f>IFERROR(
    IF(
        OR(ISBLANK(I182), ISBLANK(L182)),
        "",
        MAX(
            1,
            IF(
                NETWORKDAYS(I182, L182, Holiday_Dates) &lt;= 0,
                1,
                NETWORKDAYS(I182, L182, Holiday_Dates) - IF(I182 = L182, 0, 1)
            )
        )
    ),
    ""
)</f>
        <v/>
      </c>
      <c r="Q182" s="385" t="str">
        <f>IF(
    OR(ISBLANK(L182), ISBLANK(M182)),
    "",
    MAX(
        1,
        IF(
            NETWORKDAYS(L182, M182, Holiday_Dates) &lt;= 0,
            1,
            NETWORKDAYS(L182, M182, Holiday_Dates) - IF(L182 = M182, 0, 1)
        )
    )
)</f>
        <v/>
      </c>
      <c r="R182" s="385" t="str">
        <f>IFERROR(
    IF(
        OR(ISBLANK(N182), AND(ISBLANK(L182), ISBLANK(M182))),
        "",
        MAX(
            1,
            IF(
                NETWORKDAYS(IF(NOT(ISBLANK(M182)), M182, L182), N182, Holiday_Dates) &lt;= 0,
                1,
                NETWORKDAYS(IF(NOT(ISBLANK(M182)), M182, L182), N182, Holiday_Dates)
                - IF(IF(NOT(ISBLANK(M182)), M182, L182) = N182, 0, 1)
            )
        )
    ),
    ""
)</f>
        <v/>
      </c>
      <c r="S182" s="385" t="str">
        <f>IFERROR(
    IF(
        OR(ISBLANK(N182), ISBLANK(O182)),
        "",
        MAX(
            1,
            IF(
                NETWORKDAYS(N182, O182, Holiday_Dates) &lt;= 0,
                1,
                NETWORKDAYS(N182, O182, Holiday_Dates) - IF(N182 = O182, 0, 1)
            )
        )
    ),
    ""
)</f>
        <v/>
      </c>
      <c r="T182" s="385"/>
      <c r="U182" s="385" t="s">
        <v>4</v>
      </c>
      <c r="V182" s="385" t="s">
        <v>101</v>
      </c>
      <c r="W182" s="385" t="s">
        <v>1436</v>
      </c>
      <c r="X182" s="1"/>
    </row>
    <row r="183" spans="1:24">
      <c r="A183" s="385" t="s">
        <v>48</v>
      </c>
      <c r="B183" s="385" t="s">
        <v>1755</v>
      </c>
      <c r="C183" s="385" t="s">
        <v>1767</v>
      </c>
      <c r="D183" s="385" t="s">
        <v>88</v>
      </c>
      <c r="E183" s="385"/>
      <c r="F183" s="385"/>
      <c r="G183" s="385"/>
      <c r="H183" s="385">
        <v>2025</v>
      </c>
      <c r="I183" s="386">
        <v>45793</v>
      </c>
      <c r="J183" s="30" t="s">
        <v>4635</v>
      </c>
      <c r="K183" s="385"/>
      <c r="L183" s="385"/>
      <c r="M183" s="385"/>
      <c r="N183" s="385"/>
      <c r="O183" s="385"/>
      <c r="P183" s="385" t="str">
        <f>IFERROR(
    IF(
        OR(ISBLANK(I183), ISBLANK(L183)),
        "",
        MAX(
            1,
            IF(
                NETWORKDAYS(I183, L183, Holiday_Dates) &lt;= 0,
                1,
                NETWORKDAYS(I183, L183, Holiday_Dates) - IF(I183 = L183, 0, 1)
            )
        )
    ),
    ""
)</f>
        <v/>
      </c>
      <c r="Q183" s="385" t="str">
        <f>IF(
    OR(ISBLANK(L183), ISBLANK(M183)),
    "",
    MAX(
        1,
        IF(
            NETWORKDAYS(L183, M183, Holiday_Dates) &lt;= 0,
            1,
            NETWORKDAYS(L183, M183, Holiday_Dates) - IF(L183 = M183, 0, 1)
        )
    )
)</f>
        <v/>
      </c>
      <c r="R183" s="385" t="str">
        <f>IFERROR(
    IF(
        OR(ISBLANK(N183), AND(ISBLANK(L183), ISBLANK(M183))),
        "",
        MAX(
            1,
            IF(
                NETWORKDAYS(IF(NOT(ISBLANK(M183)), M183, L183), N183, Holiday_Dates) &lt;= 0,
                1,
                NETWORKDAYS(IF(NOT(ISBLANK(M183)), M183, L183), N183, Holiday_Dates)
                - IF(IF(NOT(ISBLANK(M183)), M183, L183) = N183, 0, 1)
            )
        )
    ),
    ""
)</f>
        <v/>
      </c>
      <c r="S183" s="385" t="str">
        <f>IFERROR(
    IF(
        OR(ISBLANK(N183), ISBLANK(O183)),
        "",
        MAX(
            1,
            IF(
                NETWORKDAYS(N183, O183, Holiday_Dates) &lt;= 0,
                1,
                NETWORKDAYS(N183, O183, Holiday_Dates) - IF(N183 = O183, 0, 1)
            )
        )
    ),
    ""
)</f>
        <v/>
      </c>
      <c r="T183" s="385"/>
      <c r="U183" s="385" t="s">
        <v>672</v>
      </c>
      <c r="V183" s="385" t="s">
        <v>101</v>
      </c>
      <c r="W183" s="385" t="s">
        <v>1436</v>
      </c>
      <c r="X183" s="1"/>
    </row>
    <row r="184" spans="1:24">
      <c r="A184" s="385" t="s">
        <v>48</v>
      </c>
      <c r="B184" s="385" t="s">
        <v>1755</v>
      </c>
      <c r="C184" s="385" t="s">
        <v>1768</v>
      </c>
      <c r="D184" s="385" t="s">
        <v>88</v>
      </c>
      <c r="E184" s="385"/>
      <c r="F184" s="385"/>
      <c r="G184" s="385"/>
      <c r="H184" s="385">
        <v>2025</v>
      </c>
      <c r="I184" s="386">
        <v>45679</v>
      </c>
      <c r="J184" s="30" t="s">
        <v>4636</v>
      </c>
      <c r="K184" s="385"/>
      <c r="L184" s="385"/>
      <c r="M184" s="385"/>
      <c r="N184" s="385"/>
      <c r="O184" s="385"/>
      <c r="P184" s="385" t="str">
        <f>IFERROR(
    IF(
        OR(ISBLANK(I184), ISBLANK(L184)),
        "",
        MAX(
            1,
            IF(
                NETWORKDAYS(I184, L184, Holiday_Dates) &lt;= 0,
                1,
                NETWORKDAYS(I184, L184, Holiday_Dates) - IF(I184 = L184, 0, 1)
            )
        )
    ),
    ""
)</f>
        <v/>
      </c>
      <c r="Q184" s="385" t="str">
        <f>IF(
    OR(ISBLANK(L184), ISBLANK(M184)),
    "",
    MAX(
        1,
        IF(
            NETWORKDAYS(L184, M184, Holiday_Dates) &lt;= 0,
            1,
            NETWORKDAYS(L184, M184, Holiday_Dates) - IF(L184 = M184, 0, 1)
        )
    )
)</f>
        <v/>
      </c>
      <c r="R184" s="385" t="str">
        <f>IFERROR(
    IF(
        OR(ISBLANK(N184), AND(ISBLANK(L184), ISBLANK(M184))),
        "",
        MAX(
            1,
            IF(
                NETWORKDAYS(IF(NOT(ISBLANK(M184)), M184, L184), N184, Holiday_Dates) &lt;= 0,
                1,
                NETWORKDAYS(IF(NOT(ISBLANK(M184)), M184, L184), N184, Holiday_Dates)
                - IF(IF(NOT(ISBLANK(M184)), M184, L184) = N184, 0, 1)
            )
        )
    ),
    ""
)</f>
        <v/>
      </c>
      <c r="S184" s="385" t="str">
        <f>IFERROR(
    IF(
        OR(ISBLANK(N184), ISBLANK(O184)),
        "",
        MAX(
            1,
            IF(
                NETWORKDAYS(N184, O184, Holiday_Dates) &lt;= 0,
                1,
                NETWORKDAYS(N184, O184, Holiday_Dates) - IF(N184 = O184, 0, 1)
            )
        )
    ),
    ""
)</f>
        <v/>
      </c>
      <c r="T184" s="385"/>
      <c r="U184" s="385" t="s">
        <v>4</v>
      </c>
      <c r="V184" s="385" t="s">
        <v>101</v>
      </c>
      <c r="W184" s="385" t="s">
        <v>1436</v>
      </c>
      <c r="X184" s="1"/>
    </row>
    <row r="185" spans="1:24">
      <c r="A185" s="385" t="s">
        <v>48</v>
      </c>
      <c r="B185" s="385" t="s">
        <v>1755</v>
      </c>
      <c r="C185" s="385" t="s">
        <v>1769</v>
      </c>
      <c r="D185" s="385" t="s">
        <v>88</v>
      </c>
      <c r="E185" s="385"/>
      <c r="F185" s="385"/>
      <c r="G185" s="385"/>
      <c r="H185" s="385">
        <v>2025</v>
      </c>
      <c r="I185" s="386">
        <v>45743</v>
      </c>
      <c r="J185" s="30" t="s">
        <v>4637</v>
      </c>
      <c r="K185" s="385"/>
      <c r="L185" s="385"/>
      <c r="M185" s="385"/>
      <c r="N185" s="385"/>
      <c r="O185" s="385"/>
      <c r="P185" s="385" t="str">
        <f>IFERROR(
    IF(
        OR(ISBLANK(I185), ISBLANK(L185)),
        "",
        MAX(
            1,
            IF(
                NETWORKDAYS(I185, L185, Holiday_Dates) &lt;= 0,
                1,
                NETWORKDAYS(I185, L185, Holiday_Dates) - IF(I185 = L185, 0, 1)
            )
        )
    ),
    ""
)</f>
        <v/>
      </c>
      <c r="Q185" s="385" t="str">
        <f>IF(
    OR(ISBLANK(L185), ISBLANK(M185)),
    "",
    MAX(
        1,
        IF(
            NETWORKDAYS(L185, M185, Holiday_Dates) &lt;= 0,
            1,
            NETWORKDAYS(L185, M185, Holiday_Dates) - IF(L185 = M185, 0, 1)
        )
    )
)</f>
        <v/>
      </c>
      <c r="R185" s="385" t="str">
        <f>IFERROR(
    IF(
        OR(ISBLANK(N185), AND(ISBLANK(L185), ISBLANK(M185))),
        "",
        MAX(
            1,
            IF(
                NETWORKDAYS(IF(NOT(ISBLANK(M185)), M185, L185), N185, Holiday_Dates) &lt;= 0,
                1,
                NETWORKDAYS(IF(NOT(ISBLANK(M185)), M185, L185), N185, Holiday_Dates)
                - IF(IF(NOT(ISBLANK(M185)), M185, L185) = N185, 0, 1)
            )
        )
    ),
    ""
)</f>
        <v/>
      </c>
      <c r="S185" s="385" t="str">
        <f>IFERROR(
    IF(
        OR(ISBLANK(N185), ISBLANK(O185)),
        "",
        MAX(
            1,
            IF(
                NETWORKDAYS(N185, O185, Holiday_Dates) &lt;= 0,
                1,
                NETWORKDAYS(N185, O185, Holiday_Dates) - IF(N185 = O185, 0, 1)
            )
        )
    ),
    ""
)</f>
        <v/>
      </c>
      <c r="T185" s="385"/>
      <c r="U185" s="385" t="s">
        <v>672</v>
      </c>
      <c r="V185" s="385" t="s">
        <v>108</v>
      </c>
      <c r="W185" s="385" t="s">
        <v>1436</v>
      </c>
      <c r="X185" s="1"/>
    </row>
    <row r="186" spans="1:24">
      <c r="A186" s="385" t="s">
        <v>48</v>
      </c>
      <c r="B186" s="385" t="s">
        <v>1755</v>
      </c>
      <c r="C186" s="385" t="s">
        <v>1806</v>
      </c>
      <c r="D186" s="385" t="s">
        <v>88</v>
      </c>
      <c r="E186" s="385"/>
      <c r="F186" s="385"/>
      <c r="G186" s="385"/>
      <c r="H186" s="385">
        <v>2024</v>
      </c>
      <c r="I186" s="385" t="s">
        <v>4633</v>
      </c>
      <c r="J186" s="30"/>
      <c r="K186" s="385"/>
      <c r="L186" s="385"/>
      <c r="M186" s="385"/>
      <c r="N186" s="385"/>
      <c r="O186" s="385"/>
      <c r="P186" s="385" t="str">
        <f>IFERROR(
    IF(
        OR(ISBLANK(I186), ISBLANK(L186)),
        "",
        MAX(
            1,
            IF(
                NETWORKDAYS(I186, L186, Holiday_Dates) &lt;= 0,
                1,
                NETWORKDAYS(I186, L186, Holiday_Dates) - IF(I186 = L186, 0, 1)
            )
        )
    ),
    ""
)</f>
        <v/>
      </c>
      <c r="Q186" s="385" t="str">
        <f>IF(
    OR(ISBLANK(L186), ISBLANK(M186)),
    "",
    MAX(
        1,
        IF(
            NETWORKDAYS(L186, M186, Holiday_Dates) &lt;= 0,
            1,
            NETWORKDAYS(L186, M186, Holiday_Dates) - IF(L186 = M186, 0, 1)
        )
    )
)</f>
        <v/>
      </c>
      <c r="R186" s="385" t="str">
        <f>IFERROR(
    IF(
        OR(ISBLANK(N186), AND(ISBLANK(L186), ISBLANK(M186))),
        "",
        MAX(
            1,
            IF(
                NETWORKDAYS(IF(NOT(ISBLANK(M186)), M186, L186), N186, Holiday_Dates) &lt;= 0,
                1,
                NETWORKDAYS(IF(NOT(ISBLANK(M186)), M186, L186), N186, Holiday_Dates)
                - IF(IF(NOT(ISBLANK(M186)), M186, L186) = N186, 0, 1)
            )
        )
    ),
    ""
)</f>
        <v/>
      </c>
      <c r="S186" s="385" t="str">
        <f>IFERROR(
    IF(
        OR(ISBLANK(N186), ISBLANK(O186)),
        "",
        MAX(
            1,
            IF(
                NETWORKDAYS(N186, O186, Holiday_Dates) &lt;= 0,
                1,
                NETWORKDAYS(N186, O186, Holiday_Dates) - IF(N186 = O186, 0, 1)
            )
        )
    ),
    ""
)</f>
        <v/>
      </c>
      <c r="T186" s="385"/>
      <c r="U186" s="385" t="s">
        <v>4</v>
      </c>
      <c r="V186" s="385" t="s">
        <v>108</v>
      </c>
      <c r="W186" s="385" t="s">
        <v>1436</v>
      </c>
      <c r="X186" s="1"/>
    </row>
    <row r="187" spans="1:24">
      <c r="A187" s="385" t="s">
        <v>48</v>
      </c>
      <c r="B187" s="385" t="s">
        <v>1755</v>
      </c>
      <c r="C187" s="385" t="s">
        <v>1770</v>
      </c>
      <c r="D187" s="385" t="s">
        <v>88</v>
      </c>
      <c r="E187" s="385"/>
      <c r="F187" s="385"/>
      <c r="G187" s="385"/>
      <c r="H187" s="385">
        <v>2024</v>
      </c>
      <c r="I187" s="385" t="s">
        <v>4638</v>
      </c>
      <c r="J187" s="30"/>
      <c r="K187" s="385"/>
      <c r="L187" s="385"/>
      <c r="M187" s="385"/>
      <c r="N187" s="385"/>
      <c r="O187" s="385"/>
      <c r="P187" s="385" t="str">
        <f>IFERROR(
    IF(
        OR(ISBLANK(I187), ISBLANK(L187)),
        "",
        MAX(
            1,
            IF(
                NETWORKDAYS(I187, L187, Holiday_Dates) &lt;= 0,
                1,
                NETWORKDAYS(I187, L187, Holiday_Dates) - IF(I187 = L187, 0, 1)
            )
        )
    ),
    ""
)</f>
        <v/>
      </c>
      <c r="Q187" s="385" t="str">
        <f>IF(
    OR(ISBLANK(L187), ISBLANK(M187)),
    "",
    MAX(
        1,
        IF(
            NETWORKDAYS(L187, M187, Holiday_Dates) &lt;= 0,
            1,
            NETWORKDAYS(L187, M187, Holiday_Dates) - IF(L187 = M187, 0, 1)
        )
    )
)</f>
        <v/>
      </c>
      <c r="R187" s="385" t="str">
        <f>IFERROR(
    IF(
        OR(ISBLANK(N187), AND(ISBLANK(L187), ISBLANK(M187))),
        "",
        MAX(
            1,
            IF(
                NETWORKDAYS(IF(NOT(ISBLANK(M187)), M187, L187), N187, Holiday_Dates) &lt;= 0,
                1,
                NETWORKDAYS(IF(NOT(ISBLANK(M187)), M187, L187), N187, Holiday_Dates)
                - IF(IF(NOT(ISBLANK(M187)), M187, L187) = N187, 0, 1)
            )
        )
    ),
    ""
)</f>
        <v/>
      </c>
      <c r="S187" s="385" t="str">
        <f>IFERROR(
    IF(
        OR(ISBLANK(N187), ISBLANK(O187)),
        "",
        MAX(
            1,
            IF(
                NETWORKDAYS(N187, O187, Holiday_Dates) &lt;= 0,
                1,
                NETWORKDAYS(N187, O187, Holiday_Dates) - IF(N187 = O187, 0, 1)
            )
        )
    ),
    ""
)</f>
        <v/>
      </c>
      <c r="T187" s="385"/>
      <c r="U187" s="385" t="s">
        <v>4</v>
      </c>
      <c r="V187" s="385" t="s">
        <v>101</v>
      </c>
      <c r="W187" s="385" t="s">
        <v>1436</v>
      </c>
      <c r="X187" s="1"/>
    </row>
    <row r="188" spans="1:24">
      <c r="A188" s="385" t="s">
        <v>48</v>
      </c>
      <c r="B188" s="385" t="s">
        <v>1755</v>
      </c>
      <c r="C188" s="385" t="s">
        <v>1808</v>
      </c>
      <c r="D188" s="385" t="s">
        <v>88</v>
      </c>
      <c r="E188" s="385"/>
      <c r="F188" s="385"/>
      <c r="G188" s="385"/>
      <c r="H188" s="385">
        <v>2024</v>
      </c>
      <c r="I188" s="385" t="s">
        <v>1759</v>
      </c>
      <c r="J188" s="30"/>
      <c r="K188" s="385"/>
      <c r="L188" s="385"/>
      <c r="M188" s="385"/>
      <c r="N188" s="385"/>
      <c r="O188" s="385"/>
      <c r="P188" s="385" t="str">
        <f>IFERROR(
    IF(
        OR(ISBLANK(I188), ISBLANK(L188)),
        "",
        MAX(
            1,
            IF(
                NETWORKDAYS(I188, L188, Holiday_Dates) &lt;= 0,
                1,
                NETWORKDAYS(I188, L188, Holiday_Dates) - IF(I188 = L188, 0, 1)
            )
        )
    ),
    ""
)</f>
        <v/>
      </c>
      <c r="Q188" s="385" t="str">
        <f>IF(
    OR(ISBLANK(L188), ISBLANK(M188)),
    "",
    MAX(
        1,
        IF(
            NETWORKDAYS(L188, M188, Holiday_Dates) &lt;= 0,
            1,
            NETWORKDAYS(L188, M188, Holiday_Dates) - IF(L188 = M188, 0, 1)
        )
    )
)</f>
        <v/>
      </c>
      <c r="R188" s="385" t="str">
        <f>IFERROR(
    IF(
        OR(ISBLANK(N188), AND(ISBLANK(L188), ISBLANK(M188))),
        "",
        MAX(
            1,
            IF(
                NETWORKDAYS(IF(NOT(ISBLANK(M188)), M188, L188), N188, Holiday_Dates) &lt;= 0,
                1,
                NETWORKDAYS(IF(NOT(ISBLANK(M188)), M188, L188), N188, Holiday_Dates)
                - IF(IF(NOT(ISBLANK(M188)), M188, L188) = N188, 0, 1)
            )
        )
    ),
    ""
)</f>
        <v/>
      </c>
      <c r="S188" s="385" t="str">
        <f>IFERROR(
    IF(
        OR(ISBLANK(N188), ISBLANK(O188)),
        "",
        MAX(
            1,
            IF(
                NETWORKDAYS(N188, O188, Holiday_Dates) &lt;= 0,
                1,
                NETWORKDAYS(N188, O188, Holiday_Dates) - IF(N188 = O188, 0, 1)
            )
        )
    ),
    ""
)</f>
        <v/>
      </c>
      <c r="T188" s="385"/>
      <c r="U188" s="385" t="s">
        <v>4</v>
      </c>
      <c r="V188" s="385" t="s">
        <v>101</v>
      </c>
      <c r="W188" s="385" t="s">
        <v>1436</v>
      </c>
      <c r="X188" s="1"/>
    </row>
    <row r="189" spans="1:24">
      <c r="A189" s="385" t="s">
        <v>48</v>
      </c>
      <c r="B189" s="385" t="s">
        <v>1755</v>
      </c>
      <c r="C189" s="385" t="s">
        <v>1772</v>
      </c>
      <c r="D189" s="385" t="s">
        <v>88</v>
      </c>
      <c r="E189" s="385"/>
      <c r="F189" s="385"/>
      <c r="G189" s="385"/>
      <c r="H189" s="385">
        <v>2024</v>
      </c>
      <c r="I189" s="385" t="s">
        <v>4639</v>
      </c>
      <c r="J189" s="30"/>
      <c r="K189" s="385"/>
      <c r="L189" s="385"/>
      <c r="M189" s="385"/>
      <c r="N189" s="385"/>
      <c r="O189" s="385"/>
      <c r="P189" s="385" t="str">
        <f>IFERROR(
    IF(
        OR(ISBLANK(I189), ISBLANK(L189)),
        "",
        MAX(
            1,
            IF(
                NETWORKDAYS(I189, L189, Holiday_Dates) &lt;= 0,
                1,
                NETWORKDAYS(I189, L189, Holiday_Dates) - IF(I189 = L189, 0, 1)
            )
        )
    ),
    ""
)</f>
        <v/>
      </c>
      <c r="Q189" s="385" t="str">
        <f>IF(
    OR(ISBLANK(L189), ISBLANK(M189)),
    "",
    MAX(
        1,
        IF(
            NETWORKDAYS(L189, M189, Holiday_Dates) &lt;= 0,
            1,
            NETWORKDAYS(L189, M189, Holiday_Dates) - IF(L189 = M189, 0, 1)
        )
    )
)</f>
        <v/>
      </c>
      <c r="R189" s="385" t="str">
        <f>IFERROR(
    IF(
        OR(ISBLANK(N189), AND(ISBLANK(L189), ISBLANK(M189))),
        "",
        MAX(
            1,
            IF(
                NETWORKDAYS(IF(NOT(ISBLANK(M189)), M189, L189), N189, Holiday_Dates) &lt;= 0,
                1,
                NETWORKDAYS(IF(NOT(ISBLANK(M189)), M189, L189), N189, Holiday_Dates)
                - IF(IF(NOT(ISBLANK(M189)), M189, L189) = N189, 0, 1)
            )
        )
    ),
    ""
)</f>
        <v/>
      </c>
      <c r="S189" s="385" t="str">
        <f>IFERROR(
    IF(
        OR(ISBLANK(N189), ISBLANK(O189)),
        "",
        MAX(
            1,
            IF(
                NETWORKDAYS(N189, O189, Holiday_Dates) &lt;= 0,
                1,
                NETWORKDAYS(N189, O189, Holiday_Dates) - IF(N189 = O189, 0, 1)
            )
        )
    ),
    ""
)</f>
        <v/>
      </c>
      <c r="T189" s="385"/>
      <c r="U189" s="385" t="s">
        <v>4</v>
      </c>
      <c r="V189" s="385" t="s">
        <v>101</v>
      </c>
      <c r="W189" s="385" t="s">
        <v>1436</v>
      </c>
      <c r="X189" s="1"/>
    </row>
    <row r="190" spans="1:24">
      <c r="A190" s="385" t="s">
        <v>48</v>
      </c>
      <c r="B190" s="385" t="s">
        <v>1755</v>
      </c>
      <c r="C190" s="385" t="s">
        <v>1061</v>
      </c>
      <c r="D190" s="385" t="s">
        <v>88</v>
      </c>
      <c r="E190" s="385"/>
      <c r="F190" s="385"/>
      <c r="G190" s="385"/>
      <c r="H190" s="385">
        <v>2024</v>
      </c>
      <c r="I190" s="385" t="s">
        <v>4640</v>
      </c>
      <c r="J190" s="30"/>
      <c r="K190" s="385"/>
      <c r="L190" s="385"/>
      <c r="M190" s="385"/>
      <c r="N190" s="385"/>
      <c r="O190" s="385"/>
      <c r="P190" s="385" t="str">
        <f>IFERROR(
    IF(
        OR(ISBLANK(I190), ISBLANK(L190)),
        "",
        MAX(
            1,
            IF(
                NETWORKDAYS(I190, L190, Holiday_Dates) &lt;= 0,
                1,
                NETWORKDAYS(I190, L190, Holiday_Dates) - IF(I190 = L190, 0, 1)
            )
        )
    ),
    ""
)</f>
        <v/>
      </c>
      <c r="Q190" s="385" t="str">
        <f>IF(
    OR(ISBLANK(L190), ISBLANK(M190)),
    "",
    MAX(
        1,
        IF(
            NETWORKDAYS(L190, M190, Holiday_Dates) &lt;= 0,
            1,
            NETWORKDAYS(L190, M190, Holiday_Dates) - IF(L190 = M190, 0, 1)
        )
    )
)</f>
        <v/>
      </c>
      <c r="R190" s="385" t="str">
        <f>IFERROR(
    IF(
        OR(ISBLANK(N190), AND(ISBLANK(L190), ISBLANK(M190))),
        "",
        MAX(
            1,
            IF(
                NETWORKDAYS(IF(NOT(ISBLANK(M190)), M190, L190), N190, Holiday_Dates) &lt;= 0,
                1,
                NETWORKDAYS(IF(NOT(ISBLANK(M190)), M190, L190), N190, Holiday_Dates)
                - IF(IF(NOT(ISBLANK(M190)), M190, L190) = N190, 0, 1)
            )
        )
    ),
    ""
)</f>
        <v/>
      </c>
      <c r="S190" s="385" t="str">
        <f>IFERROR(
    IF(
        OR(ISBLANK(N190), ISBLANK(O190)),
        "",
        MAX(
            1,
            IF(
                NETWORKDAYS(N190, O190, Holiday_Dates) &lt;= 0,
                1,
                NETWORKDAYS(N190, O190, Holiday_Dates) - IF(N190 = O190, 0, 1)
            )
        )
    ),
    ""
)</f>
        <v/>
      </c>
      <c r="T190" s="385"/>
      <c r="U190" s="385" t="s">
        <v>4</v>
      </c>
      <c r="V190" s="385" t="s">
        <v>101</v>
      </c>
      <c r="W190" s="385" t="s">
        <v>1436</v>
      </c>
      <c r="X190" s="1"/>
    </row>
    <row r="191" spans="1:24">
      <c r="A191" s="385" t="s">
        <v>48</v>
      </c>
      <c r="B191" s="385" t="s">
        <v>1755</v>
      </c>
      <c r="C191" s="385" t="s">
        <v>926</v>
      </c>
      <c r="D191" s="385" t="s">
        <v>88</v>
      </c>
      <c r="E191" s="385"/>
      <c r="F191" s="385"/>
      <c r="G191" s="385"/>
      <c r="H191" s="385">
        <v>2024</v>
      </c>
      <c r="I191" s="385" t="s">
        <v>1774</v>
      </c>
      <c r="J191" s="30"/>
      <c r="K191" s="385"/>
      <c r="L191" s="385"/>
      <c r="M191" s="385"/>
      <c r="N191" s="385"/>
      <c r="O191" s="385"/>
      <c r="P191" s="385" t="str">
        <f>IFERROR(
    IF(
        OR(ISBLANK(I191), ISBLANK(L191)),
        "",
        MAX(
            1,
            IF(
                NETWORKDAYS(I191, L191, Holiday_Dates) &lt;= 0,
                1,
                NETWORKDAYS(I191, L191, Holiday_Dates) - IF(I191 = L191, 0, 1)
            )
        )
    ),
    ""
)</f>
        <v/>
      </c>
      <c r="Q191" s="385" t="str">
        <f>IF(
    OR(ISBLANK(L191), ISBLANK(M191)),
    "",
    MAX(
        1,
        IF(
            NETWORKDAYS(L191, M191, Holiday_Dates) &lt;= 0,
            1,
            NETWORKDAYS(L191, M191, Holiday_Dates) - IF(L191 = M191, 0, 1)
        )
    )
)</f>
        <v/>
      </c>
      <c r="R191" s="385" t="str">
        <f>IFERROR(
    IF(
        OR(ISBLANK(N191), AND(ISBLANK(L191), ISBLANK(M191))),
        "",
        MAX(
            1,
            IF(
                NETWORKDAYS(IF(NOT(ISBLANK(M191)), M191, L191), N191, Holiday_Dates) &lt;= 0,
                1,
                NETWORKDAYS(IF(NOT(ISBLANK(M191)), M191, L191), N191, Holiday_Dates)
                - IF(IF(NOT(ISBLANK(M191)), M191, L191) = N191, 0, 1)
            )
        )
    ),
    ""
)</f>
        <v/>
      </c>
      <c r="S191" s="385" t="str">
        <f>IFERROR(
    IF(
        OR(ISBLANK(N191), ISBLANK(O191)),
        "",
        MAX(
            1,
            IF(
                NETWORKDAYS(N191, O191, Holiday_Dates) &lt;= 0,
                1,
                NETWORKDAYS(N191, O191, Holiday_Dates) - IF(N191 = O191, 0, 1)
            )
        )
    ),
    ""
)</f>
        <v/>
      </c>
      <c r="T191" s="385"/>
      <c r="U191" s="385" t="s">
        <v>4</v>
      </c>
      <c r="V191" s="385" t="s">
        <v>101</v>
      </c>
      <c r="W191" s="385" t="s">
        <v>1436</v>
      </c>
      <c r="X191" s="1"/>
    </row>
    <row r="192" spans="1:24">
      <c r="A192" s="385" t="s">
        <v>48</v>
      </c>
      <c r="B192" s="385" t="s">
        <v>1755</v>
      </c>
      <c r="C192" s="385" t="s">
        <v>1776</v>
      </c>
      <c r="D192" s="385" t="s">
        <v>88</v>
      </c>
      <c r="E192" s="385"/>
      <c r="F192" s="385"/>
      <c r="G192" s="385"/>
      <c r="H192" s="385">
        <v>2024</v>
      </c>
      <c r="I192" s="385" t="s">
        <v>4641</v>
      </c>
      <c r="J192" s="30"/>
      <c r="K192" s="385"/>
      <c r="L192" s="385"/>
      <c r="M192" s="385"/>
      <c r="N192" s="385"/>
      <c r="O192" s="385"/>
      <c r="P192" s="385" t="str">
        <f>IFERROR(
    IF(
        OR(ISBLANK(I192), ISBLANK(L192)),
        "",
        MAX(
            1,
            IF(
                NETWORKDAYS(I192, L192, Holiday_Dates) &lt;= 0,
                1,
                NETWORKDAYS(I192, L192, Holiday_Dates) - IF(I192 = L192, 0, 1)
            )
        )
    ),
    ""
)</f>
        <v/>
      </c>
      <c r="Q192" s="385" t="str">
        <f>IF(
    OR(ISBLANK(L192), ISBLANK(M192)),
    "",
    MAX(
        1,
        IF(
            NETWORKDAYS(L192, M192, Holiday_Dates) &lt;= 0,
            1,
            NETWORKDAYS(L192, M192, Holiday_Dates) - IF(L192 = M192, 0, 1)
        )
    )
)</f>
        <v/>
      </c>
      <c r="R192" s="385" t="str">
        <f>IFERROR(
    IF(
        OR(ISBLANK(N192), AND(ISBLANK(L192), ISBLANK(M192))),
        "",
        MAX(
            1,
            IF(
                NETWORKDAYS(IF(NOT(ISBLANK(M192)), M192, L192), N192, Holiday_Dates) &lt;= 0,
                1,
                NETWORKDAYS(IF(NOT(ISBLANK(M192)), M192, L192), N192, Holiday_Dates)
                - IF(IF(NOT(ISBLANK(M192)), M192, L192) = N192, 0, 1)
            )
        )
    ),
    ""
)</f>
        <v/>
      </c>
      <c r="S192" s="385" t="str">
        <f>IFERROR(
    IF(
        OR(ISBLANK(N192), ISBLANK(O192)),
        "",
        MAX(
            1,
            IF(
                NETWORKDAYS(N192, O192, Holiday_Dates) &lt;= 0,
                1,
                NETWORKDAYS(N192, O192, Holiday_Dates) - IF(N192 = O192, 0, 1)
            )
        )
    ),
    ""
)</f>
        <v/>
      </c>
      <c r="T192" s="385"/>
      <c r="U192" s="385" t="s">
        <v>4</v>
      </c>
      <c r="V192" s="385"/>
      <c r="W192" s="385" t="s">
        <v>1436</v>
      </c>
      <c r="X192" s="1"/>
    </row>
    <row r="193" spans="1:24">
      <c r="A193" s="385" t="s">
        <v>48</v>
      </c>
      <c r="B193" s="385" t="s">
        <v>1755</v>
      </c>
      <c r="C193" s="385" t="s">
        <v>1779</v>
      </c>
      <c r="D193" s="385" t="s">
        <v>88</v>
      </c>
      <c r="E193" s="385"/>
      <c r="F193" s="385"/>
      <c r="G193" s="385"/>
      <c r="H193" s="385">
        <v>2024</v>
      </c>
      <c r="I193" s="385" t="s">
        <v>4641</v>
      </c>
      <c r="J193" s="30"/>
      <c r="K193" s="385"/>
      <c r="L193" s="385"/>
      <c r="M193" s="385"/>
      <c r="N193" s="385"/>
      <c r="O193" s="385"/>
      <c r="P193" s="385" t="str">
        <f>IFERROR(
    IF(
        OR(ISBLANK(I193), ISBLANK(L193)),
        "",
        MAX(
            1,
            IF(
                NETWORKDAYS(I193, L193, Holiday_Dates) &lt;= 0,
                1,
                NETWORKDAYS(I193, L193, Holiday_Dates) - IF(I193 = L193, 0, 1)
            )
        )
    ),
    ""
)</f>
        <v/>
      </c>
      <c r="Q193" s="385" t="str">
        <f>IF(
    OR(ISBLANK(L193), ISBLANK(M193)),
    "",
    MAX(
        1,
        IF(
            NETWORKDAYS(L193, M193, Holiday_Dates) &lt;= 0,
            1,
            NETWORKDAYS(L193, M193, Holiday_Dates) - IF(L193 = M193, 0, 1)
        )
    )
)</f>
        <v/>
      </c>
      <c r="R193" s="385" t="str">
        <f>IFERROR(
    IF(
        OR(ISBLANK(N193), AND(ISBLANK(L193), ISBLANK(M193))),
        "",
        MAX(
            1,
            IF(
                NETWORKDAYS(IF(NOT(ISBLANK(M193)), M193, L193), N193, Holiday_Dates) &lt;= 0,
                1,
                NETWORKDAYS(IF(NOT(ISBLANK(M193)), M193, L193), N193, Holiday_Dates)
                - IF(IF(NOT(ISBLANK(M193)), M193, L193) = N193, 0, 1)
            )
        )
    ),
    ""
)</f>
        <v/>
      </c>
      <c r="S193" s="385" t="str">
        <f>IFERROR(
    IF(
        OR(ISBLANK(N193), ISBLANK(O193)),
        "",
        MAX(
            1,
            IF(
                NETWORKDAYS(N193, O193, Holiday_Dates) &lt;= 0,
                1,
                NETWORKDAYS(N193, O193, Holiday_Dates) - IF(N193 = O193, 0, 1)
            )
        )
    ),
    ""
)</f>
        <v/>
      </c>
      <c r="T193" s="385"/>
      <c r="U193" s="385" t="s">
        <v>4</v>
      </c>
      <c r="V193" s="385"/>
      <c r="W193" s="385" t="s">
        <v>1436</v>
      </c>
      <c r="X193" s="1"/>
    </row>
    <row r="194" spans="1:24">
      <c r="A194" s="385" t="s">
        <v>48</v>
      </c>
      <c r="B194" s="385" t="s">
        <v>1755</v>
      </c>
      <c r="C194" s="385" t="s">
        <v>427</v>
      </c>
      <c r="D194" s="385" t="s">
        <v>88</v>
      </c>
      <c r="E194" s="385"/>
      <c r="F194" s="385"/>
      <c r="G194" s="385"/>
      <c r="H194" s="385">
        <v>2024</v>
      </c>
      <c r="I194" s="385" t="s">
        <v>1778</v>
      </c>
      <c r="J194" s="30"/>
      <c r="K194" s="385"/>
      <c r="L194" s="385"/>
      <c r="M194" s="385"/>
      <c r="N194" s="385"/>
      <c r="O194" s="385"/>
      <c r="P194" s="385" t="str">
        <f>IFERROR(
    IF(
        OR(ISBLANK(I194), ISBLANK(L194)),
        "",
        MAX(
            1,
            IF(
                NETWORKDAYS(I194, L194, Holiday_Dates) &lt;= 0,
                1,
                NETWORKDAYS(I194, L194, Holiday_Dates) - IF(I194 = L194, 0, 1)
            )
        )
    ),
    ""
)</f>
        <v/>
      </c>
      <c r="Q194" s="385" t="str">
        <f>IF(
    OR(ISBLANK(L194), ISBLANK(M194)),
    "",
    MAX(
        1,
        IF(
            NETWORKDAYS(L194, M194, Holiday_Dates) &lt;= 0,
            1,
            NETWORKDAYS(L194, M194, Holiday_Dates) - IF(L194 = M194, 0, 1)
        )
    )
)</f>
        <v/>
      </c>
      <c r="R194" s="385" t="str">
        <f>IFERROR(
    IF(
        OR(ISBLANK(N194), AND(ISBLANK(L194), ISBLANK(M194))),
        "",
        MAX(
            1,
            IF(
                NETWORKDAYS(IF(NOT(ISBLANK(M194)), M194, L194), N194, Holiday_Dates) &lt;= 0,
                1,
                NETWORKDAYS(IF(NOT(ISBLANK(M194)), M194, L194), N194, Holiday_Dates)
                - IF(IF(NOT(ISBLANK(M194)), M194, L194) = N194, 0, 1)
            )
        )
    ),
    ""
)</f>
        <v/>
      </c>
      <c r="S194" s="385" t="str">
        <f>IFERROR(
    IF(
        OR(ISBLANK(N194), ISBLANK(O194)),
        "",
        MAX(
            1,
            IF(
                NETWORKDAYS(N194, O194, Holiday_Dates) &lt;= 0,
                1,
                NETWORKDAYS(N194, O194, Holiday_Dates) - IF(N194 = O194, 0, 1)
            )
        )
    ),
    ""
)</f>
        <v/>
      </c>
      <c r="T194" s="385"/>
      <c r="U194" s="385" t="s">
        <v>4</v>
      </c>
      <c r="V194" s="385" t="s">
        <v>101</v>
      </c>
      <c r="W194" s="385" t="s">
        <v>1436</v>
      </c>
      <c r="X194" s="1"/>
    </row>
    <row r="195" spans="1:24">
      <c r="A195" s="385" t="s">
        <v>48</v>
      </c>
      <c r="B195" s="385" t="s">
        <v>1755</v>
      </c>
      <c r="C195" s="385" t="s">
        <v>1783</v>
      </c>
      <c r="D195" s="385" t="s">
        <v>88</v>
      </c>
      <c r="E195" s="385"/>
      <c r="F195" s="385"/>
      <c r="G195" s="385"/>
      <c r="H195" s="385">
        <v>2024</v>
      </c>
      <c r="I195" s="386">
        <v>45602</v>
      </c>
      <c r="J195" s="30"/>
      <c r="K195" s="385"/>
      <c r="L195" s="385"/>
      <c r="M195" s="385"/>
      <c r="N195" s="385"/>
      <c r="O195" s="385"/>
      <c r="P195" s="385" t="str">
        <f>IFERROR(
    IF(
        OR(ISBLANK(I195), ISBLANK(L195)),
        "",
        MAX(
            1,
            IF(
                NETWORKDAYS(I195, L195, Holiday_Dates) &lt;= 0,
                1,
                NETWORKDAYS(I195, L195, Holiday_Dates) - IF(I195 = L195, 0, 1)
            )
        )
    ),
    ""
)</f>
        <v/>
      </c>
      <c r="Q195" s="385" t="str">
        <f>IF(
    OR(ISBLANK(L195), ISBLANK(M195)),
    "",
    MAX(
        1,
        IF(
            NETWORKDAYS(L195, M195, Holiday_Dates) &lt;= 0,
            1,
            NETWORKDAYS(L195, M195, Holiday_Dates) - IF(L195 = M195, 0, 1)
        )
    )
)</f>
        <v/>
      </c>
      <c r="R195" s="385" t="str">
        <f>IFERROR(
    IF(
        OR(ISBLANK(N195), AND(ISBLANK(L195), ISBLANK(M195))),
        "",
        MAX(
            1,
            IF(
                NETWORKDAYS(IF(NOT(ISBLANK(M195)), M195, L195), N195, Holiday_Dates) &lt;= 0,
                1,
                NETWORKDAYS(IF(NOT(ISBLANK(M195)), M195, L195), N195, Holiday_Dates)
                - IF(IF(NOT(ISBLANK(M195)), M195, L195) = N195, 0, 1)
            )
        )
    ),
    ""
)</f>
        <v/>
      </c>
      <c r="S195" s="385" t="str">
        <f>IFERROR(
    IF(
        OR(ISBLANK(N195), ISBLANK(O195)),
        "",
        MAX(
            1,
            IF(
                NETWORKDAYS(N195, O195, Holiday_Dates) &lt;= 0,
                1,
                NETWORKDAYS(N195, O195, Holiday_Dates) - IF(N195 = O195, 0, 1)
            )
        )
    ),
    ""
)</f>
        <v/>
      </c>
      <c r="T195" s="385"/>
      <c r="U195" s="385" t="s">
        <v>4</v>
      </c>
      <c r="V195" s="385" t="s">
        <v>101</v>
      </c>
      <c r="W195" s="385" t="s">
        <v>1436</v>
      </c>
      <c r="X195" s="1"/>
    </row>
    <row r="196" spans="1:24">
      <c r="A196" s="385" t="s">
        <v>48</v>
      </c>
      <c r="B196" s="385" t="s">
        <v>1755</v>
      </c>
      <c r="C196" s="385" t="s">
        <v>1788</v>
      </c>
      <c r="D196" s="385" t="s">
        <v>88</v>
      </c>
      <c r="E196" s="385"/>
      <c r="F196" s="385"/>
      <c r="G196" s="385"/>
      <c r="H196" s="385">
        <v>2024</v>
      </c>
      <c r="I196" s="385" t="s">
        <v>1789</v>
      </c>
      <c r="J196" s="30"/>
      <c r="K196" s="385"/>
      <c r="L196" s="385"/>
      <c r="M196" s="385"/>
      <c r="N196" s="385"/>
      <c r="O196" s="385"/>
      <c r="P196" s="385" t="str">
        <f>IFERROR(
    IF(
        OR(ISBLANK(I196), ISBLANK(L196)),
        "",
        MAX(
            1,
            IF(
                NETWORKDAYS(I196, L196, Holiday_Dates) &lt;= 0,
                1,
                NETWORKDAYS(I196, L196, Holiday_Dates) - IF(I196 = L196, 0, 1)
            )
        )
    ),
    ""
)</f>
        <v/>
      </c>
      <c r="Q196" s="385" t="str">
        <f>IF(
    OR(ISBLANK(L196), ISBLANK(M196)),
    "",
    MAX(
        1,
        IF(
            NETWORKDAYS(L196, M196, Holiday_Dates) &lt;= 0,
            1,
            NETWORKDAYS(L196, M196, Holiday_Dates) - IF(L196 = M196, 0, 1)
        )
    )
)</f>
        <v/>
      </c>
      <c r="R196" s="385" t="str">
        <f>IFERROR(
    IF(
        OR(ISBLANK(N196), AND(ISBLANK(L196), ISBLANK(M196))),
        "",
        MAX(
            1,
            IF(
                NETWORKDAYS(IF(NOT(ISBLANK(M196)), M196, L196), N196, Holiday_Dates) &lt;= 0,
                1,
                NETWORKDAYS(IF(NOT(ISBLANK(M196)), M196, L196), N196, Holiday_Dates)
                - IF(IF(NOT(ISBLANK(M196)), M196, L196) = N196, 0, 1)
            )
        )
    ),
    ""
)</f>
        <v/>
      </c>
      <c r="S196" s="385" t="str">
        <f>IFERROR(
    IF(
        OR(ISBLANK(N196), ISBLANK(O196)),
        "",
        MAX(
            1,
            IF(
                NETWORKDAYS(N196, O196, Holiday_Dates) &lt;= 0,
                1,
                NETWORKDAYS(N196, O196, Holiday_Dates) - IF(N196 = O196, 0, 1)
            )
        )
    ),
    ""
)</f>
        <v/>
      </c>
      <c r="T196" s="385"/>
      <c r="U196" s="385" t="s">
        <v>4</v>
      </c>
      <c r="V196" s="385" t="s">
        <v>108</v>
      </c>
      <c r="W196" s="385" t="s">
        <v>1436</v>
      </c>
      <c r="X196" s="1"/>
    </row>
    <row r="197" spans="1:24">
      <c r="A197" s="385" t="s">
        <v>48</v>
      </c>
      <c r="B197" s="385" t="s">
        <v>1755</v>
      </c>
      <c r="C197" s="385" t="s">
        <v>1792</v>
      </c>
      <c r="D197" s="385" t="s">
        <v>88</v>
      </c>
      <c r="E197" s="385"/>
      <c r="F197" s="385"/>
      <c r="G197" s="385"/>
      <c r="H197" s="385">
        <v>2025</v>
      </c>
      <c r="I197" s="386">
        <v>45875</v>
      </c>
      <c r="J197" s="30" t="s">
        <v>4642</v>
      </c>
      <c r="K197" s="385"/>
      <c r="L197" s="385"/>
      <c r="M197" s="385"/>
      <c r="N197" s="385"/>
      <c r="O197" s="385"/>
      <c r="P197" s="385" t="str">
        <f>IFERROR(
    IF(
        OR(ISBLANK(I197), ISBLANK(L197)),
        "",
        MAX(
            1,
            IF(
                NETWORKDAYS(I197, L197, Holiday_Dates) &lt;= 0,
                1,
                NETWORKDAYS(I197, L197, Holiday_Dates) - IF(I197 = L197, 0, 1)
            )
        )
    ),
    ""
)</f>
        <v/>
      </c>
      <c r="Q197" s="385" t="str">
        <f>IF(
    OR(ISBLANK(L197), ISBLANK(M197)),
    "",
    MAX(
        1,
        IF(
            NETWORKDAYS(L197, M197, Holiday_Dates) &lt;= 0,
            1,
            NETWORKDAYS(L197, M197, Holiday_Dates) - IF(L197 = M197, 0, 1)
        )
    )
)</f>
        <v/>
      </c>
      <c r="R197" s="385" t="str">
        <f>IFERROR(
    IF(
        OR(ISBLANK(N197), AND(ISBLANK(L197), ISBLANK(M197))),
        "",
        MAX(
            1,
            IF(
                NETWORKDAYS(IF(NOT(ISBLANK(M197)), M197, L197), N197, Holiday_Dates) &lt;= 0,
                1,
                NETWORKDAYS(IF(NOT(ISBLANK(M197)), M197, L197), N197, Holiday_Dates)
                - IF(IF(NOT(ISBLANK(M197)), M197, L197) = N197, 0, 1)
            )
        )
    ),
    ""
)</f>
        <v/>
      </c>
      <c r="S197" s="385" t="str">
        <f>IFERROR(
    IF(
        OR(ISBLANK(N197), ISBLANK(O197)),
        "",
        MAX(
            1,
            IF(
                NETWORKDAYS(N197, O197, Holiday_Dates) &lt;= 0,
                1,
                NETWORKDAYS(N197, O197, Holiday_Dates) - IF(N197 = O197, 0, 1)
            )
        )
    ),
    ""
)</f>
        <v/>
      </c>
      <c r="T197" s="385"/>
      <c r="U197" s="385" t="s">
        <v>672</v>
      </c>
      <c r="V197" s="385" t="s">
        <v>101</v>
      </c>
      <c r="W197" s="385" t="s">
        <v>1436</v>
      </c>
      <c r="X197" s="1"/>
    </row>
    <row r="198" spans="1:24">
      <c r="A198" s="385" t="s">
        <v>48</v>
      </c>
      <c r="B198" s="385" t="s">
        <v>1755</v>
      </c>
      <c r="C198" s="385" t="s">
        <v>1793</v>
      </c>
      <c r="D198" s="385" t="s">
        <v>88</v>
      </c>
      <c r="E198" s="385"/>
      <c r="F198" s="385"/>
      <c r="G198" s="385"/>
      <c r="H198" s="385">
        <v>2024</v>
      </c>
      <c r="I198" s="385" t="s">
        <v>1794</v>
      </c>
      <c r="J198" s="30"/>
      <c r="K198" s="385"/>
      <c r="L198" s="385"/>
      <c r="M198" s="385"/>
      <c r="N198" s="385"/>
      <c r="O198" s="385"/>
      <c r="P198" s="385" t="str">
        <f>IFERROR(
    IF(
        OR(ISBLANK(I198), ISBLANK(L198)),
        "",
        MAX(
            1,
            IF(
                NETWORKDAYS(I198, L198, Holiday_Dates) &lt;= 0,
                1,
                NETWORKDAYS(I198, L198, Holiday_Dates) - IF(I198 = L198, 0, 1)
            )
        )
    ),
    ""
)</f>
        <v/>
      </c>
      <c r="Q198" s="385" t="str">
        <f>IF(
    OR(ISBLANK(L198), ISBLANK(M198)),
    "",
    MAX(
        1,
        IF(
            NETWORKDAYS(L198, M198, Holiday_Dates) &lt;= 0,
            1,
            NETWORKDAYS(L198, M198, Holiday_Dates) - IF(L198 = M198, 0, 1)
        )
    )
)</f>
        <v/>
      </c>
      <c r="R198" s="385" t="str">
        <f>IFERROR(
    IF(
        OR(ISBLANK(N198), AND(ISBLANK(L198), ISBLANK(M198))),
        "",
        MAX(
            1,
            IF(
                NETWORKDAYS(IF(NOT(ISBLANK(M198)), M198, L198), N198, Holiday_Dates) &lt;= 0,
                1,
                NETWORKDAYS(IF(NOT(ISBLANK(M198)), M198, L198), N198, Holiday_Dates)
                - IF(IF(NOT(ISBLANK(M198)), M198, L198) = N198, 0, 1)
            )
        )
    ),
    ""
)</f>
        <v/>
      </c>
      <c r="S198" s="385" t="str">
        <f>IFERROR(
    IF(
        OR(ISBLANK(N198), ISBLANK(O198)),
        "",
        MAX(
            1,
            IF(
                NETWORKDAYS(N198, O198, Holiday_Dates) &lt;= 0,
                1,
                NETWORKDAYS(N198, O198, Holiday_Dates) - IF(N198 = O198, 0, 1)
            )
        )
    ),
    ""
)</f>
        <v/>
      </c>
      <c r="T198" s="385"/>
      <c r="U198" s="385" t="s">
        <v>4</v>
      </c>
      <c r="V198" s="385" t="s">
        <v>101</v>
      </c>
      <c r="W198" s="385" t="s">
        <v>1436</v>
      </c>
      <c r="X198" s="1"/>
    </row>
    <row r="199" spans="1:24">
      <c r="A199" s="385" t="s">
        <v>48</v>
      </c>
      <c r="B199" s="385" t="s">
        <v>1755</v>
      </c>
      <c r="C199" s="385" t="s">
        <v>1796</v>
      </c>
      <c r="D199" s="385" t="s">
        <v>88</v>
      </c>
      <c r="E199" s="385"/>
      <c r="F199" s="385"/>
      <c r="G199" s="385"/>
      <c r="H199" s="385">
        <v>2024</v>
      </c>
      <c r="I199" s="385" t="s">
        <v>1726</v>
      </c>
      <c r="J199" s="30"/>
      <c r="K199" s="385"/>
      <c r="L199" s="385"/>
      <c r="M199" s="385"/>
      <c r="N199" s="385"/>
      <c r="O199" s="385"/>
      <c r="P199" s="385" t="str">
        <f>IFERROR(
    IF(
        OR(ISBLANK(I199), ISBLANK(L199)),
        "",
        MAX(
            1,
            IF(
                NETWORKDAYS(I199, L199, Holiday_Dates) &lt;= 0,
                1,
                NETWORKDAYS(I199, L199, Holiday_Dates) - IF(I199 = L199, 0, 1)
            )
        )
    ),
    ""
)</f>
        <v/>
      </c>
      <c r="Q199" s="385" t="str">
        <f>IF(
    OR(ISBLANK(L199), ISBLANK(M199)),
    "",
    MAX(
        1,
        IF(
            NETWORKDAYS(L199, M199, Holiday_Dates) &lt;= 0,
            1,
            NETWORKDAYS(L199, M199, Holiday_Dates) - IF(L199 = M199, 0, 1)
        )
    )
)</f>
        <v/>
      </c>
      <c r="R199" s="385" t="str">
        <f>IFERROR(
    IF(
        OR(ISBLANK(N199), AND(ISBLANK(L199), ISBLANK(M199))),
        "",
        MAX(
            1,
            IF(
                NETWORKDAYS(IF(NOT(ISBLANK(M199)), M199, L199), N199, Holiday_Dates) &lt;= 0,
                1,
                NETWORKDAYS(IF(NOT(ISBLANK(M199)), M199, L199), N199, Holiday_Dates)
                - IF(IF(NOT(ISBLANK(M199)), M199, L199) = N199, 0, 1)
            )
        )
    ),
    ""
)</f>
        <v/>
      </c>
      <c r="S199" s="385" t="str">
        <f>IFERROR(
    IF(
        OR(ISBLANK(N199), ISBLANK(O199)),
        "",
        MAX(
            1,
            IF(
                NETWORKDAYS(N199, O199, Holiday_Dates) &lt;= 0,
                1,
                NETWORKDAYS(N199, O199, Holiday_Dates) - IF(N199 = O199, 0, 1)
            )
        )
    ),
    ""
)</f>
        <v/>
      </c>
      <c r="T199" s="385"/>
      <c r="U199" s="385" t="s">
        <v>4</v>
      </c>
      <c r="V199" s="385" t="s">
        <v>101</v>
      </c>
      <c r="W199" s="385" t="s">
        <v>1436</v>
      </c>
      <c r="X199" s="1"/>
    </row>
    <row r="200" spans="1:24">
      <c r="A200" s="385" t="s">
        <v>48</v>
      </c>
      <c r="B200" s="385" t="s">
        <v>1755</v>
      </c>
      <c r="C200" s="385" t="s">
        <v>906</v>
      </c>
      <c r="D200" s="385" t="s">
        <v>88</v>
      </c>
      <c r="E200" s="385"/>
      <c r="F200" s="385"/>
      <c r="G200" s="385"/>
      <c r="H200" s="385">
        <v>2024</v>
      </c>
      <c r="I200" s="385" t="s">
        <v>1798</v>
      </c>
      <c r="J200" s="30"/>
      <c r="K200" s="385"/>
      <c r="L200" s="385"/>
      <c r="M200" s="385"/>
      <c r="N200" s="385"/>
      <c r="O200" s="385"/>
      <c r="P200" s="385" t="str">
        <f>IFERROR(
    IF(
        OR(ISBLANK(I200), ISBLANK(L200)),
        "",
        MAX(
            1,
            IF(
                NETWORKDAYS(I200, L200, Holiday_Dates) &lt;= 0,
                1,
                NETWORKDAYS(I200, L200, Holiday_Dates) - IF(I200 = L200, 0, 1)
            )
        )
    ),
    ""
)</f>
        <v/>
      </c>
      <c r="Q200" s="385" t="str">
        <f>IF(
    OR(ISBLANK(L200), ISBLANK(M200)),
    "",
    MAX(
        1,
        IF(
            NETWORKDAYS(L200, M200, Holiday_Dates) &lt;= 0,
            1,
            NETWORKDAYS(L200, M200, Holiday_Dates) - IF(L200 = M200, 0, 1)
        )
    )
)</f>
        <v/>
      </c>
      <c r="R200" s="385" t="str">
        <f>IFERROR(
    IF(
        OR(ISBLANK(N200), AND(ISBLANK(L200), ISBLANK(M200))),
        "",
        MAX(
            1,
            IF(
                NETWORKDAYS(IF(NOT(ISBLANK(M200)), M200, L200), N200, Holiday_Dates) &lt;= 0,
                1,
                NETWORKDAYS(IF(NOT(ISBLANK(M200)), M200, L200), N200, Holiday_Dates)
                - IF(IF(NOT(ISBLANK(M200)), M200, L200) = N200, 0, 1)
            )
        )
    ),
    ""
)</f>
        <v/>
      </c>
      <c r="S200" s="385" t="str">
        <f>IFERROR(
    IF(
        OR(ISBLANK(N200), ISBLANK(O200)),
        "",
        MAX(
            1,
            IF(
                NETWORKDAYS(N200, O200, Holiday_Dates) &lt;= 0,
                1,
                NETWORKDAYS(N200, O200, Holiday_Dates) - IF(N200 = O200, 0, 1)
            )
        )
    ),
    ""
)</f>
        <v/>
      </c>
      <c r="T200" s="385"/>
      <c r="U200" s="385" t="s">
        <v>4</v>
      </c>
      <c r="V200" s="385" t="s">
        <v>108</v>
      </c>
      <c r="W200" s="385" t="s">
        <v>1436</v>
      </c>
      <c r="X200" s="1"/>
    </row>
    <row r="201" spans="1:24">
      <c r="A201" s="385" t="s">
        <v>48</v>
      </c>
      <c r="B201" s="385" t="s">
        <v>212</v>
      </c>
      <c r="C201" s="385" t="s">
        <v>1889</v>
      </c>
      <c r="D201" s="385" t="s">
        <v>88</v>
      </c>
      <c r="E201" s="385"/>
      <c r="F201" s="385"/>
      <c r="G201" s="385"/>
      <c r="H201" s="385">
        <v>2024</v>
      </c>
      <c r="I201" s="386">
        <v>45596</v>
      </c>
      <c r="J201" s="30"/>
      <c r="K201" s="385"/>
      <c r="L201" s="385"/>
      <c r="M201" s="385"/>
      <c r="N201" s="385"/>
      <c r="O201" s="385"/>
      <c r="P201" s="385" t="str">
        <f>IFERROR(
    IF(
        OR(ISBLANK(I201), ISBLANK(L201)),
        "",
        MAX(
            1,
            IF(
                NETWORKDAYS(I201, L201, Holiday_Dates) &lt;= 0,
                1,
                NETWORKDAYS(I201, L201, Holiday_Dates) - IF(I201 = L201, 0, 1)
            )
        )
    ),
    ""
)</f>
        <v/>
      </c>
      <c r="Q201" s="385" t="str">
        <f>IF(
    OR(ISBLANK(L201), ISBLANK(M201)),
    "",
    MAX(
        1,
        IF(
            NETWORKDAYS(L201, M201, Holiday_Dates) &lt;= 0,
            1,
            NETWORKDAYS(L201, M201, Holiday_Dates) - IF(L201 = M201, 0, 1)
        )
    )
)</f>
        <v/>
      </c>
      <c r="R201" s="385" t="str">
        <f>IFERROR(
    IF(
        OR(ISBLANK(N201), AND(ISBLANK(L201), ISBLANK(M201))),
        "",
        MAX(
            1,
            IF(
                NETWORKDAYS(IF(NOT(ISBLANK(M201)), M201, L201), N201, Holiday_Dates) &lt;= 0,
                1,
                NETWORKDAYS(IF(NOT(ISBLANK(M201)), M201, L201), N201, Holiday_Dates)
                - IF(IF(NOT(ISBLANK(M201)), M201, L201) = N201, 0, 1)
            )
        )
    ),
    ""
)</f>
        <v/>
      </c>
      <c r="S201" s="385" t="str">
        <f>IFERROR(
    IF(
        OR(ISBLANK(N201), ISBLANK(O201)),
        "",
        MAX(
            1,
            IF(
                NETWORKDAYS(N201, O201, Holiday_Dates) &lt;= 0,
                1,
                NETWORKDAYS(N201, O201, Holiday_Dates) - IF(N201 = O201, 0, 1)
            )
        )
    ),
    ""
)</f>
        <v/>
      </c>
      <c r="T201" s="385"/>
      <c r="U201" s="385" t="s">
        <v>4</v>
      </c>
      <c r="V201" s="385" t="s">
        <v>101</v>
      </c>
      <c r="W201" s="385" t="s">
        <v>1436</v>
      </c>
      <c r="X201" s="1"/>
    </row>
    <row r="202" spans="1:24">
      <c r="A202" s="385" t="s">
        <v>48</v>
      </c>
      <c r="B202" s="385" t="s">
        <v>212</v>
      </c>
      <c r="C202" s="385" t="s">
        <v>1810</v>
      </c>
      <c r="D202" s="385" t="s">
        <v>88</v>
      </c>
      <c r="E202" s="385"/>
      <c r="F202" s="385"/>
      <c r="G202" s="385"/>
      <c r="H202" s="385">
        <v>2024</v>
      </c>
      <c r="I202" s="385" t="s">
        <v>1811</v>
      </c>
      <c r="J202" s="30"/>
      <c r="K202" s="385"/>
      <c r="L202" s="385"/>
      <c r="M202" s="385"/>
      <c r="N202" s="385"/>
      <c r="O202" s="385"/>
      <c r="P202" s="385" t="str">
        <f>IFERROR(
    IF(
        OR(ISBLANK(I202), ISBLANK(L202)),
        "",
        MAX(
            1,
            IF(
                NETWORKDAYS(I202, L202, Holiday_Dates) &lt;= 0,
                1,
                NETWORKDAYS(I202, L202, Holiday_Dates) - IF(I202 = L202, 0, 1)
            )
        )
    ),
    ""
)</f>
        <v/>
      </c>
      <c r="Q202" s="385" t="str">
        <f>IF(
    OR(ISBLANK(L202), ISBLANK(M202)),
    "",
    MAX(
        1,
        IF(
            NETWORKDAYS(L202, M202, Holiday_Dates) &lt;= 0,
            1,
            NETWORKDAYS(L202, M202, Holiday_Dates) - IF(L202 = M202, 0, 1)
        )
    )
)</f>
        <v/>
      </c>
      <c r="R202" s="385" t="str">
        <f>IFERROR(
    IF(
        OR(ISBLANK(N202), AND(ISBLANK(L202), ISBLANK(M202))),
        "",
        MAX(
            1,
            IF(
                NETWORKDAYS(IF(NOT(ISBLANK(M202)), M202, L202), N202, Holiday_Dates) &lt;= 0,
                1,
                NETWORKDAYS(IF(NOT(ISBLANK(M202)), M202, L202), N202, Holiday_Dates)
                - IF(IF(NOT(ISBLANK(M202)), M202, L202) = N202, 0, 1)
            )
        )
    ),
    ""
)</f>
        <v/>
      </c>
      <c r="S202" s="385" t="str">
        <f>IFERROR(
    IF(
        OR(ISBLANK(N202), ISBLANK(O202)),
        "",
        MAX(
            1,
            IF(
                NETWORKDAYS(N202, O202, Holiday_Dates) &lt;= 0,
                1,
                NETWORKDAYS(N202, O202, Holiday_Dates) - IF(N202 = O202, 0, 1)
            )
        )
    ),
    ""
)</f>
        <v/>
      </c>
      <c r="T202" s="385"/>
      <c r="U202" s="385" t="s">
        <v>4</v>
      </c>
      <c r="V202" s="385" t="s">
        <v>101</v>
      </c>
      <c r="W202" s="385" t="s">
        <v>1436</v>
      </c>
      <c r="X202" s="1"/>
    </row>
    <row r="203" spans="1:24">
      <c r="A203" s="385" t="s">
        <v>48</v>
      </c>
      <c r="B203" s="385" t="s">
        <v>212</v>
      </c>
      <c r="C203" s="385" t="s">
        <v>1891</v>
      </c>
      <c r="D203" s="385" t="s">
        <v>88</v>
      </c>
      <c r="E203" s="385"/>
      <c r="F203" s="385"/>
      <c r="G203" s="385"/>
      <c r="H203" s="385">
        <v>2025</v>
      </c>
      <c r="I203" s="386">
        <v>45944</v>
      </c>
      <c r="J203" s="30" t="s">
        <v>4643</v>
      </c>
      <c r="K203" s="385"/>
      <c r="L203" s="385"/>
      <c r="M203" s="385"/>
      <c r="N203" s="385"/>
      <c r="O203" s="385"/>
      <c r="P203" s="385" t="str">
        <f>IFERROR(
    IF(
        OR(ISBLANK(I203), ISBLANK(L203)),
        "",
        MAX(
            1,
            IF(
                NETWORKDAYS(I203, L203, Holiday_Dates) &lt;= 0,
                1,
                NETWORKDAYS(I203, L203, Holiday_Dates) - IF(I203 = L203, 0, 1)
            )
        )
    ),
    ""
)</f>
        <v/>
      </c>
      <c r="Q203" s="385" t="str">
        <f>IF(
    OR(ISBLANK(L203), ISBLANK(M203)),
    "",
    MAX(
        1,
        IF(
            NETWORKDAYS(L203, M203, Holiday_Dates) &lt;= 0,
            1,
            NETWORKDAYS(L203, M203, Holiday_Dates) - IF(L203 = M203, 0, 1)
        )
    )
)</f>
        <v/>
      </c>
      <c r="R203" s="385" t="str">
        <f>IFERROR(
    IF(
        OR(ISBLANK(N203), AND(ISBLANK(L203), ISBLANK(M203))),
        "",
        MAX(
            1,
            IF(
                NETWORKDAYS(IF(NOT(ISBLANK(M203)), M203, L203), N203, Holiday_Dates) &lt;= 0,
                1,
                NETWORKDAYS(IF(NOT(ISBLANK(M203)), M203, L203), N203, Holiday_Dates)
                - IF(IF(NOT(ISBLANK(M203)), M203, L203) = N203, 0, 1)
            )
        )
    ),
    ""
)</f>
        <v/>
      </c>
      <c r="S203" s="385" t="str">
        <f>IFERROR(
    IF(
        OR(ISBLANK(N203), ISBLANK(O203)),
        "",
        MAX(
            1,
            IF(
                NETWORKDAYS(N203, O203, Holiday_Dates) &lt;= 0,
                1,
                NETWORKDAYS(N203, O203, Holiday_Dates) - IF(N203 = O203, 0, 1)
            )
        )
    ),
    ""
)</f>
        <v/>
      </c>
      <c r="T203" s="385"/>
      <c r="U203" s="385" t="s">
        <v>4</v>
      </c>
      <c r="V203" s="385" t="s">
        <v>101</v>
      </c>
      <c r="W203" s="385" t="s">
        <v>1436</v>
      </c>
      <c r="X203" s="1"/>
    </row>
    <row r="204" spans="1:24">
      <c r="A204" s="385" t="s">
        <v>48</v>
      </c>
      <c r="B204" s="385" t="s">
        <v>212</v>
      </c>
      <c r="C204" s="385" t="s">
        <v>1813</v>
      </c>
      <c r="D204" s="385" t="s">
        <v>88</v>
      </c>
      <c r="E204" s="385"/>
      <c r="F204" s="385"/>
      <c r="G204" s="385"/>
      <c r="H204" s="385">
        <v>2024</v>
      </c>
      <c r="I204" s="385" t="s">
        <v>1814</v>
      </c>
      <c r="J204" s="30"/>
      <c r="K204" s="385"/>
      <c r="L204" s="385"/>
      <c r="M204" s="385"/>
      <c r="N204" s="385"/>
      <c r="O204" s="385"/>
      <c r="P204" s="385" t="str">
        <f>IFERROR(
    IF(
        OR(ISBLANK(I204), ISBLANK(L204)),
        "",
        MAX(
            1,
            IF(
                NETWORKDAYS(I204, L204, Holiday_Dates) &lt;= 0,
                1,
                NETWORKDAYS(I204, L204, Holiday_Dates) - IF(I204 = L204, 0, 1)
            )
        )
    ),
    ""
)</f>
        <v/>
      </c>
      <c r="Q204" s="385" t="str">
        <f>IF(
    OR(ISBLANK(L204), ISBLANK(M204)),
    "",
    MAX(
        1,
        IF(
            NETWORKDAYS(L204, M204, Holiday_Dates) &lt;= 0,
            1,
            NETWORKDAYS(L204, M204, Holiday_Dates) - IF(L204 = M204, 0, 1)
        )
    )
)</f>
        <v/>
      </c>
      <c r="R204" s="385" t="str">
        <f>IFERROR(
    IF(
        OR(ISBLANK(N204), AND(ISBLANK(L204), ISBLANK(M204))),
        "",
        MAX(
            1,
            IF(
                NETWORKDAYS(IF(NOT(ISBLANK(M204)), M204, L204), N204, Holiday_Dates) &lt;= 0,
                1,
                NETWORKDAYS(IF(NOT(ISBLANK(M204)), M204, L204), N204, Holiday_Dates)
                - IF(IF(NOT(ISBLANK(M204)), M204, L204) = N204, 0, 1)
            )
        )
    ),
    ""
)</f>
        <v/>
      </c>
      <c r="S204" s="385" t="str">
        <f>IFERROR(
    IF(
        OR(ISBLANK(N204), ISBLANK(O204)),
        "",
        MAX(
            1,
            IF(
                NETWORKDAYS(N204, O204, Holiday_Dates) &lt;= 0,
                1,
                NETWORKDAYS(N204, O204, Holiday_Dates) - IF(N204 = O204, 0, 1)
            )
        )
    ),
    ""
)</f>
        <v/>
      </c>
      <c r="T204" s="385"/>
      <c r="U204" s="385" t="s">
        <v>4</v>
      </c>
      <c r="V204" s="385" t="s">
        <v>101</v>
      </c>
      <c r="W204" s="385" t="s">
        <v>1436</v>
      </c>
      <c r="X204" s="1"/>
    </row>
    <row r="205" spans="1:24">
      <c r="A205" s="385" t="s">
        <v>48</v>
      </c>
      <c r="B205" s="385" t="s">
        <v>212</v>
      </c>
      <c r="C205" s="385" t="s">
        <v>1817</v>
      </c>
      <c r="D205" s="385" t="s">
        <v>88</v>
      </c>
      <c r="E205" s="385"/>
      <c r="F205" s="385"/>
      <c r="G205" s="385"/>
      <c r="H205" s="385">
        <v>2024</v>
      </c>
      <c r="I205" s="385" t="s">
        <v>1818</v>
      </c>
      <c r="J205" s="30"/>
      <c r="K205" s="385"/>
      <c r="L205" s="385"/>
      <c r="M205" s="385"/>
      <c r="N205" s="385"/>
      <c r="O205" s="385"/>
      <c r="P205" s="385" t="str">
        <f>IFERROR(
    IF(
        OR(ISBLANK(I205), ISBLANK(L205)),
        "",
        MAX(
            1,
            IF(
                NETWORKDAYS(I205, L205, Holiday_Dates) &lt;= 0,
                1,
                NETWORKDAYS(I205, L205, Holiday_Dates) - IF(I205 = L205, 0, 1)
            )
        )
    ),
    ""
)</f>
        <v/>
      </c>
      <c r="Q205" s="385" t="str">
        <f>IF(
    OR(ISBLANK(L205), ISBLANK(M205)),
    "",
    MAX(
        1,
        IF(
            NETWORKDAYS(L205, M205, Holiday_Dates) &lt;= 0,
            1,
            NETWORKDAYS(L205, M205, Holiday_Dates) - IF(L205 = M205, 0, 1)
        )
    )
)</f>
        <v/>
      </c>
      <c r="R205" s="385" t="str">
        <f>IFERROR(
    IF(
        OR(ISBLANK(N205), AND(ISBLANK(L205), ISBLANK(M205))),
        "",
        MAX(
            1,
            IF(
                NETWORKDAYS(IF(NOT(ISBLANK(M205)), M205, L205), N205, Holiday_Dates) &lt;= 0,
                1,
                NETWORKDAYS(IF(NOT(ISBLANK(M205)), M205, L205), N205, Holiday_Dates)
                - IF(IF(NOT(ISBLANK(M205)), M205, L205) = N205, 0, 1)
            )
        )
    ),
    ""
)</f>
        <v/>
      </c>
      <c r="S205" s="385" t="str">
        <f>IFERROR(
    IF(
        OR(ISBLANK(N205), ISBLANK(O205)),
        "",
        MAX(
            1,
            IF(
                NETWORKDAYS(N205, O205, Holiday_Dates) &lt;= 0,
                1,
                NETWORKDAYS(N205, O205, Holiday_Dates) - IF(N205 = O205, 0, 1)
            )
        )
    ),
    ""
)</f>
        <v/>
      </c>
      <c r="T205" s="385"/>
      <c r="U205" s="385" t="s">
        <v>4</v>
      </c>
      <c r="V205" s="385" t="s">
        <v>108</v>
      </c>
      <c r="W205" s="385" t="s">
        <v>1436</v>
      </c>
      <c r="X205" s="1"/>
    </row>
    <row r="206" spans="1:24">
      <c r="A206" s="385" t="s">
        <v>48</v>
      </c>
      <c r="B206" s="385" t="s">
        <v>212</v>
      </c>
      <c r="C206" s="385" t="s">
        <v>1821</v>
      </c>
      <c r="D206" s="385" t="s">
        <v>88</v>
      </c>
      <c r="E206" s="385"/>
      <c r="F206" s="385"/>
      <c r="G206" s="385"/>
      <c r="H206" s="385">
        <v>2024</v>
      </c>
      <c r="I206" s="385" t="s">
        <v>4638</v>
      </c>
      <c r="J206" s="30"/>
      <c r="K206" s="385"/>
      <c r="L206" s="385"/>
      <c r="M206" s="385"/>
      <c r="N206" s="385"/>
      <c r="O206" s="385"/>
      <c r="P206" s="385" t="str">
        <f>IFERROR(
    IF(
        OR(ISBLANK(I206), ISBLANK(L206)),
        "",
        MAX(
            1,
            IF(
                NETWORKDAYS(I206, L206, Holiday_Dates) &lt;= 0,
                1,
                NETWORKDAYS(I206, L206, Holiday_Dates) - IF(I206 = L206, 0, 1)
            )
        )
    ),
    ""
)</f>
        <v/>
      </c>
      <c r="Q206" s="385" t="str">
        <f>IF(
    OR(ISBLANK(L206), ISBLANK(M206)),
    "",
    MAX(
        1,
        IF(
            NETWORKDAYS(L206, M206, Holiday_Dates) &lt;= 0,
            1,
            NETWORKDAYS(L206, M206, Holiday_Dates) - IF(L206 = M206, 0, 1)
        )
    )
)</f>
        <v/>
      </c>
      <c r="R206" s="385" t="str">
        <f>IFERROR(
    IF(
        OR(ISBLANK(N206), AND(ISBLANK(L206), ISBLANK(M206))),
        "",
        MAX(
            1,
            IF(
                NETWORKDAYS(IF(NOT(ISBLANK(M206)), M206, L206), N206, Holiday_Dates) &lt;= 0,
                1,
                NETWORKDAYS(IF(NOT(ISBLANK(M206)), M206, L206), N206, Holiday_Dates)
                - IF(IF(NOT(ISBLANK(M206)), M206, L206) = N206, 0, 1)
            )
        )
    ),
    ""
)</f>
        <v/>
      </c>
      <c r="S206" s="385" t="str">
        <f>IFERROR(
    IF(
        OR(ISBLANK(N206), ISBLANK(O206)),
        "",
        MAX(
            1,
            IF(
                NETWORKDAYS(N206, O206, Holiday_Dates) &lt;= 0,
                1,
                NETWORKDAYS(N206, O206, Holiday_Dates) - IF(N206 = O206, 0, 1)
            )
        )
    ),
    ""
)</f>
        <v/>
      </c>
      <c r="T206" s="385"/>
      <c r="U206" s="385" t="s">
        <v>4</v>
      </c>
      <c r="V206" s="385" t="s">
        <v>101</v>
      </c>
      <c r="W206" s="385" t="s">
        <v>1436</v>
      </c>
      <c r="X206" s="1"/>
    </row>
    <row r="207" spans="1:24">
      <c r="A207" s="385" t="s">
        <v>48</v>
      </c>
      <c r="B207" s="385" t="s">
        <v>212</v>
      </c>
      <c r="C207" s="385" t="s">
        <v>1823</v>
      </c>
      <c r="D207" s="385" t="s">
        <v>88</v>
      </c>
      <c r="E207" s="385"/>
      <c r="F207" s="385"/>
      <c r="G207" s="385"/>
      <c r="H207" s="385">
        <v>2025</v>
      </c>
      <c r="I207" s="386">
        <v>45687</v>
      </c>
      <c r="J207" s="30" t="s">
        <v>4644</v>
      </c>
      <c r="K207" s="385"/>
      <c r="L207" s="385"/>
      <c r="M207" s="385"/>
      <c r="N207" s="385"/>
      <c r="O207" s="385"/>
      <c r="P207" s="385" t="str">
        <f>IFERROR(
    IF(
        OR(ISBLANK(I207), ISBLANK(L207)),
        "",
        MAX(
            1,
            IF(
                NETWORKDAYS(I207, L207, Holiday_Dates) &lt;= 0,
                1,
                NETWORKDAYS(I207, L207, Holiday_Dates) - IF(I207 = L207, 0, 1)
            )
        )
    ),
    ""
)</f>
        <v/>
      </c>
      <c r="Q207" s="385" t="str">
        <f>IF(
    OR(ISBLANK(L207), ISBLANK(M207)),
    "",
    MAX(
        1,
        IF(
            NETWORKDAYS(L207, M207, Holiday_Dates) &lt;= 0,
            1,
            NETWORKDAYS(L207, M207, Holiday_Dates) - IF(L207 = M207, 0, 1)
        )
    )
)</f>
        <v/>
      </c>
      <c r="R207" s="385" t="str">
        <f>IFERROR(
    IF(
        OR(ISBLANK(N207), AND(ISBLANK(L207), ISBLANK(M207))),
        "",
        MAX(
            1,
            IF(
                NETWORKDAYS(IF(NOT(ISBLANK(M207)), M207, L207), N207, Holiday_Dates) &lt;= 0,
                1,
                NETWORKDAYS(IF(NOT(ISBLANK(M207)), M207, L207), N207, Holiday_Dates)
                - IF(IF(NOT(ISBLANK(M207)), M207, L207) = N207, 0, 1)
            )
        )
    ),
    ""
)</f>
        <v/>
      </c>
      <c r="S207" s="385" t="str">
        <f>IFERROR(
    IF(
        OR(ISBLANK(N207), ISBLANK(O207)),
        "",
        MAX(
            1,
            IF(
                NETWORKDAYS(N207, O207, Holiday_Dates) &lt;= 0,
                1,
                NETWORKDAYS(N207, O207, Holiday_Dates) - IF(N207 = O207, 0, 1)
            )
        )
    ),
    ""
)</f>
        <v/>
      </c>
      <c r="T207" s="385"/>
      <c r="U207" s="385" t="s">
        <v>672</v>
      </c>
      <c r="V207" s="385" t="s">
        <v>108</v>
      </c>
      <c r="W207" s="385" t="s">
        <v>1436</v>
      </c>
      <c r="X207" s="1"/>
    </row>
    <row r="208" spans="1:24">
      <c r="A208" s="385" t="s">
        <v>48</v>
      </c>
      <c r="B208" s="385" t="s">
        <v>212</v>
      </c>
      <c r="C208" s="385" t="s">
        <v>1824</v>
      </c>
      <c r="D208" s="385" t="s">
        <v>88</v>
      </c>
      <c r="E208" s="385"/>
      <c r="F208" s="385"/>
      <c r="G208" s="385"/>
      <c r="H208" s="385">
        <v>2024</v>
      </c>
      <c r="I208" s="385" t="s">
        <v>4633</v>
      </c>
      <c r="J208" s="30"/>
      <c r="K208" s="385"/>
      <c r="L208" s="385"/>
      <c r="M208" s="385"/>
      <c r="N208" s="385"/>
      <c r="O208" s="385"/>
      <c r="P208" s="385" t="str">
        <f>IFERROR(
    IF(
        OR(ISBLANK(I208), ISBLANK(L208)),
        "",
        MAX(
            1,
            IF(
                NETWORKDAYS(I208, L208, Holiday_Dates) &lt;= 0,
                1,
                NETWORKDAYS(I208, L208, Holiday_Dates) - IF(I208 = L208, 0, 1)
            )
        )
    ),
    ""
)</f>
        <v/>
      </c>
      <c r="Q208" s="385" t="str">
        <f>IF(
    OR(ISBLANK(L208), ISBLANK(M208)),
    "",
    MAX(
        1,
        IF(
            NETWORKDAYS(L208, M208, Holiday_Dates) &lt;= 0,
            1,
            NETWORKDAYS(L208, M208, Holiday_Dates) - IF(L208 = M208, 0, 1)
        )
    )
)</f>
        <v/>
      </c>
      <c r="R208" s="385" t="str">
        <f>IFERROR(
    IF(
        OR(ISBLANK(N208), AND(ISBLANK(L208), ISBLANK(M208))),
        "",
        MAX(
            1,
            IF(
                NETWORKDAYS(IF(NOT(ISBLANK(M208)), M208, L208), N208, Holiday_Dates) &lt;= 0,
                1,
                NETWORKDAYS(IF(NOT(ISBLANK(M208)), M208, L208), N208, Holiday_Dates)
                - IF(IF(NOT(ISBLANK(M208)), M208, L208) = N208, 0, 1)
            )
        )
    ),
    ""
)</f>
        <v/>
      </c>
      <c r="S208" s="385" t="str">
        <f>IFERROR(
    IF(
        OR(ISBLANK(N208), ISBLANK(O208)),
        "",
        MAX(
            1,
            IF(
                NETWORKDAYS(N208, O208, Holiday_Dates) &lt;= 0,
                1,
                NETWORKDAYS(N208, O208, Holiday_Dates) - IF(N208 = O208, 0, 1)
            )
        )
    ),
    ""
)</f>
        <v/>
      </c>
      <c r="T208" s="385"/>
      <c r="U208" s="385" t="s">
        <v>4</v>
      </c>
      <c r="V208" s="385" t="s">
        <v>101</v>
      </c>
      <c r="W208" s="385" t="s">
        <v>1436</v>
      </c>
      <c r="X208" s="1"/>
    </row>
    <row r="209" spans="1:24">
      <c r="A209" s="385" t="s">
        <v>48</v>
      </c>
      <c r="B209" s="385" t="s">
        <v>212</v>
      </c>
      <c r="C209" s="385" t="s">
        <v>1826</v>
      </c>
      <c r="D209" s="385" t="s">
        <v>88</v>
      </c>
      <c r="E209" s="385"/>
      <c r="F209" s="385"/>
      <c r="G209" s="385"/>
      <c r="H209" s="385">
        <v>2024</v>
      </c>
      <c r="I209" s="385" t="s">
        <v>1827</v>
      </c>
      <c r="J209" s="30"/>
      <c r="K209" s="385"/>
      <c r="L209" s="385"/>
      <c r="M209" s="385"/>
      <c r="N209" s="385"/>
      <c r="O209" s="385"/>
      <c r="P209" s="385" t="str">
        <f>IFERROR(
    IF(
        OR(ISBLANK(I209), ISBLANK(L209)),
        "",
        MAX(
            1,
            IF(
                NETWORKDAYS(I209, L209, Holiday_Dates) &lt;= 0,
                1,
                NETWORKDAYS(I209, L209, Holiday_Dates) - IF(I209 = L209, 0, 1)
            )
        )
    ),
    ""
)</f>
        <v/>
      </c>
      <c r="Q209" s="385" t="str">
        <f>IF(
    OR(ISBLANK(L209), ISBLANK(M209)),
    "",
    MAX(
        1,
        IF(
            NETWORKDAYS(L209, M209, Holiday_Dates) &lt;= 0,
            1,
            NETWORKDAYS(L209, M209, Holiday_Dates) - IF(L209 = M209, 0, 1)
        )
    )
)</f>
        <v/>
      </c>
      <c r="R209" s="385" t="str">
        <f>IFERROR(
    IF(
        OR(ISBLANK(N209), AND(ISBLANK(L209), ISBLANK(M209))),
        "",
        MAX(
            1,
            IF(
                NETWORKDAYS(IF(NOT(ISBLANK(M209)), M209, L209), N209, Holiday_Dates) &lt;= 0,
                1,
                NETWORKDAYS(IF(NOT(ISBLANK(M209)), M209, L209), N209, Holiday_Dates)
                - IF(IF(NOT(ISBLANK(M209)), M209, L209) = N209, 0, 1)
            )
        )
    ),
    ""
)</f>
        <v/>
      </c>
      <c r="S209" s="385" t="str">
        <f>IFERROR(
    IF(
        OR(ISBLANK(N209), ISBLANK(O209)),
        "",
        MAX(
            1,
            IF(
                NETWORKDAYS(N209, O209, Holiday_Dates) &lt;= 0,
                1,
                NETWORKDAYS(N209, O209, Holiday_Dates) - IF(N209 = O209, 0, 1)
            )
        )
    ),
    ""
)</f>
        <v/>
      </c>
      <c r="T209" s="385"/>
      <c r="U209" s="385" t="s">
        <v>4</v>
      </c>
      <c r="V209" s="385" t="s">
        <v>101</v>
      </c>
      <c r="W209" s="385" t="s">
        <v>1436</v>
      </c>
      <c r="X209" s="1"/>
    </row>
    <row r="210" spans="1:24">
      <c r="A210" s="385" t="s">
        <v>48</v>
      </c>
      <c r="B210" s="385" t="s">
        <v>212</v>
      </c>
      <c r="C210" s="385" t="s">
        <v>1830</v>
      </c>
      <c r="D210" s="385" t="s">
        <v>88</v>
      </c>
      <c r="E210" s="385"/>
      <c r="F210" s="385"/>
      <c r="G210" s="385"/>
      <c r="H210" s="385">
        <v>2025</v>
      </c>
      <c r="I210" s="386">
        <v>45902</v>
      </c>
      <c r="J210" s="30" t="s">
        <v>4645</v>
      </c>
      <c r="K210" s="385"/>
      <c r="L210" s="385"/>
      <c r="M210" s="385"/>
      <c r="N210" s="385"/>
      <c r="O210" s="385"/>
      <c r="P210" s="385" t="str">
        <f>IFERROR(
    IF(
        OR(ISBLANK(I210), ISBLANK(L210)),
        "",
        MAX(
            1,
            IF(
                NETWORKDAYS(I210, L210, Holiday_Dates) &lt;= 0,
                1,
                NETWORKDAYS(I210, L210, Holiday_Dates) - IF(I210 = L210, 0, 1)
            )
        )
    ),
    ""
)</f>
        <v/>
      </c>
      <c r="Q210" s="385" t="str">
        <f>IF(
    OR(ISBLANK(L210), ISBLANK(M210)),
    "",
    MAX(
        1,
        IF(
            NETWORKDAYS(L210, M210, Holiday_Dates) &lt;= 0,
            1,
            NETWORKDAYS(L210, M210, Holiday_Dates) - IF(L210 = M210, 0, 1)
        )
    )
)</f>
        <v/>
      </c>
      <c r="R210" s="385" t="str">
        <f>IFERROR(
    IF(
        OR(ISBLANK(N210), AND(ISBLANK(L210), ISBLANK(M210))),
        "",
        MAX(
            1,
            IF(
                NETWORKDAYS(IF(NOT(ISBLANK(M210)), M210, L210), N210, Holiday_Dates) &lt;= 0,
                1,
                NETWORKDAYS(IF(NOT(ISBLANK(M210)), M210, L210), N210, Holiday_Dates)
                - IF(IF(NOT(ISBLANK(M210)), M210, L210) = N210, 0, 1)
            )
        )
    ),
    ""
)</f>
        <v/>
      </c>
      <c r="S210" s="385" t="str">
        <f>IFERROR(
    IF(
        OR(ISBLANK(N210), ISBLANK(O210)),
        "",
        MAX(
            1,
            IF(
                NETWORKDAYS(N210, O210, Holiday_Dates) &lt;= 0,
                1,
                NETWORKDAYS(N210, O210, Holiday_Dates) - IF(N210 = O210, 0, 1)
            )
        )
    ),
    ""
)</f>
        <v/>
      </c>
      <c r="T210" s="385"/>
      <c r="U210" s="385" t="s">
        <v>672</v>
      </c>
      <c r="V210" s="385" t="s">
        <v>101</v>
      </c>
      <c r="W210" s="385" t="s">
        <v>1436</v>
      </c>
      <c r="X210" s="1"/>
    </row>
    <row r="211" spans="1:24">
      <c r="A211" s="385" t="s">
        <v>48</v>
      </c>
      <c r="B211" s="385" t="s">
        <v>212</v>
      </c>
      <c r="C211" s="385" t="s">
        <v>1831</v>
      </c>
      <c r="D211" s="385" t="s">
        <v>88</v>
      </c>
      <c r="E211" s="385"/>
      <c r="F211" s="385"/>
      <c r="G211" s="385"/>
      <c r="H211" s="385">
        <v>2024</v>
      </c>
      <c r="I211" s="385" t="s">
        <v>1832</v>
      </c>
      <c r="J211" s="30"/>
      <c r="K211" s="385"/>
      <c r="L211" s="385"/>
      <c r="M211" s="385"/>
      <c r="N211" s="385"/>
      <c r="O211" s="385"/>
      <c r="P211" s="385" t="str">
        <f>IFERROR(
    IF(
        OR(ISBLANK(I211), ISBLANK(L211)),
        "",
        MAX(
            1,
            IF(
                NETWORKDAYS(I211, L211, Holiday_Dates) &lt;= 0,
                1,
                NETWORKDAYS(I211, L211, Holiday_Dates) - IF(I211 = L211, 0, 1)
            )
        )
    ),
    ""
)</f>
        <v/>
      </c>
      <c r="Q211" s="385" t="str">
        <f>IF(
    OR(ISBLANK(L211), ISBLANK(M211)),
    "",
    MAX(
        1,
        IF(
            NETWORKDAYS(L211, M211, Holiday_Dates) &lt;= 0,
            1,
            NETWORKDAYS(L211, M211, Holiday_Dates) - IF(L211 = M211, 0, 1)
        )
    )
)</f>
        <v/>
      </c>
      <c r="R211" s="385" t="str">
        <f>IFERROR(
    IF(
        OR(ISBLANK(N211), AND(ISBLANK(L211), ISBLANK(M211))),
        "",
        MAX(
            1,
            IF(
                NETWORKDAYS(IF(NOT(ISBLANK(M211)), M211, L211), N211, Holiday_Dates) &lt;= 0,
                1,
                NETWORKDAYS(IF(NOT(ISBLANK(M211)), M211, L211), N211, Holiday_Dates)
                - IF(IF(NOT(ISBLANK(M211)), M211, L211) = N211, 0, 1)
            )
        )
    ),
    ""
)</f>
        <v/>
      </c>
      <c r="S211" s="385" t="str">
        <f>IFERROR(
    IF(
        OR(ISBLANK(N211), ISBLANK(O211)),
        "",
        MAX(
            1,
            IF(
                NETWORKDAYS(N211, O211, Holiday_Dates) &lt;= 0,
                1,
                NETWORKDAYS(N211, O211, Holiday_Dates) - IF(N211 = O211, 0, 1)
            )
        )
    ),
    ""
)</f>
        <v/>
      </c>
      <c r="T211" s="385"/>
      <c r="U211" s="385" t="s">
        <v>4</v>
      </c>
      <c r="V211" s="385" t="s">
        <v>101</v>
      </c>
      <c r="W211" s="385" t="s">
        <v>1436</v>
      </c>
      <c r="X211" s="1"/>
    </row>
    <row r="212" spans="1:24">
      <c r="A212" s="385" t="s">
        <v>48</v>
      </c>
      <c r="B212" s="385" t="s">
        <v>212</v>
      </c>
      <c r="C212" s="385" t="s">
        <v>1834</v>
      </c>
      <c r="D212" s="385" t="s">
        <v>88</v>
      </c>
      <c r="E212" s="385"/>
      <c r="F212" s="385"/>
      <c r="G212" s="385"/>
      <c r="H212" s="385">
        <v>2024</v>
      </c>
      <c r="I212" s="385" t="s">
        <v>1835</v>
      </c>
      <c r="J212" s="30"/>
      <c r="K212" s="385"/>
      <c r="L212" s="385"/>
      <c r="M212" s="385"/>
      <c r="N212" s="385"/>
      <c r="O212" s="385"/>
      <c r="P212" s="385" t="str">
        <f>IFERROR(
    IF(
        OR(ISBLANK(I212), ISBLANK(L212)),
        "",
        MAX(
            1,
            IF(
                NETWORKDAYS(I212, L212, Holiday_Dates) &lt;= 0,
                1,
                NETWORKDAYS(I212, L212, Holiday_Dates) - IF(I212 = L212, 0, 1)
            )
        )
    ),
    ""
)</f>
        <v/>
      </c>
      <c r="Q212" s="385" t="str">
        <f>IF(
    OR(ISBLANK(L212), ISBLANK(M212)),
    "",
    MAX(
        1,
        IF(
            NETWORKDAYS(L212, M212, Holiday_Dates) &lt;= 0,
            1,
            NETWORKDAYS(L212, M212, Holiday_Dates) - IF(L212 = M212, 0, 1)
        )
    )
)</f>
        <v/>
      </c>
      <c r="R212" s="385" t="str">
        <f>IFERROR(
    IF(
        OR(ISBLANK(N212), AND(ISBLANK(L212), ISBLANK(M212))),
        "",
        MAX(
            1,
            IF(
                NETWORKDAYS(IF(NOT(ISBLANK(M212)), M212, L212), N212, Holiday_Dates) &lt;= 0,
                1,
                NETWORKDAYS(IF(NOT(ISBLANK(M212)), M212, L212), N212, Holiday_Dates)
                - IF(IF(NOT(ISBLANK(M212)), M212, L212) = N212, 0, 1)
            )
        )
    ),
    ""
)</f>
        <v/>
      </c>
      <c r="S212" s="385" t="str">
        <f>IFERROR(
    IF(
        OR(ISBLANK(N212), ISBLANK(O212)),
        "",
        MAX(
            1,
            IF(
                NETWORKDAYS(N212, O212, Holiday_Dates) &lt;= 0,
                1,
                NETWORKDAYS(N212, O212, Holiday_Dates) - IF(N212 = O212, 0, 1)
            )
        )
    ),
    ""
)</f>
        <v/>
      </c>
      <c r="T212" s="385"/>
      <c r="U212" s="385" t="s">
        <v>4</v>
      </c>
      <c r="V212" s="385" t="s">
        <v>108</v>
      </c>
      <c r="W212" s="385" t="s">
        <v>1436</v>
      </c>
      <c r="X212" s="1"/>
    </row>
    <row r="213" spans="1:24">
      <c r="A213" s="385" t="s">
        <v>48</v>
      </c>
      <c r="B213" s="385" t="s">
        <v>212</v>
      </c>
      <c r="C213" s="385" t="s">
        <v>1903</v>
      </c>
      <c r="D213" s="385" t="s">
        <v>88</v>
      </c>
      <c r="E213" s="385"/>
      <c r="F213" s="385"/>
      <c r="G213" s="385"/>
      <c r="H213" s="385">
        <v>2025</v>
      </c>
      <c r="I213" s="386">
        <v>45825</v>
      </c>
      <c r="J213" s="30" t="s">
        <v>4646</v>
      </c>
      <c r="K213" s="385"/>
      <c r="L213" s="385"/>
      <c r="M213" s="385"/>
      <c r="N213" s="385"/>
      <c r="O213" s="385"/>
      <c r="P213" s="385" t="str">
        <f>IFERROR(
    IF(
        OR(ISBLANK(I213), ISBLANK(L213)),
        "",
        MAX(
            1,
            IF(
                NETWORKDAYS(I213, L213, Holiday_Dates) &lt;= 0,
                1,
                NETWORKDAYS(I213, L213, Holiday_Dates) - IF(I213 = L213, 0, 1)
            )
        )
    ),
    ""
)</f>
        <v/>
      </c>
      <c r="Q213" s="385" t="str">
        <f>IF(
    OR(ISBLANK(L213), ISBLANK(M213)),
    "",
    MAX(
        1,
        IF(
            NETWORKDAYS(L213, M213, Holiday_Dates) &lt;= 0,
            1,
            NETWORKDAYS(L213, M213, Holiday_Dates) - IF(L213 = M213, 0, 1)
        )
    )
)</f>
        <v/>
      </c>
      <c r="R213" s="385" t="str">
        <f>IFERROR(
    IF(
        OR(ISBLANK(N213), AND(ISBLANK(L213), ISBLANK(M213))),
        "",
        MAX(
            1,
            IF(
                NETWORKDAYS(IF(NOT(ISBLANK(M213)), M213, L213), N213, Holiday_Dates) &lt;= 0,
                1,
                NETWORKDAYS(IF(NOT(ISBLANK(M213)), M213, L213), N213, Holiday_Dates)
                - IF(IF(NOT(ISBLANK(M213)), M213, L213) = N213, 0, 1)
            )
        )
    ),
    ""
)</f>
        <v/>
      </c>
      <c r="S213" s="385" t="str">
        <f>IFERROR(
    IF(
        OR(ISBLANK(N213), ISBLANK(O213)),
        "",
        MAX(
            1,
            IF(
                NETWORKDAYS(N213, O213, Holiday_Dates) &lt;= 0,
                1,
                NETWORKDAYS(N213, O213, Holiday_Dates) - IF(N213 = O213, 0, 1)
            )
        )
    ),
    ""
)</f>
        <v/>
      </c>
      <c r="T213" s="385"/>
      <c r="U213" s="385" t="s">
        <v>672</v>
      </c>
      <c r="V213" s="385" t="s">
        <v>101</v>
      </c>
      <c r="W213" s="385" t="s">
        <v>1436</v>
      </c>
      <c r="X213" s="1"/>
    </row>
    <row r="214" spans="1:24">
      <c r="A214" s="385" t="s">
        <v>48</v>
      </c>
      <c r="B214" s="385" t="s">
        <v>212</v>
      </c>
      <c r="C214" s="385" t="s">
        <v>1838</v>
      </c>
      <c r="D214" s="385" t="s">
        <v>88</v>
      </c>
      <c r="E214" s="385"/>
      <c r="F214" s="385"/>
      <c r="G214" s="385"/>
      <c r="H214" s="385">
        <v>2024</v>
      </c>
      <c r="I214" s="385" t="s">
        <v>4641</v>
      </c>
      <c r="J214" s="30"/>
      <c r="K214" s="385"/>
      <c r="L214" s="385"/>
      <c r="M214" s="385"/>
      <c r="N214" s="385"/>
      <c r="O214" s="385"/>
      <c r="P214" s="385" t="str">
        <f>IFERROR(
    IF(
        OR(ISBLANK(I214), ISBLANK(L214)),
        "",
        MAX(
            1,
            IF(
                NETWORKDAYS(I214, L214, Holiday_Dates) &lt;= 0,
                1,
                NETWORKDAYS(I214, L214, Holiday_Dates) - IF(I214 = L214, 0, 1)
            )
        )
    ),
    ""
)</f>
        <v/>
      </c>
      <c r="Q214" s="385" t="str">
        <f>IF(
    OR(ISBLANK(L214), ISBLANK(M214)),
    "",
    MAX(
        1,
        IF(
            NETWORKDAYS(L214, M214, Holiday_Dates) &lt;= 0,
            1,
            NETWORKDAYS(L214, M214, Holiday_Dates) - IF(L214 = M214, 0, 1)
        )
    )
)</f>
        <v/>
      </c>
      <c r="R214" s="385" t="str">
        <f>IFERROR(
    IF(
        OR(ISBLANK(N214), AND(ISBLANK(L214), ISBLANK(M214))),
        "",
        MAX(
            1,
            IF(
                NETWORKDAYS(IF(NOT(ISBLANK(M214)), M214, L214), N214, Holiday_Dates) &lt;= 0,
                1,
                NETWORKDAYS(IF(NOT(ISBLANK(M214)), M214, L214), N214, Holiday_Dates)
                - IF(IF(NOT(ISBLANK(M214)), M214, L214) = N214, 0, 1)
            )
        )
    ),
    ""
)</f>
        <v/>
      </c>
      <c r="S214" s="385" t="str">
        <f>IFERROR(
    IF(
        OR(ISBLANK(N214), ISBLANK(O214)),
        "",
        MAX(
            1,
            IF(
                NETWORKDAYS(N214, O214, Holiday_Dates) &lt;= 0,
                1,
                NETWORKDAYS(N214, O214, Holiday_Dates) - IF(N214 = O214, 0, 1)
            )
        )
    ),
    ""
)</f>
        <v/>
      </c>
      <c r="T214" s="385"/>
      <c r="U214" s="385" t="s">
        <v>4</v>
      </c>
      <c r="V214" s="385" t="s">
        <v>101</v>
      </c>
      <c r="W214" s="385" t="s">
        <v>1436</v>
      </c>
      <c r="X214" s="1"/>
    </row>
    <row r="215" spans="1:24">
      <c r="A215" s="385" t="s">
        <v>48</v>
      </c>
      <c r="B215" s="385" t="s">
        <v>212</v>
      </c>
      <c r="C215" s="385" t="s">
        <v>1840</v>
      </c>
      <c r="D215" s="385" t="s">
        <v>88</v>
      </c>
      <c r="E215" s="385"/>
      <c r="F215" s="385"/>
      <c r="G215" s="385"/>
      <c r="H215" s="385">
        <v>2024</v>
      </c>
      <c r="I215" s="386">
        <v>45604</v>
      </c>
      <c r="J215" s="30"/>
      <c r="K215" s="385"/>
      <c r="L215" s="385"/>
      <c r="M215" s="385"/>
      <c r="N215" s="385"/>
      <c r="O215" s="385"/>
      <c r="P215" s="385" t="str">
        <f>IFERROR(
    IF(
        OR(ISBLANK(I215), ISBLANK(L215)),
        "",
        MAX(
            1,
            IF(
                NETWORKDAYS(I215, L215, Holiday_Dates) &lt;= 0,
                1,
                NETWORKDAYS(I215, L215, Holiday_Dates) - IF(I215 = L215, 0, 1)
            )
        )
    ),
    ""
)</f>
        <v/>
      </c>
      <c r="Q215" s="385" t="str">
        <f>IF(
    OR(ISBLANK(L215), ISBLANK(M215)),
    "",
    MAX(
        1,
        IF(
            NETWORKDAYS(L215, M215, Holiday_Dates) &lt;= 0,
            1,
            NETWORKDAYS(L215, M215, Holiday_Dates) - IF(L215 = M215, 0, 1)
        )
    )
)</f>
        <v/>
      </c>
      <c r="R215" s="385" t="str">
        <f>IFERROR(
    IF(
        OR(ISBLANK(N215), AND(ISBLANK(L215), ISBLANK(M215))),
        "",
        MAX(
            1,
            IF(
                NETWORKDAYS(IF(NOT(ISBLANK(M215)), M215, L215), N215, Holiday_Dates) &lt;= 0,
                1,
                NETWORKDAYS(IF(NOT(ISBLANK(M215)), M215, L215), N215, Holiday_Dates)
                - IF(IF(NOT(ISBLANK(M215)), M215, L215) = N215, 0, 1)
            )
        )
    ),
    ""
)</f>
        <v/>
      </c>
      <c r="S215" s="385" t="str">
        <f>IFERROR(
    IF(
        OR(ISBLANK(N215), ISBLANK(O215)),
        "",
        MAX(
            1,
            IF(
                NETWORKDAYS(N215, O215, Holiday_Dates) &lt;= 0,
                1,
                NETWORKDAYS(N215, O215, Holiday_Dates) - IF(N215 = O215, 0, 1)
            )
        )
    ),
    ""
)</f>
        <v/>
      </c>
      <c r="T215" s="385"/>
      <c r="U215" s="385" t="s">
        <v>4</v>
      </c>
      <c r="V215" s="385" t="s">
        <v>101</v>
      </c>
      <c r="W215" s="385" t="s">
        <v>1436</v>
      </c>
      <c r="X215" s="1"/>
    </row>
    <row r="216" spans="1:24">
      <c r="A216" s="385" t="s">
        <v>48</v>
      </c>
      <c r="B216" s="385" t="s">
        <v>212</v>
      </c>
      <c r="C216" s="385" t="s">
        <v>1842</v>
      </c>
      <c r="D216" s="385" t="s">
        <v>88</v>
      </c>
      <c r="E216" s="385"/>
      <c r="F216" s="385"/>
      <c r="G216" s="385"/>
      <c r="H216" s="385">
        <v>2024</v>
      </c>
      <c r="I216" s="385" t="s">
        <v>1843</v>
      </c>
      <c r="J216" s="30"/>
      <c r="K216" s="385"/>
      <c r="L216" s="385"/>
      <c r="M216" s="385"/>
      <c r="N216" s="385"/>
      <c r="O216" s="385"/>
      <c r="P216" s="385" t="str">
        <f>IFERROR(
    IF(
        OR(ISBLANK(I216), ISBLANK(L216)),
        "",
        MAX(
            1,
            IF(
                NETWORKDAYS(I216, L216, Holiday_Dates) &lt;= 0,
                1,
                NETWORKDAYS(I216, L216, Holiday_Dates) - IF(I216 = L216, 0, 1)
            )
        )
    ),
    ""
)</f>
        <v/>
      </c>
      <c r="Q216" s="385" t="str">
        <f>IF(
    OR(ISBLANK(L216), ISBLANK(M216)),
    "",
    MAX(
        1,
        IF(
            NETWORKDAYS(L216, M216, Holiday_Dates) &lt;= 0,
            1,
            NETWORKDAYS(L216, M216, Holiday_Dates) - IF(L216 = M216, 0, 1)
        )
    )
)</f>
        <v/>
      </c>
      <c r="R216" s="385" t="str">
        <f>IFERROR(
    IF(
        OR(ISBLANK(N216), AND(ISBLANK(L216), ISBLANK(M216))),
        "",
        MAX(
            1,
            IF(
                NETWORKDAYS(IF(NOT(ISBLANK(M216)), M216, L216), N216, Holiday_Dates) &lt;= 0,
                1,
                NETWORKDAYS(IF(NOT(ISBLANK(M216)), M216, L216), N216, Holiday_Dates)
                - IF(IF(NOT(ISBLANK(M216)), M216, L216) = N216, 0, 1)
            )
        )
    ),
    ""
)</f>
        <v/>
      </c>
      <c r="S216" s="385" t="str">
        <f>IFERROR(
    IF(
        OR(ISBLANK(N216), ISBLANK(O216)),
        "",
        MAX(
            1,
            IF(
                NETWORKDAYS(N216, O216, Holiday_Dates) &lt;= 0,
                1,
                NETWORKDAYS(N216, O216, Holiday_Dates) - IF(N216 = O216, 0, 1)
            )
        )
    ),
    ""
)</f>
        <v/>
      </c>
      <c r="T216" s="385"/>
      <c r="U216" s="385" t="s">
        <v>4</v>
      </c>
      <c r="V216" s="385" t="s">
        <v>101</v>
      </c>
      <c r="W216" s="385" t="s">
        <v>1436</v>
      </c>
      <c r="X216" s="1"/>
    </row>
    <row r="217" spans="1:24">
      <c r="A217" s="385" t="s">
        <v>48</v>
      </c>
      <c r="B217" s="385" t="s">
        <v>212</v>
      </c>
      <c r="C217" s="385" t="s">
        <v>1848</v>
      </c>
      <c r="D217" s="385" t="s">
        <v>88</v>
      </c>
      <c r="E217" s="385"/>
      <c r="F217" s="385"/>
      <c r="G217" s="385"/>
      <c r="H217" s="385">
        <v>2024</v>
      </c>
      <c r="I217" s="385" t="s">
        <v>1725</v>
      </c>
      <c r="J217" s="30"/>
      <c r="K217" s="385"/>
      <c r="L217" s="385"/>
      <c r="M217" s="385"/>
      <c r="N217" s="385"/>
      <c r="O217" s="385"/>
      <c r="P217" s="385" t="str">
        <f>IFERROR(
    IF(
        OR(ISBLANK(I217), ISBLANK(L217)),
        "",
        MAX(
            1,
            IF(
                NETWORKDAYS(I217, L217, Holiday_Dates) &lt;= 0,
                1,
                NETWORKDAYS(I217, L217, Holiday_Dates) - IF(I217 = L217, 0, 1)
            )
        )
    ),
    ""
)</f>
        <v/>
      </c>
      <c r="Q217" s="385" t="str">
        <f>IF(
    OR(ISBLANK(L217), ISBLANK(M217)),
    "",
    MAX(
        1,
        IF(
            NETWORKDAYS(L217, M217, Holiday_Dates) &lt;= 0,
            1,
            NETWORKDAYS(L217, M217, Holiday_Dates) - IF(L217 = M217, 0, 1)
        )
    )
)</f>
        <v/>
      </c>
      <c r="R217" s="385" t="str">
        <f>IFERROR(
    IF(
        OR(ISBLANK(N217), AND(ISBLANK(L217), ISBLANK(M217))),
        "",
        MAX(
            1,
            IF(
                NETWORKDAYS(IF(NOT(ISBLANK(M217)), M217, L217), N217, Holiday_Dates) &lt;= 0,
                1,
                NETWORKDAYS(IF(NOT(ISBLANK(M217)), M217, L217), N217, Holiday_Dates)
                - IF(IF(NOT(ISBLANK(M217)), M217, L217) = N217, 0, 1)
            )
        )
    ),
    ""
)</f>
        <v/>
      </c>
      <c r="S217" s="385" t="str">
        <f>IFERROR(
    IF(
        OR(ISBLANK(N217), ISBLANK(O217)),
        "",
        MAX(
            1,
            IF(
                NETWORKDAYS(N217, O217, Holiday_Dates) &lt;= 0,
                1,
                NETWORKDAYS(N217, O217, Holiday_Dates) - IF(N217 = O217, 0, 1)
            )
        )
    ),
    ""
)</f>
        <v/>
      </c>
      <c r="T217" s="385"/>
      <c r="U217" s="385" t="s">
        <v>4</v>
      </c>
      <c r="V217" s="385" t="s">
        <v>101</v>
      </c>
      <c r="W217" s="385" t="s">
        <v>1436</v>
      </c>
      <c r="X217" s="1"/>
    </row>
    <row r="218" spans="1:24">
      <c r="A218" s="385" t="s">
        <v>48</v>
      </c>
      <c r="B218" s="385" t="s">
        <v>212</v>
      </c>
      <c r="C218" s="385" t="s">
        <v>1846</v>
      </c>
      <c r="D218" s="385" t="s">
        <v>88</v>
      </c>
      <c r="E218" s="385"/>
      <c r="F218" s="385"/>
      <c r="G218" s="385"/>
      <c r="H218" s="385">
        <v>2024</v>
      </c>
      <c r="I218" s="385" t="s">
        <v>1725</v>
      </c>
      <c r="J218" s="30"/>
      <c r="K218" s="385"/>
      <c r="L218" s="385"/>
      <c r="M218" s="385"/>
      <c r="N218" s="385"/>
      <c r="O218" s="385"/>
      <c r="P218" s="385" t="str">
        <f>IFERROR(
    IF(
        OR(ISBLANK(I218), ISBLANK(L218)),
        "",
        MAX(
            1,
            IF(
                NETWORKDAYS(I218, L218, Holiday_Dates) &lt;= 0,
                1,
                NETWORKDAYS(I218, L218, Holiday_Dates) - IF(I218 = L218, 0, 1)
            )
        )
    ),
    ""
)</f>
        <v/>
      </c>
      <c r="Q218" s="385" t="str">
        <f>IF(
    OR(ISBLANK(L218), ISBLANK(M218)),
    "",
    MAX(
        1,
        IF(
            NETWORKDAYS(L218, M218, Holiday_Dates) &lt;= 0,
            1,
            NETWORKDAYS(L218, M218, Holiday_Dates) - IF(L218 = M218, 0, 1)
        )
    )
)</f>
        <v/>
      </c>
      <c r="R218" s="385" t="str">
        <f>IFERROR(
    IF(
        OR(ISBLANK(N218), AND(ISBLANK(L218), ISBLANK(M218))),
        "",
        MAX(
            1,
            IF(
                NETWORKDAYS(IF(NOT(ISBLANK(M218)), M218, L218), N218, Holiday_Dates) &lt;= 0,
                1,
                NETWORKDAYS(IF(NOT(ISBLANK(M218)), M218, L218), N218, Holiday_Dates)
                - IF(IF(NOT(ISBLANK(M218)), M218, L218) = N218, 0, 1)
            )
        )
    ),
    ""
)</f>
        <v/>
      </c>
      <c r="S218" s="385" t="str">
        <f>IFERROR(
    IF(
        OR(ISBLANK(N218), ISBLANK(O218)),
        "",
        MAX(
            1,
            IF(
                NETWORKDAYS(N218, O218, Holiday_Dates) &lt;= 0,
                1,
                NETWORKDAYS(N218, O218, Holiday_Dates) - IF(N218 = O218, 0, 1)
            )
        )
    ),
    ""
)</f>
        <v/>
      </c>
      <c r="T218" s="385"/>
      <c r="U218" s="385" t="s">
        <v>4</v>
      </c>
      <c r="V218" s="385" t="s">
        <v>101</v>
      </c>
      <c r="W218" s="385" t="s">
        <v>1436</v>
      </c>
      <c r="X218" s="1"/>
    </row>
    <row r="219" spans="1:24">
      <c r="A219" s="385" t="s">
        <v>48</v>
      </c>
      <c r="B219" s="385" t="s">
        <v>212</v>
      </c>
      <c r="C219" s="385" t="s">
        <v>1850</v>
      </c>
      <c r="D219" s="385" t="s">
        <v>88</v>
      </c>
      <c r="E219" s="385"/>
      <c r="F219" s="385"/>
      <c r="G219" s="385"/>
      <c r="H219" s="385">
        <v>2025</v>
      </c>
      <c r="I219" s="386">
        <v>45874</v>
      </c>
      <c r="J219" s="30" t="s">
        <v>4647</v>
      </c>
      <c r="K219" s="385"/>
      <c r="L219" s="385"/>
      <c r="M219" s="385"/>
      <c r="N219" s="385"/>
      <c r="O219" s="385"/>
      <c r="P219" s="385" t="str">
        <f>IFERROR(
    IF(
        OR(ISBLANK(I219), ISBLANK(L219)),
        "",
        MAX(
            1,
            IF(
                NETWORKDAYS(I219, L219, Holiday_Dates) &lt;= 0,
                1,
                NETWORKDAYS(I219, L219, Holiday_Dates) - IF(I219 = L219, 0, 1)
            )
        )
    ),
    ""
)</f>
        <v/>
      </c>
      <c r="Q219" s="385" t="str">
        <f>IF(
    OR(ISBLANK(L219), ISBLANK(M219)),
    "",
    MAX(
        1,
        IF(
            NETWORKDAYS(L219, M219, Holiday_Dates) &lt;= 0,
            1,
            NETWORKDAYS(L219, M219, Holiday_Dates) - IF(L219 = M219, 0, 1)
        )
    )
)</f>
        <v/>
      </c>
      <c r="R219" s="385" t="str">
        <f>IFERROR(
    IF(
        OR(ISBLANK(N219), AND(ISBLANK(L219), ISBLANK(M219))),
        "",
        MAX(
            1,
            IF(
                NETWORKDAYS(IF(NOT(ISBLANK(M219)), M219, L219), N219, Holiday_Dates) &lt;= 0,
                1,
                NETWORKDAYS(IF(NOT(ISBLANK(M219)), M219, L219), N219, Holiday_Dates)
                - IF(IF(NOT(ISBLANK(M219)), M219, L219) = N219, 0, 1)
            )
        )
    ),
    ""
)</f>
        <v/>
      </c>
      <c r="S219" s="385" t="str">
        <f>IFERROR(
    IF(
        OR(ISBLANK(N219), ISBLANK(O219)),
        "",
        MAX(
            1,
            IF(
                NETWORKDAYS(N219, O219, Holiday_Dates) &lt;= 0,
                1,
                NETWORKDAYS(N219, O219, Holiday_Dates) - IF(N219 = O219, 0, 1)
            )
        )
    ),
    ""
)</f>
        <v/>
      </c>
      <c r="T219" s="385"/>
      <c r="U219" s="385" t="s">
        <v>672</v>
      </c>
      <c r="V219" s="385" t="s">
        <v>108</v>
      </c>
      <c r="W219" s="385" t="s">
        <v>1436</v>
      </c>
      <c r="X219" s="1"/>
    </row>
    <row r="220" spans="1:24">
      <c r="A220" s="385" t="s">
        <v>48</v>
      </c>
      <c r="B220" s="385" t="s">
        <v>212</v>
      </c>
      <c r="C220" s="385" t="s">
        <v>1059</v>
      </c>
      <c r="D220" s="385" t="s">
        <v>88</v>
      </c>
      <c r="E220" s="385"/>
      <c r="F220" s="385"/>
      <c r="G220" s="385"/>
      <c r="H220" s="385">
        <v>2025</v>
      </c>
      <c r="I220" s="386">
        <v>45869</v>
      </c>
      <c r="J220" s="30" t="s">
        <v>4648</v>
      </c>
      <c r="K220" s="385"/>
      <c r="L220" s="385"/>
      <c r="M220" s="385"/>
      <c r="N220" s="385"/>
      <c r="O220" s="385"/>
      <c r="P220" s="385" t="str">
        <f>IFERROR(
    IF(
        OR(ISBLANK(I220), ISBLANK(L220)),
        "",
        MAX(
            1,
            IF(
                NETWORKDAYS(I220, L220, Holiday_Dates) &lt;= 0,
                1,
                NETWORKDAYS(I220, L220, Holiday_Dates) - IF(I220 = L220, 0, 1)
            )
        )
    ),
    ""
)</f>
        <v/>
      </c>
      <c r="Q220" s="385" t="str">
        <f>IF(
    OR(ISBLANK(L220), ISBLANK(M220)),
    "",
    MAX(
        1,
        IF(
            NETWORKDAYS(L220, M220, Holiday_Dates) &lt;= 0,
            1,
            NETWORKDAYS(L220, M220, Holiday_Dates) - IF(L220 = M220, 0, 1)
        )
    )
)</f>
        <v/>
      </c>
      <c r="R220" s="385" t="str">
        <f>IFERROR(
    IF(
        OR(ISBLANK(N220), AND(ISBLANK(L220), ISBLANK(M220))),
        "",
        MAX(
            1,
            IF(
                NETWORKDAYS(IF(NOT(ISBLANK(M220)), M220, L220), N220, Holiday_Dates) &lt;= 0,
                1,
                NETWORKDAYS(IF(NOT(ISBLANK(M220)), M220, L220), N220, Holiday_Dates)
                - IF(IF(NOT(ISBLANK(M220)), M220, L220) = N220, 0, 1)
            )
        )
    ),
    ""
)</f>
        <v/>
      </c>
      <c r="S220" s="385" t="str">
        <f>IFERROR(
    IF(
        OR(ISBLANK(N220), ISBLANK(O220)),
        "",
        MAX(
            1,
            IF(
                NETWORKDAYS(N220, O220, Holiday_Dates) &lt;= 0,
                1,
                NETWORKDAYS(N220, O220, Holiday_Dates) - IF(N220 = O220, 0, 1)
            )
        )
    ),
    ""
)</f>
        <v/>
      </c>
      <c r="T220" s="385"/>
      <c r="U220" s="385" t="s">
        <v>672</v>
      </c>
      <c r="V220" s="385" t="s">
        <v>108</v>
      </c>
      <c r="W220" s="385" t="s">
        <v>1436</v>
      </c>
      <c r="X220" s="1"/>
    </row>
    <row r="221" spans="1:24">
      <c r="A221" s="385" t="s">
        <v>48</v>
      </c>
      <c r="B221" s="385" t="s">
        <v>212</v>
      </c>
      <c r="C221" s="385" t="s">
        <v>1851</v>
      </c>
      <c r="D221" s="385" t="s">
        <v>88</v>
      </c>
      <c r="E221" s="385"/>
      <c r="F221" s="385"/>
      <c r="G221" s="385"/>
      <c r="H221" s="385">
        <v>2024</v>
      </c>
      <c r="I221" s="385" t="s">
        <v>1798</v>
      </c>
      <c r="J221" s="30"/>
      <c r="K221" s="385"/>
      <c r="L221" s="385"/>
      <c r="M221" s="385"/>
      <c r="N221" s="385"/>
      <c r="O221" s="385"/>
      <c r="P221" s="385" t="str">
        <f>IFERROR(
    IF(
        OR(ISBLANK(I221), ISBLANK(L221)),
        "",
        MAX(
            1,
            IF(
                NETWORKDAYS(I221, L221, Holiday_Dates) &lt;= 0,
                1,
                NETWORKDAYS(I221, L221, Holiday_Dates) - IF(I221 = L221, 0, 1)
            )
        )
    ),
    ""
)</f>
        <v/>
      </c>
      <c r="Q221" s="385" t="str">
        <f>IF(
    OR(ISBLANK(L221), ISBLANK(M221)),
    "",
    MAX(
        1,
        IF(
            NETWORKDAYS(L221, M221, Holiday_Dates) &lt;= 0,
            1,
            NETWORKDAYS(L221, M221, Holiday_Dates) - IF(L221 = M221, 0, 1)
        )
    )
)</f>
        <v/>
      </c>
      <c r="R221" s="385" t="str">
        <f>IFERROR(
    IF(
        OR(ISBLANK(N221), AND(ISBLANK(L221), ISBLANK(M221))),
        "",
        MAX(
            1,
            IF(
                NETWORKDAYS(IF(NOT(ISBLANK(M221)), M221, L221), N221, Holiday_Dates) &lt;= 0,
                1,
                NETWORKDAYS(IF(NOT(ISBLANK(M221)), M221, L221), N221, Holiday_Dates)
                - IF(IF(NOT(ISBLANK(M221)), M221, L221) = N221, 0, 1)
            )
        )
    ),
    ""
)</f>
        <v/>
      </c>
      <c r="S221" s="385" t="str">
        <f>IFERROR(
    IF(
        OR(ISBLANK(N221), ISBLANK(O221)),
        "",
        MAX(
            1,
            IF(
                NETWORKDAYS(N221, O221, Holiday_Dates) &lt;= 0,
                1,
                NETWORKDAYS(N221, O221, Holiday_Dates) - IF(N221 = O221, 0, 1)
            )
        )
    ),
    ""
)</f>
        <v/>
      </c>
      <c r="T221" s="385"/>
      <c r="U221" s="385" t="s">
        <v>4</v>
      </c>
      <c r="V221" s="385" t="s">
        <v>101</v>
      </c>
      <c r="W221" s="385" t="s">
        <v>1436</v>
      </c>
      <c r="X221" s="1"/>
    </row>
    <row r="222" spans="1:24">
      <c r="A222" s="385" t="s">
        <v>48</v>
      </c>
      <c r="B222" s="385" t="s">
        <v>212</v>
      </c>
      <c r="C222" s="385" t="s">
        <v>1853</v>
      </c>
      <c r="D222" s="385" t="s">
        <v>88</v>
      </c>
      <c r="E222" s="385"/>
      <c r="F222" s="385"/>
      <c r="G222" s="385"/>
      <c r="H222" s="385">
        <v>2024</v>
      </c>
      <c r="I222" s="385" t="s">
        <v>4649</v>
      </c>
      <c r="J222" s="30"/>
      <c r="K222" s="385"/>
      <c r="L222" s="385"/>
      <c r="M222" s="385"/>
      <c r="N222" s="385"/>
      <c r="O222" s="385"/>
      <c r="P222" s="385" t="str">
        <f>IFERROR(
    IF(
        OR(ISBLANK(I222), ISBLANK(L222)),
        "",
        MAX(
            1,
            IF(
                NETWORKDAYS(I222, L222, Holiday_Dates) &lt;= 0,
                1,
                NETWORKDAYS(I222, L222, Holiday_Dates) - IF(I222 = L222, 0, 1)
            )
        )
    ),
    ""
)</f>
        <v/>
      </c>
      <c r="Q222" s="385" t="str">
        <f>IF(
    OR(ISBLANK(L222), ISBLANK(M222)),
    "",
    MAX(
        1,
        IF(
            NETWORKDAYS(L222, M222, Holiday_Dates) &lt;= 0,
            1,
            NETWORKDAYS(L222, M222, Holiday_Dates) - IF(L222 = M222, 0, 1)
        )
    )
)</f>
        <v/>
      </c>
      <c r="R222" s="385" t="str">
        <f>IFERROR(
    IF(
        OR(ISBLANK(N222), AND(ISBLANK(L222), ISBLANK(M222))),
        "",
        MAX(
            1,
            IF(
                NETWORKDAYS(IF(NOT(ISBLANK(M222)), M222, L222), N222, Holiday_Dates) &lt;= 0,
                1,
                NETWORKDAYS(IF(NOT(ISBLANK(M222)), M222, L222), N222, Holiday_Dates)
                - IF(IF(NOT(ISBLANK(M222)), M222, L222) = N222, 0, 1)
            )
        )
    ),
    ""
)</f>
        <v/>
      </c>
      <c r="S222" s="385" t="str">
        <f>IFERROR(
    IF(
        OR(ISBLANK(N222), ISBLANK(O222)),
        "",
        MAX(
            1,
            IF(
                NETWORKDAYS(N222, O222, Holiday_Dates) &lt;= 0,
                1,
                NETWORKDAYS(N222, O222, Holiday_Dates) - IF(N222 = O222, 0, 1)
            )
        )
    ),
    ""
)</f>
        <v/>
      </c>
      <c r="T222" s="385"/>
      <c r="U222" s="385" t="s">
        <v>4</v>
      </c>
      <c r="V222" s="385" t="s">
        <v>108</v>
      </c>
      <c r="W222" s="385" t="s">
        <v>1436</v>
      </c>
      <c r="X222" s="1"/>
    </row>
    <row r="223" spans="1:24">
      <c r="A223" s="385" t="s">
        <v>48</v>
      </c>
      <c r="B223" s="385" t="s">
        <v>212</v>
      </c>
      <c r="C223" s="385" t="s">
        <v>1855</v>
      </c>
      <c r="D223" s="385" t="s">
        <v>88</v>
      </c>
      <c r="E223" s="385"/>
      <c r="F223" s="385"/>
      <c r="G223" s="385"/>
      <c r="H223" s="385">
        <v>2025</v>
      </c>
      <c r="I223" s="386">
        <v>45715</v>
      </c>
      <c r="J223" s="30" t="s">
        <v>4650</v>
      </c>
      <c r="K223" s="385"/>
      <c r="L223" s="385"/>
      <c r="M223" s="385"/>
      <c r="N223" s="385"/>
      <c r="O223" s="385"/>
      <c r="P223" s="385" t="str">
        <f>IFERROR(
    IF(
        OR(ISBLANK(I223), ISBLANK(L223)),
        "",
        MAX(
            1,
            IF(
                NETWORKDAYS(I223, L223, Holiday_Dates) &lt;= 0,
                1,
                NETWORKDAYS(I223, L223, Holiday_Dates) - IF(I223 = L223, 0, 1)
            )
        )
    ),
    ""
)</f>
        <v/>
      </c>
      <c r="Q223" s="385" t="str">
        <f>IF(
    OR(ISBLANK(L223), ISBLANK(M223)),
    "",
    MAX(
        1,
        IF(
            NETWORKDAYS(L223, M223, Holiday_Dates) &lt;= 0,
            1,
            NETWORKDAYS(L223, M223, Holiday_Dates) - IF(L223 = M223, 0, 1)
        )
    )
)</f>
        <v/>
      </c>
      <c r="R223" s="385" t="str">
        <f>IFERROR(
    IF(
        OR(ISBLANK(N223), AND(ISBLANK(L223), ISBLANK(M223))),
        "",
        MAX(
            1,
            IF(
                NETWORKDAYS(IF(NOT(ISBLANK(M223)), M223, L223), N223, Holiday_Dates) &lt;= 0,
                1,
                NETWORKDAYS(IF(NOT(ISBLANK(M223)), M223, L223), N223, Holiday_Dates)
                - IF(IF(NOT(ISBLANK(M223)), M223, L223) = N223, 0, 1)
            )
        )
    ),
    ""
)</f>
        <v/>
      </c>
      <c r="S223" s="385" t="str">
        <f>IFERROR(
    IF(
        OR(ISBLANK(N223), ISBLANK(O223)),
        "",
        MAX(
            1,
            IF(
                NETWORKDAYS(N223, O223, Holiday_Dates) &lt;= 0,
                1,
                NETWORKDAYS(N223, O223, Holiday_Dates) - IF(N223 = O223, 0, 1)
            )
        )
    ),
    ""
)</f>
        <v/>
      </c>
      <c r="T223" s="385"/>
      <c r="U223" s="385" t="s">
        <v>672</v>
      </c>
      <c r="V223" s="385" t="s">
        <v>101</v>
      </c>
      <c r="W223" s="385" t="s">
        <v>1436</v>
      </c>
      <c r="X223" s="1"/>
    </row>
    <row r="224" spans="1:24">
      <c r="A224" s="385" t="s">
        <v>48</v>
      </c>
      <c r="B224" s="385" t="s">
        <v>212</v>
      </c>
      <c r="C224" s="385" t="s">
        <v>1856</v>
      </c>
      <c r="D224" s="385" t="s">
        <v>88</v>
      </c>
      <c r="E224" s="385"/>
      <c r="F224" s="385"/>
      <c r="G224" s="385"/>
      <c r="H224" s="385">
        <v>2025</v>
      </c>
      <c r="I224" s="386">
        <v>45916</v>
      </c>
      <c r="J224" s="30" t="s">
        <v>4651</v>
      </c>
      <c r="K224" s="385"/>
      <c r="L224" s="385"/>
      <c r="M224" s="385"/>
      <c r="N224" s="385"/>
      <c r="O224" s="385"/>
      <c r="P224" s="385" t="str">
        <f>IFERROR(
    IF(
        OR(ISBLANK(I224), ISBLANK(L224)),
        "",
        MAX(
            1,
            IF(
                NETWORKDAYS(I224, L224, Holiday_Dates) &lt;= 0,
                1,
                NETWORKDAYS(I224, L224, Holiday_Dates) - IF(I224 = L224, 0, 1)
            )
        )
    ),
    ""
)</f>
        <v/>
      </c>
      <c r="Q224" s="385" t="str">
        <f>IF(
    OR(ISBLANK(L224), ISBLANK(M224)),
    "",
    MAX(
        1,
        IF(
            NETWORKDAYS(L224, M224, Holiday_Dates) &lt;= 0,
            1,
            NETWORKDAYS(L224, M224, Holiday_Dates) - IF(L224 = M224, 0, 1)
        )
    )
)</f>
        <v/>
      </c>
      <c r="R224" s="385" t="str">
        <f>IFERROR(
    IF(
        OR(ISBLANK(N224), AND(ISBLANK(L224), ISBLANK(M224))),
        "",
        MAX(
            1,
            IF(
                NETWORKDAYS(IF(NOT(ISBLANK(M224)), M224, L224), N224, Holiday_Dates) &lt;= 0,
                1,
                NETWORKDAYS(IF(NOT(ISBLANK(M224)), M224, L224), N224, Holiday_Dates)
                - IF(IF(NOT(ISBLANK(M224)), M224, L224) = N224, 0, 1)
            )
        )
    ),
    ""
)</f>
        <v/>
      </c>
      <c r="S224" s="385" t="str">
        <f>IFERROR(
    IF(
        OR(ISBLANK(N224), ISBLANK(O224)),
        "",
        MAX(
            1,
            IF(
                NETWORKDAYS(N224, O224, Holiday_Dates) &lt;= 0,
                1,
                NETWORKDAYS(N224, O224, Holiday_Dates) - IF(N224 = O224, 0, 1)
            )
        )
    ),
    ""
)</f>
        <v/>
      </c>
      <c r="T224" s="385"/>
      <c r="U224" s="385" t="s">
        <v>672</v>
      </c>
      <c r="V224" s="385" t="s">
        <v>108</v>
      </c>
      <c r="W224" s="385" t="s">
        <v>1436</v>
      </c>
      <c r="X224" s="1"/>
    </row>
    <row r="225" spans="1:24">
      <c r="A225" s="385" t="s">
        <v>48</v>
      </c>
      <c r="B225" s="385" t="s">
        <v>212</v>
      </c>
      <c r="C225" s="385" t="s">
        <v>963</v>
      </c>
      <c r="D225" s="385" t="s">
        <v>88</v>
      </c>
      <c r="E225" s="385"/>
      <c r="F225" s="385"/>
      <c r="G225" s="385"/>
      <c r="H225" s="385">
        <v>2024</v>
      </c>
      <c r="I225" s="385" t="s">
        <v>1708</v>
      </c>
      <c r="J225" s="30"/>
      <c r="K225" s="385"/>
      <c r="L225" s="385"/>
      <c r="M225" s="385"/>
      <c r="N225" s="385"/>
      <c r="O225" s="385"/>
      <c r="P225" s="385" t="str">
        <f>IFERROR(
    IF(
        OR(ISBLANK(I225), ISBLANK(L225)),
        "",
        MAX(
            1,
            IF(
                NETWORKDAYS(I225, L225, Holiday_Dates) &lt;= 0,
                1,
                NETWORKDAYS(I225, L225, Holiday_Dates) - IF(I225 = L225, 0, 1)
            )
        )
    ),
    ""
)</f>
        <v/>
      </c>
      <c r="Q225" s="385" t="str">
        <f>IF(
    OR(ISBLANK(L225), ISBLANK(M225)),
    "",
    MAX(
        1,
        IF(
            NETWORKDAYS(L225, M225, Holiday_Dates) &lt;= 0,
            1,
            NETWORKDAYS(L225, M225, Holiday_Dates) - IF(L225 = M225, 0, 1)
        )
    )
)</f>
        <v/>
      </c>
      <c r="R225" s="385" t="str">
        <f>IFERROR(
    IF(
        OR(ISBLANK(N225), AND(ISBLANK(L225), ISBLANK(M225))),
        "",
        MAX(
            1,
            IF(
                NETWORKDAYS(IF(NOT(ISBLANK(M225)), M225, L225), N225, Holiday_Dates) &lt;= 0,
                1,
                NETWORKDAYS(IF(NOT(ISBLANK(M225)), M225, L225), N225, Holiday_Dates)
                - IF(IF(NOT(ISBLANK(M225)), M225, L225) = N225, 0, 1)
            )
        )
    ),
    ""
)</f>
        <v/>
      </c>
      <c r="S225" s="385" t="str">
        <f>IFERROR(
    IF(
        OR(ISBLANK(N225), ISBLANK(O225)),
        "",
        MAX(
            1,
            IF(
                NETWORKDAYS(N225, O225, Holiday_Dates) &lt;= 0,
                1,
                NETWORKDAYS(N225, O225, Holiday_Dates) - IF(N225 = O225, 0, 1)
            )
        )
    ),
    ""
)</f>
        <v/>
      </c>
      <c r="T225" s="385"/>
      <c r="U225" s="385" t="s">
        <v>4</v>
      </c>
      <c r="V225" s="385" t="s">
        <v>101</v>
      </c>
      <c r="W225" s="385" t="s">
        <v>1436</v>
      </c>
      <c r="X225" s="1"/>
    </row>
    <row r="226" spans="1:24">
      <c r="A226" s="385" t="s">
        <v>48</v>
      </c>
      <c r="B226" s="385" t="s">
        <v>212</v>
      </c>
      <c r="C226" s="385" t="s">
        <v>1013</v>
      </c>
      <c r="D226" s="385" t="s">
        <v>88</v>
      </c>
      <c r="E226" s="385"/>
      <c r="F226" s="385"/>
      <c r="G226" s="385"/>
      <c r="H226" s="385">
        <v>2024</v>
      </c>
      <c r="I226" s="385" t="s">
        <v>4638</v>
      </c>
      <c r="J226" s="30"/>
      <c r="K226" s="385"/>
      <c r="L226" s="385"/>
      <c r="M226" s="385"/>
      <c r="N226" s="385"/>
      <c r="O226" s="385"/>
      <c r="P226" s="385" t="str">
        <f>IFERROR(
    IF(
        OR(ISBLANK(I226), ISBLANK(L226)),
        "",
        MAX(
            1,
            IF(
                NETWORKDAYS(I226, L226, Holiday_Dates) &lt;= 0,
                1,
                NETWORKDAYS(I226, L226, Holiday_Dates) - IF(I226 = L226, 0, 1)
            )
        )
    ),
    ""
)</f>
        <v/>
      </c>
      <c r="Q226" s="385" t="str">
        <f>IF(
    OR(ISBLANK(L226), ISBLANK(M226)),
    "",
    MAX(
        1,
        IF(
            NETWORKDAYS(L226, M226, Holiday_Dates) &lt;= 0,
            1,
            NETWORKDAYS(L226, M226, Holiday_Dates) - IF(L226 = M226, 0, 1)
        )
    )
)</f>
        <v/>
      </c>
      <c r="R226" s="385" t="str">
        <f>IFERROR(
    IF(
        OR(ISBLANK(N226), AND(ISBLANK(L226), ISBLANK(M226))),
        "",
        MAX(
            1,
            IF(
                NETWORKDAYS(IF(NOT(ISBLANK(M226)), M226, L226), N226, Holiday_Dates) &lt;= 0,
                1,
                NETWORKDAYS(IF(NOT(ISBLANK(M226)), M226, L226), N226, Holiday_Dates)
                - IF(IF(NOT(ISBLANK(M226)), M226, L226) = N226, 0, 1)
            )
        )
    ),
    ""
)</f>
        <v/>
      </c>
      <c r="S226" s="385" t="str">
        <f>IFERROR(
    IF(
        OR(ISBLANK(N226), ISBLANK(O226)),
        "",
        MAX(
            1,
            IF(
                NETWORKDAYS(N226, O226, Holiday_Dates) &lt;= 0,
                1,
                NETWORKDAYS(N226, O226, Holiday_Dates) - IF(N226 = O226, 0, 1)
            )
        )
    ),
    ""
)</f>
        <v/>
      </c>
      <c r="T226" s="385"/>
      <c r="U226" s="385" t="s">
        <v>4</v>
      </c>
      <c r="V226" s="385" t="s">
        <v>101</v>
      </c>
      <c r="W226" s="385" t="s">
        <v>1436</v>
      </c>
      <c r="X226" s="1"/>
    </row>
    <row r="227" spans="1:24">
      <c r="A227" s="385" t="s">
        <v>48</v>
      </c>
      <c r="B227" s="385" t="s">
        <v>212</v>
      </c>
      <c r="C227" s="385" t="s">
        <v>1892</v>
      </c>
      <c r="D227" s="385" t="s">
        <v>88</v>
      </c>
      <c r="E227" s="385"/>
      <c r="F227" s="385"/>
      <c r="G227" s="385"/>
      <c r="H227" s="385">
        <v>2024</v>
      </c>
      <c r="I227" s="385" t="s">
        <v>1893</v>
      </c>
      <c r="J227" s="30"/>
      <c r="K227" s="385"/>
      <c r="L227" s="385"/>
      <c r="M227" s="385"/>
      <c r="N227" s="385"/>
      <c r="O227" s="385"/>
      <c r="P227" s="385" t="str">
        <f>IFERROR(
    IF(
        OR(ISBLANK(I227), ISBLANK(L227)),
        "",
        MAX(
            1,
            IF(
                NETWORKDAYS(I227, L227, Holiday_Dates) &lt;= 0,
                1,
                NETWORKDAYS(I227, L227, Holiday_Dates) - IF(I227 = L227, 0, 1)
            )
        )
    ),
    ""
)</f>
        <v/>
      </c>
      <c r="Q227" s="385" t="str">
        <f>IF(
    OR(ISBLANK(L227), ISBLANK(M227)),
    "",
    MAX(
        1,
        IF(
            NETWORKDAYS(L227, M227, Holiday_Dates) &lt;= 0,
            1,
            NETWORKDAYS(L227, M227, Holiday_Dates) - IF(L227 = M227, 0, 1)
        )
    )
)</f>
        <v/>
      </c>
      <c r="R227" s="385" t="str">
        <f>IFERROR(
    IF(
        OR(ISBLANK(N227), AND(ISBLANK(L227), ISBLANK(M227))),
        "",
        MAX(
            1,
            IF(
                NETWORKDAYS(IF(NOT(ISBLANK(M227)), M227, L227), N227, Holiday_Dates) &lt;= 0,
                1,
                NETWORKDAYS(IF(NOT(ISBLANK(M227)), M227, L227), N227, Holiday_Dates)
                - IF(IF(NOT(ISBLANK(M227)), M227, L227) = N227, 0, 1)
            )
        )
    ),
    ""
)</f>
        <v/>
      </c>
      <c r="S227" s="385" t="str">
        <f>IFERROR(
    IF(
        OR(ISBLANK(N227), ISBLANK(O227)),
        "",
        MAX(
            1,
            IF(
                NETWORKDAYS(N227, O227, Holiday_Dates) &lt;= 0,
                1,
                NETWORKDAYS(N227, O227, Holiday_Dates) - IF(N227 = O227, 0, 1)
            )
        )
    ),
    ""
)</f>
        <v/>
      </c>
      <c r="T227" s="385"/>
      <c r="U227" s="385" t="s">
        <v>4</v>
      </c>
      <c r="V227" s="385" t="s">
        <v>108</v>
      </c>
      <c r="W227" s="385" t="s">
        <v>1436</v>
      </c>
      <c r="X227" s="1"/>
    </row>
    <row r="228" spans="1:24">
      <c r="A228" s="385" t="s">
        <v>48</v>
      </c>
      <c r="B228" s="385" t="s">
        <v>212</v>
      </c>
      <c r="C228" s="385" t="s">
        <v>1895</v>
      </c>
      <c r="D228" s="385" t="s">
        <v>88</v>
      </c>
      <c r="E228" s="385"/>
      <c r="F228" s="385"/>
      <c r="G228" s="385"/>
      <c r="H228" s="385">
        <v>2024</v>
      </c>
      <c r="I228" s="385" t="s">
        <v>1896</v>
      </c>
      <c r="J228" s="30"/>
      <c r="K228" s="385"/>
      <c r="L228" s="385"/>
      <c r="M228" s="385"/>
      <c r="N228" s="385"/>
      <c r="O228" s="385"/>
      <c r="P228" s="385" t="str">
        <f>IFERROR(
    IF(
        OR(ISBLANK(I228), ISBLANK(L228)),
        "",
        MAX(
            1,
            IF(
                NETWORKDAYS(I228, L228, Holiday_Dates) &lt;= 0,
                1,
                NETWORKDAYS(I228, L228, Holiday_Dates) - IF(I228 = L228, 0, 1)
            )
        )
    ),
    ""
)</f>
        <v/>
      </c>
      <c r="Q228" s="385" t="str">
        <f>IF(
    OR(ISBLANK(L228), ISBLANK(M228)),
    "",
    MAX(
        1,
        IF(
            NETWORKDAYS(L228, M228, Holiday_Dates) &lt;= 0,
            1,
            NETWORKDAYS(L228, M228, Holiday_Dates) - IF(L228 = M228, 0, 1)
        )
    )
)</f>
        <v/>
      </c>
      <c r="R228" s="385" t="str">
        <f>IFERROR(
    IF(
        OR(ISBLANK(N228), AND(ISBLANK(L228), ISBLANK(M228))),
        "",
        MAX(
            1,
            IF(
                NETWORKDAYS(IF(NOT(ISBLANK(M228)), M228, L228), N228, Holiday_Dates) &lt;= 0,
                1,
                NETWORKDAYS(IF(NOT(ISBLANK(M228)), M228, L228), N228, Holiday_Dates)
                - IF(IF(NOT(ISBLANK(M228)), M228, L228) = N228, 0, 1)
            )
        )
    ),
    ""
)</f>
        <v/>
      </c>
      <c r="S228" s="385" t="str">
        <f>IFERROR(
    IF(
        OR(ISBLANK(N228), ISBLANK(O228)),
        "",
        MAX(
            1,
            IF(
                NETWORKDAYS(N228, O228, Holiday_Dates) &lt;= 0,
                1,
                NETWORKDAYS(N228, O228, Holiday_Dates) - IF(N228 = O228, 0, 1)
            )
        )
    ),
    ""
)</f>
        <v/>
      </c>
      <c r="T228" s="385"/>
      <c r="U228" s="385" t="s">
        <v>4</v>
      </c>
      <c r="V228" s="385" t="s">
        <v>101</v>
      </c>
      <c r="W228" s="385" t="s">
        <v>1436</v>
      </c>
      <c r="X228" s="1"/>
    </row>
    <row r="229" spans="1:24">
      <c r="A229" s="385" t="s">
        <v>48</v>
      </c>
      <c r="B229" s="385" t="s">
        <v>212</v>
      </c>
      <c r="C229" s="385" t="s">
        <v>1859</v>
      </c>
      <c r="D229" s="385" t="s">
        <v>88</v>
      </c>
      <c r="E229" s="385"/>
      <c r="F229" s="385"/>
      <c r="G229" s="385"/>
      <c r="H229" s="385">
        <v>2025</v>
      </c>
      <c r="I229" s="386">
        <v>45839</v>
      </c>
      <c r="J229" s="30" t="s">
        <v>4652</v>
      </c>
      <c r="K229" s="385"/>
      <c r="L229" s="385"/>
      <c r="M229" s="385"/>
      <c r="N229" s="385"/>
      <c r="O229" s="385"/>
      <c r="P229" s="385" t="str">
        <f>IFERROR(
    IF(
        OR(ISBLANK(I229), ISBLANK(L229)),
        "",
        MAX(
            1,
            IF(
                NETWORKDAYS(I229, L229, Holiday_Dates) &lt;= 0,
                1,
                NETWORKDAYS(I229, L229, Holiday_Dates) - IF(I229 = L229, 0, 1)
            )
        )
    ),
    ""
)</f>
        <v/>
      </c>
      <c r="Q229" s="385" t="str">
        <f>IF(
    OR(ISBLANK(L229), ISBLANK(M229)),
    "",
    MAX(
        1,
        IF(
            NETWORKDAYS(L229, M229, Holiday_Dates) &lt;= 0,
            1,
            NETWORKDAYS(L229, M229, Holiday_Dates) - IF(L229 = M229, 0, 1)
        )
    )
)</f>
        <v/>
      </c>
      <c r="R229" s="385" t="str">
        <f>IFERROR(
    IF(
        OR(ISBLANK(N229), AND(ISBLANK(L229), ISBLANK(M229))),
        "",
        MAX(
            1,
            IF(
                NETWORKDAYS(IF(NOT(ISBLANK(M229)), M229, L229), N229, Holiday_Dates) &lt;= 0,
                1,
                NETWORKDAYS(IF(NOT(ISBLANK(M229)), M229, L229), N229, Holiday_Dates)
                - IF(IF(NOT(ISBLANK(M229)), M229, L229) = N229, 0, 1)
            )
        )
    ),
    ""
)</f>
        <v/>
      </c>
      <c r="S229" s="385" t="str">
        <f>IFERROR(
    IF(
        OR(ISBLANK(N229), ISBLANK(O229)),
        "",
        MAX(
            1,
            IF(
                NETWORKDAYS(N229, O229, Holiday_Dates) &lt;= 0,
                1,
                NETWORKDAYS(N229, O229, Holiday_Dates) - IF(N229 = O229, 0, 1)
            )
        )
    ),
    ""
)</f>
        <v/>
      </c>
      <c r="T229" s="385"/>
      <c r="U229" s="385" t="s">
        <v>672</v>
      </c>
      <c r="V229" s="385" t="s">
        <v>101</v>
      </c>
      <c r="W229" s="385" t="s">
        <v>1436</v>
      </c>
      <c r="X229" s="1"/>
    </row>
    <row r="230" spans="1:24">
      <c r="A230" s="385" t="s">
        <v>48</v>
      </c>
      <c r="B230" s="385" t="s">
        <v>212</v>
      </c>
      <c r="C230" s="385" t="s">
        <v>1860</v>
      </c>
      <c r="D230" s="385" t="s">
        <v>88</v>
      </c>
      <c r="E230" s="385"/>
      <c r="F230" s="385"/>
      <c r="G230" s="385"/>
      <c r="H230" s="385">
        <v>2024</v>
      </c>
      <c r="I230" s="385" t="s">
        <v>4608</v>
      </c>
      <c r="J230" s="30"/>
      <c r="K230" s="385"/>
      <c r="L230" s="385"/>
      <c r="M230" s="385"/>
      <c r="N230" s="385"/>
      <c r="O230" s="385"/>
      <c r="P230" s="385" t="str">
        <f>IFERROR(
    IF(
        OR(ISBLANK(I230), ISBLANK(L230)),
        "",
        MAX(
            1,
            IF(
                NETWORKDAYS(I230, L230, Holiday_Dates) &lt;= 0,
                1,
                NETWORKDAYS(I230, L230, Holiday_Dates) - IF(I230 = L230, 0, 1)
            )
        )
    ),
    ""
)</f>
        <v/>
      </c>
      <c r="Q230" s="385" t="str">
        <f>IF(
    OR(ISBLANK(L230), ISBLANK(M230)),
    "",
    MAX(
        1,
        IF(
            NETWORKDAYS(L230, M230, Holiday_Dates) &lt;= 0,
            1,
            NETWORKDAYS(L230, M230, Holiday_Dates) - IF(L230 = M230, 0, 1)
        )
    )
)</f>
        <v/>
      </c>
      <c r="R230" s="385" t="str">
        <f>IFERROR(
    IF(
        OR(ISBLANK(N230), AND(ISBLANK(L230), ISBLANK(M230))),
        "",
        MAX(
            1,
            IF(
                NETWORKDAYS(IF(NOT(ISBLANK(M230)), M230, L230), N230, Holiday_Dates) &lt;= 0,
                1,
                NETWORKDAYS(IF(NOT(ISBLANK(M230)), M230, L230), N230, Holiday_Dates)
                - IF(IF(NOT(ISBLANK(M230)), M230, L230) = N230, 0, 1)
            )
        )
    ),
    ""
)</f>
        <v/>
      </c>
      <c r="S230" s="385" t="str">
        <f>IFERROR(
    IF(
        OR(ISBLANK(N230), ISBLANK(O230)),
        "",
        MAX(
            1,
            IF(
                NETWORKDAYS(N230, O230, Holiday_Dates) &lt;= 0,
                1,
                NETWORKDAYS(N230, O230, Holiday_Dates) - IF(N230 = O230, 0, 1)
            )
        )
    ),
    ""
)</f>
        <v/>
      </c>
      <c r="T230" s="385"/>
      <c r="U230" s="385" t="s">
        <v>4</v>
      </c>
      <c r="V230" s="385" t="s">
        <v>101</v>
      </c>
      <c r="W230" s="385" t="s">
        <v>1436</v>
      </c>
      <c r="X230" s="1"/>
    </row>
    <row r="231" spans="1:24">
      <c r="A231" s="385" t="s">
        <v>48</v>
      </c>
      <c r="B231" s="385" t="s">
        <v>212</v>
      </c>
      <c r="C231" s="385" t="s">
        <v>1862</v>
      </c>
      <c r="D231" s="385" t="s">
        <v>88</v>
      </c>
      <c r="E231" s="385"/>
      <c r="F231" s="385"/>
      <c r="G231" s="385"/>
      <c r="H231" s="385">
        <v>2024</v>
      </c>
      <c r="I231" s="385" t="s">
        <v>1814</v>
      </c>
      <c r="J231" s="30"/>
      <c r="K231" s="385"/>
      <c r="L231" s="385"/>
      <c r="M231" s="385"/>
      <c r="N231" s="385"/>
      <c r="O231" s="385"/>
      <c r="P231" s="385" t="str">
        <f>IFERROR(
    IF(
        OR(ISBLANK(I231), ISBLANK(L231)),
        "",
        MAX(
            1,
            IF(
                NETWORKDAYS(I231, L231, Holiday_Dates) &lt;= 0,
                1,
                NETWORKDAYS(I231, L231, Holiday_Dates) - IF(I231 = L231, 0, 1)
            )
        )
    ),
    ""
)</f>
        <v/>
      </c>
      <c r="Q231" s="385" t="str">
        <f>IF(
    OR(ISBLANK(L231), ISBLANK(M231)),
    "",
    MAX(
        1,
        IF(
            NETWORKDAYS(L231, M231, Holiday_Dates) &lt;= 0,
            1,
            NETWORKDAYS(L231, M231, Holiday_Dates) - IF(L231 = M231, 0, 1)
        )
    )
)</f>
        <v/>
      </c>
      <c r="R231" s="385" t="str">
        <f>IFERROR(
    IF(
        OR(ISBLANK(N231), AND(ISBLANK(L231), ISBLANK(M231))),
        "",
        MAX(
            1,
            IF(
                NETWORKDAYS(IF(NOT(ISBLANK(M231)), M231, L231), N231, Holiday_Dates) &lt;= 0,
                1,
                NETWORKDAYS(IF(NOT(ISBLANK(M231)), M231, L231), N231, Holiday_Dates)
                - IF(IF(NOT(ISBLANK(M231)), M231, L231) = N231, 0, 1)
            )
        )
    ),
    ""
)</f>
        <v/>
      </c>
      <c r="S231" s="385" t="str">
        <f>IFERROR(
    IF(
        OR(ISBLANK(N231), ISBLANK(O231)),
        "",
        MAX(
            1,
            IF(
                NETWORKDAYS(N231, O231, Holiday_Dates) &lt;= 0,
                1,
                NETWORKDAYS(N231, O231, Holiday_Dates) - IF(N231 = O231, 0, 1)
            )
        )
    ),
    ""
)</f>
        <v/>
      </c>
      <c r="T231" s="385"/>
      <c r="U231" s="385" t="s">
        <v>672</v>
      </c>
      <c r="V231" s="385" t="s">
        <v>101</v>
      </c>
      <c r="W231" s="385" t="s">
        <v>1436</v>
      </c>
      <c r="X231" s="1"/>
    </row>
    <row r="232" spans="1:24">
      <c r="A232" s="385" t="s">
        <v>48</v>
      </c>
      <c r="B232" s="385" t="s">
        <v>212</v>
      </c>
      <c r="C232" s="385" t="s">
        <v>1864</v>
      </c>
      <c r="D232" s="385" t="s">
        <v>88</v>
      </c>
      <c r="E232" s="385"/>
      <c r="F232" s="385"/>
      <c r="G232" s="385"/>
      <c r="H232" s="385">
        <v>2024</v>
      </c>
      <c r="I232" s="385" t="s">
        <v>1802</v>
      </c>
      <c r="J232" s="30"/>
      <c r="K232" s="385"/>
      <c r="L232" s="385"/>
      <c r="M232" s="385"/>
      <c r="N232" s="385"/>
      <c r="O232" s="385"/>
      <c r="P232" s="385" t="str">
        <f>IFERROR(
    IF(
        OR(ISBLANK(I232), ISBLANK(L232)),
        "",
        MAX(
            1,
            IF(
                NETWORKDAYS(I232, L232, Holiday_Dates) &lt;= 0,
                1,
                NETWORKDAYS(I232, L232, Holiday_Dates) - IF(I232 = L232, 0, 1)
            )
        )
    ),
    ""
)</f>
        <v/>
      </c>
      <c r="Q232" s="385" t="str">
        <f>IF(
    OR(ISBLANK(L232), ISBLANK(M232)),
    "",
    MAX(
        1,
        IF(
            NETWORKDAYS(L232, M232, Holiday_Dates) &lt;= 0,
            1,
            NETWORKDAYS(L232, M232, Holiday_Dates) - IF(L232 = M232, 0, 1)
        )
    )
)</f>
        <v/>
      </c>
      <c r="R232" s="385" t="str">
        <f>IFERROR(
    IF(
        OR(ISBLANK(N232), AND(ISBLANK(L232), ISBLANK(M232))),
        "",
        MAX(
            1,
            IF(
                NETWORKDAYS(IF(NOT(ISBLANK(M232)), M232, L232), N232, Holiday_Dates) &lt;= 0,
                1,
                NETWORKDAYS(IF(NOT(ISBLANK(M232)), M232, L232), N232, Holiday_Dates)
                - IF(IF(NOT(ISBLANK(M232)), M232, L232) = N232, 0, 1)
            )
        )
    ),
    ""
)</f>
        <v/>
      </c>
      <c r="S232" s="385" t="str">
        <f>IFERROR(
    IF(
        OR(ISBLANK(N232), ISBLANK(O232)),
        "",
        MAX(
            1,
            IF(
                NETWORKDAYS(N232, O232, Holiday_Dates) &lt;= 0,
                1,
                NETWORKDAYS(N232, O232, Holiday_Dates) - IF(N232 = O232, 0, 1)
            )
        )
    ),
    ""
)</f>
        <v/>
      </c>
      <c r="T232" s="385"/>
      <c r="U232" s="385" t="s">
        <v>4</v>
      </c>
      <c r="V232" s="385" t="s">
        <v>108</v>
      </c>
      <c r="W232" s="385" t="s">
        <v>1436</v>
      </c>
      <c r="X232" s="1"/>
    </row>
    <row r="233" spans="1:24">
      <c r="A233" s="385" t="s">
        <v>48</v>
      </c>
      <c r="B233" s="385" t="s">
        <v>212</v>
      </c>
      <c r="C233" s="385" t="s">
        <v>1866</v>
      </c>
      <c r="D233" s="385" t="s">
        <v>88</v>
      </c>
      <c r="E233" s="385"/>
      <c r="F233" s="385"/>
      <c r="G233" s="385"/>
      <c r="H233" s="385">
        <v>2025</v>
      </c>
      <c r="I233" s="386">
        <v>45792</v>
      </c>
      <c r="J233" s="30" t="s">
        <v>4653</v>
      </c>
      <c r="K233" s="385"/>
      <c r="L233" s="385"/>
      <c r="M233" s="385"/>
      <c r="N233" s="385"/>
      <c r="O233" s="385"/>
      <c r="P233" s="385" t="str">
        <f>IFERROR(
    IF(
        OR(ISBLANK(I233), ISBLANK(L233)),
        "",
        MAX(
            1,
            IF(
                NETWORKDAYS(I233, L233, Holiday_Dates) &lt;= 0,
                1,
                NETWORKDAYS(I233, L233, Holiday_Dates) - IF(I233 = L233, 0, 1)
            )
        )
    ),
    ""
)</f>
        <v/>
      </c>
      <c r="Q233" s="385" t="str">
        <f>IF(
    OR(ISBLANK(L233), ISBLANK(M233)),
    "",
    MAX(
        1,
        IF(
            NETWORKDAYS(L233, M233, Holiday_Dates) &lt;= 0,
            1,
            NETWORKDAYS(L233, M233, Holiday_Dates) - IF(L233 = M233, 0, 1)
        )
    )
)</f>
        <v/>
      </c>
      <c r="R233" s="385" t="str">
        <f>IFERROR(
    IF(
        OR(ISBLANK(N233), AND(ISBLANK(L233), ISBLANK(M233))),
        "",
        MAX(
            1,
            IF(
                NETWORKDAYS(IF(NOT(ISBLANK(M233)), M233, L233), N233, Holiday_Dates) &lt;= 0,
                1,
                NETWORKDAYS(IF(NOT(ISBLANK(M233)), M233, L233), N233, Holiday_Dates)
                - IF(IF(NOT(ISBLANK(M233)), M233, L233) = N233, 0, 1)
            )
        )
    ),
    ""
)</f>
        <v/>
      </c>
      <c r="S233" s="385" t="str">
        <f>IFERROR(
    IF(
        OR(ISBLANK(N233), ISBLANK(O233)),
        "",
        MAX(
            1,
            IF(
                NETWORKDAYS(N233, O233, Holiday_Dates) &lt;= 0,
                1,
                NETWORKDAYS(N233, O233, Holiday_Dates) - IF(N233 = O233, 0, 1)
            )
        )
    ),
    ""
)</f>
        <v/>
      </c>
      <c r="T233" s="385"/>
      <c r="U233" s="385" t="s">
        <v>672</v>
      </c>
      <c r="V233" s="385" t="s">
        <v>101</v>
      </c>
      <c r="W233" s="385" t="s">
        <v>1436</v>
      </c>
      <c r="X233" s="1"/>
    </row>
    <row r="234" spans="1:24">
      <c r="A234" s="385" t="s">
        <v>48</v>
      </c>
      <c r="B234" s="385" t="s">
        <v>212</v>
      </c>
      <c r="C234" s="385" t="s">
        <v>1867</v>
      </c>
      <c r="D234" s="385" t="s">
        <v>88</v>
      </c>
      <c r="E234" s="385"/>
      <c r="F234" s="385"/>
      <c r="G234" s="385"/>
      <c r="H234" s="385">
        <v>2025</v>
      </c>
      <c r="I234" s="386">
        <v>45784</v>
      </c>
      <c r="J234" s="30" t="s">
        <v>4654</v>
      </c>
      <c r="K234" s="385"/>
      <c r="L234" s="385"/>
      <c r="M234" s="385"/>
      <c r="N234" s="385"/>
      <c r="O234" s="385"/>
      <c r="P234" s="385" t="str">
        <f>IFERROR(
    IF(
        OR(ISBLANK(I234), ISBLANK(L234)),
        "",
        MAX(
            1,
            IF(
                NETWORKDAYS(I234, L234, Holiday_Dates) &lt;= 0,
                1,
                NETWORKDAYS(I234, L234, Holiday_Dates) - IF(I234 = L234, 0, 1)
            )
        )
    ),
    ""
)</f>
        <v/>
      </c>
      <c r="Q234" s="385" t="str">
        <f>IF(
    OR(ISBLANK(L234), ISBLANK(M234)),
    "",
    MAX(
        1,
        IF(
            NETWORKDAYS(L234, M234, Holiday_Dates) &lt;= 0,
            1,
            NETWORKDAYS(L234, M234, Holiday_Dates) - IF(L234 = M234, 0, 1)
        )
    )
)</f>
        <v/>
      </c>
      <c r="R234" s="385" t="str">
        <f>IFERROR(
    IF(
        OR(ISBLANK(N234), AND(ISBLANK(L234), ISBLANK(M234))),
        "",
        MAX(
            1,
            IF(
                NETWORKDAYS(IF(NOT(ISBLANK(M234)), M234, L234), N234, Holiday_Dates) &lt;= 0,
                1,
                NETWORKDAYS(IF(NOT(ISBLANK(M234)), M234, L234), N234, Holiday_Dates)
                - IF(IF(NOT(ISBLANK(M234)), M234, L234) = N234, 0, 1)
            )
        )
    ),
    ""
)</f>
        <v/>
      </c>
      <c r="S234" s="385" t="str">
        <f>IFERROR(
    IF(
        OR(ISBLANK(N234), ISBLANK(O234)),
        "",
        MAX(
            1,
            IF(
                NETWORKDAYS(N234, O234, Holiday_Dates) &lt;= 0,
                1,
                NETWORKDAYS(N234, O234, Holiday_Dates) - IF(N234 = O234, 0, 1)
            )
        )
    ),
    ""
)</f>
        <v/>
      </c>
      <c r="T234" s="385"/>
      <c r="U234" s="385" t="s">
        <v>672</v>
      </c>
      <c r="V234" s="385" t="s">
        <v>108</v>
      </c>
      <c r="W234" s="385" t="s">
        <v>1436</v>
      </c>
      <c r="X234" s="1"/>
    </row>
    <row r="235" spans="1:24">
      <c r="A235" s="385" t="s">
        <v>48</v>
      </c>
      <c r="B235" s="385" t="s">
        <v>212</v>
      </c>
      <c r="C235" s="385" t="s">
        <v>1868</v>
      </c>
      <c r="D235" s="385" t="s">
        <v>88</v>
      </c>
      <c r="E235" s="385"/>
      <c r="F235" s="385"/>
      <c r="G235" s="385"/>
      <c r="H235" s="385">
        <v>2025</v>
      </c>
      <c r="I235" s="386">
        <v>45937</v>
      </c>
      <c r="J235" s="30" t="s">
        <v>4655</v>
      </c>
      <c r="K235" s="385"/>
      <c r="L235" s="385"/>
      <c r="M235" s="385"/>
      <c r="N235" s="385"/>
      <c r="O235" s="385"/>
      <c r="P235" s="385" t="str">
        <f>IFERROR(
    IF(
        OR(ISBLANK(I235), ISBLANK(L235)),
        "",
        MAX(
            1,
            IF(
                NETWORKDAYS(I235, L235, Holiday_Dates) &lt;= 0,
                1,
                NETWORKDAYS(I235, L235, Holiday_Dates) - IF(I235 = L235, 0, 1)
            )
        )
    ),
    ""
)</f>
        <v/>
      </c>
      <c r="Q235" s="385" t="str">
        <f>IF(
    OR(ISBLANK(L235), ISBLANK(M235)),
    "",
    MAX(
        1,
        IF(
            NETWORKDAYS(L235, M235, Holiday_Dates) &lt;= 0,
            1,
            NETWORKDAYS(L235, M235, Holiday_Dates) - IF(L235 = M235, 0, 1)
        )
    )
)</f>
        <v/>
      </c>
      <c r="R235" s="385" t="str">
        <f>IFERROR(
    IF(
        OR(ISBLANK(N235), AND(ISBLANK(L235), ISBLANK(M235))),
        "",
        MAX(
            1,
            IF(
                NETWORKDAYS(IF(NOT(ISBLANK(M235)), M235, L235), N235, Holiday_Dates) &lt;= 0,
                1,
                NETWORKDAYS(IF(NOT(ISBLANK(M235)), M235, L235), N235, Holiday_Dates)
                - IF(IF(NOT(ISBLANK(M235)), M235, L235) = N235, 0, 1)
            )
        )
    ),
    ""
)</f>
        <v/>
      </c>
      <c r="S235" s="385" t="str">
        <f>IFERROR(
    IF(
        OR(ISBLANK(N235), ISBLANK(O235)),
        "",
        MAX(
            1,
            IF(
                NETWORKDAYS(N235, O235, Holiday_Dates) &lt;= 0,
                1,
                NETWORKDAYS(N235, O235, Holiday_Dates) - IF(N235 = O235, 0, 1)
            )
        )
    ),
    ""
)</f>
        <v/>
      </c>
      <c r="T235" s="385"/>
      <c r="U235" s="385" t="s">
        <v>672</v>
      </c>
      <c r="V235" s="385" t="s">
        <v>108</v>
      </c>
      <c r="W235" s="385" t="s">
        <v>1436</v>
      </c>
      <c r="X235" s="1"/>
    </row>
    <row r="236" spans="1:24">
      <c r="A236" s="385" t="s">
        <v>48</v>
      </c>
      <c r="B236" s="385" t="s">
        <v>212</v>
      </c>
      <c r="C236" s="385" t="s">
        <v>1869</v>
      </c>
      <c r="D236" s="385" t="s">
        <v>88</v>
      </c>
      <c r="E236" s="385"/>
      <c r="F236" s="385"/>
      <c r="G236" s="385"/>
      <c r="H236" s="385">
        <v>2024</v>
      </c>
      <c r="I236" s="385" t="s">
        <v>1870</v>
      </c>
      <c r="J236" s="30"/>
      <c r="K236" s="385"/>
      <c r="L236" s="385"/>
      <c r="M236" s="385"/>
      <c r="N236" s="385"/>
      <c r="O236" s="385"/>
      <c r="P236" s="385" t="str">
        <f>IFERROR(
    IF(
        OR(ISBLANK(I236), ISBLANK(L236)),
        "",
        MAX(
            1,
            IF(
                NETWORKDAYS(I236, L236, Holiday_Dates) &lt;= 0,
                1,
                NETWORKDAYS(I236, L236, Holiday_Dates) - IF(I236 = L236, 0, 1)
            )
        )
    ),
    ""
)</f>
        <v/>
      </c>
      <c r="Q236" s="385" t="str">
        <f>IF(
    OR(ISBLANK(L236), ISBLANK(M236)),
    "",
    MAX(
        1,
        IF(
            NETWORKDAYS(L236, M236, Holiday_Dates) &lt;= 0,
            1,
            NETWORKDAYS(L236, M236, Holiday_Dates) - IF(L236 = M236, 0, 1)
        )
    )
)</f>
        <v/>
      </c>
      <c r="R236" s="385" t="str">
        <f>IFERROR(
    IF(
        OR(ISBLANK(N236), AND(ISBLANK(L236), ISBLANK(M236))),
        "",
        MAX(
            1,
            IF(
                NETWORKDAYS(IF(NOT(ISBLANK(M236)), M236, L236), N236, Holiday_Dates) &lt;= 0,
                1,
                NETWORKDAYS(IF(NOT(ISBLANK(M236)), M236, L236), N236, Holiday_Dates)
                - IF(IF(NOT(ISBLANK(M236)), M236, L236) = N236, 0, 1)
            )
        )
    ),
    ""
)</f>
        <v/>
      </c>
      <c r="S236" s="385" t="str">
        <f>IFERROR(
    IF(
        OR(ISBLANK(N236), ISBLANK(O236)),
        "",
        MAX(
            1,
            IF(
                NETWORKDAYS(N236, O236, Holiday_Dates) &lt;= 0,
                1,
                NETWORKDAYS(N236, O236, Holiday_Dates) - IF(N236 = O236, 0, 1)
            )
        )
    ),
    ""
)</f>
        <v/>
      </c>
      <c r="T236" s="385"/>
      <c r="U236" s="385" t="s">
        <v>4</v>
      </c>
      <c r="V236" s="385" t="s">
        <v>101</v>
      </c>
      <c r="W236" s="385" t="s">
        <v>1436</v>
      </c>
      <c r="X236" s="1"/>
    </row>
    <row r="237" spans="1:24">
      <c r="A237" s="385" t="s">
        <v>48</v>
      </c>
      <c r="B237" s="385" t="s">
        <v>212</v>
      </c>
      <c r="C237" s="385" t="s">
        <v>1873</v>
      </c>
      <c r="D237" s="385" t="s">
        <v>88</v>
      </c>
      <c r="E237" s="385"/>
      <c r="F237" s="385"/>
      <c r="G237" s="385"/>
      <c r="H237" s="385">
        <v>2024</v>
      </c>
      <c r="I237" s="385" t="s">
        <v>1789</v>
      </c>
      <c r="J237" s="30"/>
      <c r="K237" s="385"/>
      <c r="L237" s="385"/>
      <c r="M237" s="385"/>
      <c r="N237" s="385"/>
      <c r="O237" s="385"/>
      <c r="P237" s="385" t="str">
        <f>IFERROR(
    IF(
        OR(ISBLANK(I237), ISBLANK(L237)),
        "",
        MAX(
            1,
            IF(
                NETWORKDAYS(I237, L237, Holiday_Dates) &lt;= 0,
                1,
                NETWORKDAYS(I237, L237, Holiday_Dates) - IF(I237 = L237, 0, 1)
            )
        )
    ),
    ""
)</f>
        <v/>
      </c>
      <c r="Q237" s="385" t="str">
        <f>IF(
    OR(ISBLANK(L237), ISBLANK(M237)),
    "",
    MAX(
        1,
        IF(
            NETWORKDAYS(L237, M237, Holiday_Dates) &lt;= 0,
            1,
            NETWORKDAYS(L237, M237, Holiday_Dates) - IF(L237 = M237, 0, 1)
        )
    )
)</f>
        <v/>
      </c>
      <c r="R237" s="385" t="str">
        <f>IFERROR(
    IF(
        OR(ISBLANK(N237), AND(ISBLANK(L237), ISBLANK(M237))),
        "",
        MAX(
            1,
            IF(
                NETWORKDAYS(IF(NOT(ISBLANK(M237)), M237, L237), N237, Holiday_Dates) &lt;= 0,
                1,
                NETWORKDAYS(IF(NOT(ISBLANK(M237)), M237, L237), N237, Holiday_Dates)
                - IF(IF(NOT(ISBLANK(M237)), M237, L237) = N237, 0, 1)
            )
        )
    ),
    ""
)</f>
        <v/>
      </c>
      <c r="S237" s="385" t="str">
        <f>IFERROR(
    IF(
        OR(ISBLANK(N237), ISBLANK(O237)),
        "",
        MAX(
            1,
            IF(
                NETWORKDAYS(N237, O237, Holiday_Dates) &lt;= 0,
                1,
                NETWORKDAYS(N237, O237, Holiday_Dates) - IF(N237 = O237, 0, 1)
            )
        )
    ),
    ""
)</f>
        <v/>
      </c>
      <c r="T237" s="385"/>
      <c r="U237" s="385" t="s">
        <v>4</v>
      </c>
      <c r="V237" s="385" t="s">
        <v>101</v>
      </c>
      <c r="W237" s="385" t="s">
        <v>1436</v>
      </c>
      <c r="X237" s="1"/>
    </row>
    <row r="238" spans="1:24">
      <c r="A238" s="385" t="s">
        <v>48</v>
      </c>
      <c r="B238" s="385" t="s">
        <v>212</v>
      </c>
      <c r="C238" s="385" t="s">
        <v>1876</v>
      </c>
      <c r="D238" s="385" t="s">
        <v>88</v>
      </c>
      <c r="E238" s="385"/>
      <c r="F238" s="385"/>
      <c r="G238" s="385"/>
      <c r="H238" s="385">
        <v>2024</v>
      </c>
      <c r="I238" s="386">
        <v>45581</v>
      </c>
      <c r="J238" s="30"/>
      <c r="K238" s="385"/>
      <c r="L238" s="385"/>
      <c r="M238" s="385"/>
      <c r="N238" s="385"/>
      <c r="O238" s="385"/>
      <c r="P238" s="385" t="str">
        <f>IFERROR(
    IF(
        OR(ISBLANK(I238), ISBLANK(L238)),
        "",
        MAX(
            1,
            IF(
                NETWORKDAYS(I238, L238, Holiday_Dates) &lt;= 0,
                1,
                NETWORKDAYS(I238, L238, Holiday_Dates) - IF(I238 = L238, 0, 1)
            )
        )
    ),
    ""
)</f>
        <v/>
      </c>
      <c r="Q238" s="385" t="str">
        <f>IF(
    OR(ISBLANK(L238), ISBLANK(M238)),
    "",
    MAX(
        1,
        IF(
            NETWORKDAYS(L238, M238, Holiday_Dates) &lt;= 0,
            1,
            NETWORKDAYS(L238, M238, Holiday_Dates) - IF(L238 = M238, 0, 1)
        )
    )
)</f>
        <v/>
      </c>
      <c r="R238" s="385" t="str">
        <f>IFERROR(
    IF(
        OR(ISBLANK(N238), AND(ISBLANK(L238), ISBLANK(M238))),
        "",
        MAX(
            1,
            IF(
                NETWORKDAYS(IF(NOT(ISBLANK(M238)), M238, L238), N238, Holiday_Dates) &lt;= 0,
                1,
                NETWORKDAYS(IF(NOT(ISBLANK(M238)), M238, L238), N238, Holiday_Dates)
                - IF(IF(NOT(ISBLANK(M238)), M238, L238) = N238, 0, 1)
            )
        )
    ),
    ""
)</f>
        <v/>
      </c>
      <c r="S238" s="385" t="str">
        <f>IFERROR(
    IF(
        OR(ISBLANK(N238), ISBLANK(O238)),
        "",
        MAX(
            1,
            IF(
                NETWORKDAYS(N238, O238, Holiday_Dates) &lt;= 0,
                1,
                NETWORKDAYS(N238, O238, Holiday_Dates) - IF(N238 = O238, 0, 1)
            )
        )
    ),
    ""
)</f>
        <v/>
      </c>
      <c r="T238" s="385"/>
      <c r="U238" s="385" t="s">
        <v>4</v>
      </c>
      <c r="V238" s="385" t="s">
        <v>101</v>
      </c>
      <c r="W238" s="385" t="s">
        <v>1436</v>
      </c>
      <c r="X238" s="1"/>
    </row>
    <row r="239" spans="1:24">
      <c r="A239" s="385" t="s">
        <v>48</v>
      </c>
      <c r="B239" s="385" t="s">
        <v>212</v>
      </c>
      <c r="C239" s="385" t="s">
        <v>450</v>
      </c>
      <c r="D239" s="385" t="s">
        <v>88</v>
      </c>
      <c r="E239" s="385"/>
      <c r="F239" s="385"/>
      <c r="G239" s="385"/>
      <c r="H239" s="385">
        <v>2024</v>
      </c>
      <c r="I239" s="385" t="s">
        <v>1708</v>
      </c>
      <c r="J239" s="30"/>
      <c r="K239" s="385"/>
      <c r="L239" s="385"/>
      <c r="M239" s="385"/>
      <c r="N239" s="385"/>
      <c r="O239" s="385"/>
      <c r="P239" s="385" t="str">
        <f>IFERROR(
    IF(
        OR(ISBLANK(I239), ISBLANK(L239)),
        "",
        MAX(
            1,
            IF(
                NETWORKDAYS(I239, L239, Holiday_Dates) &lt;= 0,
                1,
                NETWORKDAYS(I239, L239, Holiday_Dates) - IF(I239 = L239, 0, 1)
            )
        )
    ),
    ""
)</f>
        <v/>
      </c>
      <c r="Q239" s="385" t="str">
        <f>IF(
    OR(ISBLANK(L239), ISBLANK(M239)),
    "",
    MAX(
        1,
        IF(
            NETWORKDAYS(L239, M239, Holiday_Dates) &lt;= 0,
            1,
            NETWORKDAYS(L239, M239, Holiday_Dates) - IF(L239 = M239, 0, 1)
        )
    )
)</f>
        <v/>
      </c>
      <c r="R239" s="385" t="str">
        <f>IFERROR(
    IF(
        OR(ISBLANK(N239), AND(ISBLANK(L239), ISBLANK(M239))),
        "",
        MAX(
            1,
            IF(
                NETWORKDAYS(IF(NOT(ISBLANK(M239)), M239, L239), N239, Holiday_Dates) &lt;= 0,
                1,
                NETWORKDAYS(IF(NOT(ISBLANK(M239)), M239, L239), N239, Holiday_Dates)
                - IF(IF(NOT(ISBLANK(M239)), M239, L239) = N239, 0, 1)
            )
        )
    ),
    ""
)</f>
        <v/>
      </c>
      <c r="S239" s="385" t="str">
        <f>IFERROR(
    IF(
        OR(ISBLANK(N239), ISBLANK(O239)),
        "",
        MAX(
            1,
            IF(
                NETWORKDAYS(N239, O239, Holiday_Dates) &lt;= 0,
                1,
                NETWORKDAYS(N239, O239, Holiday_Dates) - IF(N239 = O239, 0, 1)
            )
        )
    ),
    ""
)</f>
        <v/>
      </c>
      <c r="T239" s="385"/>
      <c r="U239" s="385" t="s">
        <v>4</v>
      </c>
      <c r="V239" s="385" t="s">
        <v>108</v>
      </c>
      <c r="W239" s="385" t="s">
        <v>1436</v>
      </c>
      <c r="X239" s="1"/>
    </row>
    <row r="240" spans="1:24">
      <c r="A240" s="385" t="s">
        <v>48</v>
      </c>
      <c r="B240" s="385" t="s">
        <v>212</v>
      </c>
      <c r="C240" s="385" t="s">
        <v>1882</v>
      </c>
      <c r="D240" s="385" t="s">
        <v>88</v>
      </c>
      <c r="E240" s="385"/>
      <c r="F240" s="385"/>
      <c r="G240" s="385"/>
      <c r="H240" s="385">
        <v>2025</v>
      </c>
      <c r="I240" s="386">
        <v>45811</v>
      </c>
      <c r="J240" s="30" t="s">
        <v>4656</v>
      </c>
      <c r="K240" s="385"/>
      <c r="L240" s="385"/>
      <c r="M240" s="385"/>
      <c r="N240" s="385"/>
      <c r="O240" s="385"/>
      <c r="P240" s="385" t="str">
        <f>IFERROR(
    IF(
        OR(ISBLANK(I240), ISBLANK(L240)),
        "",
        MAX(
            1,
            IF(
                NETWORKDAYS(I240, L240, Holiday_Dates) &lt;= 0,
                1,
                NETWORKDAYS(I240, L240, Holiday_Dates) - IF(I240 = L240, 0, 1)
            )
        )
    ),
    ""
)</f>
        <v/>
      </c>
      <c r="Q240" s="385" t="str">
        <f>IF(
    OR(ISBLANK(L240), ISBLANK(M240)),
    "",
    MAX(
        1,
        IF(
            NETWORKDAYS(L240, M240, Holiday_Dates) &lt;= 0,
            1,
            NETWORKDAYS(L240, M240, Holiday_Dates) - IF(L240 = M240, 0, 1)
        )
    )
)</f>
        <v/>
      </c>
      <c r="R240" s="385" t="str">
        <f>IFERROR(
    IF(
        OR(ISBLANK(N240), AND(ISBLANK(L240), ISBLANK(M240))),
        "",
        MAX(
            1,
            IF(
                NETWORKDAYS(IF(NOT(ISBLANK(M240)), M240, L240), N240, Holiday_Dates) &lt;= 0,
                1,
                NETWORKDAYS(IF(NOT(ISBLANK(M240)), M240, L240), N240, Holiday_Dates)
                - IF(IF(NOT(ISBLANK(M240)), M240, L240) = N240, 0, 1)
            )
        )
    ),
    ""
)</f>
        <v/>
      </c>
      <c r="S240" s="385" t="str">
        <f>IFERROR(
    IF(
        OR(ISBLANK(N240), ISBLANK(O240)),
        "",
        MAX(
            1,
            IF(
                NETWORKDAYS(N240, O240, Holiday_Dates) &lt;= 0,
                1,
                NETWORKDAYS(N240, O240, Holiday_Dates) - IF(N240 = O240, 0, 1)
            )
        )
    ),
    ""
)</f>
        <v/>
      </c>
      <c r="T240" s="385"/>
      <c r="U240" s="385" t="s">
        <v>672</v>
      </c>
      <c r="V240" s="385" t="s">
        <v>101</v>
      </c>
      <c r="W240" s="385" t="s">
        <v>1436</v>
      </c>
      <c r="X240" s="1"/>
    </row>
    <row r="241" spans="1:24">
      <c r="A241" s="385" t="s">
        <v>48</v>
      </c>
      <c r="B241" s="385" t="s">
        <v>212</v>
      </c>
      <c r="C241" s="385" t="s">
        <v>1879</v>
      </c>
      <c r="D241" s="385" t="s">
        <v>88</v>
      </c>
      <c r="E241" s="385"/>
      <c r="F241" s="385"/>
      <c r="G241" s="385"/>
      <c r="H241" s="385">
        <v>2024</v>
      </c>
      <c r="I241" s="385" t="s">
        <v>4641</v>
      </c>
      <c r="J241" s="30"/>
      <c r="K241" s="385"/>
      <c r="L241" s="385"/>
      <c r="M241" s="385"/>
      <c r="N241" s="385"/>
      <c r="O241" s="385"/>
      <c r="P241" s="385" t="str">
        <f>IFERROR(
    IF(
        OR(ISBLANK(I241), ISBLANK(L241)),
        "",
        MAX(
            1,
            IF(
                NETWORKDAYS(I241, L241, Holiday_Dates) &lt;= 0,
                1,
                NETWORKDAYS(I241, L241, Holiday_Dates) - IF(I241 = L241, 0, 1)
            )
        )
    ),
    ""
)</f>
        <v/>
      </c>
      <c r="Q241" s="385" t="str">
        <f>IF(
    OR(ISBLANK(L241), ISBLANK(M241)),
    "",
    MAX(
        1,
        IF(
            NETWORKDAYS(L241, M241, Holiday_Dates) &lt;= 0,
            1,
            NETWORKDAYS(L241, M241, Holiday_Dates) - IF(L241 = M241, 0, 1)
        )
    )
)</f>
        <v/>
      </c>
      <c r="R241" s="385" t="str">
        <f>IFERROR(
    IF(
        OR(ISBLANK(N241), AND(ISBLANK(L241), ISBLANK(M241))),
        "",
        MAX(
            1,
            IF(
                NETWORKDAYS(IF(NOT(ISBLANK(M241)), M241, L241), N241, Holiday_Dates) &lt;= 0,
                1,
                NETWORKDAYS(IF(NOT(ISBLANK(M241)), M241, L241), N241, Holiday_Dates)
                - IF(IF(NOT(ISBLANK(M241)), M241, L241) = N241, 0, 1)
            )
        )
    ),
    ""
)</f>
        <v/>
      </c>
      <c r="S241" s="385" t="str">
        <f>IFERROR(
    IF(
        OR(ISBLANK(N241), ISBLANK(O241)),
        "",
        MAX(
            1,
            IF(
                NETWORKDAYS(N241, O241, Holiday_Dates) &lt;= 0,
                1,
                NETWORKDAYS(N241, O241, Holiday_Dates) - IF(N241 = O241, 0, 1)
            )
        )
    ),
    ""
)</f>
        <v/>
      </c>
      <c r="T241" s="385"/>
      <c r="U241" s="385" t="s">
        <v>4</v>
      </c>
      <c r="V241" s="385" t="s">
        <v>108</v>
      </c>
      <c r="W241" s="385" t="s">
        <v>1436</v>
      </c>
      <c r="X241" s="1"/>
    </row>
    <row r="242" spans="1:24">
      <c r="A242" s="385" t="s">
        <v>48</v>
      </c>
      <c r="B242" s="385" t="s">
        <v>212</v>
      </c>
      <c r="C242" s="385" t="s">
        <v>1881</v>
      </c>
      <c r="D242" s="385" t="s">
        <v>88</v>
      </c>
      <c r="E242" s="385"/>
      <c r="F242" s="385"/>
      <c r="G242" s="385"/>
      <c r="H242" s="385">
        <v>2025</v>
      </c>
      <c r="I242" s="386">
        <v>45854</v>
      </c>
      <c r="J242" s="30" t="s">
        <v>4657</v>
      </c>
      <c r="K242" s="385"/>
      <c r="L242" s="385"/>
      <c r="M242" s="385"/>
      <c r="N242" s="385"/>
      <c r="O242" s="385"/>
      <c r="P242" s="385" t="str">
        <f>IFERROR(
    IF(
        OR(ISBLANK(I242), ISBLANK(L242)),
        "",
        MAX(
            1,
            IF(
                NETWORKDAYS(I242, L242, Holiday_Dates) &lt;= 0,
                1,
                NETWORKDAYS(I242, L242, Holiday_Dates) - IF(I242 = L242, 0, 1)
            )
        )
    ),
    ""
)</f>
        <v/>
      </c>
      <c r="Q242" s="385" t="str">
        <f>IF(
    OR(ISBLANK(L242), ISBLANK(M242)),
    "",
    MAX(
        1,
        IF(
            NETWORKDAYS(L242, M242, Holiday_Dates) &lt;= 0,
            1,
            NETWORKDAYS(L242, M242, Holiday_Dates) - IF(L242 = M242, 0, 1)
        )
    )
)</f>
        <v/>
      </c>
      <c r="R242" s="385" t="str">
        <f>IFERROR(
    IF(
        OR(ISBLANK(N242), AND(ISBLANK(L242), ISBLANK(M242))),
        "",
        MAX(
            1,
            IF(
                NETWORKDAYS(IF(NOT(ISBLANK(M242)), M242, L242), N242, Holiday_Dates) &lt;= 0,
                1,
                NETWORKDAYS(IF(NOT(ISBLANK(M242)), M242, L242), N242, Holiday_Dates)
                - IF(IF(NOT(ISBLANK(M242)), M242, L242) = N242, 0, 1)
            )
        )
    ),
    ""
)</f>
        <v/>
      </c>
      <c r="S242" s="385" t="str">
        <f>IFERROR(
    IF(
        OR(ISBLANK(N242), ISBLANK(O242)),
        "",
        MAX(
            1,
            IF(
                NETWORKDAYS(N242, O242, Holiday_Dates) &lt;= 0,
                1,
                NETWORKDAYS(N242, O242, Holiday_Dates) - IF(N242 = O242, 0, 1)
            )
        )
    ),
    ""
)</f>
        <v/>
      </c>
      <c r="T242" s="385"/>
      <c r="U242" s="385" t="s">
        <v>672</v>
      </c>
      <c r="V242" s="385" t="s">
        <v>101</v>
      </c>
      <c r="W242" s="385" t="s">
        <v>1436</v>
      </c>
      <c r="X242" s="1"/>
    </row>
    <row r="243" spans="1:24">
      <c r="A243" s="385" t="s">
        <v>48</v>
      </c>
      <c r="B243" s="385" t="s">
        <v>212</v>
      </c>
      <c r="C243" s="385" t="s">
        <v>1883</v>
      </c>
      <c r="D243" s="385" t="s">
        <v>88</v>
      </c>
      <c r="E243" s="385"/>
      <c r="F243" s="385"/>
      <c r="G243" s="385"/>
      <c r="H243" s="385">
        <v>2025</v>
      </c>
      <c r="I243" s="386">
        <v>45818</v>
      </c>
      <c r="J243" s="30" t="s">
        <v>4658</v>
      </c>
      <c r="K243" s="385"/>
      <c r="L243" s="385"/>
      <c r="M243" s="385"/>
      <c r="N243" s="385"/>
      <c r="O243" s="385"/>
      <c r="P243" s="385" t="str">
        <f>IFERROR(
    IF(
        OR(ISBLANK(I243), ISBLANK(L243)),
        "",
        MAX(
            1,
            IF(
                NETWORKDAYS(I243, L243, Holiday_Dates) &lt;= 0,
                1,
                NETWORKDAYS(I243, L243, Holiday_Dates) - IF(I243 = L243, 0, 1)
            )
        )
    ),
    ""
)</f>
        <v/>
      </c>
      <c r="Q243" s="385" t="str">
        <f>IF(
    OR(ISBLANK(L243), ISBLANK(M243)),
    "",
    MAX(
        1,
        IF(
            NETWORKDAYS(L243, M243, Holiday_Dates) &lt;= 0,
            1,
            NETWORKDAYS(L243, M243, Holiday_Dates) - IF(L243 = M243, 0, 1)
        )
    )
)</f>
        <v/>
      </c>
      <c r="R243" s="385" t="str">
        <f>IFERROR(
    IF(
        OR(ISBLANK(N243), AND(ISBLANK(L243), ISBLANK(M243))),
        "",
        MAX(
            1,
            IF(
                NETWORKDAYS(IF(NOT(ISBLANK(M243)), M243, L243), N243, Holiday_Dates) &lt;= 0,
                1,
                NETWORKDAYS(IF(NOT(ISBLANK(M243)), M243, L243), N243, Holiday_Dates)
                - IF(IF(NOT(ISBLANK(M243)), M243, L243) = N243, 0, 1)
            )
        )
    ),
    ""
)</f>
        <v/>
      </c>
      <c r="S243" s="385" t="str">
        <f>IFERROR(
    IF(
        OR(ISBLANK(N243), ISBLANK(O243)),
        "",
        MAX(
            1,
            IF(
                NETWORKDAYS(N243, O243, Holiday_Dates) &lt;= 0,
                1,
                NETWORKDAYS(N243, O243, Holiday_Dates) - IF(N243 = O243, 0, 1)
            )
        )
    ),
    ""
)</f>
        <v/>
      </c>
      <c r="T243" s="385"/>
      <c r="U243" s="385" t="s">
        <v>672</v>
      </c>
      <c r="V243" s="385" t="s">
        <v>101</v>
      </c>
      <c r="W243" s="385" t="s">
        <v>1436</v>
      </c>
      <c r="X243" s="1"/>
    </row>
    <row r="244" spans="1:24">
      <c r="A244" s="385" t="s">
        <v>48</v>
      </c>
      <c r="B244" s="385" t="s">
        <v>212</v>
      </c>
      <c r="C244" s="385" t="s">
        <v>1899</v>
      </c>
      <c r="D244" s="385" t="s">
        <v>88</v>
      </c>
      <c r="E244" s="385"/>
      <c r="F244" s="385"/>
      <c r="G244" s="385"/>
      <c r="H244" s="385">
        <v>2024</v>
      </c>
      <c r="I244" s="385" t="s">
        <v>1900</v>
      </c>
      <c r="J244" s="30"/>
      <c r="K244" s="385"/>
      <c r="L244" s="385"/>
      <c r="M244" s="385"/>
      <c r="N244" s="385"/>
      <c r="O244" s="385"/>
      <c r="P244" s="385" t="str">
        <f>IFERROR(
    IF(
        OR(ISBLANK(I244), ISBLANK(L244)),
        "",
        MAX(
            1,
            IF(
                NETWORKDAYS(I244, L244, Holiday_Dates) &lt;= 0,
                1,
                NETWORKDAYS(I244, L244, Holiday_Dates) - IF(I244 = L244, 0, 1)
            )
        )
    ),
    ""
)</f>
        <v/>
      </c>
      <c r="Q244" s="385" t="str">
        <f>IF(
    OR(ISBLANK(L244), ISBLANK(M244)),
    "",
    MAX(
        1,
        IF(
            NETWORKDAYS(L244, M244, Holiday_Dates) &lt;= 0,
            1,
            NETWORKDAYS(L244, M244, Holiday_Dates) - IF(L244 = M244, 0, 1)
        )
    )
)</f>
        <v/>
      </c>
      <c r="R244" s="385" t="str">
        <f>IFERROR(
    IF(
        OR(ISBLANK(N244), AND(ISBLANK(L244), ISBLANK(M244))),
        "",
        MAX(
            1,
            IF(
                NETWORKDAYS(IF(NOT(ISBLANK(M244)), M244, L244), N244, Holiday_Dates) &lt;= 0,
                1,
                NETWORKDAYS(IF(NOT(ISBLANK(M244)), M244, L244), N244, Holiday_Dates)
                - IF(IF(NOT(ISBLANK(M244)), M244, L244) = N244, 0, 1)
            )
        )
    ),
    ""
)</f>
        <v/>
      </c>
      <c r="S244" s="385" t="str">
        <f>IFERROR(
    IF(
        OR(ISBLANK(N244), ISBLANK(O244)),
        "",
        MAX(
            1,
            IF(
                NETWORKDAYS(N244, O244, Holiday_Dates) &lt;= 0,
                1,
                NETWORKDAYS(N244, O244, Holiday_Dates) - IF(N244 = O244, 0, 1)
            )
        )
    ),
    ""
)</f>
        <v/>
      </c>
      <c r="T244" s="385"/>
      <c r="U244" s="385" t="s">
        <v>4</v>
      </c>
      <c r="V244" s="385" t="s">
        <v>108</v>
      </c>
      <c r="W244" s="385" t="s">
        <v>1436</v>
      </c>
      <c r="X244" s="1"/>
    </row>
    <row r="245" spans="1:24">
      <c r="A245" s="385" t="s">
        <v>48</v>
      </c>
      <c r="B245" s="385" t="s">
        <v>212</v>
      </c>
      <c r="C245" s="385" t="s">
        <v>1884</v>
      </c>
      <c r="D245" s="385" t="s">
        <v>88</v>
      </c>
      <c r="E245" s="385"/>
      <c r="F245" s="385"/>
      <c r="G245" s="385"/>
      <c r="H245" s="385">
        <v>2024</v>
      </c>
      <c r="I245" s="385" t="s">
        <v>4659</v>
      </c>
      <c r="J245" s="30"/>
      <c r="K245" s="385"/>
      <c r="L245" s="385"/>
      <c r="M245" s="385"/>
      <c r="N245" s="385"/>
      <c r="O245" s="385"/>
      <c r="P245" s="385" t="str">
        <f>IFERROR(
    IF(
        OR(ISBLANK(I245), ISBLANK(L245)),
        "",
        MAX(
            1,
            IF(
                NETWORKDAYS(I245, L245, Holiday_Dates) &lt;= 0,
                1,
                NETWORKDAYS(I245, L245, Holiday_Dates) - IF(I245 = L245, 0, 1)
            )
        )
    ),
    ""
)</f>
        <v/>
      </c>
      <c r="Q245" s="385" t="str">
        <f>IF(
    OR(ISBLANK(L245), ISBLANK(M245)),
    "",
    MAX(
        1,
        IF(
            NETWORKDAYS(L245, M245, Holiday_Dates) &lt;= 0,
            1,
            NETWORKDAYS(L245, M245, Holiday_Dates) - IF(L245 = M245, 0, 1)
        )
    )
)</f>
        <v/>
      </c>
      <c r="R245" s="385" t="str">
        <f>IFERROR(
    IF(
        OR(ISBLANK(N245), AND(ISBLANK(L245), ISBLANK(M245))),
        "",
        MAX(
            1,
            IF(
                NETWORKDAYS(IF(NOT(ISBLANK(M245)), M245, L245), N245, Holiday_Dates) &lt;= 0,
                1,
                NETWORKDAYS(IF(NOT(ISBLANK(M245)), M245, L245), N245, Holiday_Dates)
                - IF(IF(NOT(ISBLANK(M245)), M245, L245) = N245, 0, 1)
            )
        )
    ),
    ""
)</f>
        <v/>
      </c>
      <c r="S245" s="385" t="str">
        <f>IFERROR(
    IF(
        OR(ISBLANK(N245), ISBLANK(O245)),
        "",
        MAX(
            1,
            IF(
                NETWORKDAYS(N245, O245, Holiday_Dates) &lt;= 0,
                1,
                NETWORKDAYS(N245, O245, Holiday_Dates) - IF(N245 = O245, 0, 1)
            )
        )
    ),
    ""
)</f>
        <v/>
      </c>
      <c r="T245" s="385"/>
      <c r="U245" s="385" t="s">
        <v>4</v>
      </c>
      <c r="V245" s="385" t="s">
        <v>101</v>
      </c>
      <c r="W245" s="385" t="s">
        <v>1436</v>
      </c>
      <c r="X245" s="1"/>
    </row>
    <row r="246" spans="1:24">
      <c r="A246" s="385" t="s">
        <v>48</v>
      </c>
      <c r="B246" s="385" t="s">
        <v>212</v>
      </c>
      <c r="C246" s="385" t="s">
        <v>1886</v>
      </c>
      <c r="D246" s="385" t="s">
        <v>88</v>
      </c>
      <c r="E246" s="385"/>
      <c r="F246" s="385"/>
      <c r="G246" s="385"/>
      <c r="H246" s="385">
        <v>2024</v>
      </c>
      <c r="I246" s="385" t="s">
        <v>1887</v>
      </c>
      <c r="J246" s="30"/>
      <c r="K246" s="385"/>
      <c r="L246" s="385"/>
      <c r="M246" s="385"/>
      <c r="N246" s="385"/>
      <c r="O246" s="385"/>
      <c r="P246" s="385" t="str">
        <f>IFERROR(
    IF(
        OR(ISBLANK(I246), ISBLANK(L246)),
        "",
        MAX(
            1,
            IF(
                NETWORKDAYS(I246, L246, Holiday_Dates) &lt;= 0,
                1,
                NETWORKDAYS(I246, L246, Holiday_Dates) - IF(I246 = L246, 0, 1)
            )
        )
    ),
    ""
)</f>
        <v/>
      </c>
      <c r="Q246" s="385" t="str">
        <f>IF(
    OR(ISBLANK(L246), ISBLANK(M246)),
    "",
    MAX(
        1,
        IF(
            NETWORKDAYS(L246, M246, Holiday_Dates) &lt;= 0,
            1,
            NETWORKDAYS(L246, M246, Holiday_Dates) - IF(L246 = M246, 0, 1)
        )
    )
)</f>
        <v/>
      </c>
      <c r="R246" s="385" t="str">
        <f>IFERROR(
    IF(
        OR(ISBLANK(N246), AND(ISBLANK(L246), ISBLANK(M246))),
        "",
        MAX(
            1,
            IF(
                NETWORKDAYS(IF(NOT(ISBLANK(M246)), M246, L246), N246, Holiday_Dates) &lt;= 0,
                1,
                NETWORKDAYS(IF(NOT(ISBLANK(M246)), M246, L246), N246, Holiday_Dates)
                - IF(IF(NOT(ISBLANK(M246)), M246, L246) = N246, 0, 1)
            )
        )
    ),
    ""
)</f>
        <v/>
      </c>
      <c r="S246" s="385" t="str">
        <f>IFERROR(
    IF(
        OR(ISBLANK(N246), ISBLANK(O246)),
        "",
        MAX(
            1,
            IF(
                NETWORKDAYS(N246, O246, Holiday_Dates) &lt;= 0,
                1,
                NETWORKDAYS(N246, O246, Holiday_Dates) - IF(N246 = O246, 0, 1)
            )
        )
    ),
    ""
)</f>
        <v/>
      </c>
      <c r="T246" s="385"/>
      <c r="U246" s="385" t="s">
        <v>4</v>
      </c>
      <c r="V246" s="385" t="s">
        <v>108</v>
      </c>
      <c r="W246" s="385" t="s">
        <v>1436</v>
      </c>
      <c r="X246" s="1"/>
    </row>
    <row r="247" spans="1:24">
      <c r="A247" s="385" t="s">
        <v>48</v>
      </c>
      <c r="B247" s="385" t="s">
        <v>480</v>
      </c>
      <c r="C247" s="385" t="s">
        <v>1904</v>
      </c>
      <c r="D247" s="385" t="s">
        <v>88</v>
      </c>
      <c r="E247" s="385"/>
      <c r="F247" s="385"/>
      <c r="G247" s="385"/>
      <c r="H247" s="385">
        <v>2024</v>
      </c>
      <c r="I247" s="385" t="s">
        <v>4660</v>
      </c>
      <c r="J247" s="30"/>
      <c r="K247" s="385"/>
      <c r="L247" s="385"/>
      <c r="M247" s="385"/>
      <c r="N247" s="385"/>
      <c r="O247" s="385"/>
      <c r="P247" s="385" t="str">
        <f>IFERROR(
    IF(
        OR(ISBLANK(I247), ISBLANK(L247)),
        "",
        MAX(
            1,
            IF(
                NETWORKDAYS(I247, L247, Holiday_Dates) &lt;= 0,
                1,
                NETWORKDAYS(I247, L247, Holiday_Dates) - IF(I247 = L247, 0, 1)
            )
        )
    ),
    ""
)</f>
        <v/>
      </c>
      <c r="Q247" s="385" t="str">
        <f>IF(
    OR(ISBLANK(L247), ISBLANK(M247)),
    "",
    MAX(
        1,
        IF(
            NETWORKDAYS(L247, M247, Holiday_Dates) &lt;= 0,
            1,
            NETWORKDAYS(L247, M247, Holiday_Dates) - IF(L247 = M247, 0, 1)
        )
    )
)</f>
        <v/>
      </c>
      <c r="R247" s="385" t="str">
        <f>IFERROR(
    IF(
        OR(ISBLANK(N247), AND(ISBLANK(L247), ISBLANK(M247))),
        "",
        MAX(
            1,
            IF(
                NETWORKDAYS(IF(NOT(ISBLANK(M247)), M247, L247), N247, Holiday_Dates) &lt;= 0,
                1,
                NETWORKDAYS(IF(NOT(ISBLANK(M247)), M247, L247), N247, Holiday_Dates)
                - IF(IF(NOT(ISBLANK(M247)), M247, L247) = N247, 0, 1)
            )
        )
    ),
    ""
)</f>
        <v/>
      </c>
      <c r="S247" s="385" t="str">
        <f>IFERROR(
    IF(
        OR(ISBLANK(N247), ISBLANK(O247)),
        "",
        MAX(
            1,
            IF(
                NETWORKDAYS(N247, O247, Holiday_Dates) &lt;= 0,
                1,
                NETWORKDAYS(N247, O247, Holiday_Dates) - IF(N247 = O247, 0, 1)
            )
        )
    ),
    ""
)</f>
        <v/>
      </c>
      <c r="T247" s="385"/>
      <c r="U247" s="385" t="s">
        <v>4</v>
      </c>
      <c r="V247" s="385" t="s">
        <v>101</v>
      </c>
      <c r="W247" s="385" t="s">
        <v>1436</v>
      </c>
      <c r="X247" s="1"/>
    </row>
    <row r="248" spans="1:24">
      <c r="A248" s="385" t="s">
        <v>48</v>
      </c>
      <c r="B248" s="385" t="s">
        <v>480</v>
      </c>
      <c r="C248" s="385" t="s">
        <v>1906</v>
      </c>
      <c r="D248" s="385" t="s">
        <v>88</v>
      </c>
      <c r="E248" s="385"/>
      <c r="F248" s="385"/>
      <c r="G248" s="385"/>
      <c r="H248" s="385">
        <v>2024</v>
      </c>
      <c r="I248" s="385" t="s">
        <v>1907</v>
      </c>
      <c r="J248" s="30"/>
      <c r="K248" s="385"/>
      <c r="L248" s="385"/>
      <c r="M248" s="385"/>
      <c r="N248" s="385"/>
      <c r="O248" s="385"/>
      <c r="P248" s="385" t="str">
        <f>IFERROR(
    IF(
        OR(ISBLANK(I248), ISBLANK(L248)),
        "",
        MAX(
            1,
            IF(
                NETWORKDAYS(I248, L248, Holiday_Dates) &lt;= 0,
                1,
                NETWORKDAYS(I248, L248, Holiday_Dates) - IF(I248 = L248, 0, 1)
            )
        )
    ),
    ""
)</f>
        <v/>
      </c>
      <c r="Q248" s="385" t="str">
        <f>IF(
    OR(ISBLANK(L248), ISBLANK(M248)),
    "",
    MAX(
        1,
        IF(
            NETWORKDAYS(L248, M248, Holiday_Dates) &lt;= 0,
            1,
            NETWORKDAYS(L248, M248, Holiday_Dates) - IF(L248 = M248, 0, 1)
        )
    )
)</f>
        <v/>
      </c>
      <c r="R248" s="385" t="str">
        <f>IFERROR(
    IF(
        OR(ISBLANK(N248), AND(ISBLANK(L248), ISBLANK(M248))),
        "",
        MAX(
            1,
            IF(
                NETWORKDAYS(IF(NOT(ISBLANK(M248)), M248, L248), N248, Holiday_Dates) &lt;= 0,
                1,
                NETWORKDAYS(IF(NOT(ISBLANK(M248)), M248, L248), N248, Holiday_Dates)
                - IF(IF(NOT(ISBLANK(M248)), M248, L248) = N248, 0, 1)
            )
        )
    ),
    ""
)</f>
        <v/>
      </c>
      <c r="S248" s="385" t="str">
        <f>IFERROR(
    IF(
        OR(ISBLANK(N248), ISBLANK(O248)),
        "",
        MAX(
            1,
            IF(
                NETWORKDAYS(N248, O248, Holiday_Dates) &lt;= 0,
                1,
                NETWORKDAYS(N248, O248, Holiday_Dates) - IF(N248 = O248, 0, 1)
            )
        )
    ),
    ""
)</f>
        <v/>
      </c>
      <c r="T248" s="385"/>
      <c r="U248" s="385" t="s">
        <v>4</v>
      </c>
      <c r="V248" s="385" t="s">
        <v>101</v>
      </c>
      <c r="W248" s="385" t="s">
        <v>1436</v>
      </c>
      <c r="X248" s="1"/>
    </row>
    <row r="249" spans="1:24">
      <c r="A249" s="385" t="s">
        <v>48</v>
      </c>
      <c r="B249" s="385" t="s">
        <v>480</v>
      </c>
      <c r="C249" s="385" t="s">
        <v>1667</v>
      </c>
      <c r="D249" s="385" t="s">
        <v>88</v>
      </c>
      <c r="E249" s="385"/>
      <c r="F249" s="385"/>
      <c r="G249" s="385"/>
      <c r="H249" s="385">
        <v>2024</v>
      </c>
      <c r="I249" s="385" t="s">
        <v>1909</v>
      </c>
      <c r="J249" s="30"/>
      <c r="K249" s="385"/>
      <c r="L249" s="385"/>
      <c r="M249" s="385"/>
      <c r="N249" s="385"/>
      <c r="O249" s="385"/>
      <c r="P249" s="385" t="str">
        <f>IFERROR(
    IF(
        OR(ISBLANK(I249), ISBLANK(L249)),
        "",
        MAX(
            1,
            IF(
                NETWORKDAYS(I249, L249, Holiday_Dates) &lt;= 0,
                1,
                NETWORKDAYS(I249, L249, Holiday_Dates) - IF(I249 = L249, 0, 1)
            )
        )
    ),
    ""
)</f>
        <v/>
      </c>
      <c r="Q249" s="385" t="str">
        <f>IF(
    OR(ISBLANK(L249), ISBLANK(M249)),
    "",
    MAX(
        1,
        IF(
            NETWORKDAYS(L249, M249, Holiday_Dates) &lt;= 0,
            1,
            NETWORKDAYS(L249, M249, Holiday_Dates) - IF(L249 = M249, 0, 1)
        )
    )
)</f>
        <v/>
      </c>
      <c r="R249" s="385" t="str">
        <f>IFERROR(
    IF(
        OR(ISBLANK(N249), AND(ISBLANK(L249), ISBLANK(M249))),
        "",
        MAX(
            1,
            IF(
                NETWORKDAYS(IF(NOT(ISBLANK(M249)), M249, L249), N249, Holiday_Dates) &lt;= 0,
                1,
                NETWORKDAYS(IF(NOT(ISBLANK(M249)), M249, L249), N249, Holiday_Dates)
                - IF(IF(NOT(ISBLANK(M249)), M249, L249) = N249, 0, 1)
            )
        )
    ),
    ""
)</f>
        <v/>
      </c>
      <c r="S249" s="385" t="str">
        <f>IFERROR(
    IF(
        OR(ISBLANK(N249), ISBLANK(O249)),
        "",
        MAX(
            1,
            IF(
                NETWORKDAYS(N249, O249, Holiday_Dates) &lt;= 0,
                1,
                NETWORKDAYS(N249, O249, Holiday_Dates) - IF(N249 = O249, 0, 1)
            )
        )
    ),
    ""
)</f>
        <v/>
      </c>
      <c r="T249" s="385"/>
      <c r="U249" s="385" t="s">
        <v>4</v>
      </c>
      <c r="V249" s="385" t="s">
        <v>101</v>
      </c>
      <c r="W249" s="385" t="s">
        <v>1436</v>
      </c>
      <c r="X249" s="1"/>
    </row>
    <row r="250" spans="1:24">
      <c r="A250" s="385" t="s">
        <v>48</v>
      </c>
      <c r="B250" s="385" t="s">
        <v>480</v>
      </c>
      <c r="C250" s="385" t="s">
        <v>1911</v>
      </c>
      <c r="D250" s="385" t="s">
        <v>88</v>
      </c>
      <c r="E250" s="385"/>
      <c r="F250" s="385"/>
      <c r="G250" s="385"/>
      <c r="H250" s="385">
        <v>2024</v>
      </c>
      <c r="I250" s="385" t="s">
        <v>1786</v>
      </c>
      <c r="J250" s="30"/>
      <c r="K250" s="385"/>
      <c r="L250" s="385"/>
      <c r="M250" s="385"/>
      <c r="N250" s="385"/>
      <c r="O250" s="385"/>
      <c r="P250" s="385" t="str">
        <f>IFERROR(
    IF(
        OR(ISBLANK(I250), ISBLANK(L250)),
        "",
        MAX(
            1,
            IF(
                NETWORKDAYS(I250, L250, Holiday_Dates) &lt;= 0,
                1,
                NETWORKDAYS(I250, L250, Holiday_Dates) - IF(I250 = L250, 0, 1)
            )
        )
    ),
    ""
)</f>
        <v/>
      </c>
      <c r="Q250" s="385" t="str">
        <f>IF(
    OR(ISBLANK(L250), ISBLANK(M250)),
    "",
    MAX(
        1,
        IF(
            NETWORKDAYS(L250, M250, Holiday_Dates) &lt;= 0,
            1,
            NETWORKDAYS(L250, M250, Holiday_Dates) - IF(L250 = M250, 0, 1)
        )
    )
)</f>
        <v/>
      </c>
      <c r="R250" s="385" t="str">
        <f>IFERROR(
    IF(
        OR(ISBLANK(N250), AND(ISBLANK(L250), ISBLANK(M250))),
        "",
        MAX(
            1,
            IF(
                NETWORKDAYS(IF(NOT(ISBLANK(M250)), M250, L250), N250, Holiday_Dates) &lt;= 0,
                1,
                NETWORKDAYS(IF(NOT(ISBLANK(M250)), M250, L250), N250, Holiday_Dates)
                - IF(IF(NOT(ISBLANK(M250)), M250, L250) = N250, 0, 1)
            )
        )
    ),
    ""
)</f>
        <v/>
      </c>
      <c r="S250" s="385" t="str">
        <f>IFERROR(
    IF(
        OR(ISBLANK(N250), ISBLANK(O250)),
        "",
        MAX(
            1,
            IF(
                NETWORKDAYS(N250, O250, Holiday_Dates) &lt;= 0,
                1,
                NETWORKDAYS(N250, O250, Holiday_Dates) - IF(N250 = O250, 0, 1)
            )
        )
    ),
    ""
)</f>
        <v/>
      </c>
      <c r="T250" s="385"/>
      <c r="U250" s="385" t="s">
        <v>672</v>
      </c>
      <c r="V250" s="385"/>
      <c r="W250" s="385" t="s">
        <v>1436</v>
      </c>
      <c r="X250" s="1"/>
    </row>
    <row r="251" spans="1:24">
      <c r="A251" s="385" t="s">
        <v>48</v>
      </c>
      <c r="B251" s="385" t="s">
        <v>480</v>
      </c>
      <c r="C251" s="385" t="s">
        <v>366</v>
      </c>
      <c r="D251" s="385" t="s">
        <v>88</v>
      </c>
      <c r="E251" s="385"/>
      <c r="F251" s="385"/>
      <c r="G251" s="385"/>
      <c r="H251" s="385">
        <v>2024</v>
      </c>
      <c r="I251" s="385" t="s">
        <v>1913</v>
      </c>
      <c r="J251" s="30"/>
      <c r="K251" s="385"/>
      <c r="L251" s="385"/>
      <c r="M251" s="385"/>
      <c r="N251" s="385"/>
      <c r="O251" s="385"/>
      <c r="P251" s="385" t="str">
        <f>IFERROR(
    IF(
        OR(ISBLANK(I251), ISBLANK(L251)),
        "",
        MAX(
            1,
            IF(
                NETWORKDAYS(I251, L251, Holiday_Dates) &lt;= 0,
                1,
                NETWORKDAYS(I251, L251, Holiday_Dates) - IF(I251 = L251, 0, 1)
            )
        )
    ),
    ""
)</f>
        <v/>
      </c>
      <c r="Q251" s="385" t="str">
        <f>IF(
    OR(ISBLANK(L251), ISBLANK(M251)),
    "",
    MAX(
        1,
        IF(
            NETWORKDAYS(L251, M251, Holiday_Dates) &lt;= 0,
            1,
            NETWORKDAYS(L251, M251, Holiday_Dates) - IF(L251 = M251, 0, 1)
        )
    )
)</f>
        <v/>
      </c>
      <c r="R251" s="385" t="str">
        <f>IFERROR(
    IF(
        OR(ISBLANK(N251), AND(ISBLANK(L251), ISBLANK(M251))),
        "",
        MAX(
            1,
            IF(
                NETWORKDAYS(IF(NOT(ISBLANK(M251)), M251, L251), N251, Holiday_Dates) &lt;= 0,
                1,
                NETWORKDAYS(IF(NOT(ISBLANK(M251)), M251, L251), N251, Holiday_Dates)
                - IF(IF(NOT(ISBLANK(M251)), M251, L251) = N251, 0, 1)
            )
        )
    ),
    ""
)</f>
        <v/>
      </c>
      <c r="S251" s="385" t="str">
        <f>IFERROR(
    IF(
        OR(ISBLANK(N251), ISBLANK(O251)),
        "",
        MAX(
            1,
            IF(
                NETWORKDAYS(N251, O251, Holiday_Dates) &lt;= 0,
                1,
                NETWORKDAYS(N251, O251, Holiday_Dates) - IF(N251 = O251, 0, 1)
            )
        )
    ),
    ""
)</f>
        <v/>
      </c>
      <c r="T251" s="385"/>
      <c r="U251" s="385" t="s">
        <v>4</v>
      </c>
      <c r="V251" s="385" t="s">
        <v>101</v>
      </c>
      <c r="W251" s="385" t="s">
        <v>1436</v>
      </c>
      <c r="X251" s="1"/>
    </row>
    <row r="252" spans="1:24">
      <c r="A252" s="385" t="s">
        <v>48</v>
      </c>
      <c r="B252" s="385" t="s">
        <v>480</v>
      </c>
      <c r="C252" s="385" t="s">
        <v>1915</v>
      </c>
      <c r="D252" s="385" t="s">
        <v>88</v>
      </c>
      <c r="E252" s="385"/>
      <c r="F252" s="385"/>
      <c r="G252" s="385"/>
      <c r="H252" s="385">
        <v>2024</v>
      </c>
      <c r="I252" s="385" t="s">
        <v>4661</v>
      </c>
      <c r="J252" s="30"/>
      <c r="K252" s="385"/>
      <c r="L252" s="385"/>
      <c r="M252" s="385"/>
      <c r="N252" s="385"/>
      <c r="O252" s="385"/>
      <c r="P252" s="385" t="str">
        <f>IFERROR(
    IF(
        OR(ISBLANK(I252), ISBLANK(L252)),
        "",
        MAX(
            1,
            IF(
                NETWORKDAYS(I252, L252, Holiday_Dates) &lt;= 0,
                1,
                NETWORKDAYS(I252, L252, Holiday_Dates) - IF(I252 = L252, 0, 1)
            )
        )
    ),
    ""
)</f>
        <v/>
      </c>
      <c r="Q252" s="385" t="str">
        <f>IF(
    OR(ISBLANK(L252), ISBLANK(M252)),
    "",
    MAX(
        1,
        IF(
            NETWORKDAYS(L252, M252, Holiday_Dates) &lt;= 0,
            1,
            NETWORKDAYS(L252, M252, Holiday_Dates) - IF(L252 = M252, 0, 1)
        )
    )
)</f>
        <v/>
      </c>
      <c r="R252" s="385" t="str">
        <f>IFERROR(
    IF(
        OR(ISBLANK(N252), AND(ISBLANK(L252), ISBLANK(M252))),
        "",
        MAX(
            1,
            IF(
                NETWORKDAYS(IF(NOT(ISBLANK(M252)), M252, L252), N252, Holiday_Dates) &lt;= 0,
                1,
                NETWORKDAYS(IF(NOT(ISBLANK(M252)), M252, L252), N252, Holiday_Dates)
                - IF(IF(NOT(ISBLANK(M252)), M252, L252) = N252, 0, 1)
            )
        )
    ),
    ""
)</f>
        <v/>
      </c>
      <c r="S252" s="385" t="str">
        <f>IFERROR(
    IF(
        OR(ISBLANK(N252), ISBLANK(O252)),
        "",
        MAX(
            1,
            IF(
                NETWORKDAYS(N252, O252, Holiday_Dates) &lt;= 0,
                1,
                NETWORKDAYS(N252, O252, Holiday_Dates) - IF(N252 = O252, 0, 1)
            )
        )
    ),
    ""
)</f>
        <v/>
      </c>
      <c r="T252" s="385"/>
      <c r="U252" s="385" t="s">
        <v>4</v>
      </c>
      <c r="V252" s="385" t="s">
        <v>101</v>
      </c>
      <c r="W252" s="385" t="s">
        <v>1436</v>
      </c>
      <c r="X252" s="1"/>
    </row>
    <row r="253" spans="1:24">
      <c r="A253" s="385" t="s">
        <v>48</v>
      </c>
      <c r="B253" s="385" t="s">
        <v>480</v>
      </c>
      <c r="C253" s="385" t="s">
        <v>1917</v>
      </c>
      <c r="D253" s="385" t="s">
        <v>88</v>
      </c>
      <c r="E253" s="385"/>
      <c r="F253" s="385"/>
      <c r="G253" s="385"/>
      <c r="H253" s="385">
        <v>2024</v>
      </c>
      <c r="I253" s="385" t="s">
        <v>4662</v>
      </c>
      <c r="J253" s="30"/>
      <c r="K253" s="385"/>
      <c r="L253" s="385"/>
      <c r="M253" s="385"/>
      <c r="N253" s="385"/>
      <c r="O253" s="385"/>
      <c r="P253" s="385" t="str">
        <f>IFERROR(
    IF(
        OR(ISBLANK(I253), ISBLANK(L253)),
        "",
        MAX(
            1,
            IF(
                NETWORKDAYS(I253, L253, Holiday_Dates) &lt;= 0,
                1,
                NETWORKDAYS(I253, L253, Holiday_Dates) - IF(I253 = L253, 0, 1)
            )
        )
    ),
    ""
)</f>
        <v/>
      </c>
      <c r="Q253" s="385" t="str">
        <f>IF(
    OR(ISBLANK(L253), ISBLANK(M253)),
    "",
    MAX(
        1,
        IF(
            NETWORKDAYS(L253, M253, Holiday_Dates) &lt;= 0,
            1,
            NETWORKDAYS(L253, M253, Holiday_Dates) - IF(L253 = M253, 0, 1)
        )
    )
)</f>
        <v/>
      </c>
      <c r="R253" s="385" t="str">
        <f>IFERROR(
    IF(
        OR(ISBLANK(N253), AND(ISBLANK(L253), ISBLANK(M253))),
        "",
        MAX(
            1,
            IF(
                NETWORKDAYS(IF(NOT(ISBLANK(M253)), M253, L253), N253, Holiday_Dates) &lt;= 0,
                1,
                NETWORKDAYS(IF(NOT(ISBLANK(M253)), M253, L253), N253, Holiday_Dates)
                - IF(IF(NOT(ISBLANK(M253)), M253, L253) = N253, 0, 1)
            )
        )
    ),
    ""
)</f>
        <v/>
      </c>
      <c r="S253" s="385" t="str">
        <f>IFERROR(
    IF(
        OR(ISBLANK(N253), ISBLANK(O253)),
        "",
        MAX(
            1,
            IF(
                NETWORKDAYS(N253, O253, Holiday_Dates) &lt;= 0,
                1,
                NETWORKDAYS(N253, O253, Holiday_Dates) - IF(N253 = O253, 0, 1)
            )
        )
    ),
    ""
)</f>
        <v/>
      </c>
      <c r="T253" s="385"/>
      <c r="U253" s="385" t="s">
        <v>4</v>
      </c>
      <c r="V253" s="385" t="s">
        <v>101</v>
      </c>
      <c r="W253" s="385" t="s">
        <v>1436</v>
      </c>
      <c r="X253" s="1"/>
    </row>
    <row r="254" spans="1:24">
      <c r="A254" s="385" t="s">
        <v>48</v>
      </c>
      <c r="B254" s="385" t="s">
        <v>480</v>
      </c>
      <c r="C254" s="385" t="s">
        <v>1919</v>
      </c>
      <c r="D254" s="385" t="s">
        <v>88</v>
      </c>
      <c r="E254" s="385"/>
      <c r="F254" s="385"/>
      <c r="G254" s="385"/>
      <c r="H254" s="385">
        <v>2024</v>
      </c>
      <c r="I254" s="385" t="s">
        <v>4639</v>
      </c>
      <c r="J254" s="30"/>
      <c r="K254" s="385"/>
      <c r="L254" s="385"/>
      <c r="M254" s="385"/>
      <c r="N254" s="385"/>
      <c r="O254" s="385"/>
      <c r="P254" s="385" t="str">
        <f>IFERROR(
    IF(
        OR(ISBLANK(I254), ISBLANK(L254)),
        "",
        MAX(
            1,
            IF(
                NETWORKDAYS(I254, L254, Holiday_Dates) &lt;= 0,
                1,
                NETWORKDAYS(I254, L254, Holiday_Dates) - IF(I254 = L254, 0, 1)
            )
        )
    ),
    ""
)</f>
        <v/>
      </c>
      <c r="Q254" s="385" t="str">
        <f>IF(
    OR(ISBLANK(L254), ISBLANK(M254)),
    "",
    MAX(
        1,
        IF(
            NETWORKDAYS(L254, M254, Holiday_Dates) &lt;= 0,
            1,
            NETWORKDAYS(L254, M254, Holiday_Dates) - IF(L254 = M254, 0, 1)
        )
    )
)</f>
        <v/>
      </c>
      <c r="R254" s="385" t="str">
        <f>IFERROR(
    IF(
        OR(ISBLANK(N254), AND(ISBLANK(L254), ISBLANK(M254))),
        "",
        MAX(
            1,
            IF(
                NETWORKDAYS(IF(NOT(ISBLANK(M254)), M254, L254), N254, Holiday_Dates) &lt;= 0,
                1,
                NETWORKDAYS(IF(NOT(ISBLANK(M254)), M254, L254), N254, Holiday_Dates)
                - IF(IF(NOT(ISBLANK(M254)), M254, L254) = N254, 0, 1)
            )
        )
    ),
    ""
)</f>
        <v/>
      </c>
      <c r="S254" s="385" t="str">
        <f>IFERROR(
    IF(
        OR(ISBLANK(N254), ISBLANK(O254)),
        "",
        MAX(
            1,
            IF(
                NETWORKDAYS(N254, O254, Holiday_Dates) &lt;= 0,
                1,
                NETWORKDAYS(N254, O254, Holiday_Dates) - IF(N254 = O254, 0, 1)
            )
        )
    ),
    ""
)</f>
        <v/>
      </c>
      <c r="T254" s="385"/>
      <c r="U254" s="385" t="s">
        <v>4</v>
      </c>
      <c r="V254" s="385" t="s">
        <v>101</v>
      </c>
      <c r="W254" s="385" t="s">
        <v>1436</v>
      </c>
      <c r="X254" s="1"/>
    </row>
    <row r="255" spans="1:24">
      <c r="A255" s="385" t="s">
        <v>48</v>
      </c>
      <c r="B255" s="385" t="s">
        <v>480</v>
      </c>
      <c r="C255" s="385" t="s">
        <v>1921</v>
      </c>
      <c r="D255" s="385" t="s">
        <v>88</v>
      </c>
      <c r="E255" s="385"/>
      <c r="F255" s="385"/>
      <c r="G255" s="385"/>
      <c r="H255" s="385">
        <v>2024</v>
      </c>
      <c r="I255" s="385" t="s">
        <v>1703</v>
      </c>
      <c r="J255" s="30"/>
      <c r="K255" s="385"/>
      <c r="L255" s="385"/>
      <c r="M255" s="385"/>
      <c r="N255" s="385"/>
      <c r="O255" s="385"/>
      <c r="P255" s="385" t="str">
        <f>IFERROR(
    IF(
        OR(ISBLANK(I255), ISBLANK(L255)),
        "",
        MAX(
            1,
            IF(
                NETWORKDAYS(I255, L255, Holiday_Dates) &lt;= 0,
                1,
                NETWORKDAYS(I255, L255, Holiday_Dates) - IF(I255 = L255, 0, 1)
            )
        )
    ),
    ""
)</f>
        <v/>
      </c>
      <c r="Q255" s="385" t="str">
        <f>IF(
    OR(ISBLANK(L255), ISBLANK(M255)),
    "",
    MAX(
        1,
        IF(
            NETWORKDAYS(L255, M255, Holiday_Dates) &lt;= 0,
            1,
            NETWORKDAYS(L255, M255, Holiday_Dates) - IF(L255 = M255, 0, 1)
        )
    )
)</f>
        <v/>
      </c>
      <c r="R255" s="385" t="str">
        <f>IFERROR(
    IF(
        OR(ISBLANK(N255), AND(ISBLANK(L255), ISBLANK(M255))),
        "",
        MAX(
            1,
            IF(
                NETWORKDAYS(IF(NOT(ISBLANK(M255)), M255, L255), N255, Holiday_Dates) &lt;= 0,
                1,
                NETWORKDAYS(IF(NOT(ISBLANK(M255)), M255, L255), N255, Holiday_Dates)
                - IF(IF(NOT(ISBLANK(M255)), M255, L255) = N255, 0, 1)
            )
        )
    ),
    ""
)</f>
        <v/>
      </c>
      <c r="S255" s="385" t="str">
        <f>IFERROR(
    IF(
        OR(ISBLANK(N255), ISBLANK(O255)),
        "",
        MAX(
            1,
            IF(
                NETWORKDAYS(N255, O255, Holiday_Dates) &lt;= 0,
                1,
                NETWORKDAYS(N255, O255, Holiday_Dates) - IF(N255 = O255, 0, 1)
            )
        )
    ),
    ""
)</f>
        <v/>
      </c>
      <c r="T255" s="385"/>
      <c r="U255" s="385" t="s">
        <v>4</v>
      </c>
      <c r="V255" s="385" t="s">
        <v>101</v>
      </c>
      <c r="W255" s="385" t="s">
        <v>1436</v>
      </c>
      <c r="X255" s="1"/>
    </row>
    <row r="256" spans="1:24">
      <c r="A256" s="385" t="s">
        <v>48</v>
      </c>
      <c r="B256" s="385" t="s">
        <v>480</v>
      </c>
      <c r="C256" s="385" t="s">
        <v>1959</v>
      </c>
      <c r="D256" s="385" t="s">
        <v>88</v>
      </c>
      <c r="E256" s="385"/>
      <c r="F256" s="385"/>
      <c r="G256" s="385"/>
      <c r="H256" s="385">
        <v>2024</v>
      </c>
      <c r="I256" s="385" t="s">
        <v>4662</v>
      </c>
      <c r="J256" s="30"/>
      <c r="K256" s="385"/>
      <c r="L256" s="385"/>
      <c r="M256" s="385"/>
      <c r="N256" s="385"/>
      <c r="O256" s="385"/>
      <c r="P256" s="385" t="str">
        <f>IFERROR(
    IF(
        OR(ISBLANK(I256), ISBLANK(L256)),
        "",
        MAX(
            1,
            IF(
                NETWORKDAYS(I256, L256, Holiday_Dates) &lt;= 0,
                1,
                NETWORKDAYS(I256, L256, Holiday_Dates) - IF(I256 = L256, 0, 1)
            )
        )
    ),
    ""
)</f>
        <v/>
      </c>
      <c r="Q256" s="385" t="str">
        <f>IF(
    OR(ISBLANK(L256), ISBLANK(M256)),
    "",
    MAX(
        1,
        IF(
            NETWORKDAYS(L256, M256, Holiday_Dates) &lt;= 0,
            1,
            NETWORKDAYS(L256, M256, Holiday_Dates) - IF(L256 = M256, 0, 1)
        )
    )
)</f>
        <v/>
      </c>
      <c r="R256" s="385" t="str">
        <f>IFERROR(
    IF(
        OR(ISBLANK(N256), AND(ISBLANK(L256), ISBLANK(M256))),
        "",
        MAX(
            1,
            IF(
                NETWORKDAYS(IF(NOT(ISBLANK(M256)), M256, L256), N256, Holiday_Dates) &lt;= 0,
                1,
                NETWORKDAYS(IF(NOT(ISBLANK(M256)), M256, L256), N256, Holiday_Dates)
                - IF(IF(NOT(ISBLANK(M256)), M256, L256) = N256, 0, 1)
            )
        )
    ),
    ""
)</f>
        <v/>
      </c>
      <c r="S256" s="385" t="str">
        <f>IFERROR(
    IF(
        OR(ISBLANK(N256), ISBLANK(O256)),
        "",
        MAX(
            1,
            IF(
                NETWORKDAYS(N256, O256, Holiday_Dates) &lt;= 0,
                1,
                NETWORKDAYS(N256, O256, Holiday_Dates) - IF(N256 = O256, 0, 1)
            )
        )
    ),
    ""
)</f>
        <v/>
      </c>
      <c r="T256" s="385"/>
      <c r="U256" s="385" t="s">
        <v>4</v>
      </c>
      <c r="V256" s="385" t="s">
        <v>101</v>
      </c>
      <c r="W256" s="385" t="s">
        <v>1436</v>
      </c>
      <c r="X256" s="1"/>
    </row>
    <row r="257" spans="1:24">
      <c r="A257" s="385" t="s">
        <v>48</v>
      </c>
      <c r="B257" s="385" t="s">
        <v>480</v>
      </c>
      <c r="C257" s="385" t="s">
        <v>1923</v>
      </c>
      <c r="D257" s="385" t="s">
        <v>88</v>
      </c>
      <c r="E257" s="385"/>
      <c r="F257" s="385"/>
      <c r="G257" s="385"/>
      <c r="H257" s="385">
        <v>2024</v>
      </c>
      <c r="I257" s="385" t="s">
        <v>1924</v>
      </c>
      <c r="J257" s="30"/>
      <c r="K257" s="385"/>
      <c r="L257" s="385"/>
      <c r="M257" s="385"/>
      <c r="N257" s="385"/>
      <c r="O257" s="385"/>
      <c r="P257" s="385" t="str">
        <f>IFERROR(
    IF(
        OR(ISBLANK(I257), ISBLANK(L257)),
        "",
        MAX(
            1,
            IF(
                NETWORKDAYS(I257, L257, Holiday_Dates) &lt;= 0,
                1,
                NETWORKDAYS(I257, L257, Holiday_Dates) - IF(I257 = L257, 0, 1)
            )
        )
    ),
    ""
)</f>
        <v/>
      </c>
      <c r="Q257" s="385" t="str">
        <f>IF(
    OR(ISBLANK(L257), ISBLANK(M257)),
    "",
    MAX(
        1,
        IF(
            NETWORKDAYS(L257, M257, Holiday_Dates) &lt;= 0,
            1,
            NETWORKDAYS(L257, M257, Holiday_Dates) - IF(L257 = M257, 0, 1)
        )
    )
)</f>
        <v/>
      </c>
      <c r="R257" s="385" t="str">
        <f>IFERROR(
    IF(
        OR(ISBLANK(N257), AND(ISBLANK(L257), ISBLANK(M257))),
        "",
        MAX(
            1,
            IF(
                NETWORKDAYS(IF(NOT(ISBLANK(M257)), M257, L257), N257, Holiday_Dates) &lt;= 0,
                1,
                NETWORKDAYS(IF(NOT(ISBLANK(M257)), M257, L257), N257, Holiday_Dates)
                - IF(IF(NOT(ISBLANK(M257)), M257, L257) = N257, 0, 1)
            )
        )
    ),
    ""
)</f>
        <v/>
      </c>
      <c r="S257" s="385" t="str">
        <f>IFERROR(
    IF(
        OR(ISBLANK(N257), ISBLANK(O257)),
        "",
        MAX(
            1,
            IF(
                NETWORKDAYS(N257, O257, Holiday_Dates) &lt;= 0,
                1,
                NETWORKDAYS(N257, O257, Holiday_Dates) - IF(N257 = O257, 0, 1)
            )
        )
    ),
    ""
)</f>
        <v/>
      </c>
      <c r="T257" s="385"/>
      <c r="U257" s="385" t="s">
        <v>4</v>
      </c>
      <c r="V257" s="385" t="s">
        <v>101</v>
      </c>
      <c r="W257" s="385" t="s">
        <v>1436</v>
      </c>
      <c r="X257" s="1"/>
    </row>
    <row r="258" spans="1:24">
      <c r="A258" s="385" t="s">
        <v>48</v>
      </c>
      <c r="B258" s="385" t="s">
        <v>480</v>
      </c>
      <c r="C258" s="385" t="s">
        <v>1926</v>
      </c>
      <c r="D258" s="385" t="s">
        <v>88</v>
      </c>
      <c r="E258" s="385"/>
      <c r="F258" s="385"/>
      <c r="G258" s="385"/>
      <c r="H258" s="385">
        <v>2024</v>
      </c>
      <c r="I258" s="385" t="s">
        <v>4629</v>
      </c>
      <c r="J258" s="30"/>
      <c r="K258" s="385"/>
      <c r="L258" s="385"/>
      <c r="M258" s="385"/>
      <c r="N258" s="385"/>
      <c r="O258" s="385"/>
      <c r="P258" s="385" t="str">
        <f>IFERROR(
    IF(
        OR(ISBLANK(I258), ISBLANK(L258)),
        "",
        MAX(
            1,
            IF(
                NETWORKDAYS(I258, L258, Holiday_Dates) &lt;= 0,
                1,
                NETWORKDAYS(I258, L258, Holiday_Dates) - IF(I258 = L258, 0, 1)
            )
        )
    ),
    ""
)</f>
        <v/>
      </c>
      <c r="Q258" s="385" t="str">
        <f>IF(
    OR(ISBLANK(L258), ISBLANK(M258)),
    "",
    MAX(
        1,
        IF(
            NETWORKDAYS(L258, M258, Holiday_Dates) &lt;= 0,
            1,
            NETWORKDAYS(L258, M258, Holiday_Dates) - IF(L258 = M258, 0, 1)
        )
    )
)</f>
        <v/>
      </c>
      <c r="R258" s="385" t="str">
        <f>IFERROR(
    IF(
        OR(ISBLANK(N258), AND(ISBLANK(L258), ISBLANK(M258))),
        "",
        MAX(
            1,
            IF(
                NETWORKDAYS(IF(NOT(ISBLANK(M258)), M258, L258), N258, Holiday_Dates) &lt;= 0,
                1,
                NETWORKDAYS(IF(NOT(ISBLANK(M258)), M258, L258), N258, Holiday_Dates)
                - IF(IF(NOT(ISBLANK(M258)), M258, L258) = N258, 0, 1)
            )
        )
    ),
    ""
)</f>
        <v/>
      </c>
      <c r="S258" s="385" t="str">
        <f>IFERROR(
    IF(
        OR(ISBLANK(N258), ISBLANK(O258)),
        "",
        MAX(
            1,
            IF(
                NETWORKDAYS(N258, O258, Holiday_Dates) &lt;= 0,
                1,
                NETWORKDAYS(N258, O258, Holiday_Dates) - IF(N258 = O258, 0, 1)
            )
        )
    ),
    ""
)</f>
        <v/>
      </c>
      <c r="T258" s="385"/>
      <c r="U258" s="385" t="s">
        <v>4</v>
      </c>
      <c r="V258" s="385" t="s">
        <v>101</v>
      </c>
      <c r="W258" s="385" t="s">
        <v>1436</v>
      </c>
      <c r="X258" s="1"/>
    </row>
    <row r="259" spans="1:24">
      <c r="A259" s="385" t="s">
        <v>48</v>
      </c>
      <c r="B259" s="385" t="s">
        <v>480</v>
      </c>
      <c r="C259" s="385" t="s">
        <v>1928</v>
      </c>
      <c r="D259" s="385" t="s">
        <v>88</v>
      </c>
      <c r="E259" s="385"/>
      <c r="F259" s="385"/>
      <c r="G259" s="385"/>
      <c r="H259" s="385">
        <v>2024</v>
      </c>
      <c r="I259" s="385" t="s">
        <v>1929</v>
      </c>
      <c r="J259" s="30"/>
      <c r="K259" s="385"/>
      <c r="L259" s="385"/>
      <c r="M259" s="385"/>
      <c r="N259" s="385"/>
      <c r="O259" s="385"/>
      <c r="P259" s="385" t="str">
        <f>IFERROR(
    IF(
        OR(ISBLANK(I259), ISBLANK(L259)),
        "",
        MAX(
            1,
            IF(
                NETWORKDAYS(I259, L259, Holiday_Dates) &lt;= 0,
                1,
                NETWORKDAYS(I259, L259, Holiday_Dates) - IF(I259 = L259, 0, 1)
            )
        )
    ),
    ""
)</f>
        <v/>
      </c>
      <c r="Q259" s="385" t="str">
        <f>IF(
    OR(ISBLANK(L259), ISBLANK(M259)),
    "",
    MAX(
        1,
        IF(
            NETWORKDAYS(L259, M259, Holiday_Dates) &lt;= 0,
            1,
            NETWORKDAYS(L259, M259, Holiday_Dates) - IF(L259 = M259, 0, 1)
        )
    )
)</f>
        <v/>
      </c>
      <c r="R259" s="385" t="str">
        <f>IFERROR(
    IF(
        OR(ISBLANK(N259), AND(ISBLANK(L259), ISBLANK(M259))),
        "",
        MAX(
            1,
            IF(
                NETWORKDAYS(IF(NOT(ISBLANK(M259)), M259, L259), N259, Holiday_Dates) &lt;= 0,
                1,
                NETWORKDAYS(IF(NOT(ISBLANK(M259)), M259, L259), N259, Holiday_Dates)
                - IF(IF(NOT(ISBLANK(M259)), M259, L259) = N259, 0, 1)
            )
        )
    ),
    ""
)</f>
        <v/>
      </c>
      <c r="S259" s="385" t="str">
        <f>IFERROR(
    IF(
        OR(ISBLANK(N259), ISBLANK(O259)),
        "",
        MAX(
            1,
            IF(
                NETWORKDAYS(N259, O259, Holiday_Dates) &lt;= 0,
                1,
                NETWORKDAYS(N259, O259, Holiday_Dates) - IF(N259 = O259, 0, 1)
            )
        )
    ),
    ""
)</f>
        <v/>
      </c>
      <c r="T259" s="385"/>
      <c r="U259" s="385" t="s">
        <v>4</v>
      </c>
      <c r="V259" s="385" t="s">
        <v>101</v>
      </c>
      <c r="W259" s="385" t="s">
        <v>1436</v>
      </c>
      <c r="X259" s="1"/>
    </row>
    <row r="260" spans="1:24">
      <c r="A260" s="385" t="s">
        <v>48</v>
      </c>
      <c r="B260" s="385" t="s">
        <v>480</v>
      </c>
      <c r="C260" s="385" t="s">
        <v>1931</v>
      </c>
      <c r="D260" s="385" t="s">
        <v>88</v>
      </c>
      <c r="E260" s="385"/>
      <c r="F260" s="385"/>
      <c r="G260" s="385"/>
      <c r="H260" s="385">
        <v>2024</v>
      </c>
      <c r="I260" s="385" t="s">
        <v>1932</v>
      </c>
      <c r="J260" s="30"/>
      <c r="K260" s="385"/>
      <c r="L260" s="385"/>
      <c r="M260" s="385"/>
      <c r="N260" s="385"/>
      <c r="O260" s="385"/>
      <c r="P260" s="385" t="str">
        <f>IFERROR(
    IF(
        OR(ISBLANK(I260), ISBLANK(L260)),
        "",
        MAX(
            1,
            IF(
                NETWORKDAYS(I260, L260, Holiday_Dates) &lt;= 0,
                1,
                NETWORKDAYS(I260, L260, Holiday_Dates) - IF(I260 = L260, 0, 1)
            )
        )
    ),
    ""
)</f>
        <v/>
      </c>
      <c r="Q260" s="385" t="str">
        <f>IF(
    OR(ISBLANK(L260), ISBLANK(M260)),
    "",
    MAX(
        1,
        IF(
            NETWORKDAYS(L260, M260, Holiday_Dates) &lt;= 0,
            1,
            NETWORKDAYS(L260, M260, Holiday_Dates) - IF(L260 = M260, 0, 1)
        )
    )
)</f>
        <v/>
      </c>
      <c r="R260" s="385" t="str">
        <f>IFERROR(
    IF(
        OR(ISBLANK(N260), AND(ISBLANK(L260), ISBLANK(M260))),
        "",
        MAX(
            1,
            IF(
                NETWORKDAYS(IF(NOT(ISBLANK(M260)), M260, L260), N260, Holiday_Dates) &lt;= 0,
                1,
                NETWORKDAYS(IF(NOT(ISBLANK(M260)), M260, L260), N260, Holiday_Dates)
                - IF(IF(NOT(ISBLANK(M260)), M260, L260) = N260, 0, 1)
            )
        )
    ),
    ""
)</f>
        <v/>
      </c>
      <c r="S260" s="385" t="str">
        <f>IFERROR(
    IF(
        OR(ISBLANK(N260), ISBLANK(O260)),
        "",
        MAX(
            1,
            IF(
                NETWORKDAYS(N260, O260, Holiday_Dates) &lt;= 0,
                1,
                NETWORKDAYS(N260, O260, Holiday_Dates) - IF(N260 = O260, 0, 1)
            )
        )
    ),
    ""
)</f>
        <v/>
      </c>
      <c r="T260" s="385"/>
      <c r="U260" s="385" t="s">
        <v>4</v>
      </c>
      <c r="V260" s="385" t="s">
        <v>101</v>
      </c>
      <c r="W260" s="385" t="s">
        <v>1436</v>
      </c>
      <c r="X260" s="1"/>
    </row>
    <row r="261" spans="1:24">
      <c r="A261" s="385" t="s">
        <v>48</v>
      </c>
      <c r="B261" s="385" t="s">
        <v>480</v>
      </c>
      <c r="C261" s="385" t="s">
        <v>1936</v>
      </c>
      <c r="D261" s="385" t="s">
        <v>88</v>
      </c>
      <c r="E261" s="385"/>
      <c r="F261" s="385"/>
      <c r="G261" s="385"/>
      <c r="H261" s="385">
        <v>2024</v>
      </c>
      <c r="I261" s="385" t="s">
        <v>4639</v>
      </c>
      <c r="J261" s="30"/>
      <c r="K261" s="385"/>
      <c r="L261" s="385"/>
      <c r="M261" s="385"/>
      <c r="N261" s="385"/>
      <c r="O261" s="385"/>
      <c r="P261" s="385" t="str">
        <f>IFERROR(
    IF(
        OR(ISBLANK(I261), ISBLANK(L261)),
        "",
        MAX(
            1,
            IF(
                NETWORKDAYS(I261, L261, Holiday_Dates) &lt;= 0,
                1,
                NETWORKDAYS(I261, L261, Holiday_Dates) - IF(I261 = L261, 0, 1)
            )
        )
    ),
    ""
)</f>
        <v/>
      </c>
      <c r="Q261" s="385" t="str">
        <f>IF(
    OR(ISBLANK(L261), ISBLANK(M261)),
    "",
    MAX(
        1,
        IF(
            NETWORKDAYS(L261, M261, Holiday_Dates) &lt;= 0,
            1,
            NETWORKDAYS(L261, M261, Holiday_Dates) - IF(L261 = M261, 0, 1)
        )
    )
)</f>
        <v/>
      </c>
      <c r="R261" s="385" t="str">
        <f>IFERROR(
    IF(
        OR(ISBLANK(N261), AND(ISBLANK(L261), ISBLANK(M261))),
        "",
        MAX(
            1,
            IF(
                NETWORKDAYS(IF(NOT(ISBLANK(M261)), M261, L261), N261, Holiday_Dates) &lt;= 0,
                1,
                NETWORKDAYS(IF(NOT(ISBLANK(M261)), M261, L261), N261, Holiday_Dates)
                - IF(IF(NOT(ISBLANK(M261)), M261, L261) = N261, 0, 1)
            )
        )
    ),
    ""
)</f>
        <v/>
      </c>
      <c r="S261" s="385" t="str">
        <f>IFERROR(
    IF(
        OR(ISBLANK(N261), ISBLANK(O261)),
        "",
        MAX(
            1,
            IF(
                NETWORKDAYS(N261, O261, Holiday_Dates) &lt;= 0,
                1,
                NETWORKDAYS(N261, O261, Holiday_Dates) - IF(N261 = O261, 0, 1)
            )
        )
    ),
    ""
)</f>
        <v/>
      </c>
      <c r="T261" s="385"/>
      <c r="U261" s="385" t="s">
        <v>4</v>
      </c>
      <c r="V261" s="385" t="s">
        <v>101</v>
      </c>
      <c r="W261" s="385" t="s">
        <v>1436</v>
      </c>
      <c r="X261" s="1"/>
    </row>
    <row r="262" spans="1:24">
      <c r="A262" s="385" t="s">
        <v>48</v>
      </c>
      <c r="B262" s="385" t="s">
        <v>480</v>
      </c>
      <c r="C262" s="385" t="s">
        <v>1938</v>
      </c>
      <c r="D262" s="385" t="s">
        <v>88</v>
      </c>
      <c r="E262" s="385"/>
      <c r="F262" s="385"/>
      <c r="G262" s="385"/>
      <c r="H262" s="385">
        <v>2024</v>
      </c>
      <c r="I262" s="385" t="s">
        <v>1939</v>
      </c>
      <c r="J262" s="30"/>
      <c r="K262" s="385"/>
      <c r="L262" s="385"/>
      <c r="M262" s="385"/>
      <c r="N262" s="385"/>
      <c r="O262" s="385"/>
      <c r="P262" s="385" t="str">
        <f>IFERROR(
    IF(
        OR(ISBLANK(I262), ISBLANK(L262)),
        "",
        MAX(
            1,
            IF(
                NETWORKDAYS(I262, L262, Holiday_Dates) &lt;= 0,
                1,
                NETWORKDAYS(I262, L262, Holiday_Dates) - IF(I262 = L262, 0, 1)
            )
        )
    ),
    ""
)</f>
        <v/>
      </c>
      <c r="Q262" s="385" t="str">
        <f>IF(
    OR(ISBLANK(L262), ISBLANK(M262)),
    "",
    MAX(
        1,
        IF(
            NETWORKDAYS(L262, M262, Holiday_Dates) &lt;= 0,
            1,
            NETWORKDAYS(L262, M262, Holiday_Dates) - IF(L262 = M262, 0, 1)
        )
    )
)</f>
        <v/>
      </c>
      <c r="R262" s="385" t="str">
        <f>IFERROR(
    IF(
        OR(ISBLANK(N262), AND(ISBLANK(L262), ISBLANK(M262))),
        "",
        MAX(
            1,
            IF(
                NETWORKDAYS(IF(NOT(ISBLANK(M262)), M262, L262), N262, Holiday_Dates) &lt;= 0,
                1,
                NETWORKDAYS(IF(NOT(ISBLANK(M262)), M262, L262), N262, Holiday_Dates)
                - IF(IF(NOT(ISBLANK(M262)), M262, L262) = N262, 0, 1)
            )
        )
    ),
    ""
)</f>
        <v/>
      </c>
      <c r="S262" s="385" t="str">
        <f>IFERROR(
    IF(
        OR(ISBLANK(N262), ISBLANK(O262)),
        "",
        MAX(
            1,
            IF(
                NETWORKDAYS(N262, O262, Holiday_Dates) &lt;= 0,
                1,
                NETWORKDAYS(N262, O262, Holiday_Dates) - IF(N262 = O262, 0, 1)
            )
        )
    ),
    ""
)</f>
        <v/>
      </c>
      <c r="T262" s="385"/>
      <c r="U262" s="385" t="s">
        <v>4</v>
      </c>
      <c r="V262" s="385" t="s">
        <v>101</v>
      </c>
      <c r="W262" s="385" t="s">
        <v>1436</v>
      </c>
      <c r="X262" s="1"/>
    </row>
    <row r="263" spans="1:24">
      <c r="A263" s="385" t="s">
        <v>48</v>
      </c>
      <c r="B263" s="385" t="s">
        <v>480</v>
      </c>
      <c r="C263" s="385" t="s">
        <v>1941</v>
      </c>
      <c r="D263" s="385" t="s">
        <v>88</v>
      </c>
      <c r="E263" s="385"/>
      <c r="F263" s="385"/>
      <c r="G263" s="385"/>
      <c r="H263" s="385">
        <v>2024</v>
      </c>
      <c r="I263" s="385" t="s">
        <v>1942</v>
      </c>
      <c r="J263" s="30"/>
      <c r="K263" s="385"/>
      <c r="L263" s="385"/>
      <c r="M263" s="385"/>
      <c r="N263" s="385"/>
      <c r="O263" s="385"/>
      <c r="P263" s="385" t="str">
        <f>IFERROR(
    IF(
        OR(ISBLANK(I263), ISBLANK(L263)),
        "",
        MAX(
            1,
            IF(
                NETWORKDAYS(I263, L263, Holiday_Dates) &lt;= 0,
                1,
                NETWORKDAYS(I263, L263, Holiday_Dates) - IF(I263 = L263, 0, 1)
            )
        )
    ),
    ""
)</f>
        <v/>
      </c>
      <c r="Q263" s="385" t="str">
        <f>IF(
    OR(ISBLANK(L263), ISBLANK(M263)),
    "",
    MAX(
        1,
        IF(
            NETWORKDAYS(L263, M263, Holiday_Dates) &lt;= 0,
            1,
            NETWORKDAYS(L263, M263, Holiday_Dates) - IF(L263 = M263, 0, 1)
        )
    )
)</f>
        <v/>
      </c>
      <c r="R263" s="385" t="str">
        <f>IFERROR(
    IF(
        OR(ISBLANK(N263), AND(ISBLANK(L263), ISBLANK(M263))),
        "",
        MAX(
            1,
            IF(
                NETWORKDAYS(IF(NOT(ISBLANK(M263)), M263, L263), N263, Holiday_Dates) &lt;= 0,
                1,
                NETWORKDAYS(IF(NOT(ISBLANK(M263)), M263, L263), N263, Holiday_Dates)
                - IF(IF(NOT(ISBLANK(M263)), M263, L263) = N263, 0, 1)
            )
        )
    ),
    ""
)</f>
        <v/>
      </c>
      <c r="S263" s="385" t="str">
        <f>IFERROR(
    IF(
        OR(ISBLANK(N263), ISBLANK(O263)),
        "",
        MAX(
            1,
            IF(
                NETWORKDAYS(N263, O263, Holiday_Dates) &lt;= 0,
                1,
                NETWORKDAYS(N263, O263, Holiday_Dates) - IF(N263 = O263, 0, 1)
            )
        )
    ),
    ""
)</f>
        <v/>
      </c>
      <c r="T263" s="385"/>
      <c r="U263" s="385" t="s">
        <v>4</v>
      </c>
      <c r="V263" s="385" t="s">
        <v>101</v>
      </c>
      <c r="W263" s="385" t="s">
        <v>1436</v>
      </c>
      <c r="X263" s="1"/>
    </row>
    <row r="264" spans="1:24">
      <c r="A264" s="385" t="s">
        <v>48</v>
      </c>
      <c r="B264" s="385" t="s">
        <v>480</v>
      </c>
      <c r="C264" s="385" t="s">
        <v>1945</v>
      </c>
      <c r="D264" s="385" t="s">
        <v>88</v>
      </c>
      <c r="E264" s="385"/>
      <c r="F264" s="385"/>
      <c r="G264" s="385"/>
      <c r="H264" s="385">
        <v>2024</v>
      </c>
      <c r="I264" s="385" t="s">
        <v>1758</v>
      </c>
      <c r="J264" s="30"/>
      <c r="K264" s="385"/>
      <c r="L264" s="385"/>
      <c r="M264" s="385"/>
      <c r="N264" s="385"/>
      <c r="O264" s="385"/>
      <c r="P264" s="385" t="str">
        <f>IFERROR(
    IF(
        OR(ISBLANK(I264), ISBLANK(L264)),
        "",
        MAX(
            1,
            IF(
                NETWORKDAYS(I264, L264, Holiday_Dates) &lt;= 0,
                1,
                NETWORKDAYS(I264, L264, Holiday_Dates) - IF(I264 = L264, 0, 1)
            )
        )
    ),
    ""
)</f>
        <v/>
      </c>
      <c r="Q264" s="385" t="str">
        <f>IF(
    OR(ISBLANK(L264), ISBLANK(M264)),
    "",
    MAX(
        1,
        IF(
            NETWORKDAYS(L264, M264, Holiday_Dates) &lt;= 0,
            1,
            NETWORKDAYS(L264, M264, Holiday_Dates) - IF(L264 = M264, 0, 1)
        )
    )
)</f>
        <v/>
      </c>
      <c r="R264" s="385" t="str">
        <f>IFERROR(
    IF(
        OR(ISBLANK(N264), AND(ISBLANK(L264), ISBLANK(M264))),
        "",
        MAX(
            1,
            IF(
                NETWORKDAYS(IF(NOT(ISBLANK(M264)), M264, L264), N264, Holiday_Dates) &lt;= 0,
                1,
                NETWORKDAYS(IF(NOT(ISBLANK(M264)), M264, L264), N264, Holiday_Dates)
                - IF(IF(NOT(ISBLANK(M264)), M264, L264) = N264, 0, 1)
            )
        )
    ),
    ""
)</f>
        <v/>
      </c>
      <c r="S264" s="385" t="str">
        <f>IFERROR(
    IF(
        OR(ISBLANK(N264), ISBLANK(O264)),
        "",
        MAX(
            1,
            IF(
                NETWORKDAYS(N264, O264, Holiday_Dates) &lt;= 0,
                1,
                NETWORKDAYS(N264, O264, Holiday_Dates) - IF(N264 = O264, 0, 1)
            )
        )
    ),
    ""
)</f>
        <v/>
      </c>
      <c r="T264" s="385"/>
      <c r="U264" s="385" t="s">
        <v>4</v>
      </c>
      <c r="V264" s="385" t="s">
        <v>101</v>
      </c>
      <c r="W264" s="385" t="s">
        <v>1436</v>
      </c>
      <c r="X264" s="1"/>
    </row>
    <row r="265" spans="1:24">
      <c r="A265" s="385" t="s">
        <v>48</v>
      </c>
      <c r="B265" s="385" t="s">
        <v>480</v>
      </c>
      <c r="C265" s="385" t="s">
        <v>1961</v>
      </c>
      <c r="D265" s="385" t="s">
        <v>88</v>
      </c>
      <c r="E265" s="385"/>
      <c r="F265" s="385"/>
      <c r="G265" s="385"/>
      <c r="H265" s="385">
        <v>2024</v>
      </c>
      <c r="I265" s="385" t="s">
        <v>1774</v>
      </c>
      <c r="J265" s="30"/>
      <c r="K265" s="385"/>
      <c r="L265" s="385"/>
      <c r="M265" s="385"/>
      <c r="N265" s="385"/>
      <c r="O265" s="385"/>
      <c r="P265" s="385" t="str">
        <f>IFERROR(
    IF(
        OR(ISBLANK(I265), ISBLANK(L265)),
        "",
        MAX(
            1,
            IF(
                NETWORKDAYS(I265, L265, Holiday_Dates) &lt;= 0,
                1,
                NETWORKDAYS(I265, L265, Holiday_Dates) - IF(I265 = L265, 0, 1)
            )
        )
    ),
    ""
)</f>
        <v/>
      </c>
      <c r="Q265" s="385" t="str">
        <f>IF(
    OR(ISBLANK(L265), ISBLANK(M265)),
    "",
    MAX(
        1,
        IF(
            NETWORKDAYS(L265, M265, Holiday_Dates) &lt;= 0,
            1,
            NETWORKDAYS(L265, M265, Holiday_Dates) - IF(L265 = M265, 0, 1)
        )
    )
)</f>
        <v/>
      </c>
      <c r="R265" s="385" t="str">
        <f>IFERROR(
    IF(
        OR(ISBLANK(N265), AND(ISBLANK(L265), ISBLANK(M265))),
        "",
        MAX(
            1,
            IF(
                NETWORKDAYS(IF(NOT(ISBLANK(M265)), M265, L265), N265, Holiday_Dates) &lt;= 0,
                1,
                NETWORKDAYS(IF(NOT(ISBLANK(M265)), M265, L265), N265, Holiday_Dates)
                - IF(IF(NOT(ISBLANK(M265)), M265, L265) = N265, 0, 1)
            )
        )
    ),
    ""
)</f>
        <v/>
      </c>
      <c r="S265" s="385" t="str">
        <f>IFERROR(
    IF(
        OR(ISBLANK(N265), ISBLANK(O265)),
        "",
        MAX(
            1,
            IF(
                NETWORKDAYS(N265, O265, Holiday_Dates) &lt;= 0,
                1,
                NETWORKDAYS(N265, O265, Holiday_Dates) - IF(N265 = O265, 0, 1)
            )
        )
    ),
    ""
)</f>
        <v/>
      </c>
      <c r="T265" s="385"/>
      <c r="U265" s="385" t="s">
        <v>4</v>
      </c>
      <c r="V265" s="385" t="s">
        <v>101</v>
      </c>
      <c r="W265" s="385" t="s">
        <v>1436</v>
      </c>
      <c r="X265" s="1"/>
    </row>
    <row r="266" spans="1:24">
      <c r="A266" s="385" t="s">
        <v>48</v>
      </c>
      <c r="B266" s="385" t="s">
        <v>480</v>
      </c>
      <c r="C266" s="385" t="s">
        <v>1948</v>
      </c>
      <c r="D266" s="385" t="s">
        <v>88</v>
      </c>
      <c r="E266" s="385"/>
      <c r="F266" s="385"/>
      <c r="G266" s="385"/>
      <c r="H266" s="385">
        <v>2024</v>
      </c>
      <c r="I266" s="385" t="s">
        <v>1778</v>
      </c>
      <c r="J266" s="30"/>
      <c r="K266" s="385"/>
      <c r="L266" s="385"/>
      <c r="M266" s="385"/>
      <c r="N266" s="385"/>
      <c r="O266" s="385"/>
      <c r="P266" s="385" t="str">
        <f>IFERROR(
    IF(
        OR(ISBLANK(I266), ISBLANK(L266)),
        "",
        MAX(
            1,
            IF(
                NETWORKDAYS(I266, L266, Holiday_Dates) &lt;= 0,
                1,
                NETWORKDAYS(I266, L266, Holiday_Dates) - IF(I266 = L266, 0, 1)
            )
        )
    ),
    ""
)</f>
        <v/>
      </c>
      <c r="Q266" s="385" t="str">
        <f>IF(
    OR(ISBLANK(L266), ISBLANK(M266)),
    "",
    MAX(
        1,
        IF(
            NETWORKDAYS(L266, M266, Holiday_Dates) &lt;= 0,
            1,
            NETWORKDAYS(L266, M266, Holiday_Dates) - IF(L266 = M266, 0, 1)
        )
    )
)</f>
        <v/>
      </c>
      <c r="R266" s="385" t="str">
        <f>IFERROR(
    IF(
        OR(ISBLANK(N266), AND(ISBLANK(L266), ISBLANK(M266))),
        "",
        MAX(
            1,
            IF(
                NETWORKDAYS(IF(NOT(ISBLANK(M266)), M266, L266), N266, Holiday_Dates) &lt;= 0,
                1,
                NETWORKDAYS(IF(NOT(ISBLANK(M266)), M266, L266), N266, Holiday_Dates)
                - IF(IF(NOT(ISBLANK(M266)), M266, L266) = N266, 0, 1)
            )
        )
    ),
    ""
)</f>
        <v/>
      </c>
      <c r="S266" s="385" t="str">
        <f>IFERROR(
    IF(
        OR(ISBLANK(N266), ISBLANK(O266)),
        "",
        MAX(
            1,
            IF(
                NETWORKDAYS(N266, O266, Holiday_Dates) &lt;= 0,
                1,
                NETWORKDAYS(N266, O266, Holiday_Dates) - IF(N266 = O266, 0, 1)
            )
        )
    ),
    ""
)</f>
        <v/>
      </c>
      <c r="T266" s="385"/>
      <c r="U266" s="385" t="s">
        <v>4</v>
      </c>
      <c r="V266" s="385" t="s">
        <v>101</v>
      </c>
      <c r="W266" s="385" t="s">
        <v>1436</v>
      </c>
      <c r="X266" s="1"/>
    </row>
    <row r="267" spans="1:24">
      <c r="A267" s="385" t="s">
        <v>48</v>
      </c>
      <c r="B267" s="385" t="s">
        <v>480</v>
      </c>
      <c r="C267" s="385" t="s">
        <v>1950</v>
      </c>
      <c r="D267" s="385" t="s">
        <v>88</v>
      </c>
      <c r="E267" s="385"/>
      <c r="F267" s="385"/>
      <c r="G267" s="385"/>
      <c r="H267" s="385">
        <v>2024</v>
      </c>
      <c r="I267" s="385" t="s">
        <v>1951</v>
      </c>
      <c r="J267" s="30"/>
      <c r="K267" s="385"/>
      <c r="L267" s="385"/>
      <c r="M267" s="385"/>
      <c r="N267" s="385"/>
      <c r="O267" s="385"/>
      <c r="P267" s="385" t="str">
        <f>IFERROR(
    IF(
        OR(ISBLANK(I267), ISBLANK(L267)),
        "",
        MAX(
            1,
            IF(
                NETWORKDAYS(I267, L267, Holiday_Dates) &lt;= 0,
                1,
                NETWORKDAYS(I267, L267, Holiday_Dates) - IF(I267 = L267, 0, 1)
            )
        )
    ),
    ""
)</f>
        <v/>
      </c>
      <c r="Q267" s="385" t="str">
        <f>IF(
    OR(ISBLANK(L267), ISBLANK(M267)),
    "",
    MAX(
        1,
        IF(
            NETWORKDAYS(L267, M267, Holiday_Dates) &lt;= 0,
            1,
            NETWORKDAYS(L267, M267, Holiday_Dates) - IF(L267 = M267, 0, 1)
        )
    )
)</f>
        <v/>
      </c>
      <c r="R267" s="385" t="str">
        <f>IFERROR(
    IF(
        OR(ISBLANK(N267), AND(ISBLANK(L267), ISBLANK(M267))),
        "",
        MAX(
            1,
            IF(
                NETWORKDAYS(IF(NOT(ISBLANK(M267)), M267, L267), N267, Holiday_Dates) &lt;= 0,
                1,
                NETWORKDAYS(IF(NOT(ISBLANK(M267)), M267, L267), N267, Holiday_Dates)
                - IF(IF(NOT(ISBLANK(M267)), M267, L267) = N267, 0, 1)
            )
        )
    ),
    ""
)</f>
        <v/>
      </c>
      <c r="S267" s="385" t="str">
        <f>IFERROR(
    IF(
        OR(ISBLANK(N267), ISBLANK(O267)),
        "",
        MAX(
            1,
            IF(
                NETWORKDAYS(N267, O267, Holiday_Dates) &lt;= 0,
                1,
                NETWORKDAYS(N267, O267, Holiday_Dates) - IF(N267 = O267, 0, 1)
            )
        )
    ),
    ""
)</f>
        <v/>
      </c>
      <c r="T267" s="385"/>
      <c r="U267" s="385" t="s">
        <v>672</v>
      </c>
      <c r="V267" s="385"/>
      <c r="W267" s="385" t="s">
        <v>1436</v>
      </c>
      <c r="X267" s="1"/>
    </row>
    <row r="268" spans="1:24">
      <c r="A268" s="385" t="s">
        <v>48</v>
      </c>
      <c r="B268" s="385" t="s">
        <v>480</v>
      </c>
      <c r="C268" s="385" t="s">
        <v>1953</v>
      </c>
      <c r="D268" s="385" t="s">
        <v>88</v>
      </c>
      <c r="E268" s="385"/>
      <c r="F268" s="385"/>
      <c r="G268" s="385"/>
      <c r="H268" s="385">
        <v>2024</v>
      </c>
      <c r="I268" s="385" t="s">
        <v>1954</v>
      </c>
      <c r="J268" s="30"/>
      <c r="K268" s="385"/>
      <c r="L268" s="385"/>
      <c r="M268" s="385"/>
      <c r="N268" s="385"/>
      <c r="O268" s="385"/>
      <c r="P268" s="385" t="str">
        <f>IFERROR(
    IF(
        OR(ISBLANK(I268), ISBLANK(L268)),
        "",
        MAX(
            1,
            IF(
                NETWORKDAYS(I268, L268, Holiday_Dates) &lt;= 0,
                1,
                NETWORKDAYS(I268, L268, Holiday_Dates) - IF(I268 = L268, 0, 1)
            )
        )
    ),
    ""
)</f>
        <v/>
      </c>
      <c r="Q268" s="385" t="str">
        <f>IF(
    OR(ISBLANK(L268), ISBLANK(M268)),
    "",
    MAX(
        1,
        IF(
            NETWORKDAYS(L268, M268, Holiday_Dates) &lt;= 0,
            1,
            NETWORKDAYS(L268, M268, Holiday_Dates) - IF(L268 = M268, 0, 1)
        )
    )
)</f>
        <v/>
      </c>
      <c r="R268" s="385" t="str">
        <f>IFERROR(
    IF(
        OR(ISBLANK(N268), AND(ISBLANK(L268), ISBLANK(M268))),
        "",
        MAX(
            1,
            IF(
                NETWORKDAYS(IF(NOT(ISBLANK(M268)), M268, L268), N268, Holiday_Dates) &lt;= 0,
                1,
                NETWORKDAYS(IF(NOT(ISBLANK(M268)), M268, L268), N268, Holiday_Dates)
                - IF(IF(NOT(ISBLANK(M268)), M268, L268) = N268, 0, 1)
            )
        )
    ),
    ""
)</f>
        <v/>
      </c>
      <c r="S268" s="385" t="str">
        <f>IFERROR(
    IF(
        OR(ISBLANK(N268), ISBLANK(O268)),
        "",
        MAX(
            1,
            IF(
                NETWORKDAYS(N268, O268, Holiday_Dates) &lt;= 0,
                1,
                NETWORKDAYS(N268, O268, Holiday_Dates) - IF(N268 = O268, 0, 1)
            )
        )
    ),
    ""
)</f>
        <v/>
      </c>
      <c r="T268" s="385"/>
      <c r="U268" s="385" t="s">
        <v>4</v>
      </c>
      <c r="V268" s="385" t="s">
        <v>101</v>
      </c>
      <c r="W268" s="385" t="s">
        <v>1436</v>
      </c>
      <c r="X268" s="1"/>
    </row>
    <row r="269" spans="1:24">
      <c r="A269" s="385" t="s">
        <v>48</v>
      </c>
      <c r="B269" s="385" t="s">
        <v>480</v>
      </c>
      <c r="C269" s="385" t="s">
        <v>1957</v>
      </c>
      <c r="D269" s="385" t="s">
        <v>88</v>
      </c>
      <c r="E269" s="385"/>
      <c r="F269" s="385"/>
      <c r="G269" s="385"/>
      <c r="H269" s="385">
        <v>2024</v>
      </c>
      <c r="I269" s="385" t="s">
        <v>1929</v>
      </c>
      <c r="J269" s="30"/>
      <c r="K269" s="385"/>
      <c r="L269" s="385"/>
      <c r="M269" s="385"/>
      <c r="N269" s="385"/>
      <c r="O269" s="385"/>
      <c r="P269" s="385" t="str">
        <f>IFERROR(
    IF(
        OR(ISBLANK(I269), ISBLANK(L269)),
        "",
        MAX(
            1,
            IF(
                NETWORKDAYS(I269, L269, Holiday_Dates) &lt;= 0,
                1,
                NETWORKDAYS(I269, L269, Holiday_Dates) - IF(I269 = L269, 0, 1)
            )
        )
    ),
    ""
)</f>
        <v/>
      </c>
      <c r="Q269" s="385" t="str">
        <f>IF(
    OR(ISBLANK(L269), ISBLANK(M269)),
    "",
    MAX(
        1,
        IF(
            NETWORKDAYS(L269, M269, Holiday_Dates) &lt;= 0,
            1,
            NETWORKDAYS(L269, M269, Holiday_Dates) - IF(L269 = M269, 0, 1)
        )
    )
)</f>
        <v/>
      </c>
      <c r="R269" s="385" t="str">
        <f>IFERROR(
    IF(
        OR(ISBLANK(N269), AND(ISBLANK(L269), ISBLANK(M269))),
        "",
        MAX(
            1,
            IF(
                NETWORKDAYS(IF(NOT(ISBLANK(M269)), M269, L269), N269, Holiday_Dates) &lt;= 0,
                1,
                NETWORKDAYS(IF(NOT(ISBLANK(M269)), M269, L269), N269, Holiday_Dates)
                - IF(IF(NOT(ISBLANK(M269)), M269, L269) = N269, 0, 1)
            )
        )
    ),
    ""
)</f>
        <v/>
      </c>
      <c r="S269" s="385" t="str">
        <f>IFERROR(
    IF(
        OR(ISBLANK(N269), ISBLANK(O269)),
        "",
        MAX(
            1,
            IF(
                NETWORKDAYS(N269, O269, Holiday_Dates) &lt;= 0,
                1,
                NETWORKDAYS(N269, O269, Holiday_Dates) - IF(N269 = O269, 0, 1)
            )
        )
    ),
    ""
)</f>
        <v/>
      </c>
      <c r="T269" s="385"/>
      <c r="U269" s="385" t="s">
        <v>4</v>
      </c>
      <c r="V269" s="385" t="s">
        <v>101</v>
      </c>
      <c r="W269" s="385" t="s">
        <v>1436</v>
      </c>
      <c r="X269" s="1"/>
    </row>
    <row r="270" spans="1:24">
      <c r="A270" s="385" t="s">
        <v>48</v>
      </c>
      <c r="B270" s="385" t="s">
        <v>482</v>
      </c>
      <c r="C270" s="385" t="s">
        <v>1062</v>
      </c>
      <c r="D270" s="385" t="s">
        <v>88</v>
      </c>
      <c r="E270" s="385"/>
      <c r="F270" s="385"/>
      <c r="G270" s="385"/>
      <c r="H270" s="385">
        <v>2024</v>
      </c>
      <c r="I270" s="385" t="s">
        <v>4659</v>
      </c>
      <c r="J270" s="30"/>
      <c r="K270" s="385"/>
      <c r="L270" s="385"/>
      <c r="M270" s="385"/>
      <c r="N270" s="385"/>
      <c r="O270" s="385"/>
      <c r="P270" s="385" t="str">
        <f>IFERROR(
    IF(
        OR(ISBLANK(I270), ISBLANK(L270)),
        "",
        MAX(
            1,
            IF(
                NETWORKDAYS(I270, L270, Holiday_Dates) &lt;= 0,
                1,
                NETWORKDAYS(I270, L270, Holiday_Dates) - IF(I270 = L270, 0, 1)
            )
        )
    ),
    ""
)</f>
        <v/>
      </c>
      <c r="Q270" s="385" t="str">
        <f>IF(
    OR(ISBLANK(L270), ISBLANK(M270)),
    "",
    MAX(
        1,
        IF(
            NETWORKDAYS(L270, M270, Holiday_Dates) &lt;= 0,
            1,
            NETWORKDAYS(L270, M270, Holiday_Dates) - IF(L270 = M270, 0, 1)
        )
    )
)</f>
        <v/>
      </c>
      <c r="R270" s="385" t="str">
        <f>IFERROR(
    IF(
        OR(ISBLANK(N270), AND(ISBLANK(L270), ISBLANK(M270))),
        "",
        MAX(
            1,
            IF(
                NETWORKDAYS(IF(NOT(ISBLANK(M270)), M270, L270), N270, Holiday_Dates) &lt;= 0,
                1,
                NETWORKDAYS(IF(NOT(ISBLANK(M270)), M270, L270), N270, Holiday_Dates)
                - IF(IF(NOT(ISBLANK(M270)), M270, L270) = N270, 0, 1)
            )
        )
    ),
    ""
)</f>
        <v/>
      </c>
      <c r="S270" s="385" t="str">
        <f>IFERROR(
    IF(
        OR(ISBLANK(N270), ISBLANK(O270)),
        "",
        MAX(
            1,
            IF(
                NETWORKDAYS(N270, O270, Holiday_Dates) &lt;= 0,
                1,
                NETWORKDAYS(N270, O270, Holiday_Dates) - IF(N270 = O270, 0, 1)
            )
        )
    ),
    ""
)</f>
        <v/>
      </c>
      <c r="T270" s="385"/>
      <c r="U270" s="385" t="s">
        <v>4</v>
      </c>
      <c r="V270" s="385" t="s">
        <v>101</v>
      </c>
      <c r="W270" s="385" t="s">
        <v>1436</v>
      </c>
      <c r="X270" s="1"/>
    </row>
    <row r="271" spans="1:24">
      <c r="A271" s="385" t="s">
        <v>48</v>
      </c>
      <c r="B271" s="385" t="s">
        <v>482</v>
      </c>
      <c r="C271" s="385" t="s">
        <v>1986</v>
      </c>
      <c r="D271" s="385" t="s">
        <v>88</v>
      </c>
      <c r="E271" s="385"/>
      <c r="F271" s="385"/>
      <c r="G271" s="385"/>
      <c r="H271" s="385">
        <v>2024</v>
      </c>
      <c r="I271" s="385" t="s">
        <v>4659</v>
      </c>
      <c r="J271" s="30"/>
      <c r="K271" s="385"/>
      <c r="L271" s="385"/>
      <c r="M271" s="385"/>
      <c r="N271" s="385"/>
      <c r="O271" s="385"/>
      <c r="P271" s="385" t="str">
        <f>IFERROR(
    IF(
        OR(ISBLANK(I271), ISBLANK(L271)),
        "",
        MAX(
            1,
            IF(
                NETWORKDAYS(I271, L271, Holiday_Dates) &lt;= 0,
                1,
                NETWORKDAYS(I271, L271, Holiday_Dates) - IF(I271 = L271, 0, 1)
            )
        )
    ),
    ""
)</f>
        <v/>
      </c>
      <c r="Q271" s="385" t="str">
        <f>IF(
    OR(ISBLANK(L271), ISBLANK(M271)),
    "",
    MAX(
        1,
        IF(
            NETWORKDAYS(L271, M271, Holiday_Dates) &lt;= 0,
            1,
            NETWORKDAYS(L271, M271, Holiday_Dates) - IF(L271 = M271, 0, 1)
        )
    )
)</f>
        <v/>
      </c>
      <c r="R271" s="385" t="str">
        <f>IFERROR(
    IF(
        OR(ISBLANK(N271), AND(ISBLANK(L271), ISBLANK(M271))),
        "",
        MAX(
            1,
            IF(
                NETWORKDAYS(IF(NOT(ISBLANK(M271)), M271, L271), N271, Holiday_Dates) &lt;= 0,
                1,
                NETWORKDAYS(IF(NOT(ISBLANK(M271)), M271, L271), N271, Holiday_Dates)
                - IF(IF(NOT(ISBLANK(M271)), M271, L271) = N271, 0, 1)
            )
        )
    ),
    ""
)</f>
        <v/>
      </c>
      <c r="S271" s="385" t="str">
        <f>IFERROR(
    IF(
        OR(ISBLANK(N271), ISBLANK(O271)),
        "",
        MAX(
            1,
            IF(
                NETWORKDAYS(N271, O271, Holiday_Dates) &lt;= 0,
                1,
                NETWORKDAYS(N271, O271, Holiday_Dates) - IF(N271 = O271, 0, 1)
            )
        )
    ),
    ""
)</f>
        <v/>
      </c>
      <c r="T271" s="385"/>
      <c r="U271" s="385" t="s">
        <v>4</v>
      </c>
      <c r="V271" s="385" t="s">
        <v>101</v>
      </c>
      <c r="W271" s="385" t="s">
        <v>1436</v>
      </c>
      <c r="X271" s="1"/>
    </row>
    <row r="272" spans="1:24">
      <c r="A272" s="385" t="s">
        <v>48</v>
      </c>
      <c r="B272" s="385" t="s">
        <v>482</v>
      </c>
      <c r="C272" s="385" t="s">
        <v>1969</v>
      </c>
      <c r="D272" s="385" t="s">
        <v>88</v>
      </c>
      <c r="E272" s="385"/>
      <c r="F272" s="385"/>
      <c r="G272" s="385"/>
      <c r="H272" s="385">
        <v>2024</v>
      </c>
      <c r="I272" s="385" t="s">
        <v>4663</v>
      </c>
      <c r="J272" s="30"/>
      <c r="K272" s="385"/>
      <c r="L272" s="385"/>
      <c r="M272" s="385"/>
      <c r="N272" s="385"/>
      <c r="O272" s="385"/>
      <c r="P272" s="385" t="str">
        <f>IFERROR(
    IF(
        OR(ISBLANK(I272), ISBLANK(L272)),
        "",
        MAX(
            1,
            IF(
                NETWORKDAYS(I272, L272, Holiday_Dates) &lt;= 0,
                1,
                NETWORKDAYS(I272, L272, Holiday_Dates) - IF(I272 = L272, 0, 1)
            )
        )
    ),
    ""
)</f>
        <v/>
      </c>
      <c r="Q272" s="385" t="str">
        <f>IF(
    OR(ISBLANK(L272), ISBLANK(M272)),
    "",
    MAX(
        1,
        IF(
            NETWORKDAYS(L272, M272, Holiday_Dates) &lt;= 0,
            1,
            NETWORKDAYS(L272, M272, Holiday_Dates) - IF(L272 = M272, 0, 1)
        )
    )
)</f>
        <v/>
      </c>
      <c r="R272" s="385" t="str">
        <f>IFERROR(
    IF(
        OR(ISBLANK(N272), AND(ISBLANK(L272), ISBLANK(M272))),
        "",
        MAX(
            1,
            IF(
                NETWORKDAYS(IF(NOT(ISBLANK(M272)), M272, L272), N272, Holiday_Dates) &lt;= 0,
                1,
                NETWORKDAYS(IF(NOT(ISBLANK(M272)), M272, L272), N272, Holiday_Dates)
                - IF(IF(NOT(ISBLANK(M272)), M272, L272) = N272, 0, 1)
            )
        )
    ),
    ""
)</f>
        <v/>
      </c>
      <c r="S272" s="385" t="str">
        <f>IFERROR(
    IF(
        OR(ISBLANK(N272), ISBLANK(O272)),
        "",
        MAX(
            1,
            IF(
                NETWORKDAYS(N272, O272, Holiday_Dates) &lt;= 0,
                1,
                NETWORKDAYS(N272, O272, Holiday_Dates) - IF(N272 = O272, 0, 1)
            )
        )
    ),
    ""
)</f>
        <v/>
      </c>
      <c r="T272" s="385"/>
      <c r="U272" s="385" t="s">
        <v>4</v>
      </c>
      <c r="V272" s="385" t="s">
        <v>101</v>
      </c>
      <c r="W272" s="385" t="s">
        <v>1436</v>
      </c>
      <c r="X272" s="1"/>
    </row>
    <row r="273" spans="1:24">
      <c r="A273" s="385" t="s">
        <v>48</v>
      </c>
      <c r="B273" s="385" t="s">
        <v>482</v>
      </c>
      <c r="C273" s="385" t="s">
        <v>1965</v>
      </c>
      <c r="D273" s="385" t="s">
        <v>88</v>
      </c>
      <c r="E273" s="385"/>
      <c r="F273" s="385"/>
      <c r="G273" s="385"/>
      <c r="H273" s="385">
        <v>2024</v>
      </c>
      <c r="I273" s="385" t="s">
        <v>1966</v>
      </c>
      <c r="J273" s="30"/>
      <c r="K273" s="385"/>
      <c r="L273" s="385"/>
      <c r="M273" s="385"/>
      <c r="N273" s="385"/>
      <c r="O273" s="385"/>
      <c r="P273" s="385" t="str">
        <f>IFERROR(
    IF(
        OR(ISBLANK(I273), ISBLANK(L273)),
        "",
        MAX(
            1,
            IF(
                NETWORKDAYS(I273, L273, Holiday_Dates) &lt;= 0,
                1,
                NETWORKDAYS(I273, L273, Holiday_Dates) - IF(I273 = L273, 0, 1)
            )
        )
    ),
    ""
)</f>
        <v/>
      </c>
      <c r="Q273" s="385" t="str">
        <f>IF(
    OR(ISBLANK(L273), ISBLANK(M273)),
    "",
    MAX(
        1,
        IF(
            NETWORKDAYS(L273, M273, Holiday_Dates) &lt;= 0,
            1,
            NETWORKDAYS(L273, M273, Holiday_Dates) - IF(L273 = M273, 0, 1)
        )
    )
)</f>
        <v/>
      </c>
      <c r="R273" s="385" t="str">
        <f>IFERROR(
    IF(
        OR(ISBLANK(N273), AND(ISBLANK(L273), ISBLANK(M273))),
        "",
        MAX(
            1,
            IF(
                NETWORKDAYS(IF(NOT(ISBLANK(M273)), M273, L273), N273, Holiday_Dates) &lt;= 0,
                1,
                NETWORKDAYS(IF(NOT(ISBLANK(M273)), M273, L273), N273, Holiday_Dates)
                - IF(IF(NOT(ISBLANK(M273)), M273, L273) = N273, 0, 1)
            )
        )
    ),
    ""
)</f>
        <v/>
      </c>
      <c r="S273" s="385" t="str">
        <f>IFERROR(
    IF(
        OR(ISBLANK(N273), ISBLANK(O273)),
        "",
        MAX(
            1,
            IF(
                NETWORKDAYS(N273, O273, Holiday_Dates) &lt;= 0,
                1,
                NETWORKDAYS(N273, O273, Holiday_Dates) - IF(N273 = O273, 0, 1)
            )
        )
    ),
    ""
)</f>
        <v/>
      </c>
      <c r="T273" s="385"/>
      <c r="U273" s="385" t="s">
        <v>4</v>
      </c>
      <c r="V273" s="385" t="s">
        <v>101</v>
      </c>
      <c r="W273" s="385" t="s">
        <v>1436</v>
      </c>
      <c r="X273" s="1"/>
    </row>
    <row r="274" spans="1:24">
      <c r="A274" s="385" t="s">
        <v>48</v>
      </c>
      <c r="B274" s="385" t="s">
        <v>482</v>
      </c>
      <c r="C274" s="385" t="s">
        <v>1972</v>
      </c>
      <c r="D274" s="385" t="s">
        <v>88</v>
      </c>
      <c r="E274" s="385"/>
      <c r="F274" s="385"/>
      <c r="G274" s="385"/>
      <c r="H274" s="385">
        <v>2024</v>
      </c>
      <c r="I274" s="385" t="s">
        <v>4659</v>
      </c>
      <c r="J274" s="30"/>
      <c r="K274" s="385"/>
      <c r="L274" s="385"/>
      <c r="M274" s="385"/>
      <c r="N274" s="385"/>
      <c r="O274" s="385"/>
      <c r="P274" s="385" t="str">
        <f>IFERROR(
    IF(
        OR(ISBLANK(I274), ISBLANK(L274)),
        "",
        MAX(
            1,
            IF(
                NETWORKDAYS(I274, L274, Holiday_Dates) &lt;= 0,
                1,
                NETWORKDAYS(I274, L274, Holiday_Dates) - IF(I274 = L274, 0, 1)
            )
        )
    ),
    ""
)</f>
        <v/>
      </c>
      <c r="Q274" s="385" t="str">
        <f>IF(
    OR(ISBLANK(L274), ISBLANK(M274)),
    "",
    MAX(
        1,
        IF(
            NETWORKDAYS(L274, M274, Holiday_Dates) &lt;= 0,
            1,
            NETWORKDAYS(L274, M274, Holiday_Dates) - IF(L274 = M274, 0, 1)
        )
    )
)</f>
        <v/>
      </c>
      <c r="R274" s="385" t="str">
        <f>IFERROR(
    IF(
        OR(ISBLANK(N274), AND(ISBLANK(L274), ISBLANK(M274))),
        "",
        MAX(
            1,
            IF(
                NETWORKDAYS(IF(NOT(ISBLANK(M274)), M274, L274), N274, Holiday_Dates) &lt;= 0,
                1,
                NETWORKDAYS(IF(NOT(ISBLANK(M274)), M274, L274), N274, Holiday_Dates)
                - IF(IF(NOT(ISBLANK(M274)), M274, L274) = N274, 0, 1)
            )
        )
    ),
    ""
)</f>
        <v/>
      </c>
      <c r="S274" s="385" t="str">
        <f>IFERROR(
    IF(
        OR(ISBLANK(N274), ISBLANK(O274)),
        "",
        MAX(
            1,
            IF(
                NETWORKDAYS(N274, O274, Holiday_Dates) &lt;= 0,
                1,
                NETWORKDAYS(N274, O274, Holiday_Dates) - IF(N274 = O274, 0, 1)
            )
        )
    ),
    ""
)</f>
        <v/>
      </c>
      <c r="T274" s="385"/>
      <c r="U274" s="385" t="s">
        <v>4</v>
      </c>
      <c r="V274" s="385" t="s">
        <v>101</v>
      </c>
      <c r="W274" s="385" t="s">
        <v>1436</v>
      </c>
      <c r="X274" s="1"/>
    </row>
    <row r="275" spans="1:24">
      <c r="A275" s="385" t="s">
        <v>48</v>
      </c>
      <c r="B275" s="385" t="s">
        <v>482</v>
      </c>
      <c r="C275" s="385" t="s">
        <v>1974</v>
      </c>
      <c r="D275" s="385" t="s">
        <v>88</v>
      </c>
      <c r="E275" s="385"/>
      <c r="F275" s="385"/>
      <c r="G275" s="385"/>
      <c r="H275" s="385">
        <v>2024</v>
      </c>
      <c r="I275" s="385" t="s">
        <v>1975</v>
      </c>
      <c r="J275" s="30"/>
      <c r="K275" s="385"/>
      <c r="L275" s="385"/>
      <c r="M275" s="385"/>
      <c r="N275" s="385"/>
      <c r="O275" s="385"/>
      <c r="P275" s="385" t="str">
        <f>IFERROR(
    IF(
        OR(ISBLANK(I275), ISBLANK(L275)),
        "",
        MAX(
            1,
            IF(
                NETWORKDAYS(I275, L275, Holiday_Dates) &lt;= 0,
                1,
                NETWORKDAYS(I275, L275, Holiday_Dates) - IF(I275 = L275, 0, 1)
            )
        )
    ),
    ""
)</f>
        <v/>
      </c>
      <c r="Q275" s="385" t="str">
        <f>IF(
    OR(ISBLANK(L275), ISBLANK(M275)),
    "",
    MAX(
        1,
        IF(
            NETWORKDAYS(L275, M275, Holiday_Dates) &lt;= 0,
            1,
            NETWORKDAYS(L275, M275, Holiday_Dates) - IF(L275 = M275, 0, 1)
        )
    )
)</f>
        <v/>
      </c>
      <c r="R275" s="385" t="str">
        <f>IFERROR(
    IF(
        OR(ISBLANK(N275), AND(ISBLANK(L275), ISBLANK(M275))),
        "",
        MAX(
            1,
            IF(
                NETWORKDAYS(IF(NOT(ISBLANK(M275)), M275, L275), N275, Holiday_Dates) &lt;= 0,
                1,
                NETWORKDAYS(IF(NOT(ISBLANK(M275)), M275, L275), N275, Holiday_Dates)
                - IF(IF(NOT(ISBLANK(M275)), M275, L275) = N275, 0, 1)
            )
        )
    ),
    ""
)</f>
        <v/>
      </c>
      <c r="S275" s="385" t="str">
        <f>IFERROR(
    IF(
        OR(ISBLANK(N275), ISBLANK(O275)),
        "",
        MAX(
            1,
            IF(
                NETWORKDAYS(N275, O275, Holiday_Dates) &lt;= 0,
                1,
                NETWORKDAYS(N275, O275, Holiday_Dates) - IF(N275 = O275, 0, 1)
            )
        )
    ),
    ""
)</f>
        <v/>
      </c>
      <c r="T275" s="385"/>
      <c r="U275" s="385" t="s">
        <v>4</v>
      </c>
      <c r="V275" s="385" t="s">
        <v>101</v>
      </c>
      <c r="W275" s="385" t="s">
        <v>1436</v>
      </c>
      <c r="X275" s="1"/>
    </row>
    <row r="276" spans="1:24">
      <c r="A276" s="385" t="s">
        <v>48</v>
      </c>
      <c r="B276" s="385" t="s">
        <v>482</v>
      </c>
      <c r="C276" s="385" t="s">
        <v>926</v>
      </c>
      <c r="D276" s="385" t="s">
        <v>88</v>
      </c>
      <c r="E276" s="385"/>
      <c r="F276" s="385"/>
      <c r="G276" s="385"/>
      <c r="H276" s="385">
        <v>2024</v>
      </c>
      <c r="I276" s="385" t="s">
        <v>1907</v>
      </c>
      <c r="J276" s="30"/>
      <c r="K276" s="385"/>
      <c r="L276" s="385"/>
      <c r="M276" s="385"/>
      <c r="N276" s="385"/>
      <c r="O276" s="385"/>
      <c r="P276" s="385" t="str">
        <f>IFERROR(
    IF(
        OR(ISBLANK(I276), ISBLANK(L276)),
        "",
        MAX(
            1,
            IF(
                NETWORKDAYS(I276, L276, Holiday_Dates) &lt;= 0,
                1,
                NETWORKDAYS(I276, L276, Holiday_Dates) - IF(I276 = L276, 0, 1)
            )
        )
    ),
    ""
)</f>
        <v/>
      </c>
      <c r="Q276" s="385" t="str">
        <f>IF(
    OR(ISBLANK(L276), ISBLANK(M276)),
    "",
    MAX(
        1,
        IF(
            NETWORKDAYS(L276, M276, Holiday_Dates) &lt;= 0,
            1,
            NETWORKDAYS(L276, M276, Holiday_Dates) - IF(L276 = M276, 0, 1)
        )
    )
)</f>
        <v/>
      </c>
      <c r="R276" s="385" t="str">
        <f>IFERROR(
    IF(
        OR(ISBLANK(N276), AND(ISBLANK(L276), ISBLANK(M276))),
        "",
        MAX(
            1,
            IF(
                NETWORKDAYS(IF(NOT(ISBLANK(M276)), M276, L276), N276, Holiday_Dates) &lt;= 0,
                1,
                NETWORKDAYS(IF(NOT(ISBLANK(M276)), M276, L276), N276, Holiday_Dates)
                - IF(IF(NOT(ISBLANK(M276)), M276, L276) = N276, 0, 1)
            )
        )
    ),
    ""
)</f>
        <v/>
      </c>
      <c r="S276" s="385" t="str">
        <f>IFERROR(
    IF(
        OR(ISBLANK(N276), ISBLANK(O276)),
        "",
        MAX(
            1,
            IF(
                NETWORKDAYS(N276, O276, Holiday_Dates) &lt;= 0,
                1,
                NETWORKDAYS(N276, O276, Holiday_Dates) - IF(N276 = O276, 0, 1)
            )
        )
    ),
    ""
)</f>
        <v/>
      </c>
      <c r="T276" s="385"/>
      <c r="U276" s="385" t="s">
        <v>4</v>
      </c>
      <c r="V276" s="385" t="s">
        <v>101</v>
      </c>
      <c r="W276" s="385" t="s">
        <v>1436</v>
      </c>
      <c r="X276" s="1"/>
    </row>
    <row r="277" spans="1:24">
      <c r="A277" s="385" t="s">
        <v>48</v>
      </c>
      <c r="B277" s="385" t="s">
        <v>482</v>
      </c>
      <c r="C277" s="385" t="s">
        <v>1978</v>
      </c>
      <c r="D277" s="385" t="s">
        <v>88</v>
      </c>
      <c r="E277" s="385"/>
      <c r="F277" s="385"/>
      <c r="G277" s="385"/>
      <c r="H277" s="385">
        <v>2024</v>
      </c>
      <c r="I277" s="385" t="s">
        <v>1979</v>
      </c>
      <c r="J277" s="30"/>
      <c r="K277" s="385"/>
      <c r="L277" s="385"/>
      <c r="M277" s="385"/>
      <c r="N277" s="385"/>
      <c r="O277" s="385"/>
      <c r="P277" s="385" t="str">
        <f>IFERROR(
    IF(
        OR(ISBLANK(I277), ISBLANK(L277)),
        "",
        MAX(
            1,
            IF(
                NETWORKDAYS(I277, L277, Holiday_Dates) &lt;= 0,
                1,
                NETWORKDAYS(I277, L277, Holiday_Dates) - IF(I277 = L277, 0, 1)
            )
        )
    ),
    ""
)</f>
        <v/>
      </c>
      <c r="Q277" s="385" t="str">
        <f>IF(
    OR(ISBLANK(L277), ISBLANK(M277)),
    "",
    MAX(
        1,
        IF(
            NETWORKDAYS(L277, M277, Holiday_Dates) &lt;= 0,
            1,
            NETWORKDAYS(L277, M277, Holiday_Dates) - IF(L277 = M277, 0, 1)
        )
    )
)</f>
        <v/>
      </c>
      <c r="R277" s="385" t="str">
        <f>IFERROR(
    IF(
        OR(ISBLANK(N277), AND(ISBLANK(L277), ISBLANK(M277))),
        "",
        MAX(
            1,
            IF(
                NETWORKDAYS(IF(NOT(ISBLANK(M277)), M277, L277), N277, Holiday_Dates) &lt;= 0,
                1,
                NETWORKDAYS(IF(NOT(ISBLANK(M277)), M277, L277), N277, Holiday_Dates)
                - IF(IF(NOT(ISBLANK(M277)), M277, L277) = N277, 0, 1)
            )
        )
    ),
    ""
)</f>
        <v/>
      </c>
      <c r="S277" s="385" t="str">
        <f>IFERROR(
    IF(
        OR(ISBLANK(N277), ISBLANK(O277)),
        "",
        MAX(
            1,
            IF(
                NETWORKDAYS(N277, O277, Holiday_Dates) &lt;= 0,
                1,
                NETWORKDAYS(N277, O277, Holiday_Dates) - IF(N277 = O277, 0, 1)
            )
        )
    ),
    ""
)</f>
        <v/>
      </c>
      <c r="T277" s="385"/>
      <c r="U277" s="385" t="s">
        <v>4</v>
      </c>
      <c r="V277" s="385" t="s">
        <v>101</v>
      </c>
      <c r="W277" s="385" t="s">
        <v>1436</v>
      </c>
      <c r="X277" s="1"/>
    </row>
    <row r="278" spans="1:24">
      <c r="A278" s="385" t="s">
        <v>48</v>
      </c>
      <c r="B278" s="385" t="s">
        <v>482</v>
      </c>
      <c r="C278" s="385" t="s">
        <v>1988</v>
      </c>
      <c r="D278" s="385" t="s">
        <v>88</v>
      </c>
      <c r="E278" s="385"/>
      <c r="F278" s="385"/>
      <c r="G278" s="385"/>
      <c r="H278" s="385">
        <v>2024</v>
      </c>
      <c r="I278" s="385" t="s">
        <v>1909</v>
      </c>
      <c r="J278" s="30"/>
      <c r="K278" s="385"/>
      <c r="L278" s="385"/>
      <c r="M278" s="385"/>
      <c r="N278" s="385"/>
      <c r="O278" s="385"/>
      <c r="P278" s="385" t="str">
        <f>IFERROR(
    IF(
        OR(ISBLANK(I278), ISBLANK(L278)),
        "",
        MAX(
            1,
            IF(
                NETWORKDAYS(I278, L278, Holiday_Dates) &lt;= 0,
                1,
                NETWORKDAYS(I278, L278, Holiday_Dates) - IF(I278 = L278, 0, 1)
            )
        )
    ),
    ""
)</f>
        <v/>
      </c>
      <c r="Q278" s="385" t="str">
        <f>IF(
    OR(ISBLANK(L278), ISBLANK(M278)),
    "",
    MAX(
        1,
        IF(
            NETWORKDAYS(L278, M278, Holiday_Dates) &lt;= 0,
            1,
            NETWORKDAYS(L278, M278, Holiday_Dates) - IF(L278 = M278, 0, 1)
        )
    )
)</f>
        <v/>
      </c>
      <c r="R278" s="385" t="str">
        <f>IFERROR(
    IF(
        OR(ISBLANK(N278), AND(ISBLANK(L278), ISBLANK(M278))),
        "",
        MAX(
            1,
            IF(
                NETWORKDAYS(IF(NOT(ISBLANK(M278)), M278, L278), N278, Holiday_Dates) &lt;= 0,
                1,
                NETWORKDAYS(IF(NOT(ISBLANK(M278)), M278, L278), N278, Holiday_Dates)
                - IF(IF(NOT(ISBLANK(M278)), M278, L278) = N278, 0, 1)
            )
        )
    ),
    ""
)</f>
        <v/>
      </c>
      <c r="S278" s="385" t="str">
        <f>IFERROR(
    IF(
        OR(ISBLANK(N278), ISBLANK(O278)),
        "",
        MAX(
            1,
            IF(
                NETWORKDAYS(N278, O278, Holiday_Dates) &lt;= 0,
                1,
                NETWORKDAYS(N278, O278, Holiday_Dates) - IF(N278 = O278, 0, 1)
            )
        )
    ),
    ""
)</f>
        <v/>
      </c>
      <c r="T278" s="385"/>
      <c r="U278" s="385" t="s">
        <v>672</v>
      </c>
      <c r="V278" s="385" t="s">
        <v>101</v>
      </c>
      <c r="W278" s="385" t="s">
        <v>1436</v>
      </c>
      <c r="X278" s="1"/>
    </row>
    <row r="279" spans="1:24">
      <c r="A279" s="385" t="s">
        <v>48</v>
      </c>
      <c r="B279" s="385" t="s">
        <v>482</v>
      </c>
      <c r="C279" s="385" t="s">
        <v>1990</v>
      </c>
      <c r="D279" s="385" t="s">
        <v>88</v>
      </c>
      <c r="E279" s="385"/>
      <c r="F279" s="385"/>
      <c r="G279" s="385"/>
      <c r="H279" s="385">
        <v>2024</v>
      </c>
      <c r="I279" s="385" t="s">
        <v>4661</v>
      </c>
      <c r="J279" s="30"/>
      <c r="K279" s="385"/>
      <c r="L279" s="385"/>
      <c r="M279" s="385"/>
      <c r="N279" s="385"/>
      <c r="O279" s="385"/>
      <c r="P279" s="385" t="str">
        <f>IFERROR(
    IF(
        OR(ISBLANK(I279), ISBLANK(L279)),
        "",
        MAX(
            1,
            IF(
                NETWORKDAYS(I279, L279, Holiday_Dates) &lt;= 0,
                1,
                NETWORKDAYS(I279, L279, Holiday_Dates) - IF(I279 = L279, 0, 1)
            )
        )
    ),
    ""
)</f>
        <v/>
      </c>
      <c r="Q279" s="385" t="str">
        <f>IF(
    OR(ISBLANK(L279), ISBLANK(M279)),
    "",
    MAX(
        1,
        IF(
            NETWORKDAYS(L279, M279, Holiday_Dates) &lt;= 0,
            1,
            NETWORKDAYS(L279, M279, Holiday_Dates) - IF(L279 = M279, 0, 1)
        )
    )
)</f>
        <v/>
      </c>
      <c r="R279" s="385" t="str">
        <f>IFERROR(
    IF(
        OR(ISBLANK(N279), AND(ISBLANK(L279), ISBLANK(M279))),
        "",
        MAX(
            1,
            IF(
                NETWORKDAYS(IF(NOT(ISBLANK(M279)), M279, L279), N279, Holiday_Dates) &lt;= 0,
                1,
                NETWORKDAYS(IF(NOT(ISBLANK(M279)), M279, L279), N279, Holiday_Dates)
                - IF(IF(NOT(ISBLANK(M279)), M279, L279) = N279, 0, 1)
            )
        )
    ),
    ""
)</f>
        <v/>
      </c>
      <c r="S279" s="385" t="str">
        <f>IFERROR(
    IF(
        OR(ISBLANK(N279), ISBLANK(O279)),
        "",
        MAX(
            1,
            IF(
                NETWORKDAYS(N279, O279, Holiday_Dates) &lt;= 0,
                1,
                NETWORKDAYS(N279, O279, Holiday_Dates) - IF(N279 = O279, 0, 1)
            )
        )
    ),
    ""
)</f>
        <v/>
      </c>
      <c r="T279" s="385"/>
      <c r="U279" s="385" t="s">
        <v>672</v>
      </c>
      <c r="V279" s="385" t="s">
        <v>101</v>
      </c>
      <c r="W279" s="385" t="s">
        <v>1436</v>
      </c>
      <c r="X279" s="1"/>
    </row>
    <row r="280" spans="1:24">
      <c r="A280" s="385" t="s">
        <v>48</v>
      </c>
      <c r="B280" s="385" t="s">
        <v>482</v>
      </c>
      <c r="C280" s="385" t="s">
        <v>1981</v>
      </c>
      <c r="D280" s="385" t="s">
        <v>88</v>
      </c>
      <c r="E280" s="385"/>
      <c r="F280" s="385"/>
      <c r="G280" s="385"/>
      <c r="H280" s="385">
        <v>2024</v>
      </c>
      <c r="I280" s="385" t="s">
        <v>1893</v>
      </c>
      <c r="J280" s="30"/>
      <c r="K280" s="385"/>
      <c r="L280" s="385"/>
      <c r="M280" s="385"/>
      <c r="N280" s="385"/>
      <c r="O280" s="385"/>
      <c r="P280" s="385" t="str">
        <f>IFERROR(
    IF(
        OR(ISBLANK(I280), ISBLANK(L280)),
        "",
        MAX(
            1,
            IF(
                NETWORKDAYS(I280, L280, Holiday_Dates) &lt;= 0,
                1,
                NETWORKDAYS(I280, L280, Holiday_Dates) - IF(I280 = L280, 0, 1)
            )
        )
    ),
    ""
)</f>
        <v/>
      </c>
      <c r="Q280" s="385" t="str">
        <f>IF(
    OR(ISBLANK(L280), ISBLANK(M280)),
    "",
    MAX(
        1,
        IF(
            NETWORKDAYS(L280, M280, Holiday_Dates) &lt;= 0,
            1,
            NETWORKDAYS(L280, M280, Holiday_Dates) - IF(L280 = M280, 0, 1)
        )
    )
)</f>
        <v/>
      </c>
      <c r="R280" s="385" t="str">
        <f>IFERROR(
    IF(
        OR(ISBLANK(N280), AND(ISBLANK(L280), ISBLANK(M280))),
        "",
        MAX(
            1,
            IF(
                NETWORKDAYS(IF(NOT(ISBLANK(M280)), M280, L280), N280, Holiday_Dates) &lt;= 0,
                1,
                NETWORKDAYS(IF(NOT(ISBLANK(M280)), M280, L280), N280, Holiday_Dates)
                - IF(IF(NOT(ISBLANK(M280)), M280, L280) = N280, 0, 1)
            )
        )
    ),
    ""
)</f>
        <v/>
      </c>
      <c r="S280" s="385" t="str">
        <f>IFERROR(
    IF(
        OR(ISBLANK(N280), ISBLANK(O280)),
        "",
        MAX(
            1,
            IF(
                NETWORKDAYS(N280, O280, Holiday_Dates) &lt;= 0,
                1,
                NETWORKDAYS(N280, O280, Holiday_Dates) - IF(N280 = O280, 0, 1)
            )
        )
    ),
    ""
)</f>
        <v/>
      </c>
      <c r="T280" s="385"/>
      <c r="U280" s="385" t="s">
        <v>4</v>
      </c>
      <c r="V280" s="385" t="s">
        <v>101</v>
      </c>
      <c r="W280" s="385" t="s">
        <v>1436</v>
      </c>
      <c r="X280" s="1"/>
    </row>
    <row r="281" spans="1:24">
      <c r="A281" s="385" t="s">
        <v>48</v>
      </c>
      <c r="B281" s="385" t="s">
        <v>482</v>
      </c>
      <c r="C281" s="385" t="s">
        <v>1983</v>
      </c>
      <c r="D281" s="385" t="s">
        <v>88</v>
      </c>
      <c r="E281" s="385"/>
      <c r="F281" s="385"/>
      <c r="G281" s="385"/>
      <c r="H281" s="385">
        <v>2024</v>
      </c>
      <c r="I281" s="385" t="s">
        <v>1984</v>
      </c>
      <c r="J281" s="30"/>
      <c r="K281" s="385"/>
      <c r="L281" s="385"/>
      <c r="M281" s="385"/>
      <c r="N281" s="385"/>
      <c r="O281" s="385"/>
      <c r="P281" s="385" t="str">
        <f>IFERROR(
    IF(
        OR(ISBLANK(I281), ISBLANK(L281)),
        "",
        MAX(
            1,
            IF(
                NETWORKDAYS(I281, L281, Holiday_Dates) &lt;= 0,
                1,
                NETWORKDAYS(I281, L281, Holiday_Dates) - IF(I281 = L281, 0, 1)
            )
        )
    ),
    ""
)</f>
        <v/>
      </c>
      <c r="Q281" s="385" t="str">
        <f>IF(
    OR(ISBLANK(L281), ISBLANK(M281)),
    "",
    MAX(
        1,
        IF(
            NETWORKDAYS(L281, M281, Holiday_Dates) &lt;= 0,
            1,
            NETWORKDAYS(L281, M281, Holiday_Dates) - IF(L281 = M281, 0, 1)
        )
    )
)</f>
        <v/>
      </c>
      <c r="R281" s="385" t="str">
        <f>IFERROR(
    IF(
        OR(ISBLANK(N281), AND(ISBLANK(L281), ISBLANK(M281))),
        "",
        MAX(
            1,
            IF(
                NETWORKDAYS(IF(NOT(ISBLANK(M281)), M281, L281), N281, Holiday_Dates) &lt;= 0,
                1,
                NETWORKDAYS(IF(NOT(ISBLANK(M281)), M281, L281), N281, Holiday_Dates)
                - IF(IF(NOT(ISBLANK(M281)), M281, L281) = N281, 0, 1)
            )
        )
    ),
    ""
)</f>
        <v/>
      </c>
      <c r="S281" s="385" t="str">
        <f>IFERROR(
    IF(
        OR(ISBLANK(N281), ISBLANK(O281)),
        "",
        MAX(
            1,
            IF(
                NETWORKDAYS(N281, O281, Holiday_Dates) &lt;= 0,
                1,
                NETWORKDAYS(N281, O281, Holiday_Dates) - IF(N281 = O281, 0, 1)
            )
        )
    ),
    ""
)</f>
        <v/>
      </c>
      <c r="T281" s="385"/>
      <c r="U281" s="385" t="s">
        <v>672</v>
      </c>
      <c r="V281" s="385" t="s">
        <v>101</v>
      </c>
      <c r="W281" s="385" t="s">
        <v>1436</v>
      </c>
      <c r="X281" s="1"/>
    </row>
    <row r="282" spans="1:24">
      <c r="A282" s="385" t="s">
        <v>48</v>
      </c>
      <c r="B282" s="385" t="s">
        <v>336</v>
      </c>
      <c r="C282" s="385" t="s">
        <v>1992</v>
      </c>
      <c r="D282" s="385" t="s">
        <v>88</v>
      </c>
      <c r="E282" s="385"/>
      <c r="F282" s="385"/>
      <c r="G282" s="385"/>
      <c r="H282" s="385">
        <v>2025</v>
      </c>
      <c r="I282" s="386">
        <v>45694</v>
      </c>
      <c r="J282" s="30" t="s">
        <v>4664</v>
      </c>
      <c r="K282" s="385"/>
      <c r="L282" s="385"/>
      <c r="M282" s="385"/>
      <c r="N282" s="385"/>
      <c r="O282" s="385"/>
      <c r="P282" s="385" t="str">
        <f>IFERROR(
    IF(
        OR(ISBLANK(I282), ISBLANK(L282)),
        "",
        MAX(
            1,
            IF(
                NETWORKDAYS(I282, L282, Holiday_Dates) &lt;= 0,
                1,
                NETWORKDAYS(I282, L282, Holiday_Dates) - IF(I282 = L282, 0, 1)
            )
        )
    ),
    ""
)</f>
        <v/>
      </c>
      <c r="Q282" s="385" t="str">
        <f>IF(
    OR(ISBLANK(L282), ISBLANK(M282)),
    "",
    MAX(
        1,
        IF(
            NETWORKDAYS(L282, M282, Holiday_Dates) &lt;= 0,
            1,
            NETWORKDAYS(L282, M282, Holiday_Dates) - IF(L282 = M282, 0, 1)
        )
    )
)</f>
        <v/>
      </c>
      <c r="R282" s="385" t="str">
        <f>IFERROR(
    IF(
        OR(ISBLANK(N282), AND(ISBLANK(L282), ISBLANK(M282))),
        "",
        MAX(
            1,
            IF(
                NETWORKDAYS(IF(NOT(ISBLANK(M282)), M282, L282), N282, Holiday_Dates) &lt;= 0,
                1,
                NETWORKDAYS(IF(NOT(ISBLANK(M282)), M282, L282), N282, Holiday_Dates)
                - IF(IF(NOT(ISBLANK(M282)), M282, L282) = N282, 0, 1)
            )
        )
    ),
    ""
)</f>
        <v/>
      </c>
      <c r="S282" s="385" t="str">
        <f>IFERROR(
    IF(
        OR(ISBLANK(N282), ISBLANK(O282)),
        "",
        MAX(
            1,
            IF(
                NETWORKDAYS(N282, O282, Holiday_Dates) &lt;= 0,
                1,
                NETWORKDAYS(N282, O282, Holiday_Dates) - IF(N282 = O282, 0, 1)
            )
        )
    ),
    ""
)</f>
        <v/>
      </c>
      <c r="T282" s="385"/>
      <c r="U282" s="385" t="s">
        <v>4</v>
      </c>
      <c r="V282" s="385" t="s">
        <v>101</v>
      </c>
      <c r="W282" s="385" t="s">
        <v>1436</v>
      </c>
      <c r="X282" s="1"/>
    </row>
    <row r="283" spans="1:24">
      <c r="A283" s="385" t="s">
        <v>48</v>
      </c>
      <c r="B283" s="385" t="s">
        <v>336</v>
      </c>
      <c r="C283" s="385" t="s">
        <v>724</v>
      </c>
      <c r="D283" s="385" t="s">
        <v>88</v>
      </c>
      <c r="E283" s="385"/>
      <c r="F283" s="385"/>
      <c r="G283" s="385"/>
      <c r="H283" s="385">
        <v>2025</v>
      </c>
      <c r="I283" s="386">
        <v>45772</v>
      </c>
      <c r="J283" s="30" t="s">
        <v>4665</v>
      </c>
      <c r="K283" s="385"/>
      <c r="L283" s="385"/>
      <c r="M283" s="385"/>
      <c r="N283" s="385"/>
      <c r="O283" s="385"/>
      <c r="P283" s="385" t="str">
        <f>IFERROR(
    IF(
        OR(ISBLANK(I283), ISBLANK(L283)),
        "",
        MAX(
            1,
            IF(
                NETWORKDAYS(I283, L283, Holiday_Dates) &lt;= 0,
                1,
                NETWORKDAYS(I283, L283, Holiday_Dates) - IF(I283 = L283, 0, 1)
            )
        )
    ),
    ""
)</f>
        <v/>
      </c>
      <c r="Q283" s="385" t="str">
        <f>IF(
    OR(ISBLANK(L283), ISBLANK(M283)),
    "",
    MAX(
        1,
        IF(
            NETWORKDAYS(L283, M283, Holiday_Dates) &lt;= 0,
            1,
            NETWORKDAYS(L283, M283, Holiday_Dates) - IF(L283 = M283, 0, 1)
        )
    )
)</f>
        <v/>
      </c>
      <c r="R283" s="385" t="str">
        <f>IFERROR(
    IF(
        OR(ISBLANK(N283), AND(ISBLANK(L283), ISBLANK(M283))),
        "",
        MAX(
            1,
            IF(
                NETWORKDAYS(IF(NOT(ISBLANK(M283)), M283, L283), N283, Holiday_Dates) &lt;= 0,
                1,
                NETWORKDAYS(IF(NOT(ISBLANK(M283)), M283, L283), N283, Holiday_Dates)
                - IF(IF(NOT(ISBLANK(M283)), M283, L283) = N283, 0, 1)
            )
        )
    ),
    ""
)</f>
        <v/>
      </c>
      <c r="S283" s="385" t="str">
        <f>IFERROR(
    IF(
        OR(ISBLANK(N283), ISBLANK(O283)),
        "",
        MAX(
            1,
            IF(
                NETWORKDAYS(N283, O283, Holiday_Dates) &lt;= 0,
                1,
                NETWORKDAYS(N283, O283, Holiday_Dates) - IF(N283 = O283, 0, 1)
            )
        )
    ),
    ""
)</f>
        <v/>
      </c>
      <c r="T283" s="385"/>
      <c r="U283" s="385" t="s">
        <v>4</v>
      </c>
      <c r="V283" s="385" t="s">
        <v>101</v>
      </c>
      <c r="W283" s="385" t="s">
        <v>1436</v>
      </c>
      <c r="X283" s="1"/>
    </row>
    <row r="284" spans="1:24">
      <c r="A284" s="385" t="s">
        <v>48</v>
      </c>
      <c r="B284" s="385" t="s">
        <v>336</v>
      </c>
      <c r="C284" s="385" t="s">
        <v>760</v>
      </c>
      <c r="D284" s="385" t="s">
        <v>88</v>
      </c>
      <c r="E284" s="385"/>
      <c r="F284" s="385"/>
      <c r="G284" s="385"/>
      <c r="H284" s="385">
        <v>2025</v>
      </c>
      <c r="I284" s="386">
        <v>45946</v>
      </c>
      <c r="J284" s="30" t="s">
        <v>4666</v>
      </c>
      <c r="K284" s="385"/>
      <c r="L284" s="385"/>
      <c r="M284" s="385"/>
      <c r="N284" s="385"/>
      <c r="O284" s="385"/>
      <c r="P284" s="385" t="str">
        <f>IFERROR(
    IF(
        OR(ISBLANK(I284), ISBLANK(L284)),
        "",
        MAX(
            1,
            IF(
                NETWORKDAYS(I284, L284, Holiday_Dates) &lt;= 0,
                1,
                NETWORKDAYS(I284, L284, Holiday_Dates) - IF(I284 = L284, 0, 1)
            )
        )
    ),
    ""
)</f>
        <v/>
      </c>
      <c r="Q284" s="385" t="str">
        <f>IF(
    OR(ISBLANK(L284), ISBLANK(M284)),
    "",
    MAX(
        1,
        IF(
            NETWORKDAYS(L284, M284, Holiday_Dates) &lt;= 0,
            1,
            NETWORKDAYS(L284, M284, Holiday_Dates) - IF(L284 = M284, 0, 1)
        )
    )
)</f>
        <v/>
      </c>
      <c r="R284" s="385" t="str">
        <f>IFERROR(
    IF(
        OR(ISBLANK(N284), AND(ISBLANK(L284), ISBLANK(M284))),
        "",
        MAX(
            1,
            IF(
                NETWORKDAYS(IF(NOT(ISBLANK(M284)), M284, L284), N284, Holiday_Dates) &lt;= 0,
                1,
                NETWORKDAYS(IF(NOT(ISBLANK(M284)), M284, L284), N284, Holiday_Dates)
                - IF(IF(NOT(ISBLANK(M284)), M284, L284) = N284, 0, 1)
            )
        )
    ),
    ""
)</f>
        <v/>
      </c>
      <c r="S284" s="385" t="str">
        <f>IFERROR(
    IF(
        OR(ISBLANK(N284), ISBLANK(O284)),
        "",
        MAX(
            1,
            IF(
                NETWORKDAYS(N284, O284, Holiday_Dates) &lt;= 0,
                1,
                NETWORKDAYS(N284, O284, Holiday_Dates) - IF(N284 = O284, 0, 1)
            )
        )
    ),
    ""
)</f>
        <v/>
      </c>
      <c r="T284" s="385"/>
      <c r="U284" s="385" t="s">
        <v>4</v>
      </c>
      <c r="V284" s="385" t="s">
        <v>101</v>
      </c>
      <c r="W284" s="385" t="s">
        <v>1436</v>
      </c>
      <c r="X284" s="1"/>
    </row>
    <row r="285" spans="1:24">
      <c r="A285" s="385" t="s">
        <v>48</v>
      </c>
      <c r="B285" s="385" t="s">
        <v>336</v>
      </c>
      <c r="C285" s="385" t="s">
        <v>1997</v>
      </c>
      <c r="D285" s="385" t="s">
        <v>88</v>
      </c>
      <c r="E285" s="385"/>
      <c r="F285" s="385"/>
      <c r="G285" s="385"/>
      <c r="H285" s="385">
        <v>2025</v>
      </c>
      <c r="I285" s="386">
        <v>45847</v>
      </c>
      <c r="J285" s="30" t="s">
        <v>4667</v>
      </c>
      <c r="K285" s="385"/>
      <c r="L285" s="385"/>
      <c r="M285" s="385"/>
      <c r="N285" s="385"/>
      <c r="O285" s="385"/>
      <c r="P285" s="385" t="str">
        <f>IFERROR(
    IF(
        OR(ISBLANK(I285), ISBLANK(L285)),
        "",
        MAX(
            1,
            IF(
                NETWORKDAYS(I285, L285, Holiday_Dates) &lt;= 0,
                1,
                NETWORKDAYS(I285, L285, Holiday_Dates) - IF(I285 = L285, 0, 1)
            )
        )
    ),
    ""
)</f>
        <v/>
      </c>
      <c r="Q285" s="385" t="str">
        <f>IF(
    OR(ISBLANK(L285), ISBLANK(M285)),
    "",
    MAX(
        1,
        IF(
            NETWORKDAYS(L285, M285, Holiday_Dates) &lt;= 0,
            1,
            NETWORKDAYS(L285, M285, Holiday_Dates) - IF(L285 = M285, 0, 1)
        )
    )
)</f>
        <v/>
      </c>
      <c r="R285" s="385" t="str">
        <f>IFERROR(
    IF(
        OR(ISBLANK(N285), AND(ISBLANK(L285), ISBLANK(M285))),
        "",
        MAX(
            1,
            IF(
                NETWORKDAYS(IF(NOT(ISBLANK(M285)), M285, L285), N285, Holiday_Dates) &lt;= 0,
                1,
                NETWORKDAYS(IF(NOT(ISBLANK(M285)), M285, L285), N285, Holiday_Dates)
                - IF(IF(NOT(ISBLANK(M285)), M285, L285) = N285, 0, 1)
            )
        )
    ),
    ""
)</f>
        <v/>
      </c>
      <c r="S285" s="385" t="str">
        <f>IFERROR(
    IF(
        OR(ISBLANK(N285), ISBLANK(O285)),
        "",
        MAX(
            1,
            IF(
                NETWORKDAYS(N285, O285, Holiday_Dates) &lt;= 0,
                1,
                NETWORKDAYS(N285, O285, Holiday_Dates) - IF(N285 = O285, 0, 1)
            )
        )
    ),
    ""
)</f>
        <v/>
      </c>
      <c r="T285" s="385"/>
      <c r="U285" s="385" t="s">
        <v>4</v>
      </c>
      <c r="V285" s="385" t="s">
        <v>101</v>
      </c>
      <c r="W285" s="385" t="s">
        <v>1436</v>
      </c>
      <c r="X285" s="1"/>
    </row>
    <row r="286" spans="1:24">
      <c r="A286" s="385" t="s">
        <v>48</v>
      </c>
      <c r="B286" s="385" t="s">
        <v>336</v>
      </c>
      <c r="C286" s="385" t="s">
        <v>1993</v>
      </c>
      <c r="D286" s="385" t="s">
        <v>88</v>
      </c>
      <c r="E286" s="385"/>
      <c r="F286" s="385"/>
      <c r="G286" s="385"/>
      <c r="H286" s="385">
        <v>2025</v>
      </c>
      <c r="I286" s="386">
        <v>45741</v>
      </c>
      <c r="J286" s="30" t="s">
        <v>4668</v>
      </c>
      <c r="K286" s="385"/>
      <c r="L286" s="385"/>
      <c r="M286" s="385"/>
      <c r="N286" s="385"/>
      <c r="O286" s="385"/>
      <c r="P286" s="385" t="str">
        <f>IFERROR(
    IF(
        OR(ISBLANK(I286), ISBLANK(L286)),
        "",
        MAX(
            1,
            IF(
                NETWORKDAYS(I286, L286, Holiday_Dates) &lt;= 0,
                1,
                NETWORKDAYS(I286, L286, Holiday_Dates) - IF(I286 = L286, 0, 1)
            )
        )
    ),
    ""
)</f>
        <v/>
      </c>
      <c r="Q286" s="385" t="str">
        <f>IF(
    OR(ISBLANK(L286), ISBLANK(M286)),
    "",
    MAX(
        1,
        IF(
            NETWORKDAYS(L286, M286, Holiday_Dates) &lt;= 0,
            1,
            NETWORKDAYS(L286, M286, Holiday_Dates) - IF(L286 = M286, 0, 1)
        )
    )
)</f>
        <v/>
      </c>
      <c r="R286" s="385" t="str">
        <f>IFERROR(
    IF(
        OR(ISBLANK(N286), AND(ISBLANK(L286), ISBLANK(M286))),
        "",
        MAX(
            1,
            IF(
                NETWORKDAYS(IF(NOT(ISBLANK(M286)), M286, L286), N286, Holiday_Dates) &lt;= 0,
                1,
                NETWORKDAYS(IF(NOT(ISBLANK(M286)), M286, L286), N286, Holiday_Dates)
                - IF(IF(NOT(ISBLANK(M286)), M286, L286) = N286, 0, 1)
            )
        )
    ),
    ""
)</f>
        <v/>
      </c>
      <c r="S286" s="385" t="str">
        <f>IFERROR(
    IF(
        OR(ISBLANK(N286), ISBLANK(O286)),
        "",
        MAX(
            1,
            IF(
                NETWORKDAYS(N286, O286, Holiday_Dates) &lt;= 0,
                1,
                NETWORKDAYS(N286, O286, Holiday_Dates) - IF(N286 = O286, 0, 1)
            )
        )
    ),
    ""
)</f>
        <v/>
      </c>
      <c r="T286" s="385"/>
      <c r="U286" s="385" t="s">
        <v>4</v>
      </c>
      <c r="V286" s="385" t="s">
        <v>101</v>
      </c>
      <c r="W286" s="385" t="s">
        <v>1436</v>
      </c>
      <c r="X286" s="1"/>
    </row>
    <row r="287" spans="1:24">
      <c r="A287" s="385" t="s">
        <v>48</v>
      </c>
      <c r="B287" s="385" t="s">
        <v>336</v>
      </c>
      <c r="C287" s="385" t="s">
        <v>2001</v>
      </c>
      <c r="D287" s="385" t="s">
        <v>88</v>
      </c>
      <c r="E287" s="385"/>
      <c r="F287" s="385"/>
      <c r="G287" s="385"/>
      <c r="H287" s="385">
        <v>2024</v>
      </c>
      <c r="I287" s="386">
        <v>45581</v>
      </c>
      <c r="J287" s="30"/>
      <c r="K287" s="385"/>
      <c r="L287" s="385"/>
      <c r="M287" s="385"/>
      <c r="N287" s="385"/>
      <c r="O287" s="385"/>
      <c r="P287" s="385" t="str">
        <f>IFERROR(
    IF(
        OR(ISBLANK(I287), ISBLANK(L287)),
        "",
        MAX(
            1,
            IF(
                NETWORKDAYS(I287, L287, Holiday_Dates) &lt;= 0,
                1,
                NETWORKDAYS(I287, L287, Holiday_Dates) - IF(I287 = L287, 0, 1)
            )
        )
    ),
    ""
)</f>
        <v/>
      </c>
      <c r="Q287" s="385" t="str">
        <f>IF(
    OR(ISBLANK(L287), ISBLANK(M287)),
    "",
    MAX(
        1,
        IF(
            NETWORKDAYS(L287, M287, Holiday_Dates) &lt;= 0,
            1,
            NETWORKDAYS(L287, M287, Holiday_Dates) - IF(L287 = M287, 0, 1)
        )
    )
)</f>
        <v/>
      </c>
      <c r="R287" s="385" t="str">
        <f>IFERROR(
    IF(
        OR(ISBLANK(N287), AND(ISBLANK(L287), ISBLANK(M287))),
        "",
        MAX(
            1,
            IF(
                NETWORKDAYS(IF(NOT(ISBLANK(M287)), M287, L287), N287, Holiday_Dates) &lt;= 0,
                1,
                NETWORKDAYS(IF(NOT(ISBLANK(M287)), M287, L287), N287, Holiday_Dates)
                - IF(IF(NOT(ISBLANK(M287)), M287, L287) = N287, 0, 1)
            )
        )
    ),
    ""
)</f>
        <v/>
      </c>
      <c r="S287" s="385" t="str">
        <f>IFERROR(
    IF(
        OR(ISBLANK(N287), ISBLANK(O287)),
        "",
        MAX(
            1,
            IF(
                NETWORKDAYS(N287, O287, Holiday_Dates) &lt;= 0,
                1,
                NETWORKDAYS(N287, O287, Holiday_Dates) - IF(N287 = O287, 0, 1)
            )
        )
    ),
    ""
)</f>
        <v/>
      </c>
      <c r="T287" s="385"/>
      <c r="U287" s="385" t="s">
        <v>4</v>
      </c>
      <c r="V287" s="385" t="s">
        <v>108</v>
      </c>
      <c r="W287" s="385" t="s">
        <v>1436</v>
      </c>
      <c r="X287" s="1"/>
    </row>
    <row r="288" spans="1:24">
      <c r="A288" s="385" t="s">
        <v>48</v>
      </c>
      <c r="B288" s="385" t="s">
        <v>336</v>
      </c>
      <c r="C288" s="385" t="s">
        <v>1994</v>
      </c>
      <c r="D288" s="385" t="s">
        <v>88</v>
      </c>
      <c r="E288" s="385"/>
      <c r="F288" s="385"/>
      <c r="G288" s="385"/>
      <c r="H288" s="385">
        <v>2024</v>
      </c>
      <c r="I288" s="386">
        <v>45575</v>
      </c>
      <c r="J288" s="30"/>
      <c r="K288" s="385"/>
      <c r="L288" s="385"/>
      <c r="M288" s="385"/>
      <c r="N288" s="385"/>
      <c r="O288" s="385"/>
      <c r="P288" s="385" t="str">
        <f>IFERROR(
    IF(
        OR(ISBLANK(I288), ISBLANK(L288)),
        "",
        MAX(
            1,
            IF(
                NETWORKDAYS(I288, L288, Holiday_Dates) &lt;= 0,
                1,
                NETWORKDAYS(I288, L288, Holiday_Dates) - IF(I288 = L288, 0, 1)
            )
        )
    ),
    ""
)</f>
        <v/>
      </c>
      <c r="Q288" s="385" t="str">
        <f>IF(
    OR(ISBLANK(L288), ISBLANK(M288)),
    "",
    MAX(
        1,
        IF(
            NETWORKDAYS(L288, M288, Holiday_Dates) &lt;= 0,
            1,
            NETWORKDAYS(L288, M288, Holiday_Dates) - IF(L288 = M288, 0, 1)
        )
    )
)</f>
        <v/>
      </c>
      <c r="R288" s="385" t="str">
        <f>IFERROR(
    IF(
        OR(ISBLANK(N288), AND(ISBLANK(L288), ISBLANK(M288))),
        "",
        MAX(
            1,
            IF(
                NETWORKDAYS(IF(NOT(ISBLANK(M288)), M288, L288), N288, Holiday_Dates) &lt;= 0,
                1,
                NETWORKDAYS(IF(NOT(ISBLANK(M288)), M288, L288), N288, Holiday_Dates)
                - IF(IF(NOT(ISBLANK(M288)), M288, L288) = N288, 0, 1)
            )
        )
    ),
    ""
)</f>
        <v/>
      </c>
      <c r="S288" s="385" t="str">
        <f>IFERROR(
    IF(
        OR(ISBLANK(N288), ISBLANK(O288)),
        "",
        MAX(
            1,
            IF(
                NETWORKDAYS(N288, O288, Holiday_Dates) &lt;= 0,
                1,
                NETWORKDAYS(N288, O288, Holiday_Dates) - IF(N288 = O288, 0, 1)
            )
        )
    ),
    ""
)</f>
        <v/>
      </c>
      <c r="T288" s="385"/>
      <c r="U288" s="385" t="s">
        <v>4</v>
      </c>
      <c r="V288" s="385" t="s">
        <v>108</v>
      </c>
      <c r="W288" s="385" t="s">
        <v>1436</v>
      </c>
      <c r="X288" s="1"/>
    </row>
    <row r="289" spans="1:24">
      <c r="A289" s="385" t="s">
        <v>48</v>
      </c>
      <c r="B289" s="385" t="s">
        <v>336</v>
      </c>
      <c r="C289" s="385" t="s">
        <v>2003</v>
      </c>
      <c r="D289" s="385" t="s">
        <v>88</v>
      </c>
      <c r="E289" s="385"/>
      <c r="F289" s="385"/>
      <c r="G289" s="385"/>
      <c r="H289" s="385">
        <v>2025</v>
      </c>
      <c r="I289" s="386">
        <v>45713</v>
      </c>
      <c r="J289" s="30" t="s">
        <v>4669</v>
      </c>
      <c r="K289" s="385"/>
      <c r="L289" s="385"/>
      <c r="M289" s="385"/>
      <c r="N289" s="385"/>
      <c r="O289" s="385"/>
      <c r="P289" s="385" t="str">
        <f>IFERROR(
    IF(
        OR(ISBLANK(I289), ISBLANK(L289)),
        "",
        MAX(
            1,
            IF(
                NETWORKDAYS(I289, L289, Holiday_Dates) &lt;= 0,
                1,
                NETWORKDAYS(I289, L289, Holiday_Dates) - IF(I289 = L289, 0, 1)
            )
        )
    ),
    ""
)</f>
        <v/>
      </c>
      <c r="Q289" s="385" t="str">
        <f>IF(
    OR(ISBLANK(L289), ISBLANK(M289)),
    "",
    MAX(
        1,
        IF(
            NETWORKDAYS(L289, M289, Holiday_Dates) &lt;= 0,
            1,
            NETWORKDAYS(L289, M289, Holiday_Dates) - IF(L289 = M289, 0, 1)
        )
    )
)</f>
        <v/>
      </c>
      <c r="R289" s="385" t="str">
        <f>IFERROR(
    IF(
        OR(ISBLANK(N289), AND(ISBLANK(L289), ISBLANK(M289))),
        "",
        MAX(
            1,
            IF(
                NETWORKDAYS(IF(NOT(ISBLANK(M289)), M289, L289), N289, Holiday_Dates) &lt;= 0,
                1,
                NETWORKDAYS(IF(NOT(ISBLANK(M289)), M289, L289), N289, Holiday_Dates)
                - IF(IF(NOT(ISBLANK(M289)), M289, L289) = N289, 0, 1)
            )
        )
    ),
    ""
)</f>
        <v/>
      </c>
      <c r="S289" s="385" t="str">
        <f>IFERROR(
    IF(
        OR(ISBLANK(N289), ISBLANK(O289)),
        "",
        MAX(
            1,
            IF(
                NETWORKDAYS(N289, O289, Holiday_Dates) &lt;= 0,
                1,
                NETWORKDAYS(N289, O289, Holiday_Dates) - IF(N289 = O289, 0, 1)
            )
        )
    ),
    ""
)</f>
        <v/>
      </c>
      <c r="T289" s="385"/>
      <c r="U289" s="385" t="s">
        <v>672</v>
      </c>
      <c r="V289" s="385" t="s">
        <v>108</v>
      </c>
      <c r="W289" s="385" t="s">
        <v>1436</v>
      </c>
      <c r="X289" s="1"/>
    </row>
    <row r="290" spans="1:24">
      <c r="A290" s="385" t="s">
        <v>48</v>
      </c>
      <c r="B290" s="385" t="s">
        <v>336</v>
      </c>
      <c r="C290" s="385" t="s">
        <v>1265</v>
      </c>
      <c r="D290" s="385" t="s">
        <v>88</v>
      </c>
      <c r="E290" s="385"/>
      <c r="F290" s="385"/>
      <c r="G290" s="385"/>
      <c r="H290" s="385">
        <v>2025</v>
      </c>
      <c r="I290" s="386">
        <v>45876</v>
      </c>
      <c r="J290" s="30" t="s">
        <v>4670</v>
      </c>
      <c r="K290" s="385"/>
      <c r="L290" s="385"/>
      <c r="M290" s="385"/>
      <c r="N290" s="385"/>
      <c r="O290" s="385"/>
      <c r="P290" s="385" t="str">
        <f>IFERROR(
    IF(
        OR(ISBLANK(I290), ISBLANK(L290)),
        "",
        MAX(
            1,
            IF(
                NETWORKDAYS(I290, L290, Holiday_Dates) &lt;= 0,
                1,
                NETWORKDAYS(I290, L290, Holiday_Dates) - IF(I290 = L290, 0, 1)
            )
        )
    ),
    ""
)</f>
        <v/>
      </c>
      <c r="Q290" s="385" t="str">
        <f>IF(
    OR(ISBLANK(L290), ISBLANK(M290)),
    "",
    MAX(
        1,
        IF(
            NETWORKDAYS(L290, M290, Holiday_Dates) &lt;= 0,
            1,
            NETWORKDAYS(L290, M290, Holiday_Dates) - IF(L290 = M290, 0, 1)
        )
    )
)</f>
        <v/>
      </c>
      <c r="R290" s="385" t="str">
        <f>IFERROR(
    IF(
        OR(ISBLANK(N290), AND(ISBLANK(L290), ISBLANK(M290))),
        "",
        MAX(
            1,
            IF(
                NETWORKDAYS(IF(NOT(ISBLANK(M290)), M290, L290), N290, Holiday_Dates) &lt;= 0,
                1,
                NETWORKDAYS(IF(NOT(ISBLANK(M290)), M290, L290), N290, Holiday_Dates)
                - IF(IF(NOT(ISBLANK(M290)), M290, L290) = N290, 0, 1)
            )
        )
    ),
    ""
)</f>
        <v/>
      </c>
      <c r="S290" s="385" t="str">
        <f>IFERROR(
    IF(
        OR(ISBLANK(N290), ISBLANK(O290)),
        "",
        MAX(
            1,
            IF(
                NETWORKDAYS(N290, O290, Holiday_Dates) &lt;= 0,
                1,
                NETWORKDAYS(N290, O290, Holiday_Dates) - IF(N290 = O290, 0, 1)
            )
        )
    ),
    ""
)</f>
        <v/>
      </c>
      <c r="T290" s="385"/>
      <c r="U290" s="385" t="s">
        <v>672</v>
      </c>
      <c r="V290" s="385" t="s">
        <v>101</v>
      </c>
      <c r="W290" s="385" t="s">
        <v>1436</v>
      </c>
      <c r="X290" s="1"/>
    </row>
    <row r="291" spans="1:24">
      <c r="A291" s="385" t="s">
        <v>48</v>
      </c>
      <c r="B291" s="385" t="s">
        <v>336</v>
      </c>
      <c r="C291" s="385" t="s">
        <v>1996</v>
      </c>
      <c r="D291" s="385" t="s">
        <v>88</v>
      </c>
      <c r="E291" s="385"/>
      <c r="F291" s="385"/>
      <c r="G291" s="385"/>
      <c r="H291" s="385">
        <v>2025</v>
      </c>
      <c r="I291" s="386">
        <v>45946</v>
      </c>
      <c r="J291" s="30" t="s">
        <v>4671</v>
      </c>
      <c r="K291" s="385"/>
      <c r="L291" s="385"/>
      <c r="M291" s="385"/>
      <c r="N291" s="385"/>
      <c r="O291" s="385"/>
      <c r="P291" s="385" t="str">
        <f>IFERROR(
    IF(
        OR(ISBLANK(I291), ISBLANK(L291)),
        "",
        MAX(
            1,
            IF(
                NETWORKDAYS(I291, L291, Holiday_Dates) &lt;= 0,
                1,
                NETWORKDAYS(I291, L291, Holiday_Dates) - IF(I291 = L291, 0, 1)
            )
        )
    ),
    ""
)</f>
        <v/>
      </c>
      <c r="Q291" s="385" t="str">
        <f>IF(
    OR(ISBLANK(L291), ISBLANK(M291)),
    "",
    MAX(
        1,
        IF(
            NETWORKDAYS(L291, M291, Holiday_Dates) &lt;= 0,
            1,
            NETWORKDAYS(L291, M291, Holiday_Dates) - IF(L291 = M291, 0, 1)
        )
    )
)</f>
        <v/>
      </c>
      <c r="R291" s="385" t="str">
        <f>IFERROR(
    IF(
        OR(ISBLANK(N291), AND(ISBLANK(L291), ISBLANK(M291))),
        "",
        MAX(
            1,
            IF(
                NETWORKDAYS(IF(NOT(ISBLANK(M291)), M291, L291), N291, Holiday_Dates) &lt;= 0,
                1,
                NETWORKDAYS(IF(NOT(ISBLANK(M291)), M291, L291), N291, Holiday_Dates)
                - IF(IF(NOT(ISBLANK(M291)), M291, L291) = N291, 0, 1)
            )
        )
    ),
    ""
)</f>
        <v/>
      </c>
      <c r="S291" s="385" t="str">
        <f>IFERROR(
    IF(
        OR(ISBLANK(N291), ISBLANK(O291)),
        "",
        MAX(
            1,
            IF(
                NETWORKDAYS(N291, O291, Holiday_Dates) &lt;= 0,
                1,
                NETWORKDAYS(N291, O291, Holiday_Dates) - IF(N291 = O291, 0, 1)
            )
        )
    ),
    ""
)</f>
        <v/>
      </c>
      <c r="T291" s="385"/>
      <c r="U291" s="385" t="s">
        <v>672</v>
      </c>
      <c r="V291" s="385" t="s">
        <v>1676</v>
      </c>
      <c r="W291" s="385" t="s">
        <v>1436</v>
      </c>
      <c r="X291" s="1"/>
    </row>
    <row r="292" spans="1:24">
      <c r="A292" s="385" t="s">
        <v>48</v>
      </c>
      <c r="B292" s="385" t="s">
        <v>336</v>
      </c>
      <c r="C292" s="385" t="s">
        <v>762</v>
      </c>
      <c r="D292" s="385" t="s">
        <v>88</v>
      </c>
      <c r="E292" s="385"/>
      <c r="F292" s="385"/>
      <c r="G292" s="385"/>
      <c r="H292" s="385">
        <v>2025</v>
      </c>
      <c r="I292" s="386">
        <v>45909</v>
      </c>
      <c r="J292" s="30" t="s">
        <v>4672</v>
      </c>
      <c r="K292" s="385"/>
      <c r="L292" s="385"/>
      <c r="M292" s="385"/>
      <c r="N292" s="385"/>
      <c r="O292" s="385"/>
      <c r="P292" s="385" t="str">
        <f>IFERROR(
    IF(
        OR(ISBLANK(I292), ISBLANK(L292)),
        "",
        MAX(
            1,
            IF(
                NETWORKDAYS(I292, L292, Holiday_Dates) &lt;= 0,
                1,
                NETWORKDAYS(I292, L292, Holiday_Dates) - IF(I292 = L292, 0, 1)
            )
        )
    ),
    ""
)</f>
        <v/>
      </c>
      <c r="Q292" s="385" t="str">
        <f>IF(
    OR(ISBLANK(L292), ISBLANK(M292)),
    "",
    MAX(
        1,
        IF(
            NETWORKDAYS(L292, M292, Holiday_Dates) &lt;= 0,
            1,
            NETWORKDAYS(L292, M292, Holiday_Dates) - IF(L292 = M292, 0, 1)
        )
    )
)</f>
        <v/>
      </c>
      <c r="R292" s="385" t="str">
        <f>IFERROR(
    IF(
        OR(ISBLANK(N292), AND(ISBLANK(L292), ISBLANK(M292))),
        "",
        MAX(
            1,
            IF(
                NETWORKDAYS(IF(NOT(ISBLANK(M292)), M292, L292), N292, Holiday_Dates) &lt;= 0,
                1,
                NETWORKDAYS(IF(NOT(ISBLANK(M292)), M292, L292), N292, Holiday_Dates)
                - IF(IF(NOT(ISBLANK(M292)), M292, L292) = N292, 0, 1)
            )
        )
    ),
    ""
)</f>
        <v/>
      </c>
      <c r="S292" s="385" t="str">
        <f>IFERROR(
    IF(
        OR(ISBLANK(N292), ISBLANK(O292)),
        "",
        MAX(
            1,
            IF(
                NETWORKDAYS(N292, O292, Holiday_Dates) &lt;= 0,
                1,
                NETWORKDAYS(N292, O292, Holiday_Dates) - IF(N292 = O292, 0, 1)
            )
        )
    ),
    ""
)</f>
        <v/>
      </c>
      <c r="T292" s="385"/>
      <c r="U292" s="385" t="s">
        <v>4</v>
      </c>
      <c r="V292" s="385" t="s">
        <v>101</v>
      </c>
      <c r="W292" s="385" t="s">
        <v>1436</v>
      </c>
      <c r="X292" s="1"/>
    </row>
    <row r="293" spans="1:24">
      <c r="A293" s="385" t="s">
        <v>48</v>
      </c>
      <c r="B293" s="385" t="s">
        <v>336</v>
      </c>
      <c r="C293" s="385" t="s">
        <v>1059</v>
      </c>
      <c r="D293" s="385" t="s">
        <v>88</v>
      </c>
      <c r="E293" s="385"/>
      <c r="F293" s="385"/>
      <c r="G293" s="385"/>
      <c r="H293" s="385">
        <v>2025</v>
      </c>
      <c r="I293" s="386">
        <v>45896</v>
      </c>
      <c r="J293" s="30" t="s">
        <v>4673</v>
      </c>
      <c r="K293" s="385"/>
      <c r="L293" s="385"/>
      <c r="M293" s="385"/>
      <c r="N293" s="385"/>
      <c r="O293" s="385"/>
      <c r="P293" s="385" t="str">
        <f>IFERROR(
    IF(
        OR(ISBLANK(I293), ISBLANK(L293)),
        "",
        MAX(
            1,
            IF(
                NETWORKDAYS(I293, L293, Holiday_Dates) &lt;= 0,
                1,
                NETWORKDAYS(I293, L293, Holiday_Dates) - IF(I293 = L293, 0, 1)
            )
        )
    ),
    ""
)</f>
        <v/>
      </c>
      <c r="Q293" s="385" t="str">
        <f>IF(
    OR(ISBLANK(L293), ISBLANK(M293)),
    "",
    MAX(
        1,
        IF(
            NETWORKDAYS(L293, M293, Holiday_Dates) &lt;= 0,
            1,
            NETWORKDAYS(L293, M293, Holiday_Dates) - IF(L293 = M293, 0, 1)
        )
    )
)</f>
        <v/>
      </c>
      <c r="R293" s="385" t="str">
        <f>IFERROR(
    IF(
        OR(ISBLANK(N293), AND(ISBLANK(L293), ISBLANK(M293))),
        "",
        MAX(
            1,
            IF(
                NETWORKDAYS(IF(NOT(ISBLANK(M293)), M293, L293), N293, Holiday_Dates) &lt;= 0,
                1,
                NETWORKDAYS(IF(NOT(ISBLANK(M293)), M293, L293), N293, Holiday_Dates)
                - IF(IF(NOT(ISBLANK(M293)), M293, L293) = N293, 0, 1)
            )
        )
    ),
    ""
)</f>
        <v/>
      </c>
      <c r="S293" s="385" t="str">
        <f>IFERROR(
    IF(
        OR(ISBLANK(N293), ISBLANK(O293)),
        "",
        MAX(
            1,
            IF(
                NETWORKDAYS(N293, O293, Holiday_Dates) &lt;= 0,
                1,
                NETWORKDAYS(N293, O293, Holiday_Dates) - IF(N293 = O293, 0, 1)
            )
        )
    ),
    ""
)</f>
        <v/>
      </c>
      <c r="T293" s="385"/>
      <c r="U293" s="385" t="s">
        <v>672</v>
      </c>
      <c r="V293" s="385" t="s">
        <v>101</v>
      </c>
      <c r="W293" s="385" t="s">
        <v>1436</v>
      </c>
      <c r="X293" s="1"/>
    </row>
    <row r="294" spans="1:24">
      <c r="A294" s="385" t="s">
        <v>48</v>
      </c>
      <c r="B294" s="385" t="s">
        <v>336</v>
      </c>
      <c r="C294" s="385" t="s">
        <v>2004</v>
      </c>
      <c r="D294" s="385" t="s">
        <v>88</v>
      </c>
      <c r="E294" s="385"/>
      <c r="F294" s="385"/>
      <c r="G294" s="385"/>
      <c r="H294" s="385">
        <v>2024</v>
      </c>
      <c r="I294" s="385" t="s">
        <v>2005</v>
      </c>
      <c r="J294" s="30"/>
      <c r="K294" s="385"/>
      <c r="L294" s="385"/>
      <c r="M294" s="385"/>
      <c r="N294" s="385"/>
      <c r="O294" s="385"/>
      <c r="P294" s="385" t="str">
        <f>IFERROR(
    IF(
        OR(ISBLANK(I294), ISBLANK(L294)),
        "",
        MAX(
            1,
            IF(
                NETWORKDAYS(I294, L294, Holiday_Dates) &lt;= 0,
                1,
                NETWORKDAYS(I294, L294, Holiday_Dates) - IF(I294 = L294, 0, 1)
            )
        )
    ),
    ""
)</f>
        <v/>
      </c>
      <c r="Q294" s="385" t="str">
        <f>IF(
    OR(ISBLANK(L294), ISBLANK(M294)),
    "",
    MAX(
        1,
        IF(
            NETWORKDAYS(L294, M294, Holiday_Dates) &lt;= 0,
            1,
            NETWORKDAYS(L294, M294, Holiday_Dates) - IF(L294 = M294, 0, 1)
        )
    )
)</f>
        <v/>
      </c>
      <c r="R294" s="385" t="str">
        <f>IFERROR(
    IF(
        OR(ISBLANK(N294), AND(ISBLANK(L294), ISBLANK(M294))),
        "",
        MAX(
            1,
            IF(
                NETWORKDAYS(IF(NOT(ISBLANK(M294)), M294, L294), N294, Holiday_Dates) &lt;= 0,
                1,
                NETWORKDAYS(IF(NOT(ISBLANK(M294)), M294, L294), N294, Holiday_Dates)
                - IF(IF(NOT(ISBLANK(M294)), M294, L294) = N294, 0, 1)
            )
        )
    ),
    ""
)</f>
        <v/>
      </c>
      <c r="S294" s="385" t="str">
        <f>IFERROR(
    IF(
        OR(ISBLANK(N294), ISBLANK(O294)),
        "",
        MAX(
            1,
            IF(
                NETWORKDAYS(N294, O294, Holiday_Dates) &lt;= 0,
                1,
                NETWORKDAYS(N294, O294, Holiday_Dates) - IF(N294 = O294, 0, 1)
            )
        )
    ),
    ""
)</f>
        <v/>
      </c>
      <c r="T294" s="385"/>
      <c r="U294" s="385" t="s">
        <v>672</v>
      </c>
      <c r="V294" s="385" t="s">
        <v>101</v>
      </c>
      <c r="W294" s="385" t="s">
        <v>1436</v>
      </c>
      <c r="X294" s="1"/>
    </row>
    <row r="295" spans="1:24">
      <c r="A295" s="385" t="s">
        <v>48</v>
      </c>
      <c r="B295" s="385" t="s">
        <v>336</v>
      </c>
      <c r="C295" s="385" t="s">
        <v>926</v>
      </c>
      <c r="D295" s="385" t="s">
        <v>88</v>
      </c>
      <c r="E295" s="385"/>
      <c r="F295" s="385"/>
      <c r="G295" s="385"/>
      <c r="H295" s="385">
        <v>2025</v>
      </c>
      <c r="I295" s="386">
        <v>45678</v>
      </c>
      <c r="J295" s="30" t="s">
        <v>4674</v>
      </c>
      <c r="K295" s="385"/>
      <c r="L295" s="385"/>
      <c r="M295" s="385"/>
      <c r="N295" s="385"/>
      <c r="O295" s="385"/>
      <c r="P295" s="385" t="str">
        <f>IFERROR(
    IF(
        OR(ISBLANK(I295), ISBLANK(L295)),
        "",
        MAX(
            1,
            IF(
                NETWORKDAYS(I295, L295, Holiday_Dates) &lt;= 0,
                1,
                NETWORKDAYS(I295, L295, Holiday_Dates) - IF(I295 = L295, 0, 1)
            )
        )
    ),
    ""
)</f>
        <v/>
      </c>
      <c r="Q295" s="385" t="str">
        <f>IF(
    OR(ISBLANK(L295), ISBLANK(M295)),
    "",
    MAX(
        1,
        IF(
            NETWORKDAYS(L295, M295, Holiday_Dates) &lt;= 0,
            1,
            NETWORKDAYS(L295, M295, Holiday_Dates) - IF(L295 = M295, 0, 1)
        )
    )
)</f>
        <v/>
      </c>
      <c r="R295" s="385" t="str">
        <f>IFERROR(
    IF(
        OR(ISBLANK(N295), AND(ISBLANK(L295), ISBLANK(M295))),
        "",
        MAX(
            1,
            IF(
                NETWORKDAYS(IF(NOT(ISBLANK(M295)), M295, L295), N295, Holiday_Dates) &lt;= 0,
                1,
                NETWORKDAYS(IF(NOT(ISBLANK(M295)), M295, L295), N295, Holiday_Dates)
                - IF(IF(NOT(ISBLANK(M295)), M295, L295) = N295, 0, 1)
            )
        )
    ),
    ""
)</f>
        <v/>
      </c>
      <c r="S295" s="385" t="str">
        <f>IFERROR(
    IF(
        OR(ISBLANK(N295), ISBLANK(O295)),
        "",
        MAX(
            1,
            IF(
                NETWORKDAYS(N295, O295, Holiday_Dates) &lt;= 0,
                1,
                NETWORKDAYS(N295, O295, Holiday_Dates) - IF(N295 = O295, 0, 1)
            )
        )
    ),
    ""
)</f>
        <v/>
      </c>
      <c r="T295" s="385"/>
      <c r="U295" s="385" t="s">
        <v>672</v>
      </c>
      <c r="V295" s="385" t="s">
        <v>108</v>
      </c>
      <c r="W295" s="385" t="s">
        <v>1436</v>
      </c>
      <c r="X295" s="1"/>
    </row>
    <row r="296" spans="1:24">
      <c r="A296" s="385" t="s">
        <v>48</v>
      </c>
      <c r="B296" s="385" t="s">
        <v>336</v>
      </c>
      <c r="C296" s="385" t="s">
        <v>1998</v>
      </c>
      <c r="D296" s="385" t="s">
        <v>88</v>
      </c>
      <c r="E296" s="385"/>
      <c r="F296" s="385"/>
      <c r="G296" s="385"/>
      <c r="H296" s="385">
        <v>2024</v>
      </c>
      <c r="I296" s="386">
        <v>45595</v>
      </c>
      <c r="J296" s="30"/>
      <c r="K296" s="385"/>
      <c r="L296" s="385"/>
      <c r="M296" s="385"/>
      <c r="N296" s="385"/>
      <c r="O296" s="385"/>
      <c r="P296" s="385" t="str">
        <f>IFERROR(
    IF(
        OR(ISBLANK(I296), ISBLANK(L296)),
        "",
        MAX(
            1,
            IF(
                NETWORKDAYS(I296, L296, Holiday_Dates) &lt;= 0,
                1,
                NETWORKDAYS(I296, L296, Holiday_Dates) - IF(I296 = L296, 0, 1)
            )
        )
    ),
    ""
)</f>
        <v/>
      </c>
      <c r="Q296" s="385" t="str">
        <f>IF(
    OR(ISBLANK(L296), ISBLANK(M296)),
    "",
    MAX(
        1,
        IF(
            NETWORKDAYS(L296, M296, Holiday_Dates) &lt;= 0,
            1,
            NETWORKDAYS(L296, M296, Holiday_Dates) - IF(L296 = M296, 0, 1)
        )
    )
)</f>
        <v/>
      </c>
      <c r="R296" s="385" t="str">
        <f>IFERROR(
    IF(
        OR(ISBLANK(N296), AND(ISBLANK(L296), ISBLANK(M296))),
        "",
        MAX(
            1,
            IF(
                NETWORKDAYS(IF(NOT(ISBLANK(M296)), M296, L296), N296, Holiday_Dates) &lt;= 0,
                1,
                NETWORKDAYS(IF(NOT(ISBLANK(M296)), M296, L296), N296, Holiday_Dates)
                - IF(IF(NOT(ISBLANK(M296)), M296, L296) = N296, 0, 1)
            )
        )
    ),
    ""
)</f>
        <v/>
      </c>
      <c r="S296" s="385" t="str">
        <f>IFERROR(
    IF(
        OR(ISBLANK(N296), ISBLANK(O296)),
        "",
        MAX(
            1,
            IF(
                NETWORKDAYS(N296, O296, Holiday_Dates) &lt;= 0,
                1,
                NETWORKDAYS(N296, O296, Holiday_Dates) - IF(N296 = O296, 0, 1)
            )
        )
    ),
    ""
)</f>
        <v/>
      </c>
      <c r="T296" s="385"/>
      <c r="U296" s="385" t="s">
        <v>672</v>
      </c>
      <c r="V296" s="385" t="s">
        <v>101</v>
      </c>
      <c r="W296" s="385" t="s">
        <v>1436</v>
      </c>
      <c r="X296" s="1"/>
    </row>
    <row r="297" spans="1:24">
      <c r="A297" s="385" t="s">
        <v>48</v>
      </c>
      <c r="B297" s="385" t="s">
        <v>336</v>
      </c>
      <c r="C297" s="385" t="s">
        <v>520</v>
      </c>
      <c r="D297" s="385" t="s">
        <v>88</v>
      </c>
      <c r="E297" s="385"/>
      <c r="F297" s="385"/>
      <c r="G297" s="385"/>
      <c r="H297" s="385">
        <v>2025</v>
      </c>
      <c r="I297" s="386">
        <v>45937</v>
      </c>
      <c r="J297" s="30" t="s">
        <v>4675</v>
      </c>
      <c r="K297" s="385"/>
      <c r="L297" s="385"/>
      <c r="M297" s="385"/>
      <c r="N297" s="385"/>
      <c r="O297" s="385"/>
      <c r="P297" s="385" t="str">
        <f>IFERROR(
    IF(
        OR(ISBLANK(I297), ISBLANK(L297)),
        "",
        MAX(
            1,
            IF(
                NETWORKDAYS(I297, L297, Holiday_Dates) &lt;= 0,
                1,
                NETWORKDAYS(I297, L297, Holiday_Dates) - IF(I297 = L297, 0, 1)
            )
        )
    ),
    ""
)</f>
        <v/>
      </c>
      <c r="Q297" s="385" t="str">
        <f>IF(
    OR(ISBLANK(L297), ISBLANK(M297)),
    "",
    MAX(
        1,
        IF(
            NETWORKDAYS(L297, M297, Holiday_Dates) &lt;= 0,
            1,
            NETWORKDAYS(L297, M297, Holiday_Dates) - IF(L297 = M297, 0, 1)
        )
    )
)</f>
        <v/>
      </c>
      <c r="R297" s="385" t="str">
        <f>IFERROR(
    IF(
        OR(ISBLANK(N297), AND(ISBLANK(L297), ISBLANK(M297))),
        "",
        MAX(
            1,
            IF(
                NETWORKDAYS(IF(NOT(ISBLANK(M297)), M297, L297), N297, Holiday_Dates) &lt;= 0,
                1,
                NETWORKDAYS(IF(NOT(ISBLANK(M297)), M297, L297), N297, Holiday_Dates)
                - IF(IF(NOT(ISBLANK(M297)), M297, L297) = N297, 0, 1)
            )
        )
    ),
    ""
)</f>
        <v/>
      </c>
      <c r="S297" s="385" t="str">
        <f>IFERROR(
    IF(
        OR(ISBLANK(N297), ISBLANK(O297)),
        "",
        MAX(
            1,
            IF(
                NETWORKDAYS(N297, O297, Holiday_Dates) &lt;= 0,
                1,
                NETWORKDAYS(N297, O297, Holiday_Dates) - IF(N297 = O297, 0, 1)
            )
        )
    ),
    ""
)</f>
        <v/>
      </c>
      <c r="T297" s="385"/>
      <c r="U297" s="385" t="s">
        <v>672</v>
      </c>
      <c r="V297" s="385" t="s">
        <v>101</v>
      </c>
      <c r="W297" s="385" t="s">
        <v>1436</v>
      </c>
      <c r="X297" s="1"/>
    </row>
    <row r="298" spans="1:24">
      <c r="A298" s="385" t="s">
        <v>48</v>
      </c>
      <c r="B298" s="385" t="s">
        <v>336</v>
      </c>
      <c r="C298" s="385" t="s">
        <v>2000</v>
      </c>
      <c r="D298" s="385" t="s">
        <v>88</v>
      </c>
      <c r="E298" s="385"/>
      <c r="F298" s="385"/>
      <c r="G298" s="385"/>
      <c r="H298" s="385">
        <v>2025</v>
      </c>
      <c r="I298" s="386">
        <v>45847</v>
      </c>
      <c r="J298" s="30" t="s">
        <v>4676</v>
      </c>
      <c r="K298" s="385"/>
      <c r="L298" s="385"/>
      <c r="M298" s="385"/>
      <c r="N298" s="385"/>
      <c r="O298" s="385"/>
      <c r="P298" s="385" t="str">
        <f>IFERROR(
    IF(
        OR(ISBLANK(I298), ISBLANK(L298)),
        "",
        MAX(
            1,
            IF(
                NETWORKDAYS(I298, L298, Holiday_Dates) &lt;= 0,
                1,
                NETWORKDAYS(I298, L298, Holiday_Dates) - IF(I298 = L298, 0, 1)
            )
        )
    ),
    ""
)</f>
        <v/>
      </c>
      <c r="Q298" s="385" t="str">
        <f>IF(
    OR(ISBLANK(L298), ISBLANK(M298)),
    "",
    MAX(
        1,
        IF(
            NETWORKDAYS(L298, M298, Holiday_Dates) &lt;= 0,
            1,
            NETWORKDAYS(L298, M298, Holiday_Dates) - IF(L298 = M298, 0, 1)
        )
    )
)</f>
        <v/>
      </c>
      <c r="R298" s="385" t="str">
        <f>IFERROR(
    IF(
        OR(ISBLANK(N298), AND(ISBLANK(L298), ISBLANK(M298))),
        "",
        MAX(
            1,
            IF(
                NETWORKDAYS(IF(NOT(ISBLANK(M298)), M298, L298), N298, Holiday_Dates) &lt;= 0,
                1,
                NETWORKDAYS(IF(NOT(ISBLANK(M298)), M298, L298), N298, Holiday_Dates)
                - IF(IF(NOT(ISBLANK(M298)), M298, L298) = N298, 0, 1)
            )
        )
    ),
    ""
)</f>
        <v/>
      </c>
      <c r="S298" s="385" t="str">
        <f>IFERROR(
    IF(
        OR(ISBLANK(N298), ISBLANK(O298)),
        "",
        MAX(
            1,
            IF(
                NETWORKDAYS(N298, O298, Holiday_Dates) &lt;= 0,
                1,
                NETWORKDAYS(N298, O298, Holiday_Dates) - IF(N298 = O298, 0, 1)
            )
        )
    ),
    ""
)</f>
        <v/>
      </c>
      <c r="T298" s="385"/>
      <c r="U298" s="385" t="s">
        <v>4</v>
      </c>
      <c r="V298" s="385" t="s">
        <v>101</v>
      </c>
      <c r="W298" s="385" t="s">
        <v>1436</v>
      </c>
      <c r="X298" s="1"/>
    </row>
    <row r="299" spans="1:24">
      <c r="A299" s="385" t="s">
        <v>48</v>
      </c>
      <c r="B299" s="385" t="s">
        <v>336</v>
      </c>
      <c r="C299" s="385" t="s">
        <v>1981</v>
      </c>
      <c r="D299" s="385" t="s">
        <v>88</v>
      </c>
      <c r="E299" s="385"/>
      <c r="F299" s="385"/>
      <c r="G299" s="385"/>
      <c r="H299" s="385">
        <v>2025</v>
      </c>
      <c r="I299" s="386">
        <v>45946</v>
      </c>
      <c r="J299" s="30" t="s">
        <v>4677</v>
      </c>
      <c r="K299" s="385"/>
      <c r="L299" s="385"/>
      <c r="M299" s="385"/>
      <c r="N299" s="385"/>
      <c r="O299" s="385"/>
      <c r="P299" s="385" t="str">
        <f>IFERROR(
    IF(
        OR(ISBLANK(I299), ISBLANK(L299)),
        "",
        MAX(
            1,
            IF(
                NETWORKDAYS(I299, L299, Holiday_Dates) &lt;= 0,
                1,
                NETWORKDAYS(I299, L299, Holiday_Dates) - IF(I299 = L299, 0, 1)
            )
        )
    ),
    ""
)</f>
        <v/>
      </c>
      <c r="Q299" s="385" t="str">
        <f>IF(
    OR(ISBLANK(L299), ISBLANK(M299)),
    "",
    MAX(
        1,
        IF(
            NETWORKDAYS(L299, M299, Holiday_Dates) &lt;= 0,
            1,
            NETWORKDAYS(L299, M299, Holiday_Dates) - IF(L299 = M299, 0, 1)
        )
    )
)</f>
        <v/>
      </c>
      <c r="R299" s="385" t="str">
        <f>IFERROR(
    IF(
        OR(ISBLANK(N299), AND(ISBLANK(L299), ISBLANK(M299))),
        "",
        MAX(
            1,
            IF(
                NETWORKDAYS(IF(NOT(ISBLANK(M299)), M299, L299), N299, Holiday_Dates) &lt;= 0,
                1,
                NETWORKDAYS(IF(NOT(ISBLANK(M299)), M299, L299), N299, Holiday_Dates)
                - IF(IF(NOT(ISBLANK(M299)), M299, L299) = N299, 0, 1)
            )
        )
    ),
    ""
)</f>
        <v/>
      </c>
      <c r="S299" s="385" t="str">
        <f>IFERROR(
    IF(
        OR(ISBLANK(N299), ISBLANK(O299)),
        "",
        MAX(
            1,
            IF(
                NETWORKDAYS(N299, O299, Holiday_Dates) &lt;= 0,
                1,
                NETWORKDAYS(N299, O299, Holiday_Dates) - IF(N299 = O299, 0, 1)
            )
        )
    ),
    ""
)</f>
        <v/>
      </c>
      <c r="T299" s="385"/>
      <c r="U299" s="385" t="s">
        <v>672</v>
      </c>
      <c r="V299" s="385" t="s">
        <v>1676</v>
      </c>
      <c r="W299" s="385" t="s">
        <v>1436</v>
      </c>
      <c r="X299" s="1"/>
    </row>
    <row r="300" spans="1:24">
      <c r="A300" s="385" t="s">
        <v>48</v>
      </c>
      <c r="B300" s="385" t="s">
        <v>484</v>
      </c>
      <c r="C300" s="385" t="s">
        <v>2008</v>
      </c>
      <c r="D300" s="385" t="s">
        <v>88</v>
      </c>
      <c r="E300" s="385"/>
      <c r="F300" s="385"/>
      <c r="G300" s="385"/>
      <c r="H300" s="385">
        <v>2025</v>
      </c>
      <c r="I300" s="386">
        <v>45708</v>
      </c>
      <c r="J300" s="30" t="s">
        <v>4678</v>
      </c>
      <c r="K300" s="385"/>
      <c r="L300" s="385"/>
      <c r="M300" s="385"/>
      <c r="N300" s="385"/>
      <c r="O300" s="385"/>
      <c r="P300" s="385" t="str">
        <f>IFERROR(
    IF(
        OR(ISBLANK(I300), ISBLANK(L300)),
        "",
        MAX(
            1,
            IF(
                NETWORKDAYS(I300, L300, Holiday_Dates) &lt;= 0,
                1,
                NETWORKDAYS(I300, L300, Holiday_Dates) - IF(I300 = L300, 0, 1)
            )
        )
    ),
    ""
)</f>
        <v/>
      </c>
      <c r="Q300" s="385" t="str">
        <f>IF(
    OR(ISBLANK(L300), ISBLANK(M300)),
    "",
    MAX(
        1,
        IF(
            NETWORKDAYS(L300, M300, Holiday_Dates) &lt;= 0,
            1,
            NETWORKDAYS(L300, M300, Holiday_Dates) - IF(L300 = M300, 0, 1)
        )
    )
)</f>
        <v/>
      </c>
      <c r="R300" s="385" t="str">
        <f>IFERROR(
    IF(
        OR(ISBLANK(N300), AND(ISBLANK(L300), ISBLANK(M300))),
        "",
        MAX(
            1,
            IF(
                NETWORKDAYS(IF(NOT(ISBLANK(M300)), M300, L300), N300, Holiday_Dates) &lt;= 0,
                1,
                NETWORKDAYS(IF(NOT(ISBLANK(M300)), M300, L300), N300, Holiday_Dates)
                - IF(IF(NOT(ISBLANK(M300)), M300, L300) = N300, 0, 1)
            )
        )
    ),
    ""
)</f>
        <v/>
      </c>
      <c r="S300" s="385" t="str">
        <f>IFERROR(
    IF(
        OR(ISBLANK(N300), ISBLANK(O300)),
        "",
        MAX(
            1,
            IF(
                NETWORKDAYS(N300, O300, Holiday_Dates) &lt;= 0,
                1,
                NETWORKDAYS(N300, O300, Holiday_Dates) - IF(N300 = O300, 0, 1)
            )
        )
    ),
    ""
)</f>
        <v/>
      </c>
      <c r="T300" s="385"/>
      <c r="U300" s="385" t="s">
        <v>672</v>
      </c>
      <c r="V300" s="385" t="s">
        <v>101</v>
      </c>
      <c r="W300" s="385" t="s">
        <v>1436</v>
      </c>
      <c r="X300" s="1"/>
    </row>
    <row r="301" spans="1:24">
      <c r="A301" s="385" t="s">
        <v>48</v>
      </c>
      <c r="B301" s="385" t="s">
        <v>484</v>
      </c>
      <c r="C301" s="385" t="s">
        <v>1268</v>
      </c>
      <c r="D301" s="385" t="s">
        <v>88</v>
      </c>
      <c r="E301" s="385"/>
      <c r="F301" s="385"/>
      <c r="G301" s="385"/>
      <c r="H301" s="385">
        <v>2025</v>
      </c>
      <c r="I301" s="386">
        <v>45848</v>
      </c>
      <c r="J301" s="30" t="s">
        <v>4679</v>
      </c>
      <c r="K301" s="385"/>
      <c r="L301" s="385"/>
      <c r="M301" s="385"/>
      <c r="N301" s="385"/>
      <c r="O301" s="385"/>
      <c r="P301" s="385" t="str">
        <f>IFERROR(
    IF(
        OR(ISBLANK(I301), ISBLANK(L301)),
        "",
        MAX(
            1,
            IF(
                NETWORKDAYS(I301, L301, Holiday_Dates) &lt;= 0,
                1,
                NETWORKDAYS(I301, L301, Holiday_Dates) - IF(I301 = L301, 0, 1)
            )
        )
    ),
    ""
)</f>
        <v/>
      </c>
      <c r="Q301" s="385" t="str">
        <f>IF(
    OR(ISBLANK(L301), ISBLANK(M301)),
    "",
    MAX(
        1,
        IF(
            NETWORKDAYS(L301, M301, Holiday_Dates) &lt;= 0,
            1,
            NETWORKDAYS(L301, M301, Holiday_Dates) - IF(L301 = M301, 0, 1)
        )
    )
)</f>
        <v/>
      </c>
      <c r="R301" s="385" t="str">
        <f>IFERROR(
    IF(
        OR(ISBLANK(N301), AND(ISBLANK(L301), ISBLANK(M301))),
        "",
        MAX(
            1,
            IF(
                NETWORKDAYS(IF(NOT(ISBLANK(M301)), M301, L301), N301, Holiday_Dates) &lt;= 0,
                1,
                NETWORKDAYS(IF(NOT(ISBLANK(M301)), M301, L301), N301, Holiday_Dates)
                - IF(IF(NOT(ISBLANK(M301)), M301, L301) = N301, 0, 1)
            )
        )
    ),
    ""
)</f>
        <v/>
      </c>
      <c r="S301" s="385" t="str">
        <f>IFERROR(
    IF(
        OR(ISBLANK(N301), ISBLANK(O301)),
        "",
        MAX(
            1,
            IF(
                NETWORKDAYS(N301, O301, Holiday_Dates) &lt;= 0,
                1,
                NETWORKDAYS(N301, O301, Holiday_Dates) - IF(N301 = O301, 0, 1)
            )
        )
    ),
    ""
)</f>
        <v/>
      </c>
      <c r="T301" s="385"/>
      <c r="U301" s="385" t="s">
        <v>672</v>
      </c>
      <c r="V301" s="385" t="s">
        <v>1676</v>
      </c>
      <c r="W301" s="385" t="s">
        <v>1436</v>
      </c>
      <c r="X301" s="1"/>
    </row>
    <row r="302" spans="1:24">
      <c r="A302" s="385" t="s">
        <v>48</v>
      </c>
      <c r="B302" s="385" t="s">
        <v>484</v>
      </c>
      <c r="C302" s="385" t="s">
        <v>2009</v>
      </c>
      <c r="D302" s="385" t="s">
        <v>88</v>
      </c>
      <c r="E302" s="385"/>
      <c r="F302" s="385"/>
      <c r="G302" s="385"/>
      <c r="H302" s="385">
        <v>2024</v>
      </c>
      <c r="I302" s="385" t="s">
        <v>2010</v>
      </c>
      <c r="J302" s="30"/>
      <c r="K302" s="385"/>
      <c r="L302" s="385"/>
      <c r="M302" s="385"/>
      <c r="N302" s="385"/>
      <c r="O302" s="385"/>
      <c r="P302" s="385" t="str">
        <f>IFERROR(
    IF(
        OR(ISBLANK(I302), ISBLANK(L302)),
        "",
        MAX(
            1,
            IF(
                NETWORKDAYS(I302, L302, Holiday_Dates) &lt;= 0,
                1,
                NETWORKDAYS(I302, L302, Holiday_Dates) - IF(I302 = L302, 0, 1)
            )
        )
    ),
    ""
)</f>
        <v/>
      </c>
      <c r="Q302" s="385" t="str">
        <f>IF(
    OR(ISBLANK(L302), ISBLANK(M302)),
    "",
    MAX(
        1,
        IF(
            NETWORKDAYS(L302, M302, Holiday_Dates) &lt;= 0,
            1,
            NETWORKDAYS(L302, M302, Holiday_Dates) - IF(L302 = M302, 0, 1)
        )
    )
)</f>
        <v/>
      </c>
      <c r="R302" s="385" t="str">
        <f>IFERROR(
    IF(
        OR(ISBLANK(N302), AND(ISBLANK(L302), ISBLANK(M302))),
        "",
        MAX(
            1,
            IF(
                NETWORKDAYS(IF(NOT(ISBLANK(M302)), M302, L302), N302, Holiday_Dates) &lt;= 0,
                1,
                NETWORKDAYS(IF(NOT(ISBLANK(M302)), M302, L302), N302, Holiday_Dates)
                - IF(IF(NOT(ISBLANK(M302)), M302, L302) = N302, 0, 1)
            )
        )
    ),
    ""
)</f>
        <v/>
      </c>
      <c r="S302" s="385" t="str">
        <f>IFERROR(
    IF(
        OR(ISBLANK(N302), ISBLANK(O302)),
        "",
        MAX(
            1,
            IF(
                NETWORKDAYS(N302, O302, Holiday_Dates) &lt;= 0,
                1,
                NETWORKDAYS(N302, O302, Holiday_Dates) - IF(N302 = O302, 0, 1)
            )
        )
    ),
    ""
)</f>
        <v/>
      </c>
      <c r="T302" s="385"/>
      <c r="U302" s="385" t="s">
        <v>4</v>
      </c>
      <c r="V302" s="385" t="s">
        <v>108</v>
      </c>
      <c r="W302" s="385" t="s">
        <v>1436</v>
      </c>
      <c r="X302" s="1"/>
    </row>
    <row r="303" spans="1:24">
      <c r="A303" s="385" t="s">
        <v>48</v>
      </c>
      <c r="B303" s="385" t="s">
        <v>484</v>
      </c>
      <c r="C303" s="385" t="s">
        <v>926</v>
      </c>
      <c r="D303" s="385" t="s">
        <v>88</v>
      </c>
      <c r="E303" s="385"/>
      <c r="F303" s="385"/>
      <c r="G303" s="385"/>
      <c r="H303" s="385">
        <v>2024</v>
      </c>
      <c r="I303" s="385" t="s">
        <v>1887</v>
      </c>
      <c r="J303" s="30"/>
      <c r="K303" s="385"/>
      <c r="L303" s="385"/>
      <c r="M303" s="385"/>
      <c r="N303" s="385"/>
      <c r="O303" s="385"/>
      <c r="P303" s="385" t="str">
        <f>IFERROR(
    IF(
        OR(ISBLANK(I303), ISBLANK(L303)),
        "",
        MAX(
            1,
            IF(
                NETWORKDAYS(I303, L303, Holiday_Dates) &lt;= 0,
                1,
                NETWORKDAYS(I303, L303, Holiday_Dates) - IF(I303 = L303, 0, 1)
            )
        )
    ),
    ""
)</f>
        <v/>
      </c>
      <c r="Q303" s="385" t="str">
        <f>IF(
    OR(ISBLANK(L303), ISBLANK(M303)),
    "",
    MAX(
        1,
        IF(
            NETWORKDAYS(L303, M303, Holiday_Dates) &lt;= 0,
            1,
            NETWORKDAYS(L303, M303, Holiday_Dates) - IF(L303 = M303, 0, 1)
        )
    )
)</f>
        <v/>
      </c>
      <c r="R303" s="385" t="str">
        <f>IFERROR(
    IF(
        OR(ISBLANK(N303), AND(ISBLANK(L303), ISBLANK(M303))),
        "",
        MAX(
            1,
            IF(
                NETWORKDAYS(IF(NOT(ISBLANK(M303)), M303, L303), N303, Holiday_Dates) &lt;= 0,
                1,
                NETWORKDAYS(IF(NOT(ISBLANK(M303)), M303, L303), N303, Holiday_Dates)
                - IF(IF(NOT(ISBLANK(M303)), M303, L303) = N303, 0, 1)
            )
        )
    ),
    ""
)</f>
        <v/>
      </c>
      <c r="S303" s="385" t="str">
        <f>IFERROR(
    IF(
        OR(ISBLANK(N303), ISBLANK(O303)),
        "",
        MAX(
            1,
            IF(
                NETWORKDAYS(N303, O303, Holiday_Dates) &lt;= 0,
                1,
                NETWORKDAYS(N303, O303, Holiday_Dates) - IF(N303 = O303, 0, 1)
            )
        )
    ),
    ""
)</f>
        <v/>
      </c>
      <c r="T303" s="385"/>
      <c r="U303" s="385" t="s">
        <v>4</v>
      </c>
      <c r="V303" s="385" t="s">
        <v>101</v>
      </c>
      <c r="W303" s="385" t="s">
        <v>1436</v>
      </c>
      <c r="X303" s="1"/>
    </row>
    <row r="304" spans="1:24">
      <c r="A304" s="385" t="s">
        <v>48</v>
      </c>
      <c r="B304" s="385" t="s">
        <v>484</v>
      </c>
      <c r="C304" s="385" t="s">
        <v>794</v>
      </c>
      <c r="D304" s="385" t="s">
        <v>88</v>
      </c>
      <c r="E304" s="385"/>
      <c r="F304" s="385"/>
      <c r="G304" s="385"/>
      <c r="H304" s="385">
        <v>2024</v>
      </c>
      <c r="I304" s="386">
        <v>45582</v>
      </c>
      <c r="J304" s="30"/>
      <c r="K304" s="385"/>
      <c r="L304" s="385"/>
      <c r="M304" s="385"/>
      <c r="N304" s="385"/>
      <c r="O304" s="385"/>
      <c r="P304" s="385" t="str">
        <f>IFERROR(
    IF(
        OR(ISBLANK(I304), ISBLANK(L304)),
        "",
        MAX(
            1,
            IF(
                NETWORKDAYS(I304, L304, Holiday_Dates) &lt;= 0,
                1,
                NETWORKDAYS(I304, L304, Holiday_Dates) - IF(I304 = L304, 0, 1)
            )
        )
    ),
    ""
)</f>
        <v/>
      </c>
      <c r="Q304" s="385" t="str">
        <f>IF(
    OR(ISBLANK(L304), ISBLANK(M304)),
    "",
    MAX(
        1,
        IF(
            NETWORKDAYS(L304, M304, Holiday_Dates) &lt;= 0,
            1,
            NETWORKDAYS(L304, M304, Holiday_Dates) - IF(L304 = M304, 0, 1)
        )
    )
)</f>
        <v/>
      </c>
      <c r="R304" s="385" t="str">
        <f>IFERROR(
    IF(
        OR(ISBLANK(N304), AND(ISBLANK(L304), ISBLANK(M304))),
        "",
        MAX(
            1,
            IF(
                NETWORKDAYS(IF(NOT(ISBLANK(M304)), M304, L304), N304, Holiday_Dates) &lt;= 0,
                1,
                NETWORKDAYS(IF(NOT(ISBLANK(M304)), M304, L304), N304, Holiday_Dates)
                - IF(IF(NOT(ISBLANK(M304)), M304, L304) = N304, 0, 1)
            )
        )
    ),
    ""
)</f>
        <v/>
      </c>
      <c r="S304" s="385" t="str">
        <f>IFERROR(
    IF(
        OR(ISBLANK(N304), ISBLANK(O304)),
        "",
        MAX(
            1,
            IF(
                NETWORKDAYS(N304, O304, Holiday_Dates) &lt;= 0,
                1,
                NETWORKDAYS(N304, O304, Holiday_Dates) - IF(N304 = O304, 0, 1)
            )
        )
    ),
    ""
)</f>
        <v/>
      </c>
      <c r="T304" s="385"/>
      <c r="U304" s="385" t="s">
        <v>672</v>
      </c>
      <c r="V304" s="385" t="s">
        <v>1676</v>
      </c>
      <c r="W304" s="385" t="s">
        <v>1436</v>
      </c>
      <c r="X304" s="1"/>
    </row>
    <row r="305" spans="1:24">
      <c r="A305" s="385" t="s">
        <v>48</v>
      </c>
      <c r="B305" s="385" t="s">
        <v>486</v>
      </c>
      <c r="C305" s="385" t="s">
        <v>2075</v>
      </c>
      <c r="D305" s="385" t="s">
        <v>88</v>
      </c>
      <c r="E305" s="385"/>
      <c r="F305" s="385"/>
      <c r="G305" s="385"/>
      <c r="H305" s="385">
        <v>2024</v>
      </c>
      <c r="I305" s="385" t="s">
        <v>2076</v>
      </c>
      <c r="J305" s="30"/>
      <c r="K305" s="385"/>
      <c r="L305" s="385"/>
      <c r="M305" s="385"/>
      <c r="N305" s="385"/>
      <c r="O305" s="385"/>
      <c r="P305" s="385" t="str">
        <f>IFERROR(
    IF(
        OR(ISBLANK(I305), ISBLANK(L305)),
        "",
        MAX(
            1,
            IF(
                NETWORKDAYS(I305, L305, Holiday_Dates) &lt;= 0,
                1,
                NETWORKDAYS(I305, L305, Holiday_Dates) - IF(I305 = L305, 0, 1)
            )
        )
    ),
    ""
)</f>
        <v/>
      </c>
      <c r="Q305" s="385" t="str">
        <f>IF(
    OR(ISBLANK(L305), ISBLANK(M305)),
    "",
    MAX(
        1,
        IF(
            NETWORKDAYS(L305, M305, Holiday_Dates) &lt;= 0,
            1,
            NETWORKDAYS(L305, M305, Holiday_Dates) - IF(L305 = M305, 0, 1)
        )
    )
)</f>
        <v/>
      </c>
      <c r="R305" s="385" t="str">
        <f>IFERROR(
    IF(
        OR(ISBLANK(N305), AND(ISBLANK(L305), ISBLANK(M305))),
        "",
        MAX(
            1,
            IF(
                NETWORKDAYS(IF(NOT(ISBLANK(M305)), M305, L305), N305, Holiday_Dates) &lt;= 0,
                1,
                NETWORKDAYS(IF(NOT(ISBLANK(M305)), M305, L305), N305, Holiday_Dates)
                - IF(IF(NOT(ISBLANK(M305)), M305, L305) = N305, 0, 1)
            )
        )
    ),
    ""
)</f>
        <v/>
      </c>
      <c r="S305" s="385" t="str">
        <f>IFERROR(
    IF(
        OR(ISBLANK(N305), ISBLANK(O305)),
        "",
        MAX(
            1,
            IF(
                NETWORKDAYS(N305, O305, Holiday_Dates) &lt;= 0,
                1,
                NETWORKDAYS(N305, O305, Holiday_Dates) - IF(N305 = O305, 0, 1)
            )
        )
    ),
    ""
)</f>
        <v/>
      </c>
      <c r="T305" s="385"/>
      <c r="U305" s="385" t="s">
        <v>672</v>
      </c>
      <c r="V305" s="385"/>
      <c r="W305" s="385" t="s">
        <v>1436</v>
      </c>
      <c r="X305" s="1"/>
    </row>
    <row r="306" spans="1:24">
      <c r="A306" s="385" t="s">
        <v>48</v>
      </c>
      <c r="B306" s="385" t="s">
        <v>486</v>
      </c>
      <c r="C306" s="385" t="s">
        <v>2015</v>
      </c>
      <c r="D306" s="385" t="s">
        <v>88</v>
      </c>
      <c r="E306" s="385"/>
      <c r="F306" s="385"/>
      <c r="G306" s="385"/>
      <c r="H306" s="385">
        <v>2024</v>
      </c>
      <c r="I306" s="385" t="s">
        <v>4628</v>
      </c>
      <c r="J306" s="30"/>
      <c r="K306" s="385"/>
      <c r="L306" s="385"/>
      <c r="M306" s="385"/>
      <c r="N306" s="385"/>
      <c r="O306" s="385"/>
      <c r="P306" s="385" t="str">
        <f>IFERROR(
    IF(
        OR(ISBLANK(I306), ISBLANK(L306)),
        "",
        MAX(
            1,
            IF(
                NETWORKDAYS(I306, L306, Holiday_Dates) &lt;= 0,
                1,
                NETWORKDAYS(I306, L306, Holiday_Dates) - IF(I306 = L306, 0, 1)
            )
        )
    ),
    ""
)</f>
        <v/>
      </c>
      <c r="Q306" s="385" t="str">
        <f>IF(
    OR(ISBLANK(L306), ISBLANK(M306)),
    "",
    MAX(
        1,
        IF(
            NETWORKDAYS(L306, M306, Holiday_Dates) &lt;= 0,
            1,
            NETWORKDAYS(L306, M306, Holiday_Dates) - IF(L306 = M306, 0, 1)
        )
    )
)</f>
        <v/>
      </c>
      <c r="R306" s="385" t="str">
        <f>IFERROR(
    IF(
        OR(ISBLANK(N306), AND(ISBLANK(L306), ISBLANK(M306))),
        "",
        MAX(
            1,
            IF(
                NETWORKDAYS(IF(NOT(ISBLANK(M306)), M306, L306), N306, Holiday_Dates) &lt;= 0,
                1,
                NETWORKDAYS(IF(NOT(ISBLANK(M306)), M306, L306), N306, Holiday_Dates)
                - IF(IF(NOT(ISBLANK(M306)), M306, L306) = N306, 0, 1)
            )
        )
    ),
    ""
)</f>
        <v/>
      </c>
      <c r="S306" s="385" t="str">
        <f>IFERROR(
    IF(
        OR(ISBLANK(N306), ISBLANK(O306)),
        "",
        MAX(
            1,
            IF(
                NETWORKDAYS(N306, O306, Holiday_Dates) &lt;= 0,
                1,
                NETWORKDAYS(N306, O306, Holiday_Dates) - IF(N306 = O306, 0, 1)
            )
        )
    ),
    ""
)</f>
        <v/>
      </c>
      <c r="T306" s="385"/>
      <c r="U306" s="385" t="s">
        <v>4</v>
      </c>
      <c r="V306" s="385" t="s">
        <v>101</v>
      </c>
      <c r="W306" s="385" t="s">
        <v>1436</v>
      </c>
      <c r="X306" s="1"/>
    </row>
    <row r="307" spans="1:24">
      <c r="A307" s="385" t="s">
        <v>48</v>
      </c>
      <c r="B307" s="385" t="s">
        <v>486</v>
      </c>
      <c r="C307" s="385" t="s">
        <v>2017</v>
      </c>
      <c r="D307" s="385" t="s">
        <v>88</v>
      </c>
      <c r="E307" s="385"/>
      <c r="F307" s="385"/>
      <c r="G307" s="385"/>
      <c r="H307" s="385">
        <v>2024</v>
      </c>
      <c r="I307" s="385" t="s">
        <v>2018</v>
      </c>
      <c r="J307" s="30"/>
      <c r="K307" s="385"/>
      <c r="L307" s="385"/>
      <c r="M307" s="385"/>
      <c r="N307" s="385"/>
      <c r="O307" s="385"/>
      <c r="P307" s="385" t="str">
        <f>IFERROR(
    IF(
        OR(ISBLANK(I307), ISBLANK(L307)),
        "",
        MAX(
            1,
            IF(
                NETWORKDAYS(I307, L307, Holiday_Dates) &lt;= 0,
                1,
                NETWORKDAYS(I307, L307, Holiday_Dates) - IF(I307 = L307, 0, 1)
            )
        )
    ),
    ""
)</f>
        <v/>
      </c>
      <c r="Q307" s="385" t="str">
        <f>IF(
    OR(ISBLANK(L307), ISBLANK(M307)),
    "",
    MAX(
        1,
        IF(
            NETWORKDAYS(L307, M307, Holiday_Dates) &lt;= 0,
            1,
            NETWORKDAYS(L307, M307, Holiday_Dates) - IF(L307 = M307, 0, 1)
        )
    )
)</f>
        <v/>
      </c>
      <c r="R307" s="385" t="str">
        <f>IFERROR(
    IF(
        OR(ISBLANK(N307), AND(ISBLANK(L307), ISBLANK(M307))),
        "",
        MAX(
            1,
            IF(
                NETWORKDAYS(IF(NOT(ISBLANK(M307)), M307, L307), N307, Holiday_Dates) &lt;= 0,
                1,
                NETWORKDAYS(IF(NOT(ISBLANK(M307)), M307, L307), N307, Holiday_Dates)
                - IF(IF(NOT(ISBLANK(M307)), M307, L307) = N307, 0, 1)
            )
        )
    ),
    ""
)</f>
        <v/>
      </c>
      <c r="S307" s="385" t="str">
        <f>IFERROR(
    IF(
        OR(ISBLANK(N307), ISBLANK(O307)),
        "",
        MAX(
            1,
            IF(
                NETWORKDAYS(N307, O307, Holiday_Dates) &lt;= 0,
                1,
                NETWORKDAYS(N307, O307, Holiday_Dates) - IF(N307 = O307, 0, 1)
            )
        )
    ),
    ""
)</f>
        <v/>
      </c>
      <c r="T307" s="385"/>
      <c r="U307" s="385" t="s">
        <v>4</v>
      </c>
      <c r="V307" s="385" t="s">
        <v>101</v>
      </c>
      <c r="W307" s="385" t="s">
        <v>1436</v>
      </c>
      <c r="X307" s="1"/>
    </row>
    <row r="308" spans="1:24">
      <c r="A308" s="385" t="s">
        <v>48</v>
      </c>
      <c r="B308" s="385" t="s">
        <v>486</v>
      </c>
      <c r="C308" s="385" t="s">
        <v>2020</v>
      </c>
      <c r="D308" s="385" t="s">
        <v>88</v>
      </c>
      <c r="E308" s="385"/>
      <c r="F308" s="385"/>
      <c r="G308" s="385"/>
      <c r="H308" s="385">
        <v>2024</v>
      </c>
      <c r="I308" s="386">
        <v>45602</v>
      </c>
      <c r="J308" s="30"/>
      <c r="K308" s="385"/>
      <c r="L308" s="385"/>
      <c r="M308" s="385"/>
      <c r="N308" s="385"/>
      <c r="O308" s="385"/>
      <c r="P308" s="385" t="str">
        <f>IFERROR(
    IF(
        OR(ISBLANK(I308), ISBLANK(L308)),
        "",
        MAX(
            1,
            IF(
                NETWORKDAYS(I308, L308, Holiday_Dates) &lt;= 0,
                1,
                NETWORKDAYS(I308, L308, Holiday_Dates) - IF(I308 = L308, 0, 1)
            )
        )
    ),
    ""
)</f>
        <v/>
      </c>
      <c r="Q308" s="385" t="str">
        <f>IF(
    OR(ISBLANK(L308), ISBLANK(M308)),
    "",
    MAX(
        1,
        IF(
            NETWORKDAYS(L308, M308, Holiday_Dates) &lt;= 0,
            1,
            NETWORKDAYS(L308, M308, Holiday_Dates) - IF(L308 = M308, 0, 1)
        )
    )
)</f>
        <v/>
      </c>
      <c r="R308" s="385" t="str">
        <f>IFERROR(
    IF(
        OR(ISBLANK(N308), AND(ISBLANK(L308), ISBLANK(M308))),
        "",
        MAX(
            1,
            IF(
                NETWORKDAYS(IF(NOT(ISBLANK(M308)), M308, L308), N308, Holiday_Dates) &lt;= 0,
                1,
                NETWORKDAYS(IF(NOT(ISBLANK(M308)), M308, L308), N308, Holiday_Dates)
                - IF(IF(NOT(ISBLANK(M308)), M308, L308) = N308, 0, 1)
            )
        )
    ),
    ""
)</f>
        <v/>
      </c>
      <c r="S308" s="385" t="str">
        <f>IFERROR(
    IF(
        OR(ISBLANK(N308), ISBLANK(O308)),
        "",
        MAX(
            1,
            IF(
                NETWORKDAYS(N308, O308, Holiday_Dates) &lt;= 0,
                1,
                NETWORKDAYS(N308, O308, Holiday_Dates) - IF(N308 = O308, 0, 1)
            )
        )
    ),
    ""
)</f>
        <v/>
      </c>
      <c r="T308" s="385"/>
      <c r="U308" s="385" t="s">
        <v>4</v>
      </c>
      <c r="V308" s="385" t="s">
        <v>108</v>
      </c>
      <c r="W308" s="385" t="s">
        <v>1436</v>
      </c>
      <c r="X308" s="1"/>
    </row>
    <row r="309" spans="1:24">
      <c r="A309" s="385" t="s">
        <v>48</v>
      </c>
      <c r="B309" s="385" t="s">
        <v>486</v>
      </c>
      <c r="C309" s="385" t="s">
        <v>2022</v>
      </c>
      <c r="D309" s="385" t="s">
        <v>88</v>
      </c>
      <c r="E309" s="385"/>
      <c r="F309" s="385"/>
      <c r="G309" s="385"/>
      <c r="H309" s="385">
        <v>2024</v>
      </c>
      <c r="I309" s="385" t="s">
        <v>1747</v>
      </c>
      <c r="J309" s="30"/>
      <c r="K309" s="385"/>
      <c r="L309" s="385"/>
      <c r="M309" s="385"/>
      <c r="N309" s="385"/>
      <c r="O309" s="385"/>
      <c r="P309" s="385" t="str">
        <f>IFERROR(
    IF(
        OR(ISBLANK(I309), ISBLANK(L309)),
        "",
        MAX(
            1,
            IF(
                NETWORKDAYS(I309, L309, Holiday_Dates) &lt;= 0,
                1,
                NETWORKDAYS(I309, L309, Holiday_Dates) - IF(I309 = L309, 0, 1)
            )
        )
    ),
    ""
)</f>
        <v/>
      </c>
      <c r="Q309" s="385" t="str">
        <f>IF(
    OR(ISBLANK(L309), ISBLANK(M309)),
    "",
    MAX(
        1,
        IF(
            NETWORKDAYS(L309, M309, Holiday_Dates) &lt;= 0,
            1,
            NETWORKDAYS(L309, M309, Holiday_Dates) - IF(L309 = M309, 0, 1)
        )
    )
)</f>
        <v/>
      </c>
      <c r="R309" s="385" t="str">
        <f>IFERROR(
    IF(
        OR(ISBLANK(N309), AND(ISBLANK(L309), ISBLANK(M309))),
        "",
        MAX(
            1,
            IF(
                NETWORKDAYS(IF(NOT(ISBLANK(M309)), M309, L309), N309, Holiday_Dates) &lt;= 0,
                1,
                NETWORKDAYS(IF(NOT(ISBLANK(M309)), M309, L309), N309, Holiday_Dates)
                - IF(IF(NOT(ISBLANK(M309)), M309, L309) = N309, 0, 1)
            )
        )
    ),
    ""
)</f>
        <v/>
      </c>
      <c r="S309" s="385" t="str">
        <f>IFERROR(
    IF(
        OR(ISBLANK(N309), ISBLANK(O309)),
        "",
        MAX(
            1,
            IF(
                NETWORKDAYS(N309, O309, Holiday_Dates) &lt;= 0,
                1,
                NETWORKDAYS(N309, O309, Holiday_Dates) - IF(N309 = O309, 0, 1)
            )
        )
    ),
    ""
)</f>
        <v/>
      </c>
      <c r="T309" s="385"/>
      <c r="U309" s="385" t="s">
        <v>4</v>
      </c>
      <c r="V309" s="385" t="s">
        <v>101</v>
      </c>
      <c r="W309" s="385" t="s">
        <v>1436</v>
      </c>
      <c r="X309" s="1"/>
    </row>
    <row r="310" spans="1:24">
      <c r="A310" s="385" t="s">
        <v>48</v>
      </c>
      <c r="B310" s="385" t="s">
        <v>486</v>
      </c>
      <c r="C310" s="385" t="s">
        <v>2054</v>
      </c>
      <c r="D310" s="385" t="s">
        <v>88</v>
      </c>
      <c r="E310" s="385"/>
      <c r="F310" s="385"/>
      <c r="G310" s="385"/>
      <c r="H310" s="385">
        <v>2024</v>
      </c>
      <c r="I310" s="385" t="s">
        <v>2055</v>
      </c>
      <c r="J310" s="30"/>
      <c r="K310" s="385"/>
      <c r="L310" s="385"/>
      <c r="M310" s="385"/>
      <c r="N310" s="385"/>
      <c r="O310" s="385"/>
      <c r="P310" s="385" t="str">
        <f>IFERROR(
    IF(
        OR(ISBLANK(I310), ISBLANK(L310)),
        "",
        MAX(
            1,
            IF(
                NETWORKDAYS(I310, L310, Holiday_Dates) &lt;= 0,
                1,
                NETWORKDAYS(I310, L310, Holiday_Dates) - IF(I310 = L310, 0, 1)
            )
        )
    ),
    ""
)</f>
        <v/>
      </c>
      <c r="Q310" s="385" t="str">
        <f>IF(
    OR(ISBLANK(L310), ISBLANK(M310)),
    "",
    MAX(
        1,
        IF(
            NETWORKDAYS(L310, M310, Holiday_Dates) &lt;= 0,
            1,
            NETWORKDAYS(L310, M310, Holiday_Dates) - IF(L310 = M310, 0, 1)
        )
    )
)</f>
        <v/>
      </c>
      <c r="R310" s="385" t="str">
        <f>IFERROR(
    IF(
        OR(ISBLANK(N310), AND(ISBLANK(L310), ISBLANK(M310))),
        "",
        MAX(
            1,
            IF(
                NETWORKDAYS(IF(NOT(ISBLANK(M310)), M310, L310), N310, Holiday_Dates) &lt;= 0,
                1,
                NETWORKDAYS(IF(NOT(ISBLANK(M310)), M310, L310), N310, Holiday_Dates)
                - IF(IF(NOT(ISBLANK(M310)), M310, L310) = N310, 0, 1)
            )
        )
    ),
    ""
)</f>
        <v/>
      </c>
      <c r="S310" s="385" t="str">
        <f>IFERROR(
    IF(
        OR(ISBLANK(N310), ISBLANK(O310)),
        "",
        MAX(
            1,
            IF(
                NETWORKDAYS(N310, O310, Holiday_Dates) &lt;= 0,
                1,
                NETWORKDAYS(N310, O310, Holiday_Dates) - IF(N310 = O310, 0, 1)
            )
        )
    ),
    ""
)</f>
        <v/>
      </c>
      <c r="T310" s="385"/>
      <c r="U310" s="385" t="s">
        <v>4</v>
      </c>
      <c r="V310" s="385" t="s">
        <v>101</v>
      </c>
      <c r="W310" s="385" t="s">
        <v>1436</v>
      </c>
      <c r="X310" s="1"/>
    </row>
    <row r="311" spans="1:24">
      <c r="A311" s="385" t="s">
        <v>48</v>
      </c>
      <c r="B311" s="385" t="s">
        <v>486</v>
      </c>
      <c r="C311" s="385" t="s">
        <v>2029</v>
      </c>
      <c r="D311" s="385" t="s">
        <v>88</v>
      </c>
      <c r="E311" s="385"/>
      <c r="F311" s="385"/>
      <c r="G311" s="385"/>
      <c r="H311" s="385">
        <v>2024</v>
      </c>
      <c r="I311" s="385" t="s">
        <v>2030</v>
      </c>
      <c r="J311" s="30"/>
      <c r="K311" s="385"/>
      <c r="L311" s="385"/>
      <c r="M311" s="385"/>
      <c r="N311" s="385"/>
      <c r="O311" s="385"/>
      <c r="P311" s="385" t="str">
        <f>IFERROR(
    IF(
        OR(ISBLANK(I311), ISBLANK(L311)),
        "",
        MAX(
            1,
            IF(
                NETWORKDAYS(I311, L311, Holiday_Dates) &lt;= 0,
                1,
                NETWORKDAYS(I311, L311, Holiday_Dates) - IF(I311 = L311, 0, 1)
            )
        )
    ),
    ""
)</f>
        <v/>
      </c>
      <c r="Q311" s="385" t="str">
        <f>IF(
    OR(ISBLANK(L311), ISBLANK(M311)),
    "",
    MAX(
        1,
        IF(
            NETWORKDAYS(L311, M311, Holiday_Dates) &lt;= 0,
            1,
            NETWORKDAYS(L311, M311, Holiday_Dates) - IF(L311 = M311, 0, 1)
        )
    )
)</f>
        <v/>
      </c>
      <c r="R311" s="385" t="str">
        <f>IFERROR(
    IF(
        OR(ISBLANK(N311), AND(ISBLANK(L311), ISBLANK(M311))),
        "",
        MAX(
            1,
            IF(
                NETWORKDAYS(IF(NOT(ISBLANK(M311)), M311, L311), N311, Holiday_Dates) &lt;= 0,
                1,
                NETWORKDAYS(IF(NOT(ISBLANK(M311)), M311, L311), N311, Holiday_Dates)
                - IF(IF(NOT(ISBLANK(M311)), M311, L311) = N311, 0, 1)
            )
        )
    ),
    ""
)</f>
        <v/>
      </c>
      <c r="S311" s="385" t="str">
        <f>IFERROR(
    IF(
        OR(ISBLANK(N311), ISBLANK(O311)),
        "",
        MAX(
            1,
            IF(
                NETWORKDAYS(N311, O311, Holiday_Dates) &lt;= 0,
                1,
                NETWORKDAYS(N311, O311, Holiday_Dates) - IF(N311 = O311, 0, 1)
            )
        )
    ),
    ""
)</f>
        <v/>
      </c>
      <c r="T311" s="385"/>
      <c r="U311" s="385" t="s">
        <v>4</v>
      </c>
      <c r="V311" s="385" t="s">
        <v>108</v>
      </c>
      <c r="W311" s="385" t="s">
        <v>1436</v>
      </c>
      <c r="X311" s="1"/>
    </row>
    <row r="312" spans="1:24">
      <c r="A312" s="385" t="s">
        <v>48</v>
      </c>
      <c r="B312" s="385" t="s">
        <v>486</v>
      </c>
      <c r="C312" s="385" t="s">
        <v>2032</v>
      </c>
      <c r="D312" s="385" t="s">
        <v>88</v>
      </c>
      <c r="E312" s="385"/>
      <c r="F312" s="385"/>
      <c r="G312" s="385"/>
      <c r="H312" s="385">
        <v>2024</v>
      </c>
      <c r="I312" s="385" t="s">
        <v>2033</v>
      </c>
      <c r="J312" s="30"/>
      <c r="K312" s="385"/>
      <c r="L312" s="385"/>
      <c r="M312" s="385"/>
      <c r="N312" s="385"/>
      <c r="O312" s="385"/>
      <c r="P312" s="385" t="str">
        <f>IFERROR(
    IF(
        OR(ISBLANK(I312), ISBLANK(L312)),
        "",
        MAX(
            1,
            IF(
                NETWORKDAYS(I312, L312, Holiday_Dates) &lt;= 0,
                1,
                NETWORKDAYS(I312, L312, Holiday_Dates) - IF(I312 = L312, 0, 1)
            )
        )
    ),
    ""
)</f>
        <v/>
      </c>
      <c r="Q312" s="385" t="str">
        <f>IF(
    OR(ISBLANK(L312), ISBLANK(M312)),
    "",
    MAX(
        1,
        IF(
            NETWORKDAYS(L312, M312, Holiday_Dates) &lt;= 0,
            1,
            NETWORKDAYS(L312, M312, Holiday_Dates) - IF(L312 = M312, 0, 1)
        )
    )
)</f>
        <v/>
      </c>
      <c r="R312" s="385" t="str">
        <f>IFERROR(
    IF(
        OR(ISBLANK(N312), AND(ISBLANK(L312), ISBLANK(M312))),
        "",
        MAX(
            1,
            IF(
                NETWORKDAYS(IF(NOT(ISBLANK(M312)), M312, L312), N312, Holiday_Dates) &lt;= 0,
                1,
                NETWORKDAYS(IF(NOT(ISBLANK(M312)), M312, L312), N312, Holiday_Dates)
                - IF(IF(NOT(ISBLANK(M312)), M312, L312) = N312, 0, 1)
            )
        )
    ),
    ""
)</f>
        <v/>
      </c>
      <c r="S312" s="385" t="str">
        <f>IFERROR(
    IF(
        OR(ISBLANK(N312), ISBLANK(O312)),
        "",
        MAX(
            1,
            IF(
                NETWORKDAYS(N312, O312, Holiday_Dates) &lt;= 0,
                1,
                NETWORKDAYS(N312, O312, Holiday_Dates) - IF(N312 = O312, 0, 1)
            )
        )
    ),
    ""
)</f>
        <v/>
      </c>
      <c r="T312" s="385"/>
      <c r="U312" s="385" t="s">
        <v>4</v>
      </c>
      <c r="V312" s="385" t="s">
        <v>108</v>
      </c>
      <c r="W312" s="385" t="s">
        <v>1436</v>
      </c>
      <c r="X312" s="1"/>
    </row>
    <row r="313" spans="1:24">
      <c r="A313" s="385" t="s">
        <v>48</v>
      </c>
      <c r="B313" s="385" t="s">
        <v>486</v>
      </c>
      <c r="C313" s="385" t="s">
        <v>2078</v>
      </c>
      <c r="D313" s="385" t="s">
        <v>88</v>
      </c>
      <c r="E313" s="385"/>
      <c r="F313" s="385"/>
      <c r="G313" s="385"/>
      <c r="H313" s="385">
        <v>2025</v>
      </c>
      <c r="I313" s="386">
        <v>45679</v>
      </c>
      <c r="J313" s="30" t="s">
        <v>4680</v>
      </c>
      <c r="K313" s="385"/>
      <c r="L313" s="385"/>
      <c r="M313" s="385"/>
      <c r="N313" s="385"/>
      <c r="O313" s="385"/>
      <c r="P313" s="385" t="str">
        <f>IFERROR(
    IF(
        OR(ISBLANK(I313), ISBLANK(L313)),
        "",
        MAX(
            1,
            IF(
                NETWORKDAYS(I313, L313, Holiday_Dates) &lt;= 0,
                1,
                NETWORKDAYS(I313, L313, Holiday_Dates) - IF(I313 = L313, 0, 1)
            )
        )
    ),
    ""
)</f>
        <v/>
      </c>
      <c r="Q313" s="385" t="str">
        <f>IF(
    OR(ISBLANK(L313), ISBLANK(M313)),
    "",
    MAX(
        1,
        IF(
            NETWORKDAYS(L313, M313, Holiday_Dates) &lt;= 0,
            1,
            NETWORKDAYS(L313, M313, Holiday_Dates) - IF(L313 = M313, 0, 1)
        )
    )
)</f>
        <v/>
      </c>
      <c r="R313" s="385" t="str">
        <f>IFERROR(
    IF(
        OR(ISBLANK(N313), AND(ISBLANK(L313), ISBLANK(M313))),
        "",
        MAX(
            1,
            IF(
                NETWORKDAYS(IF(NOT(ISBLANK(M313)), M313, L313), N313, Holiday_Dates) &lt;= 0,
                1,
                NETWORKDAYS(IF(NOT(ISBLANK(M313)), M313, L313), N313, Holiday_Dates)
                - IF(IF(NOT(ISBLANK(M313)), M313, L313) = N313, 0, 1)
            )
        )
    ),
    ""
)</f>
        <v/>
      </c>
      <c r="S313" s="385" t="str">
        <f>IFERROR(
    IF(
        OR(ISBLANK(N313), ISBLANK(O313)),
        "",
        MAX(
            1,
            IF(
                NETWORKDAYS(N313, O313, Holiday_Dates) &lt;= 0,
                1,
                NETWORKDAYS(N313, O313, Holiday_Dates) - IF(N313 = O313, 0, 1)
            )
        )
    ),
    ""
)</f>
        <v/>
      </c>
      <c r="T313" s="385"/>
      <c r="U313" s="385" t="s">
        <v>672</v>
      </c>
      <c r="V313" s="385" t="s">
        <v>101</v>
      </c>
      <c r="W313" s="385" t="s">
        <v>1436</v>
      </c>
      <c r="X313" s="1"/>
    </row>
    <row r="314" spans="1:24">
      <c r="A314" s="385" t="s">
        <v>48</v>
      </c>
      <c r="B314" s="385" t="s">
        <v>486</v>
      </c>
      <c r="C314" s="385" t="s">
        <v>2035</v>
      </c>
      <c r="D314" s="385" t="s">
        <v>88</v>
      </c>
      <c r="E314" s="385"/>
      <c r="F314" s="385"/>
      <c r="G314" s="385"/>
      <c r="H314" s="385">
        <v>2024</v>
      </c>
      <c r="I314" s="385" t="s">
        <v>1733</v>
      </c>
      <c r="J314" s="30"/>
      <c r="K314" s="385"/>
      <c r="L314" s="385"/>
      <c r="M314" s="385"/>
      <c r="N314" s="385"/>
      <c r="O314" s="385"/>
      <c r="P314" s="385" t="str">
        <f>IFERROR(
    IF(
        OR(ISBLANK(I314), ISBLANK(L314)),
        "",
        MAX(
            1,
            IF(
                NETWORKDAYS(I314, L314, Holiday_Dates) &lt;= 0,
                1,
                NETWORKDAYS(I314, L314, Holiday_Dates) - IF(I314 = L314, 0, 1)
            )
        )
    ),
    ""
)</f>
        <v/>
      </c>
      <c r="Q314" s="385" t="str">
        <f>IF(
    OR(ISBLANK(L314), ISBLANK(M314)),
    "",
    MAX(
        1,
        IF(
            NETWORKDAYS(L314, M314, Holiday_Dates) &lt;= 0,
            1,
            NETWORKDAYS(L314, M314, Holiday_Dates) - IF(L314 = M314, 0, 1)
        )
    )
)</f>
        <v/>
      </c>
      <c r="R314" s="385" t="str">
        <f>IFERROR(
    IF(
        OR(ISBLANK(N314), AND(ISBLANK(L314), ISBLANK(M314))),
        "",
        MAX(
            1,
            IF(
                NETWORKDAYS(IF(NOT(ISBLANK(M314)), M314, L314), N314, Holiday_Dates) &lt;= 0,
                1,
                NETWORKDAYS(IF(NOT(ISBLANK(M314)), M314, L314), N314, Holiday_Dates)
                - IF(IF(NOT(ISBLANK(M314)), M314, L314) = N314, 0, 1)
            )
        )
    ),
    ""
)</f>
        <v/>
      </c>
      <c r="S314" s="385" t="str">
        <f>IFERROR(
    IF(
        OR(ISBLANK(N314), ISBLANK(O314)),
        "",
        MAX(
            1,
            IF(
                NETWORKDAYS(N314, O314, Holiday_Dates) &lt;= 0,
                1,
                NETWORKDAYS(N314, O314, Holiday_Dates) - IF(N314 = O314, 0, 1)
            )
        )
    ),
    ""
)</f>
        <v/>
      </c>
      <c r="T314" s="385"/>
      <c r="U314" s="385" t="s">
        <v>4</v>
      </c>
      <c r="V314" s="385" t="s">
        <v>108</v>
      </c>
      <c r="W314" s="385" t="s">
        <v>1436</v>
      </c>
      <c r="X314" s="1"/>
    </row>
    <row r="315" spans="1:24">
      <c r="A315" s="385" t="s">
        <v>48</v>
      </c>
      <c r="B315" s="385" t="s">
        <v>486</v>
      </c>
      <c r="C315" s="385" t="s">
        <v>2079</v>
      </c>
      <c r="D315" s="385" t="s">
        <v>88</v>
      </c>
      <c r="E315" s="385"/>
      <c r="F315" s="385"/>
      <c r="G315" s="385"/>
      <c r="H315" s="385">
        <v>2024</v>
      </c>
      <c r="I315" s="385" t="s">
        <v>4628</v>
      </c>
      <c r="J315" s="30"/>
      <c r="K315" s="385"/>
      <c r="L315" s="385"/>
      <c r="M315" s="385"/>
      <c r="N315" s="385"/>
      <c r="O315" s="385"/>
      <c r="P315" s="385" t="str">
        <f>IFERROR(
    IF(
        OR(ISBLANK(I315), ISBLANK(L315)),
        "",
        MAX(
            1,
            IF(
                NETWORKDAYS(I315, L315, Holiday_Dates) &lt;= 0,
                1,
                NETWORKDAYS(I315, L315, Holiday_Dates) - IF(I315 = L315, 0, 1)
            )
        )
    ),
    ""
)</f>
        <v/>
      </c>
      <c r="Q315" s="385" t="str">
        <f>IF(
    OR(ISBLANK(L315), ISBLANK(M315)),
    "",
    MAX(
        1,
        IF(
            NETWORKDAYS(L315, M315, Holiday_Dates) &lt;= 0,
            1,
            NETWORKDAYS(L315, M315, Holiday_Dates) - IF(L315 = M315, 0, 1)
        )
    )
)</f>
        <v/>
      </c>
      <c r="R315" s="385" t="str">
        <f>IFERROR(
    IF(
        OR(ISBLANK(N315), AND(ISBLANK(L315), ISBLANK(M315))),
        "",
        MAX(
            1,
            IF(
                NETWORKDAYS(IF(NOT(ISBLANK(M315)), M315, L315), N315, Holiday_Dates) &lt;= 0,
                1,
                NETWORKDAYS(IF(NOT(ISBLANK(M315)), M315, L315), N315, Holiday_Dates)
                - IF(IF(NOT(ISBLANK(M315)), M315, L315) = N315, 0, 1)
            )
        )
    ),
    ""
)</f>
        <v/>
      </c>
      <c r="S315" s="385" t="str">
        <f>IFERROR(
    IF(
        OR(ISBLANK(N315), ISBLANK(O315)),
        "",
        MAX(
            1,
            IF(
                NETWORKDAYS(N315, O315, Holiday_Dates) &lt;= 0,
                1,
                NETWORKDAYS(N315, O315, Holiday_Dates) - IF(N315 = O315, 0, 1)
            )
        )
    ),
    ""
)</f>
        <v/>
      </c>
      <c r="T315" s="385"/>
      <c r="U315" s="385" t="s">
        <v>4</v>
      </c>
      <c r="V315" s="385" t="s">
        <v>101</v>
      </c>
      <c r="W315" s="385" t="s">
        <v>1436</v>
      </c>
      <c r="X315" s="1"/>
    </row>
    <row r="316" spans="1:24">
      <c r="A316" s="385" t="s">
        <v>48</v>
      </c>
      <c r="B316" s="385" t="s">
        <v>486</v>
      </c>
      <c r="C316" s="385" t="s">
        <v>312</v>
      </c>
      <c r="D316" s="385" t="s">
        <v>88</v>
      </c>
      <c r="E316" s="385"/>
      <c r="F316" s="385"/>
      <c r="G316" s="385"/>
      <c r="H316" s="385">
        <v>2024</v>
      </c>
      <c r="I316" s="385" t="s">
        <v>2038</v>
      </c>
      <c r="J316" s="30"/>
      <c r="K316" s="385"/>
      <c r="L316" s="385"/>
      <c r="M316" s="385"/>
      <c r="N316" s="385"/>
      <c r="O316" s="385"/>
      <c r="P316" s="385" t="str">
        <f>IFERROR(
    IF(
        OR(ISBLANK(I316), ISBLANK(L316)),
        "",
        MAX(
            1,
            IF(
                NETWORKDAYS(I316, L316, Holiday_Dates) &lt;= 0,
                1,
                NETWORKDAYS(I316, L316, Holiday_Dates) - IF(I316 = L316, 0, 1)
            )
        )
    ),
    ""
)</f>
        <v/>
      </c>
      <c r="Q316" s="385" t="str">
        <f>IF(
    OR(ISBLANK(L316), ISBLANK(M316)),
    "",
    MAX(
        1,
        IF(
            NETWORKDAYS(L316, M316, Holiday_Dates) &lt;= 0,
            1,
            NETWORKDAYS(L316, M316, Holiday_Dates) - IF(L316 = M316, 0, 1)
        )
    )
)</f>
        <v/>
      </c>
      <c r="R316" s="385" t="str">
        <f>IFERROR(
    IF(
        OR(ISBLANK(N316), AND(ISBLANK(L316), ISBLANK(M316))),
        "",
        MAX(
            1,
            IF(
                NETWORKDAYS(IF(NOT(ISBLANK(M316)), M316, L316), N316, Holiday_Dates) &lt;= 0,
                1,
                NETWORKDAYS(IF(NOT(ISBLANK(M316)), M316, L316), N316, Holiday_Dates)
                - IF(IF(NOT(ISBLANK(M316)), M316, L316) = N316, 0, 1)
            )
        )
    ),
    ""
)</f>
        <v/>
      </c>
      <c r="S316" s="385" t="str">
        <f>IFERROR(
    IF(
        OR(ISBLANK(N316), ISBLANK(O316)),
        "",
        MAX(
            1,
            IF(
                NETWORKDAYS(N316, O316, Holiday_Dates) &lt;= 0,
                1,
                NETWORKDAYS(N316, O316, Holiday_Dates) - IF(N316 = O316, 0, 1)
            )
        )
    ),
    ""
)</f>
        <v/>
      </c>
      <c r="T316" s="385"/>
      <c r="U316" s="385" t="s">
        <v>672</v>
      </c>
      <c r="V316" s="385" t="s">
        <v>108</v>
      </c>
      <c r="W316" s="385" t="s">
        <v>1436</v>
      </c>
      <c r="X316" s="1"/>
    </row>
    <row r="317" spans="1:24">
      <c r="A317" s="385" t="s">
        <v>48</v>
      </c>
      <c r="B317" s="385" t="s">
        <v>486</v>
      </c>
      <c r="C317" s="385" t="s">
        <v>2040</v>
      </c>
      <c r="D317" s="385" t="s">
        <v>88</v>
      </c>
      <c r="E317" s="385"/>
      <c r="F317" s="385"/>
      <c r="G317" s="385"/>
      <c r="H317" s="385">
        <v>2024</v>
      </c>
      <c r="I317" s="385" t="s">
        <v>4681</v>
      </c>
      <c r="J317" s="30"/>
      <c r="K317" s="385"/>
      <c r="L317" s="385"/>
      <c r="M317" s="385"/>
      <c r="N317" s="385"/>
      <c r="O317" s="385"/>
      <c r="P317" s="385" t="str">
        <f>IFERROR(
    IF(
        OR(ISBLANK(I317), ISBLANK(L317)),
        "",
        MAX(
            1,
            IF(
                NETWORKDAYS(I317, L317, Holiday_Dates) &lt;= 0,
                1,
                NETWORKDAYS(I317, L317, Holiday_Dates) - IF(I317 = L317, 0, 1)
            )
        )
    ),
    ""
)</f>
        <v/>
      </c>
      <c r="Q317" s="385" t="str">
        <f>IF(
    OR(ISBLANK(L317), ISBLANK(M317)),
    "",
    MAX(
        1,
        IF(
            NETWORKDAYS(L317, M317, Holiday_Dates) &lt;= 0,
            1,
            NETWORKDAYS(L317, M317, Holiday_Dates) - IF(L317 = M317, 0, 1)
        )
    )
)</f>
        <v/>
      </c>
      <c r="R317" s="385" t="str">
        <f>IFERROR(
    IF(
        OR(ISBLANK(N317), AND(ISBLANK(L317), ISBLANK(M317))),
        "",
        MAX(
            1,
            IF(
                NETWORKDAYS(IF(NOT(ISBLANK(M317)), M317, L317), N317, Holiday_Dates) &lt;= 0,
                1,
                NETWORKDAYS(IF(NOT(ISBLANK(M317)), M317, L317), N317, Holiday_Dates)
                - IF(IF(NOT(ISBLANK(M317)), M317, L317) = N317, 0, 1)
            )
        )
    ),
    ""
)</f>
        <v/>
      </c>
      <c r="S317" s="385" t="str">
        <f>IFERROR(
    IF(
        OR(ISBLANK(N317), ISBLANK(O317)),
        "",
        MAX(
            1,
            IF(
                NETWORKDAYS(N317, O317, Holiday_Dates) &lt;= 0,
                1,
                NETWORKDAYS(N317, O317, Holiday_Dates) - IF(N317 = O317, 0, 1)
            )
        )
    ),
    ""
)</f>
        <v/>
      </c>
      <c r="T317" s="385"/>
      <c r="U317" s="385" t="s">
        <v>4</v>
      </c>
      <c r="V317" s="385" t="s">
        <v>101</v>
      </c>
      <c r="W317" s="385" t="s">
        <v>1436</v>
      </c>
      <c r="X317" s="1"/>
    </row>
    <row r="318" spans="1:24">
      <c r="A318" s="385" t="s">
        <v>48</v>
      </c>
      <c r="B318" s="385" t="s">
        <v>486</v>
      </c>
      <c r="C318" s="385" t="s">
        <v>1013</v>
      </c>
      <c r="D318" s="385" t="s">
        <v>88</v>
      </c>
      <c r="E318" s="385"/>
      <c r="F318" s="385"/>
      <c r="G318" s="385"/>
      <c r="H318" s="385">
        <v>2024</v>
      </c>
      <c r="I318" s="385" t="s">
        <v>2042</v>
      </c>
      <c r="J318" s="30"/>
      <c r="K318" s="385"/>
      <c r="L318" s="385"/>
      <c r="M318" s="385"/>
      <c r="N318" s="385"/>
      <c r="O318" s="385"/>
      <c r="P318" s="385" t="str">
        <f>IFERROR(
    IF(
        OR(ISBLANK(I318), ISBLANK(L318)),
        "",
        MAX(
            1,
            IF(
                NETWORKDAYS(I318, L318, Holiday_Dates) &lt;= 0,
                1,
                NETWORKDAYS(I318, L318, Holiday_Dates) - IF(I318 = L318, 0, 1)
            )
        )
    ),
    ""
)</f>
        <v/>
      </c>
      <c r="Q318" s="385" t="str">
        <f>IF(
    OR(ISBLANK(L318), ISBLANK(M318)),
    "",
    MAX(
        1,
        IF(
            NETWORKDAYS(L318, M318, Holiday_Dates) &lt;= 0,
            1,
            NETWORKDAYS(L318, M318, Holiday_Dates) - IF(L318 = M318, 0, 1)
        )
    )
)</f>
        <v/>
      </c>
      <c r="R318" s="385" t="str">
        <f>IFERROR(
    IF(
        OR(ISBLANK(N318), AND(ISBLANK(L318), ISBLANK(M318))),
        "",
        MAX(
            1,
            IF(
                NETWORKDAYS(IF(NOT(ISBLANK(M318)), M318, L318), N318, Holiday_Dates) &lt;= 0,
                1,
                NETWORKDAYS(IF(NOT(ISBLANK(M318)), M318, L318), N318, Holiday_Dates)
                - IF(IF(NOT(ISBLANK(M318)), M318, L318) = N318, 0, 1)
            )
        )
    ),
    ""
)</f>
        <v/>
      </c>
      <c r="S318" s="385" t="str">
        <f>IFERROR(
    IF(
        OR(ISBLANK(N318), ISBLANK(O318)),
        "",
        MAX(
            1,
            IF(
                NETWORKDAYS(N318, O318, Holiday_Dates) &lt;= 0,
                1,
                NETWORKDAYS(N318, O318, Holiday_Dates) - IF(N318 = O318, 0, 1)
            )
        )
    ),
    ""
)</f>
        <v/>
      </c>
      <c r="T318" s="385"/>
      <c r="U318" s="385" t="s">
        <v>4</v>
      </c>
      <c r="V318" s="385" t="s">
        <v>101</v>
      </c>
      <c r="W318" s="385" t="s">
        <v>1436</v>
      </c>
      <c r="X318" s="1"/>
    </row>
    <row r="319" spans="1:24">
      <c r="A319" s="385" t="s">
        <v>48</v>
      </c>
      <c r="B319" s="385" t="s">
        <v>486</v>
      </c>
      <c r="C319" s="385" t="s">
        <v>2026</v>
      </c>
      <c r="D319" s="385" t="s">
        <v>88</v>
      </c>
      <c r="E319" s="385"/>
      <c r="F319" s="385"/>
      <c r="G319" s="385"/>
      <c r="H319" s="385">
        <v>2024</v>
      </c>
      <c r="I319" s="385" t="s">
        <v>2027</v>
      </c>
      <c r="J319" s="30"/>
      <c r="K319" s="385"/>
      <c r="L319" s="385"/>
      <c r="M319" s="385"/>
      <c r="N319" s="385"/>
      <c r="O319" s="385"/>
      <c r="P319" s="385" t="str">
        <f>IFERROR(
    IF(
        OR(ISBLANK(I319), ISBLANK(L319)),
        "",
        MAX(
            1,
            IF(
                NETWORKDAYS(I319, L319, Holiday_Dates) &lt;= 0,
                1,
                NETWORKDAYS(I319, L319, Holiday_Dates) - IF(I319 = L319, 0, 1)
            )
        )
    ),
    ""
)</f>
        <v/>
      </c>
      <c r="Q319" s="385" t="str">
        <f>IF(
    OR(ISBLANK(L319), ISBLANK(M319)),
    "",
    MAX(
        1,
        IF(
            NETWORKDAYS(L319, M319, Holiday_Dates) &lt;= 0,
            1,
            NETWORKDAYS(L319, M319, Holiday_Dates) - IF(L319 = M319, 0, 1)
        )
    )
)</f>
        <v/>
      </c>
      <c r="R319" s="385" t="str">
        <f>IFERROR(
    IF(
        OR(ISBLANK(N319), AND(ISBLANK(L319), ISBLANK(M319))),
        "",
        MAX(
            1,
            IF(
                NETWORKDAYS(IF(NOT(ISBLANK(M319)), M319, L319), N319, Holiday_Dates) &lt;= 0,
                1,
                NETWORKDAYS(IF(NOT(ISBLANK(M319)), M319, L319), N319, Holiday_Dates)
                - IF(IF(NOT(ISBLANK(M319)), M319, L319) = N319, 0, 1)
            )
        )
    ),
    ""
)</f>
        <v/>
      </c>
      <c r="S319" s="385" t="str">
        <f>IFERROR(
    IF(
        OR(ISBLANK(N319), ISBLANK(O319)),
        "",
        MAX(
            1,
            IF(
                NETWORKDAYS(N319, O319, Holiday_Dates) &lt;= 0,
                1,
                NETWORKDAYS(N319, O319, Holiday_Dates) - IF(N319 = O319, 0, 1)
            )
        )
    ),
    ""
)</f>
        <v/>
      </c>
      <c r="T319" s="385"/>
      <c r="U319" s="385" t="s">
        <v>4</v>
      </c>
      <c r="V319" s="385" t="s">
        <v>108</v>
      </c>
      <c r="W319" s="385" t="s">
        <v>1436</v>
      </c>
      <c r="X319" s="1"/>
    </row>
    <row r="320" spans="1:24">
      <c r="A320" s="385" t="s">
        <v>48</v>
      </c>
      <c r="B320" s="385" t="s">
        <v>486</v>
      </c>
      <c r="C320" s="385" t="s">
        <v>2045</v>
      </c>
      <c r="D320" s="385" t="s">
        <v>88</v>
      </c>
      <c r="E320" s="385"/>
      <c r="F320" s="385"/>
      <c r="G320" s="385"/>
      <c r="H320" s="385">
        <v>2024</v>
      </c>
      <c r="I320" s="385" t="s">
        <v>4640</v>
      </c>
      <c r="J320" s="30"/>
      <c r="K320" s="385"/>
      <c r="L320" s="385"/>
      <c r="M320" s="385"/>
      <c r="N320" s="385"/>
      <c r="O320" s="385"/>
      <c r="P320" s="385" t="str">
        <f>IFERROR(
    IF(
        OR(ISBLANK(I320), ISBLANK(L320)),
        "",
        MAX(
            1,
            IF(
                NETWORKDAYS(I320, L320, Holiday_Dates) &lt;= 0,
                1,
                NETWORKDAYS(I320, L320, Holiday_Dates) - IF(I320 = L320, 0, 1)
            )
        )
    ),
    ""
)</f>
        <v/>
      </c>
      <c r="Q320" s="385" t="str">
        <f>IF(
    OR(ISBLANK(L320), ISBLANK(M320)),
    "",
    MAX(
        1,
        IF(
            NETWORKDAYS(L320, M320, Holiday_Dates) &lt;= 0,
            1,
            NETWORKDAYS(L320, M320, Holiday_Dates) - IF(L320 = M320, 0, 1)
        )
    )
)</f>
        <v/>
      </c>
      <c r="R320" s="385" t="str">
        <f>IFERROR(
    IF(
        OR(ISBLANK(N320), AND(ISBLANK(L320), ISBLANK(M320))),
        "",
        MAX(
            1,
            IF(
                NETWORKDAYS(IF(NOT(ISBLANK(M320)), M320, L320), N320, Holiday_Dates) &lt;= 0,
                1,
                NETWORKDAYS(IF(NOT(ISBLANK(M320)), M320, L320), N320, Holiday_Dates)
                - IF(IF(NOT(ISBLANK(M320)), M320, L320) = N320, 0, 1)
            )
        )
    ),
    ""
)</f>
        <v/>
      </c>
      <c r="S320" s="385" t="str">
        <f>IFERROR(
    IF(
        OR(ISBLANK(N320), ISBLANK(O320)),
        "",
        MAX(
            1,
            IF(
                NETWORKDAYS(N320, O320, Holiday_Dates) &lt;= 0,
                1,
                NETWORKDAYS(N320, O320, Holiday_Dates) - IF(N320 = O320, 0, 1)
            )
        )
    ),
    ""
)</f>
        <v/>
      </c>
      <c r="T320" s="385"/>
      <c r="U320" s="385" t="s">
        <v>4</v>
      </c>
      <c r="V320" s="385" t="s">
        <v>108</v>
      </c>
      <c r="W320" s="385" t="s">
        <v>1436</v>
      </c>
      <c r="X320" s="1"/>
    </row>
    <row r="321" spans="1:24">
      <c r="A321" s="385" t="s">
        <v>48</v>
      </c>
      <c r="B321" s="385" t="s">
        <v>486</v>
      </c>
      <c r="C321" s="385" t="s">
        <v>2047</v>
      </c>
      <c r="D321" s="385" t="s">
        <v>88</v>
      </c>
      <c r="E321" s="385"/>
      <c r="F321" s="385"/>
      <c r="G321" s="385"/>
      <c r="H321" s="385">
        <v>2024</v>
      </c>
      <c r="I321" s="385" t="s">
        <v>4663</v>
      </c>
      <c r="J321" s="30"/>
      <c r="K321" s="385"/>
      <c r="L321" s="385"/>
      <c r="M321" s="385"/>
      <c r="N321" s="385"/>
      <c r="O321" s="385"/>
      <c r="P321" s="385" t="str">
        <f>IFERROR(
    IF(
        OR(ISBLANK(I321), ISBLANK(L321)),
        "",
        MAX(
            1,
            IF(
                NETWORKDAYS(I321, L321, Holiday_Dates) &lt;= 0,
                1,
                NETWORKDAYS(I321, L321, Holiday_Dates) - IF(I321 = L321, 0, 1)
            )
        )
    ),
    ""
)</f>
        <v/>
      </c>
      <c r="Q321" s="385" t="str">
        <f>IF(
    OR(ISBLANK(L321), ISBLANK(M321)),
    "",
    MAX(
        1,
        IF(
            NETWORKDAYS(L321, M321, Holiday_Dates) &lt;= 0,
            1,
            NETWORKDAYS(L321, M321, Holiday_Dates) - IF(L321 = M321, 0, 1)
        )
    )
)</f>
        <v/>
      </c>
      <c r="R321" s="385" t="str">
        <f>IFERROR(
    IF(
        OR(ISBLANK(N321), AND(ISBLANK(L321), ISBLANK(M321))),
        "",
        MAX(
            1,
            IF(
                NETWORKDAYS(IF(NOT(ISBLANK(M321)), M321, L321), N321, Holiday_Dates) &lt;= 0,
                1,
                NETWORKDAYS(IF(NOT(ISBLANK(M321)), M321, L321), N321, Holiday_Dates)
                - IF(IF(NOT(ISBLANK(M321)), M321, L321) = N321, 0, 1)
            )
        )
    ),
    ""
)</f>
        <v/>
      </c>
      <c r="S321" s="385" t="str">
        <f>IFERROR(
    IF(
        OR(ISBLANK(N321), ISBLANK(O321)),
        "",
        MAX(
            1,
            IF(
                NETWORKDAYS(N321, O321, Holiday_Dates) &lt;= 0,
                1,
                NETWORKDAYS(N321, O321, Holiday_Dates) - IF(N321 = O321, 0, 1)
            )
        )
    ),
    ""
)</f>
        <v/>
      </c>
      <c r="T321" s="385"/>
      <c r="U321" s="385" t="s">
        <v>4</v>
      </c>
      <c r="V321" s="385" t="s">
        <v>101</v>
      </c>
      <c r="W321" s="385" t="s">
        <v>1436</v>
      </c>
      <c r="X321" s="1"/>
    </row>
    <row r="322" spans="1:24">
      <c r="A322" s="385" t="s">
        <v>48</v>
      </c>
      <c r="B322" s="385" t="s">
        <v>486</v>
      </c>
      <c r="C322" s="385" t="s">
        <v>2049</v>
      </c>
      <c r="D322" s="385" t="s">
        <v>88</v>
      </c>
      <c r="E322" s="385"/>
      <c r="F322" s="385"/>
      <c r="G322" s="385"/>
      <c r="H322" s="385">
        <v>2024</v>
      </c>
      <c r="I322" s="385" t="s">
        <v>1700</v>
      </c>
      <c r="J322" s="30"/>
      <c r="K322" s="385"/>
      <c r="L322" s="385"/>
      <c r="M322" s="385"/>
      <c r="N322" s="385"/>
      <c r="O322" s="385"/>
      <c r="P322" s="385" t="str">
        <f>IFERROR(
    IF(
        OR(ISBLANK(I322), ISBLANK(L322)),
        "",
        MAX(
            1,
            IF(
                NETWORKDAYS(I322, L322, Holiday_Dates) &lt;= 0,
                1,
                NETWORKDAYS(I322, L322, Holiday_Dates) - IF(I322 = L322, 0, 1)
            )
        )
    ),
    ""
)</f>
        <v/>
      </c>
      <c r="Q322" s="385" t="str">
        <f>IF(
    OR(ISBLANK(L322), ISBLANK(M322)),
    "",
    MAX(
        1,
        IF(
            NETWORKDAYS(L322, M322, Holiday_Dates) &lt;= 0,
            1,
            NETWORKDAYS(L322, M322, Holiday_Dates) - IF(L322 = M322, 0, 1)
        )
    )
)</f>
        <v/>
      </c>
      <c r="R322" s="385" t="str">
        <f>IFERROR(
    IF(
        OR(ISBLANK(N322), AND(ISBLANK(L322), ISBLANK(M322))),
        "",
        MAX(
            1,
            IF(
                NETWORKDAYS(IF(NOT(ISBLANK(M322)), M322, L322), N322, Holiday_Dates) &lt;= 0,
                1,
                NETWORKDAYS(IF(NOT(ISBLANK(M322)), M322, L322), N322, Holiday_Dates)
                - IF(IF(NOT(ISBLANK(M322)), M322, L322) = N322, 0, 1)
            )
        )
    ),
    ""
)</f>
        <v/>
      </c>
      <c r="S322" s="385" t="str">
        <f>IFERROR(
    IF(
        OR(ISBLANK(N322), ISBLANK(O322)),
        "",
        MAX(
            1,
            IF(
                NETWORKDAYS(N322, O322, Holiday_Dates) &lt;= 0,
                1,
                NETWORKDAYS(N322, O322, Holiday_Dates) - IF(N322 = O322, 0, 1)
            )
        )
    ),
    ""
)</f>
        <v/>
      </c>
      <c r="T322" s="385"/>
      <c r="U322" s="385" t="s">
        <v>4</v>
      </c>
      <c r="V322" s="385" t="s">
        <v>101</v>
      </c>
      <c r="W322" s="385" t="s">
        <v>1436</v>
      </c>
      <c r="X322" s="1"/>
    </row>
    <row r="323" spans="1:24">
      <c r="A323" s="385" t="s">
        <v>48</v>
      </c>
      <c r="B323" s="385" t="s">
        <v>486</v>
      </c>
      <c r="C323" s="385" t="s">
        <v>2052</v>
      </c>
      <c r="D323" s="385" t="s">
        <v>88</v>
      </c>
      <c r="E323" s="385"/>
      <c r="F323" s="385"/>
      <c r="G323" s="385"/>
      <c r="H323" s="385">
        <v>2024</v>
      </c>
      <c r="I323" s="385" t="s">
        <v>4681</v>
      </c>
      <c r="J323" s="30"/>
      <c r="K323" s="385"/>
      <c r="L323" s="385"/>
      <c r="M323" s="385"/>
      <c r="N323" s="385"/>
      <c r="O323" s="385"/>
      <c r="P323" s="385" t="str">
        <f>IFERROR(
    IF(
        OR(ISBLANK(I323), ISBLANK(L323)),
        "",
        MAX(
            1,
            IF(
                NETWORKDAYS(I323, L323, Holiday_Dates) &lt;= 0,
                1,
                NETWORKDAYS(I323, L323, Holiday_Dates) - IF(I323 = L323, 0, 1)
            )
        )
    ),
    ""
)</f>
        <v/>
      </c>
      <c r="Q323" s="385" t="str">
        <f>IF(
    OR(ISBLANK(L323), ISBLANK(M323)),
    "",
    MAX(
        1,
        IF(
            NETWORKDAYS(L323, M323, Holiday_Dates) &lt;= 0,
            1,
            NETWORKDAYS(L323, M323, Holiday_Dates) - IF(L323 = M323, 0, 1)
        )
    )
)</f>
        <v/>
      </c>
      <c r="R323" s="385" t="str">
        <f>IFERROR(
    IF(
        OR(ISBLANK(N323), AND(ISBLANK(L323), ISBLANK(M323))),
        "",
        MAX(
            1,
            IF(
                NETWORKDAYS(IF(NOT(ISBLANK(M323)), M323, L323), N323, Holiday_Dates) &lt;= 0,
                1,
                NETWORKDAYS(IF(NOT(ISBLANK(M323)), M323, L323), N323, Holiday_Dates)
                - IF(IF(NOT(ISBLANK(M323)), M323, L323) = N323, 0, 1)
            )
        )
    ),
    ""
)</f>
        <v/>
      </c>
      <c r="S323" s="385" t="str">
        <f>IFERROR(
    IF(
        OR(ISBLANK(N323), ISBLANK(O323)),
        "",
        MAX(
            1,
            IF(
                NETWORKDAYS(N323, O323, Holiday_Dates) &lt;= 0,
                1,
                NETWORKDAYS(N323, O323, Holiday_Dates) - IF(N323 = O323, 0, 1)
            )
        )
    ),
    ""
)</f>
        <v/>
      </c>
      <c r="T323" s="385"/>
      <c r="U323" s="385" t="s">
        <v>4</v>
      </c>
      <c r="V323" s="385" t="s">
        <v>108</v>
      </c>
      <c r="W323" s="385" t="s">
        <v>1436</v>
      </c>
      <c r="X323" s="1"/>
    </row>
    <row r="324" spans="1:24">
      <c r="A324" s="385" t="s">
        <v>48</v>
      </c>
      <c r="B324" s="385" t="s">
        <v>486</v>
      </c>
      <c r="C324" s="385" t="s">
        <v>2081</v>
      </c>
      <c r="D324" s="385" t="s">
        <v>88</v>
      </c>
      <c r="E324" s="385"/>
      <c r="F324" s="385"/>
      <c r="G324" s="385"/>
      <c r="H324" s="385">
        <v>2024</v>
      </c>
      <c r="I324" s="385" t="s">
        <v>2082</v>
      </c>
      <c r="J324" s="30"/>
      <c r="K324" s="385"/>
      <c r="L324" s="385"/>
      <c r="M324" s="385"/>
      <c r="N324" s="385"/>
      <c r="O324" s="385"/>
      <c r="P324" s="385" t="str">
        <f>IFERROR(
    IF(
        OR(ISBLANK(I324), ISBLANK(L324)),
        "",
        MAX(
            1,
            IF(
                NETWORKDAYS(I324, L324, Holiday_Dates) &lt;= 0,
                1,
                NETWORKDAYS(I324, L324, Holiday_Dates) - IF(I324 = L324, 0, 1)
            )
        )
    ),
    ""
)</f>
        <v/>
      </c>
      <c r="Q324" s="385" t="str">
        <f>IF(
    OR(ISBLANK(L324), ISBLANK(M324)),
    "",
    MAX(
        1,
        IF(
            NETWORKDAYS(L324, M324, Holiday_Dates) &lt;= 0,
            1,
            NETWORKDAYS(L324, M324, Holiday_Dates) - IF(L324 = M324, 0, 1)
        )
    )
)</f>
        <v/>
      </c>
      <c r="R324" s="385" t="str">
        <f>IFERROR(
    IF(
        OR(ISBLANK(N324), AND(ISBLANK(L324), ISBLANK(M324))),
        "",
        MAX(
            1,
            IF(
                NETWORKDAYS(IF(NOT(ISBLANK(M324)), M324, L324), N324, Holiday_Dates) &lt;= 0,
                1,
                NETWORKDAYS(IF(NOT(ISBLANK(M324)), M324, L324), N324, Holiday_Dates)
                - IF(IF(NOT(ISBLANK(M324)), M324, L324) = N324, 0, 1)
            )
        )
    ),
    ""
)</f>
        <v/>
      </c>
      <c r="S324" s="385" t="str">
        <f>IFERROR(
    IF(
        OR(ISBLANK(N324), ISBLANK(O324)),
        "",
        MAX(
            1,
            IF(
                NETWORKDAYS(N324, O324, Holiday_Dates) &lt;= 0,
                1,
                NETWORKDAYS(N324, O324, Holiday_Dates) - IF(N324 = O324, 0, 1)
            )
        )
    ),
    ""
)</f>
        <v/>
      </c>
      <c r="T324" s="385"/>
      <c r="U324" s="385" t="s">
        <v>4</v>
      </c>
      <c r="V324" s="385" t="s">
        <v>108</v>
      </c>
      <c r="W324" s="385" t="s">
        <v>1436</v>
      </c>
      <c r="X324" s="1"/>
    </row>
    <row r="325" spans="1:24">
      <c r="A325" s="385" t="s">
        <v>48</v>
      </c>
      <c r="B325" s="385" t="s">
        <v>486</v>
      </c>
      <c r="C325" s="385" t="s">
        <v>2057</v>
      </c>
      <c r="D325" s="385" t="s">
        <v>88</v>
      </c>
      <c r="E325" s="385"/>
      <c r="F325" s="385"/>
      <c r="G325" s="385"/>
      <c r="H325" s="385">
        <v>2024</v>
      </c>
      <c r="I325" s="386">
        <v>45595</v>
      </c>
      <c r="J325" s="30"/>
      <c r="K325" s="385"/>
      <c r="L325" s="385"/>
      <c r="M325" s="385"/>
      <c r="N325" s="385"/>
      <c r="O325" s="385"/>
      <c r="P325" s="385" t="str">
        <f>IFERROR(
    IF(
        OR(ISBLANK(I325), ISBLANK(L325)),
        "",
        MAX(
            1,
            IF(
                NETWORKDAYS(I325, L325, Holiday_Dates) &lt;= 0,
                1,
                NETWORKDAYS(I325, L325, Holiday_Dates) - IF(I325 = L325, 0, 1)
            )
        )
    ),
    ""
)</f>
        <v/>
      </c>
      <c r="Q325" s="385" t="str">
        <f>IF(
    OR(ISBLANK(L325), ISBLANK(M325)),
    "",
    MAX(
        1,
        IF(
            NETWORKDAYS(L325, M325, Holiday_Dates) &lt;= 0,
            1,
            NETWORKDAYS(L325, M325, Holiday_Dates) - IF(L325 = M325, 0, 1)
        )
    )
)</f>
        <v/>
      </c>
      <c r="R325" s="385" t="str">
        <f>IFERROR(
    IF(
        OR(ISBLANK(N325), AND(ISBLANK(L325), ISBLANK(M325))),
        "",
        MAX(
            1,
            IF(
                NETWORKDAYS(IF(NOT(ISBLANK(M325)), M325, L325), N325, Holiday_Dates) &lt;= 0,
                1,
                NETWORKDAYS(IF(NOT(ISBLANK(M325)), M325, L325), N325, Holiday_Dates)
                - IF(IF(NOT(ISBLANK(M325)), M325, L325) = N325, 0, 1)
            )
        )
    ),
    ""
)</f>
        <v/>
      </c>
      <c r="S325" s="385" t="str">
        <f>IFERROR(
    IF(
        OR(ISBLANK(N325), ISBLANK(O325)),
        "",
        MAX(
            1,
            IF(
                NETWORKDAYS(N325, O325, Holiday_Dates) &lt;= 0,
                1,
                NETWORKDAYS(N325, O325, Holiday_Dates) - IF(N325 = O325, 0, 1)
            )
        )
    ),
    ""
)</f>
        <v/>
      </c>
      <c r="T325" s="385"/>
      <c r="U325" s="385" t="s">
        <v>4</v>
      </c>
      <c r="V325" s="385" t="s">
        <v>108</v>
      </c>
      <c r="W325" s="385" t="s">
        <v>1436</v>
      </c>
      <c r="X325" s="1"/>
    </row>
    <row r="326" spans="1:24">
      <c r="A326" s="385" t="s">
        <v>48</v>
      </c>
      <c r="B326" s="385" t="s">
        <v>486</v>
      </c>
      <c r="C326" s="385" t="s">
        <v>2059</v>
      </c>
      <c r="D326" s="385" t="s">
        <v>88</v>
      </c>
      <c r="E326" s="385"/>
      <c r="F326" s="385"/>
      <c r="G326" s="385"/>
      <c r="H326" s="385">
        <v>2024</v>
      </c>
      <c r="I326" s="385" t="s">
        <v>4640</v>
      </c>
      <c r="J326" s="30"/>
      <c r="K326" s="385"/>
      <c r="L326" s="385"/>
      <c r="M326" s="385"/>
      <c r="N326" s="385"/>
      <c r="O326" s="385"/>
      <c r="P326" s="385" t="str">
        <f>IFERROR(
    IF(
        OR(ISBLANK(I326), ISBLANK(L326)),
        "",
        MAX(
            1,
            IF(
                NETWORKDAYS(I326, L326, Holiday_Dates) &lt;= 0,
                1,
                NETWORKDAYS(I326, L326, Holiday_Dates) - IF(I326 = L326, 0, 1)
            )
        )
    ),
    ""
)</f>
        <v/>
      </c>
      <c r="Q326" s="385" t="str">
        <f>IF(
    OR(ISBLANK(L326), ISBLANK(M326)),
    "",
    MAX(
        1,
        IF(
            NETWORKDAYS(L326, M326, Holiday_Dates) &lt;= 0,
            1,
            NETWORKDAYS(L326, M326, Holiday_Dates) - IF(L326 = M326, 0, 1)
        )
    )
)</f>
        <v/>
      </c>
      <c r="R326" s="385" t="str">
        <f>IFERROR(
    IF(
        OR(ISBLANK(N326), AND(ISBLANK(L326), ISBLANK(M326))),
        "",
        MAX(
            1,
            IF(
                NETWORKDAYS(IF(NOT(ISBLANK(M326)), M326, L326), N326, Holiday_Dates) &lt;= 0,
                1,
                NETWORKDAYS(IF(NOT(ISBLANK(M326)), M326, L326), N326, Holiday_Dates)
                - IF(IF(NOT(ISBLANK(M326)), M326, L326) = N326, 0, 1)
            )
        )
    ),
    ""
)</f>
        <v/>
      </c>
      <c r="S326" s="385" t="str">
        <f>IFERROR(
    IF(
        OR(ISBLANK(N326), ISBLANK(O326)),
        "",
        MAX(
            1,
            IF(
                NETWORKDAYS(N326, O326, Holiday_Dates) &lt;= 0,
                1,
                NETWORKDAYS(N326, O326, Holiday_Dates) - IF(N326 = O326, 0, 1)
            )
        )
    ),
    ""
)</f>
        <v/>
      </c>
      <c r="T326" s="385"/>
      <c r="U326" s="385" t="s">
        <v>4</v>
      </c>
      <c r="V326" s="385" t="s">
        <v>101</v>
      </c>
      <c r="W326" s="385" t="s">
        <v>1436</v>
      </c>
      <c r="X326" s="1"/>
    </row>
    <row r="327" spans="1:24">
      <c r="A327" s="385" t="s">
        <v>48</v>
      </c>
      <c r="B327" s="385" t="s">
        <v>486</v>
      </c>
      <c r="C327" s="385" t="s">
        <v>1030</v>
      </c>
      <c r="D327" s="385" t="s">
        <v>88</v>
      </c>
      <c r="E327" s="385"/>
      <c r="F327" s="385"/>
      <c r="G327" s="385"/>
      <c r="H327" s="385">
        <v>2024</v>
      </c>
      <c r="I327" s="385" t="s">
        <v>2085</v>
      </c>
      <c r="J327" s="30"/>
      <c r="K327" s="385"/>
      <c r="L327" s="385"/>
      <c r="M327" s="385"/>
      <c r="N327" s="385"/>
      <c r="O327" s="385"/>
      <c r="P327" s="385" t="str">
        <f>IFERROR(
    IF(
        OR(ISBLANK(I327), ISBLANK(L327)),
        "",
        MAX(
            1,
            IF(
                NETWORKDAYS(I327, L327, Holiday_Dates) &lt;= 0,
                1,
                NETWORKDAYS(I327, L327, Holiday_Dates) - IF(I327 = L327, 0, 1)
            )
        )
    ),
    ""
)</f>
        <v/>
      </c>
      <c r="Q327" s="385" t="str">
        <f>IF(
    OR(ISBLANK(L327), ISBLANK(M327)),
    "",
    MAX(
        1,
        IF(
            NETWORKDAYS(L327, M327, Holiday_Dates) &lt;= 0,
            1,
            NETWORKDAYS(L327, M327, Holiday_Dates) - IF(L327 = M327, 0, 1)
        )
    )
)</f>
        <v/>
      </c>
      <c r="R327" s="385" t="str">
        <f>IFERROR(
    IF(
        OR(ISBLANK(N327), AND(ISBLANK(L327), ISBLANK(M327))),
        "",
        MAX(
            1,
            IF(
                NETWORKDAYS(IF(NOT(ISBLANK(M327)), M327, L327), N327, Holiday_Dates) &lt;= 0,
                1,
                NETWORKDAYS(IF(NOT(ISBLANK(M327)), M327, L327), N327, Holiday_Dates)
                - IF(IF(NOT(ISBLANK(M327)), M327, L327) = N327, 0, 1)
            )
        )
    ),
    ""
)</f>
        <v/>
      </c>
      <c r="S327" s="385" t="str">
        <f>IFERROR(
    IF(
        OR(ISBLANK(N327), ISBLANK(O327)),
        "",
        MAX(
            1,
            IF(
                NETWORKDAYS(N327, O327, Holiday_Dates) &lt;= 0,
                1,
                NETWORKDAYS(N327, O327, Holiday_Dates) - IF(N327 = O327, 0, 1)
            )
        )
    ),
    ""
)</f>
        <v/>
      </c>
      <c r="T327" s="385"/>
      <c r="U327" s="385" t="s">
        <v>4</v>
      </c>
      <c r="V327" s="385" t="s">
        <v>101</v>
      </c>
      <c r="W327" s="385" t="s">
        <v>1436</v>
      </c>
      <c r="X327" s="1"/>
    </row>
    <row r="328" spans="1:24">
      <c r="A328" s="385" t="s">
        <v>48</v>
      </c>
      <c r="B328" s="385" t="s">
        <v>486</v>
      </c>
      <c r="C328" s="385" t="s">
        <v>2061</v>
      </c>
      <c r="D328" s="385" t="s">
        <v>88</v>
      </c>
      <c r="E328" s="385"/>
      <c r="F328" s="385"/>
      <c r="G328" s="385"/>
      <c r="H328" s="385">
        <v>2024</v>
      </c>
      <c r="I328" s="385" t="s">
        <v>2062</v>
      </c>
      <c r="J328" s="30"/>
      <c r="K328" s="385"/>
      <c r="L328" s="385"/>
      <c r="M328" s="385"/>
      <c r="N328" s="385"/>
      <c r="O328" s="385"/>
      <c r="P328" s="385" t="str">
        <f>IFERROR(
    IF(
        OR(ISBLANK(I328), ISBLANK(L328)),
        "",
        MAX(
            1,
            IF(
                NETWORKDAYS(I328, L328, Holiday_Dates) &lt;= 0,
                1,
                NETWORKDAYS(I328, L328, Holiday_Dates) - IF(I328 = L328, 0, 1)
            )
        )
    ),
    ""
)</f>
        <v/>
      </c>
      <c r="Q328" s="385" t="str">
        <f>IF(
    OR(ISBLANK(L328), ISBLANK(M328)),
    "",
    MAX(
        1,
        IF(
            NETWORKDAYS(L328, M328, Holiday_Dates) &lt;= 0,
            1,
            NETWORKDAYS(L328, M328, Holiday_Dates) - IF(L328 = M328, 0, 1)
        )
    )
)</f>
        <v/>
      </c>
      <c r="R328" s="385" t="str">
        <f>IFERROR(
    IF(
        OR(ISBLANK(N328), AND(ISBLANK(L328), ISBLANK(M328))),
        "",
        MAX(
            1,
            IF(
                NETWORKDAYS(IF(NOT(ISBLANK(M328)), M328, L328), N328, Holiday_Dates) &lt;= 0,
                1,
                NETWORKDAYS(IF(NOT(ISBLANK(M328)), M328, L328), N328, Holiday_Dates)
                - IF(IF(NOT(ISBLANK(M328)), M328, L328) = N328, 0, 1)
            )
        )
    ),
    ""
)</f>
        <v/>
      </c>
      <c r="S328" s="385" t="str">
        <f>IFERROR(
    IF(
        OR(ISBLANK(N328), ISBLANK(O328)),
        "",
        MAX(
            1,
            IF(
                NETWORKDAYS(N328, O328, Holiday_Dates) &lt;= 0,
                1,
                NETWORKDAYS(N328, O328, Holiday_Dates) - IF(N328 = O328, 0, 1)
            )
        )
    ),
    ""
)</f>
        <v/>
      </c>
      <c r="T328" s="385"/>
      <c r="U328" s="385" t="s">
        <v>4</v>
      </c>
      <c r="V328" s="385" t="s">
        <v>101</v>
      </c>
      <c r="W328" s="385" t="s">
        <v>1436</v>
      </c>
      <c r="X328" s="1"/>
    </row>
    <row r="329" spans="1:24">
      <c r="A329" s="385" t="s">
        <v>48</v>
      </c>
      <c r="B329" s="385" t="s">
        <v>486</v>
      </c>
      <c r="C329" s="385" t="s">
        <v>2064</v>
      </c>
      <c r="D329" s="385" t="s">
        <v>88</v>
      </c>
      <c r="E329" s="385"/>
      <c r="F329" s="385"/>
      <c r="G329" s="385"/>
      <c r="H329" s="385">
        <v>2024</v>
      </c>
      <c r="I329" s="385" t="s">
        <v>4682</v>
      </c>
      <c r="J329" s="30"/>
      <c r="K329" s="385"/>
      <c r="L329" s="385"/>
      <c r="M329" s="385"/>
      <c r="N329" s="385"/>
      <c r="O329" s="385"/>
      <c r="P329" s="385" t="str">
        <f>IFERROR(
    IF(
        OR(ISBLANK(I329), ISBLANK(L329)),
        "",
        MAX(
            1,
            IF(
                NETWORKDAYS(I329, L329, Holiday_Dates) &lt;= 0,
                1,
                NETWORKDAYS(I329, L329, Holiday_Dates) - IF(I329 = L329, 0, 1)
            )
        )
    ),
    ""
)</f>
        <v/>
      </c>
      <c r="Q329" s="385" t="str">
        <f>IF(
    OR(ISBLANK(L329), ISBLANK(M329)),
    "",
    MAX(
        1,
        IF(
            NETWORKDAYS(L329, M329, Holiday_Dates) &lt;= 0,
            1,
            NETWORKDAYS(L329, M329, Holiday_Dates) - IF(L329 = M329, 0, 1)
        )
    )
)</f>
        <v/>
      </c>
      <c r="R329" s="385" t="str">
        <f>IFERROR(
    IF(
        OR(ISBLANK(N329), AND(ISBLANK(L329), ISBLANK(M329))),
        "",
        MAX(
            1,
            IF(
                NETWORKDAYS(IF(NOT(ISBLANK(M329)), M329, L329), N329, Holiday_Dates) &lt;= 0,
                1,
                NETWORKDAYS(IF(NOT(ISBLANK(M329)), M329, L329), N329, Holiday_Dates)
                - IF(IF(NOT(ISBLANK(M329)), M329, L329) = N329, 0, 1)
            )
        )
    ),
    ""
)</f>
        <v/>
      </c>
      <c r="S329" s="385" t="str">
        <f>IFERROR(
    IF(
        OR(ISBLANK(N329), ISBLANK(O329)),
        "",
        MAX(
            1,
            IF(
                NETWORKDAYS(N329, O329, Holiday_Dates) &lt;= 0,
                1,
                NETWORKDAYS(N329, O329, Holiday_Dates) - IF(N329 = O329, 0, 1)
            )
        )
    ),
    ""
)</f>
        <v/>
      </c>
      <c r="T329" s="385"/>
      <c r="U329" s="385" t="s">
        <v>672</v>
      </c>
      <c r="V329" s="385"/>
      <c r="W329" s="385" t="s">
        <v>1436</v>
      </c>
      <c r="X329" s="1"/>
    </row>
    <row r="330" spans="1:24">
      <c r="A330" s="385" t="s">
        <v>48</v>
      </c>
      <c r="B330" s="385" t="s">
        <v>486</v>
      </c>
      <c r="C330" s="385" t="s">
        <v>2066</v>
      </c>
      <c r="D330" s="385" t="s">
        <v>88</v>
      </c>
      <c r="E330" s="385"/>
      <c r="F330" s="385"/>
      <c r="G330" s="385"/>
      <c r="H330" s="385">
        <v>2024</v>
      </c>
      <c r="I330" s="385" t="s">
        <v>4594</v>
      </c>
      <c r="J330" s="30"/>
      <c r="K330" s="385"/>
      <c r="L330" s="385"/>
      <c r="M330" s="385"/>
      <c r="N330" s="385"/>
      <c r="O330" s="385"/>
      <c r="P330" s="385" t="str">
        <f>IFERROR(
    IF(
        OR(ISBLANK(I330), ISBLANK(L330)),
        "",
        MAX(
            1,
            IF(
                NETWORKDAYS(I330, L330, Holiday_Dates) &lt;= 0,
                1,
                NETWORKDAYS(I330, L330, Holiday_Dates) - IF(I330 = L330, 0, 1)
            )
        )
    ),
    ""
)</f>
        <v/>
      </c>
      <c r="Q330" s="385" t="str">
        <f>IF(
    OR(ISBLANK(L330), ISBLANK(M330)),
    "",
    MAX(
        1,
        IF(
            NETWORKDAYS(L330, M330, Holiday_Dates) &lt;= 0,
            1,
            NETWORKDAYS(L330, M330, Holiday_Dates) - IF(L330 = M330, 0, 1)
        )
    )
)</f>
        <v/>
      </c>
      <c r="R330" s="385" t="str">
        <f>IFERROR(
    IF(
        OR(ISBLANK(N330), AND(ISBLANK(L330), ISBLANK(M330))),
        "",
        MAX(
            1,
            IF(
                NETWORKDAYS(IF(NOT(ISBLANK(M330)), M330, L330), N330, Holiday_Dates) &lt;= 0,
                1,
                NETWORKDAYS(IF(NOT(ISBLANK(M330)), M330, L330), N330, Holiday_Dates)
                - IF(IF(NOT(ISBLANK(M330)), M330, L330) = N330, 0, 1)
            )
        )
    ),
    ""
)</f>
        <v/>
      </c>
      <c r="S330" s="385" t="str">
        <f>IFERROR(
    IF(
        OR(ISBLANK(N330), ISBLANK(O330)),
        "",
        MAX(
            1,
            IF(
                NETWORKDAYS(N330, O330, Holiday_Dates) &lt;= 0,
                1,
                NETWORKDAYS(N330, O330, Holiday_Dates) - IF(N330 = O330, 0, 1)
            )
        )
    ),
    ""
)</f>
        <v/>
      </c>
      <c r="T330" s="385"/>
      <c r="U330" s="385" t="s">
        <v>4</v>
      </c>
      <c r="V330" s="385" t="s">
        <v>101</v>
      </c>
      <c r="W330" s="385" t="s">
        <v>1436</v>
      </c>
      <c r="X330" s="1"/>
    </row>
    <row r="331" spans="1:24">
      <c r="A331" s="385" t="s">
        <v>48</v>
      </c>
      <c r="B331" s="385" t="s">
        <v>486</v>
      </c>
      <c r="C331" s="385" t="s">
        <v>2068</v>
      </c>
      <c r="D331" s="385" t="s">
        <v>88</v>
      </c>
      <c r="E331" s="385"/>
      <c r="F331" s="385"/>
      <c r="G331" s="385"/>
      <c r="H331" s="385">
        <v>2024</v>
      </c>
      <c r="I331" s="385" t="s">
        <v>2069</v>
      </c>
      <c r="J331" s="30"/>
      <c r="K331" s="385"/>
      <c r="L331" s="385"/>
      <c r="M331" s="385"/>
      <c r="N331" s="385"/>
      <c r="O331" s="385"/>
      <c r="P331" s="385" t="str">
        <f>IFERROR(
    IF(
        OR(ISBLANK(I331), ISBLANK(L331)),
        "",
        MAX(
            1,
            IF(
                NETWORKDAYS(I331, L331, Holiday_Dates) &lt;= 0,
                1,
                NETWORKDAYS(I331, L331, Holiday_Dates) - IF(I331 = L331, 0, 1)
            )
        )
    ),
    ""
)</f>
        <v/>
      </c>
      <c r="Q331" s="385" t="str">
        <f>IF(
    OR(ISBLANK(L331), ISBLANK(M331)),
    "",
    MAX(
        1,
        IF(
            NETWORKDAYS(L331, M331, Holiday_Dates) &lt;= 0,
            1,
            NETWORKDAYS(L331, M331, Holiday_Dates) - IF(L331 = M331, 0, 1)
        )
    )
)</f>
        <v/>
      </c>
      <c r="R331" s="385" t="str">
        <f>IFERROR(
    IF(
        OR(ISBLANK(N331), AND(ISBLANK(L331), ISBLANK(M331))),
        "",
        MAX(
            1,
            IF(
                NETWORKDAYS(IF(NOT(ISBLANK(M331)), M331, L331), N331, Holiday_Dates) &lt;= 0,
                1,
                NETWORKDAYS(IF(NOT(ISBLANK(M331)), M331, L331), N331, Holiday_Dates)
                - IF(IF(NOT(ISBLANK(M331)), M331, L331) = N331, 0, 1)
            )
        )
    ),
    ""
)</f>
        <v/>
      </c>
      <c r="S331" s="385" t="str">
        <f>IFERROR(
    IF(
        OR(ISBLANK(N331), ISBLANK(O331)),
        "",
        MAX(
            1,
            IF(
                NETWORKDAYS(N331, O331, Holiday_Dates) &lt;= 0,
                1,
                NETWORKDAYS(N331, O331, Holiday_Dates) - IF(N331 = O331, 0, 1)
            )
        )
    ),
    ""
)</f>
        <v/>
      </c>
      <c r="T331" s="385"/>
      <c r="U331" s="385" t="s">
        <v>672</v>
      </c>
      <c r="V331" s="385"/>
      <c r="W331" s="385" t="s">
        <v>1436</v>
      </c>
      <c r="X331" s="1"/>
    </row>
    <row r="332" spans="1:24">
      <c r="A332" s="385" t="s">
        <v>48</v>
      </c>
      <c r="B332" s="385" t="s">
        <v>486</v>
      </c>
      <c r="C332" s="385" t="s">
        <v>2071</v>
      </c>
      <c r="D332" s="385" t="s">
        <v>88</v>
      </c>
      <c r="E332" s="385"/>
      <c r="F332" s="385"/>
      <c r="G332" s="385"/>
      <c r="H332" s="385">
        <v>2024</v>
      </c>
      <c r="I332" s="386">
        <v>45595</v>
      </c>
      <c r="J332" s="30"/>
      <c r="K332" s="385"/>
      <c r="L332" s="385"/>
      <c r="M332" s="385"/>
      <c r="N332" s="385"/>
      <c r="O332" s="385"/>
      <c r="P332" s="385" t="str">
        <f>IFERROR(
    IF(
        OR(ISBLANK(I332), ISBLANK(L332)),
        "",
        MAX(
            1,
            IF(
                NETWORKDAYS(I332, L332, Holiday_Dates) &lt;= 0,
                1,
                NETWORKDAYS(I332, L332, Holiday_Dates) - IF(I332 = L332, 0, 1)
            )
        )
    ),
    ""
)</f>
        <v/>
      </c>
      <c r="Q332" s="385" t="str">
        <f>IF(
    OR(ISBLANK(L332), ISBLANK(M332)),
    "",
    MAX(
        1,
        IF(
            NETWORKDAYS(L332, M332, Holiday_Dates) &lt;= 0,
            1,
            NETWORKDAYS(L332, M332, Holiday_Dates) - IF(L332 = M332, 0, 1)
        )
    )
)</f>
        <v/>
      </c>
      <c r="R332" s="385" t="str">
        <f>IFERROR(
    IF(
        OR(ISBLANK(N332), AND(ISBLANK(L332), ISBLANK(M332))),
        "",
        MAX(
            1,
            IF(
                NETWORKDAYS(IF(NOT(ISBLANK(M332)), M332, L332), N332, Holiday_Dates) &lt;= 0,
                1,
                NETWORKDAYS(IF(NOT(ISBLANK(M332)), M332, L332), N332, Holiday_Dates)
                - IF(IF(NOT(ISBLANK(M332)), M332, L332) = N332, 0, 1)
            )
        )
    ),
    ""
)</f>
        <v/>
      </c>
      <c r="S332" s="385" t="str">
        <f>IFERROR(
    IF(
        OR(ISBLANK(N332), ISBLANK(O332)),
        "",
        MAX(
            1,
            IF(
                NETWORKDAYS(N332, O332, Holiday_Dates) &lt;= 0,
                1,
                NETWORKDAYS(N332, O332, Holiday_Dates) - IF(N332 = O332, 0, 1)
            )
        )
    ),
    ""
)</f>
        <v/>
      </c>
      <c r="T332" s="385"/>
      <c r="U332" s="385" t="s">
        <v>4</v>
      </c>
      <c r="V332" s="385" t="s">
        <v>108</v>
      </c>
      <c r="W332" s="385" t="s">
        <v>1436</v>
      </c>
      <c r="X332" s="1"/>
    </row>
    <row r="333" spans="1:24">
      <c r="A333" s="385" t="s">
        <v>48</v>
      </c>
      <c r="B333" s="385" t="s">
        <v>486</v>
      </c>
      <c r="C333" s="385" t="s">
        <v>1719</v>
      </c>
      <c r="D333" s="385" t="s">
        <v>88</v>
      </c>
      <c r="E333" s="385"/>
      <c r="F333" s="385"/>
      <c r="G333" s="385"/>
      <c r="H333" s="385">
        <v>2024</v>
      </c>
      <c r="I333" s="385" t="s">
        <v>2073</v>
      </c>
      <c r="J333" s="30"/>
      <c r="K333" s="385"/>
      <c r="L333" s="385"/>
      <c r="M333" s="385"/>
      <c r="N333" s="385"/>
      <c r="O333" s="385"/>
      <c r="P333" s="385" t="str">
        <f>IFERROR(
    IF(
        OR(ISBLANK(I333), ISBLANK(L333)),
        "",
        MAX(
            1,
            IF(
                NETWORKDAYS(I333, L333, Holiday_Dates) &lt;= 0,
                1,
                NETWORKDAYS(I333, L333, Holiday_Dates) - IF(I333 = L333, 0, 1)
            )
        )
    ),
    ""
)</f>
        <v/>
      </c>
      <c r="Q333" s="385" t="str">
        <f>IF(
    OR(ISBLANK(L333), ISBLANK(M333)),
    "",
    MAX(
        1,
        IF(
            NETWORKDAYS(L333, M333, Holiday_Dates) &lt;= 0,
            1,
            NETWORKDAYS(L333, M333, Holiday_Dates) - IF(L333 = M333, 0, 1)
        )
    )
)</f>
        <v/>
      </c>
      <c r="R333" s="385" t="str">
        <f>IFERROR(
    IF(
        OR(ISBLANK(N333), AND(ISBLANK(L333), ISBLANK(M333))),
        "",
        MAX(
            1,
            IF(
                NETWORKDAYS(IF(NOT(ISBLANK(M333)), M333, L333), N333, Holiday_Dates) &lt;= 0,
                1,
                NETWORKDAYS(IF(NOT(ISBLANK(M333)), M333, L333), N333, Holiday_Dates)
                - IF(IF(NOT(ISBLANK(M333)), M333, L333) = N333, 0, 1)
            )
        )
    ),
    ""
)</f>
        <v/>
      </c>
      <c r="S333" s="385" t="str">
        <f>IFERROR(
    IF(
        OR(ISBLANK(N333), ISBLANK(O333)),
        "",
        MAX(
            1,
            IF(
                NETWORKDAYS(N333, O333, Holiday_Dates) &lt;= 0,
                1,
                NETWORKDAYS(N333, O333, Holiday_Dates) - IF(N333 = O333, 0, 1)
            )
        )
    ),
    ""
)</f>
        <v/>
      </c>
      <c r="T333" s="385"/>
      <c r="U333" s="385" t="s">
        <v>4</v>
      </c>
      <c r="V333" s="385" t="s">
        <v>101</v>
      </c>
      <c r="W333" s="385" t="s">
        <v>1436</v>
      </c>
      <c r="X333" s="1"/>
    </row>
    <row r="334" spans="1:24">
      <c r="A334" s="385" t="s">
        <v>48</v>
      </c>
      <c r="B334" s="385" t="s">
        <v>373</v>
      </c>
      <c r="C334" s="385" t="s">
        <v>2087</v>
      </c>
      <c r="D334" s="385" t="s">
        <v>88</v>
      </c>
      <c r="E334" s="385"/>
      <c r="F334" s="385"/>
      <c r="G334" s="385"/>
      <c r="H334" s="385">
        <v>2024</v>
      </c>
      <c r="I334" s="385" t="s">
        <v>4594</v>
      </c>
      <c r="J334" s="30"/>
      <c r="K334" s="385"/>
      <c r="L334" s="385"/>
      <c r="M334" s="385"/>
      <c r="N334" s="385"/>
      <c r="O334" s="385"/>
      <c r="P334" s="385" t="str">
        <f>IFERROR(
    IF(
        OR(ISBLANK(I334), ISBLANK(L334)),
        "",
        MAX(
            1,
            IF(
                NETWORKDAYS(I334, L334, Holiday_Dates) &lt;= 0,
                1,
                NETWORKDAYS(I334, L334, Holiday_Dates) - IF(I334 = L334, 0, 1)
            )
        )
    ),
    ""
)</f>
        <v/>
      </c>
      <c r="Q334" s="385" t="str">
        <f>IF(
    OR(ISBLANK(L334), ISBLANK(M334)),
    "",
    MAX(
        1,
        IF(
            NETWORKDAYS(L334, M334, Holiday_Dates) &lt;= 0,
            1,
            NETWORKDAYS(L334, M334, Holiday_Dates) - IF(L334 = M334, 0, 1)
        )
    )
)</f>
        <v/>
      </c>
      <c r="R334" s="385" t="str">
        <f>IFERROR(
    IF(
        OR(ISBLANK(N334), AND(ISBLANK(L334), ISBLANK(M334))),
        "",
        MAX(
            1,
            IF(
                NETWORKDAYS(IF(NOT(ISBLANK(M334)), M334, L334), N334, Holiday_Dates) &lt;= 0,
                1,
                NETWORKDAYS(IF(NOT(ISBLANK(M334)), M334, L334), N334, Holiday_Dates)
                - IF(IF(NOT(ISBLANK(M334)), M334, L334) = N334, 0, 1)
            )
        )
    ),
    ""
)</f>
        <v/>
      </c>
      <c r="S334" s="385" t="str">
        <f>IFERROR(
    IF(
        OR(ISBLANK(N334), ISBLANK(O334)),
        "",
        MAX(
            1,
            IF(
                NETWORKDAYS(N334, O334, Holiday_Dates) &lt;= 0,
                1,
                NETWORKDAYS(N334, O334, Holiday_Dates) - IF(N334 = O334, 0, 1)
            )
        )
    ),
    ""
)</f>
        <v/>
      </c>
      <c r="T334" s="385"/>
      <c r="U334" s="385" t="s">
        <v>4</v>
      </c>
      <c r="V334" s="385" t="s">
        <v>101</v>
      </c>
      <c r="W334" s="385" t="s">
        <v>1436</v>
      </c>
      <c r="X334" s="1"/>
    </row>
    <row r="335" spans="1:24">
      <c r="A335" s="385" t="s">
        <v>48</v>
      </c>
      <c r="B335" s="385" t="s">
        <v>373</v>
      </c>
      <c r="C335" s="385" t="s">
        <v>1724</v>
      </c>
      <c r="D335" s="385" t="s">
        <v>88</v>
      </c>
      <c r="E335" s="385"/>
      <c r="F335" s="385"/>
      <c r="G335" s="385"/>
      <c r="H335" s="385">
        <v>2024</v>
      </c>
      <c r="I335" s="385" t="s">
        <v>1815</v>
      </c>
      <c r="J335" s="30"/>
      <c r="K335" s="385"/>
      <c r="L335" s="385"/>
      <c r="M335" s="385"/>
      <c r="N335" s="385"/>
      <c r="O335" s="385"/>
      <c r="P335" s="385" t="str">
        <f>IFERROR(
    IF(
        OR(ISBLANK(I335), ISBLANK(L335)),
        "",
        MAX(
            1,
            IF(
                NETWORKDAYS(I335, L335, Holiday_Dates) &lt;= 0,
                1,
                NETWORKDAYS(I335, L335, Holiday_Dates) - IF(I335 = L335, 0, 1)
            )
        )
    ),
    ""
)</f>
        <v/>
      </c>
      <c r="Q335" s="385" t="str">
        <f>IF(
    OR(ISBLANK(L335), ISBLANK(M335)),
    "",
    MAX(
        1,
        IF(
            NETWORKDAYS(L335, M335, Holiday_Dates) &lt;= 0,
            1,
            NETWORKDAYS(L335, M335, Holiday_Dates) - IF(L335 = M335, 0, 1)
        )
    )
)</f>
        <v/>
      </c>
      <c r="R335" s="385" t="str">
        <f>IFERROR(
    IF(
        OR(ISBLANK(N335), AND(ISBLANK(L335), ISBLANK(M335))),
        "",
        MAX(
            1,
            IF(
                NETWORKDAYS(IF(NOT(ISBLANK(M335)), M335, L335), N335, Holiday_Dates) &lt;= 0,
                1,
                NETWORKDAYS(IF(NOT(ISBLANK(M335)), M335, L335), N335, Holiday_Dates)
                - IF(IF(NOT(ISBLANK(M335)), M335, L335) = N335, 0, 1)
            )
        )
    ),
    ""
)</f>
        <v/>
      </c>
      <c r="S335" s="385" t="str">
        <f>IFERROR(
    IF(
        OR(ISBLANK(N335), ISBLANK(O335)),
        "",
        MAX(
            1,
            IF(
                NETWORKDAYS(N335, O335, Holiday_Dates) &lt;= 0,
                1,
                NETWORKDAYS(N335, O335, Holiday_Dates) - IF(N335 = O335, 0, 1)
            )
        )
    ),
    ""
)</f>
        <v/>
      </c>
      <c r="T335" s="385"/>
      <c r="U335" s="385" t="s">
        <v>4</v>
      </c>
      <c r="V335" s="385" t="s">
        <v>101</v>
      </c>
      <c r="W335" s="385" t="s">
        <v>1436</v>
      </c>
      <c r="X335" s="1"/>
    </row>
    <row r="336" spans="1:24">
      <c r="A336" s="385" t="s">
        <v>48</v>
      </c>
      <c r="B336" s="385" t="s">
        <v>373</v>
      </c>
      <c r="C336" s="385" t="s">
        <v>2091</v>
      </c>
      <c r="D336" s="385" t="s">
        <v>88</v>
      </c>
      <c r="E336" s="385"/>
      <c r="F336" s="385"/>
      <c r="G336" s="385"/>
      <c r="H336" s="385">
        <v>2024</v>
      </c>
      <c r="I336" s="386">
        <v>45427</v>
      </c>
      <c r="J336" s="30"/>
      <c r="K336" s="385"/>
      <c r="L336" s="385"/>
      <c r="M336" s="385"/>
      <c r="N336" s="385"/>
      <c r="O336" s="385"/>
      <c r="P336" s="385" t="str">
        <f>IFERROR(
    IF(
        OR(ISBLANK(I336), ISBLANK(L336)),
        "",
        MAX(
            1,
            IF(
                NETWORKDAYS(I336, L336, Holiday_Dates) &lt;= 0,
                1,
                NETWORKDAYS(I336, L336, Holiday_Dates) - IF(I336 = L336, 0, 1)
            )
        )
    ),
    ""
)</f>
        <v/>
      </c>
      <c r="Q336" s="385" t="str">
        <f>IF(
    OR(ISBLANK(L336), ISBLANK(M336)),
    "",
    MAX(
        1,
        IF(
            NETWORKDAYS(L336, M336, Holiday_Dates) &lt;= 0,
            1,
            NETWORKDAYS(L336, M336, Holiday_Dates) - IF(L336 = M336, 0, 1)
        )
    )
)</f>
        <v/>
      </c>
      <c r="R336" s="385" t="str">
        <f>IFERROR(
    IF(
        OR(ISBLANK(N336), AND(ISBLANK(L336), ISBLANK(M336))),
        "",
        MAX(
            1,
            IF(
                NETWORKDAYS(IF(NOT(ISBLANK(M336)), M336, L336), N336, Holiday_Dates) &lt;= 0,
                1,
                NETWORKDAYS(IF(NOT(ISBLANK(M336)), M336, L336), N336, Holiday_Dates)
                - IF(IF(NOT(ISBLANK(M336)), M336, L336) = N336, 0, 1)
            )
        )
    ),
    ""
)</f>
        <v/>
      </c>
      <c r="S336" s="385" t="str">
        <f>IFERROR(
    IF(
        OR(ISBLANK(N336), ISBLANK(O336)),
        "",
        MAX(
            1,
            IF(
                NETWORKDAYS(N336, O336, Holiday_Dates) &lt;= 0,
                1,
                NETWORKDAYS(N336, O336, Holiday_Dates) - IF(N336 = O336, 0, 1)
            )
        )
    ),
    ""
)</f>
        <v/>
      </c>
      <c r="T336" s="385"/>
      <c r="U336" s="385" t="s">
        <v>4</v>
      </c>
      <c r="V336" s="385" t="s">
        <v>101</v>
      </c>
      <c r="W336" s="385" t="s">
        <v>1436</v>
      </c>
      <c r="X336" s="1"/>
    </row>
    <row r="337" spans="1:24">
      <c r="A337" s="385" t="s">
        <v>48</v>
      </c>
      <c r="B337" s="385" t="s">
        <v>373</v>
      </c>
      <c r="C337" s="385" t="s">
        <v>2017</v>
      </c>
      <c r="D337" s="385" t="s">
        <v>88</v>
      </c>
      <c r="E337" s="385"/>
      <c r="F337" s="385"/>
      <c r="G337" s="385"/>
      <c r="H337" s="385">
        <v>2024</v>
      </c>
      <c r="I337" s="385" t="s">
        <v>2093</v>
      </c>
      <c r="J337" s="30"/>
      <c r="K337" s="385"/>
      <c r="L337" s="385"/>
      <c r="M337" s="385"/>
      <c r="N337" s="385"/>
      <c r="O337" s="385"/>
      <c r="P337" s="385" t="str">
        <f>IFERROR(
    IF(
        OR(ISBLANK(I337), ISBLANK(L337)),
        "",
        MAX(
            1,
            IF(
                NETWORKDAYS(I337, L337, Holiday_Dates) &lt;= 0,
                1,
                NETWORKDAYS(I337, L337, Holiday_Dates) - IF(I337 = L337, 0, 1)
            )
        )
    ),
    ""
)</f>
        <v/>
      </c>
      <c r="Q337" s="385" t="str">
        <f>IF(
    OR(ISBLANK(L337), ISBLANK(M337)),
    "",
    MAX(
        1,
        IF(
            NETWORKDAYS(L337, M337, Holiday_Dates) &lt;= 0,
            1,
            NETWORKDAYS(L337, M337, Holiday_Dates) - IF(L337 = M337, 0, 1)
        )
    )
)</f>
        <v/>
      </c>
      <c r="R337" s="385" t="str">
        <f>IFERROR(
    IF(
        OR(ISBLANK(N337), AND(ISBLANK(L337), ISBLANK(M337))),
        "",
        MAX(
            1,
            IF(
                NETWORKDAYS(IF(NOT(ISBLANK(M337)), M337, L337), N337, Holiday_Dates) &lt;= 0,
                1,
                NETWORKDAYS(IF(NOT(ISBLANK(M337)), M337, L337), N337, Holiday_Dates)
                - IF(IF(NOT(ISBLANK(M337)), M337, L337) = N337, 0, 1)
            )
        )
    ),
    ""
)</f>
        <v/>
      </c>
      <c r="S337" s="385" t="str">
        <f>IFERROR(
    IF(
        OR(ISBLANK(N337), ISBLANK(O337)),
        "",
        MAX(
            1,
            IF(
                NETWORKDAYS(N337, O337, Holiday_Dates) &lt;= 0,
                1,
                NETWORKDAYS(N337, O337, Holiday_Dates) - IF(N337 = O337, 0, 1)
            )
        )
    ),
    ""
)</f>
        <v/>
      </c>
      <c r="T337" s="385"/>
      <c r="U337" s="385" t="s">
        <v>4</v>
      </c>
      <c r="V337" s="385" t="s">
        <v>101</v>
      </c>
      <c r="W337" s="385" t="s">
        <v>1436</v>
      </c>
      <c r="X337" s="1"/>
    </row>
    <row r="338" spans="1:24">
      <c r="A338" s="385" t="s">
        <v>48</v>
      </c>
      <c r="B338" s="385" t="s">
        <v>373</v>
      </c>
      <c r="C338" s="385" t="s">
        <v>2095</v>
      </c>
      <c r="D338" s="385" t="s">
        <v>88</v>
      </c>
      <c r="E338" s="385"/>
      <c r="F338" s="385"/>
      <c r="G338" s="385"/>
      <c r="H338" s="385">
        <v>2024</v>
      </c>
      <c r="I338" s="385" t="s">
        <v>1913</v>
      </c>
      <c r="J338" s="30"/>
      <c r="K338" s="385"/>
      <c r="L338" s="385"/>
      <c r="M338" s="385"/>
      <c r="N338" s="385"/>
      <c r="O338" s="385"/>
      <c r="P338" s="385" t="str">
        <f>IFERROR(
    IF(
        OR(ISBLANK(I338), ISBLANK(L338)),
        "",
        MAX(
            1,
            IF(
                NETWORKDAYS(I338, L338, Holiday_Dates) &lt;= 0,
                1,
                NETWORKDAYS(I338, L338, Holiday_Dates) - IF(I338 = L338, 0, 1)
            )
        )
    ),
    ""
)</f>
        <v/>
      </c>
      <c r="Q338" s="385" t="str">
        <f>IF(
    OR(ISBLANK(L338), ISBLANK(M338)),
    "",
    MAX(
        1,
        IF(
            NETWORKDAYS(L338, M338, Holiday_Dates) &lt;= 0,
            1,
            NETWORKDAYS(L338, M338, Holiday_Dates) - IF(L338 = M338, 0, 1)
        )
    )
)</f>
        <v/>
      </c>
      <c r="R338" s="385" t="str">
        <f>IFERROR(
    IF(
        OR(ISBLANK(N338), AND(ISBLANK(L338), ISBLANK(M338))),
        "",
        MAX(
            1,
            IF(
                NETWORKDAYS(IF(NOT(ISBLANK(M338)), M338, L338), N338, Holiday_Dates) &lt;= 0,
                1,
                NETWORKDAYS(IF(NOT(ISBLANK(M338)), M338, L338), N338, Holiday_Dates)
                - IF(IF(NOT(ISBLANK(M338)), M338, L338) = N338, 0, 1)
            )
        )
    ),
    ""
)</f>
        <v/>
      </c>
      <c r="S338" s="385" t="str">
        <f>IFERROR(
    IF(
        OR(ISBLANK(N338), ISBLANK(O338)),
        "",
        MAX(
            1,
            IF(
                NETWORKDAYS(N338, O338, Holiday_Dates) &lt;= 0,
                1,
                NETWORKDAYS(N338, O338, Holiday_Dates) - IF(N338 = O338, 0, 1)
            )
        )
    ),
    ""
)</f>
        <v/>
      </c>
      <c r="T338" s="385"/>
      <c r="U338" s="385" t="s">
        <v>4</v>
      </c>
      <c r="V338" s="385" t="s">
        <v>101</v>
      </c>
      <c r="W338" s="385" t="s">
        <v>1436</v>
      </c>
      <c r="X338" s="1"/>
    </row>
    <row r="339" spans="1:24">
      <c r="A339" s="385" t="s">
        <v>48</v>
      </c>
      <c r="B339" s="385" t="s">
        <v>373</v>
      </c>
      <c r="C339" s="385" t="s">
        <v>2097</v>
      </c>
      <c r="D339" s="385" t="s">
        <v>88</v>
      </c>
      <c r="E339" s="385"/>
      <c r="F339" s="385"/>
      <c r="G339" s="385"/>
      <c r="H339" s="385">
        <v>2025</v>
      </c>
      <c r="I339" s="386">
        <v>45916</v>
      </c>
      <c r="J339" s="30" t="s">
        <v>4683</v>
      </c>
      <c r="K339" s="385"/>
      <c r="L339" s="385"/>
      <c r="M339" s="385"/>
      <c r="N339" s="385"/>
      <c r="O339" s="385"/>
      <c r="P339" s="385" t="str">
        <f>IFERROR(
    IF(
        OR(ISBLANK(I339), ISBLANK(L339)),
        "",
        MAX(
            1,
            IF(
                NETWORKDAYS(I339, L339, Holiday_Dates) &lt;= 0,
                1,
                NETWORKDAYS(I339, L339, Holiday_Dates) - IF(I339 = L339, 0, 1)
            )
        )
    ),
    ""
)</f>
        <v/>
      </c>
      <c r="Q339" s="385" t="str">
        <f>IF(
    OR(ISBLANK(L339), ISBLANK(M339)),
    "",
    MAX(
        1,
        IF(
            NETWORKDAYS(L339, M339, Holiday_Dates) &lt;= 0,
            1,
            NETWORKDAYS(L339, M339, Holiday_Dates) - IF(L339 = M339, 0, 1)
        )
    )
)</f>
        <v/>
      </c>
      <c r="R339" s="385" t="str">
        <f>IFERROR(
    IF(
        OR(ISBLANK(N339), AND(ISBLANK(L339), ISBLANK(M339))),
        "",
        MAX(
            1,
            IF(
                NETWORKDAYS(IF(NOT(ISBLANK(M339)), M339, L339), N339, Holiday_Dates) &lt;= 0,
                1,
                NETWORKDAYS(IF(NOT(ISBLANK(M339)), M339, L339), N339, Holiday_Dates)
                - IF(IF(NOT(ISBLANK(M339)), M339, L339) = N339, 0, 1)
            )
        )
    ),
    ""
)</f>
        <v/>
      </c>
      <c r="S339" s="385" t="str">
        <f>IFERROR(
    IF(
        OR(ISBLANK(N339), ISBLANK(O339)),
        "",
        MAX(
            1,
            IF(
                NETWORKDAYS(N339, O339, Holiday_Dates) &lt;= 0,
                1,
                NETWORKDAYS(N339, O339, Holiday_Dates) - IF(N339 = O339, 0, 1)
            )
        )
    ),
    ""
)</f>
        <v/>
      </c>
      <c r="T339" s="385"/>
      <c r="U339" s="385" t="s">
        <v>672</v>
      </c>
      <c r="V339" s="385" t="s">
        <v>101</v>
      </c>
      <c r="W339" s="385" t="s">
        <v>1436</v>
      </c>
      <c r="X339" s="1"/>
    </row>
    <row r="340" spans="1:24">
      <c r="A340" s="385" t="s">
        <v>48</v>
      </c>
      <c r="B340" s="385" t="s">
        <v>373</v>
      </c>
      <c r="C340" s="385" t="s">
        <v>2098</v>
      </c>
      <c r="D340" s="385" t="s">
        <v>88</v>
      </c>
      <c r="E340" s="385"/>
      <c r="F340" s="385"/>
      <c r="G340" s="385"/>
      <c r="H340" s="385">
        <v>2024</v>
      </c>
      <c r="I340" s="385" t="s">
        <v>2099</v>
      </c>
      <c r="J340" s="30"/>
      <c r="K340" s="385"/>
      <c r="L340" s="385"/>
      <c r="M340" s="385"/>
      <c r="N340" s="385"/>
      <c r="O340" s="385"/>
      <c r="P340" s="385" t="str">
        <f>IFERROR(
    IF(
        OR(ISBLANK(I340), ISBLANK(L340)),
        "",
        MAX(
            1,
            IF(
                NETWORKDAYS(I340, L340, Holiday_Dates) &lt;= 0,
                1,
                NETWORKDAYS(I340, L340, Holiday_Dates) - IF(I340 = L340, 0, 1)
            )
        )
    ),
    ""
)</f>
        <v/>
      </c>
      <c r="Q340" s="385" t="str">
        <f>IF(
    OR(ISBLANK(L340), ISBLANK(M340)),
    "",
    MAX(
        1,
        IF(
            NETWORKDAYS(L340, M340, Holiday_Dates) &lt;= 0,
            1,
            NETWORKDAYS(L340, M340, Holiday_Dates) - IF(L340 = M340, 0, 1)
        )
    )
)</f>
        <v/>
      </c>
      <c r="R340" s="385" t="str">
        <f>IFERROR(
    IF(
        OR(ISBLANK(N340), AND(ISBLANK(L340), ISBLANK(M340))),
        "",
        MAX(
            1,
            IF(
                NETWORKDAYS(IF(NOT(ISBLANK(M340)), M340, L340), N340, Holiday_Dates) &lt;= 0,
                1,
                NETWORKDAYS(IF(NOT(ISBLANK(M340)), M340, L340), N340, Holiday_Dates)
                - IF(IF(NOT(ISBLANK(M340)), M340, L340) = N340, 0, 1)
            )
        )
    ),
    ""
)</f>
        <v/>
      </c>
      <c r="S340" s="385" t="str">
        <f>IFERROR(
    IF(
        OR(ISBLANK(N340), ISBLANK(O340)),
        "",
        MAX(
            1,
            IF(
                NETWORKDAYS(N340, O340, Holiday_Dates) &lt;= 0,
                1,
                NETWORKDAYS(N340, O340, Holiday_Dates) - IF(N340 = O340, 0, 1)
            )
        )
    ),
    ""
)</f>
        <v/>
      </c>
      <c r="T340" s="385"/>
      <c r="U340" s="385" t="s">
        <v>4</v>
      </c>
      <c r="V340" s="385" t="s">
        <v>101</v>
      </c>
      <c r="W340" s="385" t="s">
        <v>1436</v>
      </c>
      <c r="X340" s="1"/>
    </row>
    <row r="341" spans="1:24">
      <c r="A341" s="385" t="s">
        <v>48</v>
      </c>
      <c r="B341" s="385" t="s">
        <v>373</v>
      </c>
      <c r="C341" s="385" t="s">
        <v>1067</v>
      </c>
      <c r="D341" s="385" t="s">
        <v>88</v>
      </c>
      <c r="E341" s="385"/>
      <c r="F341" s="385"/>
      <c r="G341" s="385"/>
      <c r="H341" s="385">
        <v>2024</v>
      </c>
      <c r="I341" s="385" t="s">
        <v>1798</v>
      </c>
      <c r="J341" s="30"/>
      <c r="K341" s="385"/>
      <c r="L341" s="385"/>
      <c r="M341" s="385"/>
      <c r="N341" s="385"/>
      <c r="O341" s="385"/>
      <c r="P341" s="385" t="str">
        <f>IFERROR(
    IF(
        OR(ISBLANK(I341), ISBLANK(L341)),
        "",
        MAX(
            1,
            IF(
                NETWORKDAYS(I341, L341, Holiday_Dates) &lt;= 0,
                1,
                NETWORKDAYS(I341, L341, Holiday_Dates) - IF(I341 = L341, 0, 1)
            )
        )
    ),
    ""
)</f>
        <v/>
      </c>
      <c r="Q341" s="385" t="str">
        <f>IF(
    OR(ISBLANK(L341), ISBLANK(M341)),
    "",
    MAX(
        1,
        IF(
            NETWORKDAYS(L341, M341, Holiday_Dates) &lt;= 0,
            1,
            NETWORKDAYS(L341, M341, Holiday_Dates) - IF(L341 = M341, 0, 1)
        )
    )
)</f>
        <v/>
      </c>
      <c r="R341" s="385" t="str">
        <f>IFERROR(
    IF(
        OR(ISBLANK(N341), AND(ISBLANK(L341), ISBLANK(M341))),
        "",
        MAX(
            1,
            IF(
                NETWORKDAYS(IF(NOT(ISBLANK(M341)), M341, L341), N341, Holiday_Dates) &lt;= 0,
                1,
                NETWORKDAYS(IF(NOT(ISBLANK(M341)), M341, L341), N341, Holiday_Dates)
                - IF(IF(NOT(ISBLANK(M341)), M341, L341) = N341, 0, 1)
            )
        )
    ),
    ""
)</f>
        <v/>
      </c>
      <c r="S341" s="385" t="str">
        <f>IFERROR(
    IF(
        OR(ISBLANK(N341), ISBLANK(O341)),
        "",
        MAX(
            1,
            IF(
                NETWORKDAYS(N341, O341, Holiday_Dates) &lt;= 0,
                1,
                NETWORKDAYS(N341, O341, Holiday_Dates) - IF(N341 = O341, 0, 1)
            )
        )
    ),
    ""
)</f>
        <v/>
      </c>
      <c r="T341" s="385"/>
      <c r="U341" s="385" t="s">
        <v>4</v>
      </c>
      <c r="V341" s="385" t="s">
        <v>101</v>
      </c>
      <c r="W341" s="385" t="s">
        <v>1436</v>
      </c>
      <c r="X341" s="1"/>
    </row>
    <row r="342" spans="1:24">
      <c r="A342" s="385" t="s">
        <v>48</v>
      </c>
      <c r="B342" s="385" t="s">
        <v>373</v>
      </c>
      <c r="C342" s="385" t="s">
        <v>2102</v>
      </c>
      <c r="D342" s="385" t="s">
        <v>88</v>
      </c>
      <c r="E342" s="385"/>
      <c r="F342" s="385"/>
      <c r="G342" s="385"/>
      <c r="H342" s="385">
        <v>2024</v>
      </c>
      <c r="I342" s="386">
        <v>45583</v>
      </c>
      <c r="J342" s="30"/>
      <c r="K342" s="385"/>
      <c r="L342" s="385"/>
      <c r="M342" s="385"/>
      <c r="N342" s="385"/>
      <c r="O342" s="385"/>
      <c r="P342" s="385" t="str">
        <f>IFERROR(
    IF(
        OR(ISBLANK(I342), ISBLANK(L342)),
        "",
        MAX(
            1,
            IF(
                NETWORKDAYS(I342, L342, Holiday_Dates) &lt;= 0,
                1,
                NETWORKDAYS(I342, L342, Holiday_Dates) - IF(I342 = L342, 0, 1)
            )
        )
    ),
    ""
)</f>
        <v/>
      </c>
      <c r="Q342" s="385" t="str">
        <f>IF(
    OR(ISBLANK(L342), ISBLANK(M342)),
    "",
    MAX(
        1,
        IF(
            NETWORKDAYS(L342, M342, Holiday_Dates) &lt;= 0,
            1,
            NETWORKDAYS(L342, M342, Holiday_Dates) - IF(L342 = M342, 0, 1)
        )
    )
)</f>
        <v/>
      </c>
      <c r="R342" s="385" t="str">
        <f>IFERROR(
    IF(
        OR(ISBLANK(N342), AND(ISBLANK(L342), ISBLANK(M342))),
        "",
        MAX(
            1,
            IF(
                NETWORKDAYS(IF(NOT(ISBLANK(M342)), M342, L342), N342, Holiday_Dates) &lt;= 0,
                1,
                NETWORKDAYS(IF(NOT(ISBLANK(M342)), M342, L342), N342, Holiday_Dates)
                - IF(IF(NOT(ISBLANK(M342)), M342, L342) = N342, 0, 1)
            )
        )
    ),
    ""
)</f>
        <v/>
      </c>
      <c r="S342" s="385" t="str">
        <f>IFERROR(
    IF(
        OR(ISBLANK(N342), ISBLANK(O342)),
        "",
        MAX(
            1,
            IF(
                NETWORKDAYS(N342, O342, Holiday_Dates) &lt;= 0,
                1,
                NETWORKDAYS(N342, O342, Holiday_Dates) - IF(N342 = O342, 0, 1)
            )
        )
    ),
    ""
)</f>
        <v/>
      </c>
      <c r="T342" s="385"/>
      <c r="U342" s="385" t="s">
        <v>4</v>
      </c>
      <c r="V342" s="385" t="s">
        <v>101</v>
      </c>
      <c r="W342" s="385" t="s">
        <v>1436</v>
      </c>
      <c r="X342" s="1"/>
    </row>
    <row r="343" spans="1:24">
      <c r="A343" s="385" t="s">
        <v>48</v>
      </c>
      <c r="B343" s="385" t="s">
        <v>373</v>
      </c>
      <c r="C343" s="385" t="s">
        <v>2104</v>
      </c>
      <c r="D343" s="385" t="s">
        <v>88</v>
      </c>
      <c r="E343" s="385"/>
      <c r="F343" s="385"/>
      <c r="G343" s="385"/>
      <c r="H343" s="385">
        <v>2024</v>
      </c>
      <c r="I343" s="386">
        <v>45596</v>
      </c>
      <c r="J343" s="30"/>
      <c r="K343" s="385"/>
      <c r="L343" s="385"/>
      <c r="M343" s="385"/>
      <c r="N343" s="385"/>
      <c r="O343" s="385"/>
      <c r="P343" s="385" t="str">
        <f>IFERROR(
    IF(
        OR(ISBLANK(I343), ISBLANK(L343)),
        "",
        MAX(
            1,
            IF(
                NETWORKDAYS(I343, L343, Holiday_Dates) &lt;= 0,
                1,
                NETWORKDAYS(I343, L343, Holiday_Dates) - IF(I343 = L343, 0, 1)
            )
        )
    ),
    ""
)</f>
        <v/>
      </c>
      <c r="Q343" s="385" t="str">
        <f>IF(
    OR(ISBLANK(L343), ISBLANK(M343)),
    "",
    MAX(
        1,
        IF(
            NETWORKDAYS(L343, M343, Holiday_Dates) &lt;= 0,
            1,
            NETWORKDAYS(L343, M343, Holiday_Dates) - IF(L343 = M343, 0, 1)
        )
    )
)</f>
        <v/>
      </c>
      <c r="R343" s="385" t="str">
        <f>IFERROR(
    IF(
        OR(ISBLANK(N343), AND(ISBLANK(L343), ISBLANK(M343))),
        "",
        MAX(
            1,
            IF(
                NETWORKDAYS(IF(NOT(ISBLANK(M343)), M343, L343), N343, Holiday_Dates) &lt;= 0,
                1,
                NETWORKDAYS(IF(NOT(ISBLANK(M343)), M343, L343), N343, Holiday_Dates)
                - IF(IF(NOT(ISBLANK(M343)), M343, L343) = N343, 0, 1)
            )
        )
    ),
    ""
)</f>
        <v/>
      </c>
      <c r="S343" s="385" t="str">
        <f>IFERROR(
    IF(
        OR(ISBLANK(N343), ISBLANK(O343)),
        "",
        MAX(
            1,
            IF(
                NETWORKDAYS(N343, O343, Holiday_Dates) &lt;= 0,
                1,
                NETWORKDAYS(N343, O343, Holiday_Dates) - IF(N343 = O343, 0, 1)
            )
        )
    ),
    ""
)</f>
        <v/>
      </c>
      <c r="T343" s="385"/>
      <c r="U343" s="385" t="s">
        <v>4</v>
      </c>
      <c r="V343" s="385" t="s">
        <v>101</v>
      </c>
      <c r="W343" s="385" t="s">
        <v>1436</v>
      </c>
      <c r="X343" s="1"/>
    </row>
    <row r="344" spans="1:24">
      <c r="A344" s="385" t="s">
        <v>48</v>
      </c>
      <c r="B344" s="385" t="s">
        <v>373</v>
      </c>
      <c r="C344" s="385" t="s">
        <v>910</v>
      </c>
      <c r="D344" s="385" t="s">
        <v>88</v>
      </c>
      <c r="E344" s="385"/>
      <c r="F344" s="385"/>
      <c r="G344" s="385"/>
      <c r="H344" s="385">
        <v>2024</v>
      </c>
      <c r="I344" s="385" t="s">
        <v>1942</v>
      </c>
      <c r="J344" s="30"/>
      <c r="K344" s="385"/>
      <c r="L344" s="385"/>
      <c r="M344" s="385"/>
      <c r="N344" s="385"/>
      <c r="O344" s="385"/>
      <c r="P344" s="385" t="str">
        <f>IFERROR(
    IF(
        OR(ISBLANK(I344), ISBLANK(L344)),
        "",
        MAX(
            1,
            IF(
                NETWORKDAYS(I344, L344, Holiday_Dates) &lt;= 0,
                1,
                NETWORKDAYS(I344, L344, Holiday_Dates) - IF(I344 = L344, 0, 1)
            )
        )
    ),
    ""
)</f>
        <v/>
      </c>
      <c r="Q344" s="385" t="str">
        <f>IF(
    OR(ISBLANK(L344), ISBLANK(M344)),
    "",
    MAX(
        1,
        IF(
            NETWORKDAYS(L344, M344, Holiday_Dates) &lt;= 0,
            1,
            NETWORKDAYS(L344, M344, Holiday_Dates) - IF(L344 = M344, 0, 1)
        )
    )
)</f>
        <v/>
      </c>
      <c r="R344" s="385" t="str">
        <f>IFERROR(
    IF(
        OR(ISBLANK(N344), AND(ISBLANK(L344), ISBLANK(M344))),
        "",
        MAX(
            1,
            IF(
                NETWORKDAYS(IF(NOT(ISBLANK(M344)), M344, L344), N344, Holiday_Dates) &lt;= 0,
                1,
                NETWORKDAYS(IF(NOT(ISBLANK(M344)), M344, L344), N344, Holiday_Dates)
                - IF(IF(NOT(ISBLANK(M344)), M344, L344) = N344, 0, 1)
            )
        )
    ),
    ""
)</f>
        <v/>
      </c>
      <c r="S344" s="385" t="str">
        <f>IFERROR(
    IF(
        OR(ISBLANK(N344), ISBLANK(O344)),
        "",
        MAX(
            1,
            IF(
                NETWORKDAYS(N344, O344, Holiday_Dates) &lt;= 0,
                1,
                NETWORKDAYS(N344, O344, Holiday_Dates) - IF(N344 = O344, 0, 1)
            )
        )
    ),
    ""
)</f>
        <v/>
      </c>
      <c r="T344" s="385"/>
      <c r="U344" s="385" t="s">
        <v>4</v>
      </c>
      <c r="V344" s="385" t="s">
        <v>101</v>
      </c>
      <c r="W344" s="385" t="s">
        <v>1436</v>
      </c>
      <c r="X344" s="1"/>
    </row>
    <row r="345" spans="1:24">
      <c r="A345" s="385" t="s">
        <v>48</v>
      </c>
      <c r="B345" s="385" t="s">
        <v>373</v>
      </c>
      <c r="C345" s="385" t="s">
        <v>1273</v>
      </c>
      <c r="D345" s="385" t="s">
        <v>88</v>
      </c>
      <c r="E345" s="385"/>
      <c r="F345" s="385"/>
      <c r="G345" s="385"/>
      <c r="H345" s="385">
        <v>2025</v>
      </c>
      <c r="I345" s="386">
        <v>45762</v>
      </c>
      <c r="J345" s="30" t="s">
        <v>4684</v>
      </c>
      <c r="K345" s="385"/>
      <c r="L345" s="385"/>
      <c r="M345" s="385"/>
      <c r="N345" s="385"/>
      <c r="O345" s="385"/>
      <c r="P345" s="385" t="str">
        <f>IFERROR(
    IF(
        OR(ISBLANK(I345), ISBLANK(L345)),
        "",
        MAX(
            1,
            IF(
                NETWORKDAYS(I345, L345, Holiday_Dates) &lt;= 0,
                1,
                NETWORKDAYS(I345, L345, Holiday_Dates) - IF(I345 = L345, 0, 1)
            )
        )
    ),
    ""
)</f>
        <v/>
      </c>
      <c r="Q345" s="385" t="str">
        <f>IF(
    OR(ISBLANK(L345), ISBLANK(M345)),
    "",
    MAX(
        1,
        IF(
            NETWORKDAYS(L345, M345, Holiday_Dates) &lt;= 0,
            1,
            NETWORKDAYS(L345, M345, Holiday_Dates) - IF(L345 = M345, 0, 1)
        )
    )
)</f>
        <v/>
      </c>
      <c r="R345" s="385" t="str">
        <f>IFERROR(
    IF(
        OR(ISBLANK(N345), AND(ISBLANK(L345), ISBLANK(M345))),
        "",
        MAX(
            1,
            IF(
                NETWORKDAYS(IF(NOT(ISBLANK(M345)), M345, L345), N345, Holiday_Dates) &lt;= 0,
                1,
                NETWORKDAYS(IF(NOT(ISBLANK(M345)), M345, L345), N345, Holiday_Dates)
                - IF(IF(NOT(ISBLANK(M345)), M345, L345) = N345, 0, 1)
            )
        )
    ),
    ""
)</f>
        <v/>
      </c>
      <c r="S345" s="385" t="str">
        <f>IFERROR(
    IF(
        OR(ISBLANK(N345), ISBLANK(O345)),
        "",
        MAX(
            1,
            IF(
                NETWORKDAYS(N345, O345, Holiday_Dates) &lt;= 0,
                1,
                NETWORKDAYS(N345, O345, Holiday_Dates) - IF(N345 = O345, 0, 1)
            )
        )
    ),
    ""
)</f>
        <v/>
      </c>
      <c r="T345" s="385"/>
      <c r="U345" s="385" t="s">
        <v>672</v>
      </c>
      <c r="V345" s="385" t="s">
        <v>101</v>
      </c>
      <c r="W345" s="385" t="s">
        <v>1436</v>
      </c>
      <c r="X345" s="1"/>
    </row>
    <row r="346" spans="1:24">
      <c r="A346" s="385" t="s">
        <v>48</v>
      </c>
      <c r="B346" s="385" t="s">
        <v>373</v>
      </c>
      <c r="C346" s="385" t="s">
        <v>2107</v>
      </c>
      <c r="D346" s="385" t="s">
        <v>88</v>
      </c>
      <c r="E346" s="385"/>
      <c r="F346" s="385"/>
      <c r="G346" s="385"/>
      <c r="H346" s="385">
        <v>2024</v>
      </c>
      <c r="I346" s="385" t="s">
        <v>2108</v>
      </c>
      <c r="J346" s="30"/>
      <c r="K346" s="385"/>
      <c r="L346" s="385"/>
      <c r="M346" s="385"/>
      <c r="N346" s="385"/>
      <c r="O346" s="385"/>
      <c r="P346" s="385" t="str">
        <f>IFERROR(
    IF(
        OR(ISBLANK(I346), ISBLANK(L346)),
        "",
        MAX(
            1,
            IF(
                NETWORKDAYS(I346, L346, Holiday_Dates) &lt;= 0,
                1,
                NETWORKDAYS(I346, L346, Holiday_Dates) - IF(I346 = L346, 0, 1)
            )
        )
    ),
    ""
)</f>
        <v/>
      </c>
      <c r="Q346" s="385" t="str">
        <f>IF(
    OR(ISBLANK(L346), ISBLANK(M346)),
    "",
    MAX(
        1,
        IF(
            NETWORKDAYS(L346, M346, Holiday_Dates) &lt;= 0,
            1,
            NETWORKDAYS(L346, M346, Holiday_Dates) - IF(L346 = M346, 0, 1)
        )
    )
)</f>
        <v/>
      </c>
      <c r="R346" s="385" t="str">
        <f>IFERROR(
    IF(
        OR(ISBLANK(N346), AND(ISBLANK(L346), ISBLANK(M346))),
        "",
        MAX(
            1,
            IF(
                NETWORKDAYS(IF(NOT(ISBLANK(M346)), M346, L346), N346, Holiday_Dates) &lt;= 0,
                1,
                NETWORKDAYS(IF(NOT(ISBLANK(M346)), M346, L346), N346, Holiday_Dates)
                - IF(IF(NOT(ISBLANK(M346)), M346, L346) = N346, 0, 1)
            )
        )
    ),
    ""
)</f>
        <v/>
      </c>
      <c r="S346" s="385" t="str">
        <f>IFERROR(
    IF(
        OR(ISBLANK(N346), ISBLANK(O346)),
        "",
        MAX(
            1,
            IF(
                NETWORKDAYS(N346, O346, Holiday_Dates) &lt;= 0,
                1,
                NETWORKDAYS(N346, O346, Holiday_Dates) - IF(N346 = O346, 0, 1)
            )
        )
    ),
    ""
)</f>
        <v/>
      </c>
      <c r="T346" s="385"/>
      <c r="U346" s="385" t="s">
        <v>4</v>
      </c>
      <c r="V346" s="385" t="s">
        <v>101</v>
      </c>
      <c r="W346" s="385" t="s">
        <v>1436</v>
      </c>
      <c r="X346" s="1"/>
    </row>
    <row r="347" spans="1:24">
      <c r="A347" s="385" t="s">
        <v>48</v>
      </c>
      <c r="B347" s="385" t="s">
        <v>373</v>
      </c>
      <c r="C347" s="385" t="s">
        <v>2110</v>
      </c>
      <c r="D347" s="385" t="s">
        <v>88</v>
      </c>
      <c r="E347" s="385"/>
      <c r="F347" s="385"/>
      <c r="G347" s="385"/>
      <c r="H347" s="385">
        <v>2024</v>
      </c>
      <c r="I347" s="385" t="s">
        <v>2033</v>
      </c>
      <c r="J347" s="30"/>
      <c r="K347" s="385"/>
      <c r="L347" s="385"/>
      <c r="M347" s="385"/>
      <c r="N347" s="385"/>
      <c r="O347" s="385"/>
      <c r="P347" s="385" t="str">
        <f>IFERROR(
    IF(
        OR(ISBLANK(I347), ISBLANK(L347)),
        "",
        MAX(
            1,
            IF(
                NETWORKDAYS(I347, L347, Holiday_Dates) &lt;= 0,
                1,
                NETWORKDAYS(I347, L347, Holiday_Dates) - IF(I347 = L347, 0, 1)
            )
        )
    ),
    ""
)</f>
        <v/>
      </c>
      <c r="Q347" s="385" t="str">
        <f>IF(
    OR(ISBLANK(L347), ISBLANK(M347)),
    "",
    MAX(
        1,
        IF(
            NETWORKDAYS(L347, M347, Holiday_Dates) &lt;= 0,
            1,
            NETWORKDAYS(L347, M347, Holiday_Dates) - IF(L347 = M347, 0, 1)
        )
    )
)</f>
        <v/>
      </c>
      <c r="R347" s="385" t="str">
        <f>IFERROR(
    IF(
        OR(ISBLANK(N347), AND(ISBLANK(L347), ISBLANK(M347))),
        "",
        MAX(
            1,
            IF(
                NETWORKDAYS(IF(NOT(ISBLANK(M347)), M347, L347), N347, Holiday_Dates) &lt;= 0,
                1,
                NETWORKDAYS(IF(NOT(ISBLANK(M347)), M347, L347), N347, Holiday_Dates)
                - IF(IF(NOT(ISBLANK(M347)), M347, L347) = N347, 0, 1)
            )
        )
    ),
    ""
)</f>
        <v/>
      </c>
      <c r="S347" s="385" t="str">
        <f>IFERROR(
    IF(
        OR(ISBLANK(N347), ISBLANK(O347)),
        "",
        MAX(
            1,
            IF(
                NETWORKDAYS(N347, O347, Holiday_Dates) &lt;= 0,
                1,
                NETWORKDAYS(N347, O347, Holiday_Dates) - IF(N347 = O347, 0, 1)
            )
        )
    ),
    ""
)</f>
        <v/>
      </c>
      <c r="T347" s="385"/>
      <c r="U347" s="385" t="s">
        <v>4</v>
      </c>
      <c r="V347" s="385" t="s">
        <v>101</v>
      </c>
      <c r="W347" s="385" t="s">
        <v>1436</v>
      </c>
      <c r="X347" s="1"/>
    </row>
    <row r="348" spans="1:24">
      <c r="A348" s="385" t="s">
        <v>48</v>
      </c>
      <c r="B348" s="385" t="s">
        <v>373</v>
      </c>
      <c r="C348" s="385" t="s">
        <v>2112</v>
      </c>
      <c r="D348" s="385" t="s">
        <v>88</v>
      </c>
      <c r="E348" s="385"/>
      <c r="F348" s="385"/>
      <c r="G348" s="385"/>
      <c r="H348" s="385">
        <v>2024</v>
      </c>
      <c r="I348" s="386">
        <v>45583</v>
      </c>
      <c r="J348" s="30"/>
      <c r="K348" s="385"/>
      <c r="L348" s="385"/>
      <c r="M348" s="385"/>
      <c r="N348" s="385"/>
      <c r="O348" s="385"/>
      <c r="P348" s="385" t="str">
        <f>IFERROR(
    IF(
        OR(ISBLANK(I348), ISBLANK(L348)),
        "",
        MAX(
            1,
            IF(
                NETWORKDAYS(I348, L348, Holiday_Dates) &lt;= 0,
                1,
                NETWORKDAYS(I348, L348, Holiday_Dates) - IF(I348 = L348, 0, 1)
            )
        )
    ),
    ""
)</f>
        <v/>
      </c>
      <c r="Q348" s="385" t="str">
        <f>IF(
    OR(ISBLANK(L348), ISBLANK(M348)),
    "",
    MAX(
        1,
        IF(
            NETWORKDAYS(L348, M348, Holiday_Dates) &lt;= 0,
            1,
            NETWORKDAYS(L348, M348, Holiday_Dates) - IF(L348 = M348, 0, 1)
        )
    )
)</f>
        <v/>
      </c>
      <c r="R348" s="385" t="str">
        <f>IFERROR(
    IF(
        OR(ISBLANK(N348), AND(ISBLANK(L348), ISBLANK(M348))),
        "",
        MAX(
            1,
            IF(
                NETWORKDAYS(IF(NOT(ISBLANK(M348)), M348, L348), N348, Holiday_Dates) &lt;= 0,
                1,
                NETWORKDAYS(IF(NOT(ISBLANK(M348)), M348, L348), N348, Holiday_Dates)
                - IF(IF(NOT(ISBLANK(M348)), M348, L348) = N348, 0, 1)
            )
        )
    ),
    ""
)</f>
        <v/>
      </c>
      <c r="S348" s="385" t="str">
        <f>IFERROR(
    IF(
        OR(ISBLANK(N348), ISBLANK(O348)),
        "",
        MAX(
            1,
            IF(
                NETWORKDAYS(N348, O348, Holiday_Dates) &lt;= 0,
                1,
                NETWORKDAYS(N348, O348, Holiday_Dates) - IF(N348 = O348, 0, 1)
            )
        )
    ),
    ""
)</f>
        <v/>
      </c>
      <c r="T348" s="385"/>
      <c r="U348" s="385" t="s">
        <v>4</v>
      </c>
      <c r="V348" s="385" t="s">
        <v>101</v>
      </c>
      <c r="W348" s="385" t="s">
        <v>1436</v>
      </c>
      <c r="X348" s="1"/>
    </row>
    <row r="349" spans="1:24">
      <c r="A349" s="385" t="s">
        <v>48</v>
      </c>
      <c r="B349" s="385" t="s">
        <v>373</v>
      </c>
      <c r="C349" s="385" t="s">
        <v>2114</v>
      </c>
      <c r="D349" s="385" t="s">
        <v>88</v>
      </c>
      <c r="E349" s="385"/>
      <c r="F349" s="385"/>
      <c r="G349" s="385"/>
      <c r="H349" s="385">
        <v>2024</v>
      </c>
      <c r="I349" s="385" t="s">
        <v>1832</v>
      </c>
      <c r="J349" s="30"/>
      <c r="K349" s="385"/>
      <c r="L349" s="385"/>
      <c r="M349" s="385"/>
      <c r="N349" s="385"/>
      <c r="O349" s="385"/>
      <c r="P349" s="385" t="str">
        <f>IFERROR(
    IF(
        OR(ISBLANK(I349), ISBLANK(L349)),
        "",
        MAX(
            1,
            IF(
                NETWORKDAYS(I349, L349, Holiday_Dates) &lt;= 0,
                1,
                NETWORKDAYS(I349, L349, Holiday_Dates) - IF(I349 = L349, 0, 1)
            )
        )
    ),
    ""
)</f>
        <v/>
      </c>
      <c r="Q349" s="385" t="str">
        <f>IF(
    OR(ISBLANK(L349), ISBLANK(M349)),
    "",
    MAX(
        1,
        IF(
            NETWORKDAYS(L349, M349, Holiday_Dates) &lt;= 0,
            1,
            NETWORKDAYS(L349, M349, Holiday_Dates) - IF(L349 = M349, 0, 1)
        )
    )
)</f>
        <v/>
      </c>
      <c r="R349" s="385" t="str">
        <f>IFERROR(
    IF(
        OR(ISBLANK(N349), AND(ISBLANK(L349), ISBLANK(M349))),
        "",
        MAX(
            1,
            IF(
                NETWORKDAYS(IF(NOT(ISBLANK(M349)), M349, L349), N349, Holiday_Dates) &lt;= 0,
                1,
                NETWORKDAYS(IF(NOT(ISBLANK(M349)), M349, L349), N349, Holiday_Dates)
                - IF(IF(NOT(ISBLANK(M349)), M349, L349) = N349, 0, 1)
            )
        )
    ),
    ""
)</f>
        <v/>
      </c>
      <c r="S349" s="385" t="str">
        <f>IFERROR(
    IF(
        OR(ISBLANK(N349), ISBLANK(O349)),
        "",
        MAX(
            1,
            IF(
                NETWORKDAYS(N349, O349, Holiday_Dates) &lt;= 0,
                1,
                NETWORKDAYS(N349, O349, Holiday_Dates) - IF(N349 = O349, 0, 1)
            )
        )
    ),
    ""
)</f>
        <v/>
      </c>
      <c r="T349" s="385"/>
      <c r="U349" s="385" t="s">
        <v>4</v>
      </c>
      <c r="V349" s="385" t="s">
        <v>101</v>
      </c>
      <c r="W349" s="385" t="s">
        <v>1436</v>
      </c>
      <c r="X349" s="1"/>
    </row>
    <row r="350" spans="1:24">
      <c r="A350" s="385" t="s">
        <v>48</v>
      </c>
      <c r="B350" s="385" t="s">
        <v>373</v>
      </c>
      <c r="C350" s="385" t="s">
        <v>2116</v>
      </c>
      <c r="D350" s="385" t="s">
        <v>88</v>
      </c>
      <c r="E350" s="385"/>
      <c r="F350" s="385"/>
      <c r="G350" s="385"/>
      <c r="H350" s="385">
        <v>2025</v>
      </c>
      <c r="I350" s="386">
        <v>45819</v>
      </c>
      <c r="J350" s="30" t="s">
        <v>4685</v>
      </c>
      <c r="K350" s="385"/>
      <c r="L350" s="385"/>
      <c r="M350" s="385"/>
      <c r="N350" s="385"/>
      <c r="O350" s="385"/>
      <c r="P350" s="385" t="str">
        <f>IFERROR(
    IF(
        OR(ISBLANK(I350), ISBLANK(L350)),
        "",
        MAX(
            1,
            IF(
                NETWORKDAYS(I350, L350, Holiday_Dates) &lt;= 0,
                1,
                NETWORKDAYS(I350, L350, Holiday_Dates) - IF(I350 = L350, 0, 1)
            )
        )
    ),
    ""
)</f>
        <v/>
      </c>
      <c r="Q350" s="385" t="str">
        <f>IF(
    OR(ISBLANK(L350), ISBLANK(M350)),
    "",
    MAX(
        1,
        IF(
            NETWORKDAYS(L350, M350, Holiday_Dates) &lt;= 0,
            1,
            NETWORKDAYS(L350, M350, Holiday_Dates) - IF(L350 = M350, 0, 1)
        )
    )
)</f>
        <v/>
      </c>
      <c r="R350" s="385" t="str">
        <f>IFERROR(
    IF(
        OR(ISBLANK(N350), AND(ISBLANK(L350), ISBLANK(M350))),
        "",
        MAX(
            1,
            IF(
                NETWORKDAYS(IF(NOT(ISBLANK(M350)), M350, L350), N350, Holiday_Dates) &lt;= 0,
                1,
                NETWORKDAYS(IF(NOT(ISBLANK(M350)), M350, L350), N350, Holiday_Dates)
                - IF(IF(NOT(ISBLANK(M350)), M350, L350) = N350, 0, 1)
            )
        )
    ),
    ""
)</f>
        <v/>
      </c>
      <c r="S350" s="385" t="str">
        <f>IFERROR(
    IF(
        OR(ISBLANK(N350), ISBLANK(O350)),
        "",
        MAX(
            1,
            IF(
                NETWORKDAYS(N350, O350, Holiday_Dates) &lt;= 0,
                1,
                NETWORKDAYS(N350, O350, Holiday_Dates) - IF(N350 = O350, 0, 1)
            )
        )
    ),
    ""
)</f>
        <v/>
      </c>
      <c r="T350" s="385"/>
      <c r="U350" s="385" t="s">
        <v>672</v>
      </c>
      <c r="V350" s="385" t="s">
        <v>101</v>
      </c>
      <c r="W350" s="385" t="s">
        <v>1436</v>
      </c>
      <c r="X350" s="1"/>
    </row>
    <row r="351" spans="1:24">
      <c r="A351" s="385" t="s">
        <v>48</v>
      </c>
      <c r="B351" s="385" t="s">
        <v>373</v>
      </c>
      <c r="C351" s="385" t="s">
        <v>2117</v>
      </c>
      <c r="D351" s="385" t="s">
        <v>88</v>
      </c>
      <c r="E351" s="385"/>
      <c r="F351" s="385"/>
      <c r="G351" s="385"/>
      <c r="H351" s="385">
        <v>2024</v>
      </c>
      <c r="I351" s="385" t="s">
        <v>4686</v>
      </c>
      <c r="J351" s="30"/>
      <c r="K351" s="385"/>
      <c r="L351" s="385"/>
      <c r="M351" s="385"/>
      <c r="N351" s="385"/>
      <c r="O351" s="385"/>
      <c r="P351" s="385" t="str">
        <f>IFERROR(
    IF(
        OR(ISBLANK(I351), ISBLANK(L351)),
        "",
        MAX(
            1,
            IF(
                NETWORKDAYS(I351, L351, Holiday_Dates) &lt;= 0,
                1,
                NETWORKDAYS(I351, L351, Holiday_Dates) - IF(I351 = L351, 0, 1)
            )
        )
    ),
    ""
)</f>
        <v/>
      </c>
      <c r="Q351" s="385" t="str">
        <f>IF(
    OR(ISBLANK(L351), ISBLANK(M351)),
    "",
    MAX(
        1,
        IF(
            NETWORKDAYS(L351, M351, Holiday_Dates) &lt;= 0,
            1,
            NETWORKDAYS(L351, M351, Holiday_Dates) - IF(L351 = M351, 0, 1)
        )
    )
)</f>
        <v/>
      </c>
      <c r="R351" s="385" t="str">
        <f>IFERROR(
    IF(
        OR(ISBLANK(N351), AND(ISBLANK(L351), ISBLANK(M351))),
        "",
        MAX(
            1,
            IF(
                NETWORKDAYS(IF(NOT(ISBLANK(M351)), M351, L351), N351, Holiday_Dates) &lt;= 0,
                1,
                NETWORKDAYS(IF(NOT(ISBLANK(M351)), M351, L351), N351, Holiday_Dates)
                - IF(IF(NOT(ISBLANK(M351)), M351, L351) = N351, 0, 1)
            )
        )
    ),
    ""
)</f>
        <v/>
      </c>
      <c r="S351" s="385" t="str">
        <f>IFERROR(
    IF(
        OR(ISBLANK(N351), ISBLANK(O351)),
        "",
        MAX(
            1,
            IF(
                NETWORKDAYS(N351, O351, Holiday_Dates) &lt;= 0,
                1,
                NETWORKDAYS(N351, O351, Holiday_Dates) - IF(N351 = O351, 0, 1)
            )
        )
    ),
    ""
)</f>
        <v/>
      </c>
      <c r="T351" s="385"/>
      <c r="U351" s="385" t="s">
        <v>4</v>
      </c>
      <c r="V351" s="385" t="s">
        <v>108</v>
      </c>
      <c r="W351" s="385" t="s">
        <v>1436</v>
      </c>
      <c r="X351" s="1"/>
    </row>
    <row r="352" spans="1:24">
      <c r="A352" s="385" t="s">
        <v>48</v>
      </c>
      <c r="B352" s="385" t="s">
        <v>373</v>
      </c>
      <c r="C352" s="385" t="s">
        <v>2125</v>
      </c>
      <c r="D352" s="385" t="s">
        <v>88</v>
      </c>
      <c r="E352" s="385"/>
      <c r="F352" s="385"/>
      <c r="G352" s="385"/>
      <c r="H352" s="385">
        <v>2024</v>
      </c>
      <c r="I352" s="385" t="s">
        <v>2126</v>
      </c>
      <c r="J352" s="30"/>
      <c r="K352" s="385"/>
      <c r="L352" s="385"/>
      <c r="M352" s="385"/>
      <c r="N352" s="385"/>
      <c r="O352" s="385"/>
      <c r="P352" s="385" t="str">
        <f>IFERROR(
    IF(
        OR(ISBLANK(I352), ISBLANK(L352)),
        "",
        MAX(
            1,
            IF(
                NETWORKDAYS(I352, L352, Holiday_Dates) &lt;= 0,
                1,
                NETWORKDAYS(I352, L352, Holiday_Dates) - IF(I352 = L352, 0, 1)
            )
        )
    ),
    ""
)</f>
        <v/>
      </c>
      <c r="Q352" s="385" t="str">
        <f>IF(
    OR(ISBLANK(L352), ISBLANK(M352)),
    "",
    MAX(
        1,
        IF(
            NETWORKDAYS(L352, M352, Holiday_Dates) &lt;= 0,
            1,
            NETWORKDAYS(L352, M352, Holiday_Dates) - IF(L352 = M352, 0, 1)
        )
    )
)</f>
        <v/>
      </c>
      <c r="R352" s="385" t="str">
        <f>IFERROR(
    IF(
        OR(ISBLANK(N352), AND(ISBLANK(L352), ISBLANK(M352))),
        "",
        MAX(
            1,
            IF(
                NETWORKDAYS(IF(NOT(ISBLANK(M352)), M352, L352), N352, Holiday_Dates) &lt;= 0,
                1,
                NETWORKDAYS(IF(NOT(ISBLANK(M352)), M352, L352), N352, Holiday_Dates)
                - IF(IF(NOT(ISBLANK(M352)), M352, L352) = N352, 0, 1)
            )
        )
    ),
    ""
)</f>
        <v/>
      </c>
      <c r="S352" s="385" t="str">
        <f>IFERROR(
    IF(
        OR(ISBLANK(N352), ISBLANK(O352)),
        "",
        MAX(
            1,
            IF(
                NETWORKDAYS(N352, O352, Holiday_Dates) &lt;= 0,
                1,
                NETWORKDAYS(N352, O352, Holiday_Dates) - IF(N352 = O352, 0, 1)
            )
        )
    ),
    ""
)</f>
        <v/>
      </c>
      <c r="T352" s="385"/>
      <c r="U352" s="385" t="s">
        <v>4</v>
      </c>
      <c r="V352" s="385" t="s">
        <v>108</v>
      </c>
      <c r="W352" s="385" t="s">
        <v>1436</v>
      </c>
      <c r="X352" s="1"/>
    </row>
    <row r="353" spans="1:24">
      <c r="A353" s="385" t="s">
        <v>48</v>
      </c>
      <c r="B353" s="385" t="s">
        <v>373</v>
      </c>
      <c r="C353" s="385" t="s">
        <v>526</v>
      </c>
      <c r="D353" s="385" t="s">
        <v>88</v>
      </c>
      <c r="E353" s="385"/>
      <c r="F353" s="385"/>
      <c r="G353" s="385"/>
      <c r="H353" s="385">
        <v>2024</v>
      </c>
      <c r="I353" s="385" t="s">
        <v>1900</v>
      </c>
      <c r="J353" s="30"/>
      <c r="K353" s="385"/>
      <c r="L353" s="385"/>
      <c r="M353" s="385"/>
      <c r="N353" s="385"/>
      <c r="O353" s="385"/>
      <c r="P353" s="385" t="str">
        <f>IFERROR(
    IF(
        OR(ISBLANK(I353), ISBLANK(L353)),
        "",
        MAX(
            1,
            IF(
                NETWORKDAYS(I353, L353, Holiday_Dates) &lt;= 0,
                1,
                NETWORKDAYS(I353, L353, Holiday_Dates) - IF(I353 = L353, 0, 1)
            )
        )
    ),
    ""
)</f>
        <v/>
      </c>
      <c r="Q353" s="385" t="str">
        <f>IF(
    OR(ISBLANK(L353), ISBLANK(M353)),
    "",
    MAX(
        1,
        IF(
            NETWORKDAYS(L353, M353, Holiday_Dates) &lt;= 0,
            1,
            NETWORKDAYS(L353, M353, Holiday_Dates) - IF(L353 = M353, 0, 1)
        )
    )
)</f>
        <v/>
      </c>
      <c r="R353" s="385" t="str">
        <f>IFERROR(
    IF(
        OR(ISBLANK(N353), AND(ISBLANK(L353), ISBLANK(M353))),
        "",
        MAX(
            1,
            IF(
                NETWORKDAYS(IF(NOT(ISBLANK(M353)), M353, L353), N353, Holiday_Dates) &lt;= 0,
                1,
                NETWORKDAYS(IF(NOT(ISBLANK(M353)), M353, L353), N353, Holiday_Dates)
                - IF(IF(NOT(ISBLANK(M353)), M353, L353) = N353, 0, 1)
            )
        )
    ),
    ""
)</f>
        <v/>
      </c>
      <c r="S353" s="385" t="str">
        <f>IFERROR(
    IF(
        OR(ISBLANK(N353), ISBLANK(O353)),
        "",
        MAX(
            1,
            IF(
                NETWORKDAYS(N353, O353, Holiday_Dates) &lt;= 0,
                1,
                NETWORKDAYS(N353, O353, Holiday_Dates) - IF(N353 = O353, 0, 1)
            )
        )
    ),
    ""
)</f>
        <v/>
      </c>
      <c r="T353" s="385"/>
      <c r="U353" s="385" t="s">
        <v>4</v>
      </c>
      <c r="V353" s="385" t="s">
        <v>101</v>
      </c>
      <c r="W353" s="385" t="s">
        <v>1436</v>
      </c>
      <c r="X353" s="1"/>
    </row>
    <row r="354" spans="1:24">
      <c r="A354" s="385" t="s">
        <v>48</v>
      </c>
      <c r="B354" s="385" t="s">
        <v>373</v>
      </c>
      <c r="C354" s="385" t="s">
        <v>2120</v>
      </c>
      <c r="D354" s="385" t="s">
        <v>88</v>
      </c>
      <c r="E354" s="385"/>
      <c r="F354" s="385"/>
      <c r="G354" s="385"/>
      <c r="H354" s="385">
        <v>2024</v>
      </c>
      <c r="I354" s="385" t="s">
        <v>1954</v>
      </c>
      <c r="J354" s="30"/>
      <c r="K354" s="385"/>
      <c r="L354" s="385"/>
      <c r="M354" s="385"/>
      <c r="N354" s="385"/>
      <c r="O354" s="385"/>
      <c r="P354" s="385" t="str">
        <f>IFERROR(
    IF(
        OR(ISBLANK(I354), ISBLANK(L354)),
        "",
        MAX(
            1,
            IF(
                NETWORKDAYS(I354, L354, Holiday_Dates) &lt;= 0,
                1,
                NETWORKDAYS(I354, L354, Holiday_Dates) - IF(I354 = L354, 0, 1)
            )
        )
    ),
    ""
)</f>
        <v/>
      </c>
      <c r="Q354" s="385" t="str">
        <f>IF(
    OR(ISBLANK(L354), ISBLANK(M354)),
    "",
    MAX(
        1,
        IF(
            NETWORKDAYS(L354, M354, Holiday_Dates) &lt;= 0,
            1,
            NETWORKDAYS(L354, M354, Holiday_Dates) - IF(L354 = M354, 0, 1)
        )
    )
)</f>
        <v/>
      </c>
      <c r="R354" s="385" t="str">
        <f>IFERROR(
    IF(
        OR(ISBLANK(N354), AND(ISBLANK(L354), ISBLANK(M354))),
        "",
        MAX(
            1,
            IF(
                NETWORKDAYS(IF(NOT(ISBLANK(M354)), M354, L354), N354, Holiday_Dates) &lt;= 0,
                1,
                NETWORKDAYS(IF(NOT(ISBLANK(M354)), M354, L354), N354, Holiday_Dates)
                - IF(IF(NOT(ISBLANK(M354)), M354, L354) = N354, 0, 1)
            )
        )
    ),
    ""
)</f>
        <v/>
      </c>
      <c r="S354" s="385" t="str">
        <f>IFERROR(
    IF(
        OR(ISBLANK(N354), ISBLANK(O354)),
        "",
        MAX(
            1,
            IF(
                NETWORKDAYS(N354, O354, Holiday_Dates) &lt;= 0,
                1,
                NETWORKDAYS(N354, O354, Holiday_Dates) - IF(N354 = O354, 0, 1)
            )
        )
    ),
    ""
)</f>
        <v/>
      </c>
      <c r="T354" s="385"/>
      <c r="U354" s="385" t="s">
        <v>4</v>
      </c>
      <c r="V354" s="385" t="s">
        <v>101</v>
      </c>
      <c r="W354" s="385" t="s">
        <v>1436</v>
      </c>
      <c r="X354" s="1"/>
    </row>
    <row r="355" spans="1:24">
      <c r="A355" s="385" t="s">
        <v>48</v>
      </c>
      <c r="B355" s="385" t="s">
        <v>373</v>
      </c>
      <c r="C355" s="385" t="s">
        <v>2122</v>
      </c>
      <c r="D355" s="385" t="s">
        <v>88</v>
      </c>
      <c r="E355" s="385"/>
      <c r="F355" s="385"/>
      <c r="G355" s="385"/>
      <c r="H355" s="385">
        <v>2024</v>
      </c>
      <c r="I355" s="385" t="s">
        <v>1835</v>
      </c>
      <c r="J355" s="30"/>
      <c r="K355" s="385"/>
      <c r="L355" s="385"/>
      <c r="M355" s="385"/>
      <c r="N355" s="385"/>
      <c r="O355" s="385"/>
      <c r="P355" s="385" t="str">
        <f>IFERROR(
    IF(
        OR(ISBLANK(I355), ISBLANK(L355)),
        "",
        MAX(
            1,
            IF(
                NETWORKDAYS(I355, L355, Holiday_Dates) &lt;= 0,
                1,
                NETWORKDAYS(I355, L355, Holiday_Dates) - IF(I355 = L355, 0, 1)
            )
        )
    ),
    ""
)</f>
        <v/>
      </c>
      <c r="Q355" s="385" t="str">
        <f>IF(
    OR(ISBLANK(L355), ISBLANK(M355)),
    "",
    MAX(
        1,
        IF(
            NETWORKDAYS(L355, M355, Holiday_Dates) &lt;= 0,
            1,
            NETWORKDAYS(L355, M355, Holiday_Dates) - IF(L355 = M355, 0, 1)
        )
    )
)</f>
        <v/>
      </c>
      <c r="R355" s="385" t="str">
        <f>IFERROR(
    IF(
        OR(ISBLANK(N355), AND(ISBLANK(L355), ISBLANK(M355))),
        "",
        MAX(
            1,
            IF(
                NETWORKDAYS(IF(NOT(ISBLANK(M355)), M355, L355), N355, Holiday_Dates) &lt;= 0,
                1,
                NETWORKDAYS(IF(NOT(ISBLANK(M355)), M355, L355), N355, Holiday_Dates)
                - IF(IF(NOT(ISBLANK(M355)), M355, L355) = N355, 0, 1)
            )
        )
    ),
    ""
)</f>
        <v/>
      </c>
      <c r="S355" s="385" t="str">
        <f>IFERROR(
    IF(
        OR(ISBLANK(N355), ISBLANK(O355)),
        "",
        MAX(
            1,
            IF(
                NETWORKDAYS(N355, O355, Holiday_Dates) &lt;= 0,
                1,
                NETWORKDAYS(N355, O355, Holiday_Dates) - IF(N355 = O355, 0, 1)
            )
        )
    ),
    ""
)</f>
        <v/>
      </c>
      <c r="T355" s="385"/>
      <c r="U355" s="385" t="s">
        <v>4</v>
      </c>
      <c r="V355" s="385" t="s">
        <v>101</v>
      </c>
      <c r="W355" s="385" t="s">
        <v>1436</v>
      </c>
      <c r="X355" s="1"/>
    </row>
    <row r="356" spans="1:24">
      <c r="A356" s="385" t="s">
        <v>48</v>
      </c>
      <c r="B356" s="385" t="s">
        <v>373</v>
      </c>
      <c r="C356" s="385" t="s">
        <v>1719</v>
      </c>
      <c r="D356" s="385" t="s">
        <v>88</v>
      </c>
      <c r="E356" s="385"/>
      <c r="F356" s="385"/>
      <c r="G356" s="385"/>
      <c r="H356" s="385">
        <v>2024</v>
      </c>
      <c r="I356" s="385" t="s">
        <v>4687</v>
      </c>
      <c r="J356" s="30"/>
      <c r="K356" s="385"/>
      <c r="L356" s="385"/>
      <c r="M356" s="385"/>
      <c r="N356" s="385"/>
      <c r="O356" s="385"/>
      <c r="P356" s="385" t="str">
        <f>IFERROR(
    IF(
        OR(ISBLANK(I356), ISBLANK(L356)),
        "",
        MAX(
            1,
            IF(
                NETWORKDAYS(I356, L356, Holiday_Dates) &lt;= 0,
                1,
                NETWORKDAYS(I356, L356, Holiday_Dates) - IF(I356 = L356, 0, 1)
            )
        )
    ),
    ""
)</f>
        <v/>
      </c>
      <c r="Q356" s="385" t="str">
        <f>IF(
    OR(ISBLANK(L356), ISBLANK(M356)),
    "",
    MAX(
        1,
        IF(
            NETWORKDAYS(L356, M356, Holiday_Dates) &lt;= 0,
            1,
            NETWORKDAYS(L356, M356, Holiday_Dates) - IF(L356 = M356, 0, 1)
        )
    )
)</f>
        <v/>
      </c>
      <c r="R356" s="385" t="str">
        <f>IFERROR(
    IF(
        OR(ISBLANK(N356), AND(ISBLANK(L356), ISBLANK(M356))),
        "",
        MAX(
            1,
            IF(
                NETWORKDAYS(IF(NOT(ISBLANK(M356)), M356, L356), N356, Holiday_Dates) &lt;= 0,
                1,
                NETWORKDAYS(IF(NOT(ISBLANK(M356)), M356, L356), N356, Holiday_Dates)
                - IF(IF(NOT(ISBLANK(M356)), M356, L356) = N356, 0, 1)
            )
        )
    ),
    ""
)</f>
        <v/>
      </c>
      <c r="S356" s="385" t="str">
        <f>IFERROR(
    IF(
        OR(ISBLANK(N356), ISBLANK(O356)),
        "",
        MAX(
            1,
            IF(
                NETWORKDAYS(N356, O356, Holiday_Dates) &lt;= 0,
                1,
                NETWORKDAYS(N356, O356, Holiday_Dates) - IF(N356 = O356, 0, 1)
            )
        )
    ),
    ""
)</f>
        <v/>
      </c>
      <c r="T356" s="385"/>
      <c r="U356" s="385" t="s">
        <v>4</v>
      </c>
      <c r="V356" s="385" t="s">
        <v>101</v>
      </c>
      <c r="W356" s="385" t="s">
        <v>1436</v>
      </c>
      <c r="X356" s="1"/>
    </row>
    <row r="357" spans="1:24">
      <c r="A357" s="385" t="s">
        <v>48</v>
      </c>
      <c r="B357" s="385" t="s">
        <v>399</v>
      </c>
      <c r="C357" s="385" t="s">
        <v>2128</v>
      </c>
      <c r="D357" s="385" t="s">
        <v>88</v>
      </c>
      <c r="E357" s="385"/>
      <c r="F357" s="385"/>
      <c r="G357" s="385"/>
      <c r="H357" s="385">
        <v>2024</v>
      </c>
      <c r="I357" s="385" t="s">
        <v>2129</v>
      </c>
      <c r="J357" s="30"/>
      <c r="K357" s="385"/>
      <c r="L357" s="385"/>
      <c r="M357" s="385"/>
      <c r="N357" s="385"/>
      <c r="O357" s="385"/>
      <c r="P357" s="385" t="str">
        <f>IFERROR(
    IF(
        OR(ISBLANK(I357), ISBLANK(L357)),
        "",
        MAX(
            1,
            IF(
                NETWORKDAYS(I357, L357, Holiday_Dates) &lt;= 0,
                1,
                NETWORKDAYS(I357, L357, Holiday_Dates) - IF(I357 = L357, 0, 1)
            )
        )
    ),
    ""
)</f>
        <v/>
      </c>
      <c r="Q357" s="385" t="str">
        <f>IF(
    OR(ISBLANK(L357), ISBLANK(M357)),
    "",
    MAX(
        1,
        IF(
            NETWORKDAYS(L357, M357, Holiday_Dates) &lt;= 0,
            1,
            NETWORKDAYS(L357, M357, Holiday_Dates) - IF(L357 = M357, 0, 1)
        )
    )
)</f>
        <v/>
      </c>
      <c r="R357" s="385" t="str">
        <f>IFERROR(
    IF(
        OR(ISBLANK(N357), AND(ISBLANK(L357), ISBLANK(M357))),
        "",
        MAX(
            1,
            IF(
                NETWORKDAYS(IF(NOT(ISBLANK(M357)), M357, L357), N357, Holiday_Dates) &lt;= 0,
                1,
                NETWORKDAYS(IF(NOT(ISBLANK(M357)), M357, L357), N357, Holiday_Dates)
                - IF(IF(NOT(ISBLANK(M357)), M357, L357) = N357, 0, 1)
            )
        )
    ),
    ""
)</f>
        <v/>
      </c>
      <c r="S357" s="385" t="str">
        <f>IFERROR(
    IF(
        OR(ISBLANK(N357), ISBLANK(O357)),
        "",
        MAX(
            1,
            IF(
                NETWORKDAYS(N357, O357, Holiday_Dates) &lt;= 0,
                1,
                NETWORKDAYS(N357, O357, Holiday_Dates) - IF(N357 = O357, 0, 1)
            )
        )
    ),
    ""
)</f>
        <v/>
      </c>
      <c r="T357" s="385"/>
      <c r="U357" s="385" t="s">
        <v>4</v>
      </c>
      <c r="V357" s="385" t="s">
        <v>101</v>
      </c>
      <c r="W357" s="385" t="s">
        <v>1436</v>
      </c>
      <c r="X357" s="1"/>
    </row>
    <row r="358" spans="1:24">
      <c r="A358" s="385" t="s">
        <v>48</v>
      </c>
      <c r="B358" s="385" t="s">
        <v>399</v>
      </c>
      <c r="C358" s="385" t="s">
        <v>1023</v>
      </c>
      <c r="D358" s="385" t="s">
        <v>88</v>
      </c>
      <c r="E358" s="385"/>
      <c r="F358" s="385"/>
      <c r="G358" s="385"/>
      <c r="H358" s="385">
        <v>2024</v>
      </c>
      <c r="I358" s="385" t="s">
        <v>2131</v>
      </c>
      <c r="J358" s="30"/>
      <c r="K358" s="385"/>
      <c r="L358" s="385"/>
      <c r="M358" s="385"/>
      <c r="N358" s="385"/>
      <c r="O358" s="385"/>
      <c r="P358" s="385" t="str">
        <f>IFERROR(
    IF(
        OR(ISBLANK(I358), ISBLANK(L358)),
        "",
        MAX(
            1,
            IF(
                NETWORKDAYS(I358, L358, Holiday_Dates) &lt;= 0,
                1,
                NETWORKDAYS(I358, L358, Holiday_Dates) - IF(I358 = L358, 0, 1)
            )
        )
    ),
    ""
)</f>
        <v/>
      </c>
      <c r="Q358" s="385" t="str">
        <f>IF(
    OR(ISBLANK(L358), ISBLANK(M358)),
    "",
    MAX(
        1,
        IF(
            NETWORKDAYS(L358, M358, Holiday_Dates) &lt;= 0,
            1,
            NETWORKDAYS(L358, M358, Holiday_Dates) - IF(L358 = M358, 0, 1)
        )
    )
)</f>
        <v/>
      </c>
      <c r="R358" s="385" t="str">
        <f>IFERROR(
    IF(
        OR(ISBLANK(N358), AND(ISBLANK(L358), ISBLANK(M358))),
        "",
        MAX(
            1,
            IF(
                NETWORKDAYS(IF(NOT(ISBLANK(M358)), M358, L358), N358, Holiday_Dates) &lt;= 0,
                1,
                NETWORKDAYS(IF(NOT(ISBLANK(M358)), M358, L358), N358, Holiday_Dates)
                - IF(IF(NOT(ISBLANK(M358)), M358, L358) = N358, 0, 1)
            )
        )
    ),
    ""
)</f>
        <v/>
      </c>
      <c r="S358" s="385" t="str">
        <f>IFERROR(
    IF(
        OR(ISBLANK(N358), ISBLANK(O358)),
        "",
        MAX(
            1,
            IF(
                NETWORKDAYS(N358, O358, Holiday_Dates) &lt;= 0,
                1,
                NETWORKDAYS(N358, O358, Holiday_Dates) - IF(N358 = O358, 0, 1)
            )
        )
    ),
    ""
)</f>
        <v/>
      </c>
      <c r="T358" s="385"/>
      <c r="U358" s="385" t="s">
        <v>4</v>
      </c>
      <c r="V358" s="385" t="s">
        <v>101</v>
      </c>
      <c r="W358" s="385" t="s">
        <v>1436</v>
      </c>
      <c r="X358" s="1"/>
    </row>
    <row r="359" spans="1:24">
      <c r="A359" s="385" t="s">
        <v>48</v>
      </c>
      <c r="B359" s="385" t="s">
        <v>399</v>
      </c>
      <c r="C359" s="385" t="s">
        <v>2133</v>
      </c>
      <c r="D359" s="385" t="s">
        <v>88</v>
      </c>
      <c r="E359" s="385"/>
      <c r="F359" s="385"/>
      <c r="G359" s="385"/>
      <c r="H359" s="385">
        <v>2024</v>
      </c>
      <c r="I359" s="385" t="s">
        <v>2030</v>
      </c>
      <c r="J359" s="30"/>
      <c r="K359" s="385"/>
      <c r="L359" s="385"/>
      <c r="M359" s="385"/>
      <c r="N359" s="385"/>
      <c r="O359" s="385"/>
      <c r="P359" s="385" t="str">
        <f>IFERROR(
    IF(
        OR(ISBLANK(I359), ISBLANK(L359)),
        "",
        MAX(
            1,
            IF(
                NETWORKDAYS(I359, L359, Holiday_Dates) &lt;= 0,
                1,
                NETWORKDAYS(I359, L359, Holiday_Dates) - IF(I359 = L359, 0, 1)
            )
        )
    ),
    ""
)</f>
        <v/>
      </c>
      <c r="Q359" s="385" t="str">
        <f>IF(
    OR(ISBLANK(L359), ISBLANK(M359)),
    "",
    MAX(
        1,
        IF(
            NETWORKDAYS(L359, M359, Holiday_Dates) &lt;= 0,
            1,
            NETWORKDAYS(L359, M359, Holiday_Dates) - IF(L359 = M359, 0, 1)
        )
    )
)</f>
        <v/>
      </c>
      <c r="R359" s="385" t="str">
        <f>IFERROR(
    IF(
        OR(ISBLANK(N359), AND(ISBLANK(L359), ISBLANK(M359))),
        "",
        MAX(
            1,
            IF(
                NETWORKDAYS(IF(NOT(ISBLANK(M359)), M359, L359), N359, Holiday_Dates) &lt;= 0,
                1,
                NETWORKDAYS(IF(NOT(ISBLANK(M359)), M359, L359), N359, Holiday_Dates)
                - IF(IF(NOT(ISBLANK(M359)), M359, L359) = N359, 0, 1)
            )
        )
    ),
    ""
)</f>
        <v/>
      </c>
      <c r="S359" s="385" t="str">
        <f>IFERROR(
    IF(
        OR(ISBLANK(N359), ISBLANK(O359)),
        "",
        MAX(
            1,
            IF(
                NETWORKDAYS(N359, O359, Holiday_Dates) &lt;= 0,
                1,
                NETWORKDAYS(N359, O359, Holiday_Dates) - IF(N359 = O359, 0, 1)
            )
        )
    ),
    ""
)</f>
        <v/>
      </c>
      <c r="T359" s="385"/>
      <c r="U359" s="385" t="s">
        <v>4</v>
      </c>
      <c r="V359" s="385" t="s">
        <v>101</v>
      </c>
      <c r="W359" s="385" t="s">
        <v>1436</v>
      </c>
      <c r="X359" s="1"/>
    </row>
    <row r="360" spans="1:24">
      <c r="A360" s="385" t="s">
        <v>48</v>
      </c>
      <c r="B360" s="385" t="s">
        <v>399</v>
      </c>
      <c r="C360" s="385" t="s">
        <v>2135</v>
      </c>
      <c r="D360" s="385" t="s">
        <v>88</v>
      </c>
      <c r="E360" s="385"/>
      <c r="F360" s="385"/>
      <c r="G360" s="385"/>
      <c r="H360" s="385">
        <v>2024</v>
      </c>
      <c r="I360" s="385" t="s">
        <v>2136</v>
      </c>
      <c r="J360" s="30"/>
      <c r="K360" s="385"/>
      <c r="L360" s="385"/>
      <c r="M360" s="385"/>
      <c r="N360" s="385"/>
      <c r="O360" s="385"/>
      <c r="P360" s="385" t="str">
        <f>IFERROR(
    IF(
        OR(ISBLANK(I360), ISBLANK(L360)),
        "",
        MAX(
            1,
            IF(
                NETWORKDAYS(I360, L360, Holiday_Dates) &lt;= 0,
                1,
                NETWORKDAYS(I360, L360, Holiday_Dates) - IF(I360 = L360, 0, 1)
            )
        )
    ),
    ""
)</f>
        <v/>
      </c>
      <c r="Q360" s="385" t="str">
        <f>IF(
    OR(ISBLANK(L360), ISBLANK(M360)),
    "",
    MAX(
        1,
        IF(
            NETWORKDAYS(L360, M360, Holiday_Dates) &lt;= 0,
            1,
            NETWORKDAYS(L360, M360, Holiday_Dates) - IF(L360 = M360, 0, 1)
        )
    )
)</f>
        <v/>
      </c>
      <c r="R360" s="385" t="str">
        <f>IFERROR(
    IF(
        OR(ISBLANK(N360), AND(ISBLANK(L360), ISBLANK(M360))),
        "",
        MAX(
            1,
            IF(
                NETWORKDAYS(IF(NOT(ISBLANK(M360)), M360, L360), N360, Holiday_Dates) &lt;= 0,
                1,
                NETWORKDAYS(IF(NOT(ISBLANK(M360)), M360, L360), N360, Holiday_Dates)
                - IF(IF(NOT(ISBLANK(M360)), M360, L360) = N360, 0, 1)
            )
        )
    ),
    ""
)</f>
        <v/>
      </c>
      <c r="S360" s="385" t="str">
        <f>IFERROR(
    IF(
        OR(ISBLANK(N360), ISBLANK(O360)),
        "",
        MAX(
            1,
            IF(
                NETWORKDAYS(N360, O360, Holiday_Dates) &lt;= 0,
                1,
                NETWORKDAYS(N360, O360, Holiday_Dates) - IF(N360 = O360, 0, 1)
            )
        )
    ),
    ""
)</f>
        <v/>
      </c>
      <c r="T360" s="385"/>
      <c r="U360" s="385" t="s">
        <v>4</v>
      </c>
      <c r="V360" s="385" t="s">
        <v>101</v>
      </c>
      <c r="W360" s="385" t="s">
        <v>1436</v>
      </c>
      <c r="X360" s="1"/>
    </row>
    <row r="361" spans="1:24">
      <c r="A361" s="385" t="s">
        <v>48</v>
      </c>
      <c r="B361" s="385" t="s">
        <v>399</v>
      </c>
      <c r="C361" s="385" t="s">
        <v>2138</v>
      </c>
      <c r="D361" s="385" t="s">
        <v>88</v>
      </c>
      <c r="E361" s="385"/>
      <c r="F361" s="385"/>
      <c r="G361" s="385"/>
      <c r="H361" s="385">
        <v>2024</v>
      </c>
      <c r="I361" s="385" t="s">
        <v>1703</v>
      </c>
      <c r="J361" s="30"/>
      <c r="K361" s="385"/>
      <c r="L361" s="385"/>
      <c r="M361" s="385"/>
      <c r="N361" s="385"/>
      <c r="O361" s="385"/>
      <c r="P361" s="385" t="str">
        <f>IFERROR(
    IF(
        OR(ISBLANK(I361), ISBLANK(L361)),
        "",
        MAX(
            1,
            IF(
                NETWORKDAYS(I361, L361, Holiday_Dates) &lt;= 0,
                1,
                NETWORKDAYS(I361, L361, Holiday_Dates) - IF(I361 = L361, 0, 1)
            )
        )
    ),
    ""
)</f>
        <v/>
      </c>
      <c r="Q361" s="385" t="str">
        <f>IF(
    OR(ISBLANK(L361), ISBLANK(M361)),
    "",
    MAX(
        1,
        IF(
            NETWORKDAYS(L361, M361, Holiday_Dates) &lt;= 0,
            1,
            NETWORKDAYS(L361, M361, Holiday_Dates) - IF(L361 = M361, 0, 1)
        )
    )
)</f>
        <v/>
      </c>
      <c r="R361" s="385" t="str">
        <f>IFERROR(
    IF(
        OR(ISBLANK(N361), AND(ISBLANK(L361), ISBLANK(M361))),
        "",
        MAX(
            1,
            IF(
                NETWORKDAYS(IF(NOT(ISBLANK(M361)), M361, L361), N361, Holiday_Dates) &lt;= 0,
                1,
                NETWORKDAYS(IF(NOT(ISBLANK(M361)), M361, L361), N361, Holiday_Dates)
                - IF(IF(NOT(ISBLANK(M361)), M361, L361) = N361, 0, 1)
            )
        )
    ),
    ""
)</f>
        <v/>
      </c>
      <c r="S361" s="385" t="str">
        <f>IFERROR(
    IF(
        OR(ISBLANK(N361), ISBLANK(O361)),
        "",
        MAX(
            1,
            IF(
                NETWORKDAYS(N361, O361, Holiday_Dates) &lt;= 0,
                1,
                NETWORKDAYS(N361, O361, Holiday_Dates) - IF(N361 = O361, 0, 1)
            )
        )
    ),
    ""
)</f>
        <v/>
      </c>
      <c r="T361" s="385"/>
      <c r="U361" s="385" t="s">
        <v>672</v>
      </c>
      <c r="V361" s="385" t="s">
        <v>101</v>
      </c>
      <c r="W361" s="385" t="s">
        <v>1436</v>
      </c>
      <c r="X361" s="1"/>
    </row>
    <row r="362" spans="1:24">
      <c r="A362" s="385" t="s">
        <v>48</v>
      </c>
      <c r="B362" s="385" t="s">
        <v>399</v>
      </c>
      <c r="C362" s="385" t="s">
        <v>1006</v>
      </c>
      <c r="D362" s="385" t="s">
        <v>88</v>
      </c>
      <c r="E362" s="385"/>
      <c r="F362" s="385"/>
      <c r="G362" s="385"/>
      <c r="H362" s="385">
        <v>2024</v>
      </c>
      <c r="I362" s="385" t="s">
        <v>1790</v>
      </c>
      <c r="J362" s="30"/>
      <c r="K362" s="385"/>
      <c r="L362" s="385"/>
      <c r="M362" s="385"/>
      <c r="N362" s="385"/>
      <c r="O362" s="385"/>
      <c r="P362" s="385" t="str">
        <f>IFERROR(
    IF(
        OR(ISBLANK(I362), ISBLANK(L362)),
        "",
        MAX(
            1,
            IF(
                NETWORKDAYS(I362, L362, Holiday_Dates) &lt;= 0,
                1,
                NETWORKDAYS(I362, L362, Holiday_Dates) - IF(I362 = L362, 0, 1)
            )
        )
    ),
    ""
)</f>
        <v/>
      </c>
      <c r="Q362" s="385" t="str">
        <f>IF(
    OR(ISBLANK(L362), ISBLANK(M362)),
    "",
    MAX(
        1,
        IF(
            NETWORKDAYS(L362, M362, Holiday_Dates) &lt;= 0,
            1,
            NETWORKDAYS(L362, M362, Holiday_Dates) - IF(L362 = M362, 0, 1)
        )
    )
)</f>
        <v/>
      </c>
      <c r="R362" s="385" t="str">
        <f>IFERROR(
    IF(
        OR(ISBLANK(N362), AND(ISBLANK(L362), ISBLANK(M362))),
        "",
        MAX(
            1,
            IF(
                NETWORKDAYS(IF(NOT(ISBLANK(M362)), M362, L362), N362, Holiday_Dates) &lt;= 0,
                1,
                NETWORKDAYS(IF(NOT(ISBLANK(M362)), M362, L362), N362, Holiday_Dates)
                - IF(IF(NOT(ISBLANK(M362)), M362, L362) = N362, 0, 1)
            )
        )
    ),
    ""
)</f>
        <v/>
      </c>
      <c r="S362" s="385" t="str">
        <f>IFERROR(
    IF(
        OR(ISBLANK(N362), ISBLANK(O362)),
        "",
        MAX(
            1,
            IF(
                NETWORKDAYS(N362, O362, Holiday_Dates) &lt;= 0,
                1,
                NETWORKDAYS(N362, O362, Holiday_Dates) - IF(N362 = O362, 0, 1)
            )
        )
    ),
    ""
)</f>
        <v/>
      </c>
      <c r="T362" s="385"/>
      <c r="U362" s="385" t="s">
        <v>4</v>
      </c>
      <c r="V362" s="385" t="s">
        <v>101</v>
      </c>
      <c r="W362" s="385" t="s">
        <v>1436</v>
      </c>
      <c r="X362" s="1"/>
    </row>
    <row r="363" spans="1:24">
      <c r="A363" s="385" t="s">
        <v>48</v>
      </c>
      <c r="B363" s="385" t="s">
        <v>399</v>
      </c>
      <c r="C363" s="385" t="s">
        <v>2142</v>
      </c>
      <c r="D363" s="385" t="s">
        <v>88</v>
      </c>
      <c r="E363" s="385"/>
      <c r="F363" s="385"/>
      <c r="G363" s="385"/>
      <c r="H363" s="385">
        <v>2024</v>
      </c>
      <c r="I363" s="385" t="s">
        <v>1710</v>
      </c>
      <c r="J363" s="30"/>
      <c r="K363" s="385"/>
      <c r="L363" s="385"/>
      <c r="M363" s="385"/>
      <c r="N363" s="385"/>
      <c r="O363" s="385"/>
      <c r="P363" s="385" t="str">
        <f>IFERROR(
    IF(
        OR(ISBLANK(I363), ISBLANK(L363)),
        "",
        MAX(
            1,
            IF(
                NETWORKDAYS(I363, L363, Holiday_Dates) &lt;= 0,
                1,
                NETWORKDAYS(I363, L363, Holiday_Dates) - IF(I363 = L363, 0, 1)
            )
        )
    ),
    ""
)</f>
        <v/>
      </c>
      <c r="Q363" s="385" t="str">
        <f>IF(
    OR(ISBLANK(L363), ISBLANK(M363)),
    "",
    MAX(
        1,
        IF(
            NETWORKDAYS(L363, M363, Holiday_Dates) &lt;= 0,
            1,
            NETWORKDAYS(L363, M363, Holiday_Dates) - IF(L363 = M363, 0, 1)
        )
    )
)</f>
        <v/>
      </c>
      <c r="R363" s="385" t="str">
        <f>IFERROR(
    IF(
        OR(ISBLANK(N363), AND(ISBLANK(L363), ISBLANK(M363))),
        "",
        MAX(
            1,
            IF(
                NETWORKDAYS(IF(NOT(ISBLANK(M363)), M363, L363), N363, Holiday_Dates) &lt;= 0,
                1,
                NETWORKDAYS(IF(NOT(ISBLANK(M363)), M363, L363), N363, Holiday_Dates)
                - IF(IF(NOT(ISBLANK(M363)), M363, L363) = N363, 0, 1)
            )
        )
    ),
    ""
)</f>
        <v/>
      </c>
      <c r="S363" s="385" t="str">
        <f>IFERROR(
    IF(
        OR(ISBLANK(N363), ISBLANK(O363)),
        "",
        MAX(
            1,
            IF(
                NETWORKDAYS(N363, O363, Holiday_Dates) &lt;= 0,
                1,
                NETWORKDAYS(N363, O363, Holiday_Dates) - IF(N363 = O363, 0, 1)
            )
        )
    ),
    ""
)</f>
        <v/>
      </c>
      <c r="T363" s="385"/>
      <c r="U363" s="385" t="s">
        <v>672</v>
      </c>
      <c r="V363" s="385"/>
      <c r="W363" s="385" t="s">
        <v>1436</v>
      </c>
      <c r="X363" s="1"/>
    </row>
    <row r="364" spans="1:24">
      <c r="A364" s="385" t="s">
        <v>48</v>
      </c>
      <c r="B364" s="385" t="s">
        <v>399</v>
      </c>
      <c r="C364" s="385" t="s">
        <v>2144</v>
      </c>
      <c r="D364" s="385" t="s">
        <v>88</v>
      </c>
      <c r="E364" s="385"/>
      <c r="F364" s="385"/>
      <c r="G364" s="385"/>
      <c r="H364" s="385">
        <v>2024</v>
      </c>
      <c r="I364" s="385" t="s">
        <v>1827</v>
      </c>
      <c r="J364" s="30"/>
      <c r="K364" s="385"/>
      <c r="L364" s="385"/>
      <c r="M364" s="385"/>
      <c r="N364" s="385"/>
      <c r="O364" s="385"/>
      <c r="P364" s="385" t="str">
        <f>IFERROR(
    IF(
        OR(ISBLANK(I364), ISBLANK(L364)),
        "",
        MAX(
            1,
            IF(
                NETWORKDAYS(I364, L364, Holiday_Dates) &lt;= 0,
                1,
                NETWORKDAYS(I364, L364, Holiday_Dates) - IF(I364 = L364, 0, 1)
            )
        )
    ),
    ""
)</f>
        <v/>
      </c>
      <c r="Q364" s="385" t="str">
        <f>IF(
    OR(ISBLANK(L364), ISBLANK(M364)),
    "",
    MAX(
        1,
        IF(
            NETWORKDAYS(L364, M364, Holiday_Dates) &lt;= 0,
            1,
            NETWORKDAYS(L364, M364, Holiday_Dates) - IF(L364 = M364, 0, 1)
        )
    )
)</f>
        <v/>
      </c>
      <c r="R364" s="385" t="str">
        <f>IFERROR(
    IF(
        OR(ISBLANK(N364), AND(ISBLANK(L364), ISBLANK(M364))),
        "",
        MAX(
            1,
            IF(
                NETWORKDAYS(IF(NOT(ISBLANK(M364)), M364, L364), N364, Holiday_Dates) &lt;= 0,
                1,
                NETWORKDAYS(IF(NOT(ISBLANK(M364)), M364, L364), N364, Holiday_Dates)
                - IF(IF(NOT(ISBLANK(M364)), M364, L364) = N364, 0, 1)
            )
        )
    ),
    ""
)</f>
        <v/>
      </c>
      <c r="S364" s="385" t="str">
        <f>IFERROR(
    IF(
        OR(ISBLANK(N364), ISBLANK(O364)),
        "",
        MAX(
            1,
            IF(
                NETWORKDAYS(N364, O364, Holiday_Dates) &lt;= 0,
                1,
                NETWORKDAYS(N364, O364, Holiday_Dates) - IF(N364 = O364, 0, 1)
            )
        )
    ),
    ""
)</f>
        <v/>
      </c>
      <c r="T364" s="385"/>
      <c r="U364" s="385" t="s">
        <v>4</v>
      </c>
      <c r="V364" s="385" t="s">
        <v>101</v>
      </c>
      <c r="W364" s="385" t="s">
        <v>1436</v>
      </c>
      <c r="X364" s="1"/>
    </row>
    <row r="365" spans="1:24">
      <c r="A365" s="385" t="s">
        <v>48</v>
      </c>
      <c r="B365" s="385" t="s">
        <v>399</v>
      </c>
      <c r="C365" s="385" t="s">
        <v>1974</v>
      </c>
      <c r="D365" s="385" t="s">
        <v>88</v>
      </c>
      <c r="E365" s="385"/>
      <c r="F365" s="385"/>
      <c r="G365" s="385"/>
      <c r="H365" s="385">
        <v>2024</v>
      </c>
      <c r="I365" s="385" t="s">
        <v>2146</v>
      </c>
      <c r="J365" s="30"/>
      <c r="K365" s="385"/>
      <c r="L365" s="385"/>
      <c r="M365" s="385"/>
      <c r="N365" s="385"/>
      <c r="O365" s="385"/>
      <c r="P365" s="385" t="str">
        <f>IFERROR(
    IF(
        OR(ISBLANK(I365), ISBLANK(L365)),
        "",
        MAX(
            1,
            IF(
                NETWORKDAYS(I365, L365, Holiday_Dates) &lt;= 0,
                1,
                NETWORKDAYS(I365, L365, Holiday_Dates) - IF(I365 = L365, 0, 1)
            )
        )
    ),
    ""
)</f>
        <v/>
      </c>
      <c r="Q365" s="385" t="str">
        <f>IF(
    OR(ISBLANK(L365), ISBLANK(M365)),
    "",
    MAX(
        1,
        IF(
            NETWORKDAYS(L365, M365, Holiday_Dates) &lt;= 0,
            1,
            NETWORKDAYS(L365, M365, Holiday_Dates) - IF(L365 = M365, 0, 1)
        )
    )
)</f>
        <v/>
      </c>
      <c r="R365" s="385" t="str">
        <f>IFERROR(
    IF(
        OR(ISBLANK(N365), AND(ISBLANK(L365), ISBLANK(M365))),
        "",
        MAX(
            1,
            IF(
                NETWORKDAYS(IF(NOT(ISBLANK(M365)), M365, L365), N365, Holiday_Dates) &lt;= 0,
                1,
                NETWORKDAYS(IF(NOT(ISBLANK(M365)), M365, L365), N365, Holiday_Dates)
                - IF(IF(NOT(ISBLANK(M365)), M365, L365) = N365, 0, 1)
            )
        )
    ),
    ""
)</f>
        <v/>
      </c>
      <c r="S365" s="385" t="str">
        <f>IFERROR(
    IF(
        OR(ISBLANK(N365), ISBLANK(O365)),
        "",
        MAX(
            1,
            IF(
                NETWORKDAYS(N365, O365, Holiday_Dates) &lt;= 0,
                1,
                NETWORKDAYS(N365, O365, Holiday_Dates) - IF(N365 = O365, 0, 1)
            )
        )
    ),
    ""
)</f>
        <v/>
      </c>
      <c r="T365" s="385"/>
      <c r="U365" s="385" t="s">
        <v>4</v>
      </c>
      <c r="V365" s="385" t="s">
        <v>101</v>
      </c>
      <c r="W365" s="385" t="s">
        <v>1436</v>
      </c>
      <c r="X365" s="1"/>
    </row>
    <row r="366" spans="1:24">
      <c r="A366" s="385" t="s">
        <v>48</v>
      </c>
      <c r="B366" s="385" t="s">
        <v>399</v>
      </c>
      <c r="C366" s="385" t="s">
        <v>2149</v>
      </c>
      <c r="D366" s="385" t="s">
        <v>88</v>
      </c>
      <c r="E366" s="385"/>
      <c r="F366" s="385"/>
      <c r="G366" s="385"/>
      <c r="H366" s="385">
        <v>2024</v>
      </c>
      <c r="I366" s="385" t="s">
        <v>1728</v>
      </c>
      <c r="J366" s="30"/>
      <c r="K366" s="385"/>
      <c r="L366" s="385"/>
      <c r="M366" s="385"/>
      <c r="N366" s="385"/>
      <c r="O366" s="385"/>
      <c r="P366" s="385" t="str">
        <f>IFERROR(
    IF(
        OR(ISBLANK(I366), ISBLANK(L366)),
        "",
        MAX(
            1,
            IF(
                NETWORKDAYS(I366, L366, Holiday_Dates) &lt;= 0,
                1,
                NETWORKDAYS(I366, L366, Holiday_Dates) - IF(I366 = L366, 0, 1)
            )
        )
    ),
    ""
)</f>
        <v/>
      </c>
      <c r="Q366" s="385" t="str">
        <f>IF(
    OR(ISBLANK(L366), ISBLANK(M366)),
    "",
    MAX(
        1,
        IF(
            NETWORKDAYS(L366, M366, Holiday_Dates) &lt;= 0,
            1,
            NETWORKDAYS(L366, M366, Holiday_Dates) - IF(L366 = M366, 0, 1)
        )
    )
)</f>
        <v/>
      </c>
      <c r="R366" s="385" t="str">
        <f>IFERROR(
    IF(
        OR(ISBLANK(N366), AND(ISBLANK(L366), ISBLANK(M366))),
        "",
        MAX(
            1,
            IF(
                NETWORKDAYS(IF(NOT(ISBLANK(M366)), M366, L366), N366, Holiday_Dates) &lt;= 0,
                1,
                NETWORKDAYS(IF(NOT(ISBLANK(M366)), M366, L366), N366, Holiday_Dates)
                - IF(IF(NOT(ISBLANK(M366)), M366, L366) = N366, 0, 1)
            )
        )
    ),
    ""
)</f>
        <v/>
      </c>
      <c r="S366" s="385" t="str">
        <f>IFERROR(
    IF(
        OR(ISBLANK(N366), ISBLANK(O366)),
        "",
        MAX(
            1,
            IF(
                NETWORKDAYS(N366, O366, Holiday_Dates) &lt;= 0,
                1,
                NETWORKDAYS(N366, O366, Holiday_Dates) - IF(N366 = O366, 0, 1)
            )
        )
    ),
    ""
)</f>
        <v/>
      </c>
      <c r="T366" s="385"/>
      <c r="U366" s="385" t="s">
        <v>4</v>
      </c>
      <c r="V366" s="385" t="s">
        <v>101</v>
      </c>
      <c r="W366" s="385" t="s">
        <v>1436</v>
      </c>
      <c r="X366" s="1"/>
    </row>
    <row r="367" spans="1:24">
      <c r="A367" s="385" t="s">
        <v>48</v>
      </c>
      <c r="B367" s="385" t="s">
        <v>399</v>
      </c>
      <c r="C367" s="385" t="s">
        <v>2151</v>
      </c>
      <c r="D367" s="385" t="s">
        <v>88</v>
      </c>
      <c r="E367" s="385"/>
      <c r="F367" s="385"/>
      <c r="G367" s="385"/>
      <c r="H367" s="385">
        <v>2024</v>
      </c>
      <c r="I367" s="385" t="s">
        <v>1896</v>
      </c>
      <c r="J367" s="30"/>
      <c r="K367" s="385"/>
      <c r="L367" s="385"/>
      <c r="M367" s="385"/>
      <c r="N367" s="385"/>
      <c r="O367" s="385"/>
      <c r="P367" s="385" t="str">
        <f>IFERROR(
    IF(
        OR(ISBLANK(I367), ISBLANK(L367)),
        "",
        MAX(
            1,
            IF(
                NETWORKDAYS(I367, L367, Holiday_Dates) &lt;= 0,
                1,
                NETWORKDAYS(I367, L367, Holiday_Dates) - IF(I367 = L367, 0, 1)
            )
        )
    ),
    ""
)</f>
        <v/>
      </c>
      <c r="Q367" s="385" t="str">
        <f>IF(
    OR(ISBLANK(L367), ISBLANK(M367)),
    "",
    MAX(
        1,
        IF(
            NETWORKDAYS(L367, M367, Holiday_Dates) &lt;= 0,
            1,
            NETWORKDAYS(L367, M367, Holiday_Dates) - IF(L367 = M367, 0, 1)
        )
    )
)</f>
        <v/>
      </c>
      <c r="R367" s="385" t="str">
        <f>IFERROR(
    IF(
        OR(ISBLANK(N367), AND(ISBLANK(L367), ISBLANK(M367))),
        "",
        MAX(
            1,
            IF(
                NETWORKDAYS(IF(NOT(ISBLANK(M367)), M367, L367), N367, Holiday_Dates) &lt;= 0,
                1,
                NETWORKDAYS(IF(NOT(ISBLANK(M367)), M367, L367), N367, Holiday_Dates)
                - IF(IF(NOT(ISBLANK(M367)), M367, L367) = N367, 0, 1)
            )
        )
    ),
    ""
)</f>
        <v/>
      </c>
      <c r="S367" s="385" t="str">
        <f>IFERROR(
    IF(
        OR(ISBLANK(N367), ISBLANK(O367)),
        "",
        MAX(
            1,
            IF(
                NETWORKDAYS(N367, O367, Holiday_Dates) &lt;= 0,
                1,
                NETWORKDAYS(N367, O367, Holiday_Dates) - IF(N367 = O367, 0, 1)
            )
        )
    ),
    ""
)</f>
        <v/>
      </c>
      <c r="T367" s="385"/>
      <c r="U367" s="385" t="s">
        <v>4</v>
      </c>
      <c r="V367" s="385" t="s">
        <v>108</v>
      </c>
      <c r="W367" s="385" t="s">
        <v>1436</v>
      </c>
      <c r="X367" s="1"/>
    </row>
    <row r="368" spans="1:24">
      <c r="A368" s="385" t="s">
        <v>48</v>
      </c>
      <c r="B368" s="385" t="s">
        <v>399</v>
      </c>
      <c r="C368" s="385" t="s">
        <v>2153</v>
      </c>
      <c r="D368" s="385" t="s">
        <v>88</v>
      </c>
      <c r="E368" s="385"/>
      <c r="F368" s="385"/>
      <c r="G368" s="385"/>
      <c r="H368" s="385">
        <v>2024</v>
      </c>
      <c r="I368" s="385" t="s">
        <v>4662</v>
      </c>
      <c r="J368" s="30"/>
      <c r="K368" s="385"/>
      <c r="L368" s="385"/>
      <c r="M368" s="385"/>
      <c r="N368" s="385"/>
      <c r="O368" s="385"/>
      <c r="P368" s="385" t="str">
        <f>IFERROR(
    IF(
        OR(ISBLANK(I368), ISBLANK(L368)),
        "",
        MAX(
            1,
            IF(
                NETWORKDAYS(I368, L368, Holiday_Dates) &lt;= 0,
                1,
                NETWORKDAYS(I368, L368, Holiday_Dates) - IF(I368 = L368, 0, 1)
            )
        )
    ),
    ""
)</f>
        <v/>
      </c>
      <c r="Q368" s="385" t="str">
        <f>IF(
    OR(ISBLANK(L368), ISBLANK(M368)),
    "",
    MAX(
        1,
        IF(
            NETWORKDAYS(L368, M368, Holiday_Dates) &lt;= 0,
            1,
            NETWORKDAYS(L368, M368, Holiday_Dates) - IF(L368 = M368, 0, 1)
        )
    )
)</f>
        <v/>
      </c>
      <c r="R368" s="385" t="str">
        <f>IFERROR(
    IF(
        OR(ISBLANK(N368), AND(ISBLANK(L368), ISBLANK(M368))),
        "",
        MAX(
            1,
            IF(
                NETWORKDAYS(IF(NOT(ISBLANK(M368)), M368, L368), N368, Holiday_Dates) &lt;= 0,
                1,
                NETWORKDAYS(IF(NOT(ISBLANK(M368)), M368, L368), N368, Holiday_Dates)
                - IF(IF(NOT(ISBLANK(M368)), M368, L368) = N368, 0, 1)
            )
        )
    ),
    ""
)</f>
        <v/>
      </c>
      <c r="S368" s="385" t="str">
        <f>IFERROR(
    IF(
        OR(ISBLANK(N368), ISBLANK(O368)),
        "",
        MAX(
            1,
            IF(
                NETWORKDAYS(N368, O368, Holiday_Dates) &lt;= 0,
                1,
                NETWORKDAYS(N368, O368, Holiday_Dates) - IF(N368 = O368, 0, 1)
            )
        )
    ),
    ""
)</f>
        <v/>
      </c>
      <c r="T368" s="385"/>
      <c r="U368" s="385" t="s">
        <v>4</v>
      </c>
      <c r="V368" s="385" t="s">
        <v>101</v>
      </c>
      <c r="W368" s="385" t="s">
        <v>1436</v>
      </c>
      <c r="X368" s="1"/>
    </row>
    <row r="369" spans="1:24">
      <c r="A369" s="385" t="s">
        <v>48</v>
      </c>
      <c r="B369" s="385" t="s">
        <v>399</v>
      </c>
      <c r="C369" s="385" t="s">
        <v>2155</v>
      </c>
      <c r="D369" s="385" t="s">
        <v>88</v>
      </c>
      <c r="E369" s="385"/>
      <c r="F369" s="385"/>
      <c r="G369" s="385"/>
      <c r="H369" s="385">
        <v>2024</v>
      </c>
      <c r="I369" s="385" t="s">
        <v>1728</v>
      </c>
      <c r="J369" s="30"/>
      <c r="K369" s="385"/>
      <c r="L369" s="385"/>
      <c r="M369" s="385"/>
      <c r="N369" s="385"/>
      <c r="O369" s="385"/>
      <c r="P369" s="385" t="str">
        <f>IFERROR(
    IF(
        OR(ISBLANK(I369), ISBLANK(L369)),
        "",
        MAX(
            1,
            IF(
                NETWORKDAYS(I369, L369, Holiday_Dates) &lt;= 0,
                1,
                NETWORKDAYS(I369, L369, Holiday_Dates) - IF(I369 = L369, 0, 1)
            )
        )
    ),
    ""
)</f>
        <v/>
      </c>
      <c r="Q369" s="385" t="str">
        <f>IF(
    OR(ISBLANK(L369), ISBLANK(M369)),
    "",
    MAX(
        1,
        IF(
            NETWORKDAYS(L369, M369, Holiday_Dates) &lt;= 0,
            1,
            NETWORKDAYS(L369, M369, Holiday_Dates) - IF(L369 = M369, 0, 1)
        )
    )
)</f>
        <v/>
      </c>
      <c r="R369" s="385" t="str">
        <f>IFERROR(
    IF(
        OR(ISBLANK(N369), AND(ISBLANK(L369), ISBLANK(M369))),
        "",
        MAX(
            1,
            IF(
                NETWORKDAYS(IF(NOT(ISBLANK(M369)), M369, L369), N369, Holiday_Dates) &lt;= 0,
                1,
                NETWORKDAYS(IF(NOT(ISBLANK(M369)), M369, L369), N369, Holiday_Dates)
                - IF(IF(NOT(ISBLANK(M369)), M369, L369) = N369, 0, 1)
            )
        )
    ),
    ""
)</f>
        <v/>
      </c>
      <c r="S369" s="385" t="str">
        <f>IFERROR(
    IF(
        OR(ISBLANK(N369), ISBLANK(O369)),
        "",
        MAX(
            1,
            IF(
                NETWORKDAYS(N369, O369, Holiday_Dates) &lt;= 0,
                1,
                NETWORKDAYS(N369, O369, Holiday_Dates) - IF(N369 = O369, 0, 1)
            )
        )
    ),
    ""
)</f>
        <v/>
      </c>
      <c r="T369" s="385"/>
      <c r="U369" s="385" t="s">
        <v>4</v>
      </c>
      <c r="V369" s="385" t="s">
        <v>101</v>
      </c>
      <c r="W369" s="385" t="s">
        <v>1436</v>
      </c>
      <c r="X369" s="1"/>
    </row>
    <row r="370" spans="1:24">
      <c r="A370" s="385" t="s">
        <v>48</v>
      </c>
      <c r="B370" s="385" t="s">
        <v>399</v>
      </c>
      <c r="C370" s="385" t="s">
        <v>926</v>
      </c>
      <c r="D370" s="385" t="s">
        <v>88</v>
      </c>
      <c r="E370" s="385"/>
      <c r="F370" s="385"/>
      <c r="G370" s="385"/>
      <c r="H370" s="385">
        <v>2024</v>
      </c>
      <c r="I370" s="385" t="s">
        <v>4688</v>
      </c>
      <c r="J370" s="30"/>
      <c r="K370" s="385"/>
      <c r="L370" s="385"/>
      <c r="M370" s="385"/>
      <c r="N370" s="385"/>
      <c r="O370" s="385"/>
      <c r="P370" s="385" t="str">
        <f>IFERROR(
    IF(
        OR(ISBLANK(I370), ISBLANK(L370)),
        "",
        MAX(
            1,
            IF(
                NETWORKDAYS(I370, L370, Holiday_Dates) &lt;= 0,
                1,
                NETWORKDAYS(I370, L370, Holiday_Dates) - IF(I370 = L370, 0, 1)
            )
        )
    ),
    ""
)</f>
        <v/>
      </c>
      <c r="Q370" s="385" t="str">
        <f>IF(
    OR(ISBLANK(L370), ISBLANK(M370)),
    "",
    MAX(
        1,
        IF(
            NETWORKDAYS(L370, M370, Holiday_Dates) &lt;= 0,
            1,
            NETWORKDAYS(L370, M370, Holiday_Dates) - IF(L370 = M370, 0, 1)
        )
    )
)</f>
        <v/>
      </c>
      <c r="R370" s="385" t="str">
        <f>IFERROR(
    IF(
        OR(ISBLANK(N370), AND(ISBLANK(L370), ISBLANK(M370))),
        "",
        MAX(
            1,
            IF(
                NETWORKDAYS(IF(NOT(ISBLANK(M370)), M370, L370), N370, Holiday_Dates) &lt;= 0,
                1,
                NETWORKDAYS(IF(NOT(ISBLANK(M370)), M370, L370), N370, Holiday_Dates)
                - IF(IF(NOT(ISBLANK(M370)), M370, L370) = N370, 0, 1)
            )
        )
    ),
    ""
)</f>
        <v/>
      </c>
      <c r="S370" s="385" t="str">
        <f>IFERROR(
    IF(
        OR(ISBLANK(N370), ISBLANK(O370)),
        "",
        MAX(
            1,
            IF(
                NETWORKDAYS(N370, O370, Holiday_Dates) &lt;= 0,
                1,
                NETWORKDAYS(N370, O370, Holiday_Dates) - IF(N370 = O370, 0, 1)
            )
        )
    ),
    ""
)</f>
        <v/>
      </c>
      <c r="T370" s="385"/>
      <c r="U370" s="385" t="s">
        <v>672</v>
      </c>
      <c r="V370" s="385" t="s">
        <v>101</v>
      </c>
      <c r="W370" s="385" t="s">
        <v>1436</v>
      </c>
      <c r="X370" s="1"/>
    </row>
    <row r="371" spans="1:24">
      <c r="A371" s="385" t="s">
        <v>48</v>
      </c>
      <c r="B371" s="385" t="s">
        <v>399</v>
      </c>
      <c r="C371" s="385" t="s">
        <v>1862</v>
      </c>
      <c r="D371" s="385" t="s">
        <v>88</v>
      </c>
      <c r="E371" s="385"/>
      <c r="F371" s="385"/>
      <c r="G371" s="385"/>
      <c r="H371" s="385">
        <v>2024</v>
      </c>
      <c r="I371" s="385" t="s">
        <v>1932</v>
      </c>
      <c r="J371" s="30"/>
      <c r="K371" s="385"/>
      <c r="L371" s="385"/>
      <c r="M371" s="385"/>
      <c r="N371" s="385"/>
      <c r="O371" s="385"/>
      <c r="P371" s="385" t="str">
        <f>IFERROR(
    IF(
        OR(ISBLANK(I371), ISBLANK(L371)),
        "",
        MAX(
            1,
            IF(
                NETWORKDAYS(I371, L371, Holiday_Dates) &lt;= 0,
                1,
                NETWORKDAYS(I371, L371, Holiday_Dates) - IF(I371 = L371, 0, 1)
            )
        )
    ),
    ""
)</f>
        <v/>
      </c>
      <c r="Q371" s="385" t="str">
        <f>IF(
    OR(ISBLANK(L371), ISBLANK(M371)),
    "",
    MAX(
        1,
        IF(
            NETWORKDAYS(L371, M371, Holiday_Dates) &lt;= 0,
            1,
            NETWORKDAYS(L371, M371, Holiday_Dates) - IF(L371 = M371, 0, 1)
        )
    )
)</f>
        <v/>
      </c>
      <c r="R371" s="385" t="str">
        <f>IFERROR(
    IF(
        OR(ISBLANK(N371), AND(ISBLANK(L371), ISBLANK(M371))),
        "",
        MAX(
            1,
            IF(
                NETWORKDAYS(IF(NOT(ISBLANK(M371)), M371, L371), N371, Holiday_Dates) &lt;= 0,
                1,
                NETWORKDAYS(IF(NOT(ISBLANK(M371)), M371, L371), N371, Holiday_Dates)
                - IF(IF(NOT(ISBLANK(M371)), M371, L371) = N371, 0, 1)
            )
        )
    ),
    ""
)</f>
        <v/>
      </c>
      <c r="S371" s="385" t="str">
        <f>IFERROR(
    IF(
        OR(ISBLANK(N371), ISBLANK(O371)),
        "",
        MAX(
            1,
            IF(
                NETWORKDAYS(N371, O371, Holiday_Dates) &lt;= 0,
                1,
                NETWORKDAYS(N371, O371, Holiday_Dates) - IF(N371 = O371, 0, 1)
            )
        )
    ),
    ""
)</f>
        <v/>
      </c>
      <c r="T371" s="385"/>
      <c r="U371" s="385" t="s">
        <v>4</v>
      </c>
      <c r="V371" s="385" t="s">
        <v>101</v>
      </c>
      <c r="W371" s="385" t="s">
        <v>1436</v>
      </c>
      <c r="X371" s="1"/>
    </row>
    <row r="372" spans="1:24">
      <c r="A372" s="385" t="s">
        <v>48</v>
      </c>
      <c r="B372" s="385" t="s">
        <v>399</v>
      </c>
      <c r="C372" s="385" t="s">
        <v>524</v>
      </c>
      <c r="D372" s="385" t="s">
        <v>88</v>
      </c>
      <c r="E372" s="385"/>
      <c r="F372" s="385"/>
      <c r="G372" s="385"/>
      <c r="H372" s="385">
        <v>2024</v>
      </c>
      <c r="I372" s="385" t="s">
        <v>4639</v>
      </c>
      <c r="J372" s="30"/>
      <c r="K372" s="385"/>
      <c r="L372" s="385"/>
      <c r="M372" s="385"/>
      <c r="N372" s="385"/>
      <c r="O372" s="385"/>
      <c r="P372" s="385" t="str">
        <f>IFERROR(
    IF(
        OR(ISBLANK(I372), ISBLANK(L372)),
        "",
        MAX(
            1,
            IF(
                NETWORKDAYS(I372, L372, Holiday_Dates) &lt;= 0,
                1,
                NETWORKDAYS(I372, L372, Holiday_Dates) - IF(I372 = L372, 0, 1)
            )
        )
    ),
    ""
)</f>
        <v/>
      </c>
      <c r="Q372" s="385" t="str">
        <f>IF(
    OR(ISBLANK(L372), ISBLANK(M372)),
    "",
    MAX(
        1,
        IF(
            NETWORKDAYS(L372, M372, Holiday_Dates) &lt;= 0,
            1,
            NETWORKDAYS(L372, M372, Holiday_Dates) - IF(L372 = M372, 0, 1)
        )
    )
)</f>
        <v/>
      </c>
      <c r="R372" s="385" t="str">
        <f>IFERROR(
    IF(
        OR(ISBLANK(N372), AND(ISBLANK(L372), ISBLANK(M372))),
        "",
        MAX(
            1,
            IF(
                NETWORKDAYS(IF(NOT(ISBLANK(M372)), M372, L372), N372, Holiday_Dates) &lt;= 0,
                1,
                NETWORKDAYS(IF(NOT(ISBLANK(M372)), M372, L372), N372, Holiday_Dates)
                - IF(IF(NOT(ISBLANK(M372)), M372, L372) = N372, 0, 1)
            )
        )
    ),
    ""
)</f>
        <v/>
      </c>
      <c r="S372" s="385" t="str">
        <f>IFERROR(
    IF(
        OR(ISBLANK(N372), ISBLANK(O372)),
        "",
        MAX(
            1,
            IF(
                NETWORKDAYS(N372, O372, Holiday_Dates) &lt;= 0,
                1,
                NETWORKDAYS(N372, O372, Holiday_Dates) - IF(N372 = O372, 0, 1)
            )
        )
    ),
    ""
)</f>
        <v/>
      </c>
      <c r="T372" s="385"/>
      <c r="U372" s="385" t="s">
        <v>4</v>
      </c>
      <c r="V372" s="385" t="s">
        <v>101</v>
      </c>
      <c r="W372" s="385" t="s">
        <v>1436</v>
      </c>
      <c r="X372" s="1"/>
    </row>
    <row r="373" spans="1:24">
      <c r="A373" s="385" t="s">
        <v>48</v>
      </c>
      <c r="B373" s="385" t="s">
        <v>399</v>
      </c>
      <c r="C373" s="385" t="s">
        <v>2160</v>
      </c>
      <c r="D373" s="385" t="s">
        <v>88</v>
      </c>
      <c r="E373" s="385"/>
      <c r="F373" s="385"/>
      <c r="G373" s="385"/>
      <c r="H373" s="385">
        <v>2024</v>
      </c>
      <c r="I373" s="385" t="s">
        <v>1811</v>
      </c>
      <c r="J373" s="30"/>
      <c r="K373" s="385"/>
      <c r="L373" s="385"/>
      <c r="M373" s="385"/>
      <c r="N373" s="385"/>
      <c r="O373" s="385"/>
      <c r="P373" s="385" t="str">
        <f>IFERROR(
    IF(
        OR(ISBLANK(I373), ISBLANK(L373)),
        "",
        MAX(
            1,
            IF(
                NETWORKDAYS(I373, L373, Holiday_Dates) &lt;= 0,
                1,
                NETWORKDAYS(I373, L373, Holiday_Dates) - IF(I373 = L373, 0, 1)
            )
        )
    ),
    ""
)</f>
        <v/>
      </c>
      <c r="Q373" s="385" t="str">
        <f>IF(
    OR(ISBLANK(L373), ISBLANK(M373)),
    "",
    MAX(
        1,
        IF(
            NETWORKDAYS(L373, M373, Holiday_Dates) &lt;= 0,
            1,
            NETWORKDAYS(L373, M373, Holiday_Dates) - IF(L373 = M373, 0, 1)
        )
    )
)</f>
        <v/>
      </c>
      <c r="R373" s="385" t="str">
        <f>IFERROR(
    IF(
        OR(ISBLANK(N373), AND(ISBLANK(L373), ISBLANK(M373))),
        "",
        MAX(
            1,
            IF(
                NETWORKDAYS(IF(NOT(ISBLANK(M373)), M373, L373), N373, Holiday_Dates) &lt;= 0,
                1,
                NETWORKDAYS(IF(NOT(ISBLANK(M373)), M373, L373), N373, Holiday_Dates)
                - IF(IF(NOT(ISBLANK(M373)), M373, L373) = N373, 0, 1)
            )
        )
    ),
    ""
)</f>
        <v/>
      </c>
      <c r="S373" s="385" t="str">
        <f>IFERROR(
    IF(
        OR(ISBLANK(N373), ISBLANK(O373)),
        "",
        MAX(
            1,
            IF(
                NETWORKDAYS(N373, O373, Holiday_Dates) &lt;= 0,
                1,
                NETWORKDAYS(N373, O373, Holiday_Dates) - IF(N373 = O373, 0, 1)
            )
        )
    ),
    ""
)</f>
        <v/>
      </c>
      <c r="T373" s="385"/>
      <c r="U373" s="385" t="s">
        <v>4</v>
      </c>
      <c r="V373" s="385" t="s">
        <v>101</v>
      </c>
      <c r="W373" s="385" t="s">
        <v>1436</v>
      </c>
      <c r="X373" s="1"/>
    </row>
    <row r="374" spans="1:24">
      <c r="A374" s="385" t="s">
        <v>48</v>
      </c>
      <c r="B374" s="385" t="s">
        <v>399</v>
      </c>
      <c r="C374" s="385" t="s">
        <v>2162</v>
      </c>
      <c r="D374" s="385" t="s">
        <v>88</v>
      </c>
      <c r="E374" s="385"/>
      <c r="F374" s="385"/>
      <c r="G374" s="385"/>
      <c r="H374" s="385">
        <v>2024</v>
      </c>
      <c r="I374" s="385" t="s">
        <v>2163</v>
      </c>
      <c r="J374" s="30"/>
      <c r="K374" s="385"/>
      <c r="L374" s="385"/>
      <c r="M374" s="385"/>
      <c r="N374" s="385"/>
      <c r="O374" s="385"/>
      <c r="P374" s="385" t="str">
        <f>IFERROR(
    IF(
        OR(ISBLANK(I374), ISBLANK(L374)),
        "",
        MAX(
            1,
            IF(
                NETWORKDAYS(I374, L374, Holiday_Dates) &lt;= 0,
                1,
                NETWORKDAYS(I374, L374, Holiday_Dates) - IF(I374 = L374, 0, 1)
            )
        )
    ),
    ""
)</f>
        <v/>
      </c>
      <c r="Q374" s="385" t="str">
        <f>IF(
    OR(ISBLANK(L374), ISBLANK(M374)),
    "",
    MAX(
        1,
        IF(
            NETWORKDAYS(L374, M374, Holiday_Dates) &lt;= 0,
            1,
            NETWORKDAYS(L374, M374, Holiday_Dates) - IF(L374 = M374, 0, 1)
        )
    )
)</f>
        <v/>
      </c>
      <c r="R374" s="385" t="str">
        <f>IFERROR(
    IF(
        OR(ISBLANK(N374), AND(ISBLANK(L374), ISBLANK(M374))),
        "",
        MAX(
            1,
            IF(
                NETWORKDAYS(IF(NOT(ISBLANK(M374)), M374, L374), N374, Holiday_Dates) &lt;= 0,
                1,
                NETWORKDAYS(IF(NOT(ISBLANK(M374)), M374, L374), N374, Holiday_Dates)
                - IF(IF(NOT(ISBLANK(M374)), M374, L374) = N374, 0, 1)
            )
        )
    ),
    ""
)</f>
        <v/>
      </c>
      <c r="S374" s="385" t="str">
        <f>IFERROR(
    IF(
        OR(ISBLANK(N374), ISBLANK(O374)),
        "",
        MAX(
            1,
            IF(
                NETWORKDAYS(N374, O374, Holiday_Dates) &lt;= 0,
                1,
                NETWORKDAYS(N374, O374, Holiday_Dates) - IF(N374 = O374, 0, 1)
            )
        )
    ),
    ""
)</f>
        <v/>
      </c>
      <c r="T374" s="385"/>
      <c r="U374" s="385" t="s">
        <v>672</v>
      </c>
      <c r="V374" s="385"/>
      <c r="W374" s="385" t="s">
        <v>1436</v>
      </c>
      <c r="X374" s="1"/>
    </row>
    <row r="375" spans="1:24">
      <c r="A375" s="385" t="s">
        <v>48</v>
      </c>
      <c r="B375" s="385" t="s">
        <v>399</v>
      </c>
      <c r="C375" s="385" t="s">
        <v>1983</v>
      </c>
      <c r="D375" s="385" t="s">
        <v>88</v>
      </c>
      <c r="E375" s="385"/>
      <c r="F375" s="385"/>
      <c r="G375" s="385"/>
      <c r="H375" s="385">
        <v>2024</v>
      </c>
      <c r="I375" s="385" t="s">
        <v>2010</v>
      </c>
      <c r="J375" s="30"/>
      <c r="K375" s="385"/>
      <c r="L375" s="385"/>
      <c r="M375" s="385"/>
      <c r="N375" s="385"/>
      <c r="O375" s="385"/>
      <c r="P375" s="385" t="str">
        <f>IFERROR(
    IF(
        OR(ISBLANK(I375), ISBLANK(L375)),
        "",
        MAX(
            1,
            IF(
                NETWORKDAYS(I375, L375, Holiday_Dates) &lt;= 0,
                1,
                NETWORKDAYS(I375, L375, Holiday_Dates) - IF(I375 = L375, 0, 1)
            )
        )
    ),
    ""
)</f>
        <v/>
      </c>
      <c r="Q375" s="385" t="str">
        <f>IF(
    OR(ISBLANK(L375), ISBLANK(M375)),
    "",
    MAX(
        1,
        IF(
            NETWORKDAYS(L375, M375, Holiday_Dates) &lt;= 0,
            1,
            NETWORKDAYS(L375, M375, Holiday_Dates) - IF(L375 = M375, 0, 1)
        )
    )
)</f>
        <v/>
      </c>
      <c r="R375" s="385" t="str">
        <f>IFERROR(
    IF(
        OR(ISBLANK(N375), AND(ISBLANK(L375), ISBLANK(M375))),
        "",
        MAX(
            1,
            IF(
                NETWORKDAYS(IF(NOT(ISBLANK(M375)), M375, L375), N375, Holiday_Dates) &lt;= 0,
                1,
                NETWORKDAYS(IF(NOT(ISBLANK(M375)), M375, L375), N375, Holiday_Dates)
                - IF(IF(NOT(ISBLANK(M375)), M375, L375) = N375, 0, 1)
            )
        )
    ),
    ""
)</f>
        <v/>
      </c>
      <c r="S375" s="385" t="str">
        <f>IFERROR(
    IF(
        OR(ISBLANK(N375), ISBLANK(O375)),
        "",
        MAX(
            1,
            IF(
                NETWORKDAYS(N375, O375, Holiday_Dates) &lt;= 0,
                1,
                NETWORKDAYS(N375, O375, Holiday_Dates) - IF(N375 = O375, 0, 1)
            )
        )
    ),
    ""
)</f>
        <v/>
      </c>
      <c r="T375" s="385"/>
      <c r="U375" s="385" t="s">
        <v>4</v>
      </c>
      <c r="V375" s="385" t="s">
        <v>101</v>
      </c>
      <c r="W375" s="385" t="s">
        <v>1436</v>
      </c>
      <c r="X375" s="1"/>
    </row>
    <row r="376" spans="1:24">
      <c r="A376" s="385" t="s">
        <v>48</v>
      </c>
      <c r="B376" s="385" t="s">
        <v>432</v>
      </c>
      <c r="C376" s="385" t="s">
        <v>2166</v>
      </c>
      <c r="D376" s="385" t="s">
        <v>88</v>
      </c>
      <c r="E376" s="385"/>
      <c r="F376" s="385"/>
      <c r="G376" s="385"/>
      <c r="H376" s="385">
        <v>2024</v>
      </c>
      <c r="I376" s="385" t="s">
        <v>1794</v>
      </c>
      <c r="J376" s="30"/>
      <c r="K376" s="385"/>
      <c r="L376" s="385"/>
      <c r="M376" s="385"/>
      <c r="N376" s="385"/>
      <c r="O376" s="385"/>
      <c r="P376" s="385" t="str">
        <f>IFERROR(
    IF(
        OR(ISBLANK(I376), ISBLANK(L376)),
        "",
        MAX(
            1,
            IF(
                NETWORKDAYS(I376, L376, Holiday_Dates) &lt;= 0,
                1,
                NETWORKDAYS(I376, L376, Holiday_Dates) - IF(I376 = L376, 0, 1)
            )
        )
    ),
    ""
)</f>
        <v/>
      </c>
      <c r="Q376" s="385" t="str">
        <f>IF(
    OR(ISBLANK(L376), ISBLANK(M376)),
    "",
    MAX(
        1,
        IF(
            NETWORKDAYS(L376, M376, Holiday_Dates) &lt;= 0,
            1,
            NETWORKDAYS(L376, M376, Holiday_Dates) - IF(L376 = M376, 0, 1)
        )
    )
)</f>
        <v/>
      </c>
      <c r="R376" s="385" t="str">
        <f>IFERROR(
    IF(
        OR(ISBLANK(N376), AND(ISBLANK(L376), ISBLANK(M376))),
        "",
        MAX(
            1,
            IF(
                NETWORKDAYS(IF(NOT(ISBLANK(M376)), M376, L376), N376, Holiday_Dates) &lt;= 0,
                1,
                NETWORKDAYS(IF(NOT(ISBLANK(M376)), M376, L376), N376, Holiday_Dates)
                - IF(IF(NOT(ISBLANK(M376)), M376, L376) = N376, 0, 1)
            )
        )
    ),
    ""
)</f>
        <v/>
      </c>
      <c r="S376" s="385" t="str">
        <f>IFERROR(
    IF(
        OR(ISBLANK(N376), ISBLANK(O376)),
        "",
        MAX(
            1,
            IF(
                NETWORKDAYS(N376, O376, Holiday_Dates) &lt;= 0,
                1,
                NETWORKDAYS(N376, O376, Holiday_Dates) - IF(N376 = O376, 0, 1)
            )
        )
    ),
    ""
)</f>
        <v/>
      </c>
      <c r="T376" s="385"/>
      <c r="U376" s="385" t="s">
        <v>4</v>
      </c>
      <c r="V376" s="385" t="s">
        <v>108</v>
      </c>
      <c r="W376" s="385" t="s">
        <v>1436</v>
      </c>
      <c r="X376" s="1"/>
    </row>
    <row r="377" spans="1:24">
      <c r="A377" s="385" t="s">
        <v>48</v>
      </c>
      <c r="B377" s="385" t="s">
        <v>432</v>
      </c>
      <c r="C377" s="385" t="s">
        <v>2168</v>
      </c>
      <c r="D377" s="385" t="s">
        <v>88</v>
      </c>
      <c r="E377" s="385"/>
      <c r="F377" s="385"/>
      <c r="G377" s="385"/>
      <c r="H377" s="385">
        <v>2024</v>
      </c>
      <c r="I377" s="385" t="s">
        <v>4681</v>
      </c>
      <c r="J377" s="30"/>
      <c r="K377" s="385"/>
      <c r="L377" s="385"/>
      <c r="M377" s="385"/>
      <c r="N377" s="385"/>
      <c r="O377" s="385"/>
      <c r="P377" s="385" t="str">
        <f>IFERROR(
    IF(
        OR(ISBLANK(I377), ISBLANK(L377)),
        "",
        MAX(
            1,
            IF(
                NETWORKDAYS(I377, L377, Holiday_Dates) &lt;= 0,
                1,
                NETWORKDAYS(I377, L377, Holiday_Dates) - IF(I377 = L377, 0, 1)
            )
        )
    ),
    ""
)</f>
        <v/>
      </c>
      <c r="Q377" s="385" t="str">
        <f>IF(
    OR(ISBLANK(L377), ISBLANK(M377)),
    "",
    MAX(
        1,
        IF(
            NETWORKDAYS(L377, M377, Holiday_Dates) &lt;= 0,
            1,
            NETWORKDAYS(L377, M377, Holiday_Dates) - IF(L377 = M377, 0, 1)
        )
    )
)</f>
        <v/>
      </c>
      <c r="R377" s="385" t="str">
        <f>IFERROR(
    IF(
        OR(ISBLANK(N377), AND(ISBLANK(L377), ISBLANK(M377))),
        "",
        MAX(
            1,
            IF(
                NETWORKDAYS(IF(NOT(ISBLANK(M377)), M377, L377), N377, Holiday_Dates) &lt;= 0,
                1,
                NETWORKDAYS(IF(NOT(ISBLANK(M377)), M377, L377), N377, Holiday_Dates)
                - IF(IF(NOT(ISBLANK(M377)), M377, L377) = N377, 0, 1)
            )
        )
    ),
    ""
)</f>
        <v/>
      </c>
      <c r="S377" s="385" t="str">
        <f>IFERROR(
    IF(
        OR(ISBLANK(N377), ISBLANK(O377)),
        "",
        MAX(
            1,
            IF(
                NETWORKDAYS(N377, O377, Holiday_Dates) &lt;= 0,
                1,
                NETWORKDAYS(N377, O377, Holiday_Dates) - IF(N377 = O377, 0, 1)
            )
        )
    ),
    ""
)</f>
        <v/>
      </c>
      <c r="T377" s="385"/>
      <c r="U377" s="385" t="s">
        <v>4</v>
      </c>
      <c r="V377" s="385" t="s">
        <v>101</v>
      </c>
      <c r="W377" s="385" t="s">
        <v>1436</v>
      </c>
      <c r="X377" s="1"/>
    </row>
    <row r="378" spans="1:24">
      <c r="A378" s="385" t="s">
        <v>48</v>
      </c>
      <c r="B378" s="385" t="s">
        <v>432</v>
      </c>
      <c r="C378" s="385" t="s">
        <v>2188</v>
      </c>
      <c r="D378" s="385" t="s">
        <v>88</v>
      </c>
      <c r="E378" s="385"/>
      <c r="F378" s="385"/>
      <c r="G378" s="385"/>
      <c r="H378" s="385">
        <v>2024</v>
      </c>
      <c r="I378" s="385" t="s">
        <v>1695</v>
      </c>
      <c r="J378" s="30"/>
      <c r="K378" s="385"/>
      <c r="L378" s="385"/>
      <c r="M378" s="385"/>
      <c r="N378" s="385"/>
      <c r="O378" s="385"/>
      <c r="P378" s="385" t="str">
        <f>IFERROR(
    IF(
        OR(ISBLANK(I378), ISBLANK(L378)),
        "",
        MAX(
            1,
            IF(
                NETWORKDAYS(I378, L378, Holiday_Dates) &lt;= 0,
                1,
                NETWORKDAYS(I378, L378, Holiday_Dates) - IF(I378 = L378, 0, 1)
            )
        )
    ),
    ""
)</f>
        <v/>
      </c>
      <c r="Q378" s="385" t="str">
        <f>IF(
    OR(ISBLANK(L378), ISBLANK(M378)),
    "",
    MAX(
        1,
        IF(
            NETWORKDAYS(L378, M378, Holiday_Dates) &lt;= 0,
            1,
            NETWORKDAYS(L378, M378, Holiday_Dates) - IF(L378 = M378, 0, 1)
        )
    )
)</f>
        <v/>
      </c>
      <c r="R378" s="385" t="str">
        <f>IFERROR(
    IF(
        OR(ISBLANK(N378), AND(ISBLANK(L378), ISBLANK(M378))),
        "",
        MAX(
            1,
            IF(
                NETWORKDAYS(IF(NOT(ISBLANK(M378)), M378, L378), N378, Holiday_Dates) &lt;= 0,
                1,
                NETWORKDAYS(IF(NOT(ISBLANK(M378)), M378, L378), N378, Holiday_Dates)
                - IF(IF(NOT(ISBLANK(M378)), M378, L378) = N378, 0, 1)
            )
        )
    ),
    ""
)</f>
        <v/>
      </c>
      <c r="S378" s="385" t="str">
        <f>IFERROR(
    IF(
        OR(ISBLANK(N378), ISBLANK(O378)),
        "",
        MAX(
            1,
            IF(
                NETWORKDAYS(N378, O378, Holiday_Dates) &lt;= 0,
                1,
                NETWORKDAYS(N378, O378, Holiday_Dates) - IF(N378 = O378, 0, 1)
            )
        )
    ),
    ""
)</f>
        <v/>
      </c>
      <c r="T378" s="385"/>
      <c r="U378" s="385" t="s">
        <v>672</v>
      </c>
      <c r="V378" s="385"/>
      <c r="W378" s="385" t="s">
        <v>1436</v>
      </c>
      <c r="X378" s="1"/>
    </row>
    <row r="379" spans="1:24">
      <c r="A379" s="385" t="s">
        <v>48</v>
      </c>
      <c r="B379" s="385" t="s">
        <v>432</v>
      </c>
      <c r="C379" s="385" t="s">
        <v>2170</v>
      </c>
      <c r="D379" s="385" t="s">
        <v>88</v>
      </c>
      <c r="E379" s="385"/>
      <c r="F379" s="385"/>
      <c r="G379" s="385"/>
      <c r="H379" s="385">
        <v>2024</v>
      </c>
      <c r="I379" s="385" t="s">
        <v>4689</v>
      </c>
      <c r="J379" s="30"/>
      <c r="K379" s="385"/>
      <c r="L379" s="385"/>
      <c r="M379" s="385"/>
      <c r="N379" s="385"/>
      <c r="O379" s="385"/>
      <c r="P379" s="385" t="str">
        <f>IFERROR(
    IF(
        OR(ISBLANK(I379), ISBLANK(L379)),
        "",
        MAX(
            1,
            IF(
                NETWORKDAYS(I379, L379, Holiday_Dates) &lt;= 0,
                1,
                NETWORKDAYS(I379, L379, Holiday_Dates) - IF(I379 = L379, 0, 1)
            )
        )
    ),
    ""
)</f>
        <v/>
      </c>
      <c r="Q379" s="385" t="str">
        <f>IF(
    OR(ISBLANK(L379), ISBLANK(M379)),
    "",
    MAX(
        1,
        IF(
            NETWORKDAYS(L379, M379, Holiday_Dates) &lt;= 0,
            1,
            NETWORKDAYS(L379, M379, Holiday_Dates) - IF(L379 = M379, 0, 1)
        )
    )
)</f>
        <v/>
      </c>
      <c r="R379" s="385" t="str">
        <f>IFERROR(
    IF(
        OR(ISBLANK(N379), AND(ISBLANK(L379), ISBLANK(M379))),
        "",
        MAX(
            1,
            IF(
                NETWORKDAYS(IF(NOT(ISBLANK(M379)), M379, L379), N379, Holiday_Dates) &lt;= 0,
                1,
                NETWORKDAYS(IF(NOT(ISBLANK(M379)), M379, L379), N379, Holiday_Dates)
                - IF(IF(NOT(ISBLANK(M379)), M379, L379) = N379, 0, 1)
            )
        )
    ),
    ""
)</f>
        <v/>
      </c>
      <c r="S379" s="385" t="str">
        <f>IFERROR(
    IF(
        OR(ISBLANK(N379), ISBLANK(O379)),
        "",
        MAX(
            1,
            IF(
                NETWORKDAYS(N379, O379, Holiday_Dates) &lt;= 0,
                1,
                NETWORKDAYS(N379, O379, Holiday_Dates) - IF(N379 = O379, 0, 1)
            )
        )
    ),
    ""
)</f>
        <v/>
      </c>
      <c r="T379" s="385"/>
      <c r="U379" s="385" t="s">
        <v>4</v>
      </c>
      <c r="V379" s="385" t="s">
        <v>101</v>
      </c>
      <c r="W379" s="385" t="s">
        <v>1436</v>
      </c>
      <c r="X379" s="1"/>
    </row>
    <row r="380" spans="1:24">
      <c r="A380" s="385" t="s">
        <v>48</v>
      </c>
      <c r="B380" s="385" t="s">
        <v>432</v>
      </c>
      <c r="C380" s="385" t="s">
        <v>2172</v>
      </c>
      <c r="D380" s="385" t="s">
        <v>88</v>
      </c>
      <c r="E380" s="385"/>
      <c r="F380" s="385"/>
      <c r="G380" s="385"/>
      <c r="H380" s="385">
        <v>2024</v>
      </c>
      <c r="I380" s="385" t="s">
        <v>4686</v>
      </c>
      <c r="J380" s="30"/>
      <c r="K380" s="385"/>
      <c r="L380" s="385"/>
      <c r="M380" s="385"/>
      <c r="N380" s="385"/>
      <c r="O380" s="385"/>
      <c r="P380" s="385" t="str">
        <f>IFERROR(
    IF(
        OR(ISBLANK(I380), ISBLANK(L380)),
        "",
        MAX(
            1,
            IF(
                NETWORKDAYS(I380, L380, Holiday_Dates) &lt;= 0,
                1,
                NETWORKDAYS(I380, L380, Holiday_Dates) - IF(I380 = L380, 0, 1)
            )
        )
    ),
    ""
)</f>
        <v/>
      </c>
      <c r="Q380" s="385" t="str">
        <f>IF(
    OR(ISBLANK(L380), ISBLANK(M380)),
    "",
    MAX(
        1,
        IF(
            NETWORKDAYS(L380, M380, Holiday_Dates) &lt;= 0,
            1,
            NETWORKDAYS(L380, M380, Holiday_Dates) - IF(L380 = M380, 0, 1)
        )
    )
)</f>
        <v/>
      </c>
      <c r="R380" s="385" t="str">
        <f>IFERROR(
    IF(
        OR(ISBLANK(N380), AND(ISBLANK(L380), ISBLANK(M380))),
        "",
        MAX(
            1,
            IF(
                NETWORKDAYS(IF(NOT(ISBLANK(M380)), M380, L380), N380, Holiday_Dates) &lt;= 0,
                1,
                NETWORKDAYS(IF(NOT(ISBLANK(M380)), M380, L380), N380, Holiday_Dates)
                - IF(IF(NOT(ISBLANK(M380)), M380, L380) = N380, 0, 1)
            )
        )
    ),
    ""
)</f>
        <v/>
      </c>
      <c r="S380" s="385" t="str">
        <f>IFERROR(
    IF(
        OR(ISBLANK(N380), ISBLANK(O380)),
        "",
        MAX(
            1,
            IF(
                NETWORKDAYS(N380, O380, Holiday_Dates) &lt;= 0,
                1,
                NETWORKDAYS(N380, O380, Holiday_Dates) - IF(N380 = O380, 0, 1)
            )
        )
    ),
    ""
)</f>
        <v/>
      </c>
      <c r="T380" s="385"/>
      <c r="U380" s="385" t="s">
        <v>4</v>
      </c>
      <c r="V380" s="385" t="s">
        <v>101</v>
      </c>
      <c r="W380" s="385" t="s">
        <v>1436</v>
      </c>
      <c r="X380" s="1"/>
    </row>
    <row r="381" spans="1:24">
      <c r="A381" s="385" t="s">
        <v>48</v>
      </c>
      <c r="B381" s="385" t="s">
        <v>432</v>
      </c>
      <c r="C381" s="385" t="s">
        <v>2174</v>
      </c>
      <c r="D381" s="385" t="s">
        <v>88</v>
      </c>
      <c r="E381" s="385"/>
      <c r="F381" s="385"/>
      <c r="G381" s="385"/>
      <c r="H381" s="385">
        <v>2024</v>
      </c>
      <c r="I381" s="385" t="s">
        <v>4686</v>
      </c>
      <c r="J381" s="30"/>
      <c r="K381" s="385"/>
      <c r="L381" s="385"/>
      <c r="M381" s="385"/>
      <c r="N381" s="385"/>
      <c r="O381" s="385"/>
      <c r="P381" s="385" t="str">
        <f>IFERROR(
    IF(
        OR(ISBLANK(I381), ISBLANK(L381)),
        "",
        MAX(
            1,
            IF(
                NETWORKDAYS(I381, L381, Holiday_Dates) &lt;= 0,
                1,
                NETWORKDAYS(I381, L381, Holiday_Dates) - IF(I381 = L381, 0, 1)
            )
        )
    ),
    ""
)</f>
        <v/>
      </c>
      <c r="Q381" s="385" t="str">
        <f>IF(
    OR(ISBLANK(L381), ISBLANK(M381)),
    "",
    MAX(
        1,
        IF(
            NETWORKDAYS(L381, M381, Holiday_Dates) &lt;= 0,
            1,
            NETWORKDAYS(L381, M381, Holiday_Dates) - IF(L381 = M381, 0, 1)
        )
    )
)</f>
        <v/>
      </c>
      <c r="R381" s="385" t="str">
        <f>IFERROR(
    IF(
        OR(ISBLANK(N381), AND(ISBLANK(L381), ISBLANK(M381))),
        "",
        MAX(
            1,
            IF(
                NETWORKDAYS(IF(NOT(ISBLANK(M381)), M381, L381), N381, Holiday_Dates) &lt;= 0,
                1,
                NETWORKDAYS(IF(NOT(ISBLANK(M381)), M381, L381), N381, Holiday_Dates)
                - IF(IF(NOT(ISBLANK(M381)), M381, L381) = N381, 0, 1)
            )
        )
    ),
    ""
)</f>
        <v/>
      </c>
      <c r="S381" s="385" t="str">
        <f>IFERROR(
    IF(
        OR(ISBLANK(N381), ISBLANK(O381)),
        "",
        MAX(
            1,
            IF(
                NETWORKDAYS(N381, O381, Holiday_Dates) &lt;= 0,
                1,
                NETWORKDAYS(N381, O381, Holiday_Dates) - IF(N381 = O381, 0, 1)
            )
        )
    ),
    ""
)</f>
        <v/>
      </c>
      <c r="T381" s="385"/>
      <c r="U381" s="385" t="s">
        <v>4</v>
      </c>
      <c r="V381" s="385" t="s">
        <v>108</v>
      </c>
      <c r="W381" s="385" t="s">
        <v>1436</v>
      </c>
      <c r="X381" s="1"/>
    </row>
    <row r="382" spans="1:24">
      <c r="A382" s="385" t="s">
        <v>48</v>
      </c>
      <c r="B382" s="385" t="s">
        <v>432</v>
      </c>
      <c r="C382" s="385" t="s">
        <v>2176</v>
      </c>
      <c r="D382" s="385" t="s">
        <v>88</v>
      </c>
      <c r="E382" s="385"/>
      <c r="F382" s="385"/>
      <c r="G382" s="385"/>
      <c r="H382" s="385">
        <v>2024</v>
      </c>
      <c r="I382" s="385" t="s">
        <v>1790</v>
      </c>
      <c r="J382" s="30"/>
      <c r="K382" s="385"/>
      <c r="L382" s="385"/>
      <c r="M382" s="385"/>
      <c r="N382" s="385"/>
      <c r="O382" s="385"/>
      <c r="P382" s="385" t="str">
        <f>IFERROR(
    IF(
        OR(ISBLANK(I382), ISBLANK(L382)),
        "",
        MAX(
            1,
            IF(
                NETWORKDAYS(I382, L382, Holiday_Dates) &lt;= 0,
                1,
                NETWORKDAYS(I382, L382, Holiday_Dates) - IF(I382 = L382, 0, 1)
            )
        )
    ),
    ""
)</f>
        <v/>
      </c>
      <c r="Q382" s="385" t="str">
        <f>IF(
    OR(ISBLANK(L382), ISBLANK(M382)),
    "",
    MAX(
        1,
        IF(
            NETWORKDAYS(L382, M382, Holiday_Dates) &lt;= 0,
            1,
            NETWORKDAYS(L382, M382, Holiday_Dates) - IF(L382 = M382, 0, 1)
        )
    )
)</f>
        <v/>
      </c>
      <c r="R382" s="385" t="str">
        <f>IFERROR(
    IF(
        OR(ISBLANK(N382), AND(ISBLANK(L382), ISBLANK(M382))),
        "",
        MAX(
            1,
            IF(
                NETWORKDAYS(IF(NOT(ISBLANK(M382)), M382, L382), N382, Holiday_Dates) &lt;= 0,
                1,
                NETWORKDAYS(IF(NOT(ISBLANK(M382)), M382, L382), N382, Holiday_Dates)
                - IF(IF(NOT(ISBLANK(M382)), M382, L382) = N382, 0, 1)
            )
        )
    ),
    ""
)</f>
        <v/>
      </c>
      <c r="S382" s="385" t="str">
        <f>IFERROR(
    IF(
        OR(ISBLANK(N382), ISBLANK(O382)),
        "",
        MAX(
            1,
            IF(
                NETWORKDAYS(N382, O382, Holiday_Dates) &lt;= 0,
                1,
                NETWORKDAYS(N382, O382, Holiday_Dates) - IF(N382 = O382, 0, 1)
            )
        )
    ),
    ""
)</f>
        <v/>
      </c>
      <c r="T382" s="385"/>
      <c r="U382" s="385" t="s">
        <v>672</v>
      </c>
      <c r="V382" s="385"/>
      <c r="W382" s="385" t="s">
        <v>1436</v>
      </c>
      <c r="X382" s="1"/>
    </row>
    <row r="383" spans="1:24">
      <c r="A383" s="385" t="s">
        <v>48</v>
      </c>
      <c r="B383" s="385" t="s">
        <v>432</v>
      </c>
      <c r="C383" s="385" t="s">
        <v>2178</v>
      </c>
      <c r="D383" s="385" t="s">
        <v>88</v>
      </c>
      <c r="E383" s="385"/>
      <c r="F383" s="385"/>
      <c r="G383" s="385"/>
      <c r="H383" s="385">
        <v>2024</v>
      </c>
      <c r="I383" s="385" t="s">
        <v>2179</v>
      </c>
      <c r="J383" s="30"/>
      <c r="K383" s="385"/>
      <c r="L383" s="385"/>
      <c r="M383" s="385"/>
      <c r="N383" s="385"/>
      <c r="O383" s="385"/>
      <c r="P383" s="385" t="str">
        <f>IFERROR(
    IF(
        OR(ISBLANK(I383), ISBLANK(L383)),
        "",
        MAX(
            1,
            IF(
                NETWORKDAYS(I383, L383, Holiday_Dates) &lt;= 0,
                1,
                NETWORKDAYS(I383, L383, Holiday_Dates) - IF(I383 = L383, 0, 1)
            )
        )
    ),
    ""
)</f>
        <v/>
      </c>
      <c r="Q383" s="385" t="str">
        <f>IF(
    OR(ISBLANK(L383), ISBLANK(M383)),
    "",
    MAX(
        1,
        IF(
            NETWORKDAYS(L383, M383, Holiday_Dates) &lt;= 0,
            1,
            NETWORKDAYS(L383, M383, Holiday_Dates) - IF(L383 = M383, 0, 1)
        )
    )
)</f>
        <v/>
      </c>
      <c r="R383" s="385" t="str">
        <f>IFERROR(
    IF(
        OR(ISBLANK(N383), AND(ISBLANK(L383), ISBLANK(M383))),
        "",
        MAX(
            1,
            IF(
                NETWORKDAYS(IF(NOT(ISBLANK(M383)), M383, L383), N383, Holiday_Dates) &lt;= 0,
                1,
                NETWORKDAYS(IF(NOT(ISBLANK(M383)), M383, L383), N383, Holiday_Dates)
                - IF(IF(NOT(ISBLANK(M383)), M383, L383) = N383, 0, 1)
            )
        )
    ),
    ""
)</f>
        <v/>
      </c>
      <c r="S383" s="385" t="str">
        <f>IFERROR(
    IF(
        OR(ISBLANK(N383), ISBLANK(O383)),
        "",
        MAX(
            1,
            IF(
                NETWORKDAYS(N383, O383, Holiday_Dates) &lt;= 0,
                1,
                NETWORKDAYS(N383, O383, Holiday_Dates) - IF(N383 = O383, 0, 1)
            )
        )
    ),
    ""
)</f>
        <v/>
      </c>
      <c r="T383" s="385"/>
      <c r="U383" s="385" t="s">
        <v>672</v>
      </c>
      <c r="V383" s="385"/>
      <c r="W383" s="385" t="s">
        <v>1436</v>
      </c>
      <c r="X383" s="1"/>
    </row>
    <row r="384" spans="1:24">
      <c r="A384" s="385" t="s">
        <v>48</v>
      </c>
      <c r="B384" s="385" t="s">
        <v>432</v>
      </c>
      <c r="C384" s="385" t="s">
        <v>2181</v>
      </c>
      <c r="D384" s="385" t="s">
        <v>88</v>
      </c>
      <c r="E384" s="385"/>
      <c r="F384" s="385"/>
      <c r="G384" s="385"/>
      <c r="H384" s="385">
        <v>2024</v>
      </c>
      <c r="I384" s="385" t="s">
        <v>4613</v>
      </c>
      <c r="J384" s="30"/>
      <c r="K384" s="385"/>
      <c r="L384" s="385"/>
      <c r="M384" s="385"/>
      <c r="N384" s="385"/>
      <c r="O384" s="385"/>
      <c r="P384" s="385" t="str">
        <f>IFERROR(
    IF(
        OR(ISBLANK(I384), ISBLANK(L384)),
        "",
        MAX(
            1,
            IF(
                NETWORKDAYS(I384, L384, Holiday_Dates) &lt;= 0,
                1,
                NETWORKDAYS(I384, L384, Holiday_Dates) - IF(I384 = L384, 0, 1)
            )
        )
    ),
    ""
)</f>
        <v/>
      </c>
      <c r="Q384" s="385" t="str">
        <f>IF(
    OR(ISBLANK(L384), ISBLANK(M384)),
    "",
    MAX(
        1,
        IF(
            NETWORKDAYS(L384, M384, Holiday_Dates) &lt;= 0,
            1,
            NETWORKDAYS(L384, M384, Holiday_Dates) - IF(L384 = M384, 0, 1)
        )
    )
)</f>
        <v/>
      </c>
      <c r="R384" s="385" t="str">
        <f>IFERROR(
    IF(
        OR(ISBLANK(N384), AND(ISBLANK(L384), ISBLANK(M384))),
        "",
        MAX(
            1,
            IF(
                NETWORKDAYS(IF(NOT(ISBLANK(M384)), M384, L384), N384, Holiday_Dates) &lt;= 0,
                1,
                NETWORKDAYS(IF(NOT(ISBLANK(M384)), M384, L384), N384, Holiday_Dates)
                - IF(IF(NOT(ISBLANK(M384)), M384, L384) = N384, 0, 1)
            )
        )
    ),
    ""
)</f>
        <v/>
      </c>
      <c r="S384" s="385" t="str">
        <f>IFERROR(
    IF(
        OR(ISBLANK(N384), ISBLANK(O384)),
        "",
        MAX(
            1,
            IF(
                NETWORKDAYS(N384, O384, Holiday_Dates) &lt;= 0,
                1,
                NETWORKDAYS(N384, O384, Holiday_Dates) - IF(N384 = O384, 0, 1)
            )
        )
    ),
    ""
)</f>
        <v/>
      </c>
      <c r="T384" s="385"/>
      <c r="U384" s="385" t="s">
        <v>4</v>
      </c>
      <c r="V384" s="385" t="s">
        <v>101</v>
      </c>
      <c r="W384" s="385" t="s">
        <v>1436</v>
      </c>
      <c r="X384" s="1"/>
    </row>
    <row r="385" spans="1:24">
      <c r="A385" s="385" t="s">
        <v>48</v>
      </c>
      <c r="B385" s="385" t="s">
        <v>432</v>
      </c>
      <c r="C385" s="385" t="s">
        <v>1656</v>
      </c>
      <c r="D385" s="385" t="s">
        <v>88</v>
      </c>
      <c r="E385" s="385"/>
      <c r="F385" s="385"/>
      <c r="G385" s="385"/>
      <c r="H385" s="385">
        <v>2024</v>
      </c>
      <c r="I385" s="385" t="s">
        <v>1710</v>
      </c>
      <c r="J385" s="30"/>
      <c r="K385" s="385"/>
      <c r="L385" s="385"/>
      <c r="M385" s="385"/>
      <c r="N385" s="385"/>
      <c r="O385" s="385"/>
      <c r="P385" s="385" t="str">
        <f>IFERROR(
    IF(
        OR(ISBLANK(I385), ISBLANK(L385)),
        "",
        MAX(
            1,
            IF(
                NETWORKDAYS(I385, L385, Holiday_Dates) &lt;= 0,
                1,
                NETWORKDAYS(I385, L385, Holiday_Dates) - IF(I385 = L385, 0, 1)
            )
        )
    ),
    ""
)</f>
        <v/>
      </c>
      <c r="Q385" s="385" t="str">
        <f>IF(
    OR(ISBLANK(L385), ISBLANK(M385)),
    "",
    MAX(
        1,
        IF(
            NETWORKDAYS(L385, M385, Holiday_Dates) &lt;= 0,
            1,
            NETWORKDAYS(L385, M385, Holiday_Dates) - IF(L385 = M385, 0, 1)
        )
    )
)</f>
        <v/>
      </c>
      <c r="R385" s="385" t="str">
        <f>IFERROR(
    IF(
        OR(ISBLANK(N385), AND(ISBLANK(L385), ISBLANK(M385))),
        "",
        MAX(
            1,
            IF(
                NETWORKDAYS(IF(NOT(ISBLANK(M385)), M385, L385), N385, Holiday_Dates) &lt;= 0,
                1,
                NETWORKDAYS(IF(NOT(ISBLANK(M385)), M385, L385), N385, Holiday_Dates)
                - IF(IF(NOT(ISBLANK(M385)), M385, L385) = N385, 0, 1)
            )
        )
    ),
    ""
)</f>
        <v/>
      </c>
      <c r="S385" s="385" t="str">
        <f>IFERROR(
    IF(
        OR(ISBLANK(N385), ISBLANK(O385)),
        "",
        MAX(
            1,
            IF(
                NETWORKDAYS(N385, O385, Holiday_Dates) &lt;= 0,
                1,
                NETWORKDAYS(N385, O385, Holiday_Dates) - IF(N385 = O385, 0, 1)
            )
        )
    ),
    ""
)</f>
        <v/>
      </c>
      <c r="T385" s="385"/>
      <c r="U385" s="385" t="s">
        <v>672</v>
      </c>
      <c r="V385" s="385"/>
      <c r="W385" s="385" t="s">
        <v>1436</v>
      </c>
      <c r="X385" s="1"/>
    </row>
    <row r="386" spans="1:24">
      <c r="A386" s="385" t="s">
        <v>48</v>
      </c>
      <c r="B386" s="385" t="s">
        <v>432</v>
      </c>
      <c r="C386" s="385" t="s">
        <v>2184</v>
      </c>
      <c r="D386" s="385" t="s">
        <v>88</v>
      </c>
      <c r="E386" s="385"/>
      <c r="F386" s="385"/>
      <c r="G386" s="385"/>
      <c r="H386" s="385">
        <v>2024</v>
      </c>
      <c r="I386" s="385" t="s">
        <v>4690</v>
      </c>
      <c r="J386" s="30"/>
      <c r="K386" s="385"/>
      <c r="L386" s="385"/>
      <c r="M386" s="385"/>
      <c r="N386" s="385"/>
      <c r="O386" s="385"/>
      <c r="P386" s="385" t="str">
        <f>IFERROR(
    IF(
        OR(ISBLANK(I386), ISBLANK(L386)),
        "",
        MAX(
            1,
            IF(
                NETWORKDAYS(I386, L386, Holiday_Dates) &lt;= 0,
                1,
                NETWORKDAYS(I386, L386, Holiday_Dates) - IF(I386 = L386, 0, 1)
            )
        )
    ),
    ""
)</f>
        <v/>
      </c>
      <c r="Q386" s="385" t="str">
        <f>IF(
    OR(ISBLANK(L386), ISBLANK(M386)),
    "",
    MAX(
        1,
        IF(
            NETWORKDAYS(L386, M386, Holiday_Dates) &lt;= 0,
            1,
            NETWORKDAYS(L386, M386, Holiday_Dates) - IF(L386 = M386, 0, 1)
        )
    )
)</f>
        <v/>
      </c>
      <c r="R386" s="385" t="str">
        <f>IFERROR(
    IF(
        OR(ISBLANK(N386), AND(ISBLANK(L386), ISBLANK(M386))),
        "",
        MAX(
            1,
            IF(
                NETWORKDAYS(IF(NOT(ISBLANK(M386)), M386, L386), N386, Holiday_Dates) &lt;= 0,
                1,
                NETWORKDAYS(IF(NOT(ISBLANK(M386)), M386, L386), N386, Holiday_Dates)
                - IF(IF(NOT(ISBLANK(M386)), M386, L386) = N386, 0, 1)
            )
        )
    ),
    ""
)</f>
        <v/>
      </c>
      <c r="S386" s="385" t="str">
        <f>IFERROR(
    IF(
        OR(ISBLANK(N386), ISBLANK(O386)),
        "",
        MAX(
            1,
            IF(
                NETWORKDAYS(N386, O386, Holiday_Dates) &lt;= 0,
                1,
                NETWORKDAYS(N386, O386, Holiday_Dates) - IF(N386 = O386, 0, 1)
            )
        )
    ),
    ""
)</f>
        <v/>
      </c>
      <c r="T386" s="385"/>
      <c r="U386" s="385" t="s">
        <v>4</v>
      </c>
      <c r="V386" s="385" t="s">
        <v>101</v>
      </c>
      <c r="W386" s="385" t="s">
        <v>1436</v>
      </c>
      <c r="X386" s="1"/>
    </row>
    <row r="387" spans="1:24">
      <c r="A387" s="385" t="s">
        <v>48</v>
      </c>
      <c r="B387" s="385" t="s">
        <v>432</v>
      </c>
      <c r="C387" s="385" t="s">
        <v>2186</v>
      </c>
      <c r="D387" s="385" t="s">
        <v>88</v>
      </c>
      <c r="E387" s="385"/>
      <c r="F387" s="385"/>
      <c r="G387" s="385"/>
      <c r="H387" s="385">
        <v>2024</v>
      </c>
      <c r="I387" s="385" t="s">
        <v>4613</v>
      </c>
      <c r="J387" s="30"/>
      <c r="K387" s="385"/>
      <c r="L387" s="385"/>
      <c r="M387" s="385"/>
      <c r="N387" s="385"/>
      <c r="O387" s="385"/>
      <c r="P387" s="385" t="str">
        <f>IFERROR(
    IF(
        OR(ISBLANK(I387), ISBLANK(L387)),
        "",
        MAX(
            1,
            IF(
                NETWORKDAYS(I387, L387, Holiday_Dates) &lt;= 0,
                1,
                NETWORKDAYS(I387, L387, Holiday_Dates) - IF(I387 = L387, 0, 1)
            )
        )
    ),
    ""
)</f>
        <v/>
      </c>
      <c r="Q387" s="385" t="str">
        <f>IF(
    OR(ISBLANK(L387), ISBLANK(M387)),
    "",
    MAX(
        1,
        IF(
            NETWORKDAYS(L387, M387, Holiday_Dates) &lt;= 0,
            1,
            NETWORKDAYS(L387, M387, Holiday_Dates) - IF(L387 = M387, 0, 1)
        )
    )
)</f>
        <v/>
      </c>
      <c r="R387" s="385" t="str">
        <f>IFERROR(
    IF(
        OR(ISBLANK(N387), AND(ISBLANK(L387), ISBLANK(M387))),
        "",
        MAX(
            1,
            IF(
                NETWORKDAYS(IF(NOT(ISBLANK(M387)), M387, L387), N387, Holiday_Dates) &lt;= 0,
                1,
                NETWORKDAYS(IF(NOT(ISBLANK(M387)), M387, L387), N387, Holiday_Dates)
                - IF(IF(NOT(ISBLANK(M387)), M387, L387) = N387, 0, 1)
            )
        )
    ),
    ""
)</f>
        <v/>
      </c>
      <c r="S387" s="385" t="str">
        <f>IFERROR(
    IF(
        OR(ISBLANK(N387), ISBLANK(O387)),
        "",
        MAX(
            1,
            IF(
                NETWORKDAYS(N387, O387, Holiday_Dates) &lt;= 0,
                1,
                NETWORKDAYS(N387, O387, Holiday_Dates) - IF(N387 = O387, 0, 1)
            )
        )
    ),
    ""
)</f>
        <v/>
      </c>
      <c r="T387" s="385"/>
      <c r="U387" s="385" t="s">
        <v>4</v>
      </c>
      <c r="V387" s="385" t="s">
        <v>101</v>
      </c>
      <c r="W387" s="385" t="s">
        <v>1436</v>
      </c>
      <c r="X387" s="1"/>
    </row>
    <row r="388" spans="1:24">
      <c r="A388" s="385" t="s">
        <v>48</v>
      </c>
      <c r="B388" s="385" t="s">
        <v>432</v>
      </c>
      <c r="C388" s="385" t="s">
        <v>2190</v>
      </c>
      <c r="D388" s="385" t="s">
        <v>88</v>
      </c>
      <c r="E388" s="385"/>
      <c r="F388" s="385"/>
      <c r="G388" s="385"/>
      <c r="H388" s="385">
        <v>2024</v>
      </c>
      <c r="I388" s="385" t="s">
        <v>1933</v>
      </c>
      <c r="J388" s="30"/>
      <c r="K388" s="385"/>
      <c r="L388" s="385"/>
      <c r="M388" s="385"/>
      <c r="N388" s="385"/>
      <c r="O388" s="385"/>
      <c r="P388" s="385" t="str">
        <f>IFERROR(
    IF(
        OR(ISBLANK(I388), ISBLANK(L388)),
        "",
        MAX(
            1,
            IF(
                NETWORKDAYS(I388, L388, Holiday_Dates) &lt;= 0,
                1,
                NETWORKDAYS(I388, L388, Holiday_Dates) - IF(I388 = L388, 0, 1)
            )
        )
    ),
    ""
)</f>
        <v/>
      </c>
      <c r="Q388" s="385" t="str">
        <f>IF(
    OR(ISBLANK(L388), ISBLANK(M388)),
    "",
    MAX(
        1,
        IF(
            NETWORKDAYS(L388, M388, Holiday_Dates) &lt;= 0,
            1,
            NETWORKDAYS(L388, M388, Holiday_Dates) - IF(L388 = M388, 0, 1)
        )
    )
)</f>
        <v/>
      </c>
      <c r="R388" s="385" t="str">
        <f>IFERROR(
    IF(
        OR(ISBLANK(N388), AND(ISBLANK(L388), ISBLANK(M388))),
        "",
        MAX(
            1,
            IF(
                NETWORKDAYS(IF(NOT(ISBLANK(M388)), M388, L388), N388, Holiday_Dates) &lt;= 0,
                1,
                NETWORKDAYS(IF(NOT(ISBLANK(M388)), M388, L388), N388, Holiday_Dates)
                - IF(IF(NOT(ISBLANK(M388)), M388, L388) = N388, 0, 1)
            )
        )
    ),
    ""
)</f>
        <v/>
      </c>
      <c r="S388" s="385" t="str">
        <f>IFERROR(
    IF(
        OR(ISBLANK(N388), ISBLANK(O388)),
        "",
        MAX(
            1,
            IF(
                NETWORKDAYS(N388, O388, Holiday_Dates) &lt;= 0,
                1,
                NETWORKDAYS(N388, O388, Holiday_Dates) - IF(N388 = O388, 0, 1)
            )
        )
    ),
    ""
)</f>
        <v/>
      </c>
      <c r="T388" s="385"/>
      <c r="U388" s="385" t="s">
        <v>4</v>
      </c>
      <c r="V388" s="385" t="s">
        <v>101</v>
      </c>
      <c r="W388" s="385" t="s">
        <v>1436</v>
      </c>
      <c r="X388" s="1"/>
    </row>
    <row r="389" spans="1:24">
      <c r="A389" s="385" t="s">
        <v>48</v>
      </c>
      <c r="B389" s="385" t="s">
        <v>432</v>
      </c>
      <c r="C389" s="385" t="s">
        <v>2192</v>
      </c>
      <c r="D389" s="385" t="s">
        <v>88</v>
      </c>
      <c r="E389" s="385"/>
      <c r="F389" s="385"/>
      <c r="G389" s="385"/>
      <c r="H389" s="385">
        <v>2024</v>
      </c>
      <c r="I389" s="385" t="s">
        <v>4681</v>
      </c>
      <c r="J389" s="30"/>
      <c r="K389" s="385"/>
      <c r="L389" s="385"/>
      <c r="M389" s="385"/>
      <c r="N389" s="385"/>
      <c r="O389" s="385"/>
      <c r="P389" s="385" t="str">
        <f>IFERROR(
    IF(
        OR(ISBLANK(I389), ISBLANK(L389)),
        "",
        MAX(
            1,
            IF(
                NETWORKDAYS(I389, L389, Holiday_Dates) &lt;= 0,
                1,
                NETWORKDAYS(I389, L389, Holiday_Dates) - IF(I389 = L389, 0, 1)
            )
        )
    ),
    ""
)</f>
        <v/>
      </c>
      <c r="Q389" s="385" t="str">
        <f>IF(
    OR(ISBLANK(L389), ISBLANK(M389)),
    "",
    MAX(
        1,
        IF(
            NETWORKDAYS(L389, M389, Holiday_Dates) &lt;= 0,
            1,
            NETWORKDAYS(L389, M389, Holiday_Dates) - IF(L389 = M389, 0, 1)
        )
    )
)</f>
        <v/>
      </c>
      <c r="R389" s="385" t="str">
        <f>IFERROR(
    IF(
        OR(ISBLANK(N389), AND(ISBLANK(L389), ISBLANK(M389))),
        "",
        MAX(
            1,
            IF(
                NETWORKDAYS(IF(NOT(ISBLANK(M389)), M389, L389), N389, Holiday_Dates) &lt;= 0,
                1,
                NETWORKDAYS(IF(NOT(ISBLANK(M389)), M389, L389), N389, Holiday_Dates)
                - IF(IF(NOT(ISBLANK(M389)), M389, L389) = N389, 0, 1)
            )
        )
    ),
    ""
)</f>
        <v/>
      </c>
      <c r="S389" s="385" t="str">
        <f>IFERROR(
    IF(
        OR(ISBLANK(N389), ISBLANK(O389)),
        "",
        MAX(
            1,
            IF(
                NETWORKDAYS(N389, O389, Holiday_Dates) &lt;= 0,
                1,
                NETWORKDAYS(N389, O389, Holiday_Dates) - IF(N389 = O389, 0, 1)
            )
        )
    ),
    ""
)</f>
        <v/>
      </c>
      <c r="T389" s="385"/>
      <c r="U389" s="385" t="s">
        <v>4</v>
      </c>
      <c r="V389" s="385" t="s">
        <v>101</v>
      </c>
      <c r="W389" s="385" t="s">
        <v>1436</v>
      </c>
      <c r="X389" s="1"/>
    </row>
    <row r="390" spans="1:24">
      <c r="A390" s="385" t="s">
        <v>49</v>
      </c>
      <c r="B390" s="385" t="s">
        <v>488</v>
      </c>
      <c r="C390" s="385" t="s">
        <v>2194</v>
      </c>
      <c r="D390" s="385" t="s">
        <v>88</v>
      </c>
      <c r="E390" s="385"/>
      <c r="F390" s="385"/>
      <c r="G390" s="385"/>
      <c r="H390" s="385">
        <v>2025</v>
      </c>
      <c r="I390" s="386">
        <v>45791</v>
      </c>
      <c r="J390" s="30" t="s">
        <v>4691</v>
      </c>
      <c r="K390" s="385"/>
      <c r="L390" s="385"/>
      <c r="M390" s="385"/>
      <c r="N390" s="385"/>
      <c r="O390" s="385"/>
      <c r="P390" s="385" t="str">
        <f>IFERROR(
    IF(
        OR(ISBLANK(I390), ISBLANK(L390)),
        "",
        MAX(
            1,
            IF(
                NETWORKDAYS(I390, L390, Holiday_Dates) &lt;= 0,
                1,
                NETWORKDAYS(I390, L390, Holiday_Dates) - IF(I390 = L390, 0, 1)
            )
        )
    ),
    ""
)</f>
        <v/>
      </c>
      <c r="Q390" s="385" t="str">
        <f>IF(
    OR(ISBLANK(L390), ISBLANK(M390)),
    "",
    MAX(
        1,
        IF(
            NETWORKDAYS(L390, M390, Holiday_Dates) &lt;= 0,
            1,
            NETWORKDAYS(L390, M390, Holiday_Dates) - IF(L390 = M390, 0, 1)
        )
    )
)</f>
        <v/>
      </c>
      <c r="R390" s="385" t="str">
        <f>IFERROR(
    IF(
        OR(ISBLANK(N390), AND(ISBLANK(L390), ISBLANK(M390))),
        "",
        MAX(
            1,
            IF(
                NETWORKDAYS(IF(NOT(ISBLANK(M390)), M390, L390), N390, Holiday_Dates) &lt;= 0,
                1,
                NETWORKDAYS(IF(NOT(ISBLANK(M390)), M390, L390), N390, Holiday_Dates)
                - IF(IF(NOT(ISBLANK(M390)), M390, L390) = N390, 0, 1)
            )
        )
    ),
    ""
)</f>
        <v/>
      </c>
      <c r="S390" s="385" t="str">
        <f>IFERROR(
    IF(
        OR(ISBLANK(N390), ISBLANK(O390)),
        "",
        MAX(
            1,
            IF(
                NETWORKDAYS(N390, O390, Holiday_Dates) &lt;= 0,
                1,
                NETWORKDAYS(N390, O390, Holiday_Dates) - IF(N390 = O390, 0, 1)
            )
        )
    ),
    ""
)</f>
        <v/>
      </c>
      <c r="T390" s="385"/>
      <c r="U390" s="385" t="s">
        <v>672</v>
      </c>
      <c r="V390" s="385" t="s">
        <v>101</v>
      </c>
      <c r="W390" s="385" t="s">
        <v>1436</v>
      </c>
      <c r="X390" s="1"/>
    </row>
    <row r="391" spans="1:24">
      <c r="A391" s="385" t="s">
        <v>49</v>
      </c>
      <c r="B391" s="385" t="s">
        <v>488</v>
      </c>
      <c r="C391" s="385" t="s">
        <v>2195</v>
      </c>
      <c r="D391" s="385" t="s">
        <v>88</v>
      </c>
      <c r="E391" s="385"/>
      <c r="F391" s="385"/>
      <c r="G391" s="385"/>
      <c r="H391" s="385">
        <v>2025</v>
      </c>
      <c r="I391" s="386">
        <v>45791</v>
      </c>
      <c r="J391" s="30" t="s">
        <v>4692</v>
      </c>
      <c r="K391" s="385"/>
      <c r="L391" s="385"/>
      <c r="M391" s="385"/>
      <c r="N391" s="385"/>
      <c r="O391" s="385"/>
      <c r="P391" s="385" t="str">
        <f>IFERROR(
    IF(
        OR(ISBLANK(I391), ISBLANK(L391)),
        "",
        MAX(
            1,
            IF(
                NETWORKDAYS(I391, L391, Holiday_Dates) &lt;= 0,
                1,
                NETWORKDAYS(I391, L391, Holiday_Dates) - IF(I391 = L391, 0, 1)
            )
        )
    ),
    ""
)</f>
        <v/>
      </c>
      <c r="Q391" s="385" t="str">
        <f>IF(
    OR(ISBLANK(L391), ISBLANK(M391)),
    "",
    MAX(
        1,
        IF(
            NETWORKDAYS(L391, M391, Holiday_Dates) &lt;= 0,
            1,
            NETWORKDAYS(L391, M391, Holiday_Dates) - IF(L391 = M391, 0, 1)
        )
    )
)</f>
        <v/>
      </c>
      <c r="R391" s="385" t="str">
        <f>IFERROR(
    IF(
        OR(ISBLANK(N391), AND(ISBLANK(L391), ISBLANK(M391))),
        "",
        MAX(
            1,
            IF(
                NETWORKDAYS(IF(NOT(ISBLANK(M391)), M391, L391), N391, Holiday_Dates) &lt;= 0,
                1,
                NETWORKDAYS(IF(NOT(ISBLANK(M391)), M391, L391), N391, Holiday_Dates)
                - IF(IF(NOT(ISBLANK(M391)), M391, L391) = N391, 0, 1)
            )
        )
    ),
    ""
)</f>
        <v/>
      </c>
      <c r="S391" s="385" t="str">
        <f>IFERROR(
    IF(
        OR(ISBLANK(N391), ISBLANK(O391)),
        "",
        MAX(
            1,
            IF(
                NETWORKDAYS(N391, O391, Holiday_Dates) &lt;= 0,
                1,
                NETWORKDAYS(N391, O391, Holiday_Dates) - IF(N391 = O391, 0, 1)
            )
        )
    ),
    ""
)</f>
        <v/>
      </c>
      <c r="T391" s="385"/>
      <c r="U391" s="385" t="s">
        <v>672</v>
      </c>
      <c r="V391" s="385" t="s">
        <v>101</v>
      </c>
      <c r="W391" s="385" t="s">
        <v>1436</v>
      </c>
      <c r="X391" s="1"/>
    </row>
    <row r="392" spans="1:24">
      <c r="A392" s="385" t="s">
        <v>49</v>
      </c>
      <c r="B392" s="385" t="s">
        <v>488</v>
      </c>
      <c r="C392" s="385" t="s">
        <v>1282</v>
      </c>
      <c r="D392" s="385" t="s">
        <v>88</v>
      </c>
      <c r="E392" s="385"/>
      <c r="F392" s="385"/>
      <c r="G392" s="385"/>
      <c r="H392" s="385">
        <v>2025</v>
      </c>
      <c r="I392" s="386">
        <v>45791</v>
      </c>
      <c r="J392" s="30" t="s">
        <v>4693</v>
      </c>
      <c r="K392" s="385"/>
      <c r="L392" s="385"/>
      <c r="M392" s="385"/>
      <c r="N392" s="385"/>
      <c r="O392" s="385"/>
      <c r="P392" s="385" t="str">
        <f>IFERROR(
    IF(
        OR(ISBLANK(I392), ISBLANK(L392)),
        "",
        MAX(
            1,
            IF(
                NETWORKDAYS(I392, L392, Holiday_Dates) &lt;= 0,
                1,
                NETWORKDAYS(I392, L392, Holiday_Dates) - IF(I392 = L392, 0, 1)
            )
        )
    ),
    ""
)</f>
        <v/>
      </c>
      <c r="Q392" s="385" t="str">
        <f>IF(
    OR(ISBLANK(L392), ISBLANK(M392)),
    "",
    MAX(
        1,
        IF(
            NETWORKDAYS(L392, M392, Holiday_Dates) &lt;= 0,
            1,
            NETWORKDAYS(L392, M392, Holiday_Dates) - IF(L392 = M392, 0, 1)
        )
    )
)</f>
        <v/>
      </c>
      <c r="R392" s="385" t="str">
        <f>IFERROR(
    IF(
        OR(ISBLANK(N392), AND(ISBLANK(L392), ISBLANK(M392))),
        "",
        MAX(
            1,
            IF(
                NETWORKDAYS(IF(NOT(ISBLANK(M392)), M392, L392), N392, Holiday_Dates) &lt;= 0,
                1,
                NETWORKDAYS(IF(NOT(ISBLANK(M392)), M392, L392), N392, Holiday_Dates)
                - IF(IF(NOT(ISBLANK(M392)), M392, L392) = N392, 0, 1)
            )
        )
    ),
    ""
)</f>
        <v/>
      </c>
      <c r="S392" s="385" t="str">
        <f>IFERROR(
    IF(
        OR(ISBLANK(N392), ISBLANK(O392)),
        "",
        MAX(
            1,
            IF(
                NETWORKDAYS(N392, O392, Holiday_Dates) &lt;= 0,
                1,
                NETWORKDAYS(N392, O392, Holiday_Dates) - IF(N392 = O392, 0, 1)
            )
        )
    ),
    ""
)</f>
        <v/>
      </c>
      <c r="T392" s="385"/>
      <c r="U392" s="385" t="s">
        <v>4</v>
      </c>
      <c r="V392" s="385" t="s">
        <v>101</v>
      </c>
      <c r="W392" s="385" t="s">
        <v>1436</v>
      </c>
      <c r="X392" s="1"/>
    </row>
    <row r="393" spans="1:24">
      <c r="A393" s="385" t="s">
        <v>49</v>
      </c>
      <c r="B393" s="385" t="s">
        <v>488</v>
      </c>
      <c r="C393" s="385" t="s">
        <v>2196</v>
      </c>
      <c r="D393" s="385" t="s">
        <v>88</v>
      </c>
      <c r="E393" s="385"/>
      <c r="F393" s="385"/>
      <c r="G393" s="385"/>
      <c r="H393" s="385">
        <v>2025</v>
      </c>
      <c r="I393" s="386">
        <v>45912</v>
      </c>
      <c r="J393" s="30" t="s">
        <v>4694</v>
      </c>
      <c r="K393" s="385"/>
      <c r="L393" s="385"/>
      <c r="M393" s="385"/>
      <c r="N393" s="385"/>
      <c r="O393" s="385"/>
      <c r="P393" s="385" t="str">
        <f>IFERROR(
    IF(
        OR(ISBLANK(I393), ISBLANK(L393)),
        "",
        MAX(
            1,
            IF(
                NETWORKDAYS(I393, L393, Holiday_Dates) &lt;= 0,
                1,
                NETWORKDAYS(I393, L393, Holiday_Dates) - IF(I393 = L393, 0, 1)
            )
        )
    ),
    ""
)</f>
        <v/>
      </c>
      <c r="Q393" s="385" t="str">
        <f>IF(
    OR(ISBLANK(L393), ISBLANK(M393)),
    "",
    MAX(
        1,
        IF(
            NETWORKDAYS(L393, M393, Holiday_Dates) &lt;= 0,
            1,
            NETWORKDAYS(L393, M393, Holiday_Dates) - IF(L393 = M393, 0, 1)
        )
    )
)</f>
        <v/>
      </c>
      <c r="R393" s="385" t="str">
        <f>IFERROR(
    IF(
        OR(ISBLANK(N393), AND(ISBLANK(L393), ISBLANK(M393))),
        "",
        MAX(
            1,
            IF(
                NETWORKDAYS(IF(NOT(ISBLANK(M393)), M393, L393), N393, Holiday_Dates) &lt;= 0,
                1,
                NETWORKDAYS(IF(NOT(ISBLANK(M393)), M393, L393), N393, Holiday_Dates)
                - IF(IF(NOT(ISBLANK(M393)), M393, L393) = N393, 0, 1)
            )
        )
    ),
    ""
)</f>
        <v/>
      </c>
      <c r="S393" s="385" t="str">
        <f>IFERROR(
    IF(
        OR(ISBLANK(N393), ISBLANK(O393)),
        "",
        MAX(
            1,
            IF(
                NETWORKDAYS(N393, O393, Holiday_Dates) &lt;= 0,
                1,
                NETWORKDAYS(N393, O393, Holiday_Dates) - IF(N393 = O393, 0, 1)
            )
        )
    ),
    ""
)</f>
        <v/>
      </c>
      <c r="T393" s="385"/>
      <c r="U393" s="385" t="s">
        <v>672</v>
      </c>
      <c r="V393" s="385" t="s">
        <v>1676</v>
      </c>
      <c r="W393" s="385" t="s">
        <v>1436</v>
      </c>
      <c r="X393" s="1"/>
    </row>
    <row r="394" spans="1:24">
      <c r="A394" s="385" t="s">
        <v>49</v>
      </c>
      <c r="B394" s="385" t="s">
        <v>488</v>
      </c>
      <c r="C394" s="385" t="s">
        <v>2197</v>
      </c>
      <c r="D394" s="385" t="s">
        <v>88</v>
      </c>
      <c r="E394" s="385"/>
      <c r="F394" s="385"/>
      <c r="G394" s="385"/>
      <c r="H394" s="385">
        <v>2025</v>
      </c>
      <c r="I394" s="386">
        <v>45968</v>
      </c>
      <c r="J394" s="30" t="s">
        <v>4695</v>
      </c>
      <c r="K394" s="385"/>
      <c r="L394" s="385"/>
      <c r="M394" s="385"/>
      <c r="N394" s="385"/>
      <c r="O394" s="385"/>
      <c r="P394" s="385" t="str">
        <f>IFERROR(
    IF(
        OR(ISBLANK(I394), ISBLANK(L394)),
        "",
        MAX(
            1,
            IF(
                NETWORKDAYS(I394, L394, Holiday_Dates) &lt;= 0,
                1,
                NETWORKDAYS(I394, L394, Holiday_Dates) - IF(I394 = L394, 0, 1)
            )
        )
    ),
    ""
)</f>
        <v/>
      </c>
      <c r="Q394" s="385" t="str">
        <f>IF(
    OR(ISBLANK(L394), ISBLANK(M394)),
    "",
    MAX(
        1,
        IF(
            NETWORKDAYS(L394, M394, Holiday_Dates) &lt;= 0,
            1,
            NETWORKDAYS(L394, M394, Holiday_Dates) - IF(L394 = M394, 0, 1)
        )
    )
)</f>
        <v/>
      </c>
      <c r="R394" s="385" t="str">
        <f>IFERROR(
    IF(
        OR(ISBLANK(N394), AND(ISBLANK(L394), ISBLANK(M394))),
        "",
        MAX(
            1,
            IF(
                NETWORKDAYS(IF(NOT(ISBLANK(M394)), M394, L394), N394, Holiday_Dates) &lt;= 0,
                1,
                NETWORKDAYS(IF(NOT(ISBLANK(M394)), M394, L394), N394, Holiday_Dates)
                - IF(IF(NOT(ISBLANK(M394)), M394, L394) = N394, 0, 1)
            )
        )
    ),
    ""
)</f>
        <v/>
      </c>
      <c r="S394" s="385" t="str">
        <f>IFERROR(
    IF(
        OR(ISBLANK(N394), ISBLANK(O394)),
        "",
        MAX(
            1,
            IF(
                NETWORKDAYS(N394, O394, Holiday_Dates) &lt;= 0,
                1,
                NETWORKDAYS(N394, O394, Holiday_Dates) - IF(N394 = O394, 0, 1)
            )
        )
    ),
    ""
)</f>
        <v/>
      </c>
      <c r="T394" s="385"/>
      <c r="U394" s="385" t="s">
        <v>672</v>
      </c>
      <c r="V394" s="385" t="s">
        <v>101</v>
      </c>
      <c r="W394" s="385" t="s">
        <v>1436</v>
      </c>
      <c r="X394" s="1"/>
    </row>
    <row r="395" spans="1:24">
      <c r="A395" s="385" t="s">
        <v>49</v>
      </c>
      <c r="B395" s="385" t="s">
        <v>488</v>
      </c>
      <c r="C395" s="385" t="s">
        <v>2198</v>
      </c>
      <c r="D395" s="385" t="s">
        <v>88</v>
      </c>
      <c r="E395" s="385"/>
      <c r="F395" s="385"/>
      <c r="G395" s="385"/>
      <c r="H395" s="385">
        <v>2025</v>
      </c>
      <c r="I395" s="386">
        <v>45968</v>
      </c>
      <c r="J395" s="30" t="s">
        <v>4696</v>
      </c>
      <c r="K395" s="385"/>
      <c r="L395" s="385"/>
      <c r="M395" s="385"/>
      <c r="N395" s="385"/>
      <c r="O395" s="385"/>
      <c r="P395" s="385" t="str">
        <f>IFERROR(
    IF(
        OR(ISBLANK(I395), ISBLANK(L395)),
        "",
        MAX(
            1,
            IF(
                NETWORKDAYS(I395, L395, Holiday_Dates) &lt;= 0,
                1,
                NETWORKDAYS(I395, L395, Holiday_Dates) - IF(I395 = L395, 0, 1)
            )
        )
    ),
    ""
)</f>
        <v/>
      </c>
      <c r="Q395" s="385" t="str">
        <f>IF(
    OR(ISBLANK(L395), ISBLANK(M395)),
    "",
    MAX(
        1,
        IF(
            NETWORKDAYS(L395, M395, Holiday_Dates) &lt;= 0,
            1,
            NETWORKDAYS(L395, M395, Holiday_Dates) - IF(L395 = M395, 0, 1)
        )
    )
)</f>
        <v/>
      </c>
      <c r="R395" s="385" t="str">
        <f>IFERROR(
    IF(
        OR(ISBLANK(N395), AND(ISBLANK(L395), ISBLANK(M395))),
        "",
        MAX(
            1,
            IF(
                NETWORKDAYS(IF(NOT(ISBLANK(M395)), M395, L395), N395, Holiday_Dates) &lt;= 0,
                1,
                NETWORKDAYS(IF(NOT(ISBLANK(M395)), M395, L395), N395, Holiday_Dates)
                - IF(IF(NOT(ISBLANK(M395)), M395, L395) = N395, 0, 1)
            )
        )
    ),
    ""
)</f>
        <v/>
      </c>
      <c r="S395" s="385" t="str">
        <f>IFERROR(
    IF(
        OR(ISBLANK(N395), ISBLANK(O395)),
        "",
        MAX(
            1,
            IF(
                NETWORKDAYS(N395, O395, Holiday_Dates) &lt;= 0,
                1,
                NETWORKDAYS(N395, O395, Holiday_Dates) - IF(N395 = O395, 0, 1)
            )
        )
    ),
    ""
)</f>
        <v/>
      </c>
      <c r="T395" s="385"/>
      <c r="U395" s="385" t="s">
        <v>4</v>
      </c>
      <c r="V395" s="385" t="s">
        <v>108</v>
      </c>
      <c r="W395" s="385" t="s">
        <v>1436</v>
      </c>
      <c r="X395" s="1"/>
    </row>
    <row r="396" spans="1:24">
      <c r="A396" s="385" t="s">
        <v>49</v>
      </c>
      <c r="B396" s="385" t="s">
        <v>488</v>
      </c>
      <c r="C396" s="385" t="s">
        <v>2199</v>
      </c>
      <c r="D396" s="385" t="s">
        <v>88</v>
      </c>
      <c r="E396" s="385"/>
      <c r="F396" s="385"/>
      <c r="G396" s="385"/>
      <c r="H396" s="385">
        <v>2025</v>
      </c>
      <c r="I396" s="386">
        <v>45912</v>
      </c>
      <c r="J396" s="30" t="s">
        <v>4697</v>
      </c>
      <c r="K396" s="385"/>
      <c r="L396" s="385"/>
      <c r="M396" s="385"/>
      <c r="N396" s="385"/>
      <c r="O396" s="385"/>
      <c r="P396" s="385" t="str">
        <f>IFERROR(
    IF(
        OR(ISBLANK(I396), ISBLANK(L396)),
        "",
        MAX(
            1,
            IF(
                NETWORKDAYS(I396, L396, Holiday_Dates) &lt;= 0,
                1,
                NETWORKDAYS(I396, L396, Holiday_Dates) - IF(I396 = L396, 0, 1)
            )
        )
    ),
    ""
)</f>
        <v/>
      </c>
      <c r="Q396" s="385" t="str">
        <f>IF(
    OR(ISBLANK(L396), ISBLANK(M396)),
    "",
    MAX(
        1,
        IF(
            NETWORKDAYS(L396, M396, Holiday_Dates) &lt;= 0,
            1,
            NETWORKDAYS(L396, M396, Holiday_Dates) - IF(L396 = M396, 0, 1)
        )
    )
)</f>
        <v/>
      </c>
      <c r="R396" s="385" t="str">
        <f>IFERROR(
    IF(
        OR(ISBLANK(N396), AND(ISBLANK(L396), ISBLANK(M396))),
        "",
        MAX(
            1,
            IF(
                NETWORKDAYS(IF(NOT(ISBLANK(M396)), M396, L396), N396, Holiday_Dates) &lt;= 0,
                1,
                NETWORKDAYS(IF(NOT(ISBLANK(M396)), M396, L396), N396, Holiday_Dates)
                - IF(IF(NOT(ISBLANK(M396)), M396, L396) = N396, 0, 1)
            )
        )
    ),
    ""
)</f>
        <v/>
      </c>
      <c r="S396" s="385" t="str">
        <f>IFERROR(
    IF(
        OR(ISBLANK(N396), ISBLANK(O396)),
        "",
        MAX(
            1,
            IF(
                NETWORKDAYS(N396, O396, Holiday_Dates) &lt;= 0,
                1,
                NETWORKDAYS(N396, O396, Holiday_Dates) - IF(N396 = O396, 0, 1)
            )
        )
    ),
    ""
)</f>
        <v/>
      </c>
      <c r="T396" s="385"/>
      <c r="U396" s="385" t="s">
        <v>4</v>
      </c>
      <c r="V396" s="385" t="s">
        <v>101</v>
      </c>
      <c r="W396" s="385" t="s">
        <v>1436</v>
      </c>
      <c r="X396" s="1"/>
    </row>
    <row r="397" spans="1:24">
      <c r="A397" s="385" t="s">
        <v>49</v>
      </c>
      <c r="B397" s="385" t="s">
        <v>488</v>
      </c>
      <c r="C397" s="385" t="s">
        <v>1063</v>
      </c>
      <c r="D397" s="385" t="s">
        <v>88</v>
      </c>
      <c r="E397" s="385"/>
      <c r="F397" s="385"/>
      <c r="G397" s="385"/>
      <c r="H397" s="385">
        <v>2025</v>
      </c>
      <c r="I397" s="386">
        <v>45912</v>
      </c>
      <c r="J397" s="30" t="s">
        <v>4698</v>
      </c>
      <c r="K397" s="385"/>
      <c r="L397" s="385"/>
      <c r="M397" s="385"/>
      <c r="N397" s="385"/>
      <c r="O397" s="385"/>
      <c r="P397" s="385" t="str">
        <f>IFERROR(
    IF(
        OR(ISBLANK(I397), ISBLANK(L397)),
        "",
        MAX(
            1,
            IF(
                NETWORKDAYS(I397, L397, Holiday_Dates) &lt;= 0,
                1,
                NETWORKDAYS(I397, L397, Holiday_Dates) - IF(I397 = L397, 0, 1)
            )
        )
    ),
    ""
)</f>
        <v/>
      </c>
      <c r="Q397" s="385" t="str">
        <f>IF(
    OR(ISBLANK(L397), ISBLANK(M397)),
    "",
    MAX(
        1,
        IF(
            NETWORKDAYS(L397, M397, Holiday_Dates) &lt;= 0,
            1,
            NETWORKDAYS(L397, M397, Holiday_Dates) - IF(L397 = M397, 0, 1)
        )
    )
)</f>
        <v/>
      </c>
      <c r="R397" s="385" t="str">
        <f>IFERROR(
    IF(
        OR(ISBLANK(N397), AND(ISBLANK(L397), ISBLANK(M397))),
        "",
        MAX(
            1,
            IF(
                NETWORKDAYS(IF(NOT(ISBLANK(M397)), M397, L397), N397, Holiday_Dates) &lt;= 0,
                1,
                NETWORKDAYS(IF(NOT(ISBLANK(M397)), M397, L397), N397, Holiday_Dates)
                - IF(IF(NOT(ISBLANK(M397)), M397, L397) = N397, 0, 1)
            )
        )
    ),
    ""
)</f>
        <v/>
      </c>
      <c r="S397" s="385" t="str">
        <f>IFERROR(
    IF(
        OR(ISBLANK(N397), ISBLANK(O397)),
        "",
        MAX(
            1,
            IF(
                NETWORKDAYS(N397, O397, Holiday_Dates) &lt;= 0,
                1,
                NETWORKDAYS(N397, O397, Holiday_Dates) - IF(N397 = O397, 0, 1)
            )
        )
    ),
    ""
)</f>
        <v/>
      </c>
      <c r="T397" s="385"/>
      <c r="U397" s="385" t="s">
        <v>4</v>
      </c>
      <c r="V397" s="385" t="s">
        <v>108</v>
      </c>
      <c r="W397" s="385" t="s">
        <v>1436</v>
      </c>
      <c r="X397" s="1"/>
    </row>
    <row r="398" spans="1:24">
      <c r="A398" s="385" t="s">
        <v>49</v>
      </c>
      <c r="B398" s="385" t="s">
        <v>488</v>
      </c>
      <c r="C398" s="385" t="s">
        <v>2200</v>
      </c>
      <c r="D398" s="385" t="s">
        <v>88</v>
      </c>
      <c r="E398" s="385"/>
      <c r="F398" s="385"/>
      <c r="G398" s="385"/>
      <c r="H398" s="385">
        <v>2025</v>
      </c>
      <c r="I398" s="386">
        <v>45881</v>
      </c>
      <c r="J398" s="30" t="s">
        <v>4699</v>
      </c>
      <c r="K398" s="385"/>
      <c r="L398" s="385"/>
      <c r="M398" s="385"/>
      <c r="N398" s="385"/>
      <c r="O398" s="385"/>
      <c r="P398" s="385" t="str">
        <f>IFERROR(
    IF(
        OR(ISBLANK(I398), ISBLANK(L398)),
        "",
        MAX(
            1,
            IF(
                NETWORKDAYS(I398, L398, Holiday_Dates) &lt;= 0,
                1,
                NETWORKDAYS(I398, L398, Holiday_Dates) - IF(I398 = L398, 0, 1)
            )
        )
    ),
    ""
)</f>
        <v/>
      </c>
      <c r="Q398" s="385" t="str">
        <f>IF(
    OR(ISBLANK(L398), ISBLANK(M398)),
    "",
    MAX(
        1,
        IF(
            NETWORKDAYS(L398, M398, Holiday_Dates) &lt;= 0,
            1,
            NETWORKDAYS(L398, M398, Holiday_Dates) - IF(L398 = M398, 0, 1)
        )
    )
)</f>
        <v/>
      </c>
      <c r="R398" s="385" t="str">
        <f>IFERROR(
    IF(
        OR(ISBLANK(N398), AND(ISBLANK(L398), ISBLANK(M398))),
        "",
        MAX(
            1,
            IF(
                NETWORKDAYS(IF(NOT(ISBLANK(M398)), M398, L398), N398, Holiday_Dates) &lt;= 0,
                1,
                NETWORKDAYS(IF(NOT(ISBLANK(M398)), M398, L398), N398, Holiday_Dates)
                - IF(IF(NOT(ISBLANK(M398)), M398, L398) = N398, 0, 1)
            )
        )
    ),
    ""
)</f>
        <v/>
      </c>
      <c r="S398" s="385" t="str">
        <f>IFERROR(
    IF(
        OR(ISBLANK(N398), ISBLANK(O398)),
        "",
        MAX(
            1,
            IF(
                NETWORKDAYS(N398, O398, Holiday_Dates) &lt;= 0,
                1,
                NETWORKDAYS(N398, O398, Holiday_Dates) - IF(N398 = O398, 0, 1)
            )
        )
    ),
    ""
)</f>
        <v/>
      </c>
      <c r="T398" s="385"/>
      <c r="U398" s="385" t="s">
        <v>4</v>
      </c>
      <c r="V398" s="385" t="s">
        <v>108</v>
      </c>
      <c r="W398" s="385" t="s">
        <v>1436</v>
      </c>
      <c r="X398" s="1"/>
    </row>
    <row r="399" spans="1:24">
      <c r="A399" s="385" t="s">
        <v>49</v>
      </c>
      <c r="B399" s="385" t="s">
        <v>488</v>
      </c>
      <c r="C399" s="385" t="s">
        <v>2201</v>
      </c>
      <c r="D399" s="385" t="s">
        <v>88</v>
      </c>
      <c r="E399" s="385"/>
      <c r="F399" s="385"/>
      <c r="G399" s="385"/>
      <c r="H399" s="385">
        <v>2025</v>
      </c>
      <c r="I399" s="386">
        <v>45968</v>
      </c>
      <c r="J399" s="30" t="s">
        <v>4700</v>
      </c>
      <c r="K399" s="385"/>
      <c r="L399" s="385"/>
      <c r="M399" s="385"/>
      <c r="N399" s="385"/>
      <c r="O399" s="385"/>
      <c r="P399" s="385" t="str">
        <f>IFERROR(
    IF(
        OR(ISBLANK(I399), ISBLANK(L399)),
        "",
        MAX(
            1,
            IF(
                NETWORKDAYS(I399, L399, Holiday_Dates) &lt;= 0,
                1,
                NETWORKDAYS(I399, L399, Holiday_Dates) - IF(I399 = L399, 0, 1)
            )
        )
    ),
    ""
)</f>
        <v/>
      </c>
      <c r="Q399" s="385" t="str">
        <f>IF(
    OR(ISBLANK(L399), ISBLANK(M399)),
    "",
    MAX(
        1,
        IF(
            NETWORKDAYS(L399, M399, Holiday_Dates) &lt;= 0,
            1,
            NETWORKDAYS(L399, M399, Holiday_Dates) - IF(L399 = M399, 0, 1)
        )
    )
)</f>
        <v/>
      </c>
      <c r="R399" s="385" t="str">
        <f>IFERROR(
    IF(
        OR(ISBLANK(N399), AND(ISBLANK(L399), ISBLANK(M399))),
        "",
        MAX(
            1,
            IF(
                NETWORKDAYS(IF(NOT(ISBLANK(M399)), M399, L399), N399, Holiday_Dates) &lt;= 0,
                1,
                NETWORKDAYS(IF(NOT(ISBLANK(M399)), M399, L399), N399, Holiday_Dates)
                - IF(IF(NOT(ISBLANK(M399)), M399, L399) = N399, 0, 1)
            )
        )
    ),
    ""
)</f>
        <v/>
      </c>
      <c r="S399" s="385" t="str">
        <f>IFERROR(
    IF(
        OR(ISBLANK(N399), ISBLANK(O399)),
        "",
        MAX(
            1,
            IF(
                NETWORKDAYS(N399, O399, Holiday_Dates) &lt;= 0,
                1,
                NETWORKDAYS(N399, O399, Holiday_Dates) - IF(N399 = O399, 0, 1)
            )
        )
    ),
    ""
)</f>
        <v/>
      </c>
      <c r="T399" s="385"/>
      <c r="U399" s="385" t="s">
        <v>4</v>
      </c>
      <c r="V399" s="385" t="s">
        <v>108</v>
      </c>
      <c r="W399" s="385" t="s">
        <v>1436</v>
      </c>
      <c r="X399" s="1"/>
    </row>
    <row r="400" spans="1:24">
      <c r="A400" s="385" t="s">
        <v>49</v>
      </c>
      <c r="B400" s="385" t="s">
        <v>488</v>
      </c>
      <c r="C400" s="385" t="s">
        <v>2181</v>
      </c>
      <c r="D400" s="385" t="s">
        <v>88</v>
      </c>
      <c r="E400" s="385"/>
      <c r="F400" s="385"/>
      <c r="G400" s="385"/>
      <c r="H400" s="385">
        <v>2025</v>
      </c>
      <c r="I400" s="386">
        <v>45881</v>
      </c>
      <c r="J400" s="30" t="s">
        <v>4701</v>
      </c>
      <c r="K400" s="385"/>
      <c r="L400" s="385"/>
      <c r="M400" s="385"/>
      <c r="N400" s="385"/>
      <c r="O400" s="385"/>
      <c r="P400" s="385" t="str">
        <f>IFERROR(
    IF(
        OR(ISBLANK(I400), ISBLANK(L400)),
        "",
        MAX(
            1,
            IF(
                NETWORKDAYS(I400, L400, Holiday_Dates) &lt;= 0,
                1,
                NETWORKDAYS(I400, L400, Holiday_Dates) - IF(I400 = L400, 0, 1)
            )
        )
    ),
    ""
)</f>
        <v/>
      </c>
      <c r="Q400" s="385" t="str">
        <f>IF(
    OR(ISBLANK(L400), ISBLANK(M400)),
    "",
    MAX(
        1,
        IF(
            NETWORKDAYS(L400, M400, Holiday_Dates) &lt;= 0,
            1,
            NETWORKDAYS(L400, M400, Holiday_Dates) - IF(L400 = M400, 0, 1)
        )
    )
)</f>
        <v/>
      </c>
      <c r="R400" s="385" t="str">
        <f>IFERROR(
    IF(
        OR(ISBLANK(N400), AND(ISBLANK(L400), ISBLANK(M400))),
        "",
        MAX(
            1,
            IF(
                NETWORKDAYS(IF(NOT(ISBLANK(M400)), M400, L400), N400, Holiday_Dates) &lt;= 0,
                1,
                NETWORKDAYS(IF(NOT(ISBLANK(M400)), M400, L400), N400, Holiday_Dates)
                - IF(IF(NOT(ISBLANK(M400)), M400, L400) = N400, 0, 1)
            )
        )
    ),
    ""
)</f>
        <v/>
      </c>
      <c r="S400" s="385" t="str">
        <f>IFERROR(
    IF(
        OR(ISBLANK(N400), ISBLANK(O400)),
        "",
        MAX(
            1,
            IF(
                NETWORKDAYS(N400, O400, Holiday_Dates) &lt;= 0,
                1,
                NETWORKDAYS(N400, O400, Holiday_Dates) - IF(N400 = O400, 0, 1)
            )
        )
    ),
    ""
)</f>
        <v/>
      </c>
      <c r="T400" s="385"/>
      <c r="U400" s="385" t="s">
        <v>4</v>
      </c>
      <c r="V400" s="385" t="s">
        <v>101</v>
      </c>
      <c r="W400" s="385" t="s">
        <v>1436</v>
      </c>
      <c r="X400" s="1"/>
    </row>
    <row r="401" spans="1:24">
      <c r="A401" s="385" t="s">
        <v>49</v>
      </c>
      <c r="B401" s="385" t="s">
        <v>488</v>
      </c>
      <c r="C401" s="385" t="s">
        <v>2202</v>
      </c>
      <c r="D401" s="385" t="s">
        <v>88</v>
      </c>
      <c r="E401" s="385"/>
      <c r="F401" s="385"/>
      <c r="G401" s="385"/>
      <c r="H401" s="385">
        <v>2025</v>
      </c>
      <c r="I401" s="386">
        <v>45912</v>
      </c>
      <c r="J401" s="30" t="s">
        <v>4702</v>
      </c>
      <c r="K401" s="385"/>
      <c r="L401" s="385"/>
      <c r="M401" s="385"/>
      <c r="N401" s="385"/>
      <c r="O401" s="385"/>
      <c r="P401" s="385" t="str">
        <f>IFERROR(
    IF(
        OR(ISBLANK(I401), ISBLANK(L401)),
        "",
        MAX(
            1,
            IF(
                NETWORKDAYS(I401, L401, Holiday_Dates) &lt;= 0,
                1,
                NETWORKDAYS(I401, L401, Holiday_Dates) - IF(I401 = L401, 0, 1)
            )
        )
    ),
    ""
)</f>
        <v/>
      </c>
      <c r="Q401" s="385" t="str">
        <f>IF(
    OR(ISBLANK(L401), ISBLANK(M401)),
    "",
    MAX(
        1,
        IF(
            NETWORKDAYS(L401, M401, Holiday_Dates) &lt;= 0,
            1,
            NETWORKDAYS(L401, M401, Holiday_Dates) - IF(L401 = M401, 0, 1)
        )
    )
)</f>
        <v/>
      </c>
      <c r="R401" s="385" t="str">
        <f>IFERROR(
    IF(
        OR(ISBLANK(N401), AND(ISBLANK(L401), ISBLANK(M401))),
        "",
        MAX(
            1,
            IF(
                NETWORKDAYS(IF(NOT(ISBLANK(M401)), M401, L401), N401, Holiday_Dates) &lt;= 0,
                1,
                NETWORKDAYS(IF(NOT(ISBLANK(M401)), M401, L401), N401, Holiday_Dates)
                - IF(IF(NOT(ISBLANK(M401)), M401, L401) = N401, 0, 1)
            )
        )
    ),
    ""
)</f>
        <v/>
      </c>
      <c r="S401" s="385" t="str">
        <f>IFERROR(
    IF(
        OR(ISBLANK(N401), ISBLANK(O401)),
        "",
        MAX(
            1,
            IF(
                NETWORKDAYS(N401, O401, Holiday_Dates) &lt;= 0,
                1,
                NETWORKDAYS(N401, O401, Holiday_Dates) - IF(N401 = O401, 0, 1)
            )
        )
    ),
    ""
)</f>
        <v/>
      </c>
      <c r="T401" s="385"/>
      <c r="U401" s="385" t="s">
        <v>672</v>
      </c>
      <c r="V401" s="385" t="s">
        <v>1676</v>
      </c>
      <c r="W401" s="385" t="s">
        <v>1436</v>
      </c>
      <c r="X401" s="1"/>
    </row>
    <row r="402" spans="1:24">
      <c r="A402" s="385" t="s">
        <v>49</v>
      </c>
      <c r="B402" s="385" t="s">
        <v>488</v>
      </c>
      <c r="C402" s="385" t="s">
        <v>1656</v>
      </c>
      <c r="D402" s="385" t="s">
        <v>88</v>
      </c>
      <c r="E402" s="385"/>
      <c r="F402" s="385"/>
      <c r="G402" s="385"/>
      <c r="H402" s="385">
        <v>2025</v>
      </c>
      <c r="I402" s="386">
        <v>45912</v>
      </c>
      <c r="J402" s="30" t="s">
        <v>4703</v>
      </c>
      <c r="K402" s="385"/>
      <c r="L402" s="385"/>
      <c r="M402" s="385"/>
      <c r="N402" s="385"/>
      <c r="O402" s="385"/>
      <c r="P402" s="385" t="str">
        <f>IFERROR(
    IF(
        OR(ISBLANK(I402), ISBLANK(L402)),
        "",
        MAX(
            1,
            IF(
                NETWORKDAYS(I402, L402, Holiday_Dates) &lt;= 0,
                1,
                NETWORKDAYS(I402, L402, Holiday_Dates) - IF(I402 = L402, 0, 1)
            )
        )
    ),
    ""
)</f>
        <v/>
      </c>
      <c r="Q402" s="385" t="str">
        <f>IF(
    OR(ISBLANK(L402), ISBLANK(M402)),
    "",
    MAX(
        1,
        IF(
            NETWORKDAYS(L402, M402, Holiday_Dates) &lt;= 0,
            1,
            NETWORKDAYS(L402, M402, Holiday_Dates) - IF(L402 = M402, 0, 1)
        )
    )
)</f>
        <v/>
      </c>
      <c r="R402" s="385" t="str">
        <f>IFERROR(
    IF(
        OR(ISBLANK(N402), AND(ISBLANK(L402), ISBLANK(M402))),
        "",
        MAX(
            1,
            IF(
                NETWORKDAYS(IF(NOT(ISBLANK(M402)), M402, L402), N402, Holiday_Dates) &lt;= 0,
                1,
                NETWORKDAYS(IF(NOT(ISBLANK(M402)), M402, L402), N402, Holiday_Dates)
                - IF(IF(NOT(ISBLANK(M402)), M402, L402) = N402, 0, 1)
            )
        )
    ),
    ""
)</f>
        <v/>
      </c>
      <c r="S402" s="385" t="str">
        <f>IFERROR(
    IF(
        OR(ISBLANK(N402), ISBLANK(O402)),
        "",
        MAX(
            1,
            IF(
                NETWORKDAYS(N402, O402, Holiday_Dates) &lt;= 0,
                1,
                NETWORKDAYS(N402, O402, Holiday_Dates) - IF(N402 = O402, 0, 1)
            )
        )
    ),
    ""
)</f>
        <v/>
      </c>
      <c r="T402" s="385"/>
      <c r="U402" s="385" t="s">
        <v>672</v>
      </c>
      <c r="V402" s="385" t="s">
        <v>1676</v>
      </c>
      <c r="W402" s="385" t="s">
        <v>1436</v>
      </c>
      <c r="X402" s="1"/>
    </row>
    <row r="403" spans="1:24">
      <c r="A403" s="385" t="s">
        <v>49</v>
      </c>
      <c r="B403" s="385" t="s">
        <v>488</v>
      </c>
      <c r="C403" s="385" t="s">
        <v>1950</v>
      </c>
      <c r="D403" s="385" t="s">
        <v>88</v>
      </c>
      <c r="E403" s="385"/>
      <c r="F403" s="385"/>
      <c r="G403" s="385"/>
      <c r="H403" s="385">
        <v>2025</v>
      </c>
      <c r="I403" s="386">
        <v>45912</v>
      </c>
      <c r="J403" s="30" t="s">
        <v>4704</v>
      </c>
      <c r="K403" s="385"/>
      <c r="L403" s="385"/>
      <c r="M403" s="385"/>
      <c r="N403" s="385"/>
      <c r="O403" s="385"/>
      <c r="P403" s="385" t="str">
        <f>IFERROR(
    IF(
        OR(ISBLANK(I403), ISBLANK(L403)),
        "",
        MAX(
            1,
            IF(
                NETWORKDAYS(I403, L403, Holiday_Dates) &lt;= 0,
                1,
                NETWORKDAYS(I403, L403, Holiday_Dates) - IF(I403 = L403, 0, 1)
            )
        )
    ),
    ""
)</f>
        <v/>
      </c>
      <c r="Q403" s="385" t="str">
        <f>IF(
    OR(ISBLANK(L403), ISBLANK(M403)),
    "",
    MAX(
        1,
        IF(
            NETWORKDAYS(L403, M403, Holiday_Dates) &lt;= 0,
            1,
            NETWORKDAYS(L403, M403, Holiday_Dates) - IF(L403 = M403, 0, 1)
        )
    )
)</f>
        <v/>
      </c>
      <c r="R403" s="385" t="str">
        <f>IFERROR(
    IF(
        OR(ISBLANK(N403), AND(ISBLANK(L403), ISBLANK(M403))),
        "",
        MAX(
            1,
            IF(
                NETWORKDAYS(IF(NOT(ISBLANK(M403)), M403, L403), N403, Holiday_Dates) &lt;= 0,
                1,
                NETWORKDAYS(IF(NOT(ISBLANK(M403)), M403, L403), N403, Holiday_Dates)
                - IF(IF(NOT(ISBLANK(M403)), M403, L403) = N403, 0, 1)
            )
        )
    ),
    ""
)</f>
        <v/>
      </c>
      <c r="S403" s="385" t="str">
        <f>IFERROR(
    IF(
        OR(ISBLANK(N403), ISBLANK(O403)),
        "",
        MAX(
            1,
            IF(
                NETWORKDAYS(N403, O403, Holiday_Dates) &lt;= 0,
                1,
                NETWORKDAYS(N403, O403, Holiday_Dates) - IF(N403 = O403, 0, 1)
            )
        )
    ),
    ""
)</f>
        <v/>
      </c>
      <c r="T403" s="385"/>
      <c r="U403" s="385" t="s">
        <v>4</v>
      </c>
      <c r="V403" s="385" t="s">
        <v>101</v>
      </c>
      <c r="W403" s="385" t="s">
        <v>1436</v>
      </c>
      <c r="X403" s="1"/>
    </row>
    <row r="404" spans="1:24">
      <c r="A404" s="385" t="s">
        <v>49</v>
      </c>
      <c r="B404" s="385" t="s">
        <v>488</v>
      </c>
      <c r="C404" s="385" t="s">
        <v>2203</v>
      </c>
      <c r="D404" s="385" t="s">
        <v>88</v>
      </c>
      <c r="E404" s="385"/>
      <c r="F404" s="385"/>
      <c r="G404" s="385"/>
      <c r="H404" s="385">
        <v>2025</v>
      </c>
      <c r="I404" s="386">
        <v>45881</v>
      </c>
      <c r="J404" s="30" t="s">
        <v>4705</v>
      </c>
      <c r="K404" s="385"/>
      <c r="L404" s="385"/>
      <c r="M404" s="385"/>
      <c r="N404" s="385"/>
      <c r="O404" s="385"/>
      <c r="P404" s="385" t="str">
        <f>IFERROR(
    IF(
        OR(ISBLANK(I404), ISBLANK(L404)),
        "",
        MAX(
            1,
            IF(
                NETWORKDAYS(I404, L404, Holiday_Dates) &lt;= 0,
                1,
                NETWORKDAYS(I404, L404, Holiday_Dates) - IF(I404 = L404, 0, 1)
            )
        )
    ),
    ""
)</f>
        <v/>
      </c>
      <c r="Q404" s="385" t="str">
        <f>IF(
    OR(ISBLANK(L404), ISBLANK(M404)),
    "",
    MAX(
        1,
        IF(
            NETWORKDAYS(L404, M404, Holiday_Dates) &lt;= 0,
            1,
            NETWORKDAYS(L404, M404, Holiday_Dates) - IF(L404 = M404, 0, 1)
        )
    )
)</f>
        <v/>
      </c>
      <c r="R404" s="385" t="str">
        <f>IFERROR(
    IF(
        OR(ISBLANK(N404), AND(ISBLANK(L404), ISBLANK(M404))),
        "",
        MAX(
            1,
            IF(
                NETWORKDAYS(IF(NOT(ISBLANK(M404)), M404, L404), N404, Holiday_Dates) &lt;= 0,
                1,
                NETWORKDAYS(IF(NOT(ISBLANK(M404)), M404, L404), N404, Holiday_Dates)
                - IF(IF(NOT(ISBLANK(M404)), M404, L404) = N404, 0, 1)
            )
        )
    ),
    ""
)</f>
        <v/>
      </c>
      <c r="S404" s="385" t="str">
        <f>IFERROR(
    IF(
        OR(ISBLANK(N404), ISBLANK(O404)),
        "",
        MAX(
            1,
            IF(
                NETWORKDAYS(N404, O404, Holiday_Dates) &lt;= 0,
                1,
                NETWORKDAYS(N404, O404, Holiday_Dates) - IF(N404 = O404, 0, 1)
            )
        )
    ),
    ""
)</f>
        <v/>
      </c>
      <c r="T404" s="385"/>
      <c r="U404" s="385" t="s">
        <v>4</v>
      </c>
      <c r="V404" s="385" t="s">
        <v>108</v>
      </c>
      <c r="W404" s="385" t="s">
        <v>1436</v>
      </c>
      <c r="X404" s="1"/>
    </row>
    <row r="405" spans="1:24">
      <c r="A405" s="385" t="s">
        <v>49</v>
      </c>
      <c r="B405" s="385" t="s">
        <v>488</v>
      </c>
      <c r="C405" s="385" t="s">
        <v>2204</v>
      </c>
      <c r="D405" s="385" t="s">
        <v>88</v>
      </c>
      <c r="E405" s="385"/>
      <c r="F405" s="385"/>
      <c r="G405" s="385"/>
      <c r="H405" s="385">
        <v>2025</v>
      </c>
      <c r="I405" s="386">
        <v>45881</v>
      </c>
      <c r="J405" s="30" t="s">
        <v>4706</v>
      </c>
      <c r="K405" s="385"/>
      <c r="L405" s="385"/>
      <c r="M405" s="385"/>
      <c r="N405" s="385"/>
      <c r="O405" s="385"/>
      <c r="P405" s="385" t="str">
        <f>IFERROR(
    IF(
        OR(ISBLANK(I405), ISBLANK(L405)),
        "",
        MAX(
            1,
            IF(
                NETWORKDAYS(I405, L405, Holiday_Dates) &lt;= 0,
                1,
                NETWORKDAYS(I405, L405, Holiday_Dates) - IF(I405 = L405, 0, 1)
            )
        )
    ),
    ""
)</f>
        <v/>
      </c>
      <c r="Q405" s="385" t="str">
        <f>IF(
    OR(ISBLANK(L405), ISBLANK(M405)),
    "",
    MAX(
        1,
        IF(
            NETWORKDAYS(L405, M405, Holiday_Dates) &lt;= 0,
            1,
            NETWORKDAYS(L405, M405, Holiday_Dates) - IF(L405 = M405, 0, 1)
        )
    )
)</f>
        <v/>
      </c>
      <c r="R405" s="385" t="str">
        <f>IFERROR(
    IF(
        OR(ISBLANK(N405), AND(ISBLANK(L405), ISBLANK(M405))),
        "",
        MAX(
            1,
            IF(
                NETWORKDAYS(IF(NOT(ISBLANK(M405)), M405, L405), N405, Holiday_Dates) &lt;= 0,
                1,
                NETWORKDAYS(IF(NOT(ISBLANK(M405)), M405, L405), N405, Holiday_Dates)
                - IF(IF(NOT(ISBLANK(M405)), M405, L405) = N405, 0, 1)
            )
        )
    ),
    ""
)</f>
        <v/>
      </c>
      <c r="S405" s="385" t="str">
        <f>IFERROR(
    IF(
        OR(ISBLANK(N405), ISBLANK(O405)),
        "",
        MAX(
            1,
            IF(
                NETWORKDAYS(N405, O405, Holiday_Dates) &lt;= 0,
                1,
                NETWORKDAYS(N405, O405, Holiday_Dates) - IF(N405 = O405, 0, 1)
            )
        )
    ),
    ""
)</f>
        <v/>
      </c>
      <c r="T405" s="385"/>
      <c r="U405" s="385" t="s">
        <v>4</v>
      </c>
      <c r="V405" s="385" t="s">
        <v>108</v>
      </c>
      <c r="W405" s="385" t="s">
        <v>1436</v>
      </c>
      <c r="X405" s="1"/>
    </row>
    <row r="406" spans="1:24">
      <c r="A406" s="385" t="s">
        <v>49</v>
      </c>
      <c r="B406" s="385" t="s">
        <v>401</v>
      </c>
      <c r="C406" s="385" t="s">
        <v>725</v>
      </c>
      <c r="D406" s="385" t="s">
        <v>88</v>
      </c>
      <c r="E406" s="385"/>
      <c r="F406" s="385"/>
      <c r="G406" s="385"/>
      <c r="H406" s="385">
        <v>2024</v>
      </c>
      <c r="I406" s="386">
        <v>45393</v>
      </c>
      <c r="J406" s="30"/>
      <c r="K406" s="385"/>
      <c r="L406" s="385"/>
      <c r="M406" s="385"/>
      <c r="N406" s="385"/>
      <c r="O406" s="385"/>
      <c r="P406" s="385" t="str">
        <f>IFERROR(
    IF(
        OR(ISBLANK(I406), ISBLANK(L406)),
        "",
        MAX(
            1,
            IF(
                NETWORKDAYS(I406, L406, Holiday_Dates) &lt;= 0,
                1,
                NETWORKDAYS(I406, L406, Holiday_Dates) - IF(I406 = L406, 0, 1)
            )
        )
    ),
    ""
)</f>
        <v/>
      </c>
      <c r="Q406" s="385" t="str">
        <f>IF(
    OR(ISBLANK(L406), ISBLANK(M406)),
    "",
    MAX(
        1,
        IF(
            NETWORKDAYS(L406, M406, Holiday_Dates) &lt;= 0,
            1,
            NETWORKDAYS(L406, M406, Holiday_Dates) - IF(L406 = M406, 0, 1)
        )
    )
)</f>
        <v/>
      </c>
      <c r="R406" s="385" t="str">
        <f>IFERROR(
    IF(
        OR(ISBLANK(N406), AND(ISBLANK(L406), ISBLANK(M406))),
        "",
        MAX(
            1,
            IF(
                NETWORKDAYS(IF(NOT(ISBLANK(M406)), M406, L406), N406, Holiday_Dates) &lt;= 0,
                1,
                NETWORKDAYS(IF(NOT(ISBLANK(M406)), M406, L406), N406, Holiday_Dates)
                - IF(IF(NOT(ISBLANK(M406)), M406, L406) = N406, 0, 1)
            )
        )
    ),
    ""
)</f>
        <v/>
      </c>
      <c r="S406" s="385" t="str">
        <f>IFERROR(
    IF(
        OR(ISBLANK(N406), ISBLANK(O406)),
        "",
        MAX(
            1,
            IF(
                NETWORKDAYS(N406, O406, Holiday_Dates) &lt;= 0,
                1,
                NETWORKDAYS(N406, O406, Holiday_Dates) - IF(N406 = O406, 0, 1)
            )
        )
    ),
    ""
)</f>
        <v/>
      </c>
      <c r="T406" s="385"/>
      <c r="U406" s="385" t="s">
        <v>672</v>
      </c>
      <c r="V406" s="385"/>
      <c r="W406" s="385" t="s">
        <v>1436</v>
      </c>
      <c r="X406" s="1"/>
    </row>
    <row r="407" spans="1:24">
      <c r="A407" s="385" t="s">
        <v>49</v>
      </c>
      <c r="B407" s="385" t="s">
        <v>401</v>
      </c>
      <c r="C407" s="385" t="s">
        <v>2205</v>
      </c>
      <c r="D407" s="385" t="s">
        <v>88</v>
      </c>
      <c r="E407" s="385"/>
      <c r="F407" s="385"/>
      <c r="G407" s="385"/>
      <c r="H407" s="385">
        <v>2024</v>
      </c>
      <c r="I407" s="386">
        <v>45393</v>
      </c>
      <c r="J407" s="30"/>
      <c r="K407" s="385"/>
      <c r="L407" s="385"/>
      <c r="M407" s="385"/>
      <c r="N407" s="385"/>
      <c r="O407" s="385"/>
      <c r="P407" s="385" t="str">
        <f>IFERROR(
    IF(
        OR(ISBLANK(I407), ISBLANK(L407)),
        "",
        MAX(
            1,
            IF(
                NETWORKDAYS(I407, L407, Holiday_Dates) &lt;= 0,
                1,
                NETWORKDAYS(I407, L407, Holiday_Dates) - IF(I407 = L407, 0, 1)
            )
        )
    ),
    ""
)</f>
        <v/>
      </c>
      <c r="Q407" s="385" t="str">
        <f>IF(
    OR(ISBLANK(L407), ISBLANK(M407)),
    "",
    MAX(
        1,
        IF(
            NETWORKDAYS(L407, M407, Holiday_Dates) &lt;= 0,
            1,
            NETWORKDAYS(L407, M407, Holiday_Dates) - IF(L407 = M407, 0, 1)
        )
    )
)</f>
        <v/>
      </c>
      <c r="R407" s="385" t="str">
        <f>IFERROR(
    IF(
        OR(ISBLANK(N407), AND(ISBLANK(L407), ISBLANK(M407))),
        "",
        MAX(
            1,
            IF(
                NETWORKDAYS(IF(NOT(ISBLANK(M407)), M407, L407), N407, Holiday_Dates) &lt;= 0,
                1,
                NETWORKDAYS(IF(NOT(ISBLANK(M407)), M407, L407), N407, Holiday_Dates)
                - IF(IF(NOT(ISBLANK(M407)), M407, L407) = N407, 0, 1)
            )
        )
    ),
    ""
)</f>
        <v/>
      </c>
      <c r="S407" s="385" t="str">
        <f>IFERROR(
    IF(
        OR(ISBLANK(N407), ISBLANK(O407)),
        "",
        MAX(
            1,
            IF(
                NETWORKDAYS(N407, O407, Holiday_Dates) &lt;= 0,
                1,
                NETWORKDAYS(N407, O407, Holiday_Dates) - IF(N407 = O407, 0, 1)
            )
        )
    ),
    ""
)</f>
        <v/>
      </c>
      <c r="T407" s="385"/>
      <c r="U407" s="385" t="s">
        <v>672</v>
      </c>
      <c r="V407" s="385"/>
      <c r="W407" s="385" t="s">
        <v>1436</v>
      </c>
      <c r="X407" s="1"/>
    </row>
    <row r="408" spans="1:24">
      <c r="A408" s="385" t="s">
        <v>49</v>
      </c>
      <c r="B408" s="385" t="s">
        <v>401</v>
      </c>
      <c r="C408" s="385" t="s">
        <v>1064</v>
      </c>
      <c r="D408" s="385" t="s">
        <v>88</v>
      </c>
      <c r="E408" s="385"/>
      <c r="F408" s="385"/>
      <c r="G408" s="385"/>
      <c r="H408" s="385">
        <v>2024</v>
      </c>
      <c r="I408" s="386">
        <v>45393</v>
      </c>
      <c r="J408" s="30"/>
      <c r="K408" s="385"/>
      <c r="L408" s="385"/>
      <c r="M408" s="385"/>
      <c r="N408" s="385"/>
      <c r="O408" s="385"/>
      <c r="P408" s="385" t="str">
        <f>IFERROR(
    IF(
        OR(ISBLANK(I408), ISBLANK(L408)),
        "",
        MAX(
            1,
            IF(
                NETWORKDAYS(I408, L408, Holiday_Dates) &lt;= 0,
                1,
                NETWORKDAYS(I408, L408, Holiday_Dates) - IF(I408 = L408, 0, 1)
            )
        )
    ),
    ""
)</f>
        <v/>
      </c>
      <c r="Q408" s="385" t="str">
        <f>IF(
    OR(ISBLANK(L408), ISBLANK(M408)),
    "",
    MAX(
        1,
        IF(
            NETWORKDAYS(L408, M408, Holiday_Dates) &lt;= 0,
            1,
            NETWORKDAYS(L408, M408, Holiday_Dates) - IF(L408 = M408, 0, 1)
        )
    )
)</f>
        <v/>
      </c>
      <c r="R408" s="385" t="str">
        <f>IFERROR(
    IF(
        OR(ISBLANK(N408), AND(ISBLANK(L408), ISBLANK(M408))),
        "",
        MAX(
            1,
            IF(
                NETWORKDAYS(IF(NOT(ISBLANK(M408)), M408, L408), N408, Holiday_Dates) &lt;= 0,
                1,
                NETWORKDAYS(IF(NOT(ISBLANK(M408)), M408, L408), N408, Holiday_Dates)
                - IF(IF(NOT(ISBLANK(M408)), M408, L408) = N408, 0, 1)
            )
        )
    ),
    ""
)</f>
        <v/>
      </c>
      <c r="S408" s="385" t="str">
        <f>IFERROR(
    IF(
        OR(ISBLANK(N408), ISBLANK(O408)),
        "",
        MAX(
            1,
            IF(
                NETWORKDAYS(N408, O408, Holiday_Dates) &lt;= 0,
                1,
                NETWORKDAYS(N408, O408, Holiday_Dates) - IF(N408 = O408, 0, 1)
            )
        )
    ),
    ""
)</f>
        <v/>
      </c>
      <c r="T408" s="385"/>
      <c r="U408" s="385" t="s">
        <v>672</v>
      </c>
      <c r="V408" s="385"/>
      <c r="W408" s="385" t="s">
        <v>1436</v>
      </c>
      <c r="X408" s="1"/>
    </row>
    <row r="409" spans="1:24">
      <c r="A409" s="385" t="s">
        <v>49</v>
      </c>
      <c r="B409" s="385" t="s">
        <v>401</v>
      </c>
      <c r="C409" s="385" t="s">
        <v>1039</v>
      </c>
      <c r="D409" s="385" t="s">
        <v>88</v>
      </c>
      <c r="E409" s="385"/>
      <c r="F409" s="385"/>
      <c r="G409" s="385"/>
      <c r="H409" s="385">
        <v>2024</v>
      </c>
      <c r="I409" s="386">
        <v>45394</v>
      </c>
      <c r="J409" s="30"/>
      <c r="K409" s="385"/>
      <c r="L409" s="385"/>
      <c r="M409" s="385"/>
      <c r="N409" s="385"/>
      <c r="O409" s="385"/>
      <c r="P409" s="385" t="str">
        <f>IFERROR(
    IF(
        OR(ISBLANK(I409), ISBLANK(L409)),
        "",
        MAX(
            1,
            IF(
                NETWORKDAYS(I409, L409, Holiday_Dates) &lt;= 0,
                1,
                NETWORKDAYS(I409, L409, Holiday_Dates) - IF(I409 = L409, 0, 1)
            )
        )
    ),
    ""
)</f>
        <v/>
      </c>
      <c r="Q409" s="385" t="str">
        <f>IF(
    OR(ISBLANK(L409), ISBLANK(M409)),
    "",
    MAX(
        1,
        IF(
            NETWORKDAYS(L409, M409, Holiday_Dates) &lt;= 0,
            1,
            NETWORKDAYS(L409, M409, Holiday_Dates) - IF(L409 = M409, 0, 1)
        )
    )
)</f>
        <v/>
      </c>
      <c r="R409" s="385" t="str">
        <f>IFERROR(
    IF(
        OR(ISBLANK(N409), AND(ISBLANK(L409), ISBLANK(M409))),
        "",
        MAX(
            1,
            IF(
                NETWORKDAYS(IF(NOT(ISBLANK(M409)), M409, L409), N409, Holiday_Dates) &lt;= 0,
                1,
                NETWORKDAYS(IF(NOT(ISBLANK(M409)), M409, L409), N409, Holiday_Dates)
                - IF(IF(NOT(ISBLANK(M409)), M409, L409) = N409, 0, 1)
            )
        )
    ),
    ""
)</f>
        <v/>
      </c>
      <c r="S409" s="385" t="str">
        <f>IFERROR(
    IF(
        OR(ISBLANK(N409), ISBLANK(O409)),
        "",
        MAX(
            1,
            IF(
                NETWORKDAYS(N409, O409, Holiday_Dates) &lt;= 0,
                1,
                NETWORKDAYS(N409, O409, Holiday_Dates) - IF(N409 = O409, 0, 1)
            )
        )
    ),
    ""
)</f>
        <v/>
      </c>
      <c r="T409" s="385"/>
      <c r="U409" s="385" t="s">
        <v>672</v>
      </c>
      <c r="V409" s="385"/>
      <c r="W409" s="385" t="s">
        <v>1436</v>
      </c>
      <c r="X409" s="1"/>
    </row>
    <row r="410" spans="1:24">
      <c r="A410" s="385" t="s">
        <v>49</v>
      </c>
      <c r="B410" s="385" t="s">
        <v>401</v>
      </c>
      <c r="C410" s="385" t="s">
        <v>2211</v>
      </c>
      <c r="D410" s="385" t="s">
        <v>88</v>
      </c>
      <c r="E410" s="385"/>
      <c r="F410" s="385"/>
      <c r="G410" s="385"/>
      <c r="H410" s="385">
        <v>2024</v>
      </c>
      <c r="I410" s="386">
        <v>45394</v>
      </c>
      <c r="J410" s="30"/>
      <c r="K410" s="385"/>
      <c r="L410" s="385"/>
      <c r="M410" s="385"/>
      <c r="N410" s="385"/>
      <c r="O410" s="385"/>
      <c r="P410" s="385" t="str">
        <f>IFERROR(
    IF(
        OR(ISBLANK(I410), ISBLANK(L410)),
        "",
        MAX(
            1,
            IF(
                NETWORKDAYS(I410, L410, Holiday_Dates) &lt;= 0,
                1,
                NETWORKDAYS(I410, L410, Holiday_Dates) - IF(I410 = L410, 0, 1)
            )
        )
    ),
    ""
)</f>
        <v/>
      </c>
      <c r="Q410" s="385" t="str">
        <f>IF(
    OR(ISBLANK(L410), ISBLANK(M410)),
    "",
    MAX(
        1,
        IF(
            NETWORKDAYS(L410, M410, Holiday_Dates) &lt;= 0,
            1,
            NETWORKDAYS(L410, M410, Holiday_Dates) - IF(L410 = M410, 0, 1)
        )
    )
)</f>
        <v/>
      </c>
      <c r="R410" s="385" t="str">
        <f>IFERROR(
    IF(
        OR(ISBLANK(N410), AND(ISBLANK(L410), ISBLANK(M410))),
        "",
        MAX(
            1,
            IF(
                NETWORKDAYS(IF(NOT(ISBLANK(M410)), M410, L410), N410, Holiday_Dates) &lt;= 0,
                1,
                NETWORKDAYS(IF(NOT(ISBLANK(M410)), M410, L410), N410, Holiday_Dates)
                - IF(IF(NOT(ISBLANK(M410)), M410, L410) = N410, 0, 1)
            )
        )
    ),
    ""
)</f>
        <v/>
      </c>
      <c r="S410" s="385" t="str">
        <f>IFERROR(
    IF(
        OR(ISBLANK(N410), ISBLANK(O410)),
        "",
        MAX(
            1,
            IF(
                NETWORKDAYS(N410, O410, Holiday_Dates) &lt;= 0,
                1,
                NETWORKDAYS(N410, O410, Holiday_Dates) - IF(N410 = O410, 0, 1)
            )
        )
    ),
    ""
)</f>
        <v/>
      </c>
      <c r="T410" s="385"/>
      <c r="U410" s="385" t="s">
        <v>672</v>
      </c>
      <c r="V410" s="385"/>
      <c r="W410" s="385" t="s">
        <v>1436</v>
      </c>
      <c r="X410" s="1"/>
    </row>
    <row r="411" spans="1:24">
      <c r="A411" s="385" t="s">
        <v>49</v>
      </c>
      <c r="B411" s="385" t="s">
        <v>401</v>
      </c>
      <c r="C411" s="385" t="s">
        <v>2213</v>
      </c>
      <c r="D411" s="385" t="s">
        <v>88</v>
      </c>
      <c r="E411" s="385"/>
      <c r="F411" s="385"/>
      <c r="G411" s="385"/>
      <c r="H411" s="385">
        <v>2024</v>
      </c>
      <c r="I411" s="386">
        <v>45393</v>
      </c>
      <c r="J411" s="30"/>
      <c r="K411" s="385"/>
      <c r="L411" s="385"/>
      <c r="M411" s="385"/>
      <c r="N411" s="385"/>
      <c r="O411" s="385"/>
      <c r="P411" s="385" t="str">
        <f>IFERROR(
    IF(
        OR(ISBLANK(I411), ISBLANK(L411)),
        "",
        MAX(
            1,
            IF(
                NETWORKDAYS(I411, L411, Holiday_Dates) &lt;= 0,
                1,
                NETWORKDAYS(I411, L411, Holiday_Dates) - IF(I411 = L411, 0, 1)
            )
        )
    ),
    ""
)</f>
        <v/>
      </c>
      <c r="Q411" s="385" t="str">
        <f>IF(
    OR(ISBLANK(L411), ISBLANK(M411)),
    "",
    MAX(
        1,
        IF(
            NETWORKDAYS(L411, M411, Holiday_Dates) &lt;= 0,
            1,
            NETWORKDAYS(L411, M411, Holiday_Dates) - IF(L411 = M411, 0, 1)
        )
    )
)</f>
        <v/>
      </c>
      <c r="R411" s="385" t="str">
        <f>IFERROR(
    IF(
        OR(ISBLANK(N411), AND(ISBLANK(L411), ISBLANK(M411))),
        "",
        MAX(
            1,
            IF(
                NETWORKDAYS(IF(NOT(ISBLANK(M411)), M411, L411), N411, Holiday_Dates) &lt;= 0,
                1,
                NETWORKDAYS(IF(NOT(ISBLANK(M411)), M411, L411), N411, Holiday_Dates)
                - IF(IF(NOT(ISBLANK(M411)), M411, L411) = N411, 0, 1)
            )
        )
    ),
    ""
)</f>
        <v/>
      </c>
      <c r="S411" s="385" t="str">
        <f>IFERROR(
    IF(
        OR(ISBLANK(N411), ISBLANK(O411)),
        "",
        MAX(
            1,
            IF(
                NETWORKDAYS(N411, O411, Holiday_Dates) &lt;= 0,
                1,
                NETWORKDAYS(N411, O411, Holiday_Dates) - IF(N411 = O411, 0, 1)
            )
        )
    ),
    ""
)</f>
        <v/>
      </c>
      <c r="T411" s="385"/>
      <c r="U411" s="385" t="s">
        <v>672</v>
      </c>
      <c r="V411" s="385"/>
      <c r="W411" s="385" t="s">
        <v>1436</v>
      </c>
      <c r="X411" s="1"/>
    </row>
    <row r="412" spans="1:24">
      <c r="A412" s="385" t="s">
        <v>49</v>
      </c>
      <c r="B412" s="385" t="s">
        <v>401</v>
      </c>
      <c r="C412" s="385" t="s">
        <v>764</v>
      </c>
      <c r="D412" s="385" t="s">
        <v>88</v>
      </c>
      <c r="E412" s="385"/>
      <c r="F412" s="385"/>
      <c r="G412" s="385"/>
      <c r="H412" s="385">
        <v>2024</v>
      </c>
      <c r="I412" s="385" t="s">
        <v>4608</v>
      </c>
      <c r="J412" s="30"/>
      <c r="K412" s="385"/>
      <c r="L412" s="385"/>
      <c r="M412" s="385"/>
      <c r="N412" s="385"/>
      <c r="O412" s="385"/>
      <c r="P412" s="385" t="str">
        <f>IFERROR(
    IF(
        OR(ISBLANK(I412), ISBLANK(L412)),
        "",
        MAX(
            1,
            IF(
                NETWORKDAYS(I412, L412, Holiday_Dates) &lt;= 0,
                1,
                NETWORKDAYS(I412, L412, Holiday_Dates) - IF(I412 = L412, 0, 1)
            )
        )
    ),
    ""
)</f>
        <v/>
      </c>
      <c r="Q412" s="385" t="str">
        <f>IF(
    OR(ISBLANK(L412), ISBLANK(M412)),
    "",
    MAX(
        1,
        IF(
            NETWORKDAYS(L412, M412, Holiday_Dates) &lt;= 0,
            1,
            NETWORKDAYS(L412, M412, Holiday_Dates) - IF(L412 = M412, 0, 1)
        )
    )
)</f>
        <v/>
      </c>
      <c r="R412" s="385" t="str">
        <f>IFERROR(
    IF(
        OR(ISBLANK(N412), AND(ISBLANK(L412), ISBLANK(M412))),
        "",
        MAX(
            1,
            IF(
                NETWORKDAYS(IF(NOT(ISBLANK(M412)), M412, L412), N412, Holiday_Dates) &lt;= 0,
                1,
                NETWORKDAYS(IF(NOT(ISBLANK(M412)), M412, L412), N412, Holiday_Dates)
                - IF(IF(NOT(ISBLANK(M412)), M412, L412) = N412, 0, 1)
            )
        )
    ),
    ""
)</f>
        <v/>
      </c>
      <c r="S412" s="385" t="str">
        <f>IFERROR(
    IF(
        OR(ISBLANK(N412), ISBLANK(O412)),
        "",
        MAX(
            1,
            IF(
                NETWORKDAYS(N412, O412, Holiday_Dates) &lt;= 0,
                1,
                NETWORKDAYS(N412, O412, Holiday_Dates) - IF(N412 = O412, 0, 1)
            )
        )
    ),
    ""
)</f>
        <v/>
      </c>
      <c r="T412" s="385"/>
      <c r="U412" s="385" t="s">
        <v>672</v>
      </c>
      <c r="V412" s="385"/>
      <c r="W412" s="385" t="s">
        <v>1436</v>
      </c>
      <c r="X412" s="1"/>
    </row>
    <row r="413" spans="1:24">
      <c r="A413" s="385" t="s">
        <v>49</v>
      </c>
      <c r="B413" s="385" t="s">
        <v>401</v>
      </c>
      <c r="C413" s="385" t="s">
        <v>627</v>
      </c>
      <c r="D413" s="385" t="s">
        <v>88</v>
      </c>
      <c r="E413" s="385"/>
      <c r="F413" s="385"/>
      <c r="G413" s="385"/>
      <c r="H413" s="385">
        <v>2024</v>
      </c>
      <c r="I413" s="386">
        <v>45393</v>
      </c>
      <c r="J413" s="30"/>
      <c r="K413" s="385"/>
      <c r="L413" s="385"/>
      <c r="M413" s="385"/>
      <c r="N413" s="385"/>
      <c r="O413" s="385"/>
      <c r="P413" s="385" t="str">
        <f>IFERROR(
    IF(
        OR(ISBLANK(I413), ISBLANK(L413)),
        "",
        MAX(
            1,
            IF(
                NETWORKDAYS(I413, L413, Holiday_Dates) &lt;= 0,
                1,
                NETWORKDAYS(I413, L413, Holiday_Dates) - IF(I413 = L413, 0, 1)
            )
        )
    ),
    ""
)</f>
        <v/>
      </c>
      <c r="Q413" s="385" t="str">
        <f>IF(
    OR(ISBLANK(L413), ISBLANK(M413)),
    "",
    MAX(
        1,
        IF(
            NETWORKDAYS(L413, M413, Holiday_Dates) &lt;= 0,
            1,
            NETWORKDAYS(L413, M413, Holiday_Dates) - IF(L413 = M413, 0, 1)
        )
    )
)</f>
        <v/>
      </c>
      <c r="R413" s="385" t="str">
        <f>IFERROR(
    IF(
        OR(ISBLANK(N413), AND(ISBLANK(L413), ISBLANK(M413))),
        "",
        MAX(
            1,
            IF(
                NETWORKDAYS(IF(NOT(ISBLANK(M413)), M413, L413), N413, Holiday_Dates) &lt;= 0,
                1,
                NETWORKDAYS(IF(NOT(ISBLANK(M413)), M413, L413), N413, Holiday_Dates)
                - IF(IF(NOT(ISBLANK(M413)), M413, L413) = N413, 0, 1)
            )
        )
    ),
    ""
)</f>
        <v/>
      </c>
      <c r="S413" s="385" t="str">
        <f>IFERROR(
    IF(
        OR(ISBLANK(N413), ISBLANK(O413)),
        "",
        MAX(
            1,
            IF(
                NETWORKDAYS(N413, O413, Holiday_Dates) &lt;= 0,
                1,
                NETWORKDAYS(N413, O413, Holiday_Dates) - IF(N413 = O413, 0, 1)
            )
        )
    ),
    ""
)</f>
        <v/>
      </c>
      <c r="T413" s="385"/>
      <c r="U413" s="385" t="s">
        <v>672</v>
      </c>
      <c r="V413" s="385"/>
      <c r="W413" s="385" t="s">
        <v>1436</v>
      </c>
      <c r="X413" s="1"/>
    </row>
    <row r="414" spans="1:24">
      <c r="A414" s="385" t="s">
        <v>49</v>
      </c>
      <c r="B414" s="385" t="s">
        <v>401</v>
      </c>
      <c r="C414" s="385" t="s">
        <v>1719</v>
      </c>
      <c r="D414" s="385" t="s">
        <v>88</v>
      </c>
      <c r="E414" s="385"/>
      <c r="F414" s="385"/>
      <c r="G414" s="385"/>
      <c r="H414" s="385">
        <v>2024</v>
      </c>
      <c r="I414" s="386">
        <v>45394</v>
      </c>
      <c r="J414" s="30"/>
      <c r="K414" s="385"/>
      <c r="L414" s="385"/>
      <c r="M414" s="385"/>
      <c r="N414" s="385"/>
      <c r="O414" s="385"/>
      <c r="P414" s="385" t="str">
        <f>IFERROR(
    IF(
        OR(ISBLANK(I414), ISBLANK(L414)),
        "",
        MAX(
            1,
            IF(
                NETWORKDAYS(I414, L414, Holiday_Dates) &lt;= 0,
                1,
                NETWORKDAYS(I414, L414, Holiday_Dates) - IF(I414 = L414, 0, 1)
            )
        )
    ),
    ""
)</f>
        <v/>
      </c>
      <c r="Q414" s="385" t="str">
        <f>IF(
    OR(ISBLANK(L414), ISBLANK(M414)),
    "",
    MAX(
        1,
        IF(
            NETWORKDAYS(L414, M414, Holiday_Dates) &lt;= 0,
            1,
            NETWORKDAYS(L414, M414, Holiday_Dates) - IF(L414 = M414, 0, 1)
        )
    )
)</f>
        <v/>
      </c>
      <c r="R414" s="385" t="str">
        <f>IFERROR(
    IF(
        OR(ISBLANK(N414), AND(ISBLANK(L414), ISBLANK(M414))),
        "",
        MAX(
            1,
            IF(
                NETWORKDAYS(IF(NOT(ISBLANK(M414)), M414, L414), N414, Holiday_Dates) &lt;= 0,
                1,
                NETWORKDAYS(IF(NOT(ISBLANK(M414)), M414, L414), N414, Holiday_Dates)
                - IF(IF(NOT(ISBLANK(M414)), M414, L414) = N414, 0, 1)
            )
        )
    ),
    ""
)</f>
        <v/>
      </c>
      <c r="S414" s="385" t="str">
        <f>IFERROR(
    IF(
        OR(ISBLANK(N414), ISBLANK(O414)),
        "",
        MAX(
            1,
            IF(
                NETWORKDAYS(N414, O414, Holiday_Dates) &lt;= 0,
                1,
                NETWORKDAYS(N414, O414, Holiday_Dates) - IF(N414 = O414, 0, 1)
            )
        )
    ),
    ""
)</f>
        <v/>
      </c>
      <c r="T414" s="385"/>
      <c r="U414" s="385" t="s">
        <v>672</v>
      </c>
      <c r="V414" s="385"/>
      <c r="W414" s="385" t="s">
        <v>1436</v>
      </c>
      <c r="X414" s="1"/>
    </row>
    <row r="415" spans="1:24">
      <c r="A415" s="385" t="s">
        <v>49</v>
      </c>
      <c r="B415" s="385" t="s">
        <v>492</v>
      </c>
      <c r="C415" s="385" t="s">
        <v>1039</v>
      </c>
      <c r="D415" s="385" t="s">
        <v>88</v>
      </c>
      <c r="E415" s="385" t="s">
        <v>134</v>
      </c>
      <c r="F415" s="385"/>
      <c r="G415" s="385" t="s">
        <v>128</v>
      </c>
      <c r="H415" s="385">
        <v>2026</v>
      </c>
      <c r="I415" s="386">
        <v>46037</v>
      </c>
      <c r="J415" s="529" t="s">
        <v>4707</v>
      </c>
      <c r="K415" s="385" t="s">
        <v>92</v>
      </c>
      <c r="L415" s="386">
        <v>46038</v>
      </c>
      <c r="M415" s="385"/>
      <c r="N415" s="386">
        <v>46042</v>
      </c>
      <c r="O415" s="386">
        <v>46043</v>
      </c>
      <c r="P415" s="385">
        <f>IFERROR(
    IF(
        OR(ISBLANK(I415), ISBLANK(L415)),
        "",
        MAX(
            1,
            IF(
                NETWORKDAYS(I415, L415, Holiday_Dates) &lt;= 0,
                1,
                NETWORKDAYS(I415, L415, Holiday_Dates) - IF(I415 = L415, 0, 1)
            )
        )
    ),
    ""
)</f>
        <v>1</v>
      </c>
      <c r="Q415" s="385" t="str">
        <f>IF(
    OR(ISBLANK(L415), ISBLANK(M415)),
    "",
    MAX(
        1,
        IF(
            NETWORKDAYS(L415, M415, Holiday_Dates) &lt;= 0,
            1,
            NETWORKDAYS(L415, M415, Holiday_Dates) - IF(L415 = M415, 0, 1)
        )
    )
)</f>
        <v/>
      </c>
      <c r="R415" s="385">
        <f>IFERROR(
    IF(
        OR(ISBLANK(N415), AND(ISBLANK(L415), ISBLANK(M415))),
        "",
        MAX(
            1,
            IF(
                NETWORKDAYS(IF(NOT(ISBLANK(M415)), M415, L415), N415, Holiday_Dates) &lt;= 0,
                1,
                NETWORKDAYS(IF(NOT(ISBLANK(M415)), M415, L415), N415, Holiday_Dates)
                - IF(IF(NOT(ISBLANK(M415)), M415, L415) = N415, 0, 1)
            )
        )
    ),
    ""
)</f>
        <v>2</v>
      </c>
      <c r="S415" s="385">
        <f>IFERROR(
    IF(
        OR(ISBLANK(N415), ISBLANK(O415)),
        "",
        MAX(
            1,
            IF(
                NETWORKDAYS(N415, O415, Holiday_Dates) &lt;= 0,
                1,
                NETWORKDAYS(N415, O415, Holiday_Dates) - IF(N415 = O415, 0, 1)
            )
        )
    ),
    ""
)</f>
        <v>1</v>
      </c>
      <c r="T415" s="385" t="s">
        <v>929</v>
      </c>
      <c r="U415" s="385" t="s">
        <v>4708</v>
      </c>
      <c r="V415" s="385" t="s">
        <v>4709</v>
      </c>
      <c r="W415" s="385" t="s">
        <v>4710</v>
      </c>
      <c r="X415" s="1"/>
    </row>
    <row r="416" spans="1:24">
      <c r="A416" s="385" t="s">
        <v>49</v>
      </c>
      <c r="B416" s="385" t="s">
        <v>492</v>
      </c>
      <c r="C416" s="385" t="s">
        <v>2317</v>
      </c>
      <c r="D416" s="385" t="s">
        <v>88</v>
      </c>
      <c r="E416" s="385" t="s">
        <v>134</v>
      </c>
      <c r="F416" s="385"/>
      <c r="G416" s="385" t="s">
        <v>128</v>
      </c>
      <c r="H416" s="385">
        <v>2026</v>
      </c>
      <c r="I416" s="386">
        <v>46037</v>
      </c>
      <c r="J416" s="529" t="s">
        <v>4711</v>
      </c>
      <c r="K416" s="385" t="s">
        <v>92</v>
      </c>
      <c r="L416" s="386">
        <v>46038</v>
      </c>
      <c r="M416" s="385"/>
      <c r="N416" s="386">
        <v>46042</v>
      </c>
      <c r="O416" s="386">
        <v>46043</v>
      </c>
      <c r="P416" s="385">
        <f>IFERROR(
    IF(
        OR(ISBLANK(I416), ISBLANK(L416)),
        "",
        MAX(
            1,
            IF(
                NETWORKDAYS(I416, L416, Holiday_Dates) &lt;= 0,
                1,
                NETWORKDAYS(I416, L416, Holiday_Dates) - IF(I416 = L416, 0, 1)
            )
        )
    ),
    ""
)</f>
        <v>1</v>
      </c>
      <c r="Q416" s="385" t="str">
        <f>IF(
    OR(ISBLANK(L416), ISBLANK(M416)),
    "",
    MAX(
        1,
        IF(
            NETWORKDAYS(L416, M416, Holiday_Dates) &lt;= 0,
            1,
            NETWORKDAYS(L416, M416, Holiday_Dates) - IF(L416 = M416, 0, 1)
        )
    )
)</f>
        <v/>
      </c>
      <c r="R416" s="385">
        <f>IFERROR(
    IF(
        OR(ISBLANK(N416), AND(ISBLANK(L416), ISBLANK(M416))),
        "",
        MAX(
            1,
            IF(
                NETWORKDAYS(IF(NOT(ISBLANK(M416)), M416, L416), N416, Holiday_Dates) &lt;= 0,
                1,
                NETWORKDAYS(IF(NOT(ISBLANK(M416)), M416, L416), N416, Holiday_Dates)
                - IF(IF(NOT(ISBLANK(M416)), M416, L416) = N416, 0, 1)
            )
        )
    ),
    ""
)</f>
        <v>2</v>
      </c>
      <c r="S416" s="385">
        <f>IFERROR(
    IF(
        OR(ISBLANK(N416), ISBLANK(O416)),
        "",
        MAX(
            1,
            IF(
                NETWORKDAYS(N416, O416, Holiday_Dates) &lt;= 0,
                1,
                NETWORKDAYS(N416, O416, Holiday_Dates) - IF(N416 = O416, 0, 1)
            )
        )
    ),
    ""
)</f>
        <v>1</v>
      </c>
      <c r="T416" s="385" t="s">
        <v>929</v>
      </c>
      <c r="U416" s="385" t="s">
        <v>4708</v>
      </c>
      <c r="V416" s="385" t="s">
        <v>4709</v>
      </c>
      <c r="W416" s="385" t="s">
        <v>4710</v>
      </c>
      <c r="X416" s="1"/>
    </row>
    <row r="417" spans="1:24">
      <c r="A417" s="385" t="s">
        <v>49</v>
      </c>
      <c r="B417" s="385" t="s">
        <v>2218</v>
      </c>
      <c r="C417" s="385" t="s">
        <v>2221</v>
      </c>
      <c r="D417" s="385" t="s">
        <v>88</v>
      </c>
      <c r="E417" s="385"/>
      <c r="F417" s="385"/>
      <c r="G417" s="385"/>
      <c r="H417" s="385">
        <v>2025</v>
      </c>
      <c r="I417" s="386">
        <v>45966</v>
      </c>
      <c r="J417" s="30" t="s">
        <v>4712</v>
      </c>
      <c r="K417" s="386"/>
      <c r="L417" s="386"/>
      <c r="M417" s="386"/>
      <c r="N417" s="386"/>
      <c r="O417" s="386"/>
      <c r="P417" s="385" t="str">
        <f>IFERROR(
    IF(
        OR(ISBLANK(I417), ISBLANK(L417)),
        "",
        MAX(
            1,
            IF(
                NETWORKDAYS(I417, L417, Holiday_Dates) &lt;= 0,
                1,
                NETWORKDAYS(I417, L417, Holiday_Dates) - IF(I417 = L417, 0, 1)
            )
        )
    ),
    ""
)</f>
        <v/>
      </c>
      <c r="Q417" s="385" t="str">
        <f>IF(
    OR(ISBLANK(L417), ISBLANK(M417)),
    "",
    MAX(
        1,
        IF(
            NETWORKDAYS(L417, M417, Holiday_Dates) &lt;= 0,
            1,
            NETWORKDAYS(L417, M417, Holiday_Dates) - IF(L417 = M417, 0, 1)
        )
    )
)</f>
        <v/>
      </c>
      <c r="R417" s="385" t="str">
        <f>IFERROR(
    IF(
        OR(ISBLANK(N417), AND(ISBLANK(L417), ISBLANK(M417))),
        "",
        MAX(
            1,
            IF(
                NETWORKDAYS(IF(NOT(ISBLANK(M417)), M417, L417), N417, Holiday_Dates) &lt;= 0,
                1,
                NETWORKDAYS(IF(NOT(ISBLANK(M417)), M417, L417), N417, Holiday_Dates)
                - IF(IF(NOT(ISBLANK(M417)), M417, L417) = N417, 0, 1)
            )
        )
    ),
    ""
)</f>
        <v/>
      </c>
      <c r="S417" s="385" t="str">
        <f>IFERROR(
    IF(
        OR(ISBLANK(N417), ISBLANK(O417)),
        "",
        MAX(
            1,
            IF(
                NETWORKDAYS(N417, O417, Holiday_Dates) &lt;= 0,
                1,
                NETWORKDAYS(N417, O417, Holiday_Dates) - IF(N417 = O417, 0, 1)
            )
        )
    ),
    ""
)</f>
        <v/>
      </c>
      <c r="T417" s="385"/>
      <c r="U417" s="385" t="s">
        <v>672</v>
      </c>
      <c r="V417" s="385" t="s">
        <v>1676</v>
      </c>
      <c r="W417" s="385" t="s">
        <v>1436</v>
      </c>
      <c r="X417" s="1"/>
    </row>
    <row r="418" spans="1:24">
      <c r="A418" s="385" t="s">
        <v>49</v>
      </c>
      <c r="B418" s="385" t="s">
        <v>2218</v>
      </c>
      <c r="C418" s="385" t="s">
        <v>2222</v>
      </c>
      <c r="D418" s="385" t="s">
        <v>88</v>
      </c>
      <c r="E418" s="385"/>
      <c r="F418" s="385"/>
      <c r="G418" s="385"/>
      <c r="H418" s="385">
        <v>2025</v>
      </c>
      <c r="I418" s="386">
        <v>45966</v>
      </c>
      <c r="J418" s="30" t="s">
        <v>4713</v>
      </c>
      <c r="K418" s="385"/>
      <c r="L418" s="385"/>
      <c r="M418" s="385"/>
      <c r="N418" s="385"/>
      <c r="O418" s="385"/>
      <c r="P418" s="385" t="str">
        <f>IFERROR(
    IF(
        OR(ISBLANK(I418), ISBLANK(L418)),
        "",
        MAX(
            1,
            IF(
                NETWORKDAYS(I418, L418, Holiday_Dates) &lt;= 0,
                1,
                NETWORKDAYS(I418, L418, Holiday_Dates) - IF(I418 = L418, 0, 1)
            )
        )
    ),
    ""
)</f>
        <v/>
      </c>
      <c r="Q418" s="385" t="str">
        <f>IF(
    OR(ISBLANK(L418), ISBLANK(M418)),
    "",
    MAX(
        1,
        IF(
            NETWORKDAYS(L418, M418, Holiday_Dates) &lt;= 0,
            1,
            NETWORKDAYS(L418, M418, Holiday_Dates) - IF(L418 = M418, 0, 1)
        )
    )
)</f>
        <v/>
      </c>
      <c r="R418" s="385" t="str">
        <f>IFERROR(
    IF(
        OR(ISBLANK(N418), AND(ISBLANK(L418), ISBLANK(M418))),
        "",
        MAX(
            1,
            IF(
                NETWORKDAYS(IF(NOT(ISBLANK(M418)), M418, L418), N418, Holiday_Dates) &lt;= 0,
                1,
                NETWORKDAYS(IF(NOT(ISBLANK(M418)), M418, L418), N418, Holiday_Dates)
                - IF(IF(NOT(ISBLANK(M418)), M418, L418) = N418, 0, 1)
            )
        )
    ),
    ""
)</f>
        <v/>
      </c>
      <c r="S418" s="385" t="str">
        <f>IFERROR(
    IF(
        OR(ISBLANK(N418), ISBLANK(O418)),
        "",
        MAX(
            1,
            IF(
                NETWORKDAYS(N418, O418, Holiday_Dates) &lt;= 0,
                1,
                NETWORKDAYS(N418, O418, Holiday_Dates) - IF(N418 = O418, 0, 1)
            )
        )
    ),
    ""
)</f>
        <v/>
      </c>
      <c r="T418" s="385"/>
      <c r="U418" s="385" t="s">
        <v>672</v>
      </c>
      <c r="V418" s="385" t="s">
        <v>1676</v>
      </c>
      <c r="W418" s="385" t="s">
        <v>1436</v>
      </c>
      <c r="X418" s="1"/>
    </row>
    <row r="419" spans="1:24">
      <c r="A419" s="385" t="s">
        <v>49</v>
      </c>
      <c r="B419" s="385" t="s">
        <v>2218</v>
      </c>
      <c r="C419" s="385" t="s">
        <v>250</v>
      </c>
      <c r="D419" s="385" t="s">
        <v>88</v>
      </c>
      <c r="E419" s="385"/>
      <c r="F419" s="385"/>
      <c r="G419" s="385"/>
      <c r="H419" s="385">
        <v>2024</v>
      </c>
      <c r="I419" s="386">
        <v>45484</v>
      </c>
      <c r="J419" s="30"/>
      <c r="K419" s="385"/>
      <c r="L419" s="385"/>
      <c r="M419" s="385"/>
      <c r="N419" s="385"/>
      <c r="O419" s="385"/>
      <c r="P419" s="385" t="str">
        <f>IFERROR(
    IF(
        OR(ISBLANK(I419), ISBLANK(L419)),
        "",
        MAX(
            1,
            IF(
                NETWORKDAYS(I419, L419, Holiday_Dates) &lt;= 0,
                1,
                NETWORKDAYS(I419, L419, Holiday_Dates) - IF(I419 = L419, 0, 1)
            )
        )
    ),
    ""
)</f>
        <v/>
      </c>
      <c r="Q419" s="385" t="str">
        <f>IF(
    OR(ISBLANK(L419), ISBLANK(M419)),
    "",
    MAX(
        1,
        IF(
            NETWORKDAYS(L419, M419, Holiday_Dates) &lt;= 0,
            1,
            NETWORKDAYS(L419, M419, Holiday_Dates) - IF(L419 = M419, 0, 1)
        )
    )
)</f>
        <v/>
      </c>
      <c r="R419" s="385" t="str">
        <f>IFERROR(
    IF(
        OR(ISBLANK(N419), AND(ISBLANK(L419), ISBLANK(M419))),
        "",
        MAX(
            1,
            IF(
                NETWORKDAYS(IF(NOT(ISBLANK(M419)), M419, L419), N419, Holiday_Dates) &lt;= 0,
                1,
                NETWORKDAYS(IF(NOT(ISBLANK(M419)), M419, L419), N419, Holiday_Dates)
                - IF(IF(NOT(ISBLANK(M419)), M419, L419) = N419, 0, 1)
            )
        )
    ),
    ""
)</f>
        <v/>
      </c>
      <c r="S419" s="385" t="str">
        <f>IFERROR(
    IF(
        OR(ISBLANK(N419), ISBLANK(O419)),
        "",
        MAX(
            1,
            IF(
                NETWORKDAYS(N419, O419, Holiday_Dates) &lt;= 0,
                1,
                NETWORKDAYS(N419, O419, Holiday_Dates) - IF(N419 = O419, 0, 1)
            )
        )
    ),
    ""
)</f>
        <v/>
      </c>
      <c r="T419" s="385"/>
      <c r="U419" s="385" t="s">
        <v>4</v>
      </c>
      <c r="V419" s="385" t="s">
        <v>108</v>
      </c>
      <c r="W419" s="385" t="s">
        <v>1436</v>
      </c>
      <c r="X419" s="1"/>
    </row>
    <row r="420" spans="1:24">
      <c r="A420" s="385" t="s">
        <v>49</v>
      </c>
      <c r="B420" s="385" t="s">
        <v>2573</v>
      </c>
      <c r="C420" s="385" t="s">
        <v>2588</v>
      </c>
      <c r="D420" s="385" t="s">
        <v>88</v>
      </c>
      <c r="E420" s="385" t="s">
        <v>136</v>
      </c>
      <c r="F420" s="385"/>
      <c r="G420" s="385" t="s">
        <v>128</v>
      </c>
      <c r="H420" s="385">
        <v>2026</v>
      </c>
      <c r="I420" s="386">
        <v>46037</v>
      </c>
      <c r="J420" s="529" t="s">
        <v>4714</v>
      </c>
      <c r="K420" s="385" t="s">
        <v>92</v>
      </c>
      <c r="L420" s="386">
        <v>46041</v>
      </c>
      <c r="M420" s="385"/>
      <c r="N420" s="386">
        <v>46043</v>
      </c>
      <c r="O420" s="386">
        <v>46043</v>
      </c>
      <c r="P420" s="385">
        <f>IFERROR(
    IF(
        OR(ISBLANK(I420), ISBLANK(L420)),
        "",
        MAX(
            1,
            IF(
                NETWORKDAYS(I420, L420, Holiday_Dates) &lt;= 0,
                1,
                NETWORKDAYS(I420, L420, Holiday_Dates) - IF(I420 = L420, 0, 1)
            )
        )
    ),
    ""
)</f>
        <v>2</v>
      </c>
      <c r="Q420" s="385" t="str">
        <f>IF(
    OR(ISBLANK(L420), ISBLANK(M420)),
    "",
    MAX(
        1,
        IF(
            NETWORKDAYS(L420, M420, Holiday_Dates) &lt;= 0,
            1,
            NETWORKDAYS(L420, M420, Holiday_Dates) - IF(L420 = M420, 0, 1)
        )
    )
)</f>
        <v/>
      </c>
      <c r="R420" s="385">
        <f>IFERROR(
    IF(
        OR(ISBLANK(N420), AND(ISBLANK(L420), ISBLANK(M420))),
        "",
        MAX(
            1,
            IF(
                NETWORKDAYS(IF(NOT(ISBLANK(M420)), M420, L420), N420, Holiday_Dates) &lt;= 0,
                1,
                NETWORKDAYS(IF(NOT(ISBLANK(M420)), M420, L420), N420, Holiday_Dates)
                - IF(IF(NOT(ISBLANK(M420)), M420, L420) = N420, 0, 1)
            )
        )
    ),
    ""
)</f>
        <v>2</v>
      </c>
      <c r="S420" s="385">
        <f>IFERROR(
    IF(
        OR(ISBLANK(N420), ISBLANK(O420)),
        "",
        MAX(
            1,
            IF(
                NETWORKDAYS(N420, O420, Holiday_Dates) &lt;= 0,
                1,
                NETWORKDAYS(N420, O420, Holiday_Dates) - IF(N420 = O420, 0, 1)
            )
        )
    ),
    ""
)</f>
        <v>1</v>
      </c>
      <c r="T420" s="385" t="s">
        <v>929</v>
      </c>
      <c r="U420" s="385" t="s">
        <v>4</v>
      </c>
      <c r="V420" s="385" t="s">
        <v>101</v>
      </c>
      <c r="W420" s="385" t="s">
        <v>4710</v>
      </c>
      <c r="X420" s="1"/>
    </row>
    <row r="421" spans="1:24">
      <c r="A421" s="385" t="s">
        <v>49</v>
      </c>
      <c r="B421" s="385" t="s">
        <v>2218</v>
      </c>
      <c r="C421" s="385" t="s">
        <v>2226</v>
      </c>
      <c r="D421" s="385" t="s">
        <v>88</v>
      </c>
      <c r="E421" s="385"/>
      <c r="F421" s="385"/>
      <c r="G421" s="385"/>
      <c r="H421" s="385">
        <v>2025</v>
      </c>
      <c r="I421" s="386">
        <v>45937</v>
      </c>
      <c r="J421" s="30" t="s">
        <v>4715</v>
      </c>
      <c r="K421" s="385"/>
      <c r="L421" s="385"/>
      <c r="M421" s="385"/>
      <c r="N421" s="385"/>
      <c r="O421" s="385"/>
      <c r="P421" s="385" t="str">
        <f>IFERROR(
    IF(
        OR(ISBLANK(I421), ISBLANK(L421)),
        "",
        MAX(
            1,
            IF(
                NETWORKDAYS(I421, L421, Holiday_Dates) &lt;= 0,
                1,
                NETWORKDAYS(I421, L421, Holiday_Dates) - IF(I421 = L421, 0, 1)
            )
        )
    ),
    ""
)</f>
        <v/>
      </c>
      <c r="Q421" s="385" t="str">
        <f>IF(
    OR(ISBLANK(L421), ISBLANK(M421)),
    "",
    MAX(
        1,
        IF(
            NETWORKDAYS(L421, M421, Holiday_Dates) &lt;= 0,
            1,
            NETWORKDAYS(L421, M421, Holiday_Dates) - IF(L421 = M421, 0, 1)
        )
    )
)</f>
        <v/>
      </c>
      <c r="R421" s="385" t="str">
        <f>IFERROR(
    IF(
        OR(ISBLANK(N421), AND(ISBLANK(L421), ISBLANK(M421))),
        "",
        MAX(
            1,
            IF(
                NETWORKDAYS(IF(NOT(ISBLANK(M421)), M421, L421), N421, Holiday_Dates) &lt;= 0,
                1,
                NETWORKDAYS(IF(NOT(ISBLANK(M421)), M421, L421), N421, Holiday_Dates)
                - IF(IF(NOT(ISBLANK(M421)), M421, L421) = N421, 0, 1)
            )
        )
    ),
    ""
)</f>
        <v/>
      </c>
      <c r="S421" s="385" t="str">
        <f>IFERROR(
    IF(
        OR(ISBLANK(N421), ISBLANK(O421)),
        "",
        MAX(
            1,
            IF(
                NETWORKDAYS(N421, O421, Holiday_Dates) &lt;= 0,
                1,
                NETWORKDAYS(N421, O421, Holiday_Dates) - IF(N421 = O421, 0, 1)
            )
        )
    ),
    ""
)</f>
        <v/>
      </c>
      <c r="T421" s="385"/>
      <c r="U421" s="385" t="s">
        <v>672</v>
      </c>
      <c r="V421" s="385" t="s">
        <v>1676</v>
      </c>
      <c r="W421" s="385" t="s">
        <v>1436</v>
      </c>
      <c r="X421" s="1"/>
    </row>
    <row r="422" spans="1:24">
      <c r="A422" s="385" t="s">
        <v>49</v>
      </c>
      <c r="B422" s="385" t="s">
        <v>2218</v>
      </c>
      <c r="C422" s="385" t="s">
        <v>2227</v>
      </c>
      <c r="D422" s="385" t="s">
        <v>88</v>
      </c>
      <c r="E422" s="385"/>
      <c r="F422" s="385"/>
      <c r="G422" s="385"/>
      <c r="H422" s="385">
        <v>2025</v>
      </c>
      <c r="I422" s="386">
        <v>45966</v>
      </c>
      <c r="J422" s="30" t="s">
        <v>4716</v>
      </c>
      <c r="K422" s="385"/>
      <c r="L422" s="385"/>
      <c r="M422" s="385"/>
      <c r="N422" s="385"/>
      <c r="O422" s="385"/>
      <c r="P422" s="385" t="str">
        <f>IFERROR(
    IF(
        OR(ISBLANK(I422), ISBLANK(L422)),
        "",
        MAX(
            1,
            IF(
                NETWORKDAYS(I422, L422, Holiday_Dates) &lt;= 0,
                1,
                NETWORKDAYS(I422, L422, Holiday_Dates) - IF(I422 = L422, 0, 1)
            )
        )
    ),
    ""
)</f>
        <v/>
      </c>
      <c r="Q422" s="385" t="str">
        <f>IF(
    OR(ISBLANK(L422), ISBLANK(M422)),
    "",
    MAX(
        1,
        IF(
            NETWORKDAYS(L422, M422, Holiday_Dates) &lt;= 0,
            1,
            NETWORKDAYS(L422, M422, Holiday_Dates) - IF(L422 = M422, 0, 1)
        )
    )
)</f>
        <v/>
      </c>
      <c r="R422" s="385" t="str">
        <f>IFERROR(
    IF(
        OR(ISBLANK(N422), AND(ISBLANK(L422), ISBLANK(M422))),
        "",
        MAX(
            1,
            IF(
                NETWORKDAYS(IF(NOT(ISBLANK(M422)), M422, L422), N422, Holiday_Dates) &lt;= 0,
                1,
                NETWORKDAYS(IF(NOT(ISBLANK(M422)), M422, L422), N422, Holiday_Dates)
                - IF(IF(NOT(ISBLANK(M422)), M422, L422) = N422, 0, 1)
            )
        )
    ),
    ""
)</f>
        <v/>
      </c>
      <c r="S422" s="385" t="str">
        <f>IFERROR(
    IF(
        OR(ISBLANK(N422), ISBLANK(O422)),
        "",
        MAX(
            1,
            IF(
                NETWORKDAYS(N422, O422, Holiday_Dates) &lt;= 0,
                1,
                NETWORKDAYS(N422, O422, Holiday_Dates) - IF(N422 = O422, 0, 1)
            )
        )
    ),
    ""
)</f>
        <v/>
      </c>
      <c r="T422" s="385"/>
      <c r="U422" s="385" t="s">
        <v>672</v>
      </c>
      <c r="V422" s="385" t="s">
        <v>1676</v>
      </c>
      <c r="W422" s="385" t="s">
        <v>1436</v>
      </c>
      <c r="X422" s="1"/>
    </row>
    <row r="423" spans="1:24">
      <c r="A423" s="385" t="s">
        <v>49</v>
      </c>
      <c r="B423" s="385" t="s">
        <v>2573</v>
      </c>
      <c r="C423" s="385" t="s">
        <v>2589</v>
      </c>
      <c r="D423" s="385" t="s">
        <v>88</v>
      </c>
      <c r="E423" s="385" t="s">
        <v>136</v>
      </c>
      <c r="F423" s="385"/>
      <c r="G423" s="385" t="s">
        <v>128</v>
      </c>
      <c r="H423" s="385">
        <v>2026</v>
      </c>
      <c r="I423" s="386">
        <v>46037</v>
      </c>
      <c r="J423" s="530" t="s">
        <v>4717</v>
      </c>
      <c r="K423" s="385" t="s">
        <v>92</v>
      </c>
      <c r="L423" s="386">
        <v>46041</v>
      </c>
      <c r="M423" s="385"/>
      <c r="N423" s="386">
        <v>46043</v>
      </c>
      <c r="O423" s="386">
        <v>46043</v>
      </c>
      <c r="P423" s="385">
        <f>IFERROR(
    IF(
        OR(ISBLANK(I423), ISBLANK(L423)),
        "",
        MAX(
            1,
            IF(
                NETWORKDAYS(I423, L423, Holiday_Dates) &lt;= 0,
                1,
                NETWORKDAYS(I423, L423, Holiday_Dates) - IF(I423 = L423, 0, 1)
            )
        )
    ),
    ""
)</f>
        <v>2</v>
      </c>
      <c r="Q423" s="385" t="str">
        <f>IF(
    OR(ISBLANK(L423), ISBLANK(M423)),
    "",
    MAX(
        1,
        IF(
            NETWORKDAYS(L423, M423, Holiday_Dates) &lt;= 0,
            1,
            NETWORKDAYS(L423, M423, Holiday_Dates) - IF(L423 = M423, 0, 1)
        )
    )
)</f>
        <v/>
      </c>
      <c r="R423" s="385">
        <f>IFERROR(
    IF(
        OR(ISBLANK(N423), AND(ISBLANK(L423), ISBLANK(M423))),
        "",
        MAX(
            1,
            IF(
                NETWORKDAYS(IF(NOT(ISBLANK(M423)), M423, L423), N423, Holiday_Dates) &lt;= 0,
                1,
                NETWORKDAYS(IF(NOT(ISBLANK(M423)), M423, L423), N423, Holiday_Dates)
                - IF(IF(NOT(ISBLANK(M423)), M423, L423) = N423, 0, 1)
            )
        )
    ),
    ""
)</f>
        <v>2</v>
      </c>
      <c r="S423" s="385">
        <f>IFERROR(
    IF(
        OR(ISBLANK(N423), ISBLANK(O423)),
        "",
        MAX(
            1,
            IF(
                NETWORKDAYS(N423, O423, Holiday_Dates) &lt;= 0,
                1,
                NETWORKDAYS(N423, O423, Holiday_Dates) - IF(N423 = O423, 0, 1)
            )
        )
    ),
    ""
)</f>
        <v>1</v>
      </c>
      <c r="T423" s="385" t="s">
        <v>929</v>
      </c>
      <c r="U423" s="385" t="s">
        <v>4</v>
      </c>
      <c r="V423" s="385" t="s">
        <v>101</v>
      </c>
      <c r="W423" s="385" t="s">
        <v>4710</v>
      </c>
      <c r="X423" s="1"/>
    </row>
    <row r="424" spans="1:24">
      <c r="A424" s="385" t="s">
        <v>49</v>
      </c>
      <c r="B424" s="385" t="s">
        <v>2573</v>
      </c>
      <c r="C424" s="385" t="s">
        <v>2611</v>
      </c>
      <c r="D424" s="385" t="s">
        <v>88</v>
      </c>
      <c r="E424" s="385" t="s">
        <v>136</v>
      </c>
      <c r="F424" s="385"/>
      <c r="G424" s="385" t="s">
        <v>128</v>
      </c>
      <c r="H424" s="385">
        <v>2026</v>
      </c>
      <c r="I424" s="386">
        <v>46037</v>
      </c>
      <c r="J424" s="529" t="s">
        <v>4718</v>
      </c>
      <c r="K424" s="385" t="s">
        <v>92</v>
      </c>
      <c r="L424" s="386">
        <v>46041</v>
      </c>
      <c r="M424" s="385"/>
      <c r="N424" s="386">
        <v>46043</v>
      </c>
      <c r="O424" s="386">
        <v>46043</v>
      </c>
      <c r="P424" s="385">
        <f>IFERROR(
    IF(
        OR(ISBLANK(I424), ISBLANK(L424)),
        "",
        MAX(
            1,
            IF(
                NETWORKDAYS(I424, L424, Holiday_Dates) &lt;= 0,
                1,
                NETWORKDAYS(I424, L424, Holiday_Dates) - IF(I424 = L424, 0, 1)
            )
        )
    ),
    ""
)</f>
        <v>2</v>
      </c>
      <c r="Q424" s="385" t="str">
        <f>IF(
    OR(ISBLANK(L424), ISBLANK(M424)),
    "",
    MAX(
        1,
        IF(
            NETWORKDAYS(L424, M424, Holiday_Dates) &lt;= 0,
            1,
            NETWORKDAYS(L424, M424, Holiday_Dates) - IF(L424 = M424, 0, 1)
        )
    )
)</f>
        <v/>
      </c>
      <c r="R424" s="385">
        <f>IFERROR(
    IF(
        OR(ISBLANK(N424), AND(ISBLANK(L424), ISBLANK(M424))),
        "",
        MAX(
            1,
            IF(
                NETWORKDAYS(IF(NOT(ISBLANK(M424)), M424, L424), N424, Holiday_Dates) &lt;= 0,
                1,
                NETWORKDAYS(IF(NOT(ISBLANK(M424)), M424, L424), N424, Holiday_Dates)
                - IF(IF(NOT(ISBLANK(M424)), M424, L424) = N424, 0, 1)
            )
        )
    ),
    ""
)</f>
        <v>2</v>
      </c>
      <c r="S424" s="385">
        <f>IFERROR(
    IF(
        OR(ISBLANK(N424), ISBLANK(O424)),
        "",
        MAX(
            1,
            IF(
                NETWORKDAYS(N424, O424, Holiday_Dates) &lt;= 0,
                1,
                NETWORKDAYS(N424, O424, Holiday_Dates) - IF(N424 = O424, 0, 1)
            )
        )
    ),
    ""
)</f>
        <v>1</v>
      </c>
      <c r="T424" s="385" t="s">
        <v>929</v>
      </c>
      <c r="U424" s="385" t="s">
        <v>4</v>
      </c>
      <c r="V424" s="385" t="s">
        <v>101</v>
      </c>
      <c r="W424" s="385" t="s">
        <v>4710</v>
      </c>
      <c r="X424" s="1"/>
    </row>
    <row r="425" spans="1:24">
      <c r="A425" s="385" t="s">
        <v>49</v>
      </c>
      <c r="B425" s="385" t="s">
        <v>2573</v>
      </c>
      <c r="C425" s="385" t="s">
        <v>554</v>
      </c>
      <c r="D425" s="385" t="s">
        <v>88</v>
      </c>
      <c r="E425" s="385" t="s">
        <v>136</v>
      </c>
      <c r="F425" s="385"/>
      <c r="G425" s="385" t="s">
        <v>128</v>
      </c>
      <c r="H425" s="385">
        <v>2026</v>
      </c>
      <c r="I425" s="386">
        <v>46037</v>
      </c>
      <c r="J425" s="529" t="s">
        <v>4719</v>
      </c>
      <c r="K425" s="385" t="s">
        <v>92</v>
      </c>
      <c r="L425" s="386">
        <v>46041</v>
      </c>
      <c r="M425" s="385"/>
      <c r="N425" s="386">
        <v>46043</v>
      </c>
      <c r="O425" s="386">
        <v>46043</v>
      </c>
      <c r="P425" s="385">
        <f>IFERROR(
    IF(
        OR(ISBLANK(I425), ISBLANK(L425)),
        "",
        MAX(
            1,
            IF(
                NETWORKDAYS(I425, L425, Holiday_Dates) &lt;= 0,
                1,
                NETWORKDAYS(I425, L425, Holiday_Dates) - IF(I425 = L425, 0, 1)
            )
        )
    ),
    ""
)</f>
        <v>2</v>
      </c>
      <c r="Q425" s="385" t="str">
        <f>IF(
    OR(ISBLANK(L425), ISBLANK(M425)),
    "",
    MAX(
        1,
        IF(
            NETWORKDAYS(L425, M425, Holiday_Dates) &lt;= 0,
            1,
            NETWORKDAYS(L425, M425, Holiday_Dates) - IF(L425 = M425, 0, 1)
        )
    )
)</f>
        <v/>
      </c>
      <c r="R425" s="385">
        <f>IFERROR(
    IF(
        OR(ISBLANK(N425), AND(ISBLANK(L425), ISBLANK(M425))),
        "",
        MAX(
            1,
            IF(
                NETWORKDAYS(IF(NOT(ISBLANK(M425)), M425, L425), N425, Holiday_Dates) &lt;= 0,
                1,
                NETWORKDAYS(IF(NOT(ISBLANK(M425)), M425, L425), N425, Holiday_Dates)
                - IF(IF(NOT(ISBLANK(M425)), M425, L425) = N425, 0, 1)
            )
        )
    ),
    ""
)</f>
        <v>2</v>
      </c>
      <c r="S425" s="385">
        <f>IFERROR(
    IF(
        OR(ISBLANK(N425), ISBLANK(O425)),
        "",
        MAX(
            1,
            IF(
                NETWORKDAYS(N425, O425, Holiday_Dates) &lt;= 0,
                1,
                NETWORKDAYS(N425, O425, Holiday_Dates) - IF(N425 = O425, 0, 1)
            )
        )
    ),
    ""
)</f>
        <v>1</v>
      </c>
      <c r="T425" s="385" t="s">
        <v>929</v>
      </c>
      <c r="U425" s="385" t="s">
        <v>4</v>
      </c>
      <c r="V425" s="385" t="s">
        <v>101</v>
      </c>
      <c r="W425" s="385" t="s">
        <v>4710</v>
      </c>
      <c r="X425" s="1"/>
    </row>
    <row r="426" spans="1:24">
      <c r="A426" s="385" t="s">
        <v>49</v>
      </c>
      <c r="B426" s="385" t="s">
        <v>2218</v>
      </c>
      <c r="C426" s="385" t="s">
        <v>2231</v>
      </c>
      <c r="D426" s="385" t="s">
        <v>88</v>
      </c>
      <c r="E426" s="385"/>
      <c r="F426" s="385"/>
      <c r="G426" s="385"/>
      <c r="H426" s="385">
        <v>2025</v>
      </c>
      <c r="I426" s="386">
        <v>45937</v>
      </c>
      <c r="J426" s="30" t="s">
        <v>4720</v>
      </c>
      <c r="K426" s="385"/>
      <c r="L426" s="385"/>
      <c r="M426" s="385"/>
      <c r="N426" s="385"/>
      <c r="O426" s="385"/>
      <c r="P426" s="385" t="str">
        <f>IFERROR(
    IF(
        OR(ISBLANK(I426), ISBLANK(L426)),
        "",
        MAX(
            1,
            IF(
                NETWORKDAYS(I426, L426, Holiday_Dates) &lt;= 0,
                1,
                NETWORKDAYS(I426, L426, Holiday_Dates) - IF(I426 = L426, 0, 1)
            )
        )
    ),
    ""
)</f>
        <v/>
      </c>
      <c r="Q426" s="385" t="str">
        <f>IF(
    OR(ISBLANK(L426), ISBLANK(M426)),
    "",
    MAX(
        1,
        IF(
            NETWORKDAYS(L426, M426, Holiday_Dates) &lt;= 0,
            1,
            NETWORKDAYS(L426, M426, Holiday_Dates) - IF(L426 = M426, 0, 1)
        )
    )
)</f>
        <v/>
      </c>
      <c r="R426" s="385" t="str">
        <f>IFERROR(
    IF(
        OR(ISBLANK(N426), AND(ISBLANK(L426), ISBLANK(M426))),
        "",
        MAX(
            1,
            IF(
                NETWORKDAYS(IF(NOT(ISBLANK(M426)), M426, L426), N426, Holiday_Dates) &lt;= 0,
                1,
                NETWORKDAYS(IF(NOT(ISBLANK(M426)), M426, L426), N426, Holiday_Dates)
                - IF(IF(NOT(ISBLANK(M426)), M426, L426) = N426, 0, 1)
            )
        )
    ),
    ""
)</f>
        <v/>
      </c>
      <c r="S426" s="385" t="str">
        <f>IFERROR(
    IF(
        OR(ISBLANK(N426), ISBLANK(O426)),
        "",
        MAX(
            1,
            IF(
                NETWORKDAYS(N426, O426, Holiday_Dates) &lt;= 0,
                1,
                NETWORKDAYS(N426, O426, Holiday_Dates) - IF(N426 = O426, 0, 1)
            )
        )
    ),
    ""
)</f>
        <v/>
      </c>
      <c r="T426" s="385"/>
      <c r="U426" s="385" t="s">
        <v>672</v>
      </c>
      <c r="V426" s="385" t="s">
        <v>1676</v>
      </c>
      <c r="W426" s="385" t="s">
        <v>1436</v>
      </c>
      <c r="X426" s="1"/>
    </row>
    <row r="427" spans="1:24">
      <c r="A427" s="385" t="s">
        <v>49</v>
      </c>
      <c r="B427" s="385" t="s">
        <v>2218</v>
      </c>
      <c r="C427" s="385" t="s">
        <v>926</v>
      </c>
      <c r="D427" s="385" t="s">
        <v>88</v>
      </c>
      <c r="E427" s="385"/>
      <c r="F427" s="385"/>
      <c r="G427" s="385"/>
      <c r="H427" s="385">
        <v>2025</v>
      </c>
      <c r="I427" s="386">
        <v>45937</v>
      </c>
      <c r="J427" s="30" t="s">
        <v>4721</v>
      </c>
      <c r="K427" s="385"/>
      <c r="L427" s="385"/>
      <c r="M427" s="385"/>
      <c r="N427" s="385"/>
      <c r="O427" s="385"/>
      <c r="P427" s="385" t="str">
        <f>IFERROR(
    IF(
        OR(ISBLANK(I427), ISBLANK(L427)),
        "",
        MAX(
            1,
            IF(
                NETWORKDAYS(I427, L427, Holiday_Dates) &lt;= 0,
                1,
                NETWORKDAYS(I427, L427, Holiday_Dates) - IF(I427 = L427, 0, 1)
            )
        )
    ),
    ""
)</f>
        <v/>
      </c>
      <c r="Q427" s="385" t="str">
        <f>IF(
    OR(ISBLANK(L427), ISBLANK(M427)),
    "",
    MAX(
        1,
        IF(
            NETWORKDAYS(L427, M427, Holiday_Dates) &lt;= 0,
            1,
            NETWORKDAYS(L427, M427, Holiday_Dates) - IF(L427 = M427, 0, 1)
        )
    )
)</f>
        <v/>
      </c>
      <c r="R427" s="385" t="str">
        <f>IFERROR(
    IF(
        OR(ISBLANK(N427), AND(ISBLANK(L427), ISBLANK(M427))),
        "",
        MAX(
            1,
            IF(
                NETWORKDAYS(IF(NOT(ISBLANK(M427)), M427, L427), N427, Holiday_Dates) &lt;= 0,
                1,
                NETWORKDAYS(IF(NOT(ISBLANK(M427)), M427, L427), N427, Holiday_Dates)
                - IF(IF(NOT(ISBLANK(M427)), M427, L427) = N427, 0, 1)
            )
        )
    ),
    ""
)</f>
        <v/>
      </c>
      <c r="S427" s="385" t="str">
        <f>IFERROR(
    IF(
        OR(ISBLANK(N427), ISBLANK(O427)),
        "",
        MAX(
            1,
            IF(
                NETWORKDAYS(N427, O427, Holiday_Dates) &lt;= 0,
                1,
                NETWORKDAYS(N427, O427, Holiday_Dates) - IF(N427 = O427, 0, 1)
            )
        )
    ),
    ""
)</f>
        <v/>
      </c>
      <c r="T427" s="385"/>
      <c r="U427" s="385" t="s">
        <v>672</v>
      </c>
      <c r="V427" s="385" t="s">
        <v>1676</v>
      </c>
      <c r="W427" s="385" t="s">
        <v>1436</v>
      </c>
      <c r="X427" s="1"/>
    </row>
    <row r="428" spans="1:24">
      <c r="A428" s="385" t="s">
        <v>49</v>
      </c>
      <c r="B428" s="385" t="s">
        <v>2218</v>
      </c>
      <c r="C428" s="385" t="s">
        <v>794</v>
      </c>
      <c r="D428" s="385" t="s">
        <v>88</v>
      </c>
      <c r="E428" s="385"/>
      <c r="F428" s="385"/>
      <c r="G428" s="385"/>
      <c r="H428" s="385">
        <v>2024</v>
      </c>
      <c r="I428" s="386">
        <v>45573</v>
      </c>
      <c r="J428" s="30"/>
      <c r="K428" s="385"/>
      <c r="L428" s="385"/>
      <c r="M428" s="385"/>
      <c r="N428" s="385"/>
      <c r="O428" s="385"/>
      <c r="P428" s="385" t="str">
        <f>IFERROR(
    IF(
        OR(ISBLANK(I428), ISBLANK(L428)),
        "",
        MAX(
            1,
            IF(
                NETWORKDAYS(I428, L428, Holiday_Dates) &lt;= 0,
                1,
                NETWORKDAYS(I428, L428, Holiday_Dates) - IF(I428 = L428, 0, 1)
            )
        )
    ),
    ""
)</f>
        <v/>
      </c>
      <c r="Q428" s="385" t="str">
        <f>IF(
    OR(ISBLANK(L428), ISBLANK(M428)),
    "",
    MAX(
        1,
        IF(
            NETWORKDAYS(L428, M428, Holiday_Dates) &lt;= 0,
            1,
            NETWORKDAYS(L428, M428, Holiday_Dates) - IF(L428 = M428, 0, 1)
        )
    )
)</f>
        <v/>
      </c>
      <c r="R428" s="385" t="str">
        <f>IFERROR(
    IF(
        OR(ISBLANK(N428), AND(ISBLANK(L428), ISBLANK(M428))),
        "",
        MAX(
            1,
            IF(
                NETWORKDAYS(IF(NOT(ISBLANK(M428)), M428, L428), N428, Holiday_Dates) &lt;= 0,
                1,
                NETWORKDAYS(IF(NOT(ISBLANK(M428)), M428, L428), N428, Holiday_Dates)
                - IF(IF(NOT(ISBLANK(M428)), M428, L428) = N428, 0, 1)
            )
        )
    ),
    ""
)</f>
        <v/>
      </c>
      <c r="S428" s="385" t="str">
        <f>IFERROR(
    IF(
        OR(ISBLANK(N428), ISBLANK(O428)),
        "",
        MAX(
            1,
            IF(
                NETWORKDAYS(N428, O428, Holiday_Dates) &lt;= 0,
                1,
                NETWORKDAYS(N428, O428, Holiday_Dates) - IF(N428 = O428, 0, 1)
            )
        )
    ),
    ""
)</f>
        <v/>
      </c>
      <c r="T428" s="385"/>
      <c r="U428" s="385" t="s">
        <v>4</v>
      </c>
      <c r="V428" s="385" t="s">
        <v>108</v>
      </c>
      <c r="W428" s="385" t="s">
        <v>1436</v>
      </c>
      <c r="X428" s="1"/>
    </row>
    <row r="429" spans="1:24">
      <c r="A429" s="385" t="s">
        <v>49</v>
      </c>
      <c r="B429" s="385" t="s">
        <v>2218</v>
      </c>
      <c r="C429" s="385" t="s">
        <v>427</v>
      </c>
      <c r="D429" s="385" t="s">
        <v>88</v>
      </c>
      <c r="E429" s="385"/>
      <c r="F429" s="385"/>
      <c r="G429" s="385"/>
      <c r="H429" s="385">
        <v>2025</v>
      </c>
      <c r="I429" s="386">
        <v>45938</v>
      </c>
      <c r="J429" s="30" t="s">
        <v>4722</v>
      </c>
      <c r="K429" s="385"/>
      <c r="L429" s="385"/>
      <c r="M429" s="385"/>
      <c r="N429" s="385"/>
      <c r="O429" s="385"/>
      <c r="P429" s="385" t="str">
        <f>IFERROR(
    IF(
        OR(ISBLANK(I429), ISBLANK(L429)),
        "",
        MAX(
            1,
            IF(
                NETWORKDAYS(I429, L429, Holiday_Dates) &lt;= 0,
                1,
                NETWORKDAYS(I429, L429, Holiday_Dates) - IF(I429 = L429, 0, 1)
            )
        )
    ),
    ""
)</f>
        <v/>
      </c>
      <c r="Q429" s="385" t="str">
        <f>IF(
    OR(ISBLANK(L429), ISBLANK(M429)),
    "",
    MAX(
        1,
        IF(
            NETWORKDAYS(L429, M429, Holiday_Dates) &lt;= 0,
            1,
            NETWORKDAYS(L429, M429, Holiday_Dates) - IF(L429 = M429, 0, 1)
        )
    )
)</f>
        <v/>
      </c>
      <c r="R429" s="385" t="str">
        <f>IFERROR(
    IF(
        OR(ISBLANK(N429), AND(ISBLANK(L429), ISBLANK(M429))),
        "",
        MAX(
            1,
            IF(
                NETWORKDAYS(IF(NOT(ISBLANK(M429)), M429, L429), N429, Holiday_Dates) &lt;= 0,
                1,
                NETWORKDAYS(IF(NOT(ISBLANK(M429)), M429, L429), N429, Holiday_Dates)
                - IF(IF(NOT(ISBLANK(M429)), M429, L429) = N429, 0, 1)
            )
        )
    ),
    ""
)</f>
        <v/>
      </c>
      <c r="S429" s="385" t="str">
        <f>IFERROR(
    IF(
        OR(ISBLANK(N429), ISBLANK(O429)),
        "",
        MAX(
            1,
            IF(
                NETWORKDAYS(N429, O429, Holiday_Dates) &lt;= 0,
                1,
                NETWORKDAYS(N429, O429, Holiday_Dates) - IF(N429 = O429, 0, 1)
            )
        )
    ),
    ""
)</f>
        <v/>
      </c>
      <c r="T429" s="385"/>
      <c r="U429" s="385" t="s">
        <v>672</v>
      </c>
      <c r="V429" s="385" t="s">
        <v>1676</v>
      </c>
      <c r="W429" s="385" t="s">
        <v>1436</v>
      </c>
      <c r="X429" s="1"/>
    </row>
    <row r="430" spans="1:24">
      <c r="A430" s="385" t="s">
        <v>65</v>
      </c>
      <c r="B430" s="385" t="s">
        <v>383</v>
      </c>
      <c r="C430" s="385" t="s">
        <v>2735</v>
      </c>
      <c r="D430" s="385" t="s">
        <v>88</v>
      </c>
      <c r="E430" s="385" t="s">
        <v>140</v>
      </c>
      <c r="F430" s="385"/>
      <c r="G430" s="385" t="s">
        <v>130</v>
      </c>
      <c r="H430" s="385">
        <v>2026</v>
      </c>
      <c r="I430" s="386">
        <v>46037</v>
      </c>
      <c r="J430" s="529" t="s">
        <v>4723</v>
      </c>
      <c r="K430" s="385" t="s">
        <v>92</v>
      </c>
      <c r="L430" s="386">
        <v>46041</v>
      </c>
      <c r="M430" s="386">
        <v>46043</v>
      </c>
      <c r="N430" s="386">
        <v>46043</v>
      </c>
      <c r="O430" s="386">
        <v>46044</v>
      </c>
      <c r="P430" s="385">
        <f>IFERROR(
    IF(
        OR(ISBLANK(I430), ISBLANK(L430)),
        "",
        MAX(
            1,
            IF(
                NETWORKDAYS(I430, L430, Holiday_Dates) &lt;= 0,
                1,
                NETWORKDAYS(I430, L430, Holiday_Dates) - IF(I430 = L430, 0, 1)
            )
        )
    ),
    ""
)</f>
        <v>2</v>
      </c>
      <c r="Q430" s="385">
        <f>IF(
    OR(ISBLANK(L430), ISBLANK(M430)),
    "",
    MAX(
        1,
        IF(
            NETWORKDAYS(L430, M430, Holiday_Dates) &lt;= 0,
            1,
            NETWORKDAYS(L430, M430, Holiday_Dates) - IF(L430 = M430, 0, 1)
        )
    )
)</f>
        <v>2</v>
      </c>
      <c r="R430" s="385">
        <f>IFERROR(
    IF(
        OR(ISBLANK(N430), AND(ISBLANK(L430), ISBLANK(M430))),
        "",
        MAX(
            1,
            IF(
                NETWORKDAYS(IF(NOT(ISBLANK(M430)), M430, L430), N430, Holiday_Dates) &lt;= 0,
                1,
                NETWORKDAYS(IF(NOT(ISBLANK(M430)), M430, L430), N430, Holiday_Dates)
                - IF(IF(NOT(ISBLANK(M430)), M430, L430) = N430, 0, 1)
            )
        )
    ),
    ""
)</f>
        <v>1</v>
      </c>
      <c r="S430" s="385">
        <f>IFERROR(
    IF(
        OR(ISBLANK(N430), ISBLANK(O430)),
        "",
        MAX(
            1,
            IF(
                NETWORKDAYS(N430, O430, Holiday_Dates) &lt;= 0,
                1,
                NETWORKDAYS(N430, O430, Holiday_Dates) - IF(N430 = O430, 0, 1)
            )
        )
    ),
    ""
)</f>
        <v>1</v>
      </c>
      <c r="T430" s="385" t="s">
        <v>929</v>
      </c>
      <c r="U430" s="385" t="s">
        <v>672</v>
      </c>
      <c r="V430" s="385" t="s">
        <v>101</v>
      </c>
      <c r="W430" s="385" t="s">
        <v>4710</v>
      </c>
      <c r="X430" s="1"/>
    </row>
    <row r="431" spans="1:24">
      <c r="A431" s="385" t="s">
        <v>49</v>
      </c>
      <c r="B431" s="385" t="s">
        <v>2218</v>
      </c>
      <c r="C431" s="385" t="s">
        <v>2235</v>
      </c>
      <c r="D431" s="385" t="s">
        <v>88</v>
      </c>
      <c r="E431" s="385"/>
      <c r="F431" s="385"/>
      <c r="G431" s="385"/>
      <c r="H431" s="385">
        <v>2025</v>
      </c>
      <c r="I431" s="386">
        <v>45937</v>
      </c>
      <c r="J431" s="30" t="s">
        <v>4724</v>
      </c>
      <c r="K431" s="385"/>
      <c r="L431" s="385"/>
      <c r="M431" s="385"/>
      <c r="N431" s="385"/>
      <c r="O431" s="385"/>
      <c r="P431" s="385" t="str">
        <f>IFERROR(
    IF(
        OR(ISBLANK(I431), ISBLANK(L431)),
        "",
        MAX(
            1,
            IF(
                NETWORKDAYS(I431, L431, Holiday_Dates) &lt;= 0,
                1,
                NETWORKDAYS(I431, L431, Holiday_Dates) - IF(I431 = L431, 0, 1)
            )
        )
    ),
    ""
)</f>
        <v/>
      </c>
      <c r="Q431" s="385" t="str">
        <f>IF(
    OR(ISBLANK(L431), ISBLANK(M431)),
    "",
    MAX(
        1,
        IF(
            NETWORKDAYS(L431, M431, Holiday_Dates) &lt;= 0,
            1,
            NETWORKDAYS(L431, M431, Holiday_Dates) - IF(L431 = M431, 0, 1)
        )
    )
)</f>
        <v/>
      </c>
      <c r="R431" s="385" t="str">
        <f>IFERROR(
    IF(
        OR(ISBLANK(N431), AND(ISBLANK(L431), ISBLANK(M431))),
        "",
        MAX(
            1,
            IF(
                NETWORKDAYS(IF(NOT(ISBLANK(M431)), M431, L431), N431, Holiday_Dates) &lt;= 0,
                1,
                NETWORKDAYS(IF(NOT(ISBLANK(M431)), M431, L431), N431, Holiday_Dates)
                - IF(IF(NOT(ISBLANK(M431)), M431, L431) = N431, 0, 1)
            )
        )
    ),
    ""
)</f>
        <v/>
      </c>
      <c r="S431" s="385" t="str">
        <f>IFERROR(
    IF(
        OR(ISBLANK(N431), ISBLANK(O431)),
        "",
        MAX(
            1,
            IF(
                NETWORKDAYS(N431, O431, Holiday_Dates) &lt;= 0,
                1,
                NETWORKDAYS(N431, O431, Holiday_Dates) - IF(N431 = O431, 0, 1)
            )
        )
    ),
    ""
)</f>
        <v/>
      </c>
      <c r="T431" s="385"/>
      <c r="U431" s="385" t="s">
        <v>672</v>
      </c>
      <c r="V431" s="385" t="s">
        <v>1676</v>
      </c>
      <c r="W431" s="385" t="s">
        <v>1436</v>
      </c>
      <c r="X431" s="1"/>
    </row>
    <row r="432" spans="1:24">
      <c r="A432" s="385" t="s">
        <v>49</v>
      </c>
      <c r="B432" s="385" t="s">
        <v>2218</v>
      </c>
      <c r="C432" s="385" t="s">
        <v>2236</v>
      </c>
      <c r="D432" s="385" t="s">
        <v>88</v>
      </c>
      <c r="E432" s="385"/>
      <c r="F432" s="385"/>
      <c r="G432" s="385"/>
      <c r="H432" s="385">
        <v>2024</v>
      </c>
      <c r="I432" s="386">
        <v>45580</v>
      </c>
      <c r="J432" s="30"/>
      <c r="K432" s="385"/>
      <c r="L432" s="385"/>
      <c r="M432" s="385"/>
      <c r="N432" s="385"/>
      <c r="O432" s="385"/>
      <c r="P432" s="385" t="str">
        <f>IFERROR(
    IF(
        OR(ISBLANK(I432), ISBLANK(L432)),
        "",
        MAX(
            1,
            IF(
                NETWORKDAYS(I432, L432, Holiday_Dates) &lt;= 0,
                1,
                NETWORKDAYS(I432, L432, Holiday_Dates) - IF(I432 = L432, 0, 1)
            )
        )
    ),
    ""
)</f>
        <v/>
      </c>
      <c r="Q432" s="385" t="str">
        <f>IF(
    OR(ISBLANK(L432), ISBLANK(M432)),
    "",
    MAX(
        1,
        IF(
            NETWORKDAYS(L432, M432, Holiday_Dates) &lt;= 0,
            1,
            NETWORKDAYS(L432, M432, Holiday_Dates) - IF(L432 = M432, 0, 1)
        )
    )
)</f>
        <v/>
      </c>
      <c r="R432" s="385" t="str">
        <f>IFERROR(
    IF(
        OR(ISBLANK(N432), AND(ISBLANK(L432), ISBLANK(M432))),
        "",
        MAX(
            1,
            IF(
                NETWORKDAYS(IF(NOT(ISBLANK(M432)), M432, L432), N432, Holiday_Dates) &lt;= 0,
                1,
                NETWORKDAYS(IF(NOT(ISBLANK(M432)), M432, L432), N432, Holiday_Dates)
                - IF(IF(NOT(ISBLANK(M432)), M432, L432) = N432, 0, 1)
            )
        )
    ),
    ""
)</f>
        <v/>
      </c>
      <c r="S432" s="385" t="str">
        <f>IFERROR(
    IF(
        OR(ISBLANK(N432), ISBLANK(O432)),
        "",
        MAX(
            1,
            IF(
                NETWORKDAYS(N432, O432, Holiday_Dates) &lt;= 0,
                1,
                NETWORKDAYS(N432, O432, Holiday_Dates) - IF(N432 = O432, 0, 1)
            )
        )
    ),
    ""
)</f>
        <v/>
      </c>
      <c r="T432" s="385"/>
      <c r="U432" s="385" t="s">
        <v>4</v>
      </c>
      <c r="V432" s="385" t="s">
        <v>108</v>
      </c>
      <c r="W432" s="385" t="s">
        <v>1436</v>
      </c>
      <c r="X432" s="1"/>
    </row>
    <row r="433" spans="1:24">
      <c r="A433" s="385" t="s">
        <v>49</v>
      </c>
      <c r="B433" s="385" t="s">
        <v>2218</v>
      </c>
      <c r="C433" s="385" t="s">
        <v>1879</v>
      </c>
      <c r="D433" s="385" t="s">
        <v>88</v>
      </c>
      <c r="E433" s="385"/>
      <c r="F433" s="385"/>
      <c r="G433" s="385"/>
      <c r="H433" s="385">
        <v>2025</v>
      </c>
      <c r="I433" s="386">
        <v>45672</v>
      </c>
      <c r="J433" s="30" t="s">
        <v>4725</v>
      </c>
      <c r="K433" s="385"/>
      <c r="L433" s="385"/>
      <c r="M433" s="385"/>
      <c r="N433" s="385"/>
      <c r="O433" s="385"/>
      <c r="P433" s="385" t="str">
        <f>IFERROR(
    IF(
        OR(ISBLANK(I433), ISBLANK(L433)),
        "",
        MAX(
            1,
            IF(
                NETWORKDAYS(I433, L433, Holiday_Dates) &lt;= 0,
                1,
                NETWORKDAYS(I433, L433, Holiday_Dates) - IF(I433 = L433, 0, 1)
            )
        )
    ),
    ""
)</f>
        <v/>
      </c>
      <c r="Q433" s="385" t="str">
        <f>IF(
    OR(ISBLANK(L433), ISBLANK(M433)),
    "",
    MAX(
        1,
        IF(
            NETWORKDAYS(L433, M433, Holiday_Dates) &lt;= 0,
            1,
            NETWORKDAYS(L433, M433, Holiday_Dates) - IF(L433 = M433, 0, 1)
        )
    )
)</f>
        <v/>
      </c>
      <c r="R433" s="385" t="str">
        <f>IFERROR(
    IF(
        OR(ISBLANK(N433), AND(ISBLANK(L433), ISBLANK(M433))),
        "",
        MAX(
            1,
            IF(
                NETWORKDAYS(IF(NOT(ISBLANK(M433)), M433, L433), N433, Holiday_Dates) &lt;= 0,
                1,
                NETWORKDAYS(IF(NOT(ISBLANK(M433)), M433, L433), N433, Holiday_Dates)
                - IF(IF(NOT(ISBLANK(M433)), M433, L433) = N433, 0, 1)
            )
        )
    ),
    ""
)</f>
        <v/>
      </c>
      <c r="S433" s="385" t="str">
        <f>IFERROR(
    IF(
        OR(ISBLANK(N433), ISBLANK(O433)),
        "",
        MAX(
            1,
            IF(
                NETWORKDAYS(N433, O433, Holiday_Dates) &lt;= 0,
                1,
                NETWORKDAYS(N433, O433, Holiday_Dates) - IF(N433 = O433, 0, 1)
            )
        )
    ),
    ""
)</f>
        <v/>
      </c>
      <c r="T433" s="385"/>
      <c r="U433" s="385" t="s">
        <v>672</v>
      </c>
      <c r="V433" s="385" t="s">
        <v>101</v>
      </c>
      <c r="W433" s="385" t="s">
        <v>1436</v>
      </c>
      <c r="X433" s="1"/>
    </row>
    <row r="434" spans="1:24">
      <c r="A434" s="385" t="s">
        <v>49</v>
      </c>
      <c r="B434" s="385" t="s">
        <v>2218</v>
      </c>
      <c r="C434" s="385" t="s">
        <v>1049</v>
      </c>
      <c r="D434" s="385" t="s">
        <v>88</v>
      </c>
      <c r="E434" s="385"/>
      <c r="F434" s="385"/>
      <c r="G434" s="385"/>
      <c r="H434" s="385">
        <v>2024</v>
      </c>
      <c r="I434" s="386">
        <v>45397</v>
      </c>
      <c r="J434" s="30"/>
      <c r="K434" s="385"/>
      <c r="L434" s="385"/>
      <c r="M434" s="385"/>
      <c r="N434" s="385"/>
      <c r="O434" s="385"/>
      <c r="P434" s="385" t="str">
        <f>IFERROR(
    IF(
        OR(ISBLANK(I434), ISBLANK(L434)),
        "",
        MAX(
            1,
            IF(
                NETWORKDAYS(I434, L434, Holiday_Dates) &lt;= 0,
                1,
                NETWORKDAYS(I434, L434, Holiday_Dates) - IF(I434 = L434, 0, 1)
            )
        )
    ),
    ""
)</f>
        <v/>
      </c>
      <c r="Q434" s="385" t="str">
        <f>IF(
    OR(ISBLANK(L434), ISBLANK(M434)),
    "",
    MAX(
        1,
        IF(
            NETWORKDAYS(L434, M434, Holiday_Dates) &lt;= 0,
            1,
            NETWORKDAYS(L434, M434, Holiday_Dates) - IF(L434 = M434, 0, 1)
        )
    )
)</f>
        <v/>
      </c>
      <c r="R434" s="385" t="str">
        <f>IFERROR(
    IF(
        OR(ISBLANK(N434), AND(ISBLANK(L434), ISBLANK(M434))),
        "",
        MAX(
            1,
            IF(
                NETWORKDAYS(IF(NOT(ISBLANK(M434)), M434, L434), N434, Holiday_Dates) &lt;= 0,
                1,
                NETWORKDAYS(IF(NOT(ISBLANK(M434)), M434, L434), N434, Holiday_Dates)
                - IF(IF(NOT(ISBLANK(M434)), M434, L434) = N434, 0, 1)
            )
        )
    ),
    ""
)</f>
        <v/>
      </c>
      <c r="S434" s="385" t="str">
        <f>IFERROR(
    IF(
        OR(ISBLANK(N434), ISBLANK(O434)),
        "",
        MAX(
            1,
            IF(
                NETWORKDAYS(N434, O434, Holiday_Dates) &lt;= 0,
                1,
                NETWORKDAYS(N434, O434, Holiday_Dates) - IF(N434 = O434, 0, 1)
            )
        )
    ),
    ""
)</f>
        <v/>
      </c>
      <c r="T434" s="385"/>
      <c r="U434" s="385" t="s">
        <v>672</v>
      </c>
      <c r="V434" s="385"/>
      <c r="W434" s="385" t="s">
        <v>1436</v>
      </c>
      <c r="X434" s="1"/>
    </row>
    <row r="435" spans="1:24">
      <c r="A435" s="385" t="s">
        <v>49</v>
      </c>
      <c r="B435" s="385" t="s">
        <v>2218</v>
      </c>
      <c r="C435" s="385" t="s">
        <v>2239</v>
      </c>
      <c r="D435" s="385" t="s">
        <v>88</v>
      </c>
      <c r="E435" s="385"/>
      <c r="F435" s="385"/>
      <c r="G435" s="385"/>
      <c r="H435" s="385">
        <v>2024</v>
      </c>
      <c r="I435" s="386">
        <v>45574</v>
      </c>
      <c r="J435" s="30"/>
      <c r="K435" s="385"/>
      <c r="L435" s="385"/>
      <c r="M435" s="385"/>
      <c r="N435" s="385"/>
      <c r="O435" s="385"/>
      <c r="P435" s="385" t="str">
        <f>IFERROR(
    IF(
        OR(ISBLANK(I435), ISBLANK(L435)),
        "",
        MAX(
            1,
            IF(
                NETWORKDAYS(I435, L435, Holiday_Dates) &lt;= 0,
                1,
                NETWORKDAYS(I435, L435, Holiday_Dates) - IF(I435 = L435, 0, 1)
            )
        )
    ),
    ""
)</f>
        <v/>
      </c>
      <c r="Q435" s="385" t="str">
        <f>IF(
    OR(ISBLANK(L435), ISBLANK(M435)),
    "",
    MAX(
        1,
        IF(
            NETWORKDAYS(L435, M435, Holiday_Dates) &lt;= 0,
            1,
            NETWORKDAYS(L435, M435, Holiday_Dates) - IF(L435 = M435, 0, 1)
        )
    )
)</f>
        <v/>
      </c>
      <c r="R435" s="385" t="str">
        <f>IFERROR(
    IF(
        OR(ISBLANK(N435), AND(ISBLANK(L435), ISBLANK(M435))),
        "",
        MAX(
            1,
            IF(
                NETWORKDAYS(IF(NOT(ISBLANK(M435)), M435, L435), N435, Holiday_Dates) &lt;= 0,
                1,
                NETWORKDAYS(IF(NOT(ISBLANK(M435)), M435, L435), N435, Holiday_Dates)
                - IF(IF(NOT(ISBLANK(M435)), M435, L435) = N435, 0, 1)
            )
        )
    ),
    ""
)</f>
        <v/>
      </c>
      <c r="S435" s="385" t="str">
        <f>IFERROR(
    IF(
        OR(ISBLANK(N435), ISBLANK(O435)),
        "",
        MAX(
            1,
            IF(
                NETWORKDAYS(N435, O435, Holiday_Dates) &lt;= 0,
                1,
                NETWORKDAYS(N435, O435, Holiday_Dates) - IF(N435 = O435, 0, 1)
            )
        )
    ),
    ""
)</f>
        <v/>
      </c>
      <c r="T435" s="385"/>
      <c r="U435" s="385" t="s">
        <v>4</v>
      </c>
      <c r="V435" s="385" t="s">
        <v>108</v>
      </c>
      <c r="W435" s="385" t="s">
        <v>1436</v>
      </c>
      <c r="X435" s="1"/>
    </row>
    <row r="436" spans="1:24">
      <c r="A436" s="385" t="s">
        <v>49</v>
      </c>
      <c r="B436" s="385" t="s">
        <v>2218</v>
      </c>
      <c r="C436" s="385" t="s">
        <v>2242</v>
      </c>
      <c r="D436" s="385" t="s">
        <v>88</v>
      </c>
      <c r="E436" s="385"/>
      <c r="F436" s="385"/>
      <c r="G436" s="385"/>
      <c r="H436" s="385">
        <v>2024</v>
      </c>
      <c r="I436" s="386">
        <v>45573</v>
      </c>
      <c r="J436" s="30"/>
      <c r="K436" s="385"/>
      <c r="L436" s="385"/>
      <c r="M436" s="385"/>
      <c r="N436" s="385"/>
      <c r="O436" s="385"/>
      <c r="P436" s="385" t="str">
        <f>IFERROR(
    IF(
        OR(ISBLANK(I436), ISBLANK(L436)),
        "",
        MAX(
            1,
            IF(
                NETWORKDAYS(I436, L436, Holiday_Dates) &lt;= 0,
                1,
                NETWORKDAYS(I436, L436, Holiday_Dates) - IF(I436 = L436, 0, 1)
            )
        )
    ),
    ""
)</f>
        <v/>
      </c>
      <c r="Q436" s="385" t="str">
        <f>IF(
    OR(ISBLANK(L436), ISBLANK(M436)),
    "",
    MAX(
        1,
        IF(
            NETWORKDAYS(L436, M436, Holiday_Dates) &lt;= 0,
            1,
            NETWORKDAYS(L436, M436, Holiday_Dates) - IF(L436 = M436, 0, 1)
        )
    )
)</f>
        <v/>
      </c>
      <c r="R436" s="385" t="str">
        <f>IFERROR(
    IF(
        OR(ISBLANK(N436), AND(ISBLANK(L436), ISBLANK(M436))),
        "",
        MAX(
            1,
            IF(
                NETWORKDAYS(IF(NOT(ISBLANK(M436)), M436, L436), N436, Holiday_Dates) &lt;= 0,
                1,
                NETWORKDAYS(IF(NOT(ISBLANK(M436)), M436, L436), N436, Holiday_Dates)
                - IF(IF(NOT(ISBLANK(M436)), M436, L436) = N436, 0, 1)
            )
        )
    ),
    ""
)</f>
        <v/>
      </c>
      <c r="S436" s="385" t="str">
        <f>IFERROR(
    IF(
        OR(ISBLANK(N436), ISBLANK(O436)),
        "",
        MAX(
            1,
            IF(
                NETWORKDAYS(N436, O436, Holiday_Dates) &lt;= 0,
                1,
                NETWORKDAYS(N436, O436, Holiday_Dates) - IF(N436 = O436, 0, 1)
            )
        )
    ),
    ""
)</f>
        <v/>
      </c>
      <c r="T436" s="385"/>
      <c r="U436" s="385" t="s">
        <v>4</v>
      </c>
      <c r="V436" s="385" t="s">
        <v>101</v>
      </c>
      <c r="W436" s="385" t="s">
        <v>1436</v>
      </c>
      <c r="X436" s="1"/>
    </row>
    <row r="437" spans="1:24">
      <c r="A437" s="385" t="s">
        <v>49</v>
      </c>
      <c r="B437" s="385" t="s">
        <v>2218</v>
      </c>
      <c r="C437" s="385" t="s">
        <v>2244</v>
      </c>
      <c r="D437" s="385" t="s">
        <v>88</v>
      </c>
      <c r="E437" s="385"/>
      <c r="F437" s="385"/>
      <c r="G437" s="385"/>
      <c r="H437" s="385">
        <v>2025</v>
      </c>
      <c r="I437" s="386">
        <v>45966</v>
      </c>
      <c r="J437" s="30" t="s">
        <v>4726</v>
      </c>
      <c r="K437" s="385"/>
      <c r="L437" s="385"/>
      <c r="M437" s="385"/>
      <c r="N437" s="385"/>
      <c r="O437" s="385"/>
      <c r="P437" s="385" t="str">
        <f>IFERROR(
    IF(
        OR(ISBLANK(I437), ISBLANK(L437)),
        "",
        MAX(
            1,
            IF(
                NETWORKDAYS(I437, L437, Holiday_Dates) &lt;= 0,
                1,
                NETWORKDAYS(I437, L437, Holiday_Dates) - IF(I437 = L437, 0, 1)
            )
        )
    ),
    ""
)</f>
        <v/>
      </c>
      <c r="Q437" s="385" t="str">
        <f>IF(
    OR(ISBLANK(L437), ISBLANK(M437)),
    "",
    MAX(
        1,
        IF(
            NETWORKDAYS(L437, M437, Holiday_Dates) &lt;= 0,
            1,
            NETWORKDAYS(L437, M437, Holiday_Dates) - IF(L437 = M437, 0, 1)
        )
    )
)</f>
        <v/>
      </c>
      <c r="R437" s="385" t="str">
        <f>IFERROR(
    IF(
        OR(ISBLANK(N437), AND(ISBLANK(L437), ISBLANK(M437))),
        "",
        MAX(
            1,
            IF(
                NETWORKDAYS(IF(NOT(ISBLANK(M437)), M437, L437), N437, Holiday_Dates) &lt;= 0,
                1,
                NETWORKDAYS(IF(NOT(ISBLANK(M437)), M437, L437), N437, Holiday_Dates)
                - IF(IF(NOT(ISBLANK(M437)), M437, L437) = N437, 0, 1)
            )
        )
    ),
    ""
)</f>
        <v/>
      </c>
      <c r="S437" s="385" t="str">
        <f>IFERROR(
    IF(
        OR(ISBLANK(N437), ISBLANK(O437)),
        "",
        MAX(
            1,
            IF(
                NETWORKDAYS(N437, O437, Holiday_Dates) &lt;= 0,
                1,
                NETWORKDAYS(N437, O437, Holiday_Dates) - IF(N437 = O437, 0, 1)
            )
        )
    ),
    ""
)</f>
        <v/>
      </c>
      <c r="T437" s="385"/>
      <c r="U437" s="385" t="s">
        <v>672</v>
      </c>
      <c r="V437" s="385" t="s">
        <v>1676</v>
      </c>
      <c r="W437" s="385" t="s">
        <v>1436</v>
      </c>
      <c r="X437" s="1"/>
    </row>
    <row r="438" spans="1:24">
      <c r="A438" s="385" t="s">
        <v>49</v>
      </c>
      <c r="B438" s="385" t="s">
        <v>2218</v>
      </c>
      <c r="C438" s="385" t="s">
        <v>2245</v>
      </c>
      <c r="D438" s="385" t="s">
        <v>88</v>
      </c>
      <c r="E438" s="385"/>
      <c r="F438" s="385"/>
      <c r="G438" s="385"/>
      <c r="H438" s="385">
        <v>2024</v>
      </c>
      <c r="I438" s="386">
        <v>45574</v>
      </c>
      <c r="J438" s="30"/>
      <c r="K438" s="385"/>
      <c r="L438" s="385"/>
      <c r="M438" s="385"/>
      <c r="N438" s="385"/>
      <c r="O438" s="385"/>
      <c r="P438" s="385" t="str">
        <f>IFERROR(
    IF(
        OR(ISBLANK(I438), ISBLANK(L438)),
        "",
        MAX(
            1,
            IF(
                NETWORKDAYS(I438, L438, Holiday_Dates) &lt;= 0,
                1,
                NETWORKDAYS(I438, L438, Holiday_Dates) - IF(I438 = L438, 0, 1)
            )
        )
    ),
    ""
)</f>
        <v/>
      </c>
      <c r="Q438" s="385" t="str">
        <f>IF(
    OR(ISBLANK(L438), ISBLANK(M438)),
    "",
    MAX(
        1,
        IF(
            NETWORKDAYS(L438, M438, Holiday_Dates) &lt;= 0,
            1,
            NETWORKDAYS(L438, M438, Holiday_Dates) - IF(L438 = M438, 0, 1)
        )
    )
)</f>
        <v/>
      </c>
      <c r="R438" s="385" t="str">
        <f>IFERROR(
    IF(
        OR(ISBLANK(N438), AND(ISBLANK(L438), ISBLANK(M438))),
        "",
        MAX(
            1,
            IF(
                NETWORKDAYS(IF(NOT(ISBLANK(M438)), M438, L438), N438, Holiday_Dates) &lt;= 0,
                1,
                NETWORKDAYS(IF(NOT(ISBLANK(M438)), M438, L438), N438, Holiday_Dates)
                - IF(IF(NOT(ISBLANK(M438)), M438, L438) = N438, 0, 1)
            )
        )
    ),
    ""
)</f>
        <v/>
      </c>
      <c r="S438" s="385" t="str">
        <f>IFERROR(
    IF(
        OR(ISBLANK(N438), ISBLANK(O438)),
        "",
        MAX(
            1,
            IF(
                NETWORKDAYS(N438, O438, Holiday_Dates) &lt;= 0,
                1,
                NETWORKDAYS(N438, O438, Holiday_Dates) - IF(N438 = O438, 0, 1)
            )
        )
    ),
    ""
)</f>
        <v/>
      </c>
      <c r="T438" s="385"/>
      <c r="U438" s="385" t="s">
        <v>4</v>
      </c>
      <c r="V438" s="385" t="s">
        <v>108</v>
      </c>
      <c r="W438" s="385" t="s">
        <v>1436</v>
      </c>
      <c r="X438" s="1"/>
    </row>
    <row r="439" spans="1:24">
      <c r="A439" s="385" t="s">
        <v>49</v>
      </c>
      <c r="B439" s="385" t="s">
        <v>2218</v>
      </c>
      <c r="C439" s="385" t="s">
        <v>664</v>
      </c>
      <c r="D439" s="385" t="s">
        <v>88</v>
      </c>
      <c r="E439" s="385"/>
      <c r="F439" s="385"/>
      <c r="G439" s="385"/>
      <c r="H439" s="385">
        <v>2025</v>
      </c>
      <c r="I439" s="386">
        <v>45937</v>
      </c>
      <c r="J439" s="30" t="s">
        <v>4727</v>
      </c>
      <c r="K439" s="385"/>
      <c r="L439" s="385"/>
      <c r="M439" s="385"/>
      <c r="N439" s="385"/>
      <c r="O439" s="385"/>
      <c r="P439" s="385" t="str">
        <f>IFERROR(
    IF(
        OR(ISBLANK(I439), ISBLANK(L439)),
        "",
        MAX(
            1,
            IF(
                NETWORKDAYS(I439, L439, Holiday_Dates) &lt;= 0,
                1,
                NETWORKDAYS(I439, L439, Holiday_Dates) - IF(I439 = L439, 0, 1)
            )
        )
    ),
    ""
)</f>
        <v/>
      </c>
      <c r="Q439" s="385" t="str">
        <f>IF(
    OR(ISBLANK(L439), ISBLANK(M439)),
    "",
    MAX(
        1,
        IF(
            NETWORKDAYS(L439, M439, Holiday_Dates) &lt;= 0,
            1,
            NETWORKDAYS(L439, M439, Holiday_Dates) - IF(L439 = M439, 0, 1)
        )
    )
)</f>
        <v/>
      </c>
      <c r="R439" s="385" t="str">
        <f>IFERROR(
    IF(
        OR(ISBLANK(N439), AND(ISBLANK(L439), ISBLANK(M439))),
        "",
        MAX(
            1,
            IF(
                NETWORKDAYS(IF(NOT(ISBLANK(M439)), M439, L439), N439, Holiday_Dates) &lt;= 0,
                1,
                NETWORKDAYS(IF(NOT(ISBLANK(M439)), M439, L439), N439, Holiday_Dates)
                - IF(IF(NOT(ISBLANK(M439)), M439, L439) = N439, 0, 1)
            )
        )
    ),
    ""
)</f>
        <v/>
      </c>
      <c r="S439" s="385" t="str">
        <f>IFERROR(
    IF(
        OR(ISBLANK(N439), ISBLANK(O439)),
        "",
        MAX(
            1,
            IF(
                NETWORKDAYS(N439, O439, Holiday_Dates) &lt;= 0,
                1,
                NETWORKDAYS(N439, O439, Holiday_Dates) - IF(N439 = O439, 0, 1)
            )
        )
    ),
    ""
)</f>
        <v/>
      </c>
      <c r="T439" s="385"/>
      <c r="U439" s="385" t="s">
        <v>672</v>
      </c>
      <c r="V439" s="385" t="s">
        <v>1676</v>
      </c>
      <c r="W439" s="385" t="s">
        <v>1436</v>
      </c>
      <c r="X439" s="1"/>
    </row>
    <row r="440" spans="1:24">
      <c r="A440" s="385" t="s">
        <v>65</v>
      </c>
      <c r="B440" s="385" t="s">
        <v>383</v>
      </c>
      <c r="C440" s="385" t="s">
        <v>2736</v>
      </c>
      <c r="D440" s="385" t="s">
        <v>88</v>
      </c>
      <c r="E440" s="385" t="s">
        <v>140</v>
      </c>
      <c r="F440" s="385"/>
      <c r="G440" s="385" t="s">
        <v>130</v>
      </c>
      <c r="H440" s="385">
        <v>2026</v>
      </c>
      <c r="I440" s="386">
        <v>46037</v>
      </c>
      <c r="J440" s="529" t="s">
        <v>4728</v>
      </c>
      <c r="K440" s="385" t="s">
        <v>92</v>
      </c>
      <c r="L440" s="386">
        <v>46038</v>
      </c>
      <c r="M440" s="386">
        <v>46043</v>
      </c>
      <c r="N440" s="386">
        <v>46043</v>
      </c>
      <c r="O440" s="386">
        <v>46044</v>
      </c>
      <c r="P440" s="385">
        <f>IFERROR(
    IF(
        OR(ISBLANK(I440), ISBLANK(L440)),
        "",
        MAX(
            1,
            IF(
                NETWORKDAYS(I440, L440, Holiday_Dates) &lt;= 0,
                1,
                NETWORKDAYS(I440, L440, Holiday_Dates) - IF(I440 = L440, 0, 1)
            )
        )
    ),
    ""
)</f>
        <v>1</v>
      </c>
      <c r="Q440" s="385">
        <f>IF(
    OR(ISBLANK(L440), ISBLANK(M440)),
    "",
    MAX(
        1,
        IF(
            NETWORKDAYS(L440, M440, Holiday_Dates) &lt;= 0,
            1,
            NETWORKDAYS(L440, M440, Holiday_Dates) - IF(L440 = M440, 0, 1)
        )
    )
)</f>
        <v>3</v>
      </c>
      <c r="R440" s="385">
        <f>IFERROR(
    IF(
        OR(ISBLANK(N440), AND(ISBLANK(L440), ISBLANK(M440))),
        "",
        MAX(
            1,
            IF(
                NETWORKDAYS(IF(NOT(ISBLANK(M440)), M440, L440), N440, Holiday_Dates) &lt;= 0,
                1,
                NETWORKDAYS(IF(NOT(ISBLANK(M440)), M440, L440), N440, Holiday_Dates)
                - IF(IF(NOT(ISBLANK(M440)), M440, L440) = N440, 0, 1)
            )
        )
    ),
    ""
)</f>
        <v>1</v>
      </c>
      <c r="S440" s="385">
        <f>IFERROR(
    IF(
        OR(ISBLANK(N440), ISBLANK(O440)),
        "",
        MAX(
            1,
            IF(
                NETWORKDAYS(N440, O440, Holiday_Dates) &lt;= 0,
                1,
                NETWORKDAYS(N440, O440, Holiday_Dates) - IF(N440 = O440, 0, 1)
            )
        )
    ),
    ""
)</f>
        <v>1</v>
      </c>
      <c r="T440" s="385" t="s">
        <v>929</v>
      </c>
      <c r="U440" s="385" t="s">
        <v>672</v>
      </c>
      <c r="V440" s="385" t="s">
        <v>101</v>
      </c>
      <c r="W440" s="385" t="s">
        <v>4710</v>
      </c>
      <c r="X440" s="1"/>
    </row>
    <row r="441" spans="1:24">
      <c r="A441" s="385" t="s">
        <v>49</v>
      </c>
      <c r="B441" s="385" t="s">
        <v>2218</v>
      </c>
      <c r="C441" s="385" t="s">
        <v>2249</v>
      </c>
      <c r="D441" s="385" t="s">
        <v>88</v>
      </c>
      <c r="E441" s="385"/>
      <c r="F441" s="385"/>
      <c r="G441" s="385"/>
      <c r="H441" s="385">
        <v>2024</v>
      </c>
      <c r="I441" s="386">
        <v>45450</v>
      </c>
      <c r="J441" s="30"/>
      <c r="K441" s="385"/>
      <c r="L441" s="385"/>
      <c r="M441" s="385"/>
      <c r="N441" s="385"/>
      <c r="O441" s="385"/>
      <c r="P441" s="385" t="str">
        <f>IFERROR(
    IF(
        OR(ISBLANK(I441), ISBLANK(L441)),
        "",
        MAX(
            1,
            IF(
                NETWORKDAYS(I441, L441, Holiday_Dates) &lt;= 0,
                1,
                NETWORKDAYS(I441, L441, Holiday_Dates) - IF(I441 = L441, 0, 1)
            )
        )
    ),
    ""
)</f>
        <v/>
      </c>
      <c r="Q441" s="385" t="str">
        <f>IF(
    OR(ISBLANK(L441), ISBLANK(M441)),
    "",
    MAX(
        1,
        IF(
            NETWORKDAYS(L441, M441, Holiday_Dates) &lt;= 0,
            1,
            NETWORKDAYS(L441, M441, Holiday_Dates) - IF(L441 = M441, 0, 1)
        )
    )
)</f>
        <v/>
      </c>
      <c r="R441" s="385" t="str">
        <f>IFERROR(
    IF(
        OR(ISBLANK(N441), AND(ISBLANK(L441), ISBLANK(M441))),
        "",
        MAX(
            1,
            IF(
                NETWORKDAYS(IF(NOT(ISBLANK(M441)), M441, L441), N441, Holiday_Dates) &lt;= 0,
                1,
                NETWORKDAYS(IF(NOT(ISBLANK(M441)), M441, L441), N441, Holiday_Dates)
                - IF(IF(NOT(ISBLANK(M441)), M441, L441) = N441, 0, 1)
            )
        )
    ),
    ""
)</f>
        <v/>
      </c>
      <c r="S441" s="385" t="str">
        <f>IFERROR(
    IF(
        OR(ISBLANK(N441), ISBLANK(O441)),
        "",
        MAX(
            1,
            IF(
                NETWORKDAYS(N441, O441, Holiday_Dates) &lt;= 0,
                1,
                NETWORKDAYS(N441, O441, Holiday_Dates) - IF(N441 = O441, 0, 1)
            )
        )
    ),
    ""
)</f>
        <v/>
      </c>
      <c r="T441" s="385"/>
      <c r="U441" s="385" t="s">
        <v>672</v>
      </c>
      <c r="V441" s="385"/>
      <c r="W441" s="385" t="s">
        <v>1436</v>
      </c>
      <c r="X441" s="1"/>
    </row>
    <row r="442" spans="1:24">
      <c r="A442" s="385" t="s">
        <v>49</v>
      </c>
      <c r="B442" s="385" t="s">
        <v>707</v>
      </c>
      <c r="C442" s="385" t="s">
        <v>2251</v>
      </c>
      <c r="D442" s="385" t="s">
        <v>88</v>
      </c>
      <c r="E442" s="385"/>
      <c r="F442" s="385"/>
      <c r="G442" s="385"/>
      <c r="H442" s="385">
        <v>2025</v>
      </c>
      <c r="I442" s="386">
        <v>45911</v>
      </c>
      <c r="J442" s="30" t="s">
        <v>4729</v>
      </c>
      <c r="K442" s="385"/>
      <c r="L442" s="385"/>
      <c r="M442" s="385"/>
      <c r="N442" s="385"/>
      <c r="O442" s="385"/>
      <c r="P442" s="385" t="str">
        <f>IFERROR(
    IF(
        OR(ISBLANK(I442), ISBLANK(L442)),
        "",
        MAX(
            1,
            IF(
                NETWORKDAYS(I442, L442, Holiday_Dates) &lt;= 0,
                1,
                NETWORKDAYS(I442, L442, Holiday_Dates) - IF(I442 = L442, 0, 1)
            )
        )
    ),
    ""
)</f>
        <v/>
      </c>
      <c r="Q442" s="385" t="str">
        <f>IF(
    OR(ISBLANK(L442), ISBLANK(M442)),
    "",
    MAX(
        1,
        IF(
            NETWORKDAYS(L442, M442, Holiday_Dates) &lt;= 0,
            1,
            NETWORKDAYS(L442, M442, Holiday_Dates) - IF(L442 = M442, 0, 1)
        )
    )
)</f>
        <v/>
      </c>
      <c r="R442" s="385" t="str">
        <f>IFERROR(
    IF(
        OR(ISBLANK(N442), AND(ISBLANK(L442), ISBLANK(M442))),
        "",
        MAX(
            1,
            IF(
                NETWORKDAYS(IF(NOT(ISBLANK(M442)), M442, L442), N442, Holiday_Dates) &lt;= 0,
                1,
                NETWORKDAYS(IF(NOT(ISBLANK(M442)), M442, L442), N442, Holiday_Dates)
                - IF(IF(NOT(ISBLANK(M442)), M442, L442) = N442, 0, 1)
            )
        )
    ),
    ""
)</f>
        <v/>
      </c>
      <c r="S442" s="385" t="str">
        <f>IFERROR(
    IF(
        OR(ISBLANK(N442), ISBLANK(O442)),
        "",
        MAX(
            1,
            IF(
                NETWORKDAYS(N442, O442, Holiday_Dates) &lt;= 0,
                1,
                NETWORKDAYS(N442, O442, Holiday_Dates) - IF(N442 = O442, 0, 1)
            )
        )
    ),
    ""
)</f>
        <v/>
      </c>
      <c r="T442" s="385"/>
      <c r="U442" s="385" t="s">
        <v>672</v>
      </c>
      <c r="V442" s="385" t="s">
        <v>1676</v>
      </c>
      <c r="W442" s="385" t="s">
        <v>1436</v>
      </c>
      <c r="X442" s="1"/>
    </row>
    <row r="443" spans="1:24">
      <c r="A443" s="385" t="s">
        <v>49</v>
      </c>
      <c r="B443" s="385" t="s">
        <v>707</v>
      </c>
      <c r="C443" s="385" t="s">
        <v>1023</v>
      </c>
      <c r="D443" s="385" t="s">
        <v>88</v>
      </c>
      <c r="E443" s="385"/>
      <c r="F443" s="385"/>
      <c r="G443" s="385"/>
      <c r="H443" s="385">
        <v>2025</v>
      </c>
      <c r="I443" s="386">
        <v>45911</v>
      </c>
      <c r="J443" s="30" t="s">
        <v>4730</v>
      </c>
      <c r="K443" s="385"/>
      <c r="L443" s="385"/>
      <c r="M443" s="385"/>
      <c r="N443" s="385"/>
      <c r="O443" s="385"/>
      <c r="P443" s="385" t="str">
        <f>IFERROR(
    IF(
        OR(ISBLANK(I443), ISBLANK(L443)),
        "",
        MAX(
            1,
            IF(
                NETWORKDAYS(I443, L443, Holiday_Dates) &lt;= 0,
                1,
                NETWORKDAYS(I443, L443, Holiday_Dates) - IF(I443 = L443, 0, 1)
            )
        )
    ),
    ""
)</f>
        <v/>
      </c>
      <c r="Q443" s="385" t="str">
        <f>IF(
    OR(ISBLANK(L443), ISBLANK(M443)),
    "",
    MAX(
        1,
        IF(
            NETWORKDAYS(L443, M443, Holiday_Dates) &lt;= 0,
            1,
            NETWORKDAYS(L443, M443, Holiday_Dates) - IF(L443 = M443, 0, 1)
        )
    )
)</f>
        <v/>
      </c>
      <c r="R443" s="385" t="str">
        <f>IFERROR(
    IF(
        OR(ISBLANK(N443), AND(ISBLANK(L443), ISBLANK(M443))),
        "",
        MAX(
            1,
            IF(
                NETWORKDAYS(IF(NOT(ISBLANK(M443)), M443, L443), N443, Holiday_Dates) &lt;= 0,
                1,
                NETWORKDAYS(IF(NOT(ISBLANK(M443)), M443, L443), N443, Holiday_Dates)
                - IF(IF(NOT(ISBLANK(M443)), M443, L443) = N443, 0, 1)
            )
        )
    ),
    ""
)</f>
        <v/>
      </c>
      <c r="S443" s="385" t="str">
        <f>IFERROR(
    IF(
        OR(ISBLANK(N443), ISBLANK(O443)),
        "",
        MAX(
            1,
            IF(
                NETWORKDAYS(N443, O443, Holiday_Dates) &lt;= 0,
                1,
                NETWORKDAYS(N443, O443, Holiday_Dates) - IF(N443 = O443, 0, 1)
            )
        )
    ),
    ""
)</f>
        <v/>
      </c>
      <c r="T443" s="385"/>
      <c r="U443" s="385" t="s">
        <v>672</v>
      </c>
      <c r="V443" s="385" t="s">
        <v>1676</v>
      </c>
      <c r="W443" s="385" t="s">
        <v>1436</v>
      </c>
      <c r="X443" s="1"/>
    </row>
    <row r="444" spans="1:24">
      <c r="A444" s="385" t="s">
        <v>49</v>
      </c>
      <c r="B444" s="385" t="s">
        <v>707</v>
      </c>
      <c r="C444" s="385" t="s">
        <v>2252</v>
      </c>
      <c r="D444" s="385" t="s">
        <v>88</v>
      </c>
      <c r="E444" s="385"/>
      <c r="F444" s="385"/>
      <c r="G444" s="385"/>
      <c r="H444" s="385">
        <v>2025</v>
      </c>
      <c r="I444" s="386">
        <v>45916</v>
      </c>
      <c r="J444" s="30" t="s">
        <v>4731</v>
      </c>
      <c r="K444" s="385"/>
      <c r="L444" s="385"/>
      <c r="M444" s="385"/>
      <c r="N444" s="385"/>
      <c r="O444" s="385"/>
      <c r="P444" s="385" t="str">
        <f>IFERROR(
    IF(
        OR(ISBLANK(I444), ISBLANK(L444)),
        "",
        MAX(
            1,
            IF(
                NETWORKDAYS(I444, L444, Holiday_Dates) &lt;= 0,
                1,
                NETWORKDAYS(I444, L444, Holiday_Dates) - IF(I444 = L444, 0, 1)
            )
        )
    ),
    ""
)</f>
        <v/>
      </c>
      <c r="Q444" s="385" t="str">
        <f>IF(
    OR(ISBLANK(L444), ISBLANK(M444)),
    "",
    MAX(
        1,
        IF(
            NETWORKDAYS(L444, M444, Holiday_Dates) &lt;= 0,
            1,
            NETWORKDAYS(L444, M444, Holiday_Dates) - IF(L444 = M444, 0, 1)
        )
    )
)</f>
        <v/>
      </c>
      <c r="R444" s="385" t="str">
        <f>IFERROR(
    IF(
        OR(ISBLANK(N444), AND(ISBLANK(L444), ISBLANK(M444))),
        "",
        MAX(
            1,
            IF(
                NETWORKDAYS(IF(NOT(ISBLANK(M444)), M444, L444), N444, Holiday_Dates) &lt;= 0,
                1,
                NETWORKDAYS(IF(NOT(ISBLANK(M444)), M444, L444), N444, Holiday_Dates)
                - IF(IF(NOT(ISBLANK(M444)), M444, L444) = N444, 0, 1)
            )
        )
    ),
    ""
)</f>
        <v/>
      </c>
      <c r="S444" s="385" t="str">
        <f>IFERROR(
    IF(
        OR(ISBLANK(N444), ISBLANK(O444)),
        "",
        MAX(
            1,
            IF(
                NETWORKDAYS(N444, O444, Holiday_Dates) &lt;= 0,
                1,
                NETWORKDAYS(N444, O444, Holiday_Dates) - IF(N444 = O444, 0, 1)
            )
        )
    ),
    ""
)</f>
        <v/>
      </c>
      <c r="T444" s="385"/>
      <c r="U444" s="385" t="s">
        <v>4</v>
      </c>
      <c r="V444" s="385" t="s">
        <v>101</v>
      </c>
      <c r="W444" s="385" t="s">
        <v>1436</v>
      </c>
      <c r="X444" s="1"/>
    </row>
    <row r="445" spans="1:24">
      <c r="A445" s="385" t="s">
        <v>49</v>
      </c>
      <c r="B445" s="385" t="s">
        <v>707</v>
      </c>
      <c r="C445" s="385" t="s">
        <v>708</v>
      </c>
      <c r="D445" s="385" t="s">
        <v>88</v>
      </c>
      <c r="E445" s="385"/>
      <c r="F445" s="385"/>
      <c r="G445" s="385"/>
      <c r="H445" s="385">
        <v>2025</v>
      </c>
      <c r="I445" s="386">
        <v>45911</v>
      </c>
      <c r="J445" s="30" t="s">
        <v>4732</v>
      </c>
      <c r="K445" s="385"/>
      <c r="L445" s="385"/>
      <c r="M445" s="385"/>
      <c r="N445" s="385"/>
      <c r="O445" s="385"/>
      <c r="P445" s="385" t="str">
        <f>IFERROR(
    IF(
        OR(ISBLANK(I445), ISBLANK(L445)),
        "",
        MAX(
            1,
            IF(
                NETWORKDAYS(I445, L445, Holiday_Dates) &lt;= 0,
                1,
                NETWORKDAYS(I445, L445, Holiday_Dates) - IF(I445 = L445, 0, 1)
            )
        )
    ),
    ""
)</f>
        <v/>
      </c>
      <c r="Q445" s="385" t="str">
        <f>IF(
    OR(ISBLANK(L445), ISBLANK(M445)),
    "",
    MAX(
        1,
        IF(
            NETWORKDAYS(L445, M445, Holiday_Dates) &lt;= 0,
            1,
            NETWORKDAYS(L445, M445, Holiday_Dates) - IF(L445 = M445, 0, 1)
        )
    )
)</f>
        <v/>
      </c>
      <c r="R445" s="385" t="str">
        <f>IFERROR(
    IF(
        OR(ISBLANK(N445), AND(ISBLANK(L445), ISBLANK(M445))),
        "",
        MAX(
            1,
            IF(
                NETWORKDAYS(IF(NOT(ISBLANK(M445)), M445, L445), N445, Holiday_Dates) &lt;= 0,
                1,
                NETWORKDAYS(IF(NOT(ISBLANK(M445)), M445, L445), N445, Holiday_Dates)
                - IF(IF(NOT(ISBLANK(M445)), M445, L445) = N445, 0, 1)
            )
        )
    ),
    ""
)</f>
        <v/>
      </c>
      <c r="S445" s="385" t="str">
        <f>IFERROR(
    IF(
        OR(ISBLANK(N445), ISBLANK(O445)),
        "",
        MAX(
            1,
            IF(
                NETWORKDAYS(N445, O445, Holiday_Dates) &lt;= 0,
                1,
                NETWORKDAYS(N445, O445, Holiday_Dates) - IF(N445 = O445, 0, 1)
            )
        )
    ),
    ""
)</f>
        <v/>
      </c>
      <c r="T445" s="385"/>
      <c r="U445" s="385" t="s">
        <v>4</v>
      </c>
      <c r="V445" s="385" t="s">
        <v>108</v>
      </c>
      <c r="W445" s="385" t="s">
        <v>1436</v>
      </c>
      <c r="X445" s="1"/>
    </row>
    <row r="446" spans="1:24">
      <c r="A446" s="385" t="s">
        <v>49</v>
      </c>
      <c r="B446" s="385" t="s">
        <v>707</v>
      </c>
      <c r="C446" s="385" t="s">
        <v>2253</v>
      </c>
      <c r="D446" s="385" t="s">
        <v>88</v>
      </c>
      <c r="E446" s="385"/>
      <c r="F446" s="385"/>
      <c r="G446" s="385"/>
      <c r="H446" s="385">
        <v>2025</v>
      </c>
      <c r="I446" s="386">
        <v>45883</v>
      </c>
      <c r="J446" s="30" t="s">
        <v>4733</v>
      </c>
      <c r="K446" s="385"/>
      <c r="L446" s="385"/>
      <c r="M446" s="385"/>
      <c r="N446" s="385"/>
      <c r="O446" s="385"/>
      <c r="P446" s="385" t="str">
        <f>IFERROR(
    IF(
        OR(ISBLANK(I446), ISBLANK(L446)),
        "",
        MAX(
            1,
            IF(
                NETWORKDAYS(I446, L446, Holiday_Dates) &lt;= 0,
                1,
                NETWORKDAYS(I446, L446, Holiday_Dates) - IF(I446 = L446, 0, 1)
            )
        )
    ),
    ""
)</f>
        <v/>
      </c>
      <c r="Q446" s="385" t="str">
        <f>IF(
    OR(ISBLANK(L446), ISBLANK(M446)),
    "",
    MAX(
        1,
        IF(
            NETWORKDAYS(L446, M446, Holiday_Dates) &lt;= 0,
            1,
            NETWORKDAYS(L446, M446, Holiday_Dates) - IF(L446 = M446, 0, 1)
        )
    )
)</f>
        <v/>
      </c>
      <c r="R446" s="385" t="str">
        <f>IFERROR(
    IF(
        OR(ISBLANK(N446), AND(ISBLANK(L446), ISBLANK(M446))),
        "",
        MAX(
            1,
            IF(
                NETWORKDAYS(IF(NOT(ISBLANK(M446)), M446, L446), N446, Holiday_Dates) &lt;= 0,
                1,
                NETWORKDAYS(IF(NOT(ISBLANK(M446)), M446, L446), N446, Holiday_Dates)
                - IF(IF(NOT(ISBLANK(M446)), M446, L446) = N446, 0, 1)
            )
        )
    ),
    ""
)</f>
        <v/>
      </c>
      <c r="S446" s="385" t="str">
        <f>IFERROR(
    IF(
        OR(ISBLANK(N446), ISBLANK(O446)),
        "",
        MAX(
            1,
            IF(
                NETWORKDAYS(N446, O446, Holiday_Dates) &lt;= 0,
                1,
                NETWORKDAYS(N446, O446, Holiday_Dates) - IF(N446 = O446, 0, 1)
            )
        )
    ),
    ""
)</f>
        <v/>
      </c>
      <c r="T446" s="385"/>
      <c r="U446" s="385" t="s">
        <v>672</v>
      </c>
      <c r="V446" s="385" t="s">
        <v>1676</v>
      </c>
      <c r="W446" s="385" t="s">
        <v>1436</v>
      </c>
      <c r="X446" s="1"/>
    </row>
    <row r="447" spans="1:24">
      <c r="A447" s="385" t="s">
        <v>49</v>
      </c>
      <c r="B447" s="385" t="s">
        <v>707</v>
      </c>
      <c r="C447" s="385" t="s">
        <v>2254</v>
      </c>
      <c r="D447" s="385" t="s">
        <v>88</v>
      </c>
      <c r="E447" s="385"/>
      <c r="F447" s="385"/>
      <c r="G447" s="385"/>
      <c r="H447" s="385">
        <v>2025</v>
      </c>
      <c r="I447" s="386">
        <v>45819</v>
      </c>
      <c r="J447" s="30" t="s">
        <v>4734</v>
      </c>
      <c r="K447" s="385"/>
      <c r="L447" s="385"/>
      <c r="M447" s="385"/>
      <c r="N447" s="385"/>
      <c r="O447" s="385"/>
      <c r="P447" s="385" t="str">
        <f>IFERROR(
    IF(
        OR(ISBLANK(I447), ISBLANK(L447)),
        "",
        MAX(
            1,
            IF(
                NETWORKDAYS(I447, L447, Holiday_Dates) &lt;= 0,
                1,
                NETWORKDAYS(I447, L447, Holiday_Dates) - IF(I447 = L447, 0, 1)
            )
        )
    ),
    ""
)</f>
        <v/>
      </c>
      <c r="Q447" s="385" t="str">
        <f>IF(
    OR(ISBLANK(L447), ISBLANK(M447)),
    "",
    MAX(
        1,
        IF(
            NETWORKDAYS(L447, M447, Holiday_Dates) &lt;= 0,
            1,
            NETWORKDAYS(L447, M447, Holiday_Dates) - IF(L447 = M447, 0, 1)
        )
    )
)</f>
        <v/>
      </c>
      <c r="R447" s="385" t="str">
        <f>IFERROR(
    IF(
        OR(ISBLANK(N447), AND(ISBLANK(L447), ISBLANK(M447))),
        "",
        MAX(
            1,
            IF(
                NETWORKDAYS(IF(NOT(ISBLANK(M447)), M447, L447), N447, Holiday_Dates) &lt;= 0,
                1,
                NETWORKDAYS(IF(NOT(ISBLANK(M447)), M447, L447), N447, Holiday_Dates)
                - IF(IF(NOT(ISBLANK(M447)), M447, L447) = N447, 0, 1)
            )
        )
    ),
    ""
)</f>
        <v/>
      </c>
      <c r="S447" s="385" t="str">
        <f>IFERROR(
    IF(
        OR(ISBLANK(N447), ISBLANK(O447)),
        "",
        MAX(
            1,
            IF(
                NETWORKDAYS(N447, O447, Holiday_Dates) &lt;= 0,
                1,
                NETWORKDAYS(N447, O447, Holiday_Dates) - IF(N447 = O447, 0, 1)
            )
        )
    ),
    ""
)</f>
        <v/>
      </c>
      <c r="T447" s="385"/>
      <c r="U447" s="385" t="s">
        <v>4</v>
      </c>
      <c r="V447" s="385" t="s">
        <v>101</v>
      </c>
      <c r="W447" s="385" t="s">
        <v>1436</v>
      </c>
      <c r="X447" s="1"/>
    </row>
    <row r="448" spans="1:24">
      <c r="A448" s="385" t="s">
        <v>49</v>
      </c>
      <c r="B448" s="385" t="s">
        <v>707</v>
      </c>
      <c r="C448" s="385" t="s">
        <v>2255</v>
      </c>
      <c r="D448" s="385" t="s">
        <v>88</v>
      </c>
      <c r="E448" s="385"/>
      <c r="F448" s="385"/>
      <c r="G448" s="385"/>
      <c r="H448" s="385">
        <v>2025</v>
      </c>
      <c r="I448" s="386">
        <v>45911</v>
      </c>
      <c r="J448" s="30" t="s">
        <v>4735</v>
      </c>
      <c r="K448" s="385"/>
      <c r="L448" s="385"/>
      <c r="M448" s="385"/>
      <c r="N448" s="385"/>
      <c r="O448" s="385"/>
      <c r="P448" s="385" t="str">
        <f>IFERROR(
    IF(
        OR(ISBLANK(I448), ISBLANK(L448)),
        "",
        MAX(
            1,
            IF(
                NETWORKDAYS(I448, L448, Holiday_Dates) &lt;= 0,
                1,
                NETWORKDAYS(I448, L448, Holiday_Dates) - IF(I448 = L448, 0, 1)
            )
        )
    ),
    ""
)</f>
        <v/>
      </c>
      <c r="Q448" s="385" t="str">
        <f>IF(
    OR(ISBLANK(L448), ISBLANK(M448)),
    "",
    MAX(
        1,
        IF(
            NETWORKDAYS(L448, M448, Holiday_Dates) &lt;= 0,
            1,
            NETWORKDAYS(L448, M448, Holiday_Dates) - IF(L448 = M448, 0, 1)
        )
    )
)</f>
        <v/>
      </c>
      <c r="R448" s="385" t="str">
        <f>IFERROR(
    IF(
        OR(ISBLANK(N448), AND(ISBLANK(L448), ISBLANK(M448))),
        "",
        MAX(
            1,
            IF(
                NETWORKDAYS(IF(NOT(ISBLANK(M448)), M448, L448), N448, Holiday_Dates) &lt;= 0,
                1,
                NETWORKDAYS(IF(NOT(ISBLANK(M448)), M448, L448), N448, Holiday_Dates)
                - IF(IF(NOT(ISBLANK(M448)), M448, L448) = N448, 0, 1)
            )
        )
    ),
    ""
)</f>
        <v/>
      </c>
      <c r="S448" s="385" t="str">
        <f>IFERROR(
    IF(
        OR(ISBLANK(N448), ISBLANK(O448)),
        "",
        MAX(
            1,
            IF(
                NETWORKDAYS(N448, O448, Holiday_Dates) &lt;= 0,
                1,
                NETWORKDAYS(N448, O448, Holiday_Dates) - IF(N448 = O448, 0, 1)
            )
        )
    ),
    ""
)</f>
        <v/>
      </c>
      <c r="T448" s="385"/>
      <c r="U448" s="385" t="s">
        <v>4</v>
      </c>
      <c r="V448" s="385" t="s">
        <v>101</v>
      </c>
      <c r="W448" s="385" t="s">
        <v>1436</v>
      </c>
      <c r="X448" s="1"/>
    </row>
    <row r="449" spans="1:24">
      <c r="A449" s="385" t="s">
        <v>49</v>
      </c>
      <c r="B449" s="385" t="s">
        <v>707</v>
      </c>
      <c r="C449" s="385" t="s">
        <v>2256</v>
      </c>
      <c r="D449" s="385" t="s">
        <v>88</v>
      </c>
      <c r="E449" s="385"/>
      <c r="F449" s="385"/>
      <c r="G449" s="385"/>
      <c r="H449" s="385">
        <v>2025</v>
      </c>
      <c r="I449" s="386">
        <v>45821</v>
      </c>
      <c r="J449" s="30" t="s">
        <v>4736</v>
      </c>
      <c r="K449" s="385"/>
      <c r="L449" s="385"/>
      <c r="M449" s="385"/>
      <c r="N449" s="385"/>
      <c r="O449" s="385"/>
      <c r="P449" s="385" t="str">
        <f>IFERROR(
    IF(
        OR(ISBLANK(I449), ISBLANK(L449)),
        "",
        MAX(
            1,
            IF(
                NETWORKDAYS(I449, L449, Holiday_Dates) &lt;= 0,
                1,
                NETWORKDAYS(I449, L449, Holiday_Dates) - IF(I449 = L449, 0, 1)
            )
        )
    ),
    ""
)</f>
        <v/>
      </c>
      <c r="Q449" s="385" t="str">
        <f>IF(
    OR(ISBLANK(L449), ISBLANK(M449)),
    "",
    MAX(
        1,
        IF(
            NETWORKDAYS(L449, M449, Holiday_Dates) &lt;= 0,
            1,
            NETWORKDAYS(L449, M449, Holiday_Dates) - IF(L449 = M449, 0, 1)
        )
    )
)</f>
        <v/>
      </c>
      <c r="R449" s="385" t="str">
        <f>IFERROR(
    IF(
        OR(ISBLANK(N449), AND(ISBLANK(L449), ISBLANK(M449))),
        "",
        MAX(
            1,
            IF(
                NETWORKDAYS(IF(NOT(ISBLANK(M449)), M449, L449), N449, Holiday_Dates) &lt;= 0,
                1,
                NETWORKDAYS(IF(NOT(ISBLANK(M449)), M449, L449), N449, Holiday_Dates)
                - IF(IF(NOT(ISBLANK(M449)), M449, L449) = N449, 0, 1)
            )
        )
    ),
    ""
)</f>
        <v/>
      </c>
      <c r="S449" s="385" t="str">
        <f>IFERROR(
    IF(
        OR(ISBLANK(N449), ISBLANK(O449)),
        "",
        MAX(
            1,
            IF(
                NETWORKDAYS(N449, O449, Holiday_Dates) &lt;= 0,
                1,
                NETWORKDAYS(N449, O449, Holiday_Dates) - IF(N449 = O449, 0, 1)
            )
        )
    ),
    ""
)</f>
        <v/>
      </c>
      <c r="T449" s="385"/>
      <c r="U449" s="385" t="s">
        <v>672</v>
      </c>
      <c r="V449" s="385" t="s">
        <v>1676</v>
      </c>
      <c r="W449" s="385" t="s">
        <v>1436</v>
      </c>
      <c r="X449" s="1"/>
    </row>
    <row r="450" spans="1:24">
      <c r="A450" s="385" t="s">
        <v>49</v>
      </c>
      <c r="B450" s="385" t="s">
        <v>707</v>
      </c>
      <c r="C450" s="385" t="s">
        <v>2257</v>
      </c>
      <c r="D450" s="385" t="s">
        <v>88</v>
      </c>
      <c r="E450" s="385"/>
      <c r="F450" s="385"/>
      <c r="G450" s="385"/>
      <c r="H450" s="385">
        <v>2025</v>
      </c>
      <c r="I450" s="386">
        <v>45916</v>
      </c>
      <c r="J450" s="30" t="s">
        <v>4737</v>
      </c>
      <c r="K450" s="385"/>
      <c r="L450" s="385"/>
      <c r="M450" s="385"/>
      <c r="N450" s="385"/>
      <c r="O450" s="385"/>
      <c r="P450" s="385" t="str">
        <f>IFERROR(
    IF(
        OR(ISBLANK(I450), ISBLANK(L450)),
        "",
        MAX(
            1,
            IF(
                NETWORKDAYS(I450, L450, Holiday_Dates) &lt;= 0,
                1,
                NETWORKDAYS(I450, L450, Holiday_Dates) - IF(I450 = L450, 0, 1)
            )
        )
    ),
    ""
)</f>
        <v/>
      </c>
      <c r="Q450" s="385" t="str">
        <f>IF(
    OR(ISBLANK(L450), ISBLANK(M450)),
    "",
    MAX(
        1,
        IF(
            NETWORKDAYS(L450, M450, Holiday_Dates) &lt;= 0,
            1,
            NETWORKDAYS(L450, M450, Holiday_Dates) - IF(L450 = M450, 0, 1)
        )
    )
)</f>
        <v/>
      </c>
      <c r="R450" s="385" t="str">
        <f>IFERROR(
    IF(
        OR(ISBLANK(N450), AND(ISBLANK(L450), ISBLANK(M450))),
        "",
        MAX(
            1,
            IF(
                NETWORKDAYS(IF(NOT(ISBLANK(M450)), M450, L450), N450, Holiday_Dates) &lt;= 0,
                1,
                NETWORKDAYS(IF(NOT(ISBLANK(M450)), M450, L450), N450, Holiday_Dates)
                - IF(IF(NOT(ISBLANK(M450)), M450, L450) = N450, 0, 1)
            )
        )
    ),
    ""
)</f>
        <v/>
      </c>
      <c r="S450" s="385" t="str">
        <f>IFERROR(
    IF(
        OR(ISBLANK(N450), ISBLANK(O450)),
        "",
        MAX(
            1,
            IF(
                NETWORKDAYS(N450, O450, Holiday_Dates) &lt;= 0,
                1,
                NETWORKDAYS(N450, O450, Holiday_Dates) - IF(N450 = O450, 0, 1)
            )
        )
    ),
    ""
)</f>
        <v/>
      </c>
      <c r="T450" s="385"/>
      <c r="U450" s="385" t="s">
        <v>672</v>
      </c>
      <c r="V450" s="385" t="s">
        <v>1676</v>
      </c>
      <c r="W450" s="385" t="s">
        <v>1436</v>
      </c>
      <c r="X450" s="1"/>
    </row>
    <row r="451" spans="1:24">
      <c r="A451" s="385" t="s">
        <v>49</v>
      </c>
      <c r="B451" s="385" t="s">
        <v>707</v>
      </c>
      <c r="C451" s="385" t="s">
        <v>675</v>
      </c>
      <c r="D451" s="385" t="s">
        <v>88</v>
      </c>
      <c r="E451" s="385"/>
      <c r="F451" s="385"/>
      <c r="G451" s="385"/>
      <c r="H451" s="385">
        <v>2025</v>
      </c>
      <c r="I451" s="386">
        <v>45883</v>
      </c>
      <c r="J451" s="30" t="s">
        <v>4738</v>
      </c>
      <c r="K451" s="385"/>
      <c r="L451" s="385"/>
      <c r="M451" s="385"/>
      <c r="N451" s="385"/>
      <c r="O451" s="385"/>
      <c r="P451" s="385" t="str">
        <f>IFERROR(
    IF(
        OR(ISBLANK(I451), ISBLANK(L451)),
        "",
        MAX(
            1,
            IF(
                NETWORKDAYS(I451, L451, Holiday_Dates) &lt;= 0,
                1,
                NETWORKDAYS(I451, L451, Holiday_Dates) - IF(I451 = L451, 0, 1)
            )
        )
    ),
    ""
)</f>
        <v/>
      </c>
      <c r="Q451" s="385" t="str">
        <f>IF(
    OR(ISBLANK(L451), ISBLANK(M451)),
    "",
    MAX(
        1,
        IF(
            NETWORKDAYS(L451, M451, Holiday_Dates) &lt;= 0,
            1,
            NETWORKDAYS(L451, M451, Holiday_Dates) - IF(L451 = M451, 0, 1)
        )
    )
)</f>
        <v/>
      </c>
      <c r="R451" s="385" t="str">
        <f>IFERROR(
    IF(
        OR(ISBLANK(N451), AND(ISBLANK(L451), ISBLANK(M451))),
        "",
        MAX(
            1,
            IF(
                NETWORKDAYS(IF(NOT(ISBLANK(M451)), M451, L451), N451, Holiday_Dates) &lt;= 0,
                1,
                NETWORKDAYS(IF(NOT(ISBLANK(M451)), M451, L451), N451, Holiday_Dates)
                - IF(IF(NOT(ISBLANK(M451)), M451, L451) = N451, 0, 1)
            )
        )
    ),
    ""
)</f>
        <v/>
      </c>
      <c r="S451" s="385" t="str">
        <f>IFERROR(
    IF(
        OR(ISBLANK(N451), ISBLANK(O451)),
        "",
        MAX(
            1,
            IF(
                NETWORKDAYS(N451, O451, Holiday_Dates) &lt;= 0,
                1,
                NETWORKDAYS(N451, O451, Holiday_Dates) - IF(N451 = O451, 0, 1)
            )
        )
    ),
    ""
)</f>
        <v/>
      </c>
      <c r="T451" s="385"/>
      <c r="U451" s="385" t="s">
        <v>672</v>
      </c>
      <c r="V451" s="385" t="s">
        <v>1676</v>
      </c>
      <c r="W451" s="385" t="s">
        <v>1436</v>
      </c>
      <c r="X451" s="1"/>
    </row>
    <row r="452" spans="1:24">
      <c r="A452" s="385" t="s">
        <v>49</v>
      </c>
      <c r="B452" s="385" t="s">
        <v>707</v>
      </c>
      <c r="C452" s="385" t="s">
        <v>2258</v>
      </c>
      <c r="D452" s="385" t="s">
        <v>88</v>
      </c>
      <c r="E452" s="385"/>
      <c r="F452" s="385"/>
      <c r="G452" s="385"/>
      <c r="H452" s="385">
        <v>2025</v>
      </c>
      <c r="I452" s="386">
        <v>45819</v>
      </c>
      <c r="J452" s="30" t="s">
        <v>4739</v>
      </c>
      <c r="K452" s="385"/>
      <c r="L452" s="385"/>
      <c r="M452" s="385"/>
      <c r="N452" s="385"/>
      <c r="O452" s="385"/>
      <c r="P452" s="385" t="str">
        <f>IFERROR(
    IF(
        OR(ISBLANK(I452), ISBLANK(L452)),
        "",
        MAX(
            1,
            IF(
                NETWORKDAYS(I452, L452, Holiday_Dates) &lt;= 0,
                1,
                NETWORKDAYS(I452, L452, Holiday_Dates) - IF(I452 = L452, 0, 1)
            )
        )
    ),
    ""
)</f>
        <v/>
      </c>
      <c r="Q452" s="385" t="str">
        <f>IF(
    OR(ISBLANK(L452), ISBLANK(M452)),
    "",
    MAX(
        1,
        IF(
            NETWORKDAYS(L452, M452, Holiday_Dates) &lt;= 0,
            1,
            NETWORKDAYS(L452, M452, Holiday_Dates) - IF(L452 = M452, 0, 1)
        )
    )
)</f>
        <v/>
      </c>
      <c r="R452" s="385" t="str">
        <f>IFERROR(
    IF(
        OR(ISBLANK(N452), AND(ISBLANK(L452), ISBLANK(M452))),
        "",
        MAX(
            1,
            IF(
                NETWORKDAYS(IF(NOT(ISBLANK(M452)), M452, L452), N452, Holiday_Dates) &lt;= 0,
                1,
                NETWORKDAYS(IF(NOT(ISBLANK(M452)), M452, L452), N452, Holiday_Dates)
                - IF(IF(NOT(ISBLANK(M452)), M452, L452) = N452, 0, 1)
            )
        )
    ),
    ""
)</f>
        <v/>
      </c>
      <c r="S452" s="385" t="str">
        <f>IFERROR(
    IF(
        OR(ISBLANK(N452), ISBLANK(O452)),
        "",
        MAX(
            1,
            IF(
                NETWORKDAYS(N452, O452, Holiday_Dates) &lt;= 0,
                1,
                NETWORKDAYS(N452, O452, Holiday_Dates) - IF(N452 = O452, 0, 1)
            )
        )
    ),
    ""
)</f>
        <v/>
      </c>
      <c r="T452" s="385"/>
      <c r="U452" s="385" t="s">
        <v>4</v>
      </c>
      <c r="V452" s="385" t="s">
        <v>101</v>
      </c>
      <c r="W452" s="385" t="s">
        <v>1436</v>
      </c>
      <c r="X452" s="1"/>
    </row>
    <row r="453" spans="1:24">
      <c r="A453" s="385" t="s">
        <v>49</v>
      </c>
      <c r="B453" s="385" t="s">
        <v>707</v>
      </c>
      <c r="C453" s="385" t="s">
        <v>970</v>
      </c>
      <c r="D453" s="385" t="s">
        <v>88</v>
      </c>
      <c r="E453" s="385"/>
      <c r="F453" s="385"/>
      <c r="G453" s="385"/>
      <c r="H453" s="385">
        <v>2025</v>
      </c>
      <c r="I453" s="386">
        <v>45821</v>
      </c>
      <c r="J453" s="30" t="s">
        <v>4740</v>
      </c>
      <c r="K453" s="385"/>
      <c r="L453" s="385"/>
      <c r="M453" s="385"/>
      <c r="N453" s="385"/>
      <c r="O453" s="385"/>
      <c r="P453" s="385" t="str">
        <f>IFERROR(
    IF(
        OR(ISBLANK(I453), ISBLANK(L453)),
        "",
        MAX(
            1,
            IF(
                NETWORKDAYS(I453, L453, Holiday_Dates) &lt;= 0,
                1,
                NETWORKDAYS(I453, L453, Holiday_Dates) - IF(I453 = L453, 0, 1)
            )
        )
    ),
    ""
)</f>
        <v/>
      </c>
      <c r="Q453" s="385" t="str">
        <f>IF(
    OR(ISBLANK(L453), ISBLANK(M453)),
    "",
    MAX(
        1,
        IF(
            NETWORKDAYS(L453, M453, Holiday_Dates) &lt;= 0,
            1,
            NETWORKDAYS(L453, M453, Holiday_Dates) - IF(L453 = M453, 0, 1)
        )
    )
)</f>
        <v/>
      </c>
      <c r="R453" s="385" t="str">
        <f>IFERROR(
    IF(
        OR(ISBLANK(N453), AND(ISBLANK(L453), ISBLANK(M453))),
        "",
        MAX(
            1,
            IF(
                NETWORKDAYS(IF(NOT(ISBLANK(M453)), M453, L453), N453, Holiday_Dates) &lt;= 0,
                1,
                NETWORKDAYS(IF(NOT(ISBLANK(M453)), M453, L453), N453, Holiday_Dates)
                - IF(IF(NOT(ISBLANK(M453)), M453, L453) = N453, 0, 1)
            )
        )
    ),
    ""
)</f>
        <v/>
      </c>
      <c r="S453" s="385" t="str">
        <f>IFERROR(
    IF(
        OR(ISBLANK(N453), ISBLANK(O453)),
        "",
        MAX(
            1,
            IF(
                NETWORKDAYS(N453, O453, Holiday_Dates) &lt;= 0,
                1,
                NETWORKDAYS(N453, O453, Holiday_Dates) - IF(N453 = O453, 0, 1)
            )
        )
    ),
    ""
)</f>
        <v/>
      </c>
      <c r="T453" s="385"/>
      <c r="U453" s="385" t="s">
        <v>4</v>
      </c>
      <c r="V453" s="385" t="s">
        <v>108</v>
      </c>
      <c r="W453" s="385" t="s">
        <v>1436</v>
      </c>
      <c r="X453" s="1"/>
    </row>
    <row r="454" spans="1:24">
      <c r="A454" s="385" t="s">
        <v>49</v>
      </c>
      <c r="B454" s="385" t="s">
        <v>707</v>
      </c>
      <c r="C454" s="385" t="s">
        <v>2259</v>
      </c>
      <c r="D454" s="385" t="s">
        <v>88</v>
      </c>
      <c r="E454" s="385"/>
      <c r="F454" s="385"/>
      <c r="G454" s="385"/>
      <c r="H454" s="385">
        <v>2025</v>
      </c>
      <c r="I454" s="386">
        <v>45821</v>
      </c>
      <c r="J454" s="30" t="s">
        <v>4741</v>
      </c>
      <c r="K454" s="385"/>
      <c r="L454" s="385"/>
      <c r="M454" s="385"/>
      <c r="N454" s="385"/>
      <c r="O454" s="385"/>
      <c r="P454" s="385" t="str">
        <f>IFERROR(
    IF(
        OR(ISBLANK(I454), ISBLANK(L454)),
        "",
        MAX(
            1,
            IF(
                NETWORKDAYS(I454, L454, Holiday_Dates) &lt;= 0,
                1,
                NETWORKDAYS(I454, L454, Holiday_Dates) - IF(I454 = L454, 0, 1)
            )
        )
    ),
    ""
)</f>
        <v/>
      </c>
      <c r="Q454" s="385" t="str">
        <f>IF(
    OR(ISBLANK(L454), ISBLANK(M454)),
    "",
    MAX(
        1,
        IF(
            NETWORKDAYS(L454, M454, Holiday_Dates) &lt;= 0,
            1,
            NETWORKDAYS(L454, M454, Holiday_Dates) - IF(L454 = M454, 0, 1)
        )
    )
)</f>
        <v/>
      </c>
      <c r="R454" s="385" t="str">
        <f>IFERROR(
    IF(
        OR(ISBLANK(N454), AND(ISBLANK(L454), ISBLANK(M454))),
        "",
        MAX(
            1,
            IF(
                NETWORKDAYS(IF(NOT(ISBLANK(M454)), M454, L454), N454, Holiday_Dates) &lt;= 0,
                1,
                NETWORKDAYS(IF(NOT(ISBLANK(M454)), M454, L454), N454, Holiday_Dates)
                - IF(IF(NOT(ISBLANK(M454)), M454, L454) = N454, 0, 1)
            )
        )
    ),
    ""
)</f>
        <v/>
      </c>
      <c r="S454" s="385" t="str">
        <f>IFERROR(
    IF(
        OR(ISBLANK(N454), ISBLANK(O454)),
        "",
        MAX(
            1,
            IF(
                NETWORKDAYS(N454, O454, Holiday_Dates) &lt;= 0,
                1,
                NETWORKDAYS(N454, O454, Holiday_Dates) - IF(N454 = O454, 0, 1)
            )
        )
    ),
    ""
)</f>
        <v/>
      </c>
      <c r="T454" s="385"/>
      <c r="U454" s="385" t="s">
        <v>672</v>
      </c>
      <c r="V454" s="385" t="s">
        <v>1676</v>
      </c>
      <c r="W454" s="385" t="s">
        <v>1436</v>
      </c>
      <c r="X454" s="1"/>
    </row>
    <row r="455" spans="1:24">
      <c r="A455" s="385" t="s">
        <v>49</v>
      </c>
      <c r="B455" s="385" t="s">
        <v>707</v>
      </c>
      <c r="C455" s="385" t="s">
        <v>926</v>
      </c>
      <c r="D455" s="385" t="s">
        <v>88</v>
      </c>
      <c r="E455" s="385"/>
      <c r="F455" s="385"/>
      <c r="G455" s="385"/>
      <c r="H455" s="385">
        <v>2025</v>
      </c>
      <c r="I455" s="386">
        <v>45916</v>
      </c>
      <c r="J455" s="30" t="s">
        <v>4742</v>
      </c>
      <c r="K455" s="385"/>
      <c r="L455" s="385"/>
      <c r="M455" s="385"/>
      <c r="N455" s="385"/>
      <c r="O455" s="385"/>
      <c r="P455" s="385" t="str">
        <f>IFERROR(
    IF(
        OR(ISBLANK(I455), ISBLANK(L455)),
        "",
        MAX(
            1,
            IF(
                NETWORKDAYS(I455, L455, Holiday_Dates) &lt;= 0,
                1,
                NETWORKDAYS(I455, L455, Holiday_Dates) - IF(I455 = L455, 0, 1)
            )
        )
    ),
    ""
)</f>
        <v/>
      </c>
      <c r="Q455" s="385" t="str">
        <f>IF(
    OR(ISBLANK(L455), ISBLANK(M455)),
    "",
    MAX(
        1,
        IF(
            NETWORKDAYS(L455, M455, Holiday_Dates) &lt;= 0,
            1,
            NETWORKDAYS(L455, M455, Holiday_Dates) - IF(L455 = M455, 0, 1)
        )
    )
)</f>
        <v/>
      </c>
      <c r="R455" s="385" t="str">
        <f>IFERROR(
    IF(
        OR(ISBLANK(N455), AND(ISBLANK(L455), ISBLANK(M455))),
        "",
        MAX(
            1,
            IF(
                NETWORKDAYS(IF(NOT(ISBLANK(M455)), M455, L455), N455, Holiday_Dates) &lt;= 0,
                1,
                NETWORKDAYS(IF(NOT(ISBLANK(M455)), M455, L455), N455, Holiday_Dates)
                - IF(IF(NOT(ISBLANK(M455)), M455, L455) = N455, 0, 1)
            )
        )
    ),
    ""
)</f>
        <v/>
      </c>
      <c r="S455" s="385" t="str">
        <f>IFERROR(
    IF(
        OR(ISBLANK(N455), ISBLANK(O455)),
        "",
        MAX(
            1,
            IF(
                NETWORKDAYS(N455, O455, Holiday_Dates) &lt;= 0,
                1,
                NETWORKDAYS(N455, O455, Holiday_Dates) - IF(N455 = O455, 0, 1)
            )
        )
    ),
    ""
)</f>
        <v/>
      </c>
      <c r="T455" s="385"/>
      <c r="U455" s="385" t="s">
        <v>672</v>
      </c>
      <c r="V455" s="385" t="s">
        <v>1676</v>
      </c>
      <c r="W455" s="385" t="s">
        <v>1436</v>
      </c>
      <c r="X455" s="1"/>
    </row>
    <row r="456" spans="1:24">
      <c r="A456" s="385" t="s">
        <v>49</v>
      </c>
      <c r="B456" s="385" t="s">
        <v>707</v>
      </c>
      <c r="C456" s="385" t="s">
        <v>2203</v>
      </c>
      <c r="D456" s="385" t="s">
        <v>88</v>
      </c>
      <c r="E456" s="385"/>
      <c r="F456" s="385"/>
      <c r="G456" s="385"/>
      <c r="H456" s="385">
        <v>2025</v>
      </c>
      <c r="I456" s="386">
        <v>45916</v>
      </c>
      <c r="J456" s="30" t="s">
        <v>4743</v>
      </c>
      <c r="K456" s="386"/>
      <c r="L456" s="386"/>
      <c r="M456" s="386"/>
      <c r="N456" s="386"/>
      <c r="O456" s="386"/>
      <c r="P456" s="385" t="str">
        <f>IFERROR(
    IF(
        OR(ISBLANK(I456), ISBLANK(L456)),
        "",
        MAX(
            1,
            IF(
                NETWORKDAYS(I456, L456, Holiday_Dates) &lt;= 0,
                1,
                NETWORKDAYS(I456, L456, Holiday_Dates) - IF(I456 = L456, 0, 1)
            )
        )
    ),
    ""
)</f>
        <v/>
      </c>
      <c r="Q456" s="385" t="str">
        <f>IF(
    OR(ISBLANK(L456), ISBLANK(M456)),
    "",
    MAX(
        1,
        IF(
            NETWORKDAYS(L456, M456, Holiday_Dates) &lt;= 0,
            1,
            NETWORKDAYS(L456, M456, Holiday_Dates) - IF(L456 = M456, 0, 1)
        )
    )
)</f>
        <v/>
      </c>
      <c r="R456" s="385" t="str">
        <f>IFERROR(
    IF(
        OR(ISBLANK(N456), AND(ISBLANK(L456), ISBLANK(M456))),
        "",
        MAX(
            1,
            IF(
                NETWORKDAYS(IF(NOT(ISBLANK(M456)), M456, L456), N456, Holiday_Dates) &lt;= 0,
                1,
                NETWORKDAYS(IF(NOT(ISBLANK(M456)), M456, L456), N456, Holiday_Dates)
                - IF(IF(NOT(ISBLANK(M456)), M456, L456) = N456, 0, 1)
            )
        )
    ),
    ""
)</f>
        <v/>
      </c>
      <c r="S456" s="385" t="str">
        <f>IFERROR(
    IF(
        OR(ISBLANK(N456), ISBLANK(O456)),
        "",
        MAX(
            1,
            IF(
                NETWORKDAYS(N456, O456, Holiday_Dates) &lt;= 0,
                1,
                NETWORKDAYS(N456, O456, Holiday_Dates) - IF(N456 = O456, 0, 1)
            )
        )
    ),
    ""
)</f>
        <v/>
      </c>
      <c r="T456" s="385"/>
      <c r="U456" s="385" t="s">
        <v>672</v>
      </c>
      <c r="V456" s="385" t="s">
        <v>1676</v>
      </c>
      <c r="W456" s="385" t="s">
        <v>1436</v>
      </c>
      <c r="X456" s="1"/>
    </row>
    <row r="457" spans="1:24">
      <c r="A457" s="385" t="s">
        <v>49</v>
      </c>
      <c r="B457" s="385" t="s">
        <v>707</v>
      </c>
      <c r="C457" s="385" t="s">
        <v>2260</v>
      </c>
      <c r="D457" s="385" t="s">
        <v>88</v>
      </c>
      <c r="E457" s="385"/>
      <c r="F457" s="385"/>
      <c r="G457" s="385"/>
      <c r="H457" s="385">
        <v>2025</v>
      </c>
      <c r="I457" s="386">
        <v>45883</v>
      </c>
      <c r="J457" s="30" t="s">
        <v>4744</v>
      </c>
      <c r="K457" s="385"/>
      <c r="L457" s="385"/>
      <c r="M457" s="385"/>
      <c r="N457" s="385"/>
      <c r="O457" s="385"/>
      <c r="P457" s="385" t="str">
        <f>IFERROR(
    IF(
        OR(ISBLANK(I457), ISBLANK(L457)),
        "",
        MAX(
            1,
            IF(
                NETWORKDAYS(I457, L457, Holiday_Dates) &lt;= 0,
                1,
                NETWORKDAYS(I457, L457, Holiday_Dates) - IF(I457 = L457, 0, 1)
            )
        )
    ),
    ""
)</f>
        <v/>
      </c>
      <c r="Q457" s="385" t="str">
        <f>IF(
    OR(ISBLANK(L457), ISBLANK(M457)),
    "",
    MAX(
        1,
        IF(
            NETWORKDAYS(L457, M457, Holiday_Dates) &lt;= 0,
            1,
            NETWORKDAYS(L457, M457, Holiday_Dates) - IF(L457 = M457, 0, 1)
        )
    )
)</f>
        <v/>
      </c>
      <c r="R457" s="385" t="str">
        <f>IFERROR(
    IF(
        OR(ISBLANK(N457), AND(ISBLANK(L457), ISBLANK(M457))),
        "",
        MAX(
            1,
            IF(
                NETWORKDAYS(IF(NOT(ISBLANK(M457)), M457, L457), N457, Holiday_Dates) &lt;= 0,
                1,
                NETWORKDAYS(IF(NOT(ISBLANK(M457)), M457, L457), N457, Holiday_Dates)
                - IF(IF(NOT(ISBLANK(M457)), M457, L457) = N457, 0, 1)
            )
        )
    ),
    ""
)</f>
        <v/>
      </c>
      <c r="S457" s="385" t="str">
        <f>IFERROR(
    IF(
        OR(ISBLANK(N457), ISBLANK(O457)),
        "",
        MAX(
            1,
            IF(
                NETWORKDAYS(N457, O457, Holiday_Dates) &lt;= 0,
                1,
                NETWORKDAYS(N457, O457, Holiday_Dates) - IF(N457 = O457, 0, 1)
            )
        )
    ),
    ""
)</f>
        <v/>
      </c>
      <c r="T457" s="385"/>
      <c r="U457" s="385" t="s">
        <v>672</v>
      </c>
      <c r="V457" s="385" t="s">
        <v>1676</v>
      </c>
      <c r="W457" s="385" t="s">
        <v>1436</v>
      </c>
      <c r="X457" s="1"/>
    </row>
    <row r="458" spans="1:24">
      <c r="A458" s="385" t="s">
        <v>49</v>
      </c>
      <c r="B458" s="385" t="s">
        <v>707</v>
      </c>
      <c r="C458" s="385" t="s">
        <v>2261</v>
      </c>
      <c r="D458" s="385" t="s">
        <v>88</v>
      </c>
      <c r="E458" s="385"/>
      <c r="F458" s="385"/>
      <c r="G458" s="385"/>
      <c r="H458" s="385">
        <v>2025</v>
      </c>
      <c r="I458" s="386">
        <v>45911</v>
      </c>
      <c r="J458" s="30" t="s">
        <v>4745</v>
      </c>
      <c r="K458" s="385"/>
      <c r="L458" s="385"/>
      <c r="M458" s="385"/>
      <c r="N458" s="385"/>
      <c r="O458" s="385"/>
      <c r="P458" s="385" t="str">
        <f>IFERROR(
    IF(
        OR(ISBLANK(I458), ISBLANK(L458)),
        "",
        MAX(
            1,
            IF(
                NETWORKDAYS(I458, L458, Holiday_Dates) &lt;= 0,
                1,
                NETWORKDAYS(I458, L458, Holiday_Dates) - IF(I458 = L458, 0, 1)
            )
        )
    ),
    ""
)</f>
        <v/>
      </c>
      <c r="Q458" s="385" t="str">
        <f>IF(
    OR(ISBLANK(L458), ISBLANK(M458)),
    "",
    MAX(
        1,
        IF(
            NETWORKDAYS(L458, M458, Holiday_Dates) &lt;= 0,
            1,
            NETWORKDAYS(L458, M458, Holiday_Dates) - IF(L458 = M458, 0, 1)
        )
    )
)</f>
        <v/>
      </c>
      <c r="R458" s="385" t="str">
        <f>IFERROR(
    IF(
        OR(ISBLANK(N458), AND(ISBLANK(L458), ISBLANK(M458))),
        "",
        MAX(
            1,
            IF(
                NETWORKDAYS(IF(NOT(ISBLANK(M458)), M458, L458), N458, Holiday_Dates) &lt;= 0,
                1,
                NETWORKDAYS(IF(NOT(ISBLANK(M458)), M458, L458), N458, Holiday_Dates)
                - IF(IF(NOT(ISBLANK(M458)), M458, L458) = N458, 0, 1)
            )
        )
    ),
    ""
)</f>
        <v/>
      </c>
      <c r="S458" s="385" t="str">
        <f>IFERROR(
    IF(
        OR(ISBLANK(N458), ISBLANK(O458)),
        "",
        MAX(
            1,
            IF(
                NETWORKDAYS(N458, O458, Holiday_Dates) &lt;= 0,
                1,
                NETWORKDAYS(N458, O458, Holiday_Dates) - IF(N458 = O458, 0, 1)
            )
        )
    ),
    ""
)</f>
        <v/>
      </c>
      <c r="T458" s="385"/>
      <c r="U458" s="385" t="s">
        <v>672</v>
      </c>
      <c r="V458" s="385" t="s">
        <v>1676</v>
      </c>
      <c r="W458" s="385" t="s">
        <v>1436</v>
      </c>
      <c r="X458" s="1"/>
    </row>
    <row r="459" spans="1:24">
      <c r="A459" s="385" t="s">
        <v>49</v>
      </c>
      <c r="B459" s="385" t="s">
        <v>707</v>
      </c>
      <c r="C459" s="385" t="s">
        <v>2262</v>
      </c>
      <c r="D459" s="385" t="s">
        <v>88</v>
      </c>
      <c r="E459" s="385"/>
      <c r="F459" s="385"/>
      <c r="G459" s="385"/>
      <c r="H459" s="385">
        <v>2025</v>
      </c>
      <c r="I459" s="386">
        <v>45911</v>
      </c>
      <c r="J459" s="30" t="s">
        <v>4746</v>
      </c>
      <c r="K459" s="385"/>
      <c r="L459" s="385"/>
      <c r="M459" s="385"/>
      <c r="N459" s="385"/>
      <c r="O459" s="385"/>
      <c r="P459" s="385" t="str">
        <f>IFERROR(
    IF(
        OR(ISBLANK(I459), ISBLANK(L459)),
        "",
        MAX(
            1,
            IF(
                NETWORKDAYS(I459, L459, Holiday_Dates) &lt;= 0,
                1,
                NETWORKDAYS(I459, L459, Holiday_Dates) - IF(I459 = L459, 0, 1)
            )
        )
    ),
    ""
)</f>
        <v/>
      </c>
      <c r="Q459" s="385" t="str">
        <f>IF(
    OR(ISBLANK(L459), ISBLANK(M459)),
    "",
    MAX(
        1,
        IF(
            NETWORKDAYS(L459, M459, Holiday_Dates) &lt;= 0,
            1,
            NETWORKDAYS(L459, M459, Holiday_Dates) - IF(L459 = M459, 0, 1)
        )
    )
)</f>
        <v/>
      </c>
      <c r="R459" s="385" t="str">
        <f>IFERROR(
    IF(
        OR(ISBLANK(N459), AND(ISBLANK(L459), ISBLANK(M459))),
        "",
        MAX(
            1,
            IF(
                NETWORKDAYS(IF(NOT(ISBLANK(M459)), M459, L459), N459, Holiday_Dates) &lt;= 0,
                1,
                NETWORKDAYS(IF(NOT(ISBLANK(M459)), M459, L459), N459, Holiday_Dates)
                - IF(IF(NOT(ISBLANK(M459)), M459, L459) = N459, 0, 1)
            )
        )
    ),
    ""
)</f>
        <v/>
      </c>
      <c r="S459" s="385" t="str">
        <f>IFERROR(
    IF(
        OR(ISBLANK(N459), ISBLANK(O459)),
        "",
        MAX(
            1,
            IF(
                NETWORKDAYS(N459, O459, Holiday_Dates) &lt;= 0,
                1,
                NETWORKDAYS(N459, O459, Holiday_Dates) - IF(N459 = O459, 0, 1)
            )
        )
    ),
    ""
)</f>
        <v/>
      </c>
      <c r="T459" s="385"/>
      <c r="U459" s="385" t="s">
        <v>672</v>
      </c>
      <c r="V459" s="385" t="s">
        <v>101</v>
      </c>
      <c r="W459" s="385" t="s">
        <v>1436</v>
      </c>
      <c r="X459" s="1"/>
    </row>
    <row r="460" spans="1:24">
      <c r="A460" s="385" t="s">
        <v>49</v>
      </c>
      <c r="B460" s="385" t="s">
        <v>707</v>
      </c>
      <c r="C460" s="385" t="s">
        <v>2263</v>
      </c>
      <c r="D460" s="385" t="s">
        <v>88</v>
      </c>
      <c r="E460" s="385"/>
      <c r="F460" s="385"/>
      <c r="G460" s="385"/>
      <c r="H460" s="385">
        <v>2025</v>
      </c>
      <c r="I460" s="386">
        <v>45883</v>
      </c>
      <c r="J460" s="30" t="s">
        <v>4747</v>
      </c>
      <c r="K460" s="385"/>
      <c r="L460" s="385"/>
      <c r="M460" s="385"/>
      <c r="N460" s="385"/>
      <c r="O460" s="385"/>
      <c r="P460" s="385" t="str">
        <f>IFERROR(
    IF(
        OR(ISBLANK(I460), ISBLANK(L460)),
        "",
        MAX(
            1,
            IF(
                NETWORKDAYS(I460, L460, Holiday_Dates) &lt;= 0,
                1,
                NETWORKDAYS(I460, L460, Holiday_Dates) - IF(I460 = L460, 0, 1)
            )
        )
    ),
    ""
)</f>
        <v/>
      </c>
      <c r="Q460" s="385" t="str">
        <f>IF(
    OR(ISBLANK(L460), ISBLANK(M460)),
    "",
    MAX(
        1,
        IF(
            NETWORKDAYS(L460, M460, Holiday_Dates) &lt;= 0,
            1,
            NETWORKDAYS(L460, M460, Holiday_Dates) - IF(L460 = M460, 0, 1)
        )
    )
)</f>
        <v/>
      </c>
      <c r="R460" s="385" t="str">
        <f>IFERROR(
    IF(
        OR(ISBLANK(N460), AND(ISBLANK(L460), ISBLANK(M460))),
        "",
        MAX(
            1,
            IF(
                NETWORKDAYS(IF(NOT(ISBLANK(M460)), M460, L460), N460, Holiday_Dates) &lt;= 0,
                1,
                NETWORKDAYS(IF(NOT(ISBLANK(M460)), M460, L460), N460, Holiday_Dates)
                - IF(IF(NOT(ISBLANK(M460)), M460, L460) = N460, 0, 1)
            )
        )
    ),
    ""
)</f>
        <v/>
      </c>
      <c r="S460" s="385" t="str">
        <f>IFERROR(
    IF(
        OR(ISBLANK(N460), ISBLANK(O460)),
        "",
        MAX(
            1,
            IF(
                NETWORKDAYS(N460, O460, Holiday_Dates) &lt;= 0,
                1,
                NETWORKDAYS(N460, O460, Holiday_Dates) - IF(N460 = O460, 0, 1)
            )
        )
    ),
    ""
)</f>
        <v/>
      </c>
      <c r="T460" s="385"/>
      <c r="U460" s="385" t="s">
        <v>672</v>
      </c>
      <c r="V460" s="385" t="s">
        <v>1676</v>
      </c>
      <c r="W460" s="385" t="s">
        <v>1436</v>
      </c>
      <c r="X460" s="1"/>
    </row>
    <row r="461" spans="1:24">
      <c r="A461" s="385" t="s">
        <v>49</v>
      </c>
      <c r="B461" s="385" t="s">
        <v>404</v>
      </c>
      <c r="C461" s="385" t="s">
        <v>1023</v>
      </c>
      <c r="D461" s="385" t="s">
        <v>88</v>
      </c>
      <c r="E461" s="385"/>
      <c r="F461" s="385"/>
      <c r="G461" s="385"/>
      <c r="H461" s="385">
        <v>2024</v>
      </c>
      <c r="I461" s="386">
        <v>45505</v>
      </c>
      <c r="J461" s="30"/>
      <c r="K461" s="385"/>
      <c r="L461" s="385"/>
      <c r="M461" s="385"/>
      <c r="N461" s="385"/>
      <c r="O461" s="385"/>
      <c r="P461" s="385" t="str">
        <f>IFERROR(
    IF(
        OR(ISBLANK(I461), ISBLANK(L461)),
        "",
        MAX(
            1,
            IF(
                NETWORKDAYS(I461, L461, Holiday_Dates) &lt;= 0,
                1,
                NETWORKDAYS(I461, L461, Holiday_Dates) - IF(I461 = L461, 0, 1)
            )
        )
    ),
    ""
)</f>
        <v/>
      </c>
      <c r="Q461" s="385" t="str">
        <f>IF(
    OR(ISBLANK(L461), ISBLANK(M461)),
    "",
    MAX(
        1,
        IF(
            NETWORKDAYS(L461, M461, Holiday_Dates) &lt;= 0,
            1,
            NETWORKDAYS(L461, M461, Holiday_Dates) - IF(L461 = M461, 0, 1)
        )
    )
)</f>
        <v/>
      </c>
      <c r="R461" s="385" t="str">
        <f>IFERROR(
    IF(
        OR(ISBLANK(N461), AND(ISBLANK(L461), ISBLANK(M461))),
        "",
        MAX(
            1,
            IF(
                NETWORKDAYS(IF(NOT(ISBLANK(M461)), M461, L461), N461, Holiday_Dates) &lt;= 0,
                1,
                NETWORKDAYS(IF(NOT(ISBLANK(M461)), M461, L461), N461, Holiday_Dates)
                - IF(IF(NOT(ISBLANK(M461)), M461, L461) = N461, 0, 1)
            )
        )
    ),
    ""
)</f>
        <v/>
      </c>
      <c r="S461" s="385" t="str">
        <f>IFERROR(
    IF(
        OR(ISBLANK(N461), ISBLANK(O461)),
        "",
        MAX(
            1,
            IF(
                NETWORKDAYS(N461, O461, Holiday_Dates) &lt;= 0,
                1,
                NETWORKDAYS(N461, O461, Holiday_Dates) - IF(N461 = O461, 0, 1)
            )
        )
    ),
    ""
)</f>
        <v/>
      </c>
      <c r="T461" s="385"/>
      <c r="U461" s="385" t="s">
        <v>672</v>
      </c>
      <c r="V461" s="385"/>
      <c r="W461" s="385" t="s">
        <v>1436</v>
      </c>
      <c r="X461" s="1"/>
    </row>
    <row r="462" spans="1:24">
      <c r="A462" s="385" t="s">
        <v>49</v>
      </c>
      <c r="B462" s="385" t="s">
        <v>404</v>
      </c>
      <c r="C462" s="385" t="s">
        <v>2265</v>
      </c>
      <c r="D462" s="385" t="s">
        <v>88</v>
      </c>
      <c r="E462" s="385"/>
      <c r="F462" s="385"/>
      <c r="G462" s="385"/>
      <c r="H462" s="385">
        <v>2024</v>
      </c>
      <c r="I462" s="386">
        <v>45426</v>
      </c>
      <c r="J462" s="30"/>
      <c r="K462" s="385"/>
      <c r="L462" s="385"/>
      <c r="M462" s="385"/>
      <c r="N462" s="385"/>
      <c r="O462" s="385"/>
      <c r="P462" s="385" t="str">
        <f>IFERROR(
    IF(
        OR(ISBLANK(I462), ISBLANK(L462)),
        "",
        MAX(
            1,
            IF(
                NETWORKDAYS(I462, L462, Holiday_Dates) &lt;= 0,
                1,
                NETWORKDAYS(I462, L462, Holiday_Dates) - IF(I462 = L462, 0, 1)
            )
        )
    ),
    ""
)</f>
        <v/>
      </c>
      <c r="Q462" s="385" t="str">
        <f>IF(
    OR(ISBLANK(L462), ISBLANK(M462)),
    "",
    MAX(
        1,
        IF(
            NETWORKDAYS(L462, M462, Holiday_Dates) &lt;= 0,
            1,
            NETWORKDAYS(L462, M462, Holiday_Dates) - IF(L462 = M462, 0, 1)
        )
    )
)</f>
        <v/>
      </c>
      <c r="R462" s="385" t="str">
        <f>IFERROR(
    IF(
        OR(ISBLANK(N462), AND(ISBLANK(L462), ISBLANK(M462))),
        "",
        MAX(
            1,
            IF(
                NETWORKDAYS(IF(NOT(ISBLANK(M462)), M462, L462), N462, Holiday_Dates) &lt;= 0,
                1,
                NETWORKDAYS(IF(NOT(ISBLANK(M462)), M462, L462), N462, Holiday_Dates)
                - IF(IF(NOT(ISBLANK(M462)), M462, L462) = N462, 0, 1)
            )
        )
    ),
    ""
)</f>
        <v/>
      </c>
      <c r="S462" s="385" t="str">
        <f>IFERROR(
    IF(
        OR(ISBLANK(N462), ISBLANK(O462)),
        "",
        MAX(
            1,
            IF(
                NETWORKDAYS(N462, O462, Holiday_Dates) &lt;= 0,
                1,
                NETWORKDAYS(N462, O462, Holiday_Dates) - IF(N462 = O462, 0, 1)
            )
        )
    ),
    ""
)</f>
        <v/>
      </c>
      <c r="T462" s="385"/>
      <c r="U462" s="385" t="s">
        <v>672</v>
      </c>
      <c r="V462" s="385"/>
      <c r="W462" s="385" t="s">
        <v>1436</v>
      </c>
      <c r="X462" s="1"/>
    </row>
    <row r="463" spans="1:24">
      <c r="A463" s="385" t="s">
        <v>49</v>
      </c>
      <c r="B463" s="385" t="s">
        <v>404</v>
      </c>
      <c r="C463" s="385" t="s">
        <v>2252</v>
      </c>
      <c r="D463" s="385" t="s">
        <v>88</v>
      </c>
      <c r="E463" s="385"/>
      <c r="F463" s="385"/>
      <c r="G463" s="385"/>
      <c r="H463" s="385">
        <v>2024</v>
      </c>
      <c r="I463" s="386">
        <v>45505</v>
      </c>
      <c r="J463" s="30"/>
      <c r="K463" s="385"/>
      <c r="L463" s="385"/>
      <c r="M463" s="385"/>
      <c r="N463" s="385"/>
      <c r="O463" s="385"/>
      <c r="P463" s="385" t="str">
        <f>IFERROR(
    IF(
        OR(ISBLANK(I463), ISBLANK(L463)),
        "",
        MAX(
            1,
            IF(
                NETWORKDAYS(I463, L463, Holiday_Dates) &lt;= 0,
                1,
                NETWORKDAYS(I463, L463, Holiday_Dates) - IF(I463 = L463, 0, 1)
            )
        )
    ),
    ""
)</f>
        <v/>
      </c>
      <c r="Q463" s="385" t="str">
        <f>IF(
    OR(ISBLANK(L463), ISBLANK(M463)),
    "",
    MAX(
        1,
        IF(
            NETWORKDAYS(L463, M463, Holiday_Dates) &lt;= 0,
            1,
            NETWORKDAYS(L463, M463, Holiday_Dates) - IF(L463 = M463, 0, 1)
        )
    )
)</f>
        <v/>
      </c>
      <c r="R463" s="385" t="str">
        <f>IFERROR(
    IF(
        OR(ISBLANK(N463), AND(ISBLANK(L463), ISBLANK(M463))),
        "",
        MAX(
            1,
            IF(
                NETWORKDAYS(IF(NOT(ISBLANK(M463)), M463, L463), N463, Holiday_Dates) &lt;= 0,
                1,
                NETWORKDAYS(IF(NOT(ISBLANK(M463)), M463, L463), N463, Holiday_Dates)
                - IF(IF(NOT(ISBLANK(M463)), M463, L463) = N463, 0, 1)
            )
        )
    ),
    ""
)</f>
        <v/>
      </c>
      <c r="S463" s="385" t="str">
        <f>IFERROR(
    IF(
        OR(ISBLANK(N463), ISBLANK(O463)),
        "",
        MAX(
            1,
            IF(
                NETWORKDAYS(N463, O463, Holiday_Dates) &lt;= 0,
                1,
                NETWORKDAYS(N463, O463, Holiday_Dates) - IF(N463 = O463, 0, 1)
            )
        )
    ),
    ""
)</f>
        <v/>
      </c>
      <c r="T463" s="385"/>
      <c r="U463" s="385" t="s">
        <v>672</v>
      </c>
      <c r="V463" s="385"/>
      <c r="W463" s="385" t="s">
        <v>1436</v>
      </c>
      <c r="X463" s="1"/>
    </row>
    <row r="464" spans="1:24">
      <c r="A464" s="385" t="s">
        <v>49</v>
      </c>
      <c r="B464" s="385" t="s">
        <v>404</v>
      </c>
      <c r="C464" s="385" t="s">
        <v>2268</v>
      </c>
      <c r="D464" s="385" t="s">
        <v>88</v>
      </c>
      <c r="E464" s="385"/>
      <c r="F464" s="385"/>
      <c r="G464" s="385"/>
      <c r="H464" s="385">
        <v>2024</v>
      </c>
      <c r="I464" s="386">
        <v>45511</v>
      </c>
      <c r="J464" s="30"/>
      <c r="K464" s="385"/>
      <c r="L464" s="385"/>
      <c r="M464" s="385"/>
      <c r="N464" s="385"/>
      <c r="O464" s="385"/>
      <c r="P464" s="385" t="str">
        <f>IFERROR(
    IF(
        OR(ISBLANK(I464), ISBLANK(L464)),
        "",
        MAX(
            1,
            IF(
                NETWORKDAYS(I464, L464, Holiday_Dates) &lt;= 0,
                1,
                NETWORKDAYS(I464, L464, Holiday_Dates) - IF(I464 = L464, 0, 1)
            )
        )
    ),
    ""
)</f>
        <v/>
      </c>
      <c r="Q464" s="385" t="str">
        <f>IF(
    OR(ISBLANK(L464), ISBLANK(M464)),
    "",
    MAX(
        1,
        IF(
            NETWORKDAYS(L464, M464, Holiday_Dates) &lt;= 0,
            1,
            NETWORKDAYS(L464, M464, Holiday_Dates) - IF(L464 = M464, 0, 1)
        )
    )
)</f>
        <v/>
      </c>
      <c r="R464" s="385" t="str">
        <f>IFERROR(
    IF(
        OR(ISBLANK(N464), AND(ISBLANK(L464), ISBLANK(M464))),
        "",
        MAX(
            1,
            IF(
                NETWORKDAYS(IF(NOT(ISBLANK(M464)), M464, L464), N464, Holiday_Dates) &lt;= 0,
                1,
                NETWORKDAYS(IF(NOT(ISBLANK(M464)), M464, L464), N464, Holiday_Dates)
                - IF(IF(NOT(ISBLANK(M464)), M464, L464) = N464, 0, 1)
            )
        )
    ),
    ""
)</f>
        <v/>
      </c>
      <c r="S464" s="385" t="str">
        <f>IFERROR(
    IF(
        OR(ISBLANK(N464), ISBLANK(O464)),
        "",
        MAX(
            1,
            IF(
                NETWORKDAYS(N464, O464, Holiday_Dates) &lt;= 0,
                1,
                NETWORKDAYS(N464, O464, Holiday_Dates) - IF(N464 = O464, 0, 1)
            )
        )
    ),
    ""
)</f>
        <v/>
      </c>
      <c r="T464" s="385"/>
      <c r="U464" s="385" t="s">
        <v>672</v>
      </c>
      <c r="V464" s="385"/>
      <c r="W464" s="385" t="s">
        <v>1436</v>
      </c>
      <c r="X464" s="1"/>
    </row>
    <row r="465" spans="1:24">
      <c r="A465" s="385" t="s">
        <v>49</v>
      </c>
      <c r="B465" s="385" t="s">
        <v>404</v>
      </c>
      <c r="C465" s="385" t="s">
        <v>2270</v>
      </c>
      <c r="D465" s="385" t="s">
        <v>88</v>
      </c>
      <c r="E465" s="385"/>
      <c r="F465" s="385"/>
      <c r="G465" s="385"/>
      <c r="H465" s="385">
        <v>2024</v>
      </c>
      <c r="I465" s="386">
        <v>45505</v>
      </c>
      <c r="J465" s="30"/>
      <c r="K465" s="385"/>
      <c r="L465" s="385"/>
      <c r="M465" s="385"/>
      <c r="N465" s="385"/>
      <c r="O465" s="385"/>
      <c r="P465" s="385" t="str">
        <f>IFERROR(
    IF(
        OR(ISBLANK(I465), ISBLANK(L465)),
        "",
        MAX(
            1,
            IF(
                NETWORKDAYS(I465, L465, Holiday_Dates) &lt;= 0,
                1,
                NETWORKDAYS(I465, L465, Holiday_Dates) - IF(I465 = L465, 0, 1)
            )
        )
    ),
    ""
)</f>
        <v/>
      </c>
      <c r="Q465" s="385" t="str">
        <f>IF(
    OR(ISBLANK(L465), ISBLANK(M465)),
    "",
    MAX(
        1,
        IF(
            NETWORKDAYS(L465, M465, Holiday_Dates) &lt;= 0,
            1,
            NETWORKDAYS(L465, M465, Holiday_Dates) - IF(L465 = M465, 0, 1)
        )
    )
)</f>
        <v/>
      </c>
      <c r="R465" s="385" t="str">
        <f>IFERROR(
    IF(
        OR(ISBLANK(N465), AND(ISBLANK(L465), ISBLANK(M465))),
        "",
        MAX(
            1,
            IF(
                NETWORKDAYS(IF(NOT(ISBLANK(M465)), M465, L465), N465, Holiday_Dates) &lt;= 0,
                1,
                NETWORKDAYS(IF(NOT(ISBLANK(M465)), M465, L465), N465, Holiday_Dates)
                - IF(IF(NOT(ISBLANK(M465)), M465, L465) = N465, 0, 1)
            )
        )
    ),
    ""
)</f>
        <v/>
      </c>
      <c r="S465" s="385" t="str">
        <f>IFERROR(
    IF(
        OR(ISBLANK(N465), ISBLANK(O465)),
        "",
        MAX(
            1,
            IF(
                NETWORKDAYS(N465, O465, Holiday_Dates) &lt;= 0,
                1,
                NETWORKDAYS(N465, O465, Holiday_Dates) - IF(N465 = O465, 0, 1)
            )
        )
    ),
    ""
)</f>
        <v/>
      </c>
      <c r="T465" s="385"/>
      <c r="U465" s="385" t="s">
        <v>672</v>
      </c>
      <c r="V465" s="385"/>
      <c r="W465" s="385" t="s">
        <v>1436</v>
      </c>
      <c r="X465" s="1"/>
    </row>
    <row r="466" spans="1:24">
      <c r="A466" s="385" t="s">
        <v>49</v>
      </c>
      <c r="B466" s="385" t="s">
        <v>404</v>
      </c>
      <c r="C466" s="385" t="s">
        <v>2272</v>
      </c>
      <c r="D466" s="385" t="s">
        <v>88</v>
      </c>
      <c r="E466" s="385"/>
      <c r="F466" s="385"/>
      <c r="G466" s="385"/>
      <c r="H466" s="385">
        <v>2024</v>
      </c>
      <c r="I466" s="386">
        <v>45510</v>
      </c>
      <c r="J466" s="30"/>
      <c r="K466" s="385"/>
      <c r="L466" s="385"/>
      <c r="M466" s="385"/>
      <c r="N466" s="385"/>
      <c r="O466" s="385"/>
      <c r="P466" s="385" t="str">
        <f>IFERROR(
    IF(
        OR(ISBLANK(I466), ISBLANK(L466)),
        "",
        MAX(
            1,
            IF(
                NETWORKDAYS(I466, L466, Holiday_Dates) &lt;= 0,
                1,
                NETWORKDAYS(I466, L466, Holiday_Dates) - IF(I466 = L466, 0, 1)
            )
        )
    ),
    ""
)</f>
        <v/>
      </c>
      <c r="Q466" s="385" t="str">
        <f>IF(
    OR(ISBLANK(L466), ISBLANK(M466)),
    "",
    MAX(
        1,
        IF(
            NETWORKDAYS(L466, M466, Holiday_Dates) &lt;= 0,
            1,
            NETWORKDAYS(L466, M466, Holiday_Dates) - IF(L466 = M466, 0, 1)
        )
    )
)</f>
        <v/>
      </c>
      <c r="R466" s="385" t="str">
        <f>IFERROR(
    IF(
        OR(ISBLANK(N466), AND(ISBLANK(L466), ISBLANK(M466))),
        "",
        MAX(
            1,
            IF(
                NETWORKDAYS(IF(NOT(ISBLANK(M466)), M466, L466), N466, Holiday_Dates) &lt;= 0,
                1,
                NETWORKDAYS(IF(NOT(ISBLANK(M466)), M466, L466), N466, Holiday_Dates)
                - IF(IF(NOT(ISBLANK(M466)), M466, L466) = N466, 0, 1)
            )
        )
    ),
    ""
)</f>
        <v/>
      </c>
      <c r="S466" s="385" t="str">
        <f>IFERROR(
    IF(
        OR(ISBLANK(N466), ISBLANK(O466)),
        "",
        MAX(
            1,
            IF(
                NETWORKDAYS(N466, O466, Holiday_Dates) &lt;= 0,
                1,
                NETWORKDAYS(N466, O466, Holiday_Dates) - IF(N466 = O466, 0, 1)
            )
        )
    ),
    ""
)</f>
        <v/>
      </c>
      <c r="T466" s="385"/>
      <c r="U466" s="385" t="s">
        <v>672</v>
      </c>
      <c r="V466" s="385"/>
      <c r="W466" s="385" t="s">
        <v>1436</v>
      </c>
      <c r="X466" s="1"/>
    </row>
    <row r="467" spans="1:24">
      <c r="A467" s="385" t="s">
        <v>49</v>
      </c>
      <c r="B467" s="385" t="s">
        <v>404</v>
      </c>
      <c r="C467" s="385" t="s">
        <v>2274</v>
      </c>
      <c r="D467" s="385" t="s">
        <v>88</v>
      </c>
      <c r="E467" s="385"/>
      <c r="F467" s="385"/>
      <c r="G467" s="385"/>
      <c r="H467" s="385">
        <v>2024</v>
      </c>
      <c r="I467" s="386">
        <v>45510</v>
      </c>
      <c r="J467" s="30"/>
      <c r="K467" s="385"/>
      <c r="L467" s="385"/>
      <c r="M467" s="385"/>
      <c r="N467" s="385"/>
      <c r="O467" s="385"/>
      <c r="P467" s="385" t="str">
        <f>IFERROR(
    IF(
        OR(ISBLANK(I467), ISBLANK(L467)),
        "",
        MAX(
            1,
            IF(
                NETWORKDAYS(I467, L467, Holiday_Dates) &lt;= 0,
                1,
                NETWORKDAYS(I467, L467, Holiday_Dates) - IF(I467 = L467, 0, 1)
            )
        )
    ),
    ""
)</f>
        <v/>
      </c>
      <c r="Q467" s="385" t="str">
        <f>IF(
    OR(ISBLANK(L467), ISBLANK(M467)),
    "",
    MAX(
        1,
        IF(
            NETWORKDAYS(L467, M467, Holiday_Dates) &lt;= 0,
            1,
            NETWORKDAYS(L467, M467, Holiday_Dates) - IF(L467 = M467, 0, 1)
        )
    )
)</f>
        <v/>
      </c>
      <c r="R467" s="385" t="str">
        <f>IFERROR(
    IF(
        OR(ISBLANK(N467), AND(ISBLANK(L467), ISBLANK(M467))),
        "",
        MAX(
            1,
            IF(
                NETWORKDAYS(IF(NOT(ISBLANK(M467)), M467, L467), N467, Holiday_Dates) &lt;= 0,
                1,
                NETWORKDAYS(IF(NOT(ISBLANK(M467)), M467, L467), N467, Holiday_Dates)
                - IF(IF(NOT(ISBLANK(M467)), M467, L467) = N467, 0, 1)
            )
        )
    ),
    ""
)</f>
        <v/>
      </c>
      <c r="S467" s="385" t="str">
        <f>IFERROR(
    IF(
        OR(ISBLANK(N467), ISBLANK(O467)),
        "",
        MAX(
            1,
            IF(
                NETWORKDAYS(N467, O467, Holiday_Dates) &lt;= 0,
                1,
                NETWORKDAYS(N467, O467, Holiday_Dates) - IF(N467 = O467, 0, 1)
            )
        )
    ),
    ""
)</f>
        <v/>
      </c>
      <c r="T467" s="385"/>
      <c r="U467" s="385" t="s">
        <v>672</v>
      </c>
      <c r="V467" s="385"/>
      <c r="W467" s="385" t="s">
        <v>1436</v>
      </c>
      <c r="X467" s="1"/>
    </row>
    <row r="468" spans="1:24">
      <c r="A468" s="385" t="s">
        <v>49</v>
      </c>
      <c r="B468" s="385" t="s">
        <v>404</v>
      </c>
      <c r="C468" s="385" t="s">
        <v>2276</v>
      </c>
      <c r="D468" s="385" t="s">
        <v>88</v>
      </c>
      <c r="E468" s="385"/>
      <c r="F468" s="385"/>
      <c r="G468" s="385"/>
      <c r="H468" s="385">
        <v>2024</v>
      </c>
      <c r="I468" s="386">
        <v>45426</v>
      </c>
      <c r="J468" s="30"/>
      <c r="K468" s="385"/>
      <c r="L468" s="385"/>
      <c r="M468" s="385"/>
      <c r="N468" s="385"/>
      <c r="O468" s="385"/>
      <c r="P468" s="385" t="str">
        <f>IFERROR(
    IF(
        OR(ISBLANK(I468), ISBLANK(L468)),
        "",
        MAX(
            1,
            IF(
                NETWORKDAYS(I468, L468, Holiday_Dates) &lt;= 0,
                1,
                NETWORKDAYS(I468, L468, Holiday_Dates) - IF(I468 = L468, 0, 1)
            )
        )
    ),
    ""
)</f>
        <v/>
      </c>
      <c r="Q468" s="385" t="str">
        <f>IF(
    OR(ISBLANK(L468), ISBLANK(M468)),
    "",
    MAX(
        1,
        IF(
            NETWORKDAYS(L468, M468, Holiday_Dates) &lt;= 0,
            1,
            NETWORKDAYS(L468, M468, Holiday_Dates) - IF(L468 = M468, 0, 1)
        )
    )
)</f>
        <v/>
      </c>
      <c r="R468" s="385" t="str">
        <f>IFERROR(
    IF(
        OR(ISBLANK(N468), AND(ISBLANK(L468), ISBLANK(M468))),
        "",
        MAX(
            1,
            IF(
                NETWORKDAYS(IF(NOT(ISBLANK(M468)), M468, L468), N468, Holiday_Dates) &lt;= 0,
                1,
                NETWORKDAYS(IF(NOT(ISBLANK(M468)), M468, L468), N468, Holiday_Dates)
                - IF(IF(NOT(ISBLANK(M468)), M468, L468) = N468, 0, 1)
            )
        )
    ),
    ""
)</f>
        <v/>
      </c>
      <c r="S468" s="385" t="str">
        <f>IFERROR(
    IF(
        OR(ISBLANK(N468), ISBLANK(O468)),
        "",
        MAX(
            1,
            IF(
                NETWORKDAYS(N468, O468, Holiday_Dates) &lt;= 0,
                1,
                NETWORKDAYS(N468, O468, Holiday_Dates) - IF(N468 = O468, 0, 1)
            )
        )
    ),
    ""
)</f>
        <v/>
      </c>
      <c r="T468" s="385"/>
      <c r="U468" s="385" t="s">
        <v>672</v>
      </c>
      <c r="V468" s="385"/>
      <c r="W468" s="385" t="s">
        <v>1436</v>
      </c>
      <c r="X468" s="1"/>
    </row>
    <row r="469" spans="1:24">
      <c r="A469" s="385" t="s">
        <v>49</v>
      </c>
      <c r="B469" s="385" t="s">
        <v>404</v>
      </c>
      <c r="C469" s="385" t="s">
        <v>2278</v>
      </c>
      <c r="D469" s="385" t="s">
        <v>88</v>
      </c>
      <c r="E469" s="385"/>
      <c r="F469" s="385"/>
      <c r="G469" s="385"/>
      <c r="H469" s="385">
        <v>2024</v>
      </c>
      <c r="I469" s="386">
        <v>45505</v>
      </c>
      <c r="J469" s="30"/>
      <c r="K469" s="385"/>
      <c r="L469" s="385"/>
      <c r="M469" s="385"/>
      <c r="N469" s="385"/>
      <c r="O469" s="385"/>
      <c r="P469" s="385" t="str">
        <f>IFERROR(
    IF(
        OR(ISBLANK(I469), ISBLANK(L469)),
        "",
        MAX(
            1,
            IF(
                NETWORKDAYS(I469, L469, Holiday_Dates) &lt;= 0,
                1,
                NETWORKDAYS(I469, L469, Holiday_Dates) - IF(I469 = L469, 0, 1)
            )
        )
    ),
    ""
)</f>
        <v/>
      </c>
      <c r="Q469" s="385" t="str">
        <f>IF(
    OR(ISBLANK(L469), ISBLANK(M469)),
    "",
    MAX(
        1,
        IF(
            NETWORKDAYS(L469, M469, Holiday_Dates) &lt;= 0,
            1,
            NETWORKDAYS(L469, M469, Holiday_Dates) - IF(L469 = M469, 0, 1)
        )
    )
)</f>
        <v/>
      </c>
      <c r="R469" s="385" t="str">
        <f>IFERROR(
    IF(
        OR(ISBLANK(N469), AND(ISBLANK(L469), ISBLANK(M469))),
        "",
        MAX(
            1,
            IF(
                NETWORKDAYS(IF(NOT(ISBLANK(M469)), M469, L469), N469, Holiday_Dates) &lt;= 0,
                1,
                NETWORKDAYS(IF(NOT(ISBLANK(M469)), M469, L469), N469, Holiday_Dates)
                - IF(IF(NOT(ISBLANK(M469)), M469, L469) = N469, 0, 1)
            )
        )
    ),
    ""
)</f>
        <v/>
      </c>
      <c r="S469" s="385" t="str">
        <f>IFERROR(
    IF(
        OR(ISBLANK(N469), ISBLANK(O469)),
        "",
        MAX(
            1,
            IF(
                NETWORKDAYS(N469, O469, Holiday_Dates) &lt;= 0,
                1,
                NETWORKDAYS(N469, O469, Holiday_Dates) - IF(N469 = O469, 0, 1)
            )
        )
    ),
    ""
)</f>
        <v/>
      </c>
      <c r="T469" s="385"/>
      <c r="U469" s="385" t="s">
        <v>672</v>
      </c>
      <c r="V469" s="385"/>
      <c r="W469" s="385" t="s">
        <v>1436</v>
      </c>
      <c r="X469" s="1"/>
    </row>
    <row r="470" spans="1:24">
      <c r="A470" s="385" t="s">
        <v>49</v>
      </c>
      <c r="B470" s="385" t="s">
        <v>404</v>
      </c>
      <c r="C470" s="385" t="s">
        <v>717</v>
      </c>
      <c r="D470" s="385" t="s">
        <v>88</v>
      </c>
      <c r="E470" s="385"/>
      <c r="F470" s="385"/>
      <c r="G470" s="385"/>
      <c r="H470" s="385">
        <v>2024</v>
      </c>
      <c r="I470" s="386">
        <v>45510</v>
      </c>
      <c r="J470" s="30"/>
      <c r="K470" s="385"/>
      <c r="L470" s="385"/>
      <c r="M470" s="385"/>
      <c r="N470" s="385"/>
      <c r="O470" s="385"/>
      <c r="P470" s="385" t="str">
        <f>IFERROR(
    IF(
        OR(ISBLANK(I470), ISBLANK(L470)),
        "",
        MAX(
            1,
            IF(
                NETWORKDAYS(I470, L470, Holiday_Dates) &lt;= 0,
                1,
                NETWORKDAYS(I470, L470, Holiday_Dates) - IF(I470 = L470, 0, 1)
            )
        )
    ),
    ""
)</f>
        <v/>
      </c>
      <c r="Q470" s="385" t="str">
        <f>IF(
    OR(ISBLANK(L470), ISBLANK(M470)),
    "",
    MAX(
        1,
        IF(
            NETWORKDAYS(L470, M470, Holiday_Dates) &lt;= 0,
            1,
            NETWORKDAYS(L470, M470, Holiday_Dates) - IF(L470 = M470, 0, 1)
        )
    )
)</f>
        <v/>
      </c>
      <c r="R470" s="385" t="str">
        <f>IFERROR(
    IF(
        OR(ISBLANK(N470), AND(ISBLANK(L470), ISBLANK(M470))),
        "",
        MAX(
            1,
            IF(
                NETWORKDAYS(IF(NOT(ISBLANK(M470)), M470, L470), N470, Holiday_Dates) &lt;= 0,
                1,
                NETWORKDAYS(IF(NOT(ISBLANK(M470)), M470, L470), N470, Holiday_Dates)
                - IF(IF(NOT(ISBLANK(M470)), M470, L470) = N470, 0, 1)
            )
        )
    ),
    ""
)</f>
        <v/>
      </c>
      <c r="S470" s="385" t="str">
        <f>IFERROR(
    IF(
        OR(ISBLANK(N470), ISBLANK(O470)),
        "",
        MAX(
            1,
            IF(
                NETWORKDAYS(N470, O470, Holiday_Dates) &lt;= 0,
                1,
                NETWORKDAYS(N470, O470, Holiday_Dates) - IF(N470 = O470, 0, 1)
            )
        )
    ),
    ""
)</f>
        <v/>
      </c>
      <c r="T470" s="385"/>
      <c r="U470" s="385" t="s">
        <v>672</v>
      </c>
      <c r="V470" s="385"/>
      <c r="W470" s="385" t="s">
        <v>1436</v>
      </c>
      <c r="X470" s="1"/>
    </row>
    <row r="471" spans="1:24">
      <c r="A471" s="385" t="s">
        <v>49</v>
      </c>
      <c r="B471" s="385" t="s">
        <v>404</v>
      </c>
      <c r="C471" s="385" t="s">
        <v>452</v>
      </c>
      <c r="D471" s="385" t="s">
        <v>88</v>
      </c>
      <c r="E471" s="385"/>
      <c r="F471" s="385"/>
      <c r="G471" s="385"/>
      <c r="H471" s="385">
        <v>2024</v>
      </c>
      <c r="I471" s="386">
        <v>45505</v>
      </c>
      <c r="J471" s="30"/>
      <c r="K471" s="385"/>
      <c r="L471" s="385"/>
      <c r="M471" s="385"/>
      <c r="N471" s="385"/>
      <c r="O471" s="385"/>
      <c r="P471" s="385" t="str">
        <f>IFERROR(
    IF(
        OR(ISBLANK(I471), ISBLANK(L471)),
        "",
        MAX(
            1,
            IF(
                NETWORKDAYS(I471, L471, Holiday_Dates) &lt;= 0,
                1,
                NETWORKDAYS(I471, L471, Holiday_Dates) - IF(I471 = L471, 0, 1)
            )
        )
    ),
    ""
)</f>
        <v/>
      </c>
      <c r="Q471" s="385" t="str">
        <f>IF(
    OR(ISBLANK(L471), ISBLANK(M471)),
    "",
    MAX(
        1,
        IF(
            NETWORKDAYS(L471, M471, Holiday_Dates) &lt;= 0,
            1,
            NETWORKDAYS(L471, M471, Holiday_Dates) - IF(L471 = M471, 0, 1)
        )
    )
)</f>
        <v/>
      </c>
      <c r="R471" s="385" t="str">
        <f>IFERROR(
    IF(
        OR(ISBLANK(N471), AND(ISBLANK(L471), ISBLANK(M471))),
        "",
        MAX(
            1,
            IF(
                NETWORKDAYS(IF(NOT(ISBLANK(M471)), M471, L471), N471, Holiday_Dates) &lt;= 0,
                1,
                NETWORKDAYS(IF(NOT(ISBLANK(M471)), M471, L471), N471, Holiday_Dates)
                - IF(IF(NOT(ISBLANK(M471)), M471, L471) = N471, 0, 1)
            )
        )
    ),
    ""
)</f>
        <v/>
      </c>
      <c r="S471" s="385" t="str">
        <f>IFERROR(
    IF(
        OR(ISBLANK(N471), ISBLANK(O471)),
        "",
        MAX(
            1,
            IF(
                NETWORKDAYS(N471, O471, Holiday_Dates) &lt;= 0,
                1,
                NETWORKDAYS(N471, O471, Holiday_Dates) - IF(N471 = O471, 0, 1)
            )
        )
    ),
    ""
)</f>
        <v/>
      </c>
      <c r="T471" s="385"/>
      <c r="U471" s="385" t="s">
        <v>672</v>
      </c>
      <c r="V471" s="385"/>
      <c r="W471" s="385" t="s">
        <v>1436</v>
      </c>
      <c r="X471" s="1"/>
    </row>
    <row r="472" spans="1:24">
      <c r="A472" s="385" t="s">
        <v>49</v>
      </c>
      <c r="B472" s="385" t="s">
        <v>404</v>
      </c>
      <c r="C472" s="385" t="s">
        <v>2282</v>
      </c>
      <c r="D472" s="385" t="s">
        <v>88</v>
      </c>
      <c r="E472" s="385"/>
      <c r="F472" s="385"/>
      <c r="G472" s="385"/>
      <c r="H472" s="385">
        <v>2024</v>
      </c>
      <c r="I472" s="386">
        <v>45510</v>
      </c>
      <c r="J472" s="30"/>
      <c r="K472" s="385"/>
      <c r="L472" s="385"/>
      <c r="M472" s="385"/>
      <c r="N472" s="385"/>
      <c r="O472" s="385"/>
      <c r="P472" s="385" t="str">
        <f>IFERROR(
    IF(
        OR(ISBLANK(I472), ISBLANK(L472)),
        "",
        MAX(
            1,
            IF(
                NETWORKDAYS(I472, L472, Holiday_Dates) &lt;= 0,
                1,
                NETWORKDAYS(I472, L472, Holiday_Dates) - IF(I472 = L472, 0, 1)
            )
        )
    ),
    ""
)</f>
        <v/>
      </c>
      <c r="Q472" s="385" t="str">
        <f>IF(
    OR(ISBLANK(L472), ISBLANK(M472)),
    "",
    MAX(
        1,
        IF(
            NETWORKDAYS(L472, M472, Holiday_Dates) &lt;= 0,
            1,
            NETWORKDAYS(L472, M472, Holiday_Dates) - IF(L472 = M472, 0, 1)
        )
    )
)</f>
        <v/>
      </c>
      <c r="R472" s="385" t="str">
        <f>IFERROR(
    IF(
        OR(ISBLANK(N472), AND(ISBLANK(L472), ISBLANK(M472))),
        "",
        MAX(
            1,
            IF(
                NETWORKDAYS(IF(NOT(ISBLANK(M472)), M472, L472), N472, Holiday_Dates) &lt;= 0,
                1,
                NETWORKDAYS(IF(NOT(ISBLANK(M472)), M472, L472), N472, Holiday_Dates)
                - IF(IF(NOT(ISBLANK(M472)), M472, L472) = N472, 0, 1)
            )
        )
    ),
    ""
)</f>
        <v/>
      </c>
      <c r="S472" s="385" t="str">
        <f>IFERROR(
    IF(
        OR(ISBLANK(N472), ISBLANK(O472)),
        "",
        MAX(
            1,
            IF(
                NETWORKDAYS(N472, O472, Holiday_Dates) &lt;= 0,
                1,
                NETWORKDAYS(N472, O472, Holiday_Dates) - IF(N472 = O472, 0, 1)
            )
        )
    ),
    ""
)</f>
        <v/>
      </c>
      <c r="T472" s="385"/>
      <c r="U472" s="385" t="s">
        <v>672</v>
      </c>
      <c r="V472" s="385"/>
      <c r="W472" s="385" t="s">
        <v>1436</v>
      </c>
      <c r="X472" s="1"/>
    </row>
    <row r="473" spans="1:24">
      <c r="A473" s="385" t="s">
        <v>49</v>
      </c>
      <c r="B473" s="385" t="s">
        <v>404</v>
      </c>
      <c r="C473" s="385" t="s">
        <v>2284</v>
      </c>
      <c r="D473" s="385" t="s">
        <v>88</v>
      </c>
      <c r="E473" s="385"/>
      <c r="F473" s="385"/>
      <c r="G473" s="385"/>
      <c r="H473" s="385">
        <v>2024</v>
      </c>
      <c r="I473" s="386">
        <v>45510</v>
      </c>
      <c r="J473" s="30"/>
      <c r="K473" s="385"/>
      <c r="L473" s="385"/>
      <c r="M473" s="385"/>
      <c r="N473" s="385"/>
      <c r="O473" s="385"/>
      <c r="P473" s="385" t="str">
        <f>IFERROR(
    IF(
        OR(ISBLANK(I473), ISBLANK(L473)),
        "",
        MAX(
            1,
            IF(
                NETWORKDAYS(I473, L473, Holiday_Dates) &lt;= 0,
                1,
                NETWORKDAYS(I473, L473, Holiday_Dates) - IF(I473 = L473, 0, 1)
            )
        )
    ),
    ""
)</f>
        <v/>
      </c>
      <c r="Q473" s="385" t="str">
        <f>IF(
    OR(ISBLANK(L473), ISBLANK(M473)),
    "",
    MAX(
        1,
        IF(
            NETWORKDAYS(L473, M473, Holiday_Dates) &lt;= 0,
            1,
            NETWORKDAYS(L473, M473, Holiday_Dates) - IF(L473 = M473, 0, 1)
        )
    )
)</f>
        <v/>
      </c>
      <c r="R473" s="385" t="str">
        <f>IFERROR(
    IF(
        OR(ISBLANK(N473), AND(ISBLANK(L473), ISBLANK(M473))),
        "",
        MAX(
            1,
            IF(
                NETWORKDAYS(IF(NOT(ISBLANK(M473)), M473, L473), N473, Holiday_Dates) &lt;= 0,
                1,
                NETWORKDAYS(IF(NOT(ISBLANK(M473)), M473, L473), N473, Holiday_Dates)
                - IF(IF(NOT(ISBLANK(M473)), M473, L473) = N473, 0, 1)
            )
        )
    ),
    ""
)</f>
        <v/>
      </c>
      <c r="S473" s="385" t="str">
        <f>IFERROR(
    IF(
        OR(ISBLANK(N473), ISBLANK(O473)),
        "",
        MAX(
            1,
            IF(
                NETWORKDAYS(N473, O473, Holiday_Dates) &lt;= 0,
                1,
                NETWORKDAYS(N473, O473, Holiday_Dates) - IF(N473 = O473, 0, 1)
            )
        )
    ),
    ""
)</f>
        <v/>
      </c>
      <c r="T473" s="385"/>
      <c r="U473" s="385" t="s">
        <v>672</v>
      </c>
      <c r="V473" s="385"/>
      <c r="W473" s="385" t="s">
        <v>1436</v>
      </c>
      <c r="X473" s="1"/>
    </row>
    <row r="474" spans="1:24">
      <c r="A474" s="385" t="s">
        <v>49</v>
      </c>
      <c r="B474" s="385" t="s">
        <v>404</v>
      </c>
      <c r="C474" s="385" t="s">
        <v>2286</v>
      </c>
      <c r="D474" s="385" t="s">
        <v>88</v>
      </c>
      <c r="E474" s="385"/>
      <c r="F474" s="385"/>
      <c r="G474" s="385"/>
      <c r="H474" s="385">
        <v>2024</v>
      </c>
      <c r="I474" s="386">
        <v>45505</v>
      </c>
      <c r="J474" s="30"/>
      <c r="K474" s="385"/>
      <c r="L474" s="385"/>
      <c r="M474" s="385"/>
      <c r="N474" s="385"/>
      <c r="O474" s="385"/>
      <c r="P474" s="385" t="str">
        <f>IFERROR(
    IF(
        OR(ISBLANK(I474), ISBLANK(L474)),
        "",
        MAX(
            1,
            IF(
                NETWORKDAYS(I474, L474, Holiday_Dates) &lt;= 0,
                1,
                NETWORKDAYS(I474, L474, Holiday_Dates) - IF(I474 = L474, 0, 1)
            )
        )
    ),
    ""
)</f>
        <v/>
      </c>
      <c r="Q474" s="385" t="str">
        <f>IF(
    OR(ISBLANK(L474), ISBLANK(M474)),
    "",
    MAX(
        1,
        IF(
            NETWORKDAYS(L474, M474, Holiday_Dates) &lt;= 0,
            1,
            NETWORKDAYS(L474, M474, Holiday_Dates) - IF(L474 = M474, 0, 1)
        )
    )
)</f>
        <v/>
      </c>
      <c r="R474" s="385" t="str">
        <f>IFERROR(
    IF(
        OR(ISBLANK(N474), AND(ISBLANK(L474), ISBLANK(M474))),
        "",
        MAX(
            1,
            IF(
                NETWORKDAYS(IF(NOT(ISBLANK(M474)), M474, L474), N474, Holiday_Dates) &lt;= 0,
                1,
                NETWORKDAYS(IF(NOT(ISBLANK(M474)), M474, L474), N474, Holiday_Dates)
                - IF(IF(NOT(ISBLANK(M474)), M474, L474) = N474, 0, 1)
            )
        )
    ),
    ""
)</f>
        <v/>
      </c>
      <c r="S474" s="385" t="str">
        <f>IFERROR(
    IF(
        OR(ISBLANK(N474), ISBLANK(O474)),
        "",
        MAX(
            1,
            IF(
                NETWORKDAYS(N474, O474, Holiday_Dates) &lt;= 0,
                1,
                NETWORKDAYS(N474, O474, Holiday_Dates) - IF(N474 = O474, 0, 1)
            )
        )
    ),
    ""
)</f>
        <v/>
      </c>
      <c r="T474" s="385"/>
      <c r="U474" s="385" t="s">
        <v>672</v>
      </c>
      <c r="V474" s="385"/>
      <c r="W474" s="385" t="s">
        <v>1436</v>
      </c>
      <c r="X474" s="1"/>
    </row>
    <row r="475" spans="1:24">
      <c r="A475" s="385" t="s">
        <v>49</v>
      </c>
      <c r="B475" s="385" t="s">
        <v>490</v>
      </c>
      <c r="C475" s="385" t="s">
        <v>2288</v>
      </c>
      <c r="D475" s="385" t="s">
        <v>88</v>
      </c>
      <c r="E475" s="385"/>
      <c r="F475" s="385"/>
      <c r="G475" s="385"/>
      <c r="H475" s="385">
        <v>2025</v>
      </c>
      <c r="I475" s="386">
        <v>45700</v>
      </c>
      <c r="J475" s="30" t="s">
        <v>4748</v>
      </c>
      <c r="K475" s="385"/>
      <c r="L475" s="385"/>
      <c r="M475" s="385"/>
      <c r="N475" s="385"/>
      <c r="O475" s="385"/>
      <c r="P475" s="385" t="str">
        <f>IFERROR(
    IF(
        OR(ISBLANK(I475), ISBLANK(L475)),
        "",
        MAX(
            1,
            IF(
                NETWORKDAYS(I475, L475, Holiday_Dates) &lt;= 0,
                1,
                NETWORKDAYS(I475, L475, Holiday_Dates) - IF(I475 = L475, 0, 1)
            )
        )
    ),
    ""
)</f>
        <v/>
      </c>
      <c r="Q475" s="385" t="str">
        <f>IF(
    OR(ISBLANK(L475), ISBLANK(M475)),
    "",
    MAX(
        1,
        IF(
            NETWORKDAYS(L475, M475, Holiday_Dates) &lt;= 0,
            1,
            NETWORKDAYS(L475, M475, Holiday_Dates) - IF(L475 = M475, 0, 1)
        )
    )
)</f>
        <v/>
      </c>
      <c r="R475" s="385" t="str">
        <f>IFERROR(
    IF(
        OR(ISBLANK(N475), AND(ISBLANK(L475), ISBLANK(M475))),
        "",
        MAX(
            1,
            IF(
                NETWORKDAYS(IF(NOT(ISBLANK(M475)), M475, L475), N475, Holiday_Dates) &lt;= 0,
                1,
                NETWORKDAYS(IF(NOT(ISBLANK(M475)), M475, L475), N475, Holiday_Dates)
                - IF(IF(NOT(ISBLANK(M475)), M475, L475) = N475, 0, 1)
            )
        )
    ),
    ""
)</f>
        <v/>
      </c>
      <c r="S475" s="385" t="str">
        <f>IFERROR(
    IF(
        OR(ISBLANK(N475), ISBLANK(O475)),
        "",
        MAX(
            1,
            IF(
                NETWORKDAYS(N475, O475, Holiday_Dates) &lt;= 0,
                1,
                NETWORKDAYS(N475, O475, Holiday_Dates) - IF(N475 = O475, 0, 1)
            )
        )
    ),
    ""
)</f>
        <v/>
      </c>
      <c r="T475" s="385"/>
      <c r="U475" s="385" t="s">
        <v>672</v>
      </c>
      <c r="V475" s="385" t="s">
        <v>101</v>
      </c>
      <c r="W475" s="385" t="s">
        <v>1436</v>
      </c>
      <c r="X475" s="1"/>
    </row>
    <row r="476" spans="1:24">
      <c r="A476" s="385" t="s">
        <v>49</v>
      </c>
      <c r="B476" s="385" t="s">
        <v>490</v>
      </c>
      <c r="C476" s="385" t="s">
        <v>1285</v>
      </c>
      <c r="D476" s="385" t="s">
        <v>88</v>
      </c>
      <c r="E476" s="385"/>
      <c r="F476" s="385"/>
      <c r="G476" s="385"/>
      <c r="H476" s="385">
        <v>2025</v>
      </c>
      <c r="I476" s="386">
        <v>45700</v>
      </c>
      <c r="J476" s="30" t="s">
        <v>4749</v>
      </c>
      <c r="K476" s="385"/>
      <c r="L476" s="385"/>
      <c r="M476" s="385"/>
      <c r="N476" s="385"/>
      <c r="O476" s="385"/>
      <c r="P476" s="385" t="str">
        <f>IFERROR(
    IF(
        OR(ISBLANK(I476), ISBLANK(L476)),
        "",
        MAX(
            1,
            IF(
                NETWORKDAYS(I476, L476, Holiday_Dates) &lt;= 0,
                1,
                NETWORKDAYS(I476, L476, Holiday_Dates) - IF(I476 = L476, 0, 1)
            )
        )
    ),
    ""
)</f>
        <v/>
      </c>
      <c r="Q476" s="385" t="str">
        <f>IF(
    OR(ISBLANK(L476), ISBLANK(M476)),
    "",
    MAX(
        1,
        IF(
            NETWORKDAYS(L476, M476, Holiday_Dates) &lt;= 0,
            1,
            NETWORKDAYS(L476, M476, Holiday_Dates) - IF(L476 = M476, 0, 1)
        )
    )
)</f>
        <v/>
      </c>
      <c r="R476" s="385" t="str">
        <f>IFERROR(
    IF(
        OR(ISBLANK(N476), AND(ISBLANK(L476), ISBLANK(M476))),
        "",
        MAX(
            1,
            IF(
                NETWORKDAYS(IF(NOT(ISBLANK(M476)), M476, L476), N476, Holiday_Dates) &lt;= 0,
                1,
                NETWORKDAYS(IF(NOT(ISBLANK(M476)), M476, L476), N476, Holiday_Dates)
                - IF(IF(NOT(ISBLANK(M476)), M476, L476) = N476, 0, 1)
            )
        )
    ),
    ""
)</f>
        <v/>
      </c>
      <c r="S476" s="385" t="str">
        <f>IFERROR(
    IF(
        OR(ISBLANK(N476), ISBLANK(O476)),
        "",
        MAX(
            1,
            IF(
                NETWORKDAYS(N476, O476, Holiday_Dates) &lt;= 0,
                1,
                NETWORKDAYS(N476, O476, Holiday_Dates) - IF(N476 = O476, 0, 1)
            )
        )
    ),
    ""
)</f>
        <v/>
      </c>
      <c r="T476" s="385"/>
      <c r="U476" s="385" t="s">
        <v>4</v>
      </c>
      <c r="V476" s="385" t="s">
        <v>101</v>
      </c>
      <c r="W476" s="385" t="s">
        <v>1436</v>
      </c>
      <c r="X476" s="1"/>
    </row>
    <row r="477" spans="1:24">
      <c r="A477" s="385" t="s">
        <v>49</v>
      </c>
      <c r="B477" s="385" t="s">
        <v>490</v>
      </c>
      <c r="C477" s="385" t="s">
        <v>2289</v>
      </c>
      <c r="D477" s="385" t="s">
        <v>88</v>
      </c>
      <c r="E477" s="385"/>
      <c r="F477" s="385"/>
      <c r="G477" s="385"/>
      <c r="H477" s="385">
        <v>2025</v>
      </c>
      <c r="I477" s="386">
        <v>45706</v>
      </c>
      <c r="J477" s="30" t="s">
        <v>4750</v>
      </c>
      <c r="K477" s="385"/>
      <c r="L477" s="385"/>
      <c r="M477" s="385"/>
      <c r="N477" s="385"/>
      <c r="O477" s="385"/>
      <c r="P477" s="385" t="str">
        <f>IFERROR(
    IF(
        OR(ISBLANK(I477), ISBLANK(L477)),
        "",
        MAX(
            1,
            IF(
                NETWORKDAYS(I477, L477, Holiday_Dates) &lt;= 0,
                1,
                NETWORKDAYS(I477, L477, Holiday_Dates) - IF(I477 = L477, 0, 1)
            )
        )
    ),
    ""
)</f>
        <v/>
      </c>
      <c r="Q477" s="385" t="str">
        <f>IF(
    OR(ISBLANK(L477), ISBLANK(M477)),
    "",
    MAX(
        1,
        IF(
            NETWORKDAYS(L477, M477, Holiday_Dates) &lt;= 0,
            1,
            NETWORKDAYS(L477, M477, Holiday_Dates) - IF(L477 = M477, 0, 1)
        )
    )
)</f>
        <v/>
      </c>
      <c r="R477" s="385" t="str">
        <f>IFERROR(
    IF(
        OR(ISBLANK(N477), AND(ISBLANK(L477), ISBLANK(M477))),
        "",
        MAX(
            1,
            IF(
                NETWORKDAYS(IF(NOT(ISBLANK(M477)), M477, L477), N477, Holiday_Dates) &lt;= 0,
                1,
                NETWORKDAYS(IF(NOT(ISBLANK(M477)), M477, L477), N477, Holiday_Dates)
                - IF(IF(NOT(ISBLANK(M477)), M477, L477) = N477, 0, 1)
            )
        )
    ),
    ""
)</f>
        <v/>
      </c>
      <c r="S477" s="385" t="str">
        <f>IFERROR(
    IF(
        OR(ISBLANK(N477), ISBLANK(O477)),
        "",
        MAX(
            1,
            IF(
                NETWORKDAYS(N477, O477, Holiday_Dates) &lt;= 0,
                1,
                NETWORKDAYS(N477, O477, Holiday_Dates) - IF(N477 = O477, 0, 1)
            )
        )
    ),
    ""
)</f>
        <v/>
      </c>
      <c r="T477" s="385"/>
      <c r="U477" s="385" t="s">
        <v>672</v>
      </c>
      <c r="V477" s="385" t="s">
        <v>101</v>
      </c>
      <c r="W477" s="385" t="s">
        <v>1436</v>
      </c>
      <c r="X477" s="1"/>
    </row>
    <row r="478" spans="1:24">
      <c r="A478" s="385" t="s">
        <v>65</v>
      </c>
      <c r="B478" s="385" t="s">
        <v>383</v>
      </c>
      <c r="C478" s="385" t="s">
        <v>2737</v>
      </c>
      <c r="D478" s="385" t="s">
        <v>88</v>
      </c>
      <c r="E478" s="385" t="s">
        <v>140</v>
      </c>
      <c r="F478" s="385"/>
      <c r="G478" s="385" t="s">
        <v>130</v>
      </c>
      <c r="H478" s="385">
        <v>2026</v>
      </c>
      <c r="I478" s="386">
        <v>46037</v>
      </c>
      <c r="J478" s="529" t="s">
        <v>4751</v>
      </c>
      <c r="K478" s="385" t="s">
        <v>92</v>
      </c>
      <c r="L478" s="386">
        <v>46038</v>
      </c>
      <c r="M478" s="386">
        <v>46043</v>
      </c>
      <c r="N478" s="386">
        <v>46043</v>
      </c>
      <c r="O478" s="386">
        <v>46044</v>
      </c>
      <c r="P478" s="385">
        <f>IFERROR(
    IF(
        OR(ISBLANK(I478), ISBLANK(L478)),
        "",
        MAX(
            1,
            IF(
                NETWORKDAYS(I478, L478, Holiday_Dates) &lt;= 0,
                1,
                NETWORKDAYS(I478, L478, Holiday_Dates) - IF(I478 = L478, 0, 1)
            )
        )
    ),
    ""
)</f>
        <v>1</v>
      </c>
      <c r="Q478" s="385">
        <f>IF(
    OR(ISBLANK(L478), ISBLANK(M478)),
    "",
    MAX(
        1,
        IF(
            NETWORKDAYS(L478, M478, Holiday_Dates) &lt;= 0,
            1,
            NETWORKDAYS(L478, M478, Holiday_Dates) - IF(L478 = M478, 0, 1)
        )
    )
)</f>
        <v>3</v>
      </c>
      <c r="R478" s="385">
        <f>IFERROR(
    IF(
        OR(ISBLANK(N478), AND(ISBLANK(L478), ISBLANK(M478))),
        "",
        MAX(
            1,
            IF(
                NETWORKDAYS(IF(NOT(ISBLANK(M478)), M478, L478), N478, Holiday_Dates) &lt;= 0,
                1,
                NETWORKDAYS(IF(NOT(ISBLANK(M478)), M478, L478), N478, Holiday_Dates)
                - IF(IF(NOT(ISBLANK(M478)), M478, L478) = N478, 0, 1)
            )
        )
    ),
    ""
)</f>
        <v>1</v>
      </c>
      <c r="S478" s="385">
        <f>IFERROR(
    IF(
        OR(ISBLANK(N478), ISBLANK(O478)),
        "",
        MAX(
            1,
            IF(
                NETWORKDAYS(N478, O478, Holiday_Dates) &lt;= 0,
                1,
                NETWORKDAYS(N478, O478, Holiday_Dates) - IF(N478 = O478, 0, 1)
            )
        )
    ),
    ""
)</f>
        <v>1</v>
      </c>
      <c r="T478" s="385" t="s">
        <v>929</v>
      </c>
      <c r="U478" s="385" t="s">
        <v>672</v>
      </c>
      <c r="V478" s="385" t="s">
        <v>101</v>
      </c>
      <c r="W478" s="385" t="s">
        <v>4710</v>
      </c>
      <c r="X478" s="1"/>
    </row>
    <row r="479" spans="1:24">
      <c r="A479" s="385" t="s">
        <v>65</v>
      </c>
      <c r="B479" s="385" t="s">
        <v>383</v>
      </c>
      <c r="C479" s="385" t="s">
        <v>2738</v>
      </c>
      <c r="D479" s="385" t="s">
        <v>88</v>
      </c>
      <c r="E479" s="385" t="s">
        <v>140</v>
      </c>
      <c r="F479" s="385"/>
      <c r="G479" s="385" t="s">
        <v>130</v>
      </c>
      <c r="H479" s="385">
        <v>2026</v>
      </c>
      <c r="I479" s="386">
        <v>46037</v>
      </c>
      <c r="J479" s="529" t="s">
        <v>4752</v>
      </c>
      <c r="K479" s="385" t="s">
        <v>92</v>
      </c>
      <c r="L479" s="386">
        <v>46038</v>
      </c>
      <c r="M479" s="386">
        <v>46043</v>
      </c>
      <c r="N479" s="386">
        <v>46043</v>
      </c>
      <c r="O479" s="386">
        <v>46044</v>
      </c>
      <c r="P479" s="385">
        <f>IFERROR(
    IF(
        OR(ISBLANK(I479), ISBLANK(L479)),
        "",
        MAX(
            1,
            IF(
                NETWORKDAYS(I479, L479, Holiday_Dates) &lt;= 0,
                1,
                NETWORKDAYS(I479, L479, Holiday_Dates) - IF(I479 = L479, 0, 1)
            )
        )
    ),
    ""
)</f>
        <v>1</v>
      </c>
      <c r="Q479" s="385">
        <f>IF(
    OR(ISBLANK(L479), ISBLANK(M479)),
    "",
    MAX(
        1,
        IF(
            NETWORKDAYS(L479, M479, Holiday_Dates) &lt;= 0,
            1,
            NETWORKDAYS(L479, M479, Holiday_Dates) - IF(L479 = M479, 0, 1)
        )
    )
)</f>
        <v>3</v>
      </c>
      <c r="R479" s="385">
        <f>IFERROR(
    IF(
        OR(ISBLANK(N479), AND(ISBLANK(L479), ISBLANK(M479))),
        "",
        MAX(
            1,
            IF(
                NETWORKDAYS(IF(NOT(ISBLANK(M479)), M479, L479), N479, Holiday_Dates) &lt;= 0,
                1,
                NETWORKDAYS(IF(NOT(ISBLANK(M479)), M479, L479), N479, Holiday_Dates)
                - IF(IF(NOT(ISBLANK(M479)), M479, L479) = N479, 0, 1)
            )
        )
    ),
    ""
)</f>
        <v>1</v>
      </c>
      <c r="S479" s="385">
        <f>IFERROR(
    IF(
        OR(ISBLANK(N479), ISBLANK(O479)),
        "",
        MAX(
            1,
            IF(
                NETWORKDAYS(N479, O479, Holiday_Dates) &lt;= 0,
                1,
                NETWORKDAYS(N479, O479, Holiday_Dates) - IF(N479 = O479, 0, 1)
            )
        )
    ),
    ""
)</f>
        <v>1</v>
      </c>
      <c r="T479" s="385" t="s">
        <v>929</v>
      </c>
      <c r="U479" s="385" t="s">
        <v>672</v>
      </c>
      <c r="V479" s="385" t="s">
        <v>101</v>
      </c>
      <c r="W479" s="385" t="s">
        <v>4710</v>
      </c>
      <c r="X479" s="1"/>
    </row>
    <row r="480" spans="1:24">
      <c r="A480" s="385" t="s">
        <v>49</v>
      </c>
      <c r="B480" s="385" t="s">
        <v>490</v>
      </c>
      <c r="C480" s="385" t="s">
        <v>673</v>
      </c>
      <c r="D480" s="385" t="s">
        <v>88</v>
      </c>
      <c r="E480" s="385"/>
      <c r="F480" s="385"/>
      <c r="G480" s="385"/>
      <c r="H480" s="385">
        <v>2025</v>
      </c>
      <c r="I480" s="386">
        <v>45916</v>
      </c>
      <c r="J480" s="30" t="s">
        <v>4753</v>
      </c>
      <c r="K480" s="385"/>
      <c r="L480" s="385"/>
      <c r="M480" s="385"/>
      <c r="N480" s="385"/>
      <c r="O480" s="385"/>
      <c r="P480" s="385" t="str">
        <f>IFERROR(
    IF(
        OR(ISBLANK(I480), ISBLANK(L480)),
        "",
        MAX(
            1,
            IF(
                NETWORKDAYS(I480, L480, Holiday_Dates) &lt;= 0,
                1,
                NETWORKDAYS(I480, L480, Holiday_Dates) - IF(I480 = L480, 0, 1)
            )
        )
    ),
    ""
)</f>
        <v/>
      </c>
      <c r="Q480" s="385" t="str">
        <f>IF(
    OR(ISBLANK(L480), ISBLANK(M480)),
    "",
    MAX(
        1,
        IF(
            NETWORKDAYS(L480, M480, Holiday_Dates) &lt;= 0,
            1,
            NETWORKDAYS(L480, M480, Holiday_Dates) - IF(L480 = M480, 0, 1)
        )
    )
)</f>
        <v/>
      </c>
      <c r="R480" s="385" t="str">
        <f>IFERROR(
    IF(
        OR(ISBLANK(N480), AND(ISBLANK(L480), ISBLANK(M480))),
        "",
        MAX(
            1,
            IF(
                NETWORKDAYS(IF(NOT(ISBLANK(M480)), M480, L480), N480, Holiday_Dates) &lt;= 0,
                1,
                NETWORKDAYS(IF(NOT(ISBLANK(M480)), M480, L480), N480, Holiday_Dates)
                - IF(IF(NOT(ISBLANK(M480)), M480, L480) = N480, 0, 1)
            )
        )
    ),
    ""
)</f>
        <v/>
      </c>
      <c r="S480" s="385" t="str">
        <f>IFERROR(
    IF(
        OR(ISBLANK(N480), ISBLANK(O480)),
        "",
        MAX(
            1,
            IF(
                NETWORKDAYS(N480, O480, Holiday_Dates) &lt;= 0,
                1,
                NETWORKDAYS(N480, O480, Holiday_Dates) - IF(N480 = O480, 0, 1)
            )
        )
    ),
    ""
)</f>
        <v/>
      </c>
      <c r="T480" s="385"/>
      <c r="U480" s="385" t="s">
        <v>672</v>
      </c>
      <c r="V480" s="385" t="s">
        <v>1676</v>
      </c>
      <c r="W480" s="385" t="s">
        <v>1436</v>
      </c>
      <c r="X480" s="1"/>
    </row>
    <row r="481" spans="1:24">
      <c r="A481" s="385" t="s">
        <v>49</v>
      </c>
      <c r="B481" s="385" t="s">
        <v>490</v>
      </c>
      <c r="C481" s="385" t="s">
        <v>2292</v>
      </c>
      <c r="D481" s="385" t="s">
        <v>88</v>
      </c>
      <c r="E481" s="385"/>
      <c r="F481" s="385"/>
      <c r="G481" s="385"/>
      <c r="H481" s="385">
        <v>2025</v>
      </c>
      <c r="I481" s="386">
        <v>45916</v>
      </c>
      <c r="J481" s="30" t="s">
        <v>4754</v>
      </c>
      <c r="K481" s="385"/>
      <c r="L481" s="385"/>
      <c r="M481" s="385"/>
      <c r="N481" s="385"/>
      <c r="O481" s="385"/>
      <c r="P481" s="385" t="str">
        <f>IFERROR(
    IF(
        OR(ISBLANK(I481), ISBLANK(L481)),
        "",
        MAX(
            1,
            IF(
                NETWORKDAYS(I481, L481, Holiday_Dates) &lt;= 0,
                1,
                NETWORKDAYS(I481, L481, Holiday_Dates) - IF(I481 = L481, 0, 1)
            )
        )
    ),
    ""
)</f>
        <v/>
      </c>
      <c r="Q481" s="385" t="str">
        <f>IF(
    OR(ISBLANK(L481), ISBLANK(M481)),
    "",
    MAX(
        1,
        IF(
            NETWORKDAYS(L481, M481, Holiday_Dates) &lt;= 0,
            1,
            NETWORKDAYS(L481, M481, Holiday_Dates) - IF(L481 = M481, 0, 1)
        )
    )
)</f>
        <v/>
      </c>
      <c r="R481" s="385" t="str">
        <f>IFERROR(
    IF(
        OR(ISBLANK(N481), AND(ISBLANK(L481), ISBLANK(M481))),
        "",
        MAX(
            1,
            IF(
                NETWORKDAYS(IF(NOT(ISBLANK(M481)), M481, L481), N481, Holiday_Dates) &lt;= 0,
                1,
                NETWORKDAYS(IF(NOT(ISBLANK(M481)), M481, L481), N481, Holiday_Dates)
                - IF(IF(NOT(ISBLANK(M481)), M481, L481) = N481, 0, 1)
            )
        )
    ),
    ""
)</f>
        <v/>
      </c>
      <c r="S481" s="385" t="str">
        <f>IFERROR(
    IF(
        OR(ISBLANK(N481), ISBLANK(O481)),
        "",
        MAX(
            1,
            IF(
                NETWORKDAYS(N481, O481, Holiday_Dates) &lt;= 0,
                1,
                NETWORKDAYS(N481, O481, Holiday_Dates) - IF(N481 = O481, 0, 1)
            )
        )
    ),
    ""
)</f>
        <v/>
      </c>
      <c r="T481" s="385"/>
      <c r="U481" s="385" t="s">
        <v>672</v>
      </c>
      <c r="V481" s="385" t="s">
        <v>1676</v>
      </c>
      <c r="W481" s="385" t="s">
        <v>1436</v>
      </c>
      <c r="X481" s="1"/>
    </row>
    <row r="482" spans="1:24">
      <c r="A482" s="385" t="s">
        <v>49</v>
      </c>
      <c r="B482" s="385" t="s">
        <v>490</v>
      </c>
      <c r="C482" s="385" t="s">
        <v>2293</v>
      </c>
      <c r="D482" s="385" t="s">
        <v>88</v>
      </c>
      <c r="E482" s="385"/>
      <c r="F482" s="385"/>
      <c r="G482" s="385"/>
      <c r="H482" s="385">
        <v>2024</v>
      </c>
      <c r="I482" s="385" t="s">
        <v>4660</v>
      </c>
      <c r="J482" s="30"/>
      <c r="K482" s="385"/>
      <c r="L482" s="385"/>
      <c r="M482" s="385"/>
      <c r="N482" s="385"/>
      <c r="O482" s="385"/>
      <c r="P482" s="385" t="str">
        <f>IFERROR(
    IF(
        OR(ISBLANK(I482), ISBLANK(L482)),
        "",
        MAX(
            1,
            IF(
                NETWORKDAYS(I482, L482, Holiday_Dates) &lt;= 0,
                1,
                NETWORKDAYS(I482, L482, Holiday_Dates) - IF(I482 = L482, 0, 1)
            )
        )
    ),
    ""
)</f>
        <v/>
      </c>
      <c r="Q482" s="385" t="str">
        <f>IF(
    OR(ISBLANK(L482), ISBLANK(M482)),
    "",
    MAX(
        1,
        IF(
            NETWORKDAYS(L482, M482, Holiday_Dates) &lt;= 0,
            1,
            NETWORKDAYS(L482, M482, Holiday_Dates) - IF(L482 = M482, 0, 1)
        )
    )
)</f>
        <v/>
      </c>
      <c r="R482" s="385" t="str">
        <f>IFERROR(
    IF(
        OR(ISBLANK(N482), AND(ISBLANK(L482), ISBLANK(M482))),
        "",
        MAX(
            1,
            IF(
                NETWORKDAYS(IF(NOT(ISBLANK(M482)), M482, L482), N482, Holiday_Dates) &lt;= 0,
                1,
                NETWORKDAYS(IF(NOT(ISBLANK(M482)), M482, L482), N482, Holiday_Dates)
                - IF(IF(NOT(ISBLANK(M482)), M482, L482) = N482, 0, 1)
            )
        )
    ),
    ""
)</f>
        <v/>
      </c>
      <c r="S482" s="385" t="str">
        <f>IFERROR(
    IF(
        OR(ISBLANK(N482), ISBLANK(O482)),
        "",
        MAX(
            1,
            IF(
                NETWORKDAYS(N482, O482, Holiday_Dates) &lt;= 0,
                1,
                NETWORKDAYS(N482, O482, Holiday_Dates) - IF(N482 = O482, 0, 1)
            )
        )
    ),
    ""
)</f>
        <v/>
      </c>
      <c r="T482" s="385"/>
      <c r="U482" s="385" t="s">
        <v>672</v>
      </c>
      <c r="V482" s="385"/>
      <c r="W482" s="385" t="s">
        <v>1436</v>
      </c>
      <c r="X482" s="1"/>
    </row>
    <row r="483" spans="1:24">
      <c r="A483" s="385" t="s">
        <v>49</v>
      </c>
      <c r="B483" s="385" t="s">
        <v>490</v>
      </c>
      <c r="C483" s="385" t="s">
        <v>2295</v>
      </c>
      <c r="D483" s="385" t="s">
        <v>88</v>
      </c>
      <c r="E483" s="385"/>
      <c r="F483" s="385"/>
      <c r="G483" s="385"/>
      <c r="H483" s="385">
        <v>2025</v>
      </c>
      <c r="I483" s="386">
        <v>45916</v>
      </c>
      <c r="J483" s="30" t="s">
        <v>4755</v>
      </c>
      <c r="K483" s="385"/>
      <c r="L483" s="385"/>
      <c r="M483" s="385"/>
      <c r="N483" s="385"/>
      <c r="O483" s="385"/>
      <c r="P483" s="385" t="str">
        <f>IFERROR(
    IF(
        OR(ISBLANK(I483), ISBLANK(L483)),
        "",
        MAX(
            1,
            IF(
                NETWORKDAYS(I483, L483, Holiday_Dates) &lt;= 0,
                1,
                NETWORKDAYS(I483, L483, Holiday_Dates) - IF(I483 = L483, 0, 1)
            )
        )
    ),
    ""
)</f>
        <v/>
      </c>
      <c r="Q483" s="385" t="str">
        <f>IF(
    OR(ISBLANK(L483), ISBLANK(M483)),
    "",
    MAX(
        1,
        IF(
            NETWORKDAYS(L483, M483, Holiday_Dates) &lt;= 0,
            1,
            NETWORKDAYS(L483, M483, Holiday_Dates) - IF(L483 = M483, 0, 1)
        )
    )
)</f>
        <v/>
      </c>
      <c r="R483" s="385" t="str">
        <f>IFERROR(
    IF(
        OR(ISBLANK(N483), AND(ISBLANK(L483), ISBLANK(M483))),
        "",
        MAX(
            1,
            IF(
                NETWORKDAYS(IF(NOT(ISBLANK(M483)), M483, L483), N483, Holiday_Dates) &lt;= 0,
                1,
                NETWORKDAYS(IF(NOT(ISBLANK(M483)), M483, L483), N483, Holiday_Dates)
                - IF(IF(NOT(ISBLANK(M483)), M483, L483) = N483, 0, 1)
            )
        )
    ),
    ""
)</f>
        <v/>
      </c>
      <c r="S483" s="385" t="str">
        <f>IFERROR(
    IF(
        OR(ISBLANK(N483), ISBLANK(O483)),
        "",
        MAX(
            1,
            IF(
                NETWORKDAYS(N483, O483, Holiday_Dates) &lt;= 0,
                1,
                NETWORKDAYS(N483, O483, Holiday_Dates) - IF(N483 = O483, 0, 1)
            )
        )
    ),
    ""
)</f>
        <v/>
      </c>
      <c r="T483" s="385"/>
      <c r="U483" s="385" t="s">
        <v>672</v>
      </c>
      <c r="V483" s="385" t="s">
        <v>1676</v>
      </c>
      <c r="W483" s="385" t="s">
        <v>1436</v>
      </c>
      <c r="X483" s="1"/>
    </row>
    <row r="484" spans="1:24">
      <c r="A484" s="385" t="s">
        <v>65</v>
      </c>
      <c r="B484" s="385" t="s">
        <v>384</v>
      </c>
      <c r="C484" s="385" t="s">
        <v>2748</v>
      </c>
      <c r="D484" s="385" t="s">
        <v>88</v>
      </c>
      <c r="E484" s="385" t="s">
        <v>141</v>
      </c>
      <c r="F484" s="385"/>
      <c r="G484" s="385" t="s">
        <v>130</v>
      </c>
      <c r="H484" s="385">
        <v>2026</v>
      </c>
      <c r="I484" s="386">
        <v>46042</v>
      </c>
      <c r="J484" s="30" t="s">
        <v>4756</v>
      </c>
      <c r="K484" s="385" t="s">
        <v>92</v>
      </c>
      <c r="L484" s="386">
        <v>46044</v>
      </c>
      <c r="M484" s="385"/>
      <c r="N484" s="386">
        <v>46044</v>
      </c>
      <c r="O484" s="386">
        <v>46045</v>
      </c>
      <c r="P484" s="385">
        <f>IFERROR(
    IF(
        OR(ISBLANK(I484), ISBLANK(L484)),
        "",
        MAX(
            1,
            IF(
                NETWORKDAYS(I484, L484, Holiday_Dates) &lt;= 0,
                1,
                NETWORKDAYS(I484, L484, Holiday_Dates) - IF(I484 = L484, 0, 1)
            )
        )
    ),
    ""
)</f>
        <v>2</v>
      </c>
      <c r="Q484" s="385" t="str">
        <f>IF(
    OR(ISBLANK(L484), ISBLANK(M484)),
    "",
    MAX(
        1,
        IF(
            NETWORKDAYS(L484, M484, Holiday_Dates) &lt;= 0,
            1,
            NETWORKDAYS(L484, M484, Holiday_Dates) - IF(L484 = M484, 0, 1)
        )
    )
)</f>
        <v/>
      </c>
      <c r="R484" s="385">
        <f>IFERROR(
    IF(
        OR(ISBLANK(N484), AND(ISBLANK(L484), ISBLANK(M484))),
        "",
        MAX(
            1,
            IF(
                NETWORKDAYS(IF(NOT(ISBLANK(M484)), M484, L484), N484, Holiday_Dates) &lt;= 0,
                1,
                NETWORKDAYS(IF(NOT(ISBLANK(M484)), M484, L484), N484, Holiday_Dates)
                - IF(IF(NOT(ISBLANK(M484)), M484, L484) = N484, 0, 1)
            )
        )
    ),
    ""
)</f>
        <v>1</v>
      </c>
      <c r="S484" s="385">
        <f>IFERROR(
    IF(
        OR(ISBLANK(N484), ISBLANK(O484)),
        "",
        MAX(
            1,
            IF(
                NETWORKDAYS(N484, O484, Holiday_Dates) &lt;= 0,
                1,
                NETWORKDAYS(N484, O484, Holiday_Dates) - IF(N484 = O484, 0, 1)
            )
        )
    ),
    ""
)</f>
        <v>1</v>
      </c>
      <c r="T484" s="385" t="s">
        <v>929</v>
      </c>
      <c r="U484" s="385" t="s">
        <v>672</v>
      </c>
      <c r="V484" s="385" t="s">
        <v>101</v>
      </c>
      <c r="W484" s="385" t="s">
        <v>4710</v>
      </c>
      <c r="X484" s="1"/>
    </row>
    <row r="485" spans="1:24">
      <c r="A485" s="385" t="s">
        <v>49</v>
      </c>
      <c r="B485" s="385" t="s">
        <v>490</v>
      </c>
      <c r="C485" s="385" t="s">
        <v>881</v>
      </c>
      <c r="D485" s="385" t="s">
        <v>88</v>
      </c>
      <c r="E485" s="385"/>
      <c r="F485" s="385"/>
      <c r="G485" s="385"/>
      <c r="H485" s="385">
        <v>2024</v>
      </c>
      <c r="I485" s="385" t="s">
        <v>4660</v>
      </c>
      <c r="J485" s="30"/>
      <c r="K485" s="385"/>
      <c r="L485" s="385"/>
      <c r="M485" s="385"/>
      <c r="N485" s="385"/>
      <c r="O485" s="385"/>
      <c r="P485" s="385" t="str">
        <f>IFERROR(
    IF(
        OR(ISBLANK(I485), ISBLANK(L485)),
        "",
        MAX(
            1,
            IF(
                NETWORKDAYS(I485, L485, Holiday_Dates) &lt;= 0,
                1,
                NETWORKDAYS(I485, L485, Holiday_Dates) - IF(I485 = L485, 0, 1)
            )
        )
    ),
    ""
)</f>
        <v/>
      </c>
      <c r="Q485" s="385" t="str">
        <f>IF(
    OR(ISBLANK(L485), ISBLANK(M485)),
    "",
    MAX(
        1,
        IF(
            NETWORKDAYS(L485, M485, Holiday_Dates) &lt;= 0,
            1,
            NETWORKDAYS(L485, M485, Holiday_Dates) - IF(L485 = M485, 0, 1)
        )
    )
)</f>
        <v/>
      </c>
      <c r="R485" s="385" t="str">
        <f>IFERROR(
    IF(
        OR(ISBLANK(N485), AND(ISBLANK(L485), ISBLANK(M485))),
        "",
        MAX(
            1,
            IF(
                NETWORKDAYS(IF(NOT(ISBLANK(M485)), M485, L485), N485, Holiday_Dates) &lt;= 0,
                1,
                NETWORKDAYS(IF(NOT(ISBLANK(M485)), M485, L485), N485, Holiday_Dates)
                - IF(IF(NOT(ISBLANK(M485)), M485, L485) = N485, 0, 1)
            )
        )
    ),
    ""
)</f>
        <v/>
      </c>
      <c r="S485" s="385" t="str">
        <f>IFERROR(
    IF(
        OR(ISBLANK(N485), ISBLANK(O485)),
        "",
        MAX(
            1,
            IF(
                NETWORKDAYS(N485, O485, Holiday_Dates) &lt;= 0,
                1,
                NETWORKDAYS(N485, O485, Holiday_Dates) - IF(N485 = O485, 0, 1)
            )
        )
    ),
    ""
)</f>
        <v/>
      </c>
      <c r="T485" s="385"/>
      <c r="U485" s="385" t="s">
        <v>672</v>
      </c>
      <c r="V485" s="385"/>
      <c r="W485" s="385" t="s">
        <v>1436</v>
      </c>
      <c r="X485" s="1"/>
    </row>
    <row r="486" spans="1:24">
      <c r="A486" s="385" t="s">
        <v>49</v>
      </c>
      <c r="B486" s="385" t="s">
        <v>490</v>
      </c>
      <c r="C486" s="385" t="s">
        <v>2297</v>
      </c>
      <c r="D486" s="385" t="s">
        <v>88</v>
      </c>
      <c r="E486" s="385"/>
      <c r="F486" s="385"/>
      <c r="G486" s="385"/>
      <c r="H486" s="385">
        <v>2024</v>
      </c>
      <c r="I486" s="385" t="s">
        <v>4660</v>
      </c>
      <c r="J486" s="30"/>
      <c r="K486" s="385"/>
      <c r="L486" s="385"/>
      <c r="M486" s="385"/>
      <c r="N486" s="385"/>
      <c r="O486" s="385"/>
      <c r="P486" s="385" t="str">
        <f>IFERROR(
    IF(
        OR(ISBLANK(I486), ISBLANK(L486)),
        "",
        MAX(
            1,
            IF(
                NETWORKDAYS(I486, L486, Holiday_Dates) &lt;= 0,
                1,
                NETWORKDAYS(I486, L486, Holiday_Dates) - IF(I486 = L486, 0, 1)
            )
        )
    ),
    ""
)</f>
        <v/>
      </c>
      <c r="Q486" s="385" t="str">
        <f>IF(
    OR(ISBLANK(L486), ISBLANK(M486)),
    "",
    MAX(
        1,
        IF(
            NETWORKDAYS(L486, M486, Holiday_Dates) &lt;= 0,
            1,
            NETWORKDAYS(L486, M486, Holiday_Dates) - IF(L486 = M486, 0, 1)
        )
    )
)</f>
        <v/>
      </c>
      <c r="R486" s="385" t="str">
        <f>IFERROR(
    IF(
        OR(ISBLANK(N486), AND(ISBLANK(L486), ISBLANK(M486))),
        "",
        MAX(
            1,
            IF(
                NETWORKDAYS(IF(NOT(ISBLANK(M486)), M486, L486), N486, Holiday_Dates) &lt;= 0,
                1,
                NETWORKDAYS(IF(NOT(ISBLANK(M486)), M486, L486), N486, Holiday_Dates)
                - IF(IF(NOT(ISBLANK(M486)), M486, L486) = N486, 0, 1)
            )
        )
    ),
    ""
)</f>
        <v/>
      </c>
      <c r="S486" s="385" t="str">
        <f>IFERROR(
    IF(
        OR(ISBLANK(N486), ISBLANK(O486)),
        "",
        MAX(
            1,
            IF(
                NETWORKDAYS(N486, O486, Holiday_Dates) &lt;= 0,
                1,
                NETWORKDAYS(N486, O486, Holiday_Dates) - IF(N486 = O486, 0, 1)
            )
        )
    ),
    ""
)</f>
        <v/>
      </c>
      <c r="T486" s="385"/>
      <c r="U486" s="385" t="s">
        <v>672</v>
      </c>
      <c r="V486" s="385"/>
      <c r="W486" s="385" t="s">
        <v>1436</v>
      </c>
      <c r="X486" s="1"/>
    </row>
    <row r="487" spans="1:24">
      <c r="A487" s="385" t="s">
        <v>49</v>
      </c>
      <c r="B487" s="385" t="s">
        <v>490</v>
      </c>
      <c r="C487" s="385" t="s">
        <v>1065</v>
      </c>
      <c r="D487" s="385" t="s">
        <v>88</v>
      </c>
      <c r="E487" s="385"/>
      <c r="F487" s="385"/>
      <c r="G487" s="385"/>
      <c r="H487" s="385">
        <v>2024</v>
      </c>
      <c r="I487" s="385" t="s">
        <v>4660</v>
      </c>
      <c r="J487" s="30"/>
      <c r="K487" s="385"/>
      <c r="L487" s="385"/>
      <c r="M487" s="385"/>
      <c r="N487" s="385"/>
      <c r="O487" s="385"/>
      <c r="P487" s="385" t="str">
        <f>IFERROR(
    IF(
        OR(ISBLANK(I487), ISBLANK(L487)),
        "",
        MAX(
            1,
            IF(
                NETWORKDAYS(I487, L487, Holiday_Dates) &lt;= 0,
                1,
                NETWORKDAYS(I487, L487, Holiday_Dates) - IF(I487 = L487, 0, 1)
            )
        )
    ),
    ""
)</f>
        <v/>
      </c>
      <c r="Q487" s="385" t="str">
        <f>IF(
    OR(ISBLANK(L487), ISBLANK(M487)),
    "",
    MAX(
        1,
        IF(
            NETWORKDAYS(L487, M487, Holiday_Dates) &lt;= 0,
            1,
            NETWORKDAYS(L487, M487, Holiday_Dates) - IF(L487 = M487, 0, 1)
        )
    )
)</f>
        <v/>
      </c>
      <c r="R487" s="385" t="str">
        <f>IFERROR(
    IF(
        OR(ISBLANK(N487), AND(ISBLANK(L487), ISBLANK(M487))),
        "",
        MAX(
            1,
            IF(
                NETWORKDAYS(IF(NOT(ISBLANK(M487)), M487, L487), N487, Holiday_Dates) &lt;= 0,
                1,
                NETWORKDAYS(IF(NOT(ISBLANK(M487)), M487, L487), N487, Holiday_Dates)
                - IF(IF(NOT(ISBLANK(M487)), M487, L487) = N487, 0, 1)
            )
        )
    ),
    ""
)</f>
        <v/>
      </c>
      <c r="S487" s="385" t="str">
        <f>IFERROR(
    IF(
        OR(ISBLANK(N487), ISBLANK(O487)),
        "",
        MAX(
            1,
            IF(
                NETWORKDAYS(N487, O487, Holiday_Dates) &lt;= 0,
                1,
                NETWORKDAYS(N487, O487, Holiday_Dates) - IF(N487 = O487, 0, 1)
            )
        )
    ),
    ""
)</f>
        <v/>
      </c>
      <c r="T487" s="385"/>
      <c r="U487" s="385" t="s">
        <v>672</v>
      </c>
      <c r="V487" s="385"/>
      <c r="W487" s="385" t="s">
        <v>1436</v>
      </c>
      <c r="X487" s="1"/>
    </row>
    <row r="488" spans="1:24">
      <c r="A488" s="385" t="s">
        <v>65</v>
      </c>
      <c r="B488" s="385" t="s">
        <v>384</v>
      </c>
      <c r="C488" s="385" t="s">
        <v>2749</v>
      </c>
      <c r="D488" s="385" t="s">
        <v>88</v>
      </c>
      <c r="E488" s="385" t="s">
        <v>141</v>
      </c>
      <c r="F488" s="385"/>
      <c r="G488" s="385" t="s">
        <v>130</v>
      </c>
      <c r="H488" s="385">
        <v>2026</v>
      </c>
      <c r="I488" s="386">
        <v>46042</v>
      </c>
      <c r="J488" s="529" t="s">
        <v>4757</v>
      </c>
      <c r="K488" s="385" t="s">
        <v>92</v>
      </c>
      <c r="L488" s="386">
        <v>46044</v>
      </c>
      <c r="M488" s="385"/>
      <c r="N488" s="386">
        <v>46044</v>
      </c>
      <c r="O488" s="386">
        <v>46045</v>
      </c>
      <c r="P488" s="385">
        <f>IFERROR(
    IF(
        OR(ISBLANK(I488), ISBLANK(L488)),
        "",
        MAX(
            1,
            IF(
                NETWORKDAYS(I488, L488, Holiday_Dates) &lt;= 0,
                1,
                NETWORKDAYS(I488, L488, Holiday_Dates) - IF(I488 = L488, 0, 1)
            )
        )
    ),
    ""
)</f>
        <v>2</v>
      </c>
      <c r="Q488" s="385" t="str">
        <f>IF(
    OR(ISBLANK(L488), ISBLANK(M488)),
    "",
    MAX(
        1,
        IF(
            NETWORKDAYS(L488, M488, Holiday_Dates) &lt;= 0,
            1,
            NETWORKDAYS(L488, M488, Holiday_Dates) - IF(L488 = M488, 0, 1)
        )
    )
)</f>
        <v/>
      </c>
      <c r="R488" s="385">
        <f>IFERROR(
    IF(
        OR(ISBLANK(N488), AND(ISBLANK(L488), ISBLANK(M488))),
        "",
        MAX(
            1,
            IF(
                NETWORKDAYS(IF(NOT(ISBLANK(M488)), M488, L488), N488, Holiday_Dates) &lt;= 0,
                1,
                NETWORKDAYS(IF(NOT(ISBLANK(M488)), M488, L488), N488, Holiday_Dates)
                - IF(IF(NOT(ISBLANK(M488)), M488, L488) = N488, 0, 1)
            )
        )
    ),
    ""
)</f>
        <v>1</v>
      </c>
      <c r="S488" s="385">
        <f>IFERROR(
    IF(
        OR(ISBLANK(N488), ISBLANK(O488)),
        "",
        MAX(
            1,
            IF(
                NETWORKDAYS(N488, O488, Holiday_Dates) &lt;= 0,
                1,
                NETWORKDAYS(N488, O488, Holiday_Dates) - IF(N488 = O488, 0, 1)
            )
        )
    ),
    ""
)</f>
        <v>1</v>
      </c>
      <c r="T488" s="385" t="s">
        <v>929</v>
      </c>
      <c r="U488" s="385" t="s">
        <v>672</v>
      </c>
      <c r="V488" s="385" t="s">
        <v>101</v>
      </c>
      <c r="W488" s="385" t="s">
        <v>4710</v>
      </c>
      <c r="X488" s="1"/>
    </row>
    <row r="489" spans="1:24">
      <c r="A489" s="385" t="s">
        <v>49</v>
      </c>
      <c r="B489" s="385" t="s">
        <v>492</v>
      </c>
      <c r="C489" s="385" t="s">
        <v>2301</v>
      </c>
      <c r="D489" s="385" t="s">
        <v>88</v>
      </c>
      <c r="E489" s="385"/>
      <c r="F489" s="385"/>
      <c r="G489" s="385"/>
      <c r="H489" s="385">
        <v>2024</v>
      </c>
      <c r="I489" s="386">
        <v>45426</v>
      </c>
      <c r="J489" s="30"/>
      <c r="K489" s="385"/>
      <c r="L489" s="385"/>
      <c r="M489" s="385"/>
      <c r="N489" s="385"/>
      <c r="O489" s="385"/>
      <c r="P489" s="385" t="str">
        <f>IFERROR(
    IF(
        OR(ISBLANK(I489), ISBLANK(L489)),
        "",
        MAX(
            1,
            IF(
                NETWORKDAYS(I489, L489, Holiday_Dates) &lt;= 0,
                1,
                NETWORKDAYS(I489, L489, Holiday_Dates) - IF(I489 = L489, 0, 1)
            )
        )
    ),
    ""
)</f>
        <v/>
      </c>
      <c r="Q489" s="385" t="str">
        <f>IF(
    OR(ISBLANK(L489), ISBLANK(M489)),
    "",
    MAX(
        1,
        IF(
            NETWORKDAYS(L489, M489, Holiday_Dates) &lt;= 0,
            1,
            NETWORKDAYS(L489, M489, Holiday_Dates) - IF(L489 = M489, 0, 1)
        )
    )
)</f>
        <v/>
      </c>
      <c r="R489" s="385" t="str">
        <f>IFERROR(
    IF(
        OR(ISBLANK(N489), AND(ISBLANK(L489), ISBLANK(M489))),
        "",
        MAX(
            1,
            IF(
                NETWORKDAYS(IF(NOT(ISBLANK(M489)), M489, L489), N489, Holiday_Dates) &lt;= 0,
                1,
                NETWORKDAYS(IF(NOT(ISBLANK(M489)), M489, L489), N489, Holiday_Dates)
                - IF(IF(NOT(ISBLANK(M489)), M489, L489) = N489, 0, 1)
            )
        )
    ),
    ""
)</f>
        <v/>
      </c>
      <c r="S489" s="385" t="str">
        <f>IFERROR(
    IF(
        OR(ISBLANK(N489), ISBLANK(O489)),
        "",
        MAX(
            1,
            IF(
                NETWORKDAYS(N489, O489, Holiday_Dates) &lt;= 0,
                1,
                NETWORKDAYS(N489, O489, Holiday_Dates) - IF(N489 = O489, 0, 1)
            )
        )
    ),
    ""
)</f>
        <v/>
      </c>
      <c r="T489" s="385"/>
      <c r="U489" s="385" t="s">
        <v>672</v>
      </c>
      <c r="V489" s="385"/>
      <c r="W489" s="385" t="s">
        <v>1436</v>
      </c>
      <c r="X489" s="1"/>
    </row>
    <row r="490" spans="1:24">
      <c r="A490" s="385" t="s">
        <v>49</v>
      </c>
      <c r="B490" s="385" t="s">
        <v>492</v>
      </c>
      <c r="C490" s="385" t="s">
        <v>2303</v>
      </c>
      <c r="D490" s="385" t="s">
        <v>88</v>
      </c>
      <c r="E490" s="385"/>
      <c r="F490" s="385"/>
      <c r="G490" s="385"/>
      <c r="H490" s="385">
        <v>2025</v>
      </c>
      <c r="I490" s="386">
        <v>45791</v>
      </c>
      <c r="J490" s="30" t="s">
        <v>4758</v>
      </c>
      <c r="K490" s="385"/>
      <c r="L490" s="385"/>
      <c r="M490" s="385"/>
      <c r="N490" s="385"/>
      <c r="O490" s="385"/>
      <c r="P490" s="385" t="str">
        <f>IFERROR(
    IF(
        OR(ISBLANK(I490), ISBLANK(L490)),
        "",
        MAX(
            1,
            IF(
                NETWORKDAYS(I490, L490, Holiday_Dates) &lt;= 0,
                1,
                NETWORKDAYS(I490, L490, Holiday_Dates) - IF(I490 = L490, 0, 1)
            )
        )
    ),
    ""
)</f>
        <v/>
      </c>
      <c r="Q490" s="385" t="str">
        <f>IF(
    OR(ISBLANK(L490), ISBLANK(M490)),
    "",
    MAX(
        1,
        IF(
            NETWORKDAYS(L490, M490, Holiday_Dates) &lt;= 0,
            1,
            NETWORKDAYS(L490, M490, Holiday_Dates) - IF(L490 = M490, 0, 1)
        )
    )
)</f>
        <v/>
      </c>
      <c r="R490" s="385" t="str">
        <f>IFERROR(
    IF(
        OR(ISBLANK(N490), AND(ISBLANK(L490), ISBLANK(M490))),
        "",
        MAX(
            1,
            IF(
                NETWORKDAYS(IF(NOT(ISBLANK(M490)), M490, L490), N490, Holiday_Dates) &lt;= 0,
                1,
                NETWORKDAYS(IF(NOT(ISBLANK(M490)), M490, L490), N490, Holiday_Dates)
                - IF(IF(NOT(ISBLANK(M490)), M490, L490) = N490, 0, 1)
            )
        )
    ),
    ""
)</f>
        <v/>
      </c>
      <c r="S490" s="385" t="str">
        <f>IFERROR(
    IF(
        OR(ISBLANK(N490), ISBLANK(O490)),
        "",
        MAX(
            1,
            IF(
                NETWORKDAYS(N490, O490, Holiday_Dates) &lt;= 0,
                1,
                NETWORKDAYS(N490, O490, Holiday_Dates) - IF(N490 = O490, 0, 1)
            )
        )
    ),
    ""
)</f>
        <v/>
      </c>
      <c r="T490" s="385"/>
      <c r="U490" s="385" t="s">
        <v>672</v>
      </c>
      <c r="V490" s="385" t="s">
        <v>101</v>
      </c>
      <c r="W490" s="385" t="s">
        <v>1436</v>
      </c>
      <c r="X490" s="1"/>
    </row>
    <row r="491" spans="1:24">
      <c r="A491" s="385" t="s">
        <v>49</v>
      </c>
      <c r="B491" s="385" t="s">
        <v>492</v>
      </c>
      <c r="C491" s="385" t="s">
        <v>2304</v>
      </c>
      <c r="D491" s="385" t="s">
        <v>88</v>
      </c>
      <c r="E491" s="385"/>
      <c r="F491" s="385"/>
      <c r="G491" s="385"/>
      <c r="H491" s="385">
        <v>2025</v>
      </c>
      <c r="I491" s="386">
        <v>45728</v>
      </c>
      <c r="J491" s="30" t="s">
        <v>4759</v>
      </c>
      <c r="K491" s="385"/>
      <c r="L491" s="385"/>
      <c r="M491" s="385"/>
      <c r="N491" s="385"/>
      <c r="O491" s="385"/>
      <c r="P491" s="385" t="str">
        <f>IFERROR(
    IF(
        OR(ISBLANK(I491), ISBLANK(L491)),
        "",
        MAX(
            1,
            IF(
                NETWORKDAYS(I491, L491, Holiday_Dates) &lt;= 0,
                1,
                NETWORKDAYS(I491, L491, Holiday_Dates) - IF(I491 = L491, 0, 1)
            )
        )
    ),
    ""
)</f>
        <v/>
      </c>
      <c r="Q491" s="385" t="str">
        <f>IF(
    OR(ISBLANK(L491), ISBLANK(M491)),
    "",
    MAX(
        1,
        IF(
            NETWORKDAYS(L491, M491, Holiday_Dates) &lt;= 0,
            1,
            NETWORKDAYS(L491, M491, Holiday_Dates) - IF(L491 = M491, 0, 1)
        )
    )
)</f>
        <v/>
      </c>
      <c r="R491" s="385" t="str">
        <f>IFERROR(
    IF(
        OR(ISBLANK(N491), AND(ISBLANK(L491), ISBLANK(M491))),
        "",
        MAX(
            1,
            IF(
                NETWORKDAYS(IF(NOT(ISBLANK(M491)), M491, L491), N491, Holiday_Dates) &lt;= 0,
                1,
                NETWORKDAYS(IF(NOT(ISBLANK(M491)), M491, L491), N491, Holiday_Dates)
                - IF(IF(NOT(ISBLANK(M491)), M491, L491) = N491, 0, 1)
            )
        )
    ),
    ""
)</f>
        <v/>
      </c>
      <c r="S491" s="385" t="str">
        <f>IFERROR(
    IF(
        OR(ISBLANK(N491), ISBLANK(O491)),
        "",
        MAX(
            1,
            IF(
                NETWORKDAYS(N491, O491, Holiday_Dates) &lt;= 0,
                1,
                NETWORKDAYS(N491, O491, Holiday_Dates) - IF(N491 = O491, 0, 1)
            )
        )
    ),
    ""
)</f>
        <v/>
      </c>
      <c r="T491" s="385"/>
      <c r="U491" s="385" t="s">
        <v>672</v>
      </c>
      <c r="V491" s="385" t="s">
        <v>101</v>
      </c>
      <c r="W491" s="385" t="s">
        <v>1436</v>
      </c>
      <c r="X491" s="1"/>
    </row>
    <row r="492" spans="1:24">
      <c r="A492" s="385" t="s">
        <v>65</v>
      </c>
      <c r="B492" s="385" t="s">
        <v>409</v>
      </c>
      <c r="C492" s="385" t="s">
        <v>2750</v>
      </c>
      <c r="D492" s="385" t="s">
        <v>88</v>
      </c>
      <c r="E492" s="400" t="s">
        <v>29</v>
      </c>
      <c r="F492" s="400"/>
      <c r="G492" s="385" t="s">
        <v>130</v>
      </c>
      <c r="H492" s="385">
        <v>2026</v>
      </c>
      <c r="I492" s="386">
        <v>46041</v>
      </c>
      <c r="J492" s="529" t="s">
        <v>4760</v>
      </c>
      <c r="K492" s="385" t="s">
        <v>92</v>
      </c>
      <c r="L492" s="386">
        <v>46041</v>
      </c>
      <c r="M492" s="385"/>
      <c r="N492" s="386">
        <v>46042</v>
      </c>
      <c r="O492" s="386">
        <v>46043</v>
      </c>
      <c r="P492" s="385">
        <f>IFERROR(
    IF(
        OR(ISBLANK(I492), ISBLANK(L492)),
        "",
        MAX(
            1,
            IF(
                NETWORKDAYS(I492, L492, Holiday_Dates) &lt;= 0,
                1,
                NETWORKDAYS(I492, L492, Holiday_Dates) - IF(I492 = L492, 0, 1)
            )
        )
    ),
    ""
)</f>
        <v>1</v>
      </c>
      <c r="Q492" s="385" t="str">
        <f>IF(
    OR(ISBLANK(L492), ISBLANK(M492)),
    "",
    MAX(
        1,
        IF(
            NETWORKDAYS(L492, M492, Holiday_Dates) &lt;= 0,
            1,
            NETWORKDAYS(L492, M492, Holiday_Dates) - IF(L492 = M492, 0, 1)
        )
    )
)</f>
        <v/>
      </c>
      <c r="R492" s="385">
        <f>IFERROR(
    IF(
        OR(ISBLANK(N492), AND(ISBLANK(L492), ISBLANK(M492))),
        "",
        MAX(
            1,
            IF(
                NETWORKDAYS(IF(NOT(ISBLANK(M492)), M492, L492), N492, Holiday_Dates) &lt;= 0,
                1,
                NETWORKDAYS(IF(NOT(ISBLANK(M492)), M492, L492), N492, Holiday_Dates)
                - IF(IF(NOT(ISBLANK(M492)), M492, L492) = N492, 0, 1)
            )
        )
    ),
    ""
)</f>
        <v>1</v>
      </c>
      <c r="S492" s="385">
        <f>IFERROR(
    IF(
        OR(ISBLANK(N492), ISBLANK(O492)),
        "",
        MAX(
            1,
            IF(
                NETWORKDAYS(N492, O492, Holiday_Dates) &lt;= 0,
                1,
                NETWORKDAYS(N492, O492, Holiday_Dates) - IF(N492 = O492, 0, 1)
            )
        )
    ),
    ""
)</f>
        <v>1</v>
      </c>
      <c r="T492" s="385" t="s">
        <v>929</v>
      </c>
      <c r="U492" s="385" t="s">
        <v>4</v>
      </c>
      <c r="V492" s="385" t="s">
        <v>101</v>
      </c>
      <c r="W492" s="385" t="s">
        <v>4710</v>
      </c>
      <c r="X492" s="1"/>
    </row>
    <row r="493" spans="1:24">
      <c r="A493" s="385" t="s">
        <v>65</v>
      </c>
      <c r="B493" s="385" t="s">
        <v>409</v>
      </c>
      <c r="C493" s="385" t="s">
        <v>1006</v>
      </c>
      <c r="D493" s="385" t="s">
        <v>88</v>
      </c>
      <c r="E493" s="400" t="s">
        <v>29</v>
      </c>
      <c r="F493" s="400"/>
      <c r="G493" s="385" t="s">
        <v>130</v>
      </c>
      <c r="H493" s="385">
        <v>2026</v>
      </c>
      <c r="I493" s="386">
        <v>46041</v>
      </c>
      <c r="J493" s="529" t="s">
        <v>4761</v>
      </c>
      <c r="K493" s="385" t="s">
        <v>92</v>
      </c>
      <c r="L493" s="386">
        <v>46041</v>
      </c>
      <c r="M493" s="385"/>
      <c r="N493" s="386">
        <v>46042</v>
      </c>
      <c r="O493" s="386">
        <v>46043</v>
      </c>
      <c r="P493" s="385">
        <f>IFERROR(
    IF(
        OR(ISBLANK(I493), ISBLANK(L493)),
        "",
        MAX(
            1,
            IF(
                NETWORKDAYS(I493, L493, Holiday_Dates) &lt;= 0,
                1,
                NETWORKDAYS(I493, L493, Holiday_Dates) - IF(I493 = L493, 0, 1)
            )
        )
    ),
    ""
)</f>
        <v>1</v>
      </c>
      <c r="Q493" s="385" t="str">
        <f>IF(
    OR(ISBLANK(L493), ISBLANK(M493)),
    "",
    MAX(
        1,
        IF(
            NETWORKDAYS(L493, M493, Holiday_Dates) &lt;= 0,
            1,
            NETWORKDAYS(L493, M493, Holiday_Dates) - IF(L493 = M493, 0, 1)
        )
    )
)</f>
        <v/>
      </c>
      <c r="R493" s="385">
        <f>IFERROR(
    IF(
        OR(ISBLANK(N493), AND(ISBLANK(L493), ISBLANK(M493))),
        "",
        MAX(
            1,
            IF(
                NETWORKDAYS(IF(NOT(ISBLANK(M493)), M493, L493), N493, Holiday_Dates) &lt;= 0,
                1,
                NETWORKDAYS(IF(NOT(ISBLANK(M493)), M493, L493), N493, Holiday_Dates)
                - IF(IF(NOT(ISBLANK(M493)), M493, L493) = N493, 0, 1)
            )
        )
    ),
    ""
)</f>
        <v>1</v>
      </c>
      <c r="S493" s="385">
        <f>IFERROR(
    IF(
        OR(ISBLANK(N493), ISBLANK(O493)),
        "",
        MAX(
            1,
            IF(
                NETWORKDAYS(N493, O493, Holiday_Dates) &lt;= 0,
                1,
                NETWORKDAYS(N493, O493, Holiday_Dates) - IF(N493 = O493, 0, 1)
            )
        )
    ),
    ""
)</f>
        <v>1</v>
      </c>
      <c r="T493" s="385" t="s">
        <v>929</v>
      </c>
      <c r="U493" s="385" t="s">
        <v>672</v>
      </c>
      <c r="V493" s="385" t="s">
        <v>101</v>
      </c>
      <c r="W493" s="385" t="s">
        <v>4710</v>
      </c>
      <c r="X493" s="1"/>
    </row>
    <row r="494" spans="1:24">
      <c r="A494" s="385" t="s">
        <v>49</v>
      </c>
      <c r="B494" s="385" t="s">
        <v>492</v>
      </c>
      <c r="C494" s="385" t="s">
        <v>2306</v>
      </c>
      <c r="D494" s="385" t="s">
        <v>88</v>
      </c>
      <c r="E494" s="385"/>
      <c r="F494" s="385"/>
      <c r="G494" s="385"/>
      <c r="H494" s="385">
        <v>2025</v>
      </c>
      <c r="I494" s="386">
        <v>45938</v>
      </c>
      <c r="J494" s="30" t="s">
        <v>4762</v>
      </c>
      <c r="K494" s="385"/>
      <c r="L494" s="385"/>
      <c r="M494" s="385"/>
      <c r="N494" s="385"/>
      <c r="O494" s="385"/>
      <c r="P494" s="385" t="str">
        <f>IFERROR(
    IF(
        OR(ISBLANK(I494), ISBLANK(L494)),
        "",
        MAX(
            1,
            IF(
                NETWORKDAYS(I494, L494, Holiday_Dates) &lt;= 0,
                1,
                NETWORKDAYS(I494, L494, Holiday_Dates) - IF(I494 = L494, 0, 1)
            )
        )
    ),
    ""
)</f>
        <v/>
      </c>
      <c r="Q494" s="385" t="str">
        <f>IF(
    OR(ISBLANK(L494), ISBLANK(M494)),
    "",
    MAX(
        1,
        IF(
            NETWORKDAYS(L494, M494, Holiday_Dates) &lt;= 0,
            1,
            NETWORKDAYS(L494, M494, Holiday_Dates) - IF(L494 = M494, 0, 1)
        )
    )
)</f>
        <v/>
      </c>
      <c r="R494" s="385" t="str">
        <f>IFERROR(
    IF(
        OR(ISBLANK(N494), AND(ISBLANK(L494), ISBLANK(M494))),
        "",
        MAX(
            1,
            IF(
                NETWORKDAYS(IF(NOT(ISBLANK(M494)), M494, L494), N494, Holiday_Dates) &lt;= 0,
                1,
                NETWORKDAYS(IF(NOT(ISBLANK(M494)), M494, L494), N494, Holiday_Dates)
                - IF(IF(NOT(ISBLANK(M494)), M494, L494) = N494, 0, 1)
            )
        )
    ),
    ""
)</f>
        <v/>
      </c>
      <c r="S494" s="385" t="str">
        <f>IFERROR(
    IF(
        OR(ISBLANK(N494), ISBLANK(O494)),
        "",
        MAX(
            1,
            IF(
                NETWORKDAYS(N494, O494, Holiday_Dates) &lt;= 0,
                1,
                NETWORKDAYS(N494, O494, Holiday_Dates) - IF(N494 = O494, 0, 1)
            )
        )
    ),
    ""
)</f>
        <v/>
      </c>
      <c r="T494" s="385"/>
      <c r="U494" s="385" t="s">
        <v>672</v>
      </c>
      <c r="V494" s="385" t="s">
        <v>1676</v>
      </c>
      <c r="W494" s="385" t="s">
        <v>1436</v>
      </c>
      <c r="X494" s="1"/>
    </row>
    <row r="495" spans="1:24">
      <c r="A495" s="385" t="s">
        <v>49</v>
      </c>
      <c r="B495" s="385" t="s">
        <v>492</v>
      </c>
      <c r="C495" s="385" t="s">
        <v>2307</v>
      </c>
      <c r="D495" s="385" t="s">
        <v>88</v>
      </c>
      <c r="E495" s="385"/>
      <c r="F495" s="385"/>
      <c r="G495" s="385"/>
      <c r="H495" s="385">
        <v>2025</v>
      </c>
      <c r="I495" s="386">
        <v>45883</v>
      </c>
      <c r="J495" s="30" t="s">
        <v>4763</v>
      </c>
      <c r="K495" s="385"/>
      <c r="L495" s="385"/>
      <c r="M495" s="385"/>
      <c r="N495" s="385"/>
      <c r="O495" s="385"/>
      <c r="P495" s="385" t="str">
        <f>IFERROR(
    IF(
        OR(ISBLANK(I495), ISBLANK(L495)),
        "",
        MAX(
            1,
            IF(
                NETWORKDAYS(I495, L495, Holiday_Dates) &lt;= 0,
                1,
                NETWORKDAYS(I495, L495, Holiday_Dates) - IF(I495 = L495, 0, 1)
            )
        )
    ),
    ""
)</f>
        <v/>
      </c>
      <c r="Q495" s="385" t="str">
        <f>IF(
    OR(ISBLANK(L495), ISBLANK(M495)),
    "",
    MAX(
        1,
        IF(
            NETWORKDAYS(L495, M495, Holiday_Dates) &lt;= 0,
            1,
            NETWORKDAYS(L495, M495, Holiday_Dates) - IF(L495 = M495, 0, 1)
        )
    )
)</f>
        <v/>
      </c>
      <c r="R495" s="385" t="str">
        <f>IFERROR(
    IF(
        OR(ISBLANK(N495), AND(ISBLANK(L495), ISBLANK(M495))),
        "",
        MAX(
            1,
            IF(
                NETWORKDAYS(IF(NOT(ISBLANK(M495)), M495, L495), N495, Holiday_Dates) &lt;= 0,
                1,
                NETWORKDAYS(IF(NOT(ISBLANK(M495)), M495, L495), N495, Holiday_Dates)
                - IF(IF(NOT(ISBLANK(M495)), M495, L495) = N495, 0, 1)
            )
        )
    ),
    ""
)</f>
        <v/>
      </c>
      <c r="S495" s="385" t="str">
        <f>IFERROR(
    IF(
        OR(ISBLANK(N495), ISBLANK(O495)),
        "",
        MAX(
            1,
            IF(
                NETWORKDAYS(N495, O495, Holiday_Dates) &lt;= 0,
                1,
                NETWORKDAYS(N495, O495, Holiday_Dates) - IF(N495 = O495, 0, 1)
            )
        )
    ),
    ""
)</f>
        <v/>
      </c>
      <c r="T495" s="385"/>
      <c r="U495" s="385" t="s">
        <v>672</v>
      </c>
      <c r="V495" s="385" t="s">
        <v>101</v>
      </c>
      <c r="W495" s="385" t="s">
        <v>1436</v>
      </c>
      <c r="X495" s="1"/>
    </row>
    <row r="496" spans="1:24">
      <c r="A496" s="385" t="s">
        <v>49</v>
      </c>
      <c r="B496" s="385" t="s">
        <v>492</v>
      </c>
      <c r="C496" s="385" t="s">
        <v>2308</v>
      </c>
      <c r="D496" s="385" t="s">
        <v>88</v>
      </c>
      <c r="E496" s="385"/>
      <c r="F496" s="385"/>
      <c r="G496" s="385"/>
      <c r="H496" s="385">
        <v>2025</v>
      </c>
      <c r="I496" s="386">
        <v>45883</v>
      </c>
      <c r="J496" s="30" t="s">
        <v>4764</v>
      </c>
      <c r="K496" s="385"/>
      <c r="L496" s="385"/>
      <c r="M496" s="385"/>
      <c r="N496" s="385"/>
      <c r="O496" s="385"/>
      <c r="P496" s="385" t="str">
        <f>IFERROR(
    IF(
        OR(ISBLANK(I496), ISBLANK(L496)),
        "",
        MAX(
            1,
            IF(
                NETWORKDAYS(I496, L496, Holiday_Dates) &lt;= 0,
                1,
                NETWORKDAYS(I496, L496, Holiday_Dates) - IF(I496 = L496, 0, 1)
            )
        )
    ),
    ""
)</f>
        <v/>
      </c>
      <c r="Q496" s="385" t="str">
        <f>IF(
    OR(ISBLANK(L496), ISBLANK(M496)),
    "",
    MAX(
        1,
        IF(
            NETWORKDAYS(L496, M496, Holiday_Dates) &lt;= 0,
            1,
            NETWORKDAYS(L496, M496, Holiday_Dates) - IF(L496 = M496, 0, 1)
        )
    )
)</f>
        <v/>
      </c>
      <c r="R496" s="385" t="str">
        <f>IFERROR(
    IF(
        OR(ISBLANK(N496), AND(ISBLANK(L496), ISBLANK(M496))),
        "",
        MAX(
            1,
            IF(
                NETWORKDAYS(IF(NOT(ISBLANK(M496)), M496, L496), N496, Holiday_Dates) &lt;= 0,
                1,
                NETWORKDAYS(IF(NOT(ISBLANK(M496)), M496, L496), N496, Holiday_Dates)
                - IF(IF(NOT(ISBLANK(M496)), M496, L496) = N496, 0, 1)
            )
        )
    ),
    ""
)</f>
        <v/>
      </c>
      <c r="S496" s="385" t="str">
        <f>IFERROR(
    IF(
        OR(ISBLANK(N496), ISBLANK(O496)),
        "",
        MAX(
            1,
            IF(
                NETWORKDAYS(N496, O496, Holiday_Dates) &lt;= 0,
                1,
                NETWORKDAYS(N496, O496, Holiday_Dates) - IF(N496 = O496, 0, 1)
            )
        )
    ),
    ""
)</f>
        <v/>
      </c>
      <c r="T496" s="385"/>
      <c r="U496" s="385" t="s">
        <v>672</v>
      </c>
      <c r="V496" s="385" t="s">
        <v>101</v>
      </c>
      <c r="W496" s="385" t="s">
        <v>1436</v>
      </c>
      <c r="X496" s="1"/>
    </row>
    <row r="497" spans="1:24">
      <c r="A497" s="385" t="s">
        <v>65</v>
      </c>
      <c r="B497" s="385" t="s">
        <v>409</v>
      </c>
      <c r="C497" s="385" t="s">
        <v>2908</v>
      </c>
      <c r="D497" s="385" t="s">
        <v>88</v>
      </c>
      <c r="E497" s="400" t="s">
        <v>29</v>
      </c>
      <c r="F497" s="400"/>
      <c r="G497" s="385" t="s">
        <v>130</v>
      </c>
      <c r="H497" s="385">
        <v>2026</v>
      </c>
      <c r="I497" s="386">
        <v>46041</v>
      </c>
      <c r="J497" s="529" t="s">
        <v>4765</v>
      </c>
      <c r="K497" s="385" t="s">
        <v>92</v>
      </c>
      <c r="L497" s="386">
        <v>46041</v>
      </c>
      <c r="M497" s="385"/>
      <c r="N497" s="386">
        <v>46042</v>
      </c>
      <c r="O497" s="386">
        <v>46043</v>
      </c>
      <c r="P497" s="385">
        <f>IFERROR(
    IF(
        OR(ISBLANK(I497), ISBLANK(L497)),
        "",
        MAX(
            1,
            IF(
                NETWORKDAYS(I497, L497, Holiday_Dates) &lt;= 0,
                1,
                NETWORKDAYS(I497, L497, Holiday_Dates) - IF(I497 = L497, 0, 1)
            )
        )
    ),
    ""
)</f>
        <v>1</v>
      </c>
      <c r="Q497" s="385" t="str">
        <f>IF(
    OR(ISBLANK(L497), ISBLANK(M497)),
    "",
    MAX(
        1,
        IF(
            NETWORKDAYS(L497, M497, Holiday_Dates) &lt;= 0,
            1,
            NETWORKDAYS(L497, M497, Holiday_Dates) - IF(L497 = M497, 0, 1)
        )
    )
)</f>
        <v/>
      </c>
      <c r="R497" s="385">
        <f>IFERROR(
    IF(
        OR(ISBLANK(N497), AND(ISBLANK(L497), ISBLANK(M497))),
        "",
        MAX(
            1,
            IF(
                NETWORKDAYS(IF(NOT(ISBLANK(M497)), M497, L497), N497, Holiday_Dates) &lt;= 0,
                1,
                NETWORKDAYS(IF(NOT(ISBLANK(M497)), M497, L497), N497, Holiday_Dates)
                - IF(IF(NOT(ISBLANK(M497)), M497, L497) = N497, 0, 1)
            )
        )
    ),
    ""
)</f>
        <v>1</v>
      </c>
      <c r="S497" s="385">
        <f>IFERROR(
    IF(
        OR(ISBLANK(N497), ISBLANK(O497)),
        "",
        MAX(
            1,
            IF(
                NETWORKDAYS(N497, O497, Holiday_Dates) &lt;= 0,
                1,
                NETWORKDAYS(N497, O497, Holiday_Dates) - IF(N497 = O497, 0, 1)
            )
        )
    ),
    ""
)</f>
        <v>1</v>
      </c>
      <c r="T497" s="385" t="s">
        <v>929</v>
      </c>
      <c r="U497" s="385" t="s">
        <v>672</v>
      </c>
      <c r="V497" s="385" t="s">
        <v>101</v>
      </c>
      <c r="W497" s="385" t="s">
        <v>4710</v>
      </c>
      <c r="X497" s="1"/>
    </row>
    <row r="498" spans="1:24">
      <c r="A498" s="385" t="s">
        <v>49</v>
      </c>
      <c r="B498" s="385" t="s">
        <v>492</v>
      </c>
      <c r="C498" s="385" t="s">
        <v>2310</v>
      </c>
      <c r="D498" s="385" t="s">
        <v>88</v>
      </c>
      <c r="E498" s="385"/>
      <c r="F498" s="385"/>
      <c r="G498" s="385"/>
      <c r="H498" s="385">
        <v>2025</v>
      </c>
      <c r="I498" s="386">
        <v>45728</v>
      </c>
      <c r="J498" s="30" t="s">
        <v>4766</v>
      </c>
      <c r="K498" s="385"/>
      <c r="L498" s="385"/>
      <c r="M498" s="385"/>
      <c r="N498" s="385"/>
      <c r="O498" s="385"/>
      <c r="P498" s="385" t="str">
        <f>IFERROR(
    IF(
        OR(ISBLANK(I498), ISBLANK(L498)),
        "",
        MAX(
            1,
            IF(
                NETWORKDAYS(I498, L498, Holiday_Dates) &lt;= 0,
                1,
                NETWORKDAYS(I498, L498, Holiday_Dates) - IF(I498 = L498, 0, 1)
            )
        )
    ),
    ""
)</f>
        <v/>
      </c>
      <c r="Q498" s="385" t="str">
        <f>IF(
    OR(ISBLANK(L498), ISBLANK(M498)),
    "",
    MAX(
        1,
        IF(
            NETWORKDAYS(L498, M498, Holiday_Dates) &lt;= 0,
            1,
            NETWORKDAYS(L498, M498, Holiday_Dates) - IF(L498 = M498, 0, 1)
        )
    )
)</f>
        <v/>
      </c>
      <c r="R498" s="385" t="str">
        <f>IFERROR(
    IF(
        OR(ISBLANK(N498), AND(ISBLANK(L498), ISBLANK(M498))),
        "",
        MAX(
            1,
            IF(
                NETWORKDAYS(IF(NOT(ISBLANK(M498)), M498, L498), N498, Holiday_Dates) &lt;= 0,
                1,
                NETWORKDAYS(IF(NOT(ISBLANK(M498)), M498, L498), N498, Holiday_Dates)
                - IF(IF(NOT(ISBLANK(M498)), M498, L498) = N498, 0, 1)
            )
        )
    ),
    ""
)</f>
        <v/>
      </c>
      <c r="S498" s="385" t="str">
        <f>IFERROR(
    IF(
        OR(ISBLANK(N498), ISBLANK(O498)),
        "",
        MAX(
            1,
            IF(
                NETWORKDAYS(N498, O498, Holiday_Dates) &lt;= 0,
                1,
                NETWORKDAYS(N498, O498, Holiday_Dates) - IF(N498 = O498, 0, 1)
            )
        )
    ),
    ""
)</f>
        <v/>
      </c>
      <c r="T498" s="385"/>
      <c r="U498" s="385" t="s">
        <v>672</v>
      </c>
      <c r="V498" s="385" t="s">
        <v>101</v>
      </c>
      <c r="W498" s="385" t="s">
        <v>1436</v>
      </c>
      <c r="X498" s="1"/>
    </row>
    <row r="499" spans="1:24">
      <c r="A499" s="385" t="s">
        <v>65</v>
      </c>
      <c r="B499" s="385" t="s">
        <v>3210</v>
      </c>
      <c r="C499" s="385" t="s">
        <v>2574</v>
      </c>
      <c r="D499" s="385" t="s">
        <v>88</v>
      </c>
      <c r="E499" s="385" t="s">
        <v>26</v>
      </c>
      <c r="F499" s="385"/>
      <c r="G499" s="385" t="s">
        <v>130</v>
      </c>
      <c r="H499" s="385">
        <v>2026</v>
      </c>
      <c r="I499" s="386">
        <v>46042</v>
      </c>
      <c r="J499" s="529" t="s">
        <v>4767</v>
      </c>
      <c r="K499" s="385" t="s">
        <v>92</v>
      </c>
      <c r="L499" s="386">
        <v>46044</v>
      </c>
      <c r="M499" s="385"/>
      <c r="N499" s="386">
        <v>46044</v>
      </c>
      <c r="O499" s="386">
        <v>46045</v>
      </c>
      <c r="P499" s="385">
        <f>IFERROR(
    IF(
        OR(ISBLANK(I499), ISBLANK(L499)),
        "",
        MAX(
            1,
            IF(
                NETWORKDAYS(I499, L499, Holiday_Dates) &lt;= 0,
                1,
                NETWORKDAYS(I499, L499, Holiday_Dates) - IF(I499 = L499, 0, 1)
            )
        )
    ),
    ""
)</f>
        <v>2</v>
      </c>
      <c r="Q499" s="385" t="str">
        <f>IF(
    OR(ISBLANK(L499), ISBLANK(M499)),
    "",
    MAX(
        1,
        IF(
            NETWORKDAYS(L499, M499, Holiday_Dates) &lt;= 0,
            1,
            NETWORKDAYS(L499, M499, Holiday_Dates) - IF(L499 = M499, 0, 1)
        )
    )
)</f>
        <v/>
      </c>
      <c r="R499" s="385">
        <f>IFERROR(
    IF(
        OR(ISBLANK(N499), AND(ISBLANK(L499), ISBLANK(M499))),
        "",
        MAX(
            1,
            IF(
                NETWORKDAYS(IF(NOT(ISBLANK(M499)), M499, L499), N499, Holiday_Dates) &lt;= 0,
                1,
                NETWORKDAYS(IF(NOT(ISBLANK(M499)), M499, L499), N499, Holiday_Dates)
                - IF(IF(NOT(ISBLANK(M499)), M499, L499) = N499, 0, 1)
            )
        )
    ),
    ""
)</f>
        <v>1</v>
      </c>
      <c r="S499" s="385">
        <f>IFERROR(
    IF(
        OR(ISBLANK(N499), ISBLANK(O499)),
        "",
        MAX(
            1,
            IF(
                NETWORKDAYS(N499, O499, Holiday_Dates) &lt;= 0,
                1,
                NETWORKDAYS(N499, O499, Holiday_Dates) - IF(N499 = O499, 0, 1)
            )
        )
    ),
    ""
)</f>
        <v>1</v>
      </c>
      <c r="T499" s="385" t="s">
        <v>929</v>
      </c>
      <c r="U499" s="385" t="s">
        <v>4</v>
      </c>
      <c r="V499" s="385" t="s">
        <v>101</v>
      </c>
      <c r="W499" s="385" t="s">
        <v>4710</v>
      </c>
      <c r="X499" s="1"/>
    </row>
    <row r="500" spans="1:24">
      <c r="A500" s="385" t="s">
        <v>49</v>
      </c>
      <c r="B500" s="385" t="s">
        <v>492</v>
      </c>
      <c r="C500" s="385" t="s">
        <v>2311</v>
      </c>
      <c r="D500" s="385" t="s">
        <v>88</v>
      </c>
      <c r="E500" s="385"/>
      <c r="F500" s="385"/>
      <c r="G500" s="385"/>
      <c r="H500" s="385">
        <v>2025</v>
      </c>
      <c r="I500" s="386">
        <v>45883</v>
      </c>
      <c r="J500" s="30" t="s">
        <v>4768</v>
      </c>
      <c r="K500" s="385"/>
      <c r="L500" s="385"/>
      <c r="M500" s="385"/>
      <c r="N500" s="385"/>
      <c r="O500" s="385"/>
      <c r="P500" s="385" t="str">
        <f>IFERROR(
    IF(
        OR(ISBLANK(I500), ISBLANK(L500)),
        "",
        MAX(
            1,
            IF(
                NETWORKDAYS(I500, L500, Holiday_Dates) &lt;= 0,
                1,
                NETWORKDAYS(I500, L500, Holiday_Dates) - IF(I500 = L500, 0, 1)
            )
        )
    ),
    ""
)</f>
        <v/>
      </c>
      <c r="Q500" s="385" t="str">
        <f>IF(
    OR(ISBLANK(L500), ISBLANK(M500)),
    "",
    MAX(
        1,
        IF(
            NETWORKDAYS(L500, M500, Holiday_Dates) &lt;= 0,
            1,
            NETWORKDAYS(L500, M500, Holiday_Dates) - IF(L500 = M500, 0, 1)
        )
    )
)</f>
        <v/>
      </c>
      <c r="R500" s="385" t="str">
        <f>IFERROR(
    IF(
        OR(ISBLANK(N500), AND(ISBLANK(L500), ISBLANK(M500))),
        "",
        MAX(
            1,
            IF(
                NETWORKDAYS(IF(NOT(ISBLANK(M500)), M500, L500), N500, Holiday_Dates) &lt;= 0,
                1,
                NETWORKDAYS(IF(NOT(ISBLANK(M500)), M500, L500), N500, Holiday_Dates)
                - IF(IF(NOT(ISBLANK(M500)), M500, L500) = N500, 0, 1)
            )
        )
    ),
    ""
)</f>
        <v/>
      </c>
      <c r="S500" s="385" t="str">
        <f>IFERROR(
    IF(
        OR(ISBLANK(N500), ISBLANK(O500)),
        "",
        MAX(
            1,
            IF(
                NETWORKDAYS(N500, O500, Holiday_Dates) &lt;= 0,
                1,
                NETWORKDAYS(N500, O500, Holiday_Dates) - IF(N500 = O500, 0, 1)
            )
        )
    ),
    ""
)</f>
        <v/>
      </c>
      <c r="T500" s="385"/>
      <c r="U500" s="385" t="s">
        <v>672</v>
      </c>
      <c r="V500" s="385" t="s">
        <v>101</v>
      </c>
      <c r="W500" s="385" t="s">
        <v>1436</v>
      </c>
      <c r="X500" s="1"/>
    </row>
    <row r="501" spans="1:24">
      <c r="A501" s="385" t="s">
        <v>65</v>
      </c>
      <c r="B501" s="385" t="s">
        <v>3210</v>
      </c>
      <c r="C501" s="385" t="s">
        <v>3212</v>
      </c>
      <c r="D501" s="385" t="s">
        <v>88</v>
      </c>
      <c r="E501" s="385" t="s">
        <v>26</v>
      </c>
      <c r="F501" s="385"/>
      <c r="G501" s="385" t="s">
        <v>130</v>
      </c>
      <c r="H501" s="385">
        <v>2026</v>
      </c>
      <c r="I501" s="386">
        <v>46037</v>
      </c>
      <c r="J501" s="529" t="s">
        <v>4769</v>
      </c>
      <c r="K501" s="385" t="s">
        <v>92</v>
      </c>
      <c r="L501" s="386">
        <v>46044</v>
      </c>
      <c r="M501" s="385"/>
      <c r="N501" s="386">
        <v>46044</v>
      </c>
      <c r="O501" s="386">
        <v>46045</v>
      </c>
      <c r="P501" s="385">
        <f>IFERROR(
    IF(
        OR(ISBLANK(I501), ISBLANK(L501)),
        "",
        MAX(
            1,
            IF(
                NETWORKDAYS(I501, L501, Holiday_Dates) &lt;= 0,
                1,
                NETWORKDAYS(I501, L501, Holiday_Dates) - IF(I501 = L501, 0, 1)
            )
        )
    ),
    ""
)</f>
        <v>5</v>
      </c>
      <c r="Q501" s="385" t="str">
        <f>IF(
    OR(ISBLANK(L501), ISBLANK(M501)),
    "",
    MAX(
        1,
        IF(
            NETWORKDAYS(L501, M501, Holiday_Dates) &lt;= 0,
            1,
            NETWORKDAYS(L501, M501, Holiday_Dates) - IF(L501 = M501, 0, 1)
        )
    )
)</f>
        <v/>
      </c>
      <c r="R501" s="385">
        <f>IFERROR(
    IF(
        OR(ISBLANK(N501), AND(ISBLANK(L501), ISBLANK(M501))),
        "",
        MAX(
            1,
            IF(
                NETWORKDAYS(IF(NOT(ISBLANK(M501)), M501, L501), N501, Holiday_Dates) &lt;= 0,
                1,
                NETWORKDAYS(IF(NOT(ISBLANK(M501)), M501, L501), N501, Holiday_Dates)
                - IF(IF(NOT(ISBLANK(M501)), M501, L501) = N501, 0, 1)
            )
        )
    ),
    ""
)</f>
        <v>1</v>
      </c>
      <c r="S501" s="385">
        <f>IFERROR(
    IF(
        OR(ISBLANK(N501), ISBLANK(O501)),
        "",
        MAX(
            1,
            IF(
                NETWORKDAYS(N501, O501, Holiday_Dates) &lt;= 0,
                1,
                NETWORKDAYS(N501, O501, Holiday_Dates) - IF(N501 = O501, 0, 1)
            )
        )
    ),
    ""
)</f>
        <v>1</v>
      </c>
      <c r="T501" s="385" t="s">
        <v>929</v>
      </c>
      <c r="U501" s="385" t="s">
        <v>4</v>
      </c>
      <c r="V501" s="385" t="s">
        <v>101</v>
      </c>
      <c r="W501" s="385" t="s">
        <v>4710</v>
      </c>
      <c r="X501" s="1"/>
    </row>
    <row r="502" spans="1:24">
      <c r="A502" s="385" t="s">
        <v>65</v>
      </c>
      <c r="B502" s="385" t="s">
        <v>3210</v>
      </c>
      <c r="C502" s="385" t="s">
        <v>3225</v>
      </c>
      <c r="D502" s="385" t="s">
        <v>88</v>
      </c>
      <c r="E502" s="385" t="s">
        <v>26</v>
      </c>
      <c r="F502" s="385"/>
      <c r="G502" s="385" t="s">
        <v>130</v>
      </c>
      <c r="H502" s="385">
        <v>2026</v>
      </c>
      <c r="I502" s="386">
        <v>46042</v>
      </c>
      <c r="J502" s="529" t="s">
        <v>4770</v>
      </c>
      <c r="K502" s="385" t="s">
        <v>92</v>
      </c>
      <c r="L502" s="386">
        <v>46044</v>
      </c>
      <c r="M502" s="385"/>
      <c r="N502" s="386">
        <v>46045</v>
      </c>
      <c r="O502" s="386">
        <v>46045</v>
      </c>
      <c r="P502" s="385">
        <f>IFERROR(
    IF(
        OR(ISBLANK(I502), ISBLANK(L502)),
        "",
        MAX(
            1,
            IF(
                NETWORKDAYS(I502, L502, Holiday_Dates) &lt;= 0,
                1,
                NETWORKDAYS(I502, L502, Holiday_Dates) - IF(I502 = L502, 0, 1)
            )
        )
    ),
    ""
)</f>
        <v>2</v>
      </c>
      <c r="Q502" s="385" t="str">
        <f>IF(
    OR(ISBLANK(L502), ISBLANK(M502)),
    "",
    MAX(
        1,
        IF(
            NETWORKDAYS(L502, M502, Holiday_Dates) &lt;= 0,
            1,
            NETWORKDAYS(L502, M502, Holiday_Dates) - IF(L502 = M502, 0, 1)
        )
    )
)</f>
        <v/>
      </c>
      <c r="R502" s="385">
        <f>IFERROR(
    IF(
        OR(ISBLANK(N502), AND(ISBLANK(L502), ISBLANK(M502))),
        "",
        MAX(
            1,
            IF(
                NETWORKDAYS(IF(NOT(ISBLANK(M502)), M502, L502), N502, Holiday_Dates) &lt;= 0,
                1,
                NETWORKDAYS(IF(NOT(ISBLANK(M502)), M502, L502), N502, Holiday_Dates)
                - IF(IF(NOT(ISBLANK(M502)), M502, L502) = N502, 0, 1)
            )
        )
    ),
    ""
)</f>
        <v>1</v>
      </c>
      <c r="S502" s="385">
        <f>IFERROR(
    IF(
        OR(ISBLANK(N502), ISBLANK(O502)),
        "",
        MAX(
            1,
            IF(
                NETWORKDAYS(N502, O502, Holiday_Dates) &lt;= 0,
                1,
                NETWORKDAYS(N502, O502, Holiday_Dates) - IF(N502 = O502, 0, 1)
            )
        )
    ),
    ""
)</f>
        <v>1</v>
      </c>
      <c r="T502" s="385" t="s">
        <v>929</v>
      </c>
      <c r="U502" s="385" t="s">
        <v>4</v>
      </c>
      <c r="V502" s="385" t="s">
        <v>101</v>
      </c>
      <c r="W502" s="385" t="s">
        <v>4710</v>
      </c>
      <c r="X502" s="1"/>
    </row>
    <row r="503" spans="1:24">
      <c r="A503" s="385" t="s">
        <v>51</v>
      </c>
      <c r="B503" s="385" t="s">
        <v>1364</v>
      </c>
      <c r="C503" s="385" t="s">
        <v>3485</v>
      </c>
      <c r="D503" s="385" t="s">
        <v>88</v>
      </c>
      <c r="E503" s="385" t="s">
        <v>33</v>
      </c>
      <c r="F503" s="385"/>
      <c r="G503" s="385" t="s">
        <v>239</v>
      </c>
      <c r="H503" s="385">
        <v>2026</v>
      </c>
      <c r="I503" s="386">
        <v>46036</v>
      </c>
      <c r="J503" s="30" t="s">
        <v>4771</v>
      </c>
      <c r="K503" s="385" t="s">
        <v>92</v>
      </c>
      <c r="L503" s="386">
        <v>46038</v>
      </c>
      <c r="M503" s="386">
        <v>46042</v>
      </c>
      <c r="N503" s="386">
        <v>46042</v>
      </c>
      <c r="O503" s="386">
        <v>46042</v>
      </c>
      <c r="P503" s="385">
        <f>IFERROR(
    IF(
        OR(ISBLANK(I503), ISBLANK(L503)),
        "",
        MAX(
            1,
            IF(
                NETWORKDAYS(I503, L503, Holiday_Dates) &lt;= 0,
                1,
                NETWORKDAYS(I503, L503, Holiday_Dates) - IF(I503 = L503, 0, 1)
            )
        )
    ),
    ""
)</f>
        <v>2</v>
      </c>
      <c r="Q503" s="385">
        <f>IF(
    OR(ISBLANK(L503), ISBLANK(M503)),
    "",
    MAX(
        1,
        IF(
            NETWORKDAYS(L503, M503, Holiday_Dates) &lt;= 0,
            1,
            NETWORKDAYS(L503, M503, Holiday_Dates) - IF(L503 = M503, 0, 1)
        )
    )
)</f>
        <v>2</v>
      </c>
      <c r="R503" s="385">
        <f>IFERROR(
    IF(
        OR(ISBLANK(N503), AND(ISBLANK(L503), ISBLANK(M503))),
        "",
        MAX(
            1,
            IF(
                NETWORKDAYS(IF(NOT(ISBLANK(M503)), M503, L503), N503, Holiday_Dates) &lt;= 0,
                1,
                NETWORKDAYS(IF(NOT(ISBLANK(M503)), M503, L503), N503, Holiday_Dates)
                - IF(IF(NOT(ISBLANK(M503)), M503, L503) = N503, 0, 1)
            )
        )
    ),
    ""
)</f>
        <v>1</v>
      </c>
      <c r="S503" s="385">
        <f>IFERROR(
    IF(
        OR(ISBLANK(N503), ISBLANK(O503)),
        "",
        MAX(
            1,
            IF(
                NETWORKDAYS(N503, O503, Holiday_Dates) &lt;= 0,
                1,
                NETWORKDAYS(N503, O503, Holiday_Dates) - IF(N503 = O503, 0, 1)
            )
        )
    ),
    ""
)</f>
        <v>1</v>
      </c>
      <c r="T503" s="385" t="s">
        <v>929</v>
      </c>
      <c r="U503" s="385" t="s">
        <v>672</v>
      </c>
      <c r="V503" s="385" t="s">
        <v>108</v>
      </c>
      <c r="W503" s="385" t="s">
        <v>4710</v>
      </c>
      <c r="X503" s="1"/>
    </row>
    <row r="504" spans="1:24">
      <c r="A504" s="385" t="s">
        <v>51</v>
      </c>
      <c r="B504" s="385" t="s">
        <v>1364</v>
      </c>
      <c r="C504" s="385" t="s">
        <v>3516</v>
      </c>
      <c r="D504" s="385" t="s">
        <v>88</v>
      </c>
      <c r="E504" s="385" t="s">
        <v>33</v>
      </c>
      <c r="F504" s="385"/>
      <c r="G504" s="385" t="s">
        <v>239</v>
      </c>
      <c r="H504" s="385">
        <v>2026</v>
      </c>
      <c r="I504" s="386">
        <v>46036</v>
      </c>
      <c r="J504" s="529" t="s">
        <v>4772</v>
      </c>
      <c r="K504" s="385" t="s">
        <v>92</v>
      </c>
      <c r="L504" s="386">
        <v>46038</v>
      </c>
      <c r="M504" s="386">
        <v>46042</v>
      </c>
      <c r="N504" s="386">
        <v>46042</v>
      </c>
      <c r="O504" s="386">
        <v>46042</v>
      </c>
      <c r="P504" s="385">
        <f>IFERROR(
    IF(
        OR(ISBLANK(I504), ISBLANK(L504)),
        "",
        MAX(
            1,
            IF(
                NETWORKDAYS(I504, L504, Holiday_Dates) &lt;= 0,
                1,
                NETWORKDAYS(I504, L504, Holiday_Dates) - IF(I504 = L504, 0, 1)
            )
        )
    ),
    ""
)</f>
        <v>2</v>
      </c>
      <c r="Q504" s="385">
        <f>IF(
    OR(ISBLANK(L504), ISBLANK(M504)),
    "",
    MAX(
        1,
        IF(
            NETWORKDAYS(L504, M504, Holiday_Dates) &lt;= 0,
            1,
            NETWORKDAYS(L504, M504, Holiday_Dates) - IF(L504 = M504, 0, 1)
        )
    )
)</f>
        <v>2</v>
      </c>
      <c r="R504" s="385">
        <f>IFERROR(
    IF(
        OR(ISBLANK(N504), AND(ISBLANK(L504), ISBLANK(M504))),
        "",
        MAX(
            1,
            IF(
                NETWORKDAYS(IF(NOT(ISBLANK(M504)), M504, L504), N504, Holiday_Dates) &lt;= 0,
                1,
                NETWORKDAYS(IF(NOT(ISBLANK(M504)), M504, L504), N504, Holiday_Dates)
                - IF(IF(NOT(ISBLANK(M504)), M504, L504) = N504, 0, 1)
            )
        )
    ),
    ""
)</f>
        <v>1</v>
      </c>
      <c r="S504" s="385">
        <f>IFERROR(
    IF(
        OR(ISBLANK(N504), ISBLANK(O504)),
        "",
        MAX(
            1,
            IF(
                NETWORKDAYS(N504, O504, Holiday_Dates) &lt;= 0,
                1,
                NETWORKDAYS(N504, O504, Holiday_Dates) - IF(N504 = O504, 0, 1)
            )
        )
    ),
    ""
)</f>
        <v>1</v>
      </c>
      <c r="T504" s="385" t="s">
        <v>929</v>
      </c>
      <c r="U504" s="385" t="s">
        <v>4</v>
      </c>
      <c r="V504" s="385" t="s">
        <v>101</v>
      </c>
      <c r="W504" s="385" t="s">
        <v>4710</v>
      </c>
      <c r="X504" s="1"/>
    </row>
    <row r="505" spans="1:24">
      <c r="A505" s="385" t="s">
        <v>49</v>
      </c>
      <c r="B505" s="385" t="s">
        <v>492</v>
      </c>
      <c r="C505" s="385" t="s">
        <v>2315</v>
      </c>
      <c r="D505" s="385" t="s">
        <v>88</v>
      </c>
      <c r="E505" s="385"/>
      <c r="F505" s="385"/>
      <c r="G505" s="385"/>
      <c r="H505" s="385">
        <v>2025</v>
      </c>
      <c r="I505" s="386">
        <v>45883</v>
      </c>
      <c r="J505" s="30" t="s">
        <v>4773</v>
      </c>
      <c r="K505" s="385"/>
      <c r="L505" s="385"/>
      <c r="M505" s="385"/>
      <c r="N505" s="385"/>
      <c r="O505" s="385"/>
      <c r="P505" s="385" t="str">
        <f>IFERROR(
    IF(
        OR(ISBLANK(I505), ISBLANK(L505)),
        "",
        MAX(
            1,
            IF(
                NETWORKDAYS(I505, L505, Holiday_Dates) &lt;= 0,
                1,
                NETWORKDAYS(I505, L505, Holiday_Dates) - IF(I505 = L505, 0, 1)
            )
        )
    ),
    ""
)</f>
        <v/>
      </c>
      <c r="Q505" s="385" t="str">
        <f>IF(
    OR(ISBLANK(L505), ISBLANK(M505)),
    "",
    MAX(
        1,
        IF(
            NETWORKDAYS(L505, M505, Holiday_Dates) &lt;= 0,
            1,
            NETWORKDAYS(L505, M505, Holiday_Dates) - IF(L505 = M505, 0, 1)
        )
    )
)</f>
        <v/>
      </c>
      <c r="R505" s="385" t="str">
        <f>IFERROR(
    IF(
        OR(ISBLANK(N505), AND(ISBLANK(L505), ISBLANK(M505))),
        "",
        MAX(
            1,
            IF(
                NETWORKDAYS(IF(NOT(ISBLANK(M505)), M505, L505), N505, Holiday_Dates) &lt;= 0,
                1,
                NETWORKDAYS(IF(NOT(ISBLANK(M505)), M505, L505), N505, Holiday_Dates)
                - IF(IF(NOT(ISBLANK(M505)), M505, L505) = N505, 0, 1)
            )
        )
    ),
    ""
)</f>
        <v/>
      </c>
      <c r="S505" s="385" t="str">
        <f>IFERROR(
    IF(
        OR(ISBLANK(N505), ISBLANK(O505)),
        "",
        MAX(
            1,
            IF(
                NETWORKDAYS(N505, O505, Holiday_Dates) &lt;= 0,
                1,
                NETWORKDAYS(N505, O505, Holiday_Dates) - IF(N505 = O505, 0, 1)
            )
        )
    ),
    ""
)</f>
        <v/>
      </c>
      <c r="T505" s="385"/>
      <c r="U505" s="385" t="s">
        <v>672</v>
      </c>
      <c r="V505" s="385" t="s">
        <v>101</v>
      </c>
      <c r="W505" s="385" t="s">
        <v>1436</v>
      </c>
      <c r="X505" s="1"/>
    </row>
    <row r="506" spans="1:24">
      <c r="A506" s="385" t="s">
        <v>51</v>
      </c>
      <c r="B506" s="385" t="s">
        <v>1364</v>
      </c>
      <c r="C506" s="385" t="s">
        <v>3487</v>
      </c>
      <c r="D506" s="385" t="s">
        <v>88</v>
      </c>
      <c r="E506" s="385" t="s">
        <v>33</v>
      </c>
      <c r="F506" s="385"/>
      <c r="G506" s="385" t="s">
        <v>239</v>
      </c>
      <c r="H506" s="385">
        <v>2026</v>
      </c>
      <c r="I506" s="386">
        <v>46036</v>
      </c>
      <c r="J506" s="529" t="s">
        <v>4774</v>
      </c>
      <c r="K506" s="385" t="s">
        <v>92</v>
      </c>
      <c r="L506" s="386">
        <v>46038</v>
      </c>
      <c r="M506" s="386">
        <v>46042</v>
      </c>
      <c r="N506" s="386">
        <v>46042</v>
      </c>
      <c r="O506" s="386">
        <v>46042</v>
      </c>
      <c r="P506" s="385">
        <f>IFERROR(
    IF(
        OR(ISBLANK(I506), ISBLANK(L506)),
        "",
        MAX(
            1,
            IF(
                NETWORKDAYS(I506, L506, Holiday_Dates) &lt;= 0,
                1,
                NETWORKDAYS(I506, L506, Holiday_Dates) - IF(I506 = L506, 0, 1)
            )
        )
    ),
    ""
)</f>
        <v>2</v>
      </c>
      <c r="Q506" s="385">
        <f>IF(
    OR(ISBLANK(L506), ISBLANK(M506)),
    "",
    MAX(
        1,
        IF(
            NETWORKDAYS(L506, M506, Holiday_Dates) &lt;= 0,
            1,
            NETWORKDAYS(L506, M506, Holiday_Dates) - IF(L506 = M506, 0, 1)
        )
    )
)</f>
        <v>2</v>
      </c>
      <c r="R506" s="385">
        <f>IFERROR(
    IF(
        OR(ISBLANK(N506), AND(ISBLANK(L506), ISBLANK(M506))),
        "",
        MAX(
            1,
            IF(
                NETWORKDAYS(IF(NOT(ISBLANK(M506)), M506, L506), N506, Holiday_Dates) &lt;= 0,
                1,
                NETWORKDAYS(IF(NOT(ISBLANK(M506)), M506, L506), N506, Holiday_Dates)
                - IF(IF(NOT(ISBLANK(M506)), M506, L506) = N506, 0, 1)
            )
        )
    ),
    ""
)</f>
        <v>1</v>
      </c>
      <c r="S506" s="385">
        <f>IFERROR(
    IF(
        OR(ISBLANK(N506), ISBLANK(O506)),
        "",
        MAX(
            1,
            IF(
                NETWORKDAYS(N506, O506, Holiday_Dates) &lt;= 0,
                1,
                NETWORKDAYS(N506, O506, Holiday_Dates) - IF(N506 = O506, 0, 1)
            )
        )
    ),
    ""
)</f>
        <v>1</v>
      </c>
      <c r="T506" s="385" t="s">
        <v>929</v>
      </c>
      <c r="U506" s="385" t="s">
        <v>4</v>
      </c>
      <c r="V506" s="385" t="s">
        <v>108</v>
      </c>
      <c r="W506" s="385" t="s">
        <v>4710</v>
      </c>
      <c r="X506" s="1"/>
    </row>
    <row r="507" spans="1:24">
      <c r="A507" s="385" t="s">
        <v>51</v>
      </c>
      <c r="B507" s="385" t="s">
        <v>389</v>
      </c>
      <c r="C507" s="385" t="s">
        <v>3553</v>
      </c>
      <c r="D507" s="385" t="s">
        <v>88</v>
      </c>
      <c r="E507" s="385" t="s">
        <v>32</v>
      </c>
      <c r="F507" s="385"/>
      <c r="G507" s="385" t="s">
        <v>133</v>
      </c>
      <c r="H507" s="385">
        <v>2026</v>
      </c>
      <c r="I507" s="386">
        <v>46037</v>
      </c>
      <c r="J507" s="529" t="s">
        <v>4775</v>
      </c>
      <c r="K507" s="385" t="s">
        <v>92</v>
      </c>
      <c r="L507" s="386">
        <v>46038</v>
      </c>
      <c r="M507" s="386"/>
      <c r="N507" s="386">
        <v>46042</v>
      </c>
      <c r="O507" s="386">
        <v>46043</v>
      </c>
      <c r="P507" s="385">
        <f>IFERROR(
    IF(
        OR(ISBLANK(I507), ISBLANK(L507)),
        "",
        MAX(
            1,
            IF(
                NETWORKDAYS(I507, L507, Holiday_Dates) &lt;= 0,
                1,
                NETWORKDAYS(I507, L507, Holiday_Dates) - IF(I507 = L507, 0, 1)
            )
        )
    ),
    ""
)</f>
        <v>1</v>
      </c>
      <c r="Q507" s="385" t="str">
        <f>IF(
    OR(ISBLANK(L507), ISBLANK(M507)),
    "",
    MAX(
        1,
        IF(
            NETWORKDAYS(L507, M507, Holiday_Dates) &lt;= 0,
            1,
            NETWORKDAYS(L507, M507, Holiday_Dates) - IF(L507 = M507, 0, 1)
        )
    )
)</f>
        <v/>
      </c>
      <c r="R507" s="385">
        <f>IFERROR(
    IF(
        OR(ISBLANK(N507), AND(ISBLANK(L507), ISBLANK(M507))),
        "",
        MAX(
            1,
            IF(
                NETWORKDAYS(IF(NOT(ISBLANK(M507)), M507, L507), N507, Holiday_Dates) &lt;= 0,
                1,
                NETWORKDAYS(IF(NOT(ISBLANK(M507)), M507, L507), N507, Holiday_Dates)
                - IF(IF(NOT(ISBLANK(M507)), M507, L507) = N507, 0, 1)
            )
        )
    ),
    ""
)</f>
        <v>2</v>
      </c>
      <c r="S507" s="385">
        <f>IFERROR(
    IF(
        OR(ISBLANK(N507), ISBLANK(O507)),
        "",
        MAX(
            1,
            IF(
                NETWORKDAYS(N507, O507, Holiday_Dates) &lt;= 0,
                1,
                NETWORKDAYS(N507, O507, Holiday_Dates) - IF(N507 = O507, 0, 1)
            )
        )
    ),
    ""
)</f>
        <v>1</v>
      </c>
      <c r="T507" s="385" t="s">
        <v>929</v>
      </c>
      <c r="U507" s="385" t="s">
        <v>4</v>
      </c>
      <c r="V507" s="385" t="s">
        <v>101</v>
      </c>
      <c r="W507" s="385" t="s">
        <v>4710</v>
      </c>
      <c r="X507" s="1"/>
    </row>
    <row r="508" spans="1:24">
      <c r="A508" s="385" t="s">
        <v>49</v>
      </c>
      <c r="B508" s="385" t="s">
        <v>492</v>
      </c>
      <c r="C508" s="385" t="s">
        <v>926</v>
      </c>
      <c r="D508" s="385" t="s">
        <v>88</v>
      </c>
      <c r="E508" s="385"/>
      <c r="F508" s="385"/>
      <c r="G508" s="385"/>
      <c r="H508" s="385">
        <v>2025</v>
      </c>
      <c r="I508" s="386">
        <v>45728</v>
      </c>
      <c r="J508" s="30" t="s">
        <v>4776</v>
      </c>
      <c r="K508" s="385"/>
      <c r="L508" s="385"/>
      <c r="M508" s="385"/>
      <c r="N508" s="385"/>
      <c r="O508" s="385"/>
      <c r="P508" s="385" t="str">
        <f>IFERROR(
    IF(
        OR(ISBLANK(I508), ISBLANK(L508)),
        "",
        MAX(
            1,
            IF(
                NETWORKDAYS(I508, L508, Holiday_Dates) &lt;= 0,
                1,
                NETWORKDAYS(I508, L508, Holiday_Dates) - IF(I508 = L508, 0, 1)
            )
        )
    ),
    ""
)</f>
        <v/>
      </c>
      <c r="Q508" s="385" t="str">
        <f>IF(
    OR(ISBLANK(L508), ISBLANK(M508)),
    "",
    MAX(
        1,
        IF(
            NETWORKDAYS(L508, M508, Holiday_Dates) &lt;= 0,
            1,
            NETWORKDAYS(L508, M508, Holiday_Dates) - IF(L508 = M508, 0, 1)
        )
    )
)</f>
        <v/>
      </c>
      <c r="R508" s="385" t="str">
        <f>IFERROR(
    IF(
        OR(ISBLANK(N508), AND(ISBLANK(L508), ISBLANK(M508))),
        "",
        MAX(
            1,
            IF(
                NETWORKDAYS(IF(NOT(ISBLANK(M508)), M508, L508), N508, Holiday_Dates) &lt;= 0,
                1,
                NETWORKDAYS(IF(NOT(ISBLANK(M508)), M508, L508), N508, Holiday_Dates)
                - IF(IF(NOT(ISBLANK(M508)), M508, L508) = N508, 0, 1)
            )
        )
    ),
    ""
)</f>
        <v/>
      </c>
      <c r="S508" s="385" t="str">
        <f>IFERROR(
    IF(
        OR(ISBLANK(N508), ISBLANK(O508)),
        "",
        MAX(
            1,
            IF(
                NETWORKDAYS(N508, O508, Holiday_Dates) &lt;= 0,
                1,
                NETWORKDAYS(N508, O508, Holiday_Dates) - IF(N508 = O508, 0, 1)
            )
        )
    ),
    ""
)</f>
        <v/>
      </c>
      <c r="T508" s="385"/>
      <c r="U508" s="385" t="s">
        <v>672</v>
      </c>
      <c r="V508" s="385" t="s">
        <v>101</v>
      </c>
      <c r="W508" s="385" t="s">
        <v>1436</v>
      </c>
      <c r="X508" s="1"/>
    </row>
    <row r="509" spans="1:24">
      <c r="A509" s="385" t="s">
        <v>49</v>
      </c>
      <c r="B509" s="385" t="s">
        <v>492</v>
      </c>
      <c r="C509" s="385" t="s">
        <v>2318</v>
      </c>
      <c r="D509" s="385" t="s">
        <v>88</v>
      </c>
      <c r="E509" s="385"/>
      <c r="F509" s="385"/>
      <c r="G509" s="385"/>
      <c r="H509" s="385">
        <v>2025</v>
      </c>
      <c r="I509" s="386">
        <v>45938</v>
      </c>
      <c r="J509" s="30" t="s">
        <v>4777</v>
      </c>
      <c r="K509" s="385"/>
      <c r="L509" s="385"/>
      <c r="M509" s="385"/>
      <c r="N509" s="385"/>
      <c r="O509" s="385"/>
      <c r="P509" s="385" t="str">
        <f>IFERROR(
    IF(
        OR(ISBLANK(I509), ISBLANK(L509)),
        "",
        MAX(
            1,
            IF(
                NETWORKDAYS(I509, L509, Holiday_Dates) &lt;= 0,
                1,
                NETWORKDAYS(I509, L509, Holiday_Dates) - IF(I509 = L509, 0, 1)
            )
        )
    ),
    ""
)</f>
        <v/>
      </c>
      <c r="Q509" s="385" t="str">
        <f>IF(
    OR(ISBLANK(L509), ISBLANK(M509)),
    "",
    MAX(
        1,
        IF(
            NETWORKDAYS(L509, M509, Holiday_Dates) &lt;= 0,
            1,
            NETWORKDAYS(L509, M509, Holiday_Dates) - IF(L509 = M509, 0, 1)
        )
    )
)</f>
        <v/>
      </c>
      <c r="R509" s="385" t="str">
        <f>IFERROR(
    IF(
        OR(ISBLANK(N509), AND(ISBLANK(L509), ISBLANK(M509))),
        "",
        MAX(
            1,
            IF(
                NETWORKDAYS(IF(NOT(ISBLANK(M509)), M509, L509), N509, Holiday_Dates) &lt;= 0,
                1,
                NETWORKDAYS(IF(NOT(ISBLANK(M509)), M509, L509), N509, Holiday_Dates)
                - IF(IF(NOT(ISBLANK(M509)), M509, L509) = N509, 0, 1)
            )
        )
    ),
    ""
)</f>
        <v/>
      </c>
      <c r="S509" s="385" t="str">
        <f>IFERROR(
    IF(
        OR(ISBLANK(N509), ISBLANK(O509)),
        "",
        MAX(
            1,
            IF(
                NETWORKDAYS(N509, O509, Holiday_Dates) &lt;= 0,
                1,
                NETWORKDAYS(N509, O509, Holiday_Dates) - IF(N509 = O509, 0, 1)
            )
        )
    ),
    ""
)</f>
        <v/>
      </c>
      <c r="T509" s="385"/>
      <c r="U509" s="385" t="s">
        <v>672</v>
      </c>
      <c r="V509" s="385" t="s">
        <v>1676</v>
      </c>
      <c r="W509" s="385" t="s">
        <v>1436</v>
      </c>
      <c r="X509" s="1"/>
    </row>
    <row r="510" spans="1:24">
      <c r="A510" s="385" t="s">
        <v>51</v>
      </c>
      <c r="B510" s="385" t="s">
        <v>389</v>
      </c>
      <c r="C510" s="385" t="s">
        <v>3555</v>
      </c>
      <c r="D510" s="385" t="s">
        <v>88</v>
      </c>
      <c r="E510" s="385" t="s">
        <v>32</v>
      </c>
      <c r="F510" s="385"/>
      <c r="G510" s="385" t="s">
        <v>133</v>
      </c>
      <c r="H510" s="385">
        <v>2026</v>
      </c>
      <c r="I510" s="386">
        <v>46037</v>
      </c>
      <c r="J510" s="529" t="s">
        <v>4778</v>
      </c>
      <c r="K510" s="385" t="s">
        <v>92</v>
      </c>
      <c r="L510" s="386">
        <v>46038</v>
      </c>
      <c r="M510" s="385"/>
      <c r="N510" s="386">
        <v>46042</v>
      </c>
      <c r="O510" s="386">
        <v>46043</v>
      </c>
      <c r="P510" s="385">
        <f>IFERROR(
    IF(
        OR(ISBLANK(I510), ISBLANK(L510)),
        "",
        MAX(
            1,
            IF(
                NETWORKDAYS(I510, L510, Holiday_Dates) &lt;= 0,
                1,
                NETWORKDAYS(I510, L510, Holiday_Dates) - IF(I510 = L510, 0, 1)
            )
        )
    ),
    ""
)</f>
        <v>1</v>
      </c>
      <c r="Q510" s="385" t="str">
        <f>IF(
    OR(ISBLANK(L510), ISBLANK(M510)),
    "",
    MAX(
        1,
        IF(
            NETWORKDAYS(L510, M510, Holiday_Dates) &lt;= 0,
            1,
            NETWORKDAYS(L510, M510, Holiday_Dates) - IF(L510 = M510, 0, 1)
        )
    )
)</f>
        <v/>
      </c>
      <c r="R510" s="385">
        <f>IFERROR(
    IF(
        OR(ISBLANK(N510), AND(ISBLANK(L510), ISBLANK(M510))),
        "",
        MAX(
            1,
            IF(
                NETWORKDAYS(IF(NOT(ISBLANK(M510)), M510, L510), N510, Holiday_Dates) &lt;= 0,
                1,
                NETWORKDAYS(IF(NOT(ISBLANK(M510)), M510, L510), N510, Holiday_Dates)
                - IF(IF(NOT(ISBLANK(M510)), M510, L510) = N510, 0, 1)
            )
        )
    ),
    ""
)</f>
        <v>2</v>
      </c>
      <c r="S510" s="385">
        <f>IFERROR(
    IF(
        OR(ISBLANK(N510), ISBLANK(O510)),
        "",
        MAX(
            1,
            IF(
                NETWORKDAYS(N510, O510, Holiday_Dates) &lt;= 0,
                1,
                NETWORKDAYS(N510, O510, Holiday_Dates) - IF(N510 = O510, 0, 1)
            )
        )
    ),
    ""
)</f>
        <v>1</v>
      </c>
      <c r="T510" s="385" t="s">
        <v>929</v>
      </c>
      <c r="U510" s="385" t="s">
        <v>4</v>
      </c>
      <c r="V510" s="385" t="s">
        <v>101</v>
      </c>
      <c r="W510" s="385" t="s">
        <v>4710</v>
      </c>
      <c r="X510" s="1"/>
    </row>
    <row r="511" spans="1:24">
      <c r="A511" s="385" t="s">
        <v>49</v>
      </c>
      <c r="B511" s="385" t="s">
        <v>492</v>
      </c>
      <c r="C511" s="385" t="s">
        <v>2319</v>
      </c>
      <c r="D511" s="385" t="s">
        <v>88</v>
      </c>
      <c r="E511" s="385"/>
      <c r="F511" s="385"/>
      <c r="G511" s="385"/>
      <c r="H511" s="385">
        <v>2025</v>
      </c>
      <c r="I511" s="386">
        <v>45883</v>
      </c>
      <c r="J511" s="30" t="s">
        <v>4779</v>
      </c>
      <c r="K511" s="385"/>
      <c r="L511" s="385"/>
      <c r="M511" s="385"/>
      <c r="N511" s="385"/>
      <c r="O511" s="385"/>
      <c r="P511" s="385" t="str">
        <f>IFERROR(
    IF(
        OR(ISBLANK(I511), ISBLANK(L511)),
        "",
        MAX(
            1,
            IF(
                NETWORKDAYS(I511, L511, Holiday_Dates) &lt;= 0,
                1,
                NETWORKDAYS(I511, L511, Holiday_Dates) - IF(I511 = L511, 0, 1)
            )
        )
    ),
    ""
)</f>
        <v/>
      </c>
      <c r="Q511" s="385" t="str">
        <f>IF(
    OR(ISBLANK(L511), ISBLANK(M511)),
    "",
    MAX(
        1,
        IF(
            NETWORKDAYS(L511, M511, Holiday_Dates) &lt;= 0,
            1,
            NETWORKDAYS(L511, M511, Holiday_Dates) - IF(L511 = M511, 0, 1)
        )
    )
)</f>
        <v/>
      </c>
      <c r="R511" s="385" t="str">
        <f>IFERROR(
    IF(
        OR(ISBLANK(N511), AND(ISBLANK(L511), ISBLANK(M511))),
        "",
        MAX(
            1,
            IF(
                NETWORKDAYS(IF(NOT(ISBLANK(M511)), M511, L511), N511, Holiday_Dates) &lt;= 0,
                1,
                NETWORKDAYS(IF(NOT(ISBLANK(M511)), M511, L511), N511, Holiday_Dates)
                - IF(IF(NOT(ISBLANK(M511)), M511, L511) = N511, 0, 1)
            )
        )
    ),
    ""
)</f>
        <v/>
      </c>
      <c r="S511" s="385" t="str">
        <f>IFERROR(
    IF(
        OR(ISBLANK(N511), ISBLANK(O511)),
        "",
        MAX(
            1,
            IF(
                NETWORKDAYS(N511, O511, Holiday_Dates) &lt;= 0,
                1,
                NETWORKDAYS(N511, O511, Holiday_Dates) - IF(N511 = O511, 0, 1)
            )
        )
    ),
    ""
)</f>
        <v/>
      </c>
      <c r="T511" s="385"/>
      <c r="U511" s="385" t="s">
        <v>672</v>
      </c>
      <c r="V511" s="385" t="s">
        <v>101</v>
      </c>
      <c r="W511" s="385" t="s">
        <v>1436</v>
      </c>
      <c r="X511" s="1"/>
    </row>
    <row r="512" spans="1:24">
      <c r="A512" s="385" t="s">
        <v>51</v>
      </c>
      <c r="B512" s="385" t="s">
        <v>389</v>
      </c>
      <c r="C512" s="385" t="s">
        <v>1453</v>
      </c>
      <c r="D512" s="385" t="s">
        <v>88</v>
      </c>
      <c r="E512" s="385" t="s">
        <v>32</v>
      </c>
      <c r="F512" s="385"/>
      <c r="G512" s="385" t="s">
        <v>133</v>
      </c>
      <c r="H512" s="385">
        <v>2026</v>
      </c>
      <c r="I512" s="386">
        <v>46037</v>
      </c>
      <c r="J512" s="529" t="s">
        <v>4780</v>
      </c>
      <c r="K512" s="385" t="s">
        <v>92</v>
      </c>
      <c r="L512" s="386">
        <v>46038</v>
      </c>
      <c r="M512" s="385"/>
      <c r="N512" s="386">
        <v>46042</v>
      </c>
      <c r="O512" s="386">
        <v>46043</v>
      </c>
      <c r="P512" s="385">
        <f>IFERROR(
    IF(
        OR(ISBLANK(I512), ISBLANK(L512)),
        "",
        MAX(
            1,
            IF(
                NETWORKDAYS(I512, L512, Holiday_Dates) &lt;= 0,
                1,
                NETWORKDAYS(I512, L512, Holiday_Dates) - IF(I512 = L512, 0, 1)
            )
        )
    ),
    ""
)</f>
        <v>1</v>
      </c>
      <c r="Q512" s="385" t="str">
        <f>IF(
    OR(ISBLANK(L512), ISBLANK(M512)),
    "",
    MAX(
        1,
        IF(
            NETWORKDAYS(L512, M512, Holiday_Dates) &lt;= 0,
            1,
            NETWORKDAYS(L512, M512, Holiday_Dates) - IF(L512 = M512, 0, 1)
        )
    )
)</f>
        <v/>
      </c>
      <c r="R512" s="385">
        <f>IFERROR(
    IF(
        OR(ISBLANK(N512), AND(ISBLANK(L512), ISBLANK(M512))),
        "",
        MAX(
            1,
            IF(
                NETWORKDAYS(IF(NOT(ISBLANK(M512)), M512, L512), N512, Holiday_Dates) &lt;= 0,
                1,
                NETWORKDAYS(IF(NOT(ISBLANK(M512)), M512, L512), N512, Holiday_Dates)
                - IF(IF(NOT(ISBLANK(M512)), M512, L512) = N512, 0, 1)
            )
        )
    ),
    ""
)</f>
        <v>2</v>
      </c>
      <c r="S512" s="385">
        <f>IFERROR(
    IF(
        OR(ISBLANK(N512), ISBLANK(O512)),
        "",
        MAX(
            1,
            IF(
                NETWORKDAYS(N512, O512, Holiday_Dates) &lt;= 0,
                1,
                NETWORKDAYS(N512, O512, Holiday_Dates) - IF(N512 = O512, 0, 1)
            )
        )
    ),
    ""
)</f>
        <v>1</v>
      </c>
      <c r="T512" s="385" t="s">
        <v>929</v>
      </c>
      <c r="U512" s="385" t="s">
        <v>4</v>
      </c>
      <c r="V512" s="385" t="s">
        <v>108</v>
      </c>
      <c r="W512" s="385" t="s">
        <v>4710</v>
      </c>
      <c r="X512" s="1"/>
    </row>
    <row r="513" spans="1:24">
      <c r="A513" s="385" t="s">
        <v>51</v>
      </c>
      <c r="B513" s="385" t="s">
        <v>352</v>
      </c>
      <c r="C513" s="385" t="s">
        <v>2419</v>
      </c>
      <c r="D513" s="385" t="s">
        <v>88</v>
      </c>
      <c r="E513" s="385" t="s">
        <v>32</v>
      </c>
      <c r="F513" s="385"/>
      <c r="G513" s="385" t="s">
        <v>133</v>
      </c>
      <c r="H513" s="385">
        <v>2026</v>
      </c>
      <c r="I513" s="386">
        <v>46041</v>
      </c>
      <c r="J513" s="529" t="s">
        <v>4781</v>
      </c>
      <c r="K513" s="385" t="s">
        <v>92</v>
      </c>
      <c r="L513" s="386">
        <v>46041</v>
      </c>
      <c r="M513" s="385"/>
      <c r="N513" s="386">
        <v>46042</v>
      </c>
      <c r="O513" s="386">
        <v>46042</v>
      </c>
      <c r="P513" s="385">
        <f>IFERROR(
    IF(
        OR(ISBLANK(I513), ISBLANK(L513)),
        "",
        MAX(
            1,
            IF(
                NETWORKDAYS(I513, L513, Holiday_Dates) &lt;= 0,
                1,
                NETWORKDAYS(I513, L513, Holiday_Dates) - IF(I513 = L513, 0, 1)
            )
        )
    ),
    ""
)</f>
        <v>1</v>
      </c>
      <c r="Q513" s="385" t="str">
        <f>IF(
    OR(ISBLANK(L513), ISBLANK(M513)),
    "",
    MAX(
        1,
        IF(
            NETWORKDAYS(L513, M513, Holiday_Dates) &lt;= 0,
            1,
            NETWORKDAYS(L513, M513, Holiday_Dates) - IF(L513 = M513, 0, 1)
        )
    )
)</f>
        <v/>
      </c>
      <c r="R513" s="385">
        <f>IFERROR(
    IF(
        OR(ISBLANK(N513), AND(ISBLANK(L513), ISBLANK(M513))),
        "",
        MAX(
            1,
            IF(
                NETWORKDAYS(IF(NOT(ISBLANK(M513)), M513, L513), N513, Holiday_Dates) &lt;= 0,
                1,
                NETWORKDAYS(IF(NOT(ISBLANK(M513)), M513, L513), N513, Holiday_Dates)
                - IF(IF(NOT(ISBLANK(M513)), M513, L513) = N513, 0, 1)
            )
        )
    ),
    ""
)</f>
        <v>1</v>
      </c>
      <c r="S513" s="385">
        <f>IFERROR(
    IF(
        OR(ISBLANK(N513), ISBLANK(O513)),
        "",
        MAX(
            1,
            IF(
                NETWORKDAYS(N513, O513, Holiday_Dates) &lt;= 0,
                1,
                NETWORKDAYS(N513, O513, Holiday_Dates) - IF(N513 = O513, 0, 1)
            )
        )
    ),
    ""
)</f>
        <v>1</v>
      </c>
      <c r="T513" s="385" t="s">
        <v>929</v>
      </c>
      <c r="U513" s="385" t="s">
        <v>4708</v>
      </c>
      <c r="V513" s="385" t="s">
        <v>4782</v>
      </c>
      <c r="W513" s="385" t="s">
        <v>4710</v>
      </c>
      <c r="X513" s="1"/>
    </row>
    <row r="514" spans="1:24">
      <c r="A514" s="385" t="s">
        <v>49</v>
      </c>
      <c r="B514" s="385" t="s">
        <v>492</v>
      </c>
      <c r="C514" s="385" t="s">
        <v>1879</v>
      </c>
      <c r="D514" s="385" t="s">
        <v>88</v>
      </c>
      <c r="E514" s="385"/>
      <c r="F514" s="385"/>
      <c r="G514" s="385"/>
      <c r="H514" s="385">
        <v>2025</v>
      </c>
      <c r="I514" s="386">
        <v>45935</v>
      </c>
      <c r="J514" s="30" t="s">
        <v>4783</v>
      </c>
      <c r="K514" s="385"/>
      <c r="L514" s="385"/>
      <c r="M514" s="385"/>
      <c r="N514" s="385"/>
      <c r="O514" s="385"/>
      <c r="P514" s="385" t="str">
        <f>IFERROR(
    IF(
        OR(ISBLANK(I514), ISBLANK(L514)),
        "",
        MAX(
            1,
            IF(
                NETWORKDAYS(I514, L514, Holiday_Dates) &lt;= 0,
                1,
                NETWORKDAYS(I514, L514, Holiday_Dates) - IF(I514 = L514, 0, 1)
            )
        )
    ),
    ""
)</f>
        <v/>
      </c>
      <c r="Q514" s="385" t="str">
        <f>IF(
    OR(ISBLANK(L514), ISBLANK(M514)),
    "",
    MAX(
        1,
        IF(
            NETWORKDAYS(L514, M514, Holiday_Dates) &lt;= 0,
            1,
            NETWORKDAYS(L514, M514, Holiday_Dates) - IF(L514 = M514, 0, 1)
        )
    )
)</f>
        <v/>
      </c>
      <c r="R514" s="385" t="str">
        <f>IFERROR(
    IF(
        OR(ISBLANK(N514), AND(ISBLANK(L514), ISBLANK(M514))),
        "",
        MAX(
            1,
            IF(
                NETWORKDAYS(IF(NOT(ISBLANK(M514)), M514, L514), N514, Holiday_Dates) &lt;= 0,
                1,
                NETWORKDAYS(IF(NOT(ISBLANK(M514)), M514, L514), N514, Holiday_Dates)
                - IF(IF(NOT(ISBLANK(M514)), M514, L514) = N514, 0, 1)
            )
        )
    ),
    ""
)</f>
        <v/>
      </c>
      <c r="S514" s="385" t="str">
        <f>IFERROR(
    IF(
        OR(ISBLANK(N514), ISBLANK(O514)),
        "",
        MAX(
            1,
            IF(
                NETWORKDAYS(N514, O514, Holiday_Dates) &lt;= 0,
                1,
                NETWORKDAYS(N514, O514, Holiday_Dates) - IF(N514 = O514, 0, 1)
            )
        )
    ),
    ""
)</f>
        <v/>
      </c>
      <c r="T514" s="385"/>
      <c r="U514" s="385" t="s">
        <v>672</v>
      </c>
      <c r="V514" s="385" t="s">
        <v>1676</v>
      </c>
      <c r="W514" s="385" t="s">
        <v>1436</v>
      </c>
      <c r="X514" s="1"/>
    </row>
    <row r="515" spans="1:24">
      <c r="A515" s="385" t="s">
        <v>52</v>
      </c>
      <c r="B515" s="385" t="s">
        <v>4231</v>
      </c>
      <c r="C515" s="385" t="s">
        <v>4232</v>
      </c>
      <c r="D515" s="385" t="s">
        <v>88</v>
      </c>
      <c r="E515" s="385" t="s">
        <v>37</v>
      </c>
      <c r="F515" s="385"/>
      <c r="G515" s="385" t="s">
        <v>28</v>
      </c>
      <c r="H515" s="385">
        <v>2026</v>
      </c>
      <c r="I515" s="386">
        <v>46036</v>
      </c>
      <c r="J515" s="529" t="s">
        <v>4784</v>
      </c>
      <c r="K515" s="385" t="s">
        <v>92</v>
      </c>
      <c r="L515" s="386">
        <v>46037</v>
      </c>
      <c r="M515" s="385"/>
      <c r="N515" s="386">
        <v>46042</v>
      </c>
      <c r="O515" s="386">
        <v>46042</v>
      </c>
      <c r="P515" s="385">
        <f>IFERROR(
    IF(
        OR(ISBLANK(I515), ISBLANK(L515)),
        "",
        MAX(
            1,
            IF(
                NETWORKDAYS(I515, L515, Holiday_Dates) &lt;= 0,
                1,
                NETWORKDAYS(I515, L515, Holiday_Dates) - IF(I515 = L515, 0, 1)
            )
        )
    ),
    ""
)</f>
        <v>1</v>
      </c>
      <c r="Q515" s="385" t="str">
        <f>IF(
    OR(ISBLANK(L515), ISBLANK(M515)),
    "",
    MAX(
        1,
        IF(
            NETWORKDAYS(L515, M515, Holiday_Dates) &lt;= 0,
            1,
            NETWORKDAYS(L515, M515, Holiday_Dates) - IF(L515 = M515, 0, 1)
        )
    )
)</f>
        <v/>
      </c>
      <c r="R515" s="385">
        <f>IFERROR(
    IF(
        OR(ISBLANK(N515), AND(ISBLANK(L515), ISBLANK(M515))),
        "",
        MAX(
            1,
            IF(
                NETWORKDAYS(IF(NOT(ISBLANK(M515)), M515, L515), N515, Holiday_Dates) &lt;= 0,
                1,
                NETWORKDAYS(IF(NOT(ISBLANK(M515)), M515, L515), N515, Holiday_Dates)
                - IF(IF(NOT(ISBLANK(M515)), M515, L515) = N515, 0, 1)
            )
        )
    ),
    ""
)</f>
        <v>3</v>
      </c>
      <c r="S515" s="385">
        <f>IFERROR(
    IF(
        OR(ISBLANK(N515), ISBLANK(O515)),
        "",
        MAX(
            1,
            IF(
                NETWORKDAYS(N515, O515, Holiday_Dates) &lt;= 0,
                1,
                NETWORKDAYS(N515, O515, Holiday_Dates) - IF(N515 = O515, 0, 1)
            )
        )
    ),
    ""
)</f>
        <v>1</v>
      </c>
      <c r="T515" s="385" t="s">
        <v>929</v>
      </c>
      <c r="U515" s="385" t="s">
        <v>4</v>
      </c>
      <c r="V515" s="385" t="s">
        <v>108</v>
      </c>
      <c r="W515" s="385" t="s">
        <v>4710</v>
      </c>
      <c r="X515" s="1"/>
    </row>
    <row r="516" spans="1:24">
      <c r="A516" s="385" t="s">
        <v>52</v>
      </c>
      <c r="B516" s="385" t="s">
        <v>4231</v>
      </c>
      <c r="C516" s="385" t="s">
        <v>4233</v>
      </c>
      <c r="D516" s="385" t="s">
        <v>88</v>
      </c>
      <c r="E516" s="385" t="s">
        <v>37</v>
      </c>
      <c r="F516" s="385"/>
      <c r="G516" s="385" t="s">
        <v>28</v>
      </c>
      <c r="H516" s="385">
        <v>2026</v>
      </c>
      <c r="I516" s="386">
        <v>46036</v>
      </c>
      <c r="J516" s="529" t="s">
        <v>4785</v>
      </c>
      <c r="K516" s="385" t="s">
        <v>92</v>
      </c>
      <c r="L516" s="386">
        <v>46037</v>
      </c>
      <c r="M516" s="385"/>
      <c r="N516" s="386">
        <v>46042</v>
      </c>
      <c r="O516" s="386">
        <v>46042</v>
      </c>
      <c r="P516" s="385">
        <f>IFERROR(
    IF(
        OR(ISBLANK(I516), ISBLANK(L516)),
        "",
        MAX(
            1,
            IF(
                NETWORKDAYS(I516, L516, Holiday_Dates) &lt;= 0,
                1,
                NETWORKDAYS(I516, L516, Holiday_Dates) - IF(I516 = L516, 0, 1)
            )
        )
    ),
    ""
)</f>
        <v>1</v>
      </c>
      <c r="Q516" s="385" t="str">
        <f>IF(
    OR(ISBLANK(L516), ISBLANK(M516)),
    "",
    MAX(
        1,
        IF(
            NETWORKDAYS(L516, M516, Holiday_Dates) &lt;= 0,
            1,
            NETWORKDAYS(L516, M516, Holiday_Dates) - IF(L516 = M516, 0, 1)
        )
    )
)</f>
        <v/>
      </c>
      <c r="R516" s="385">
        <f>IFERROR(
    IF(
        OR(ISBLANK(N516), AND(ISBLANK(L516), ISBLANK(M516))),
        "",
        MAX(
            1,
            IF(
                NETWORKDAYS(IF(NOT(ISBLANK(M516)), M516, L516), N516, Holiday_Dates) &lt;= 0,
                1,
                NETWORKDAYS(IF(NOT(ISBLANK(M516)), M516, L516), N516, Holiday_Dates)
                - IF(IF(NOT(ISBLANK(M516)), M516, L516) = N516, 0, 1)
            )
        )
    ),
    ""
)</f>
        <v>3</v>
      </c>
      <c r="S516" s="385">
        <f>IFERROR(
    IF(
        OR(ISBLANK(N516), ISBLANK(O516)),
        "",
        MAX(
            1,
            IF(
                NETWORKDAYS(N516, O516, Holiday_Dates) &lt;= 0,
                1,
                NETWORKDAYS(N516, O516, Holiday_Dates) - IF(N516 = O516, 0, 1)
            )
        )
    ),
    ""
)</f>
        <v>1</v>
      </c>
      <c r="T516" s="385" t="s">
        <v>929</v>
      </c>
      <c r="U516" s="385" t="s">
        <v>672</v>
      </c>
      <c r="V516" s="385" t="s">
        <v>101</v>
      </c>
      <c r="W516" s="385" t="s">
        <v>4710</v>
      </c>
      <c r="X516" s="1"/>
    </row>
    <row r="517" spans="1:24">
      <c r="A517" s="385" t="s">
        <v>49</v>
      </c>
      <c r="B517" s="385" t="s">
        <v>492</v>
      </c>
      <c r="C517" s="385" t="s">
        <v>2321</v>
      </c>
      <c r="D517" s="385" t="s">
        <v>88</v>
      </c>
      <c r="E517" s="385"/>
      <c r="F517" s="385"/>
      <c r="G517" s="385"/>
      <c r="H517" s="385">
        <v>2025</v>
      </c>
      <c r="I517" s="386">
        <v>45938</v>
      </c>
      <c r="J517" s="30" t="s">
        <v>4786</v>
      </c>
      <c r="K517" s="385"/>
      <c r="L517" s="385"/>
      <c r="M517" s="385"/>
      <c r="N517" s="385"/>
      <c r="O517" s="385"/>
      <c r="P517" s="385" t="str">
        <f>IFERROR(
    IF(
        OR(ISBLANK(I517), ISBLANK(L517)),
        "",
        MAX(
            1,
            IF(
                NETWORKDAYS(I517, L517, Holiday_Dates) &lt;= 0,
                1,
                NETWORKDAYS(I517, L517, Holiday_Dates) - IF(I517 = L517, 0, 1)
            )
        )
    ),
    ""
)</f>
        <v/>
      </c>
      <c r="Q517" s="385" t="str">
        <f>IF(
    OR(ISBLANK(L517), ISBLANK(M517)),
    "",
    MAX(
        1,
        IF(
            NETWORKDAYS(L517, M517, Holiday_Dates) &lt;= 0,
            1,
            NETWORKDAYS(L517, M517, Holiday_Dates) - IF(L517 = M517, 0, 1)
        )
    )
)</f>
        <v/>
      </c>
      <c r="R517" s="385" t="str">
        <f>IFERROR(
    IF(
        OR(ISBLANK(N517), AND(ISBLANK(L517), ISBLANK(M517))),
        "",
        MAX(
            1,
            IF(
                NETWORKDAYS(IF(NOT(ISBLANK(M517)), M517, L517), N517, Holiday_Dates) &lt;= 0,
                1,
                NETWORKDAYS(IF(NOT(ISBLANK(M517)), M517, L517), N517, Holiday_Dates)
                - IF(IF(NOT(ISBLANK(M517)), M517, L517) = N517, 0, 1)
            )
        )
    ),
    ""
)</f>
        <v/>
      </c>
      <c r="S517" s="385" t="str">
        <f>IFERROR(
    IF(
        OR(ISBLANK(N517), ISBLANK(O517)),
        "",
        MAX(
            1,
            IF(
                NETWORKDAYS(N517, O517, Holiday_Dates) &lt;= 0,
                1,
                NETWORKDAYS(N517, O517, Holiday_Dates) - IF(N517 = O517, 0, 1)
            )
        )
    ),
    ""
)</f>
        <v/>
      </c>
      <c r="T517" s="385"/>
      <c r="U517" s="385" t="s">
        <v>672</v>
      </c>
      <c r="V517" s="385" t="s">
        <v>1676</v>
      </c>
      <c r="W517" s="385" t="s">
        <v>1436</v>
      </c>
      <c r="X517" s="1"/>
    </row>
    <row r="518" spans="1:24">
      <c r="A518" s="385" t="s">
        <v>49</v>
      </c>
      <c r="B518" s="385" t="s">
        <v>2352</v>
      </c>
      <c r="C518" s="385" t="s">
        <v>2353</v>
      </c>
      <c r="D518" s="385" t="s">
        <v>88</v>
      </c>
      <c r="E518" s="385"/>
      <c r="F518" s="385"/>
      <c r="G518" s="385"/>
      <c r="H518" s="385">
        <v>2025</v>
      </c>
      <c r="I518" s="386">
        <v>45692</v>
      </c>
      <c r="J518" s="30" t="s">
        <v>4787</v>
      </c>
      <c r="K518" s="385"/>
      <c r="L518" s="385"/>
      <c r="M518" s="385"/>
      <c r="N518" s="385"/>
      <c r="O518" s="385"/>
      <c r="P518" s="385" t="str">
        <f>IFERROR(
    IF(
        OR(ISBLANK(I518), ISBLANK(L518)),
        "",
        MAX(
            1,
            IF(
                NETWORKDAYS(I518, L518, Holiday_Dates) &lt;= 0,
                1,
                NETWORKDAYS(I518, L518, Holiday_Dates) - IF(I518 = L518, 0, 1)
            )
        )
    ),
    ""
)</f>
        <v/>
      </c>
      <c r="Q518" s="385" t="str">
        <f>IF(
    OR(ISBLANK(L518), ISBLANK(M518)),
    "",
    MAX(
        1,
        IF(
            NETWORKDAYS(L518, M518, Holiday_Dates) &lt;= 0,
            1,
            NETWORKDAYS(L518, M518, Holiday_Dates) - IF(L518 = M518, 0, 1)
        )
    )
)</f>
        <v/>
      </c>
      <c r="R518" s="385" t="str">
        <f>IFERROR(
    IF(
        OR(ISBLANK(N518), AND(ISBLANK(L518), ISBLANK(M518))),
        "",
        MAX(
            1,
            IF(
                NETWORKDAYS(IF(NOT(ISBLANK(M518)), M518, L518), N518, Holiday_Dates) &lt;= 0,
                1,
                NETWORKDAYS(IF(NOT(ISBLANK(M518)), M518, L518), N518, Holiday_Dates)
                - IF(IF(NOT(ISBLANK(M518)), M518, L518) = N518, 0, 1)
            )
        )
    ),
    ""
)</f>
        <v/>
      </c>
      <c r="S518" s="385" t="str">
        <f>IFERROR(
    IF(
        OR(ISBLANK(N518), ISBLANK(O518)),
        "",
        MAX(
            1,
            IF(
                NETWORKDAYS(N518, O518, Holiday_Dates) &lt;= 0,
                1,
                NETWORKDAYS(N518, O518, Holiday_Dates) - IF(N518 = O518, 0, 1)
            )
        )
    ),
    ""
)</f>
        <v/>
      </c>
      <c r="T518" s="385"/>
      <c r="U518" s="385" t="s">
        <v>672</v>
      </c>
      <c r="V518" s="385" t="s">
        <v>101</v>
      </c>
      <c r="W518" s="385" t="s">
        <v>1436</v>
      </c>
      <c r="X518" s="1"/>
    </row>
    <row r="519" spans="1:24">
      <c r="A519" s="385" t="s">
        <v>49</v>
      </c>
      <c r="B519" s="385" t="s">
        <v>2352</v>
      </c>
      <c r="C519" s="385" t="s">
        <v>2354</v>
      </c>
      <c r="D519" s="385" t="s">
        <v>88</v>
      </c>
      <c r="E519" s="385"/>
      <c r="F519" s="385"/>
      <c r="G519" s="385"/>
      <c r="H519" s="385">
        <v>2025</v>
      </c>
      <c r="I519" s="386">
        <v>45723</v>
      </c>
      <c r="J519" s="30" t="s">
        <v>4788</v>
      </c>
      <c r="K519" s="385"/>
      <c r="L519" s="385"/>
      <c r="M519" s="385"/>
      <c r="N519" s="385"/>
      <c r="O519" s="385"/>
      <c r="P519" s="385" t="str">
        <f>IFERROR(
    IF(
        OR(ISBLANK(I519), ISBLANK(L519)),
        "",
        MAX(
            1,
            IF(
                NETWORKDAYS(I519, L519, Holiday_Dates) &lt;= 0,
                1,
                NETWORKDAYS(I519, L519, Holiday_Dates) - IF(I519 = L519, 0, 1)
            )
        )
    ),
    ""
)</f>
        <v/>
      </c>
      <c r="Q519" s="385" t="str">
        <f>IF(
    OR(ISBLANK(L519), ISBLANK(M519)),
    "",
    MAX(
        1,
        IF(
            NETWORKDAYS(L519, M519, Holiday_Dates) &lt;= 0,
            1,
            NETWORKDAYS(L519, M519, Holiday_Dates) - IF(L519 = M519, 0, 1)
        )
    )
)</f>
        <v/>
      </c>
      <c r="R519" s="385" t="str">
        <f>IFERROR(
    IF(
        OR(ISBLANK(N519), AND(ISBLANK(L519), ISBLANK(M519))),
        "",
        MAX(
            1,
            IF(
                NETWORKDAYS(IF(NOT(ISBLANK(M519)), M519, L519), N519, Holiday_Dates) &lt;= 0,
                1,
                NETWORKDAYS(IF(NOT(ISBLANK(M519)), M519, L519), N519, Holiday_Dates)
                - IF(IF(NOT(ISBLANK(M519)), M519, L519) = N519, 0, 1)
            )
        )
    ),
    ""
)</f>
        <v/>
      </c>
      <c r="S519" s="385" t="str">
        <f>IFERROR(
    IF(
        OR(ISBLANK(N519), ISBLANK(O519)),
        "",
        MAX(
            1,
            IF(
                NETWORKDAYS(N519, O519, Holiday_Dates) &lt;= 0,
                1,
                NETWORKDAYS(N519, O519, Holiday_Dates) - IF(N519 = O519, 0, 1)
            )
        )
    ),
    ""
)</f>
        <v/>
      </c>
      <c r="T519" s="385"/>
      <c r="U519" s="385" t="s">
        <v>672</v>
      </c>
      <c r="V519" s="385" t="s">
        <v>101</v>
      </c>
      <c r="W519" s="385" t="s">
        <v>1436</v>
      </c>
      <c r="X519" s="1"/>
    </row>
    <row r="520" spans="1:24">
      <c r="A520" s="385" t="s">
        <v>52</v>
      </c>
      <c r="B520" s="385" t="s">
        <v>4231</v>
      </c>
      <c r="C520" s="385" t="s">
        <v>4234</v>
      </c>
      <c r="D520" s="385" t="s">
        <v>88</v>
      </c>
      <c r="E520" s="385" t="s">
        <v>37</v>
      </c>
      <c r="F520" s="385"/>
      <c r="G520" s="385" t="s">
        <v>28</v>
      </c>
      <c r="H520" s="385">
        <v>2026</v>
      </c>
      <c r="I520" s="386">
        <v>46036</v>
      </c>
      <c r="J520" s="529" t="s">
        <v>4789</v>
      </c>
      <c r="K520" s="385" t="s">
        <v>92</v>
      </c>
      <c r="L520" s="386">
        <v>46037</v>
      </c>
      <c r="M520" s="385"/>
      <c r="N520" s="386">
        <v>46042</v>
      </c>
      <c r="O520" s="386">
        <v>46042</v>
      </c>
      <c r="P520" s="385">
        <f>IFERROR(
    IF(
        OR(ISBLANK(I520), ISBLANK(L520)),
        "",
        MAX(
            1,
            IF(
                NETWORKDAYS(I520, L520, Holiday_Dates) &lt;= 0,
                1,
                NETWORKDAYS(I520, L520, Holiday_Dates) - IF(I520 = L520, 0, 1)
            )
        )
    ),
    ""
)</f>
        <v>1</v>
      </c>
      <c r="Q520" s="385" t="str">
        <f>IF(
    OR(ISBLANK(L520), ISBLANK(M520)),
    "",
    MAX(
        1,
        IF(
            NETWORKDAYS(L520, M520, Holiday_Dates) &lt;= 0,
            1,
            NETWORKDAYS(L520, M520, Holiday_Dates) - IF(L520 = M520, 0, 1)
        )
    )
)</f>
        <v/>
      </c>
      <c r="R520" s="385">
        <f>IFERROR(
    IF(
        OR(ISBLANK(N520), AND(ISBLANK(L520), ISBLANK(M520))),
        "",
        MAX(
            1,
            IF(
                NETWORKDAYS(IF(NOT(ISBLANK(M520)), M520, L520), N520, Holiday_Dates) &lt;= 0,
                1,
                NETWORKDAYS(IF(NOT(ISBLANK(M520)), M520, L520), N520, Holiday_Dates)
                - IF(IF(NOT(ISBLANK(M520)), M520, L520) = N520, 0, 1)
            )
        )
    ),
    ""
)</f>
        <v>3</v>
      </c>
      <c r="S520" s="385">
        <f>IFERROR(
    IF(
        OR(ISBLANK(N520), ISBLANK(O520)),
        "",
        MAX(
            1,
            IF(
                NETWORKDAYS(N520, O520, Holiday_Dates) &lt;= 0,
                1,
                NETWORKDAYS(N520, O520, Holiday_Dates) - IF(N520 = O520, 0, 1)
            )
        )
    ),
    ""
)</f>
        <v>1</v>
      </c>
      <c r="T520" s="385" t="s">
        <v>929</v>
      </c>
      <c r="U520" s="385" t="s">
        <v>4708</v>
      </c>
      <c r="V520" s="385" t="s">
        <v>4709</v>
      </c>
      <c r="W520" s="385" t="s">
        <v>4710</v>
      </c>
      <c r="X520" s="1"/>
    </row>
    <row r="521" spans="1:24">
      <c r="A521" s="385" t="s">
        <v>52</v>
      </c>
      <c r="B521" s="385" t="s">
        <v>4231</v>
      </c>
      <c r="C521" s="385" t="s">
        <v>4235</v>
      </c>
      <c r="D521" s="385" t="s">
        <v>88</v>
      </c>
      <c r="E521" s="385" t="s">
        <v>37</v>
      </c>
      <c r="F521" s="385"/>
      <c r="G521" s="385" t="s">
        <v>28</v>
      </c>
      <c r="H521" s="385">
        <v>2026</v>
      </c>
      <c r="I521" s="386">
        <v>46035</v>
      </c>
      <c r="J521" s="529" t="s">
        <v>4790</v>
      </c>
      <c r="K521" s="385" t="s">
        <v>92</v>
      </c>
      <c r="L521" s="386">
        <v>46037</v>
      </c>
      <c r="M521" s="385"/>
      <c r="N521" s="386">
        <v>46042</v>
      </c>
      <c r="O521" s="386">
        <v>46042</v>
      </c>
      <c r="P521" s="385">
        <f>IFERROR(
    IF(
        OR(ISBLANK(I521), ISBLANK(L521)),
        "",
        MAX(
            1,
            IF(
                NETWORKDAYS(I521, L521, Holiday_Dates) &lt;= 0,
                1,
                NETWORKDAYS(I521, L521, Holiday_Dates) - IF(I521 = L521, 0, 1)
            )
        )
    ),
    ""
)</f>
        <v>2</v>
      </c>
      <c r="Q521" s="385" t="str">
        <f>IF(
    OR(ISBLANK(L521), ISBLANK(M521)),
    "",
    MAX(
        1,
        IF(
            NETWORKDAYS(L521, M521, Holiday_Dates) &lt;= 0,
            1,
            NETWORKDAYS(L521, M521, Holiday_Dates) - IF(L521 = M521, 0, 1)
        )
    )
)</f>
        <v/>
      </c>
      <c r="R521" s="385">
        <f>IFERROR(
    IF(
        OR(ISBLANK(N521), AND(ISBLANK(L521), ISBLANK(M521))),
        "",
        MAX(
            1,
            IF(
                NETWORKDAYS(IF(NOT(ISBLANK(M521)), M521, L521), N521, Holiday_Dates) &lt;= 0,
                1,
                NETWORKDAYS(IF(NOT(ISBLANK(M521)), M521, L521), N521, Holiday_Dates)
                - IF(IF(NOT(ISBLANK(M521)), M521, L521) = N521, 0, 1)
            )
        )
    ),
    ""
)</f>
        <v>3</v>
      </c>
      <c r="S521" s="385">
        <f>IFERROR(
    IF(
        OR(ISBLANK(N521), ISBLANK(O521)),
        "",
        MAX(
            1,
            IF(
                NETWORKDAYS(N521, O521, Holiday_Dates) &lt;= 0,
                1,
                NETWORKDAYS(N521, O521, Holiday_Dates) - IF(N521 = O521, 0, 1)
            )
        )
    ),
    ""
)</f>
        <v>1</v>
      </c>
      <c r="T521" s="385" t="s">
        <v>929</v>
      </c>
      <c r="U521" s="385" t="s">
        <v>4</v>
      </c>
      <c r="V521" s="385" t="s">
        <v>108</v>
      </c>
      <c r="W521" s="385" t="s">
        <v>4710</v>
      </c>
      <c r="X521" s="1"/>
    </row>
    <row r="522" spans="1:24">
      <c r="A522" s="385" t="s">
        <v>49</v>
      </c>
      <c r="B522" s="385" t="s">
        <v>2352</v>
      </c>
      <c r="C522" s="385" t="s">
        <v>2357</v>
      </c>
      <c r="D522" s="385" t="s">
        <v>88</v>
      </c>
      <c r="E522" s="385"/>
      <c r="F522" s="385"/>
      <c r="G522" s="385"/>
      <c r="H522" s="385">
        <v>2025</v>
      </c>
      <c r="I522" s="386">
        <v>45945</v>
      </c>
      <c r="J522" s="30" t="s">
        <v>4791</v>
      </c>
      <c r="K522" s="385"/>
      <c r="L522" s="385"/>
      <c r="M522" s="385"/>
      <c r="N522" s="385"/>
      <c r="O522" s="385"/>
      <c r="P522" s="385" t="str">
        <f>IFERROR(
    IF(
        OR(ISBLANK(I522), ISBLANK(L522)),
        "",
        MAX(
            1,
            IF(
                NETWORKDAYS(I522, L522, Holiday_Dates) &lt;= 0,
                1,
                NETWORKDAYS(I522, L522, Holiday_Dates) - IF(I522 = L522, 0, 1)
            )
        )
    ),
    ""
)</f>
        <v/>
      </c>
      <c r="Q522" s="385" t="str">
        <f>IF(
    OR(ISBLANK(L522), ISBLANK(M522)),
    "",
    MAX(
        1,
        IF(
            NETWORKDAYS(L522, M522, Holiday_Dates) &lt;= 0,
            1,
            NETWORKDAYS(L522, M522, Holiday_Dates) - IF(L522 = M522, 0, 1)
        )
    )
)</f>
        <v/>
      </c>
      <c r="R522" s="385" t="str">
        <f>IFERROR(
    IF(
        OR(ISBLANK(N522), AND(ISBLANK(L522), ISBLANK(M522))),
        "",
        MAX(
            1,
            IF(
                NETWORKDAYS(IF(NOT(ISBLANK(M522)), M522, L522), N522, Holiday_Dates) &lt;= 0,
                1,
                NETWORKDAYS(IF(NOT(ISBLANK(M522)), M522, L522), N522, Holiday_Dates)
                - IF(IF(NOT(ISBLANK(M522)), M522, L522) = N522, 0, 1)
            )
        )
    ),
    ""
)</f>
        <v/>
      </c>
      <c r="S522" s="385" t="str">
        <f>IFERROR(
    IF(
        OR(ISBLANK(N522), ISBLANK(O522)),
        "",
        MAX(
            1,
            IF(
                NETWORKDAYS(N522, O522, Holiday_Dates) &lt;= 0,
                1,
                NETWORKDAYS(N522, O522, Holiday_Dates) - IF(N522 = O522, 0, 1)
            )
        )
    ),
    ""
)</f>
        <v/>
      </c>
      <c r="T522" s="385"/>
      <c r="U522" s="385" t="s">
        <v>672</v>
      </c>
      <c r="V522" s="385" t="s">
        <v>101</v>
      </c>
      <c r="W522" s="385" t="s">
        <v>1436</v>
      </c>
      <c r="X522" s="1"/>
    </row>
    <row r="523" spans="1:24">
      <c r="A523" s="385" t="s">
        <v>52</v>
      </c>
      <c r="B523" s="385" t="s">
        <v>4231</v>
      </c>
      <c r="C523" s="385" t="s">
        <v>664</v>
      </c>
      <c r="D523" s="385" t="s">
        <v>88</v>
      </c>
      <c r="E523" s="385" t="s">
        <v>37</v>
      </c>
      <c r="F523" s="385"/>
      <c r="G523" s="385" t="s">
        <v>28</v>
      </c>
      <c r="H523" s="385">
        <v>2026</v>
      </c>
      <c r="I523" s="386">
        <v>46036</v>
      </c>
      <c r="J523" s="529" t="s">
        <v>4792</v>
      </c>
      <c r="K523" s="385" t="s">
        <v>92</v>
      </c>
      <c r="L523" s="386">
        <v>46042</v>
      </c>
      <c r="M523" s="385"/>
      <c r="N523" s="386">
        <v>46042</v>
      </c>
      <c r="O523" s="386">
        <v>46042</v>
      </c>
      <c r="P523" s="385">
        <f>IFERROR(
    IF(
        OR(ISBLANK(I523), ISBLANK(L523)),
        "",
        MAX(
            1,
            IF(
                NETWORKDAYS(I523, L523, Holiday_Dates) &lt;= 0,
                1,
                NETWORKDAYS(I523, L523, Holiday_Dates) - IF(I523 = L523, 0, 1)
            )
        )
    ),
    ""
)</f>
        <v>4</v>
      </c>
      <c r="Q523" s="385" t="str">
        <f>IF(
    OR(ISBLANK(L523), ISBLANK(M523)),
    "",
    MAX(
        1,
        IF(
            NETWORKDAYS(L523, M523, Holiday_Dates) &lt;= 0,
            1,
            NETWORKDAYS(L523, M523, Holiday_Dates) - IF(L523 = M523, 0, 1)
        )
    )
)</f>
        <v/>
      </c>
      <c r="R523" s="385">
        <f>IFERROR(
    IF(
        OR(ISBLANK(N523), AND(ISBLANK(L523), ISBLANK(M523))),
        "",
        MAX(
            1,
            IF(
                NETWORKDAYS(IF(NOT(ISBLANK(M523)), M523, L523), N523, Holiday_Dates) &lt;= 0,
                1,
                NETWORKDAYS(IF(NOT(ISBLANK(M523)), M523, L523), N523, Holiday_Dates)
                - IF(IF(NOT(ISBLANK(M523)), M523, L523) = N523, 0, 1)
            )
        )
    ),
    ""
)</f>
        <v>1</v>
      </c>
      <c r="S523" s="385">
        <f>IFERROR(
    IF(
        OR(ISBLANK(N523), ISBLANK(O523)),
        "",
        MAX(
            1,
            IF(
                NETWORKDAYS(N523, O523, Holiday_Dates) &lt;= 0,
                1,
                NETWORKDAYS(N523, O523, Holiday_Dates) - IF(N523 = O523, 0, 1)
            )
        )
    ),
    ""
)</f>
        <v>1</v>
      </c>
      <c r="T523" s="385" t="s">
        <v>929</v>
      </c>
      <c r="U523" s="385" t="s">
        <v>672</v>
      </c>
      <c r="V523" s="385" t="s">
        <v>101</v>
      </c>
      <c r="W523" s="385" t="s">
        <v>4710</v>
      </c>
      <c r="X523" s="1"/>
    </row>
    <row r="524" spans="1:24">
      <c r="A524" s="385" t="s">
        <v>49</v>
      </c>
      <c r="B524" s="385" t="s">
        <v>2352</v>
      </c>
      <c r="C524" s="385" t="s">
        <v>2301</v>
      </c>
      <c r="D524" s="385" t="s">
        <v>88</v>
      </c>
      <c r="E524" s="385"/>
      <c r="F524" s="385"/>
      <c r="G524" s="385"/>
      <c r="H524" s="385">
        <v>2025</v>
      </c>
      <c r="I524" s="386">
        <v>45945</v>
      </c>
      <c r="J524" s="30" t="s">
        <v>4793</v>
      </c>
      <c r="K524" s="385"/>
      <c r="L524" s="385"/>
      <c r="M524" s="385"/>
      <c r="N524" s="385"/>
      <c r="O524" s="385"/>
      <c r="P524" s="385" t="str">
        <f>IFERROR(
    IF(
        OR(ISBLANK(I524), ISBLANK(L524)),
        "",
        MAX(
            1,
            IF(
                NETWORKDAYS(I524, L524, Holiday_Dates) &lt;= 0,
                1,
                NETWORKDAYS(I524, L524, Holiday_Dates) - IF(I524 = L524, 0, 1)
            )
        )
    ),
    ""
)</f>
        <v/>
      </c>
      <c r="Q524" s="385" t="str">
        <f>IF(
    OR(ISBLANK(L524), ISBLANK(M524)),
    "",
    MAX(
        1,
        IF(
            NETWORKDAYS(L524, M524, Holiday_Dates) &lt;= 0,
            1,
            NETWORKDAYS(L524, M524, Holiday_Dates) - IF(L524 = M524, 0, 1)
        )
    )
)</f>
        <v/>
      </c>
      <c r="R524" s="385" t="str">
        <f>IFERROR(
    IF(
        OR(ISBLANK(N524), AND(ISBLANK(L524), ISBLANK(M524))),
        "",
        MAX(
            1,
            IF(
                NETWORKDAYS(IF(NOT(ISBLANK(M524)), M524, L524), N524, Holiday_Dates) &lt;= 0,
                1,
                NETWORKDAYS(IF(NOT(ISBLANK(M524)), M524, L524), N524, Holiday_Dates)
                - IF(IF(NOT(ISBLANK(M524)), M524, L524) = N524, 0, 1)
            )
        )
    ),
    ""
)</f>
        <v/>
      </c>
      <c r="S524" s="385" t="str">
        <f>IFERROR(
    IF(
        OR(ISBLANK(N524), ISBLANK(O524)),
        "",
        MAX(
            1,
            IF(
                NETWORKDAYS(N524, O524, Holiday_Dates) &lt;= 0,
                1,
                NETWORKDAYS(N524, O524, Holiday_Dates) - IF(N524 = O524, 0, 1)
            )
        )
    ),
    ""
)</f>
        <v/>
      </c>
      <c r="T524" s="385"/>
      <c r="U524" s="385" t="s">
        <v>672</v>
      </c>
      <c r="V524" s="385" t="s">
        <v>1676</v>
      </c>
      <c r="W524" s="385" t="s">
        <v>1436</v>
      </c>
      <c r="X524" s="1"/>
    </row>
    <row r="525" spans="1:24">
      <c r="A525" s="385" t="s">
        <v>49</v>
      </c>
      <c r="B525" s="385" t="s">
        <v>2352</v>
      </c>
      <c r="C525" s="385" t="s">
        <v>1694</v>
      </c>
      <c r="D525" s="385" t="s">
        <v>88</v>
      </c>
      <c r="E525" s="385"/>
      <c r="F525" s="385"/>
      <c r="G525" s="385"/>
      <c r="H525" s="385">
        <v>2025</v>
      </c>
      <c r="I525" s="386">
        <v>45931</v>
      </c>
      <c r="J525" s="30" t="s">
        <v>4794</v>
      </c>
      <c r="K525" s="385"/>
      <c r="L525" s="385"/>
      <c r="M525" s="385"/>
      <c r="N525" s="385"/>
      <c r="O525" s="385"/>
      <c r="P525" s="385" t="str">
        <f>IFERROR(
    IF(
        OR(ISBLANK(I525), ISBLANK(L525)),
        "",
        MAX(
            1,
            IF(
                NETWORKDAYS(I525, L525, Holiday_Dates) &lt;= 0,
                1,
                NETWORKDAYS(I525, L525, Holiday_Dates) - IF(I525 = L525, 0, 1)
            )
        )
    ),
    ""
)</f>
        <v/>
      </c>
      <c r="Q525" s="385" t="str">
        <f>IF(
    OR(ISBLANK(L525), ISBLANK(M525)),
    "",
    MAX(
        1,
        IF(
            NETWORKDAYS(L525, M525, Holiday_Dates) &lt;= 0,
            1,
            NETWORKDAYS(L525, M525, Holiday_Dates) - IF(L525 = M525, 0, 1)
        )
    )
)</f>
        <v/>
      </c>
      <c r="R525" s="385" t="str">
        <f>IFERROR(
    IF(
        OR(ISBLANK(N525), AND(ISBLANK(L525), ISBLANK(M525))),
        "",
        MAX(
            1,
            IF(
                NETWORKDAYS(IF(NOT(ISBLANK(M525)), M525, L525), N525, Holiday_Dates) &lt;= 0,
                1,
                NETWORKDAYS(IF(NOT(ISBLANK(M525)), M525, L525), N525, Holiday_Dates)
                - IF(IF(NOT(ISBLANK(M525)), M525, L525) = N525, 0, 1)
            )
        )
    ),
    ""
)</f>
        <v/>
      </c>
      <c r="S525" s="385" t="str">
        <f>IFERROR(
    IF(
        OR(ISBLANK(N525), ISBLANK(O525)),
        "",
        MAX(
            1,
            IF(
                NETWORKDAYS(N525, O525, Holiday_Dates) &lt;= 0,
                1,
                NETWORKDAYS(N525, O525, Holiday_Dates) - IF(N525 = O525, 0, 1)
            )
        )
    ),
    ""
)</f>
        <v/>
      </c>
      <c r="T525" s="385"/>
      <c r="U525" s="385" t="s">
        <v>672</v>
      </c>
      <c r="V525" s="385" t="s">
        <v>101</v>
      </c>
      <c r="W525" s="385" t="s">
        <v>1436</v>
      </c>
      <c r="X525" s="1"/>
    </row>
    <row r="526" spans="1:24">
      <c r="A526" s="385" t="s">
        <v>49</v>
      </c>
      <c r="B526" s="385" t="s">
        <v>2352</v>
      </c>
      <c r="C526" s="385" t="s">
        <v>2359</v>
      </c>
      <c r="D526" s="385" t="s">
        <v>88</v>
      </c>
      <c r="E526" s="385"/>
      <c r="F526" s="385"/>
      <c r="G526" s="385"/>
      <c r="H526" s="385">
        <v>2025</v>
      </c>
      <c r="I526" s="386">
        <v>45909</v>
      </c>
      <c r="J526" s="30" t="s">
        <v>4795</v>
      </c>
      <c r="K526" s="385"/>
      <c r="L526" s="385"/>
      <c r="M526" s="385"/>
      <c r="N526" s="385"/>
      <c r="O526" s="385"/>
      <c r="P526" s="385" t="str">
        <f>IFERROR(
    IF(
        OR(ISBLANK(I526), ISBLANK(L526)),
        "",
        MAX(
            1,
            IF(
                NETWORKDAYS(I526, L526, Holiday_Dates) &lt;= 0,
                1,
                NETWORKDAYS(I526, L526, Holiday_Dates) - IF(I526 = L526, 0, 1)
            )
        )
    ),
    ""
)</f>
        <v/>
      </c>
      <c r="Q526" s="385" t="str">
        <f>IF(
    OR(ISBLANK(L526), ISBLANK(M526)),
    "",
    MAX(
        1,
        IF(
            NETWORKDAYS(L526, M526, Holiday_Dates) &lt;= 0,
            1,
            NETWORKDAYS(L526, M526, Holiday_Dates) - IF(L526 = M526, 0, 1)
        )
    )
)</f>
        <v/>
      </c>
      <c r="R526" s="385" t="str">
        <f>IFERROR(
    IF(
        OR(ISBLANK(N526), AND(ISBLANK(L526), ISBLANK(M526))),
        "",
        MAX(
            1,
            IF(
                NETWORKDAYS(IF(NOT(ISBLANK(M526)), M526, L526), N526, Holiday_Dates) &lt;= 0,
                1,
                NETWORKDAYS(IF(NOT(ISBLANK(M526)), M526, L526), N526, Holiday_Dates)
                - IF(IF(NOT(ISBLANK(M526)), M526, L526) = N526, 0, 1)
            )
        )
    ),
    ""
)</f>
        <v/>
      </c>
      <c r="S526" s="385" t="str">
        <f>IFERROR(
    IF(
        OR(ISBLANK(N526), ISBLANK(O526)),
        "",
        MAX(
            1,
            IF(
                NETWORKDAYS(N526, O526, Holiday_Dates) &lt;= 0,
                1,
                NETWORKDAYS(N526, O526, Holiday_Dates) - IF(N526 = O526, 0, 1)
            )
        )
    ),
    ""
)</f>
        <v/>
      </c>
      <c r="T526" s="385"/>
      <c r="U526" s="385" t="s">
        <v>672</v>
      </c>
      <c r="V526" s="385" t="s">
        <v>1676</v>
      </c>
      <c r="W526" s="385" t="s">
        <v>1436</v>
      </c>
      <c r="X526" s="1"/>
    </row>
    <row r="527" spans="1:24">
      <c r="A527" s="385" t="s">
        <v>49</v>
      </c>
      <c r="B527" s="385" t="s">
        <v>2352</v>
      </c>
      <c r="C527" s="385" t="s">
        <v>777</v>
      </c>
      <c r="D527" s="385" t="s">
        <v>88</v>
      </c>
      <c r="E527" s="385"/>
      <c r="F527" s="385"/>
      <c r="G527" s="385"/>
      <c r="H527" s="385">
        <v>2024</v>
      </c>
      <c r="I527" s="386">
        <v>45573</v>
      </c>
      <c r="J527" s="30"/>
      <c r="K527" s="385"/>
      <c r="L527" s="385"/>
      <c r="M527" s="385"/>
      <c r="N527" s="385"/>
      <c r="O527" s="385"/>
      <c r="P527" s="385" t="str">
        <f>IFERROR(
    IF(
        OR(ISBLANK(I527), ISBLANK(L527)),
        "",
        MAX(
            1,
            IF(
                NETWORKDAYS(I527, L527, Holiday_Dates) &lt;= 0,
                1,
                NETWORKDAYS(I527, L527, Holiday_Dates) - IF(I527 = L527, 0, 1)
            )
        )
    ),
    ""
)</f>
        <v/>
      </c>
      <c r="Q527" s="385" t="str">
        <f>IF(
    OR(ISBLANK(L527), ISBLANK(M527)),
    "",
    MAX(
        1,
        IF(
            NETWORKDAYS(L527, M527, Holiday_Dates) &lt;= 0,
            1,
            NETWORKDAYS(L527, M527, Holiday_Dates) - IF(L527 = M527, 0, 1)
        )
    )
)</f>
        <v/>
      </c>
      <c r="R527" s="385" t="str">
        <f>IFERROR(
    IF(
        OR(ISBLANK(N527), AND(ISBLANK(L527), ISBLANK(M527))),
        "",
        MAX(
            1,
            IF(
                NETWORKDAYS(IF(NOT(ISBLANK(M527)), M527, L527), N527, Holiday_Dates) &lt;= 0,
                1,
                NETWORKDAYS(IF(NOT(ISBLANK(M527)), M527, L527), N527, Holiday_Dates)
                - IF(IF(NOT(ISBLANK(M527)), M527, L527) = N527, 0, 1)
            )
        )
    ),
    ""
)</f>
        <v/>
      </c>
      <c r="S527" s="385" t="str">
        <f>IFERROR(
    IF(
        OR(ISBLANK(N527), ISBLANK(O527)),
        "",
        MAX(
            1,
            IF(
                NETWORKDAYS(N527, O527, Holiday_Dates) &lt;= 0,
                1,
                NETWORKDAYS(N527, O527, Holiday_Dates) - IF(N527 = O527, 0, 1)
            )
        )
    ),
    ""
)</f>
        <v/>
      </c>
      <c r="T527" s="385"/>
      <c r="U527" s="385" t="s">
        <v>672</v>
      </c>
      <c r="V527" s="385"/>
      <c r="W527" s="385" t="s">
        <v>1436</v>
      </c>
      <c r="X527" s="1"/>
    </row>
    <row r="528" spans="1:24">
      <c r="A528" s="385" t="s">
        <v>49</v>
      </c>
      <c r="B528" s="385" t="s">
        <v>2352</v>
      </c>
      <c r="C528" s="385" t="s">
        <v>2361</v>
      </c>
      <c r="D528" s="385" t="s">
        <v>88</v>
      </c>
      <c r="E528" s="385"/>
      <c r="F528" s="385"/>
      <c r="G528" s="385"/>
      <c r="H528" s="385">
        <v>2024</v>
      </c>
      <c r="I528" s="386">
        <v>45427</v>
      </c>
      <c r="J528" s="30"/>
      <c r="K528" s="385"/>
      <c r="L528" s="385"/>
      <c r="M528" s="385"/>
      <c r="N528" s="385"/>
      <c r="O528" s="385"/>
      <c r="P528" s="385" t="str">
        <f>IFERROR(
    IF(
        OR(ISBLANK(I528), ISBLANK(L528)),
        "",
        MAX(
            1,
            IF(
                NETWORKDAYS(I528, L528, Holiday_Dates) &lt;= 0,
                1,
                NETWORKDAYS(I528, L528, Holiday_Dates) - IF(I528 = L528, 0, 1)
            )
        )
    ),
    ""
)</f>
        <v/>
      </c>
      <c r="Q528" s="385" t="str">
        <f>IF(
    OR(ISBLANK(L528), ISBLANK(M528)),
    "",
    MAX(
        1,
        IF(
            NETWORKDAYS(L528, M528, Holiday_Dates) &lt;= 0,
            1,
            NETWORKDAYS(L528, M528, Holiday_Dates) - IF(L528 = M528, 0, 1)
        )
    )
)</f>
        <v/>
      </c>
      <c r="R528" s="385" t="str">
        <f>IFERROR(
    IF(
        OR(ISBLANK(N528), AND(ISBLANK(L528), ISBLANK(M528))),
        "",
        MAX(
            1,
            IF(
                NETWORKDAYS(IF(NOT(ISBLANK(M528)), M528, L528), N528, Holiday_Dates) &lt;= 0,
                1,
                NETWORKDAYS(IF(NOT(ISBLANK(M528)), M528, L528), N528, Holiday_Dates)
                - IF(IF(NOT(ISBLANK(M528)), M528, L528) = N528, 0, 1)
            )
        )
    ),
    ""
)</f>
        <v/>
      </c>
      <c r="S528" s="385" t="str">
        <f>IFERROR(
    IF(
        OR(ISBLANK(N528), ISBLANK(O528)),
        "",
        MAX(
            1,
            IF(
                NETWORKDAYS(N528, O528, Holiday_Dates) &lt;= 0,
                1,
                NETWORKDAYS(N528, O528, Holiday_Dates) - IF(N528 = O528, 0, 1)
            )
        )
    ),
    ""
)</f>
        <v/>
      </c>
      <c r="T528" s="385"/>
      <c r="U528" s="385" t="s">
        <v>672</v>
      </c>
      <c r="V528" s="385"/>
      <c r="W528" s="385" t="s">
        <v>1436</v>
      </c>
      <c r="X528" s="1"/>
    </row>
    <row r="529" spans="1:24">
      <c r="A529" s="385" t="s">
        <v>49</v>
      </c>
      <c r="B529" s="385" t="s">
        <v>2352</v>
      </c>
      <c r="C529" s="385" t="s">
        <v>675</v>
      </c>
      <c r="D529" s="385" t="s">
        <v>88</v>
      </c>
      <c r="E529" s="385"/>
      <c r="F529" s="385"/>
      <c r="G529" s="385"/>
      <c r="H529" s="385">
        <v>2024</v>
      </c>
      <c r="I529" s="386">
        <v>45393</v>
      </c>
      <c r="J529" s="30"/>
      <c r="K529" s="385"/>
      <c r="L529" s="385"/>
      <c r="M529" s="385"/>
      <c r="N529" s="385"/>
      <c r="O529" s="385"/>
      <c r="P529" s="385" t="str">
        <f>IFERROR(
    IF(
        OR(ISBLANK(I529), ISBLANK(L529)),
        "",
        MAX(
            1,
            IF(
                NETWORKDAYS(I529, L529, Holiday_Dates) &lt;= 0,
                1,
                NETWORKDAYS(I529, L529, Holiday_Dates) - IF(I529 = L529, 0, 1)
            )
        )
    ),
    ""
)</f>
        <v/>
      </c>
      <c r="Q529" s="385" t="str">
        <f>IF(
    OR(ISBLANK(L529), ISBLANK(M529)),
    "",
    MAX(
        1,
        IF(
            NETWORKDAYS(L529, M529, Holiday_Dates) &lt;= 0,
            1,
            NETWORKDAYS(L529, M529, Holiday_Dates) - IF(L529 = M529, 0, 1)
        )
    )
)</f>
        <v/>
      </c>
      <c r="R529" s="385" t="str">
        <f>IFERROR(
    IF(
        OR(ISBLANK(N529), AND(ISBLANK(L529), ISBLANK(M529))),
        "",
        MAX(
            1,
            IF(
                NETWORKDAYS(IF(NOT(ISBLANK(M529)), M529, L529), N529, Holiday_Dates) &lt;= 0,
                1,
                NETWORKDAYS(IF(NOT(ISBLANK(M529)), M529, L529), N529, Holiday_Dates)
                - IF(IF(NOT(ISBLANK(M529)), M529, L529) = N529, 0, 1)
            )
        )
    ),
    ""
)</f>
        <v/>
      </c>
      <c r="S529" s="385" t="str">
        <f>IFERROR(
    IF(
        OR(ISBLANK(N529), ISBLANK(O529)),
        "",
        MAX(
            1,
            IF(
                NETWORKDAYS(N529, O529, Holiday_Dates) &lt;= 0,
                1,
                NETWORKDAYS(N529, O529, Holiday_Dates) - IF(N529 = O529, 0, 1)
            )
        )
    ),
    ""
)</f>
        <v/>
      </c>
      <c r="T529" s="385"/>
      <c r="U529" s="385" t="s">
        <v>672</v>
      </c>
      <c r="V529" s="385"/>
      <c r="W529" s="385" t="s">
        <v>1436</v>
      </c>
      <c r="X529" s="1"/>
    </row>
    <row r="530" spans="1:24">
      <c r="A530" s="385" t="s">
        <v>53</v>
      </c>
      <c r="B530" s="385" t="s">
        <v>242</v>
      </c>
      <c r="C530" s="385" t="s">
        <v>4431</v>
      </c>
      <c r="D530" s="385" t="s">
        <v>89</v>
      </c>
      <c r="E530" s="385" t="s">
        <v>246</v>
      </c>
      <c r="F530" s="385"/>
      <c r="G530" s="385" t="s">
        <v>133</v>
      </c>
      <c r="H530" s="385">
        <v>2026</v>
      </c>
      <c r="I530" s="386">
        <v>46037</v>
      </c>
      <c r="J530" s="529" t="s">
        <v>4796</v>
      </c>
      <c r="K530" s="385" t="s">
        <v>92</v>
      </c>
      <c r="L530" s="386">
        <v>46043</v>
      </c>
      <c r="M530" s="385"/>
      <c r="N530" s="386">
        <v>46043</v>
      </c>
      <c r="O530" s="386">
        <v>46043</v>
      </c>
      <c r="P530" s="385">
        <f>IFERROR(
    IF(
        OR(ISBLANK(I530), ISBLANK(L530)),
        "",
        MAX(
            1,
            IF(
                NETWORKDAYS(I530, L530, Holiday_Dates) &lt;= 0,
                1,
                NETWORKDAYS(I530, L530, Holiday_Dates) - IF(I530 = L530, 0, 1)
            )
        )
    ),
    ""
)</f>
        <v>4</v>
      </c>
      <c r="Q530" s="385" t="str">
        <f>IF(
    OR(ISBLANK(L530), ISBLANK(M530)),
    "",
    MAX(
        1,
        IF(
            NETWORKDAYS(L530, M530, Holiday_Dates) &lt;= 0,
            1,
            NETWORKDAYS(L530, M530, Holiday_Dates) - IF(L530 = M530, 0, 1)
        )
    )
)</f>
        <v/>
      </c>
      <c r="R530" s="385">
        <f>IFERROR(
    IF(
        OR(ISBLANK(N530), AND(ISBLANK(L530), ISBLANK(M530))),
        "",
        MAX(
            1,
            IF(
                NETWORKDAYS(IF(NOT(ISBLANK(M530)), M530, L530), N530, Holiday_Dates) &lt;= 0,
                1,
                NETWORKDAYS(IF(NOT(ISBLANK(M530)), M530, L530), N530, Holiday_Dates)
                - IF(IF(NOT(ISBLANK(M530)), M530, L530) = N530, 0, 1)
            )
        )
    ),
    ""
)</f>
        <v>1</v>
      </c>
      <c r="S530" s="385">
        <f>IFERROR(
    IF(
        OR(ISBLANK(N530), ISBLANK(O530)),
        "",
        MAX(
            1,
            IF(
                NETWORKDAYS(N530, O530, Holiday_Dates) &lt;= 0,
                1,
                NETWORKDAYS(N530, O530, Holiday_Dates) - IF(N530 = O530, 0, 1)
            )
        )
    ),
    ""
)</f>
        <v>1</v>
      </c>
      <c r="T530" s="385" t="s">
        <v>929</v>
      </c>
      <c r="U530" s="385" t="s">
        <v>672</v>
      </c>
      <c r="V530" s="385" t="s">
        <v>101</v>
      </c>
      <c r="W530" s="385" t="s">
        <v>4710</v>
      </c>
      <c r="X530" s="1"/>
    </row>
    <row r="531" spans="1:24">
      <c r="A531" s="385" t="s">
        <v>49</v>
      </c>
      <c r="B531" s="385" t="s">
        <v>490</v>
      </c>
      <c r="C531" s="385" t="s">
        <v>2290</v>
      </c>
      <c r="D531" s="385" t="s">
        <v>88</v>
      </c>
      <c r="E531" s="385" t="s">
        <v>344</v>
      </c>
      <c r="F531" s="385"/>
      <c r="G531" s="385" t="s">
        <v>128</v>
      </c>
      <c r="H531" s="385">
        <v>2026</v>
      </c>
      <c r="I531" s="386">
        <v>46064</v>
      </c>
      <c r="J531" s="30" t="s">
        <v>4797</v>
      </c>
      <c r="K531" s="385" t="s">
        <v>62</v>
      </c>
      <c r="L531" s="386">
        <v>46070</v>
      </c>
      <c r="M531" s="385"/>
      <c r="N531" s="386">
        <v>46071</v>
      </c>
      <c r="O531" s="386">
        <v>46071</v>
      </c>
      <c r="P531" s="385">
        <f>IFERROR(
    IF(
        OR(ISBLANK(I531), ISBLANK(L531)),
        "",
        MAX(
            1,
            IF(
                NETWORKDAYS(I531, L531, Holiday_Dates) &lt;= 0,
                1,
                NETWORKDAYS(I531, L531, Holiday_Dates) - IF(I531 = L531, 0, 1)
            )
        )
    ),
    ""
)</f>
        <v>4</v>
      </c>
      <c r="Q531" s="385" t="str">
        <f>IF(
    OR(ISBLANK(L531), ISBLANK(M531)),
    "",
    MAX(
        1,
        IF(
            NETWORKDAYS(L531, M531, Holiday_Dates) &lt;= 0,
            1,
            NETWORKDAYS(L531, M531, Holiday_Dates) - IF(L531 = M531, 0, 1)
        )
    )
)</f>
        <v/>
      </c>
      <c r="R531" s="385">
        <f>IFERROR(
    IF(
        OR(ISBLANK(N531), AND(ISBLANK(L531), ISBLANK(M531))),
        "",
        MAX(
            1,
            IF(
                NETWORKDAYS(IF(NOT(ISBLANK(M531)), M531, L531), N531, Holiday_Dates) &lt;= 0,
                1,
                NETWORKDAYS(IF(NOT(ISBLANK(M531)), M531, L531), N531, Holiday_Dates)
                - IF(IF(NOT(ISBLANK(M531)), M531, L531) = N531, 0, 1)
            )
        )
    ),
    ""
)</f>
        <v>1</v>
      </c>
      <c r="S531" s="385">
        <f>IFERROR(
    IF(
        OR(ISBLANK(N531), ISBLANK(O531)),
        "",
        MAX(
            1,
            IF(
                NETWORKDAYS(N531, O531, Holiday_Dates) &lt;= 0,
                1,
                NETWORKDAYS(N531, O531, Holiday_Dates) - IF(N531 = O531, 0, 1)
            )
        )
    ),
    ""
)</f>
        <v>1</v>
      </c>
      <c r="T531" s="385" t="s">
        <v>929</v>
      </c>
      <c r="U531" s="385" t="s">
        <v>4616</v>
      </c>
      <c r="V531" s="385" t="s">
        <v>1676</v>
      </c>
      <c r="W531" s="385" t="s">
        <v>4710</v>
      </c>
      <c r="X531" s="1"/>
    </row>
    <row r="532" spans="1:24">
      <c r="A532" s="385" t="s">
        <v>49</v>
      </c>
      <c r="B532" s="385" t="s">
        <v>490</v>
      </c>
      <c r="C532" s="385" t="s">
        <v>2291</v>
      </c>
      <c r="D532" s="385" t="s">
        <v>88</v>
      </c>
      <c r="E532" s="385" t="s">
        <v>344</v>
      </c>
      <c r="F532" s="385"/>
      <c r="G532" s="385" t="s">
        <v>128</v>
      </c>
      <c r="H532" s="385">
        <v>2026</v>
      </c>
      <c r="I532" s="386">
        <v>46064</v>
      </c>
      <c r="J532" s="30" t="s">
        <v>4798</v>
      </c>
      <c r="K532" s="385" t="s">
        <v>62</v>
      </c>
      <c r="L532" s="386">
        <v>46070</v>
      </c>
      <c r="M532" s="385"/>
      <c r="N532" s="386">
        <v>46071</v>
      </c>
      <c r="O532" s="386">
        <v>46071</v>
      </c>
      <c r="P532" s="385">
        <f>IFERROR(
    IF(
        OR(ISBLANK(I532), ISBLANK(L532)),
        "",
        MAX(
            1,
            IF(
                NETWORKDAYS(I532, L532, Holiday_Dates) &lt;= 0,
                1,
                NETWORKDAYS(I532, L532, Holiday_Dates) - IF(I532 = L532, 0, 1)
            )
        )
    ),
    ""
)</f>
        <v>4</v>
      </c>
      <c r="Q532" s="385" t="str">
        <f>IF(
    OR(ISBLANK(L532), ISBLANK(M532)),
    "",
    MAX(
        1,
        IF(
            NETWORKDAYS(L532, M532, Holiday_Dates) &lt;= 0,
            1,
            NETWORKDAYS(L532, M532, Holiday_Dates) - IF(L532 = M532, 0, 1)
        )
    )
)</f>
        <v/>
      </c>
      <c r="R532" s="385">
        <f>IFERROR(
    IF(
        OR(ISBLANK(N532), AND(ISBLANK(L532), ISBLANK(M532))),
        "",
        MAX(
            1,
            IF(
                NETWORKDAYS(IF(NOT(ISBLANK(M532)), M532, L532), N532, Holiday_Dates) &lt;= 0,
                1,
                NETWORKDAYS(IF(NOT(ISBLANK(M532)), M532, L532), N532, Holiday_Dates)
                - IF(IF(NOT(ISBLANK(M532)), M532, L532) = N532, 0, 1)
            )
        )
    ),
    ""
)</f>
        <v>1</v>
      </c>
      <c r="S532" s="385">
        <f>IFERROR(
    IF(
        OR(ISBLANK(N532), ISBLANK(O532)),
        "",
        MAX(
            1,
            IF(
                NETWORKDAYS(N532, O532, Holiday_Dates) &lt;= 0,
                1,
                NETWORKDAYS(N532, O532, Holiday_Dates) - IF(N532 = O532, 0, 1)
            )
        )
    ),
    ""
)</f>
        <v>1</v>
      </c>
      <c r="T532" s="385" t="s">
        <v>929</v>
      </c>
      <c r="U532" s="385" t="s">
        <v>4616</v>
      </c>
      <c r="V532" s="385" t="s">
        <v>1676</v>
      </c>
      <c r="W532" s="385" t="s">
        <v>4710</v>
      </c>
      <c r="X532" s="1"/>
    </row>
    <row r="533" spans="1:24">
      <c r="A533" s="385" t="s">
        <v>49</v>
      </c>
      <c r="B533" s="385" t="s">
        <v>2352</v>
      </c>
      <c r="C533" s="385" t="s">
        <v>2307</v>
      </c>
      <c r="D533" s="385" t="s">
        <v>88</v>
      </c>
      <c r="E533" s="385"/>
      <c r="F533" s="385"/>
      <c r="G533" s="385"/>
      <c r="H533" s="385">
        <v>2024</v>
      </c>
      <c r="I533" s="386">
        <v>45573</v>
      </c>
      <c r="J533" s="30"/>
      <c r="K533" s="385"/>
      <c r="L533" s="385"/>
      <c r="M533" s="385"/>
      <c r="N533" s="385"/>
      <c r="O533" s="385"/>
      <c r="P533" s="385" t="str">
        <f>IFERROR(
    IF(
        OR(ISBLANK(I533), ISBLANK(L533)),
        "",
        MAX(
            1,
            IF(
                NETWORKDAYS(I533, L533, Holiday_Dates) &lt;= 0,
                1,
                NETWORKDAYS(I533, L533, Holiday_Dates) - IF(I533 = L533, 0, 1)
            )
        )
    ),
    ""
)</f>
        <v/>
      </c>
      <c r="Q533" s="385" t="str">
        <f>IF(
    OR(ISBLANK(L533), ISBLANK(M533)),
    "",
    MAX(
        1,
        IF(
            NETWORKDAYS(L533, M533, Holiday_Dates) &lt;= 0,
            1,
            NETWORKDAYS(L533, M533, Holiday_Dates) - IF(L533 = M533, 0, 1)
        )
    )
)</f>
        <v/>
      </c>
      <c r="R533" s="385" t="str">
        <f>IFERROR(
    IF(
        OR(ISBLANK(N533), AND(ISBLANK(L533), ISBLANK(M533))),
        "",
        MAX(
            1,
            IF(
                NETWORKDAYS(IF(NOT(ISBLANK(M533)), M533, L533), N533, Holiday_Dates) &lt;= 0,
                1,
                NETWORKDAYS(IF(NOT(ISBLANK(M533)), M533, L533), N533, Holiday_Dates)
                - IF(IF(NOT(ISBLANK(M533)), M533, L533) = N533, 0, 1)
            )
        )
    ),
    ""
)</f>
        <v/>
      </c>
      <c r="S533" s="385" t="str">
        <f>IFERROR(
    IF(
        OR(ISBLANK(N533), ISBLANK(O533)),
        "",
        MAX(
            1,
            IF(
                NETWORKDAYS(N533, O533, Holiday_Dates) &lt;= 0,
                1,
                NETWORKDAYS(N533, O533, Holiday_Dates) - IF(N533 = O533, 0, 1)
            )
        )
    ),
    ""
)</f>
        <v/>
      </c>
      <c r="T533" s="385"/>
      <c r="U533" s="385" t="s">
        <v>672</v>
      </c>
      <c r="V533" s="385"/>
      <c r="W533" s="385" t="s">
        <v>1436</v>
      </c>
      <c r="X533" s="1"/>
    </row>
    <row r="534" spans="1:24">
      <c r="A534" s="385" t="s">
        <v>49</v>
      </c>
      <c r="B534" s="385" t="s">
        <v>2352</v>
      </c>
      <c r="C534" s="385" t="s">
        <v>2371</v>
      </c>
      <c r="D534" s="385" t="s">
        <v>88</v>
      </c>
      <c r="E534" s="385"/>
      <c r="F534" s="385"/>
      <c r="G534" s="385"/>
      <c r="H534" s="385">
        <v>2024</v>
      </c>
      <c r="I534" s="386">
        <v>45573</v>
      </c>
      <c r="J534" s="30"/>
      <c r="K534" s="385"/>
      <c r="L534" s="385"/>
      <c r="M534" s="385"/>
      <c r="N534" s="385"/>
      <c r="O534" s="385"/>
      <c r="P534" s="385" t="str">
        <f>IFERROR(
    IF(
        OR(ISBLANK(I534), ISBLANK(L534)),
        "",
        MAX(
            1,
            IF(
                NETWORKDAYS(I534, L534, Holiday_Dates) &lt;= 0,
                1,
                NETWORKDAYS(I534, L534, Holiday_Dates) - IF(I534 = L534, 0, 1)
            )
        )
    ),
    ""
)</f>
        <v/>
      </c>
      <c r="Q534" s="385" t="str">
        <f>IF(
    OR(ISBLANK(L534), ISBLANK(M534)),
    "",
    MAX(
        1,
        IF(
            NETWORKDAYS(L534, M534, Holiday_Dates) &lt;= 0,
            1,
            NETWORKDAYS(L534, M534, Holiday_Dates) - IF(L534 = M534, 0, 1)
        )
    )
)</f>
        <v/>
      </c>
      <c r="R534" s="385" t="str">
        <f>IFERROR(
    IF(
        OR(ISBLANK(N534), AND(ISBLANK(L534), ISBLANK(M534))),
        "",
        MAX(
            1,
            IF(
                NETWORKDAYS(IF(NOT(ISBLANK(M534)), M534, L534), N534, Holiday_Dates) &lt;= 0,
                1,
                NETWORKDAYS(IF(NOT(ISBLANK(M534)), M534, L534), N534, Holiday_Dates)
                - IF(IF(NOT(ISBLANK(M534)), M534, L534) = N534, 0, 1)
            )
        )
    ),
    ""
)</f>
        <v/>
      </c>
      <c r="S534" s="385" t="str">
        <f>IFERROR(
    IF(
        OR(ISBLANK(N534), ISBLANK(O534)),
        "",
        MAX(
            1,
            IF(
                NETWORKDAYS(N534, O534, Holiday_Dates) &lt;= 0,
                1,
                NETWORKDAYS(N534, O534, Holiday_Dates) - IF(N534 = O534, 0, 1)
            )
        )
    ),
    ""
)</f>
        <v/>
      </c>
      <c r="T534" s="385"/>
      <c r="U534" s="385" t="s">
        <v>4</v>
      </c>
      <c r="V534" s="385" t="s">
        <v>101</v>
      </c>
      <c r="W534" s="385" t="s">
        <v>1436</v>
      </c>
      <c r="X534" s="1"/>
    </row>
    <row r="535" spans="1:24">
      <c r="A535" s="385" t="s">
        <v>49</v>
      </c>
      <c r="B535" s="385" t="s">
        <v>490</v>
      </c>
      <c r="C535" s="385" t="s">
        <v>926</v>
      </c>
      <c r="D535" s="385" t="s">
        <v>88</v>
      </c>
      <c r="E535" s="385" t="s">
        <v>344</v>
      </c>
      <c r="F535" s="385"/>
      <c r="G535" s="385" t="s">
        <v>128</v>
      </c>
      <c r="H535" s="385">
        <v>2026</v>
      </c>
      <c r="I535" s="386">
        <v>46064</v>
      </c>
      <c r="J535" s="30" t="s">
        <v>4799</v>
      </c>
      <c r="K535" s="385" t="s">
        <v>62</v>
      </c>
      <c r="L535" s="386">
        <v>46070</v>
      </c>
      <c r="M535" s="385"/>
      <c r="N535" s="386">
        <v>46071</v>
      </c>
      <c r="O535" s="386">
        <v>46071</v>
      </c>
      <c r="P535" s="385">
        <f>IFERROR(
    IF(
        OR(ISBLANK(I535), ISBLANK(L535)),
        "",
        MAX(
            1,
            IF(
                NETWORKDAYS(I535, L535, Holiday_Dates) &lt;= 0,
                1,
                NETWORKDAYS(I535, L535, Holiday_Dates) - IF(I535 = L535, 0, 1)
            )
        )
    ),
    ""
)</f>
        <v>4</v>
      </c>
      <c r="Q535" s="385" t="str">
        <f>IF(
    OR(ISBLANK(L535), ISBLANK(M535)),
    "",
    MAX(
        1,
        IF(
            NETWORKDAYS(L535, M535, Holiday_Dates) &lt;= 0,
            1,
            NETWORKDAYS(L535, M535, Holiday_Dates) - IF(L535 = M535, 0, 1)
        )
    )
)</f>
        <v/>
      </c>
      <c r="R535" s="385">
        <f>IFERROR(
    IF(
        OR(ISBLANK(N535), AND(ISBLANK(L535), ISBLANK(M535))),
        "",
        MAX(
            1,
            IF(
                NETWORKDAYS(IF(NOT(ISBLANK(M535)), M535, L535), N535, Holiday_Dates) &lt;= 0,
                1,
                NETWORKDAYS(IF(NOT(ISBLANK(M535)), M535, L535), N535, Holiday_Dates)
                - IF(IF(NOT(ISBLANK(M535)), M535, L535) = N535, 0, 1)
            )
        )
    ),
    ""
)</f>
        <v>1</v>
      </c>
      <c r="S535" s="385">
        <f>IFERROR(
    IF(
        OR(ISBLANK(N535), ISBLANK(O535)),
        "",
        MAX(
            1,
            IF(
                NETWORKDAYS(N535, O535, Holiday_Dates) &lt;= 0,
                1,
                NETWORKDAYS(N535, O535, Holiday_Dates) - IF(N535 = O535, 0, 1)
            )
        )
    ),
    ""
)</f>
        <v>1</v>
      </c>
      <c r="T535" s="385" t="s">
        <v>929</v>
      </c>
      <c r="U535" s="385" t="s">
        <v>4616</v>
      </c>
      <c r="V535" s="385" t="s">
        <v>1676</v>
      </c>
      <c r="W535" s="385" t="s">
        <v>4710</v>
      </c>
      <c r="X535" s="1"/>
    </row>
    <row r="536" spans="1:24">
      <c r="A536" s="385" t="s">
        <v>49</v>
      </c>
      <c r="B536" s="385" t="s">
        <v>2352</v>
      </c>
      <c r="C536" s="385" t="s">
        <v>2363</v>
      </c>
      <c r="D536" s="385" t="s">
        <v>88</v>
      </c>
      <c r="E536" s="385"/>
      <c r="F536" s="385"/>
      <c r="G536" s="385"/>
      <c r="H536" s="385">
        <v>2025</v>
      </c>
      <c r="I536" s="386">
        <v>45967</v>
      </c>
      <c r="J536" s="30" t="s">
        <v>4800</v>
      </c>
      <c r="K536" s="385"/>
      <c r="L536" s="385"/>
      <c r="M536" s="385"/>
      <c r="N536" s="385"/>
      <c r="O536" s="385"/>
      <c r="P536" s="385" t="str">
        <f>IFERROR(
    IF(
        OR(ISBLANK(I536), ISBLANK(L536)),
        "",
        MAX(
            1,
            IF(
                NETWORKDAYS(I536, L536, Holiday_Dates) &lt;= 0,
                1,
                NETWORKDAYS(I536, L536, Holiday_Dates) - IF(I536 = L536, 0, 1)
            )
        )
    ),
    ""
)</f>
        <v/>
      </c>
      <c r="Q536" s="385" t="str">
        <f>IF(
    OR(ISBLANK(L536), ISBLANK(M536)),
    "",
    MAX(
        1,
        IF(
            NETWORKDAYS(L536, M536, Holiday_Dates) &lt;= 0,
            1,
            NETWORKDAYS(L536, M536, Holiday_Dates) - IF(L536 = M536, 0, 1)
        )
    )
)</f>
        <v/>
      </c>
      <c r="R536" s="385" t="str">
        <f>IFERROR(
    IF(
        OR(ISBLANK(N536), AND(ISBLANK(L536), ISBLANK(M536))),
        "",
        MAX(
            1,
            IF(
                NETWORKDAYS(IF(NOT(ISBLANK(M536)), M536, L536), N536, Holiday_Dates) &lt;= 0,
                1,
                NETWORKDAYS(IF(NOT(ISBLANK(M536)), M536, L536), N536, Holiday_Dates)
                - IF(IF(NOT(ISBLANK(M536)), M536, L536) = N536, 0, 1)
            )
        )
    ),
    ""
)</f>
        <v/>
      </c>
      <c r="S536" s="385" t="str">
        <f>IFERROR(
    IF(
        OR(ISBLANK(N536), ISBLANK(O536)),
        "",
        MAX(
            1,
            IF(
                NETWORKDAYS(N536, O536, Holiday_Dates) &lt;= 0,
                1,
                NETWORKDAYS(N536, O536, Holiday_Dates) - IF(N536 = O536, 0, 1)
            )
        )
    ),
    ""
)</f>
        <v/>
      </c>
      <c r="T536" s="385"/>
      <c r="U536" s="385" t="s">
        <v>4</v>
      </c>
      <c r="V536" s="385" t="s">
        <v>101</v>
      </c>
      <c r="W536" s="385" t="s">
        <v>1436</v>
      </c>
      <c r="X536" s="1"/>
    </row>
    <row r="537" spans="1:24">
      <c r="A537" s="385" t="s">
        <v>49</v>
      </c>
      <c r="B537" s="385" t="s">
        <v>2352</v>
      </c>
      <c r="C537" s="385" t="s">
        <v>2364</v>
      </c>
      <c r="D537" s="385" t="s">
        <v>88</v>
      </c>
      <c r="E537" s="385"/>
      <c r="F537" s="385"/>
      <c r="G537" s="385"/>
      <c r="H537" s="385">
        <v>2025</v>
      </c>
      <c r="I537" s="386">
        <v>45909</v>
      </c>
      <c r="J537" s="30" t="s">
        <v>4801</v>
      </c>
      <c r="K537" s="385"/>
      <c r="L537" s="385"/>
      <c r="M537" s="385"/>
      <c r="N537" s="385"/>
      <c r="O537" s="385"/>
      <c r="P537" s="385" t="str">
        <f>IFERROR(
    IF(
        OR(ISBLANK(I537), ISBLANK(L537)),
        "",
        MAX(
            1,
            IF(
                NETWORKDAYS(I537, L537, Holiday_Dates) &lt;= 0,
                1,
                NETWORKDAYS(I537, L537, Holiday_Dates) - IF(I537 = L537, 0, 1)
            )
        )
    ),
    ""
)</f>
        <v/>
      </c>
      <c r="Q537" s="385" t="str">
        <f>IF(
    OR(ISBLANK(L537), ISBLANK(M537)),
    "",
    MAX(
        1,
        IF(
            NETWORKDAYS(L537, M537, Holiday_Dates) &lt;= 0,
            1,
            NETWORKDAYS(L537, M537, Holiday_Dates) - IF(L537 = M537, 0, 1)
        )
    )
)</f>
        <v/>
      </c>
      <c r="R537" s="385" t="str">
        <f>IFERROR(
    IF(
        OR(ISBLANK(N537), AND(ISBLANK(L537), ISBLANK(M537))),
        "",
        MAX(
            1,
            IF(
                NETWORKDAYS(IF(NOT(ISBLANK(M537)), M537, L537), N537, Holiday_Dates) &lt;= 0,
                1,
                NETWORKDAYS(IF(NOT(ISBLANK(M537)), M537, L537), N537, Holiday_Dates)
                - IF(IF(NOT(ISBLANK(M537)), M537, L537) = N537, 0, 1)
            )
        )
    ),
    ""
)</f>
        <v/>
      </c>
      <c r="S537" s="385" t="str">
        <f>IFERROR(
    IF(
        OR(ISBLANK(N537), ISBLANK(O537)),
        "",
        MAX(
            1,
            IF(
                NETWORKDAYS(N537, O537, Holiday_Dates) &lt;= 0,
                1,
                NETWORKDAYS(N537, O537, Holiday_Dates) - IF(N537 = O537, 0, 1)
            )
        )
    ),
    ""
)</f>
        <v/>
      </c>
      <c r="T537" s="385"/>
      <c r="U537" s="385" t="s">
        <v>4</v>
      </c>
      <c r="V537" s="385" t="s">
        <v>101</v>
      </c>
      <c r="W537" s="385" t="s">
        <v>1436</v>
      </c>
      <c r="X537" s="1"/>
    </row>
    <row r="538" spans="1:24">
      <c r="A538" s="385" t="s">
        <v>49</v>
      </c>
      <c r="B538" s="385" t="s">
        <v>490</v>
      </c>
      <c r="C538" s="385" t="s">
        <v>2300</v>
      </c>
      <c r="D538" s="385" t="s">
        <v>88</v>
      </c>
      <c r="E538" s="385" t="s">
        <v>344</v>
      </c>
      <c r="F538" s="385"/>
      <c r="G538" s="385" t="s">
        <v>128</v>
      </c>
      <c r="H538" s="385">
        <v>2026</v>
      </c>
      <c r="I538" s="386">
        <v>46064</v>
      </c>
      <c r="J538" s="30" t="s">
        <v>4802</v>
      </c>
      <c r="K538" s="385" t="s">
        <v>62</v>
      </c>
      <c r="L538" s="386">
        <v>46070</v>
      </c>
      <c r="M538" s="385"/>
      <c r="N538" s="386">
        <v>46071</v>
      </c>
      <c r="O538" s="386">
        <v>46071</v>
      </c>
      <c r="P538" s="385">
        <f>IFERROR(
    IF(
        OR(ISBLANK(I538), ISBLANK(L538)),
        "",
        MAX(
            1,
            IF(
                NETWORKDAYS(I538, L538, Holiday_Dates) &lt;= 0,
                1,
                NETWORKDAYS(I538, L538, Holiday_Dates) - IF(I538 = L538, 0, 1)
            )
        )
    ),
    ""
)</f>
        <v>4</v>
      </c>
      <c r="Q538" s="385" t="str">
        <f>IF(
    OR(ISBLANK(L538), ISBLANK(M538)),
    "",
    MAX(
        1,
        IF(
            NETWORKDAYS(L538, M538, Holiday_Dates) &lt;= 0,
            1,
            NETWORKDAYS(L538, M538, Holiday_Dates) - IF(L538 = M538, 0, 1)
        )
    )
)</f>
        <v/>
      </c>
      <c r="R538" s="385">
        <f>IFERROR(
    IF(
        OR(ISBLANK(N538), AND(ISBLANK(L538), ISBLANK(M538))),
        "",
        MAX(
            1,
            IF(
                NETWORKDAYS(IF(NOT(ISBLANK(M538)), M538, L538), N538, Holiday_Dates) &lt;= 0,
                1,
                NETWORKDAYS(IF(NOT(ISBLANK(M538)), M538, L538), N538, Holiday_Dates)
                - IF(IF(NOT(ISBLANK(M538)), M538, L538) = N538, 0, 1)
            )
        )
    ),
    ""
)</f>
        <v>1</v>
      </c>
      <c r="S538" s="385">
        <f>IFERROR(
    IF(
        OR(ISBLANK(N538), ISBLANK(O538)),
        "",
        MAX(
            1,
            IF(
                NETWORKDAYS(N538, O538, Holiday_Dates) &lt;= 0,
                1,
                NETWORKDAYS(N538, O538, Holiday_Dates) - IF(N538 = O538, 0, 1)
            )
        )
    ),
    ""
)</f>
        <v>1</v>
      </c>
      <c r="T538" s="385" t="s">
        <v>929</v>
      </c>
      <c r="U538" s="385" t="s">
        <v>4616</v>
      </c>
      <c r="V538" s="385" t="s">
        <v>1676</v>
      </c>
      <c r="W538" s="385" t="s">
        <v>4710</v>
      </c>
      <c r="X538" s="1"/>
    </row>
    <row r="539" spans="1:24">
      <c r="A539" s="385" t="s">
        <v>49</v>
      </c>
      <c r="B539" s="385" t="s">
        <v>2352</v>
      </c>
      <c r="C539" s="385" t="s">
        <v>2149</v>
      </c>
      <c r="D539" s="385" t="s">
        <v>88</v>
      </c>
      <c r="E539" s="385"/>
      <c r="F539" s="385"/>
      <c r="G539" s="385"/>
      <c r="H539" s="385">
        <v>2025</v>
      </c>
      <c r="I539" s="386">
        <v>45855</v>
      </c>
      <c r="J539" s="30" t="s">
        <v>4803</v>
      </c>
      <c r="K539" s="385"/>
      <c r="L539" s="385"/>
      <c r="M539" s="385"/>
      <c r="N539" s="385"/>
      <c r="O539" s="385"/>
      <c r="P539" s="385" t="str">
        <f>IFERROR(
    IF(
        OR(ISBLANK(I539), ISBLANK(L539)),
        "",
        MAX(
            1,
            IF(
                NETWORKDAYS(I539, L539, Holiday_Dates) &lt;= 0,
                1,
                NETWORKDAYS(I539, L539, Holiday_Dates) - IF(I539 = L539, 0, 1)
            )
        )
    ),
    ""
)</f>
        <v/>
      </c>
      <c r="Q539" s="385" t="str">
        <f>IF(
    OR(ISBLANK(L539), ISBLANK(M539)),
    "",
    MAX(
        1,
        IF(
            NETWORKDAYS(L539, M539, Holiday_Dates) &lt;= 0,
            1,
            NETWORKDAYS(L539, M539, Holiday_Dates) - IF(L539 = M539, 0, 1)
        )
    )
)</f>
        <v/>
      </c>
      <c r="R539" s="385" t="str">
        <f>IFERROR(
    IF(
        OR(ISBLANK(N539), AND(ISBLANK(L539), ISBLANK(M539))),
        "",
        MAX(
            1,
            IF(
                NETWORKDAYS(IF(NOT(ISBLANK(M539)), M539, L539), N539, Holiday_Dates) &lt;= 0,
                1,
                NETWORKDAYS(IF(NOT(ISBLANK(M539)), M539, L539), N539, Holiday_Dates)
                - IF(IF(NOT(ISBLANK(M539)), M539, L539) = N539, 0, 1)
            )
        )
    ),
    ""
)</f>
        <v/>
      </c>
      <c r="S539" s="385" t="str">
        <f>IFERROR(
    IF(
        OR(ISBLANK(N539), ISBLANK(O539)),
        "",
        MAX(
            1,
            IF(
                NETWORKDAYS(N539, O539, Holiday_Dates) &lt;= 0,
                1,
                NETWORKDAYS(N539, O539, Holiday_Dates) - IF(N539 = O539, 0, 1)
            )
        )
    ),
    ""
)</f>
        <v/>
      </c>
      <c r="T539" s="385"/>
      <c r="U539" s="385" t="s">
        <v>672</v>
      </c>
      <c r="V539" s="385" t="s">
        <v>101</v>
      </c>
      <c r="W539" s="385" t="s">
        <v>1436</v>
      </c>
      <c r="X539" s="1"/>
    </row>
    <row r="540" spans="1:24">
      <c r="A540" s="385" t="s">
        <v>49</v>
      </c>
      <c r="B540" s="385" t="s">
        <v>2352</v>
      </c>
      <c r="C540" s="385" t="s">
        <v>1039</v>
      </c>
      <c r="D540" s="385" t="s">
        <v>88</v>
      </c>
      <c r="E540" s="385"/>
      <c r="F540" s="385"/>
      <c r="G540" s="385"/>
      <c r="H540" s="385">
        <v>2024</v>
      </c>
      <c r="I540" s="386">
        <v>45573</v>
      </c>
      <c r="J540" s="30"/>
      <c r="K540" s="385"/>
      <c r="L540" s="385"/>
      <c r="M540" s="385"/>
      <c r="N540" s="385"/>
      <c r="O540" s="385"/>
      <c r="P540" s="385" t="str">
        <f>IFERROR(
    IF(
        OR(ISBLANK(I540), ISBLANK(L540)),
        "",
        MAX(
            1,
            IF(
                NETWORKDAYS(I540, L540, Holiday_Dates) &lt;= 0,
                1,
                NETWORKDAYS(I540, L540, Holiday_Dates) - IF(I540 = L540, 0, 1)
            )
        )
    ),
    ""
)</f>
        <v/>
      </c>
      <c r="Q540" s="385" t="str">
        <f>IF(
    OR(ISBLANK(L540), ISBLANK(M540)),
    "",
    MAX(
        1,
        IF(
            NETWORKDAYS(L540, M540, Holiday_Dates) &lt;= 0,
            1,
            NETWORKDAYS(L540, M540, Holiday_Dates) - IF(L540 = M540, 0, 1)
        )
    )
)</f>
        <v/>
      </c>
      <c r="R540" s="385" t="str">
        <f>IFERROR(
    IF(
        OR(ISBLANK(N540), AND(ISBLANK(L540), ISBLANK(M540))),
        "",
        MAX(
            1,
            IF(
                NETWORKDAYS(IF(NOT(ISBLANK(M540)), M540, L540), N540, Holiday_Dates) &lt;= 0,
                1,
                NETWORKDAYS(IF(NOT(ISBLANK(M540)), M540, L540), N540, Holiday_Dates)
                - IF(IF(NOT(ISBLANK(M540)), M540, L540) = N540, 0, 1)
            )
        )
    ),
    ""
)</f>
        <v/>
      </c>
      <c r="S540" s="385" t="str">
        <f>IFERROR(
    IF(
        OR(ISBLANK(N540), ISBLANK(O540)),
        "",
        MAX(
            1,
            IF(
                NETWORKDAYS(N540, O540, Holiday_Dates) &lt;= 0,
                1,
                NETWORKDAYS(N540, O540, Holiday_Dates) - IF(N540 = O540, 0, 1)
            )
        )
    ),
    ""
)</f>
        <v/>
      </c>
      <c r="T540" s="385"/>
      <c r="U540" s="385" t="s">
        <v>672</v>
      </c>
      <c r="V540" s="385"/>
      <c r="W540" s="385" t="s">
        <v>1436</v>
      </c>
      <c r="X540" s="1"/>
    </row>
    <row r="541" spans="1:24">
      <c r="A541" s="385" t="s">
        <v>49</v>
      </c>
      <c r="B541" s="385" t="s">
        <v>2352</v>
      </c>
      <c r="C541" s="385" t="s">
        <v>2375</v>
      </c>
      <c r="D541" s="385" t="s">
        <v>88</v>
      </c>
      <c r="E541" s="385"/>
      <c r="F541" s="385"/>
      <c r="G541" s="385"/>
      <c r="H541" s="385">
        <v>2025</v>
      </c>
      <c r="I541" s="386">
        <v>45945</v>
      </c>
      <c r="J541" s="30" t="s">
        <v>4804</v>
      </c>
      <c r="K541" s="385"/>
      <c r="L541" s="385"/>
      <c r="M541" s="385"/>
      <c r="N541" s="385"/>
      <c r="O541" s="385"/>
      <c r="P541" s="385" t="str">
        <f>IFERROR(
    IF(
        OR(ISBLANK(I541), ISBLANK(L541)),
        "",
        MAX(
            1,
            IF(
                NETWORKDAYS(I541, L541, Holiday_Dates) &lt;= 0,
                1,
                NETWORKDAYS(I541, L541, Holiday_Dates) - IF(I541 = L541, 0, 1)
            )
        )
    ),
    ""
)</f>
        <v/>
      </c>
      <c r="Q541" s="385" t="str">
        <f>IF(
    OR(ISBLANK(L541), ISBLANK(M541)),
    "",
    MAX(
        1,
        IF(
            NETWORKDAYS(L541, M541, Holiday_Dates) &lt;= 0,
            1,
            NETWORKDAYS(L541, M541, Holiday_Dates) - IF(L541 = M541, 0, 1)
        )
    )
)</f>
        <v/>
      </c>
      <c r="R541" s="385" t="str">
        <f>IFERROR(
    IF(
        OR(ISBLANK(N541), AND(ISBLANK(L541), ISBLANK(M541))),
        "",
        MAX(
            1,
            IF(
                NETWORKDAYS(IF(NOT(ISBLANK(M541)), M541, L541), N541, Holiday_Dates) &lt;= 0,
                1,
                NETWORKDAYS(IF(NOT(ISBLANK(M541)), M541, L541), N541, Holiday_Dates)
                - IF(IF(NOT(ISBLANK(M541)), M541, L541) = N541, 0, 1)
            )
        )
    ),
    ""
)</f>
        <v/>
      </c>
      <c r="S541" s="385" t="str">
        <f>IFERROR(
    IF(
        OR(ISBLANK(N541), ISBLANK(O541)),
        "",
        MAX(
            1,
            IF(
                NETWORKDAYS(N541, O541, Holiday_Dates) &lt;= 0,
                1,
                NETWORKDAYS(N541, O541, Holiday_Dates) - IF(N541 = O541, 0, 1)
            )
        )
    ),
    ""
)</f>
        <v/>
      </c>
      <c r="T541" s="385"/>
      <c r="U541" s="385" t="s">
        <v>672</v>
      </c>
      <c r="V541" s="385" t="s">
        <v>1676</v>
      </c>
      <c r="W541" s="385" t="s">
        <v>1436</v>
      </c>
      <c r="X541" s="1"/>
    </row>
    <row r="542" spans="1:24">
      <c r="A542" s="385" t="s">
        <v>49</v>
      </c>
      <c r="B542" s="385" t="s">
        <v>2352</v>
      </c>
      <c r="C542" s="385" t="s">
        <v>2376</v>
      </c>
      <c r="D542" s="385" t="s">
        <v>88</v>
      </c>
      <c r="E542" s="385"/>
      <c r="F542" s="385"/>
      <c r="G542" s="385"/>
      <c r="H542" s="385">
        <v>2025</v>
      </c>
      <c r="I542" s="386">
        <v>45931</v>
      </c>
      <c r="J542" s="30" t="s">
        <v>4805</v>
      </c>
      <c r="K542" s="385"/>
      <c r="L542" s="385"/>
      <c r="M542" s="385"/>
      <c r="N542" s="385"/>
      <c r="O542" s="385"/>
      <c r="P542" s="385" t="str">
        <f>IFERROR(
    IF(
        OR(ISBLANK(I542), ISBLANK(L542)),
        "",
        MAX(
            1,
            IF(
                NETWORKDAYS(I542, L542, Holiday_Dates) &lt;= 0,
                1,
                NETWORKDAYS(I542, L542, Holiday_Dates) - IF(I542 = L542, 0, 1)
            )
        )
    ),
    ""
)</f>
        <v/>
      </c>
      <c r="Q542" s="385" t="str">
        <f>IF(
    OR(ISBLANK(L542), ISBLANK(M542)),
    "",
    MAX(
        1,
        IF(
            NETWORKDAYS(L542, M542, Holiday_Dates) &lt;= 0,
            1,
            NETWORKDAYS(L542, M542, Holiday_Dates) - IF(L542 = M542, 0, 1)
        )
    )
)</f>
        <v/>
      </c>
      <c r="R542" s="385" t="str">
        <f>IFERROR(
    IF(
        OR(ISBLANK(N542), AND(ISBLANK(L542), ISBLANK(M542))),
        "",
        MAX(
            1,
            IF(
                NETWORKDAYS(IF(NOT(ISBLANK(M542)), M542, L542), N542, Holiday_Dates) &lt;= 0,
                1,
                NETWORKDAYS(IF(NOT(ISBLANK(M542)), M542, L542), N542, Holiday_Dates)
                - IF(IF(NOT(ISBLANK(M542)), M542, L542) = N542, 0, 1)
            )
        )
    ),
    ""
)</f>
        <v/>
      </c>
      <c r="S542" s="385" t="str">
        <f>IFERROR(
    IF(
        OR(ISBLANK(N542), ISBLANK(O542)),
        "",
        MAX(
            1,
            IF(
                NETWORKDAYS(N542, O542, Holiday_Dates) &lt;= 0,
                1,
                NETWORKDAYS(N542, O542, Holiday_Dates) - IF(N542 = O542, 0, 1)
            )
        )
    ),
    ""
)</f>
        <v/>
      </c>
      <c r="T542" s="385"/>
      <c r="U542" s="385" t="s">
        <v>4</v>
      </c>
      <c r="V542" s="385" t="s">
        <v>108</v>
      </c>
      <c r="W542" s="385" t="s">
        <v>1436</v>
      </c>
      <c r="X542" s="1"/>
    </row>
    <row r="543" spans="1:24">
      <c r="A543" s="385" t="s">
        <v>49</v>
      </c>
      <c r="B543" s="385" t="s">
        <v>2352</v>
      </c>
      <c r="C543" s="385" t="s">
        <v>2377</v>
      </c>
      <c r="D543" s="385" t="s">
        <v>88</v>
      </c>
      <c r="E543" s="385"/>
      <c r="F543" s="385"/>
      <c r="G543" s="385"/>
      <c r="H543" s="385">
        <v>2025</v>
      </c>
      <c r="I543" s="386">
        <v>45945</v>
      </c>
      <c r="J543" s="30" t="s">
        <v>4806</v>
      </c>
      <c r="K543" s="385"/>
      <c r="L543" s="385"/>
      <c r="M543" s="385"/>
      <c r="N543" s="385"/>
      <c r="O543" s="385"/>
      <c r="P543" s="385" t="str">
        <f>IFERROR(
    IF(
        OR(ISBLANK(I543), ISBLANK(L543)),
        "",
        MAX(
            1,
            IF(
                NETWORKDAYS(I543, L543, Holiday_Dates) &lt;= 0,
                1,
                NETWORKDAYS(I543, L543, Holiday_Dates) - IF(I543 = L543, 0, 1)
            )
        )
    ),
    ""
)</f>
        <v/>
      </c>
      <c r="Q543" s="385" t="str">
        <f>IF(
    OR(ISBLANK(L543), ISBLANK(M543)),
    "",
    MAX(
        1,
        IF(
            NETWORKDAYS(L543, M543, Holiday_Dates) &lt;= 0,
            1,
            NETWORKDAYS(L543, M543, Holiday_Dates) - IF(L543 = M543, 0, 1)
        )
    )
)</f>
        <v/>
      </c>
      <c r="R543" s="385" t="str">
        <f>IFERROR(
    IF(
        OR(ISBLANK(N543), AND(ISBLANK(L543), ISBLANK(M543))),
        "",
        MAX(
            1,
            IF(
                NETWORKDAYS(IF(NOT(ISBLANK(M543)), M543, L543), N543, Holiday_Dates) &lt;= 0,
                1,
                NETWORKDAYS(IF(NOT(ISBLANK(M543)), M543, L543), N543, Holiday_Dates)
                - IF(IF(NOT(ISBLANK(M543)), M543, L543) = N543, 0, 1)
            )
        )
    ),
    ""
)</f>
        <v/>
      </c>
      <c r="S543" s="385" t="str">
        <f>IFERROR(
    IF(
        OR(ISBLANK(N543), ISBLANK(O543)),
        "",
        MAX(
            1,
            IF(
                NETWORKDAYS(N543, O543, Holiday_Dates) &lt;= 0,
                1,
                NETWORKDAYS(N543, O543, Holiday_Dates) - IF(N543 = O543, 0, 1)
            )
        )
    ),
    ""
)</f>
        <v/>
      </c>
      <c r="T543" s="385"/>
      <c r="U543" s="385" t="s">
        <v>672</v>
      </c>
      <c r="V543" s="385" t="s">
        <v>1676</v>
      </c>
      <c r="W543" s="385" t="s">
        <v>1436</v>
      </c>
      <c r="X543" s="1"/>
    </row>
    <row r="544" spans="1:24">
      <c r="A544" s="385" t="s">
        <v>49</v>
      </c>
      <c r="B544" s="385" t="s">
        <v>2352</v>
      </c>
      <c r="C544" s="385" t="s">
        <v>2378</v>
      </c>
      <c r="D544" s="385" t="s">
        <v>88</v>
      </c>
      <c r="E544" s="385"/>
      <c r="F544" s="385"/>
      <c r="G544" s="385"/>
      <c r="H544" s="385">
        <v>2024</v>
      </c>
      <c r="I544" s="386">
        <v>45573</v>
      </c>
      <c r="J544" s="30"/>
      <c r="K544" s="385"/>
      <c r="L544" s="385"/>
      <c r="M544" s="385"/>
      <c r="N544" s="385"/>
      <c r="O544" s="385"/>
      <c r="P544" s="385" t="str">
        <f>IFERROR(
    IF(
        OR(ISBLANK(I544), ISBLANK(L544)),
        "",
        MAX(
            1,
            IF(
                NETWORKDAYS(I544, L544, Holiday_Dates) &lt;= 0,
                1,
                NETWORKDAYS(I544, L544, Holiday_Dates) - IF(I544 = L544, 0, 1)
            )
        )
    ),
    ""
)</f>
        <v/>
      </c>
      <c r="Q544" s="385" t="str">
        <f>IF(
    OR(ISBLANK(L544), ISBLANK(M544)),
    "",
    MAX(
        1,
        IF(
            NETWORKDAYS(L544, M544, Holiday_Dates) &lt;= 0,
            1,
            NETWORKDAYS(L544, M544, Holiday_Dates) - IF(L544 = M544, 0, 1)
        )
    )
)</f>
        <v/>
      </c>
      <c r="R544" s="385" t="str">
        <f>IFERROR(
    IF(
        OR(ISBLANK(N544), AND(ISBLANK(L544), ISBLANK(M544))),
        "",
        MAX(
            1,
            IF(
                NETWORKDAYS(IF(NOT(ISBLANK(M544)), M544, L544), N544, Holiday_Dates) &lt;= 0,
                1,
                NETWORKDAYS(IF(NOT(ISBLANK(M544)), M544, L544), N544, Holiday_Dates)
                - IF(IF(NOT(ISBLANK(M544)), M544, L544) = N544, 0, 1)
            )
        )
    ),
    ""
)</f>
        <v/>
      </c>
      <c r="S544" s="385" t="str">
        <f>IFERROR(
    IF(
        OR(ISBLANK(N544), ISBLANK(O544)),
        "",
        MAX(
            1,
            IF(
                NETWORKDAYS(N544, O544, Holiday_Dates) &lt;= 0,
                1,
                NETWORKDAYS(N544, O544, Holiday_Dates) - IF(N544 = O544, 0, 1)
            )
        )
    ),
    ""
)</f>
        <v/>
      </c>
      <c r="T544" s="385"/>
      <c r="U544" s="385" t="s">
        <v>672</v>
      </c>
      <c r="V544" s="385"/>
      <c r="W544" s="385" t="s">
        <v>1436</v>
      </c>
      <c r="X544" s="1"/>
    </row>
    <row r="545" spans="1:24">
      <c r="A545" s="385" t="s">
        <v>49</v>
      </c>
      <c r="B545" s="385" t="s">
        <v>2352</v>
      </c>
      <c r="C545" s="385" t="s">
        <v>1029</v>
      </c>
      <c r="D545" s="385" t="s">
        <v>88</v>
      </c>
      <c r="E545" s="385"/>
      <c r="F545" s="385"/>
      <c r="G545" s="385"/>
      <c r="H545" s="385">
        <v>2025</v>
      </c>
      <c r="I545" s="386">
        <v>45882</v>
      </c>
      <c r="J545" s="30" t="s">
        <v>4807</v>
      </c>
      <c r="K545" s="385"/>
      <c r="L545" s="385"/>
      <c r="M545" s="385"/>
      <c r="N545" s="385"/>
      <c r="O545" s="385"/>
      <c r="P545" s="385" t="str">
        <f>IFERROR(
    IF(
        OR(ISBLANK(I545), ISBLANK(L545)),
        "",
        MAX(
            1,
            IF(
                NETWORKDAYS(I545, L545, Holiday_Dates) &lt;= 0,
                1,
                NETWORKDAYS(I545, L545, Holiday_Dates) - IF(I545 = L545, 0, 1)
            )
        )
    ),
    ""
)</f>
        <v/>
      </c>
      <c r="Q545" s="385" t="str">
        <f>IF(
    OR(ISBLANK(L545), ISBLANK(M545)),
    "",
    MAX(
        1,
        IF(
            NETWORKDAYS(L545, M545, Holiday_Dates) &lt;= 0,
            1,
            NETWORKDAYS(L545, M545, Holiday_Dates) - IF(L545 = M545, 0, 1)
        )
    )
)</f>
        <v/>
      </c>
      <c r="R545" s="385" t="str">
        <f>IFERROR(
    IF(
        OR(ISBLANK(N545), AND(ISBLANK(L545), ISBLANK(M545))),
        "",
        MAX(
            1,
            IF(
                NETWORKDAYS(IF(NOT(ISBLANK(M545)), M545, L545), N545, Holiday_Dates) &lt;= 0,
                1,
                NETWORKDAYS(IF(NOT(ISBLANK(M545)), M545, L545), N545, Holiday_Dates)
                - IF(IF(NOT(ISBLANK(M545)), M545, L545) = N545, 0, 1)
            )
        )
    ),
    ""
)</f>
        <v/>
      </c>
      <c r="S545" s="385" t="str">
        <f>IFERROR(
    IF(
        OR(ISBLANK(N545), ISBLANK(O545)),
        "",
        MAX(
            1,
            IF(
                NETWORKDAYS(N545, O545, Holiday_Dates) &lt;= 0,
                1,
                NETWORKDAYS(N545, O545, Holiday_Dates) - IF(N545 = O545, 0, 1)
            )
        )
    ),
    ""
)</f>
        <v/>
      </c>
      <c r="T545" s="385"/>
      <c r="U545" s="385" t="s">
        <v>672</v>
      </c>
      <c r="V545" s="385" t="s">
        <v>101</v>
      </c>
      <c r="W545" s="385" t="s">
        <v>1436</v>
      </c>
      <c r="X545" s="1"/>
    </row>
    <row r="546" spans="1:24">
      <c r="A546" s="385" t="s">
        <v>49</v>
      </c>
      <c r="B546" s="385" t="s">
        <v>492</v>
      </c>
      <c r="C546" s="385" t="s">
        <v>2305</v>
      </c>
      <c r="D546" s="385" t="s">
        <v>88</v>
      </c>
      <c r="E546" s="385" t="s">
        <v>344</v>
      </c>
      <c r="F546" s="385"/>
      <c r="G546" s="385" t="s">
        <v>128</v>
      </c>
      <c r="H546" s="385">
        <v>2026</v>
      </c>
      <c r="I546" s="386">
        <v>46057</v>
      </c>
      <c r="J546" s="30" t="s">
        <v>4808</v>
      </c>
      <c r="K546" s="385" t="s">
        <v>62</v>
      </c>
      <c r="L546" s="386">
        <v>46058</v>
      </c>
      <c r="M546" s="385"/>
      <c r="N546" s="386">
        <v>46067</v>
      </c>
      <c r="O546" s="386">
        <v>46069</v>
      </c>
      <c r="P546" s="385">
        <f>IFERROR(
    IF(
        OR(ISBLANK(I546), ISBLANK(L546)),
        "",
        MAX(
            1,
            IF(
                NETWORKDAYS(I546, L546, Holiday_Dates) &lt;= 0,
                1,
                NETWORKDAYS(I546, L546, Holiday_Dates) - IF(I546 = L546, 0, 1)
            )
        )
    ),
    ""
)</f>
        <v>1</v>
      </c>
      <c r="Q546" s="385" t="str">
        <f>IF(
    OR(ISBLANK(L546), ISBLANK(M546)),
    "",
    MAX(
        1,
        IF(
            NETWORKDAYS(L546, M546, Holiday_Dates) &lt;= 0,
            1,
            NETWORKDAYS(L546, M546, Holiday_Dates) - IF(L546 = M546, 0, 1)
        )
    )
)</f>
        <v/>
      </c>
      <c r="R546" s="385">
        <f>IFERROR(
    IF(
        OR(ISBLANK(N546), AND(ISBLANK(L546), ISBLANK(M546))),
        "",
        MAX(
            1,
            IF(
                NETWORKDAYS(IF(NOT(ISBLANK(M546)), M546, L546), N546, Holiday_Dates) &lt;= 0,
                1,
                NETWORKDAYS(IF(NOT(ISBLANK(M546)), M546, L546), N546, Holiday_Dates)
                - IF(IF(NOT(ISBLANK(M546)), M546, L546) = N546, 0, 1)
            )
        )
    ),
    ""
)</f>
        <v>6</v>
      </c>
      <c r="S546" s="385">
        <f>IFERROR(
    IF(
        OR(ISBLANK(N546), ISBLANK(O546)),
        "",
        MAX(
            1,
            IF(
                NETWORKDAYS(N546, O546, Holiday_Dates) &lt;= 0,
                1,
                NETWORKDAYS(N546, O546, Holiday_Dates) - IF(N546 = O546, 0, 1)
            )
        )
    ),
    ""
)</f>
        <v>1</v>
      </c>
      <c r="T546" s="385" t="s">
        <v>929</v>
      </c>
      <c r="U546" s="385" t="s">
        <v>4616</v>
      </c>
      <c r="V546" s="385" t="s">
        <v>4809</v>
      </c>
      <c r="W546" s="385" t="s">
        <v>4710</v>
      </c>
      <c r="X546" s="1"/>
    </row>
    <row r="547" spans="1:24">
      <c r="A547" s="385" t="s">
        <v>49</v>
      </c>
      <c r="B547" s="385" t="s">
        <v>2352</v>
      </c>
      <c r="C547" s="385" t="s">
        <v>2381</v>
      </c>
      <c r="D547" s="385" t="s">
        <v>88</v>
      </c>
      <c r="E547" s="385"/>
      <c r="F547" s="385"/>
      <c r="G547" s="385"/>
      <c r="H547" s="385">
        <v>2025</v>
      </c>
      <c r="I547" s="386">
        <v>45882</v>
      </c>
      <c r="J547" s="30" t="s">
        <v>4810</v>
      </c>
      <c r="K547" s="385"/>
      <c r="L547" s="385"/>
      <c r="M547" s="385"/>
      <c r="N547" s="385"/>
      <c r="O547" s="385"/>
      <c r="P547" s="385" t="str">
        <f>IFERROR(
    IF(
        OR(ISBLANK(I547), ISBLANK(L547)),
        "",
        MAX(
            1,
            IF(
                NETWORKDAYS(I547, L547, Holiday_Dates) &lt;= 0,
                1,
                NETWORKDAYS(I547, L547, Holiday_Dates) - IF(I547 = L547, 0, 1)
            )
        )
    ),
    ""
)</f>
        <v/>
      </c>
      <c r="Q547" s="385" t="str">
        <f>IF(
    OR(ISBLANK(L547), ISBLANK(M547)),
    "",
    MAX(
        1,
        IF(
            NETWORKDAYS(L547, M547, Holiday_Dates) &lt;= 0,
            1,
            NETWORKDAYS(L547, M547, Holiday_Dates) - IF(L547 = M547, 0, 1)
        )
    )
)</f>
        <v/>
      </c>
      <c r="R547" s="385" t="str">
        <f>IFERROR(
    IF(
        OR(ISBLANK(N547), AND(ISBLANK(L547), ISBLANK(M547))),
        "",
        MAX(
            1,
            IF(
                NETWORKDAYS(IF(NOT(ISBLANK(M547)), M547, L547), N547, Holiday_Dates) &lt;= 0,
                1,
                NETWORKDAYS(IF(NOT(ISBLANK(M547)), M547, L547), N547, Holiday_Dates)
                - IF(IF(NOT(ISBLANK(M547)), M547, L547) = N547, 0, 1)
            )
        )
    ),
    ""
)</f>
        <v/>
      </c>
      <c r="S547" s="385" t="str">
        <f>IFERROR(
    IF(
        OR(ISBLANK(N547), ISBLANK(O547)),
        "",
        MAX(
            1,
            IF(
                NETWORKDAYS(N547, O547, Holiday_Dates) &lt;= 0,
                1,
                NETWORKDAYS(N547, O547, Holiday_Dates) - IF(N547 = O547, 0, 1)
            )
        )
    ),
    ""
)</f>
        <v/>
      </c>
      <c r="T547" s="385"/>
      <c r="U547" s="385" t="s">
        <v>4</v>
      </c>
      <c r="V547" s="385" t="s">
        <v>101</v>
      </c>
      <c r="W547" s="385" t="s">
        <v>1436</v>
      </c>
      <c r="X547" s="1"/>
    </row>
    <row r="548" spans="1:24">
      <c r="A548" s="385" t="s">
        <v>49</v>
      </c>
      <c r="B548" s="385" t="s">
        <v>2352</v>
      </c>
      <c r="C548" s="385" t="s">
        <v>2382</v>
      </c>
      <c r="D548" s="385" t="s">
        <v>88</v>
      </c>
      <c r="E548" s="385"/>
      <c r="F548" s="385"/>
      <c r="G548" s="385"/>
      <c r="H548" s="385">
        <v>2024</v>
      </c>
      <c r="I548" s="386">
        <v>45429</v>
      </c>
      <c r="J548" s="30"/>
      <c r="K548" s="385"/>
      <c r="L548" s="385"/>
      <c r="M548" s="385"/>
      <c r="N548" s="385"/>
      <c r="O548" s="385"/>
      <c r="P548" s="385" t="str">
        <f>IFERROR(
    IF(
        OR(ISBLANK(I548), ISBLANK(L548)),
        "",
        MAX(
            1,
            IF(
                NETWORKDAYS(I548, L548, Holiday_Dates) &lt;= 0,
                1,
                NETWORKDAYS(I548, L548, Holiday_Dates) - IF(I548 = L548, 0, 1)
            )
        )
    ),
    ""
)</f>
        <v/>
      </c>
      <c r="Q548" s="385" t="str">
        <f>IF(
    OR(ISBLANK(L548), ISBLANK(M548)),
    "",
    MAX(
        1,
        IF(
            NETWORKDAYS(L548, M548, Holiday_Dates) &lt;= 0,
            1,
            NETWORKDAYS(L548, M548, Holiday_Dates) - IF(L548 = M548, 0, 1)
        )
    )
)</f>
        <v/>
      </c>
      <c r="R548" s="385" t="str">
        <f>IFERROR(
    IF(
        OR(ISBLANK(N548), AND(ISBLANK(L548), ISBLANK(M548))),
        "",
        MAX(
            1,
            IF(
                NETWORKDAYS(IF(NOT(ISBLANK(M548)), M548, L548), N548, Holiday_Dates) &lt;= 0,
                1,
                NETWORKDAYS(IF(NOT(ISBLANK(M548)), M548, L548), N548, Holiday_Dates)
                - IF(IF(NOT(ISBLANK(M548)), M548, L548) = N548, 0, 1)
            )
        )
    ),
    ""
)</f>
        <v/>
      </c>
      <c r="S548" s="385" t="str">
        <f>IFERROR(
    IF(
        OR(ISBLANK(N548), ISBLANK(O548)),
        "",
        MAX(
            1,
            IF(
                NETWORKDAYS(N548, O548, Holiday_Dates) &lt;= 0,
                1,
                NETWORKDAYS(N548, O548, Holiday_Dates) - IF(N548 = O548, 0, 1)
            )
        )
    ),
    ""
)</f>
        <v/>
      </c>
      <c r="T548" s="385"/>
      <c r="U548" s="385" t="s">
        <v>672</v>
      </c>
      <c r="V548" s="385"/>
      <c r="W548" s="385" t="s">
        <v>1436</v>
      </c>
      <c r="X548" s="1"/>
    </row>
    <row r="549" spans="1:24">
      <c r="A549" s="385" t="s">
        <v>49</v>
      </c>
      <c r="B549" s="385" t="s">
        <v>492</v>
      </c>
      <c r="C549" s="385" t="s">
        <v>1288</v>
      </c>
      <c r="D549" s="385" t="s">
        <v>88</v>
      </c>
      <c r="E549" s="385" t="s">
        <v>344</v>
      </c>
      <c r="F549" s="385"/>
      <c r="G549" s="385" t="s">
        <v>128</v>
      </c>
      <c r="H549" s="385">
        <v>2026</v>
      </c>
      <c r="I549" s="386">
        <v>46057</v>
      </c>
      <c r="J549" s="30" t="s">
        <v>4811</v>
      </c>
      <c r="K549" s="385" t="s">
        <v>62</v>
      </c>
      <c r="L549" s="386">
        <v>46058</v>
      </c>
      <c r="M549" s="385"/>
      <c r="N549" s="386">
        <v>46067</v>
      </c>
      <c r="O549" s="386">
        <v>46069</v>
      </c>
      <c r="P549" s="385">
        <f>IFERROR(
    IF(
        OR(ISBLANK(I549), ISBLANK(L549)),
        "",
        MAX(
            1,
            IF(
                NETWORKDAYS(I549, L549, Holiday_Dates) &lt;= 0,
                1,
                NETWORKDAYS(I549, L549, Holiday_Dates) - IF(I549 = L549, 0, 1)
            )
        )
    ),
    ""
)</f>
        <v>1</v>
      </c>
      <c r="Q549" s="385" t="str">
        <f>IF(
    OR(ISBLANK(L549), ISBLANK(M549)),
    "",
    MAX(
        1,
        IF(
            NETWORKDAYS(L549, M549, Holiday_Dates) &lt;= 0,
            1,
            NETWORKDAYS(L549, M549, Holiday_Dates) - IF(L549 = M549, 0, 1)
        )
    )
)</f>
        <v/>
      </c>
      <c r="R549" s="385">
        <f>IFERROR(
    IF(
        OR(ISBLANK(N549), AND(ISBLANK(L549), ISBLANK(M549))),
        "",
        MAX(
            1,
            IF(
                NETWORKDAYS(IF(NOT(ISBLANK(M549)), M549, L549), N549, Holiday_Dates) &lt;= 0,
                1,
                NETWORKDAYS(IF(NOT(ISBLANK(M549)), M549, L549), N549, Holiday_Dates)
                - IF(IF(NOT(ISBLANK(M549)), M549, L549) = N549, 0, 1)
            )
        )
    ),
    ""
)</f>
        <v>6</v>
      </c>
      <c r="S549" s="385">
        <f>IFERROR(
    IF(
        OR(ISBLANK(N549), ISBLANK(O549)),
        "",
        MAX(
            1,
            IF(
                NETWORKDAYS(N549, O549, Holiday_Dates) &lt;= 0,
                1,
                NETWORKDAYS(N549, O549, Holiday_Dates) - IF(N549 = O549, 0, 1)
            )
        )
    ),
    ""
)</f>
        <v>1</v>
      </c>
      <c r="T549" s="385" t="s">
        <v>929</v>
      </c>
      <c r="U549" s="385" t="s">
        <v>4616</v>
      </c>
      <c r="V549" s="385" t="s">
        <v>4809</v>
      </c>
      <c r="W549" s="385" t="s">
        <v>4710</v>
      </c>
      <c r="X549" s="1"/>
    </row>
    <row r="550" spans="1:24">
      <c r="A550" s="385" t="s">
        <v>49</v>
      </c>
      <c r="B550" s="385" t="s">
        <v>492</v>
      </c>
      <c r="C550" s="385" t="s">
        <v>2320</v>
      </c>
      <c r="D550" s="385" t="s">
        <v>88</v>
      </c>
      <c r="E550" s="385" t="s">
        <v>344</v>
      </c>
      <c r="F550" s="385"/>
      <c r="G550" s="385" t="s">
        <v>128</v>
      </c>
      <c r="H550" s="385">
        <v>2026</v>
      </c>
      <c r="I550" s="386">
        <v>46057</v>
      </c>
      <c r="J550" s="30" t="s">
        <v>4812</v>
      </c>
      <c r="K550" s="385" t="s">
        <v>62</v>
      </c>
      <c r="L550" s="386">
        <v>46058</v>
      </c>
      <c r="M550" s="385"/>
      <c r="N550" s="386">
        <v>46067</v>
      </c>
      <c r="O550" s="386">
        <v>46069</v>
      </c>
      <c r="P550" s="385">
        <f>IFERROR(
    IF(
        OR(ISBLANK(I550), ISBLANK(L550)),
        "",
        MAX(
            1,
            IF(
                NETWORKDAYS(I550, L550, Holiday_Dates) &lt;= 0,
                1,
                NETWORKDAYS(I550, L550, Holiday_Dates) - IF(I550 = L550, 0, 1)
            )
        )
    ),
    ""
)</f>
        <v>1</v>
      </c>
      <c r="Q550" s="385" t="str">
        <f>IF(
    OR(ISBLANK(L550), ISBLANK(M550)),
    "",
    MAX(
        1,
        IF(
            NETWORKDAYS(L550, M550, Holiday_Dates) &lt;= 0,
            1,
            NETWORKDAYS(L550, M550, Holiday_Dates) - IF(L550 = M550, 0, 1)
        )
    )
)</f>
        <v/>
      </c>
      <c r="R550" s="385">
        <f>IFERROR(
    IF(
        OR(ISBLANK(N550), AND(ISBLANK(L550), ISBLANK(M550))),
        "",
        MAX(
            1,
            IF(
                NETWORKDAYS(IF(NOT(ISBLANK(M550)), M550, L550), N550, Holiday_Dates) &lt;= 0,
                1,
                NETWORKDAYS(IF(NOT(ISBLANK(M550)), M550, L550), N550, Holiday_Dates)
                - IF(IF(NOT(ISBLANK(M550)), M550, L550) = N550, 0, 1)
            )
        )
    ),
    ""
)</f>
        <v>6</v>
      </c>
      <c r="S550" s="385">
        <f>IFERROR(
    IF(
        OR(ISBLANK(N550), ISBLANK(O550)),
        "",
        MAX(
            1,
            IF(
                NETWORKDAYS(N550, O550, Holiday_Dates) &lt;= 0,
                1,
                NETWORKDAYS(N550, O550, Holiday_Dates) - IF(N550 = O550, 0, 1)
            )
        )
    ),
    ""
)</f>
        <v>1</v>
      </c>
      <c r="T550" s="385" t="s">
        <v>929</v>
      </c>
      <c r="U550" s="385" t="s">
        <v>4616</v>
      </c>
      <c r="V550" s="385" t="s">
        <v>4809</v>
      </c>
      <c r="W550" s="385" t="s">
        <v>4710</v>
      </c>
      <c r="X550" s="1"/>
    </row>
    <row r="551" spans="1:24">
      <c r="A551" s="385" t="s">
        <v>49</v>
      </c>
      <c r="B551" s="385" t="s">
        <v>2352</v>
      </c>
      <c r="C551" s="385" t="s">
        <v>2385</v>
      </c>
      <c r="D551" s="385" t="s">
        <v>88</v>
      </c>
      <c r="E551" s="385"/>
      <c r="F551" s="385"/>
      <c r="G551" s="385"/>
      <c r="H551" s="385">
        <v>2024</v>
      </c>
      <c r="I551" s="386">
        <v>45609</v>
      </c>
      <c r="J551" s="30"/>
      <c r="K551" s="385"/>
      <c r="L551" s="385"/>
      <c r="M551" s="385"/>
      <c r="N551" s="385"/>
      <c r="O551" s="385"/>
      <c r="P551" s="385" t="str">
        <f>IFERROR(
    IF(
        OR(ISBLANK(I551), ISBLANK(L551)),
        "",
        MAX(
            1,
            IF(
                NETWORKDAYS(I551, L551, Holiday_Dates) &lt;= 0,
                1,
                NETWORKDAYS(I551, L551, Holiday_Dates) - IF(I551 = L551, 0, 1)
            )
        )
    ),
    ""
)</f>
        <v/>
      </c>
      <c r="Q551" s="385" t="str">
        <f>IF(
    OR(ISBLANK(L551), ISBLANK(M551)),
    "",
    MAX(
        1,
        IF(
            NETWORKDAYS(L551, M551, Holiday_Dates) &lt;= 0,
            1,
            NETWORKDAYS(L551, M551, Holiday_Dates) - IF(L551 = M551, 0, 1)
        )
    )
)</f>
        <v/>
      </c>
      <c r="R551" s="385" t="str">
        <f>IFERROR(
    IF(
        OR(ISBLANK(N551), AND(ISBLANK(L551), ISBLANK(M551))),
        "",
        MAX(
            1,
            IF(
                NETWORKDAYS(IF(NOT(ISBLANK(M551)), M551, L551), N551, Holiday_Dates) &lt;= 0,
                1,
                NETWORKDAYS(IF(NOT(ISBLANK(M551)), M551, L551), N551, Holiday_Dates)
                - IF(IF(NOT(ISBLANK(M551)), M551, L551) = N551, 0, 1)
            )
        )
    ),
    ""
)</f>
        <v/>
      </c>
      <c r="S551" s="385" t="str">
        <f>IFERROR(
    IF(
        OR(ISBLANK(N551), ISBLANK(O551)),
        "",
        MAX(
            1,
            IF(
                NETWORKDAYS(N551, O551, Holiday_Dates) &lt;= 0,
                1,
                NETWORKDAYS(N551, O551, Holiday_Dates) - IF(N551 = O551, 0, 1)
            )
        )
    ),
    ""
)</f>
        <v/>
      </c>
      <c r="T551" s="385"/>
      <c r="U551" s="385" t="s">
        <v>4</v>
      </c>
      <c r="V551" s="385" t="s">
        <v>101</v>
      </c>
      <c r="W551" s="385" t="s">
        <v>1436</v>
      </c>
      <c r="X551" s="1"/>
    </row>
    <row r="552" spans="1:24">
      <c r="A552" s="385" t="s">
        <v>49</v>
      </c>
      <c r="B552" s="385" t="s">
        <v>2352</v>
      </c>
      <c r="C552" s="385" t="s">
        <v>2387</v>
      </c>
      <c r="D552" s="385" t="s">
        <v>88</v>
      </c>
      <c r="E552" s="385"/>
      <c r="F552" s="385"/>
      <c r="G552" s="385"/>
      <c r="H552" s="385">
        <v>2025</v>
      </c>
      <c r="I552" s="386">
        <v>45723</v>
      </c>
      <c r="J552" s="30" t="s">
        <v>4813</v>
      </c>
      <c r="K552" s="385"/>
      <c r="L552" s="385"/>
      <c r="M552" s="385"/>
      <c r="N552" s="385"/>
      <c r="O552" s="385"/>
      <c r="P552" s="385" t="str">
        <f>IFERROR(
    IF(
        OR(ISBLANK(I552), ISBLANK(L552)),
        "",
        MAX(
            1,
            IF(
                NETWORKDAYS(I552, L552, Holiday_Dates) &lt;= 0,
                1,
                NETWORKDAYS(I552, L552, Holiday_Dates) - IF(I552 = L552, 0, 1)
            )
        )
    ),
    ""
)</f>
        <v/>
      </c>
      <c r="Q552" s="385" t="str">
        <f>IF(
    OR(ISBLANK(L552), ISBLANK(M552)),
    "",
    MAX(
        1,
        IF(
            NETWORKDAYS(L552, M552, Holiday_Dates) &lt;= 0,
            1,
            NETWORKDAYS(L552, M552, Holiday_Dates) - IF(L552 = M552, 0, 1)
        )
    )
)</f>
        <v/>
      </c>
      <c r="R552" s="385" t="str">
        <f>IFERROR(
    IF(
        OR(ISBLANK(N552), AND(ISBLANK(L552), ISBLANK(M552))),
        "",
        MAX(
            1,
            IF(
                NETWORKDAYS(IF(NOT(ISBLANK(M552)), M552, L552), N552, Holiday_Dates) &lt;= 0,
                1,
                NETWORKDAYS(IF(NOT(ISBLANK(M552)), M552, L552), N552, Holiday_Dates)
                - IF(IF(NOT(ISBLANK(M552)), M552, L552) = N552, 0, 1)
            )
        )
    ),
    ""
)</f>
        <v/>
      </c>
      <c r="S552" s="385" t="str">
        <f>IFERROR(
    IF(
        OR(ISBLANK(N552), ISBLANK(O552)),
        "",
        MAX(
            1,
            IF(
                NETWORKDAYS(N552, O552, Holiday_Dates) &lt;= 0,
                1,
                NETWORKDAYS(N552, O552, Holiday_Dates) - IF(N552 = O552, 0, 1)
            )
        )
    ),
    ""
)</f>
        <v/>
      </c>
      <c r="T552" s="385"/>
      <c r="U552" s="385" t="s">
        <v>672</v>
      </c>
      <c r="V552" s="385" t="s">
        <v>1676</v>
      </c>
      <c r="W552" s="385" t="s">
        <v>1436</v>
      </c>
      <c r="X552" s="1"/>
    </row>
    <row r="553" spans="1:24">
      <c r="A553" s="385" t="s">
        <v>49</v>
      </c>
      <c r="B553" s="385" t="s">
        <v>2352</v>
      </c>
      <c r="C553" s="385" t="s">
        <v>2388</v>
      </c>
      <c r="D553" s="385" t="s">
        <v>88</v>
      </c>
      <c r="E553" s="385"/>
      <c r="F553" s="385"/>
      <c r="G553" s="385"/>
      <c r="H553" s="385">
        <v>2025</v>
      </c>
      <c r="I553" s="386">
        <v>45909</v>
      </c>
      <c r="J553" s="30" t="s">
        <v>4814</v>
      </c>
      <c r="K553" s="385"/>
      <c r="L553" s="385"/>
      <c r="M553" s="385"/>
      <c r="N553" s="385"/>
      <c r="O553" s="385"/>
      <c r="P553" s="385" t="str">
        <f>IFERROR(
    IF(
        OR(ISBLANK(I553), ISBLANK(L553)),
        "",
        MAX(
            1,
            IF(
                NETWORKDAYS(I553, L553, Holiday_Dates) &lt;= 0,
                1,
                NETWORKDAYS(I553, L553, Holiday_Dates) - IF(I553 = L553, 0, 1)
            )
        )
    ),
    ""
)</f>
        <v/>
      </c>
      <c r="Q553" s="385" t="str">
        <f>IF(
    OR(ISBLANK(L553), ISBLANK(M553)),
    "",
    MAX(
        1,
        IF(
            NETWORKDAYS(L553, M553, Holiday_Dates) &lt;= 0,
            1,
            NETWORKDAYS(L553, M553, Holiday_Dates) - IF(L553 = M553, 0, 1)
        )
    )
)</f>
        <v/>
      </c>
      <c r="R553" s="385" t="str">
        <f>IFERROR(
    IF(
        OR(ISBLANK(N553), AND(ISBLANK(L553), ISBLANK(M553))),
        "",
        MAX(
            1,
            IF(
                NETWORKDAYS(IF(NOT(ISBLANK(M553)), M553, L553), N553, Holiday_Dates) &lt;= 0,
                1,
                NETWORKDAYS(IF(NOT(ISBLANK(M553)), M553, L553), N553, Holiday_Dates)
                - IF(IF(NOT(ISBLANK(M553)), M553, L553) = N553, 0, 1)
            )
        )
    ),
    ""
)</f>
        <v/>
      </c>
      <c r="S553" s="385" t="str">
        <f>IFERROR(
    IF(
        OR(ISBLANK(N553), ISBLANK(O553)),
        "",
        MAX(
            1,
            IF(
                NETWORKDAYS(N553, O553, Holiday_Dates) &lt;= 0,
                1,
                NETWORKDAYS(N553, O553, Holiday_Dates) - IF(N553 = O553, 0, 1)
            )
        )
    ),
    ""
)</f>
        <v/>
      </c>
      <c r="T553" s="385"/>
      <c r="U553" s="385" t="s">
        <v>672</v>
      </c>
      <c r="V553" s="385" t="s">
        <v>101</v>
      </c>
      <c r="W553" s="385" t="s">
        <v>1436</v>
      </c>
      <c r="X553" s="1"/>
    </row>
    <row r="554" spans="1:24">
      <c r="A554" s="385" t="s">
        <v>49</v>
      </c>
      <c r="B554" s="385" t="s">
        <v>2352</v>
      </c>
      <c r="C554" s="385" t="s">
        <v>2342</v>
      </c>
      <c r="D554" s="385" t="s">
        <v>88</v>
      </c>
      <c r="E554" s="385"/>
      <c r="F554" s="385"/>
      <c r="G554" s="385"/>
      <c r="H554" s="385">
        <v>2024</v>
      </c>
      <c r="I554" s="386">
        <v>45427</v>
      </c>
      <c r="J554" s="30"/>
      <c r="K554" s="385"/>
      <c r="L554" s="385"/>
      <c r="M554" s="385"/>
      <c r="N554" s="385"/>
      <c r="O554" s="385"/>
      <c r="P554" s="385" t="str">
        <f>IFERROR(
    IF(
        OR(ISBLANK(I554), ISBLANK(L554)),
        "",
        MAX(
            1,
            IF(
                NETWORKDAYS(I554, L554, Holiday_Dates) &lt;= 0,
                1,
                NETWORKDAYS(I554, L554, Holiday_Dates) - IF(I554 = L554, 0, 1)
            )
        )
    ),
    ""
)</f>
        <v/>
      </c>
      <c r="Q554" s="385" t="str">
        <f>IF(
    OR(ISBLANK(L554), ISBLANK(M554)),
    "",
    MAX(
        1,
        IF(
            NETWORKDAYS(L554, M554, Holiday_Dates) &lt;= 0,
            1,
            NETWORKDAYS(L554, M554, Holiday_Dates) - IF(L554 = M554, 0, 1)
        )
    )
)</f>
        <v/>
      </c>
      <c r="R554" s="385" t="str">
        <f>IFERROR(
    IF(
        OR(ISBLANK(N554), AND(ISBLANK(L554), ISBLANK(M554))),
        "",
        MAX(
            1,
            IF(
                NETWORKDAYS(IF(NOT(ISBLANK(M554)), M554, L554), N554, Holiday_Dates) &lt;= 0,
                1,
                NETWORKDAYS(IF(NOT(ISBLANK(M554)), M554, L554), N554, Holiday_Dates)
                - IF(IF(NOT(ISBLANK(M554)), M554, L554) = N554, 0, 1)
            )
        )
    ),
    ""
)</f>
        <v/>
      </c>
      <c r="S554" s="385" t="str">
        <f>IFERROR(
    IF(
        OR(ISBLANK(N554), ISBLANK(O554)),
        "",
        MAX(
            1,
            IF(
                NETWORKDAYS(N554, O554, Holiday_Dates) &lt;= 0,
                1,
                NETWORKDAYS(N554, O554, Holiday_Dates) - IF(N554 = O554, 0, 1)
            )
        )
    ),
    ""
)</f>
        <v/>
      </c>
      <c r="T554" s="385"/>
      <c r="U554" s="385" t="s">
        <v>672</v>
      </c>
      <c r="V554" s="385"/>
      <c r="W554" s="385" t="s">
        <v>1436</v>
      </c>
      <c r="X554" s="1"/>
    </row>
    <row r="555" spans="1:24">
      <c r="A555" s="385" t="s">
        <v>49</v>
      </c>
      <c r="B555" s="385" t="s">
        <v>2352</v>
      </c>
      <c r="C555" s="385" t="s">
        <v>2390</v>
      </c>
      <c r="D555" s="385" t="s">
        <v>88</v>
      </c>
      <c r="E555" s="385"/>
      <c r="F555" s="385"/>
      <c r="G555" s="385"/>
      <c r="H555" s="385">
        <v>2024</v>
      </c>
      <c r="I555" s="386">
        <v>45603</v>
      </c>
      <c r="J555" s="30"/>
      <c r="K555" s="385"/>
      <c r="L555" s="385"/>
      <c r="M555" s="385"/>
      <c r="N555" s="385"/>
      <c r="O555" s="385"/>
      <c r="P555" s="385" t="str">
        <f>IFERROR(
    IF(
        OR(ISBLANK(I555), ISBLANK(L555)),
        "",
        MAX(
            1,
            IF(
                NETWORKDAYS(I555, L555, Holiday_Dates) &lt;= 0,
                1,
                NETWORKDAYS(I555, L555, Holiday_Dates) - IF(I555 = L555, 0, 1)
            )
        )
    ),
    ""
)</f>
        <v/>
      </c>
      <c r="Q555" s="385" t="str">
        <f>IF(
    OR(ISBLANK(L555), ISBLANK(M555)),
    "",
    MAX(
        1,
        IF(
            NETWORKDAYS(L555, M555, Holiday_Dates) &lt;= 0,
            1,
            NETWORKDAYS(L555, M555, Holiday_Dates) - IF(L555 = M555, 0, 1)
        )
    )
)</f>
        <v/>
      </c>
      <c r="R555" s="385" t="str">
        <f>IFERROR(
    IF(
        OR(ISBLANK(N555), AND(ISBLANK(L555), ISBLANK(M555))),
        "",
        MAX(
            1,
            IF(
                NETWORKDAYS(IF(NOT(ISBLANK(M555)), M555, L555), N555, Holiday_Dates) &lt;= 0,
                1,
                NETWORKDAYS(IF(NOT(ISBLANK(M555)), M555, L555), N555, Holiday_Dates)
                - IF(IF(NOT(ISBLANK(M555)), M555, L555) = N555, 0, 1)
            )
        )
    ),
    ""
)</f>
        <v/>
      </c>
      <c r="S555" s="385" t="str">
        <f>IFERROR(
    IF(
        OR(ISBLANK(N555), ISBLANK(O555)),
        "",
        MAX(
            1,
            IF(
                NETWORKDAYS(N555, O555, Holiday_Dates) &lt;= 0,
                1,
                NETWORKDAYS(N555, O555, Holiday_Dates) - IF(N555 = O555, 0, 1)
            )
        )
    ),
    ""
)</f>
        <v/>
      </c>
      <c r="T555" s="385"/>
      <c r="U555" s="385" t="s">
        <v>672</v>
      </c>
      <c r="V555" s="385" t="s">
        <v>1676</v>
      </c>
      <c r="W555" s="385" t="s">
        <v>1436</v>
      </c>
      <c r="X555" s="1"/>
    </row>
    <row r="556" spans="1:24">
      <c r="A556" s="385" t="s">
        <v>49</v>
      </c>
      <c r="B556" s="385" t="s">
        <v>2352</v>
      </c>
      <c r="C556" s="385" t="s">
        <v>764</v>
      </c>
      <c r="D556" s="385" t="s">
        <v>88</v>
      </c>
      <c r="E556" s="385"/>
      <c r="F556" s="385"/>
      <c r="G556" s="385"/>
      <c r="H556" s="385">
        <v>2024</v>
      </c>
      <c r="I556" s="386">
        <v>45604</v>
      </c>
      <c r="J556" s="30"/>
      <c r="K556" s="385"/>
      <c r="L556" s="385"/>
      <c r="M556" s="385"/>
      <c r="N556" s="385"/>
      <c r="O556" s="385"/>
      <c r="P556" s="385" t="str">
        <f>IFERROR(
    IF(
        OR(ISBLANK(I556), ISBLANK(L556)),
        "",
        MAX(
            1,
            IF(
                NETWORKDAYS(I556, L556, Holiday_Dates) &lt;= 0,
                1,
                NETWORKDAYS(I556, L556, Holiday_Dates) - IF(I556 = L556, 0, 1)
            )
        )
    ),
    ""
)</f>
        <v/>
      </c>
      <c r="Q556" s="385" t="str">
        <f>IF(
    OR(ISBLANK(L556), ISBLANK(M556)),
    "",
    MAX(
        1,
        IF(
            NETWORKDAYS(L556, M556, Holiday_Dates) &lt;= 0,
            1,
            NETWORKDAYS(L556, M556, Holiday_Dates) - IF(L556 = M556, 0, 1)
        )
    )
)</f>
        <v/>
      </c>
      <c r="R556" s="385" t="str">
        <f>IFERROR(
    IF(
        OR(ISBLANK(N556), AND(ISBLANK(L556), ISBLANK(M556))),
        "",
        MAX(
            1,
            IF(
                NETWORKDAYS(IF(NOT(ISBLANK(M556)), M556, L556), N556, Holiday_Dates) &lt;= 0,
                1,
                NETWORKDAYS(IF(NOT(ISBLANK(M556)), M556, L556), N556, Holiday_Dates)
                - IF(IF(NOT(ISBLANK(M556)), M556, L556) = N556, 0, 1)
            )
        )
    ),
    ""
)</f>
        <v/>
      </c>
      <c r="S556" s="385" t="str">
        <f>IFERROR(
    IF(
        OR(ISBLANK(N556), ISBLANK(O556)),
        "",
        MAX(
            1,
            IF(
                NETWORKDAYS(N556, O556, Holiday_Dates) &lt;= 0,
                1,
                NETWORKDAYS(N556, O556, Holiday_Dates) - IF(N556 = O556, 0, 1)
            )
        )
    ),
    ""
)</f>
        <v/>
      </c>
      <c r="T556" s="385"/>
      <c r="U556" s="385" t="s">
        <v>672</v>
      </c>
      <c r="V556" s="385" t="s">
        <v>1676</v>
      </c>
      <c r="W556" s="385" t="s">
        <v>1436</v>
      </c>
      <c r="X556" s="1"/>
    </row>
    <row r="557" spans="1:24">
      <c r="A557" s="385" t="s">
        <v>49</v>
      </c>
      <c r="B557" s="385" t="s">
        <v>2352</v>
      </c>
      <c r="C557" s="385" t="s">
        <v>1873</v>
      </c>
      <c r="D557" s="385" t="s">
        <v>88</v>
      </c>
      <c r="E557" s="385"/>
      <c r="F557" s="385"/>
      <c r="G557" s="385"/>
      <c r="H557" s="385">
        <v>2024</v>
      </c>
      <c r="I557" s="386">
        <v>45603</v>
      </c>
      <c r="J557" s="30"/>
      <c r="K557" s="385"/>
      <c r="L557" s="385"/>
      <c r="M557" s="385"/>
      <c r="N557" s="385"/>
      <c r="O557" s="385"/>
      <c r="P557" s="385" t="str">
        <f>IFERROR(
    IF(
        OR(ISBLANK(I557), ISBLANK(L557)),
        "",
        MAX(
            1,
            IF(
                NETWORKDAYS(I557, L557, Holiday_Dates) &lt;= 0,
                1,
                NETWORKDAYS(I557, L557, Holiday_Dates) - IF(I557 = L557, 0, 1)
            )
        )
    ),
    ""
)</f>
        <v/>
      </c>
      <c r="Q557" s="385" t="str">
        <f>IF(
    OR(ISBLANK(L557), ISBLANK(M557)),
    "",
    MAX(
        1,
        IF(
            NETWORKDAYS(L557, M557, Holiday_Dates) &lt;= 0,
            1,
            NETWORKDAYS(L557, M557, Holiday_Dates) - IF(L557 = M557, 0, 1)
        )
    )
)</f>
        <v/>
      </c>
      <c r="R557" s="385" t="str">
        <f>IFERROR(
    IF(
        OR(ISBLANK(N557), AND(ISBLANK(L557), ISBLANK(M557))),
        "",
        MAX(
            1,
            IF(
                NETWORKDAYS(IF(NOT(ISBLANK(M557)), M557, L557), N557, Holiday_Dates) &lt;= 0,
                1,
                NETWORKDAYS(IF(NOT(ISBLANK(M557)), M557, L557), N557, Holiday_Dates)
                - IF(IF(NOT(ISBLANK(M557)), M557, L557) = N557, 0, 1)
            )
        )
    ),
    ""
)</f>
        <v/>
      </c>
      <c r="S557" s="385" t="str">
        <f>IFERROR(
    IF(
        OR(ISBLANK(N557), ISBLANK(O557)),
        "",
        MAX(
            1,
            IF(
                NETWORKDAYS(N557, O557, Holiday_Dates) &lt;= 0,
                1,
                NETWORKDAYS(N557, O557, Holiday_Dates) - IF(N557 = O557, 0, 1)
            )
        )
    ),
    ""
)</f>
        <v/>
      </c>
      <c r="T557" s="385"/>
      <c r="U557" s="385" t="s">
        <v>672</v>
      </c>
      <c r="V557" s="385" t="s">
        <v>1676</v>
      </c>
      <c r="W557" s="385" t="s">
        <v>1436</v>
      </c>
      <c r="X557" s="1"/>
    </row>
    <row r="558" spans="1:24">
      <c r="A558" s="385" t="s">
        <v>49</v>
      </c>
      <c r="B558" s="385" t="s">
        <v>2352</v>
      </c>
      <c r="C558" s="385" t="s">
        <v>2117</v>
      </c>
      <c r="D558" s="385" t="s">
        <v>88</v>
      </c>
      <c r="E558" s="385"/>
      <c r="F558" s="385"/>
      <c r="G558" s="385"/>
      <c r="H558" s="385">
        <v>2025</v>
      </c>
      <c r="I558" s="386">
        <v>45855</v>
      </c>
      <c r="J558" s="30" t="s">
        <v>4815</v>
      </c>
      <c r="K558" s="385"/>
      <c r="L558" s="385"/>
      <c r="M558" s="385"/>
      <c r="N558" s="385"/>
      <c r="O558" s="385"/>
      <c r="P558" s="385" t="str">
        <f>IFERROR(
    IF(
        OR(ISBLANK(I558), ISBLANK(L558)),
        "",
        MAX(
            1,
            IF(
                NETWORKDAYS(I558, L558, Holiday_Dates) &lt;= 0,
                1,
                NETWORKDAYS(I558, L558, Holiday_Dates) - IF(I558 = L558, 0, 1)
            )
        )
    ),
    ""
)</f>
        <v/>
      </c>
      <c r="Q558" s="385" t="str">
        <f>IF(
    OR(ISBLANK(L558), ISBLANK(M558)),
    "",
    MAX(
        1,
        IF(
            NETWORKDAYS(L558, M558, Holiday_Dates) &lt;= 0,
            1,
            NETWORKDAYS(L558, M558, Holiday_Dates) - IF(L558 = M558, 0, 1)
        )
    )
)</f>
        <v/>
      </c>
      <c r="R558" s="385" t="str">
        <f>IFERROR(
    IF(
        OR(ISBLANK(N558), AND(ISBLANK(L558), ISBLANK(M558))),
        "",
        MAX(
            1,
            IF(
                NETWORKDAYS(IF(NOT(ISBLANK(M558)), M558, L558), N558, Holiday_Dates) &lt;= 0,
                1,
                NETWORKDAYS(IF(NOT(ISBLANK(M558)), M558, L558), N558, Holiday_Dates)
                - IF(IF(NOT(ISBLANK(M558)), M558, L558) = N558, 0, 1)
            )
        )
    ),
    ""
)</f>
        <v/>
      </c>
      <c r="S558" s="385" t="str">
        <f>IFERROR(
    IF(
        OR(ISBLANK(N558), ISBLANK(O558)),
        "",
        MAX(
            1,
            IF(
                NETWORKDAYS(N558, O558, Holiday_Dates) &lt;= 0,
                1,
                NETWORKDAYS(N558, O558, Holiday_Dates) - IF(N558 = O558, 0, 1)
            )
        )
    ),
    ""
)</f>
        <v/>
      </c>
      <c r="T558" s="385"/>
      <c r="U558" s="385" t="s">
        <v>672</v>
      </c>
      <c r="V558" s="385" t="s">
        <v>101</v>
      </c>
      <c r="W558" s="385" t="s">
        <v>1436</v>
      </c>
      <c r="X558" s="1"/>
    </row>
    <row r="559" spans="1:24">
      <c r="A559" s="385" t="s">
        <v>49</v>
      </c>
      <c r="B559" s="385" t="s">
        <v>2352</v>
      </c>
      <c r="C559" s="385" t="s">
        <v>1020</v>
      </c>
      <c r="D559" s="385" t="s">
        <v>88</v>
      </c>
      <c r="E559" s="385"/>
      <c r="F559" s="385"/>
      <c r="G559" s="385"/>
      <c r="H559" s="385">
        <v>2025</v>
      </c>
      <c r="I559" s="386">
        <v>45931</v>
      </c>
      <c r="J559" s="30" t="s">
        <v>4816</v>
      </c>
      <c r="K559" s="385"/>
      <c r="L559" s="385"/>
      <c r="M559" s="385"/>
      <c r="N559" s="385"/>
      <c r="O559" s="385"/>
      <c r="P559" s="385" t="str">
        <f>IFERROR(
    IF(
        OR(ISBLANK(I559), ISBLANK(L559)),
        "",
        MAX(
            1,
            IF(
                NETWORKDAYS(I559, L559, Holiday_Dates) &lt;= 0,
                1,
                NETWORKDAYS(I559, L559, Holiday_Dates) - IF(I559 = L559, 0, 1)
            )
        )
    ),
    ""
)</f>
        <v/>
      </c>
      <c r="Q559" s="385" t="str">
        <f>IF(
    OR(ISBLANK(L559), ISBLANK(M559)),
    "",
    MAX(
        1,
        IF(
            NETWORKDAYS(L559, M559, Holiday_Dates) &lt;= 0,
            1,
            NETWORKDAYS(L559, M559, Holiday_Dates) - IF(L559 = M559, 0, 1)
        )
    )
)</f>
        <v/>
      </c>
      <c r="R559" s="385" t="str">
        <f>IFERROR(
    IF(
        OR(ISBLANK(N559), AND(ISBLANK(L559), ISBLANK(M559))),
        "",
        MAX(
            1,
            IF(
                NETWORKDAYS(IF(NOT(ISBLANK(M559)), M559, L559), N559, Holiday_Dates) &lt;= 0,
                1,
                NETWORKDAYS(IF(NOT(ISBLANK(M559)), M559, L559), N559, Holiday_Dates)
                - IF(IF(NOT(ISBLANK(M559)), M559, L559) = N559, 0, 1)
            )
        )
    ),
    ""
)</f>
        <v/>
      </c>
      <c r="S559" s="385" t="str">
        <f>IFERROR(
    IF(
        OR(ISBLANK(N559), ISBLANK(O559)),
        "",
        MAX(
            1,
            IF(
                NETWORKDAYS(N559, O559, Holiday_Dates) &lt;= 0,
                1,
                NETWORKDAYS(N559, O559, Holiday_Dates) - IF(N559 = O559, 0, 1)
            )
        )
    ),
    ""
)</f>
        <v/>
      </c>
      <c r="T559" s="385"/>
      <c r="U559" s="385" t="s">
        <v>672</v>
      </c>
      <c r="V559" s="385" t="s">
        <v>1676</v>
      </c>
      <c r="W559" s="385" t="s">
        <v>1436</v>
      </c>
      <c r="X559" s="1"/>
    </row>
    <row r="560" spans="1:24">
      <c r="A560" s="385" t="s">
        <v>49</v>
      </c>
      <c r="B560" s="385" t="s">
        <v>2352</v>
      </c>
      <c r="C560" s="385" t="s">
        <v>2394</v>
      </c>
      <c r="D560" s="385" t="s">
        <v>88</v>
      </c>
      <c r="E560" s="385"/>
      <c r="F560" s="385"/>
      <c r="G560" s="385"/>
      <c r="H560" s="385">
        <v>2025</v>
      </c>
      <c r="I560" s="386">
        <v>45909</v>
      </c>
      <c r="J560" s="30" t="s">
        <v>4817</v>
      </c>
      <c r="K560" s="385"/>
      <c r="L560" s="385"/>
      <c r="M560" s="385"/>
      <c r="N560" s="385"/>
      <c r="O560" s="385"/>
      <c r="P560" s="385" t="str">
        <f>IFERROR(
    IF(
        OR(ISBLANK(I560), ISBLANK(L560)),
        "",
        MAX(
            1,
            IF(
                NETWORKDAYS(I560, L560, Holiday_Dates) &lt;= 0,
                1,
                NETWORKDAYS(I560, L560, Holiday_Dates) - IF(I560 = L560, 0, 1)
            )
        )
    ),
    ""
)</f>
        <v/>
      </c>
      <c r="Q560" s="385" t="str">
        <f>IF(
    OR(ISBLANK(L560), ISBLANK(M560)),
    "",
    MAX(
        1,
        IF(
            NETWORKDAYS(L560, M560, Holiday_Dates) &lt;= 0,
            1,
            NETWORKDAYS(L560, M560, Holiday_Dates) - IF(L560 = M560, 0, 1)
        )
    )
)</f>
        <v/>
      </c>
      <c r="R560" s="385" t="str">
        <f>IFERROR(
    IF(
        OR(ISBLANK(N560), AND(ISBLANK(L560), ISBLANK(M560))),
        "",
        MAX(
            1,
            IF(
                NETWORKDAYS(IF(NOT(ISBLANK(M560)), M560, L560), N560, Holiday_Dates) &lt;= 0,
                1,
                NETWORKDAYS(IF(NOT(ISBLANK(M560)), M560, L560), N560, Holiday_Dates)
                - IF(IF(NOT(ISBLANK(M560)), M560, L560) = N560, 0, 1)
            )
        )
    ),
    ""
)</f>
        <v/>
      </c>
      <c r="S560" s="385" t="str">
        <f>IFERROR(
    IF(
        OR(ISBLANK(N560), ISBLANK(O560)),
        "",
        MAX(
            1,
            IF(
                NETWORKDAYS(N560, O560, Holiday_Dates) &lt;= 0,
                1,
                NETWORKDAYS(N560, O560, Holiday_Dates) - IF(N560 = O560, 0, 1)
            )
        )
    ),
    ""
)</f>
        <v/>
      </c>
      <c r="T560" s="385"/>
      <c r="U560" s="385" t="s">
        <v>4</v>
      </c>
      <c r="V560" s="385" t="s">
        <v>101</v>
      </c>
      <c r="W560" s="385" t="s">
        <v>1436</v>
      </c>
      <c r="X560" s="1"/>
    </row>
    <row r="561" spans="1:24">
      <c r="A561" s="385" t="s">
        <v>49</v>
      </c>
      <c r="B561" s="385" t="s">
        <v>2352</v>
      </c>
      <c r="C561" s="385" t="s">
        <v>2355</v>
      </c>
      <c r="D561" s="385" t="s">
        <v>88</v>
      </c>
      <c r="E561" s="385" t="s">
        <v>344</v>
      </c>
      <c r="F561" s="385"/>
      <c r="G561" s="385" t="s">
        <v>128</v>
      </c>
      <c r="H561" s="385">
        <v>2026</v>
      </c>
      <c r="I561" s="386">
        <v>46064</v>
      </c>
      <c r="J561" s="30" t="s">
        <v>4818</v>
      </c>
      <c r="K561" s="385" t="s">
        <v>62</v>
      </c>
      <c r="L561" s="386">
        <v>46066</v>
      </c>
      <c r="M561" s="385"/>
      <c r="N561" s="386">
        <v>46067</v>
      </c>
      <c r="O561" s="386">
        <v>46069</v>
      </c>
      <c r="P561" s="385">
        <f>IFERROR(
    IF(
        OR(ISBLANK(I561), ISBLANK(L561)),
        "",
        MAX(
            1,
            IF(
                NETWORKDAYS(I561, L561, Holiday_Dates) &lt;= 0,
                1,
                NETWORKDAYS(I561, L561, Holiday_Dates) - IF(I561 = L561, 0, 1)
            )
        )
    ),
    ""
)</f>
        <v>2</v>
      </c>
      <c r="Q561" s="385" t="str">
        <f>IF(
    OR(ISBLANK(L561), ISBLANK(M561)),
    "",
    MAX(
        1,
        IF(
            NETWORKDAYS(L561, M561, Holiday_Dates) &lt;= 0,
            1,
            NETWORKDAYS(L561, M561, Holiday_Dates) - IF(L561 = M561, 0, 1)
        )
    )
)</f>
        <v/>
      </c>
      <c r="R561" s="385">
        <f>IFERROR(
    IF(
        OR(ISBLANK(N561), AND(ISBLANK(L561), ISBLANK(M561))),
        "",
        MAX(
            1,
            IF(
                NETWORKDAYS(IF(NOT(ISBLANK(M561)), M561, L561), N561, Holiday_Dates) &lt;= 0,
                1,
                NETWORKDAYS(IF(NOT(ISBLANK(M561)), M561, L561), N561, Holiday_Dates)
                - IF(IF(NOT(ISBLANK(M561)), M561, L561) = N561, 0, 1)
            )
        )
    ),
    ""
)</f>
        <v>1</v>
      </c>
      <c r="S561" s="385">
        <f>IFERROR(
    IF(
        OR(ISBLANK(N561), ISBLANK(O561)),
        "",
        MAX(
            1,
            IF(
                NETWORKDAYS(N561, O561, Holiday_Dates) &lt;= 0,
                1,
                NETWORKDAYS(N561, O561, Holiday_Dates) - IF(N561 = O561, 0, 1)
            )
        )
    ),
    ""
)</f>
        <v>1</v>
      </c>
      <c r="T561" s="385" t="s">
        <v>929</v>
      </c>
      <c r="U561" s="385" t="s">
        <v>4</v>
      </c>
      <c r="V561" s="385" t="s">
        <v>101</v>
      </c>
      <c r="W561" s="385" t="s">
        <v>4710</v>
      </c>
      <c r="X561" s="1"/>
    </row>
    <row r="562" spans="1:24">
      <c r="A562" s="385" t="s">
        <v>49</v>
      </c>
      <c r="B562" s="385" t="s">
        <v>2352</v>
      </c>
      <c r="C562" s="385" t="s">
        <v>2346</v>
      </c>
      <c r="D562" s="385" t="s">
        <v>88</v>
      </c>
      <c r="E562" s="385"/>
      <c r="F562" s="385"/>
      <c r="G562" s="385"/>
      <c r="H562" s="385">
        <v>2025</v>
      </c>
      <c r="I562" s="386">
        <v>45931</v>
      </c>
      <c r="J562" s="30" t="s">
        <v>4819</v>
      </c>
      <c r="K562" s="385"/>
      <c r="L562" s="385"/>
      <c r="M562" s="385"/>
      <c r="N562" s="385"/>
      <c r="O562" s="385"/>
      <c r="P562" s="385" t="str">
        <f>IFERROR(
    IF(
        OR(ISBLANK(I562), ISBLANK(L562)),
        "",
        MAX(
            1,
            IF(
                NETWORKDAYS(I562, L562, Holiday_Dates) &lt;= 0,
                1,
                NETWORKDAYS(I562, L562, Holiday_Dates) - IF(I562 = L562, 0, 1)
            )
        )
    ),
    ""
)</f>
        <v/>
      </c>
      <c r="Q562" s="385" t="str">
        <f>IF(
    OR(ISBLANK(L562), ISBLANK(M562)),
    "",
    MAX(
        1,
        IF(
            NETWORKDAYS(L562, M562, Holiday_Dates) &lt;= 0,
            1,
            NETWORKDAYS(L562, M562, Holiday_Dates) - IF(L562 = M562, 0, 1)
        )
    )
)</f>
        <v/>
      </c>
      <c r="R562" s="385" t="str">
        <f>IFERROR(
    IF(
        OR(ISBLANK(N562), AND(ISBLANK(L562), ISBLANK(M562))),
        "",
        MAX(
            1,
            IF(
                NETWORKDAYS(IF(NOT(ISBLANK(M562)), M562, L562), N562, Holiday_Dates) &lt;= 0,
                1,
                NETWORKDAYS(IF(NOT(ISBLANK(M562)), M562, L562), N562, Holiday_Dates)
                - IF(IF(NOT(ISBLANK(M562)), M562, L562) = N562, 0, 1)
            )
        )
    ),
    ""
)</f>
        <v/>
      </c>
      <c r="S562" s="385" t="str">
        <f>IFERROR(
    IF(
        OR(ISBLANK(N562), ISBLANK(O562)),
        "",
        MAX(
            1,
            IF(
                NETWORKDAYS(N562, O562, Holiday_Dates) &lt;= 0,
                1,
                NETWORKDAYS(N562, O562, Holiday_Dates) - IF(N562 = O562, 0, 1)
            )
        )
    ),
    ""
)</f>
        <v/>
      </c>
      <c r="T562" s="385"/>
      <c r="U562" s="385" t="s">
        <v>672</v>
      </c>
      <c r="V562" s="385" t="s">
        <v>1676</v>
      </c>
      <c r="W562" s="385" t="s">
        <v>1436</v>
      </c>
      <c r="X562" s="1"/>
    </row>
    <row r="563" spans="1:24">
      <c r="A563" s="385" t="s">
        <v>49</v>
      </c>
      <c r="B563" s="385" t="s">
        <v>2352</v>
      </c>
      <c r="C563" s="385" t="s">
        <v>2395</v>
      </c>
      <c r="D563" s="385" t="s">
        <v>88</v>
      </c>
      <c r="E563" s="385"/>
      <c r="F563" s="385"/>
      <c r="G563" s="385"/>
      <c r="H563" s="385">
        <v>2025</v>
      </c>
      <c r="I563" s="386">
        <v>45931</v>
      </c>
      <c r="J563" s="30" t="s">
        <v>4820</v>
      </c>
      <c r="K563" s="385"/>
      <c r="L563" s="385"/>
      <c r="M563" s="385"/>
      <c r="N563" s="385"/>
      <c r="O563" s="385"/>
      <c r="P563" s="385" t="str">
        <f>IFERROR(
    IF(
        OR(ISBLANK(I563), ISBLANK(L563)),
        "",
        MAX(
            1,
            IF(
                NETWORKDAYS(I563, L563, Holiday_Dates) &lt;= 0,
                1,
                NETWORKDAYS(I563, L563, Holiday_Dates) - IF(I563 = L563, 0, 1)
            )
        )
    ),
    ""
)</f>
        <v/>
      </c>
      <c r="Q563" s="385" t="str">
        <f>IF(
    OR(ISBLANK(L563), ISBLANK(M563)),
    "",
    MAX(
        1,
        IF(
            NETWORKDAYS(L563, M563, Holiday_Dates) &lt;= 0,
            1,
            NETWORKDAYS(L563, M563, Holiday_Dates) - IF(L563 = M563, 0, 1)
        )
    )
)</f>
        <v/>
      </c>
      <c r="R563" s="385" t="str">
        <f>IFERROR(
    IF(
        OR(ISBLANK(N563), AND(ISBLANK(L563), ISBLANK(M563))),
        "",
        MAX(
            1,
            IF(
                NETWORKDAYS(IF(NOT(ISBLANK(M563)), M563, L563), N563, Holiday_Dates) &lt;= 0,
                1,
                NETWORKDAYS(IF(NOT(ISBLANK(M563)), M563, L563), N563, Holiday_Dates)
                - IF(IF(NOT(ISBLANK(M563)), M563, L563) = N563, 0, 1)
            )
        )
    ),
    ""
)</f>
        <v/>
      </c>
      <c r="S563" s="385" t="str">
        <f>IFERROR(
    IF(
        OR(ISBLANK(N563), ISBLANK(O563)),
        "",
        MAX(
            1,
            IF(
                NETWORKDAYS(N563, O563, Holiday_Dates) &lt;= 0,
                1,
                NETWORKDAYS(N563, O563, Holiday_Dates) - IF(N563 = O563, 0, 1)
            )
        )
    ),
    ""
)</f>
        <v/>
      </c>
      <c r="T563" s="385"/>
      <c r="U563" s="385" t="s">
        <v>4</v>
      </c>
      <c r="V563" s="385" t="s">
        <v>101</v>
      </c>
      <c r="W563" s="385" t="s">
        <v>1436</v>
      </c>
      <c r="X563" s="1"/>
    </row>
    <row r="564" spans="1:24">
      <c r="A564" s="385" t="s">
        <v>49</v>
      </c>
      <c r="B564" s="385" t="s">
        <v>2352</v>
      </c>
      <c r="C564" s="385" t="s">
        <v>627</v>
      </c>
      <c r="D564" s="385" t="s">
        <v>88</v>
      </c>
      <c r="E564" s="385"/>
      <c r="F564" s="385"/>
      <c r="G564" s="385"/>
      <c r="H564" s="385">
        <v>2025</v>
      </c>
      <c r="I564" s="386">
        <v>45882</v>
      </c>
      <c r="J564" s="30" t="s">
        <v>4821</v>
      </c>
      <c r="K564" s="385"/>
      <c r="L564" s="385"/>
      <c r="M564" s="385"/>
      <c r="N564" s="385"/>
      <c r="O564" s="385"/>
      <c r="P564" s="385" t="str">
        <f>IFERROR(
    IF(
        OR(ISBLANK(I564), ISBLANK(L564)),
        "",
        MAX(
            1,
            IF(
                NETWORKDAYS(I564, L564, Holiday_Dates) &lt;= 0,
                1,
                NETWORKDAYS(I564, L564, Holiday_Dates) - IF(I564 = L564, 0, 1)
            )
        )
    ),
    ""
)</f>
        <v/>
      </c>
      <c r="Q564" s="385" t="str">
        <f>IF(
    OR(ISBLANK(L564), ISBLANK(M564)),
    "",
    MAX(
        1,
        IF(
            NETWORKDAYS(L564, M564, Holiday_Dates) &lt;= 0,
            1,
            NETWORKDAYS(L564, M564, Holiday_Dates) - IF(L564 = M564, 0, 1)
        )
    )
)</f>
        <v/>
      </c>
      <c r="R564" s="385" t="str">
        <f>IFERROR(
    IF(
        OR(ISBLANK(N564), AND(ISBLANK(L564), ISBLANK(M564))),
        "",
        MAX(
            1,
            IF(
                NETWORKDAYS(IF(NOT(ISBLANK(M564)), M564, L564), N564, Holiday_Dates) &lt;= 0,
                1,
                NETWORKDAYS(IF(NOT(ISBLANK(M564)), M564, L564), N564, Holiday_Dates)
                - IF(IF(NOT(ISBLANK(M564)), M564, L564) = N564, 0, 1)
            )
        )
    ),
    ""
)</f>
        <v/>
      </c>
      <c r="S564" s="385" t="str">
        <f>IFERROR(
    IF(
        OR(ISBLANK(N564), ISBLANK(O564)),
        "",
        MAX(
            1,
            IF(
                NETWORKDAYS(N564, O564, Holiday_Dates) &lt;= 0,
                1,
                NETWORKDAYS(N564, O564, Holiday_Dates) - IF(N564 = O564, 0, 1)
            )
        )
    ),
    ""
)</f>
        <v/>
      </c>
      <c r="T564" s="385"/>
      <c r="U564" s="385" t="s">
        <v>672</v>
      </c>
      <c r="V564" s="385" t="s">
        <v>101</v>
      </c>
      <c r="W564" s="385" t="s">
        <v>1436</v>
      </c>
      <c r="X564" s="1"/>
    </row>
    <row r="565" spans="1:24">
      <c r="A565" s="385" t="s">
        <v>49</v>
      </c>
      <c r="B565" s="385" t="s">
        <v>2352</v>
      </c>
      <c r="C565" s="385" t="s">
        <v>2396</v>
      </c>
      <c r="D565" s="385" t="s">
        <v>88</v>
      </c>
      <c r="E565" s="385"/>
      <c r="F565" s="385"/>
      <c r="G565" s="385"/>
      <c r="H565" s="385">
        <v>2024</v>
      </c>
      <c r="I565" s="386">
        <v>45393</v>
      </c>
      <c r="J565" s="30"/>
      <c r="K565" s="385"/>
      <c r="L565" s="385"/>
      <c r="M565" s="385"/>
      <c r="N565" s="385"/>
      <c r="O565" s="385"/>
      <c r="P565" s="385" t="str">
        <f>IFERROR(
    IF(
        OR(ISBLANK(I565), ISBLANK(L565)),
        "",
        MAX(
            1,
            IF(
                NETWORKDAYS(I565, L565, Holiday_Dates) &lt;= 0,
                1,
                NETWORKDAYS(I565, L565, Holiday_Dates) - IF(I565 = L565, 0, 1)
            )
        )
    ),
    ""
)</f>
        <v/>
      </c>
      <c r="Q565" s="385" t="str">
        <f>IF(
    OR(ISBLANK(L565), ISBLANK(M565)),
    "",
    MAX(
        1,
        IF(
            NETWORKDAYS(L565, M565, Holiday_Dates) &lt;= 0,
            1,
            NETWORKDAYS(L565, M565, Holiday_Dates) - IF(L565 = M565, 0, 1)
        )
    )
)</f>
        <v/>
      </c>
      <c r="R565" s="385" t="str">
        <f>IFERROR(
    IF(
        OR(ISBLANK(N565), AND(ISBLANK(L565), ISBLANK(M565))),
        "",
        MAX(
            1,
            IF(
                NETWORKDAYS(IF(NOT(ISBLANK(M565)), M565, L565), N565, Holiday_Dates) &lt;= 0,
                1,
                NETWORKDAYS(IF(NOT(ISBLANK(M565)), M565, L565), N565, Holiday_Dates)
                - IF(IF(NOT(ISBLANK(M565)), M565, L565) = N565, 0, 1)
            )
        )
    ),
    ""
)</f>
        <v/>
      </c>
      <c r="S565" s="385" t="str">
        <f>IFERROR(
    IF(
        OR(ISBLANK(N565), ISBLANK(O565)),
        "",
        MAX(
            1,
            IF(
                NETWORKDAYS(N565, O565, Holiday_Dates) &lt;= 0,
                1,
                NETWORKDAYS(N565, O565, Holiday_Dates) - IF(N565 = O565, 0, 1)
            )
        )
    ),
    ""
)</f>
        <v/>
      </c>
      <c r="T565" s="385"/>
      <c r="U565" s="385" t="s">
        <v>672</v>
      </c>
      <c r="V565" s="385"/>
      <c r="W565" s="385" t="s">
        <v>1436</v>
      </c>
      <c r="X565" s="1"/>
    </row>
    <row r="566" spans="1:24">
      <c r="A566" s="385" t="s">
        <v>49</v>
      </c>
      <c r="B566" s="385" t="s">
        <v>2352</v>
      </c>
      <c r="C566" s="385" t="s">
        <v>2398</v>
      </c>
      <c r="D566" s="385" t="s">
        <v>88</v>
      </c>
      <c r="E566" s="385"/>
      <c r="F566" s="385"/>
      <c r="G566" s="385"/>
      <c r="H566" s="385">
        <v>2024</v>
      </c>
      <c r="I566" s="386">
        <v>45393</v>
      </c>
      <c r="J566" s="30"/>
      <c r="K566" s="385"/>
      <c r="L566" s="385"/>
      <c r="M566" s="385"/>
      <c r="N566" s="385"/>
      <c r="O566" s="385"/>
      <c r="P566" s="385" t="str">
        <f>IFERROR(
    IF(
        OR(ISBLANK(I566), ISBLANK(L566)),
        "",
        MAX(
            1,
            IF(
                NETWORKDAYS(I566, L566, Holiday_Dates) &lt;= 0,
                1,
                NETWORKDAYS(I566, L566, Holiday_Dates) - IF(I566 = L566, 0, 1)
            )
        )
    ),
    ""
)</f>
        <v/>
      </c>
      <c r="Q566" s="385" t="str">
        <f>IF(
    OR(ISBLANK(L566), ISBLANK(M566)),
    "",
    MAX(
        1,
        IF(
            NETWORKDAYS(L566, M566, Holiday_Dates) &lt;= 0,
            1,
            NETWORKDAYS(L566, M566, Holiday_Dates) - IF(L566 = M566, 0, 1)
        )
    )
)</f>
        <v/>
      </c>
      <c r="R566" s="385" t="str">
        <f>IFERROR(
    IF(
        OR(ISBLANK(N566), AND(ISBLANK(L566), ISBLANK(M566))),
        "",
        MAX(
            1,
            IF(
                NETWORKDAYS(IF(NOT(ISBLANK(M566)), M566, L566), N566, Holiday_Dates) &lt;= 0,
                1,
                NETWORKDAYS(IF(NOT(ISBLANK(M566)), M566, L566), N566, Holiday_Dates)
                - IF(IF(NOT(ISBLANK(M566)), M566, L566) = N566, 0, 1)
            )
        )
    ),
    ""
)</f>
        <v/>
      </c>
      <c r="S566" s="385" t="str">
        <f>IFERROR(
    IF(
        OR(ISBLANK(N566), ISBLANK(O566)),
        "",
        MAX(
            1,
            IF(
                NETWORKDAYS(N566, O566, Holiday_Dates) &lt;= 0,
                1,
                NETWORKDAYS(N566, O566, Holiday_Dates) - IF(N566 = O566, 0, 1)
            )
        )
    ),
    ""
)</f>
        <v/>
      </c>
      <c r="T566" s="385"/>
      <c r="U566" s="385" t="s">
        <v>672</v>
      </c>
      <c r="V566" s="385"/>
      <c r="W566" s="385" t="s">
        <v>1436</v>
      </c>
      <c r="X566" s="1"/>
    </row>
    <row r="567" spans="1:24">
      <c r="A567" s="385" t="s">
        <v>49</v>
      </c>
      <c r="B567" s="385" t="s">
        <v>2352</v>
      </c>
      <c r="C567" s="385" t="s">
        <v>2260</v>
      </c>
      <c r="D567" s="385" t="s">
        <v>88</v>
      </c>
      <c r="E567" s="385"/>
      <c r="F567" s="385"/>
      <c r="G567" s="385"/>
      <c r="H567" s="385">
        <v>2025</v>
      </c>
      <c r="I567" s="386">
        <v>45882</v>
      </c>
      <c r="J567" s="30" t="s">
        <v>4822</v>
      </c>
      <c r="K567" s="385"/>
      <c r="L567" s="385"/>
      <c r="M567" s="385"/>
      <c r="N567" s="385"/>
      <c r="O567" s="385"/>
      <c r="P567" s="385" t="str">
        <f>IFERROR(
    IF(
        OR(ISBLANK(I567), ISBLANK(L567)),
        "",
        MAX(
            1,
            IF(
                NETWORKDAYS(I567, L567, Holiday_Dates) &lt;= 0,
                1,
                NETWORKDAYS(I567, L567, Holiday_Dates) - IF(I567 = L567, 0, 1)
            )
        )
    ),
    ""
)</f>
        <v/>
      </c>
      <c r="Q567" s="385" t="str">
        <f>IF(
    OR(ISBLANK(L567), ISBLANK(M567)),
    "",
    MAX(
        1,
        IF(
            NETWORKDAYS(L567, M567, Holiday_Dates) &lt;= 0,
            1,
            NETWORKDAYS(L567, M567, Holiday_Dates) - IF(L567 = M567, 0, 1)
        )
    )
)</f>
        <v/>
      </c>
      <c r="R567" s="385" t="str">
        <f>IFERROR(
    IF(
        OR(ISBLANK(N567), AND(ISBLANK(L567), ISBLANK(M567))),
        "",
        MAX(
            1,
            IF(
                NETWORKDAYS(IF(NOT(ISBLANK(M567)), M567, L567), N567, Holiday_Dates) &lt;= 0,
                1,
                NETWORKDAYS(IF(NOT(ISBLANK(M567)), M567, L567), N567, Holiday_Dates)
                - IF(IF(NOT(ISBLANK(M567)), M567, L567) = N567, 0, 1)
            )
        )
    ),
    ""
)</f>
        <v/>
      </c>
      <c r="S567" s="385" t="str">
        <f>IFERROR(
    IF(
        OR(ISBLANK(N567), ISBLANK(O567)),
        "",
        MAX(
            1,
            IF(
                NETWORKDAYS(N567, O567, Holiday_Dates) &lt;= 0,
                1,
                NETWORKDAYS(N567, O567, Holiday_Dates) - IF(N567 = O567, 0, 1)
            )
        )
    ),
    ""
)</f>
        <v/>
      </c>
      <c r="T567" s="385"/>
      <c r="U567" s="385" t="s">
        <v>672</v>
      </c>
      <c r="V567" s="385" t="s">
        <v>101</v>
      </c>
      <c r="W567" s="385" t="s">
        <v>1436</v>
      </c>
      <c r="X567" s="1"/>
    </row>
    <row r="568" spans="1:24">
      <c r="A568" s="385" t="s">
        <v>49</v>
      </c>
      <c r="B568" s="385" t="s">
        <v>2352</v>
      </c>
      <c r="C568" s="385" t="s">
        <v>2400</v>
      </c>
      <c r="D568" s="385" t="s">
        <v>88</v>
      </c>
      <c r="E568" s="385"/>
      <c r="F568" s="385"/>
      <c r="G568" s="385"/>
      <c r="H568" s="385">
        <v>2024</v>
      </c>
      <c r="I568" s="386">
        <v>45513</v>
      </c>
      <c r="J568" s="30"/>
      <c r="K568" s="385"/>
      <c r="L568" s="385"/>
      <c r="M568" s="385"/>
      <c r="N568" s="385"/>
      <c r="O568" s="385"/>
      <c r="P568" s="385" t="str">
        <f>IFERROR(
    IF(
        OR(ISBLANK(I568), ISBLANK(L568)),
        "",
        MAX(
            1,
            IF(
                NETWORKDAYS(I568, L568, Holiday_Dates) &lt;= 0,
                1,
                NETWORKDAYS(I568, L568, Holiday_Dates) - IF(I568 = L568, 0, 1)
            )
        )
    ),
    ""
)</f>
        <v/>
      </c>
      <c r="Q568" s="385" t="str">
        <f>IF(
    OR(ISBLANK(L568), ISBLANK(M568)),
    "",
    MAX(
        1,
        IF(
            NETWORKDAYS(L568, M568, Holiday_Dates) &lt;= 0,
            1,
            NETWORKDAYS(L568, M568, Holiday_Dates) - IF(L568 = M568, 0, 1)
        )
    )
)</f>
        <v/>
      </c>
      <c r="R568" s="385" t="str">
        <f>IFERROR(
    IF(
        OR(ISBLANK(N568), AND(ISBLANK(L568), ISBLANK(M568))),
        "",
        MAX(
            1,
            IF(
                NETWORKDAYS(IF(NOT(ISBLANK(M568)), M568, L568), N568, Holiday_Dates) &lt;= 0,
                1,
                NETWORKDAYS(IF(NOT(ISBLANK(M568)), M568, L568), N568, Holiday_Dates)
                - IF(IF(NOT(ISBLANK(M568)), M568, L568) = N568, 0, 1)
            )
        )
    ),
    ""
)</f>
        <v/>
      </c>
      <c r="S568" s="385" t="str">
        <f>IFERROR(
    IF(
        OR(ISBLANK(N568), ISBLANK(O568)),
        "",
        MAX(
            1,
            IF(
                NETWORKDAYS(N568, O568, Holiday_Dates) &lt;= 0,
                1,
                NETWORKDAYS(N568, O568, Holiday_Dates) - IF(N568 = O568, 0, 1)
            )
        )
    ),
    ""
)</f>
        <v/>
      </c>
      <c r="T568" s="385"/>
      <c r="U568" s="385" t="s">
        <v>672</v>
      </c>
      <c r="V568" s="385"/>
      <c r="W568" s="385" t="s">
        <v>1436</v>
      </c>
      <c r="X568" s="1"/>
    </row>
    <row r="569" spans="1:24">
      <c r="A569" s="385" t="s">
        <v>49</v>
      </c>
      <c r="B569" s="385" t="s">
        <v>2417</v>
      </c>
      <c r="C569" s="385" t="s">
        <v>2418</v>
      </c>
      <c r="D569" s="385" t="s">
        <v>88</v>
      </c>
      <c r="E569" s="385"/>
      <c r="F569" s="385"/>
      <c r="G569" s="385"/>
      <c r="H569" s="385">
        <v>2025</v>
      </c>
      <c r="I569" s="386">
        <v>45755</v>
      </c>
      <c r="J569" s="30" t="s">
        <v>4823</v>
      </c>
      <c r="K569" s="385"/>
      <c r="L569" s="385"/>
      <c r="M569" s="385"/>
      <c r="N569" s="385"/>
      <c r="O569" s="385"/>
      <c r="P569" s="385" t="str">
        <f>IFERROR(
    IF(
        OR(ISBLANK(I569), ISBLANK(L569)),
        "",
        MAX(
            1,
            IF(
                NETWORKDAYS(I569, L569, Holiday_Dates) &lt;= 0,
                1,
                NETWORKDAYS(I569, L569, Holiday_Dates) - IF(I569 = L569, 0, 1)
            )
        )
    ),
    ""
)</f>
        <v/>
      </c>
      <c r="Q569" s="385" t="str">
        <f>IF(
    OR(ISBLANK(L569), ISBLANK(M569)),
    "",
    MAX(
        1,
        IF(
            NETWORKDAYS(L569, M569, Holiday_Dates) &lt;= 0,
            1,
            NETWORKDAYS(L569, M569, Holiday_Dates) - IF(L569 = M569, 0, 1)
        )
    )
)</f>
        <v/>
      </c>
      <c r="R569" s="385" t="str">
        <f>IFERROR(
    IF(
        OR(ISBLANK(N569), AND(ISBLANK(L569), ISBLANK(M569))),
        "",
        MAX(
            1,
            IF(
                NETWORKDAYS(IF(NOT(ISBLANK(M569)), M569, L569), N569, Holiday_Dates) &lt;= 0,
                1,
                NETWORKDAYS(IF(NOT(ISBLANK(M569)), M569, L569), N569, Holiday_Dates)
                - IF(IF(NOT(ISBLANK(M569)), M569, L569) = N569, 0, 1)
            )
        )
    ),
    ""
)</f>
        <v/>
      </c>
      <c r="S569" s="385" t="str">
        <f>IFERROR(
    IF(
        OR(ISBLANK(N569), ISBLANK(O569)),
        "",
        MAX(
            1,
            IF(
                NETWORKDAYS(N569, O569, Holiday_Dates) &lt;= 0,
                1,
                NETWORKDAYS(N569, O569, Holiday_Dates) - IF(N569 = O569, 0, 1)
            )
        )
    ),
    ""
)</f>
        <v/>
      </c>
      <c r="T569" s="385"/>
      <c r="U569" s="385" t="s">
        <v>672</v>
      </c>
      <c r="V569" s="385" t="s">
        <v>101</v>
      </c>
      <c r="W569" s="385" t="s">
        <v>1436</v>
      </c>
      <c r="X569" s="1"/>
    </row>
    <row r="570" spans="1:24">
      <c r="A570" s="385" t="s">
        <v>49</v>
      </c>
      <c r="B570" s="385" t="s">
        <v>2417</v>
      </c>
      <c r="C570" s="385" t="s">
        <v>2419</v>
      </c>
      <c r="D570" s="385" t="s">
        <v>88</v>
      </c>
      <c r="E570" s="385"/>
      <c r="F570" s="385"/>
      <c r="G570" s="385"/>
      <c r="H570" s="385">
        <v>2024</v>
      </c>
      <c r="I570" s="385" t="s">
        <v>4628</v>
      </c>
      <c r="J570" s="30"/>
      <c r="K570" s="385"/>
      <c r="L570" s="385"/>
      <c r="M570" s="385"/>
      <c r="N570" s="385"/>
      <c r="O570" s="385"/>
      <c r="P570" s="385" t="str">
        <f>IFERROR(
    IF(
        OR(ISBLANK(I570), ISBLANK(L570)),
        "",
        MAX(
            1,
            IF(
                NETWORKDAYS(I570, L570, Holiday_Dates) &lt;= 0,
                1,
                NETWORKDAYS(I570, L570, Holiday_Dates) - IF(I570 = L570, 0, 1)
            )
        )
    ),
    ""
)</f>
        <v/>
      </c>
      <c r="Q570" s="385" t="str">
        <f>IF(
    OR(ISBLANK(L570), ISBLANK(M570)),
    "",
    MAX(
        1,
        IF(
            NETWORKDAYS(L570, M570, Holiday_Dates) &lt;= 0,
            1,
            NETWORKDAYS(L570, M570, Holiday_Dates) - IF(L570 = M570, 0, 1)
        )
    )
)</f>
        <v/>
      </c>
      <c r="R570" s="385" t="str">
        <f>IFERROR(
    IF(
        OR(ISBLANK(N570), AND(ISBLANK(L570), ISBLANK(M570))),
        "",
        MAX(
            1,
            IF(
                NETWORKDAYS(IF(NOT(ISBLANK(M570)), M570, L570), N570, Holiday_Dates) &lt;= 0,
                1,
                NETWORKDAYS(IF(NOT(ISBLANK(M570)), M570, L570), N570, Holiday_Dates)
                - IF(IF(NOT(ISBLANK(M570)), M570, L570) = N570, 0, 1)
            )
        )
    ),
    ""
)</f>
        <v/>
      </c>
      <c r="S570" s="385" t="str">
        <f>IFERROR(
    IF(
        OR(ISBLANK(N570), ISBLANK(O570)),
        "",
        MAX(
            1,
            IF(
                NETWORKDAYS(N570, O570, Holiday_Dates) &lt;= 0,
                1,
                NETWORKDAYS(N570, O570, Holiday_Dates) - IF(N570 = O570, 0, 1)
            )
        )
    ),
    ""
)</f>
        <v/>
      </c>
      <c r="T570" s="385"/>
      <c r="U570" s="385" t="s">
        <v>672</v>
      </c>
      <c r="V570" s="385"/>
      <c r="W570" s="385" t="s">
        <v>1436</v>
      </c>
      <c r="X570" s="1"/>
    </row>
    <row r="571" spans="1:24">
      <c r="A571" s="385" t="s">
        <v>49</v>
      </c>
      <c r="B571" s="385" t="s">
        <v>2417</v>
      </c>
      <c r="C571" s="385" t="s">
        <v>2421</v>
      </c>
      <c r="D571" s="385" t="s">
        <v>88</v>
      </c>
      <c r="E571" s="385"/>
      <c r="F571" s="385"/>
      <c r="G571" s="385"/>
      <c r="H571" s="385">
        <v>2024</v>
      </c>
      <c r="I571" s="385" t="s">
        <v>4594</v>
      </c>
      <c r="J571" s="30"/>
      <c r="K571" s="385"/>
      <c r="L571" s="385"/>
      <c r="M571" s="385"/>
      <c r="N571" s="385"/>
      <c r="O571" s="385"/>
      <c r="P571" s="385" t="str">
        <f>IFERROR(
    IF(
        OR(ISBLANK(I571), ISBLANK(L571)),
        "",
        MAX(
            1,
            IF(
                NETWORKDAYS(I571, L571, Holiday_Dates) &lt;= 0,
                1,
                NETWORKDAYS(I571, L571, Holiday_Dates) - IF(I571 = L571, 0, 1)
            )
        )
    ),
    ""
)</f>
        <v/>
      </c>
      <c r="Q571" s="385" t="str">
        <f>IF(
    OR(ISBLANK(L571), ISBLANK(M571)),
    "",
    MAX(
        1,
        IF(
            NETWORKDAYS(L571, M571, Holiday_Dates) &lt;= 0,
            1,
            NETWORKDAYS(L571, M571, Holiday_Dates) - IF(L571 = M571, 0, 1)
        )
    )
)</f>
        <v/>
      </c>
      <c r="R571" s="385" t="str">
        <f>IFERROR(
    IF(
        OR(ISBLANK(N571), AND(ISBLANK(L571), ISBLANK(M571))),
        "",
        MAX(
            1,
            IF(
                NETWORKDAYS(IF(NOT(ISBLANK(M571)), M571, L571), N571, Holiday_Dates) &lt;= 0,
                1,
                NETWORKDAYS(IF(NOT(ISBLANK(M571)), M571, L571), N571, Holiday_Dates)
                - IF(IF(NOT(ISBLANK(M571)), M571, L571) = N571, 0, 1)
            )
        )
    ),
    ""
)</f>
        <v/>
      </c>
      <c r="S571" s="385" t="str">
        <f>IFERROR(
    IF(
        OR(ISBLANK(N571), ISBLANK(O571)),
        "",
        MAX(
            1,
            IF(
                NETWORKDAYS(N571, O571, Holiday_Dates) &lt;= 0,
                1,
                NETWORKDAYS(N571, O571, Holiday_Dates) - IF(N571 = O571, 0, 1)
            )
        )
    ),
    ""
)</f>
        <v/>
      </c>
      <c r="T571" s="385"/>
      <c r="U571" s="385" t="s">
        <v>672</v>
      </c>
      <c r="V571" s="385"/>
      <c r="W571" s="385" t="s">
        <v>1436</v>
      </c>
      <c r="X571" s="1"/>
    </row>
    <row r="572" spans="1:24">
      <c r="A572" s="385" t="s">
        <v>49</v>
      </c>
      <c r="B572" s="385" t="s">
        <v>2417</v>
      </c>
      <c r="C572" s="385" t="s">
        <v>2423</v>
      </c>
      <c r="D572" s="385" t="s">
        <v>88</v>
      </c>
      <c r="E572" s="385"/>
      <c r="F572" s="385"/>
      <c r="G572" s="385"/>
      <c r="H572" s="385">
        <v>2025</v>
      </c>
      <c r="I572" s="386">
        <v>45755</v>
      </c>
      <c r="J572" s="30" t="s">
        <v>4824</v>
      </c>
      <c r="K572" s="385"/>
      <c r="L572" s="385"/>
      <c r="M572" s="385"/>
      <c r="N572" s="385"/>
      <c r="O572" s="385"/>
      <c r="P572" s="385" t="str">
        <f>IFERROR(
    IF(
        OR(ISBLANK(I572), ISBLANK(L572)),
        "",
        MAX(
            1,
            IF(
                NETWORKDAYS(I572, L572, Holiday_Dates) &lt;= 0,
                1,
                NETWORKDAYS(I572, L572, Holiday_Dates) - IF(I572 = L572, 0, 1)
            )
        )
    ),
    ""
)</f>
        <v/>
      </c>
      <c r="Q572" s="385" t="str">
        <f>IF(
    OR(ISBLANK(L572), ISBLANK(M572)),
    "",
    MAX(
        1,
        IF(
            NETWORKDAYS(L572, M572, Holiday_Dates) &lt;= 0,
            1,
            NETWORKDAYS(L572, M572, Holiday_Dates) - IF(L572 = M572, 0, 1)
        )
    )
)</f>
        <v/>
      </c>
      <c r="R572" s="385" t="str">
        <f>IFERROR(
    IF(
        OR(ISBLANK(N572), AND(ISBLANK(L572), ISBLANK(M572))),
        "",
        MAX(
            1,
            IF(
                NETWORKDAYS(IF(NOT(ISBLANK(M572)), M572, L572), N572, Holiday_Dates) &lt;= 0,
                1,
                NETWORKDAYS(IF(NOT(ISBLANK(M572)), M572, L572), N572, Holiday_Dates)
                - IF(IF(NOT(ISBLANK(M572)), M572, L572) = N572, 0, 1)
            )
        )
    ),
    ""
)</f>
        <v/>
      </c>
      <c r="S572" s="385" t="str">
        <f>IFERROR(
    IF(
        OR(ISBLANK(N572), ISBLANK(O572)),
        "",
        MAX(
            1,
            IF(
                NETWORKDAYS(N572, O572, Holiday_Dates) &lt;= 0,
                1,
                NETWORKDAYS(N572, O572, Holiday_Dates) - IF(N572 = O572, 0, 1)
            )
        )
    ),
    ""
)</f>
        <v/>
      </c>
      <c r="T572" s="385"/>
      <c r="U572" s="385" t="s">
        <v>672</v>
      </c>
      <c r="V572" s="385" t="s">
        <v>101</v>
      </c>
      <c r="W572" s="385" t="s">
        <v>1436</v>
      </c>
      <c r="X572" s="1"/>
    </row>
    <row r="573" spans="1:24">
      <c r="A573" s="385" t="s">
        <v>49</v>
      </c>
      <c r="B573" s="385" t="s">
        <v>2417</v>
      </c>
      <c r="C573" s="385" t="s">
        <v>2424</v>
      </c>
      <c r="D573" s="385" t="s">
        <v>88</v>
      </c>
      <c r="E573" s="385"/>
      <c r="F573" s="385"/>
      <c r="G573" s="385"/>
      <c r="H573" s="385">
        <v>2024</v>
      </c>
      <c r="I573" s="385" t="s">
        <v>4594</v>
      </c>
      <c r="J573" s="30"/>
      <c r="K573" s="385"/>
      <c r="L573" s="385"/>
      <c r="M573" s="385"/>
      <c r="N573" s="385"/>
      <c r="O573" s="385"/>
      <c r="P573" s="385" t="str">
        <f>IFERROR(
    IF(
        OR(ISBLANK(I573), ISBLANK(L573)),
        "",
        MAX(
            1,
            IF(
                NETWORKDAYS(I573, L573, Holiday_Dates) &lt;= 0,
                1,
                NETWORKDAYS(I573, L573, Holiday_Dates) - IF(I573 = L573, 0, 1)
            )
        )
    ),
    ""
)</f>
        <v/>
      </c>
      <c r="Q573" s="385" t="str">
        <f>IF(
    OR(ISBLANK(L573), ISBLANK(M573)),
    "",
    MAX(
        1,
        IF(
            NETWORKDAYS(L573, M573, Holiday_Dates) &lt;= 0,
            1,
            NETWORKDAYS(L573, M573, Holiday_Dates) - IF(L573 = M573, 0, 1)
        )
    )
)</f>
        <v/>
      </c>
      <c r="R573" s="385" t="str">
        <f>IFERROR(
    IF(
        OR(ISBLANK(N573), AND(ISBLANK(L573), ISBLANK(M573))),
        "",
        MAX(
            1,
            IF(
                NETWORKDAYS(IF(NOT(ISBLANK(M573)), M573, L573), N573, Holiday_Dates) &lt;= 0,
                1,
                NETWORKDAYS(IF(NOT(ISBLANK(M573)), M573, L573), N573, Holiday_Dates)
                - IF(IF(NOT(ISBLANK(M573)), M573, L573) = N573, 0, 1)
            )
        )
    ),
    ""
)</f>
        <v/>
      </c>
      <c r="S573" s="385" t="str">
        <f>IFERROR(
    IF(
        OR(ISBLANK(N573), ISBLANK(O573)),
        "",
        MAX(
            1,
            IF(
                NETWORKDAYS(N573, O573, Holiday_Dates) &lt;= 0,
                1,
                NETWORKDAYS(N573, O573, Holiday_Dates) - IF(N573 = O573, 0, 1)
            )
        )
    ),
    ""
)</f>
        <v/>
      </c>
      <c r="T573" s="385"/>
      <c r="U573" s="385" t="s">
        <v>672</v>
      </c>
      <c r="V573" s="385"/>
      <c r="W573" s="385" t="s">
        <v>1436</v>
      </c>
      <c r="X573" s="1"/>
    </row>
    <row r="574" spans="1:24">
      <c r="A574" s="385" t="s">
        <v>49</v>
      </c>
      <c r="B574" s="385" t="s">
        <v>2352</v>
      </c>
      <c r="C574" s="385" t="s">
        <v>2356</v>
      </c>
      <c r="D574" s="385" t="s">
        <v>88</v>
      </c>
      <c r="E574" s="385" t="s">
        <v>344</v>
      </c>
      <c r="F574" s="385"/>
      <c r="G574" s="385" t="s">
        <v>128</v>
      </c>
      <c r="H574" s="385">
        <v>2026</v>
      </c>
      <c r="I574" s="386">
        <v>46064</v>
      </c>
      <c r="J574" s="30" t="s">
        <v>4825</v>
      </c>
      <c r="K574" s="385" t="s">
        <v>62</v>
      </c>
      <c r="L574" s="386">
        <v>46066</v>
      </c>
      <c r="M574" s="385"/>
      <c r="N574" s="386">
        <v>46067</v>
      </c>
      <c r="O574" s="386">
        <v>46069</v>
      </c>
      <c r="P574" s="385">
        <f>IFERROR(
    IF(
        OR(ISBLANK(I574), ISBLANK(L574)),
        "",
        MAX(
            1,
            IF(
                NETWORKDAYS(I574, L574, Holiday_Dates) &lt;= 0,
                1,
                NETWORKDAYS(I574, L574, Holiday_Dates) - IF(I574 = L574, 0, 1)
            )
        )
    ),
    ""
)</f>
        <v>2</v>
      </c>
      <c r="Q574" s="385" t="str">
        <f>IF(
    OR(ISBLANK(L574), ISBLANK(M574)),
    "",
    MAX(
        1,
        IF(
            NETWORKDAYS(L574, M574, Holiday_Dates) &lt;= 0,
            1,
            NETWORKDAYS(L574, M574, Holiday_Dates) - IF(L574 = M574, 0, 1)
        )
    )
)</f>
        <v/>
      </c>
      <c r="R574" s="385">
        <f>IFERROR(
    IF(
        OR(ISBLANK(N574), AND(ISBLANK(L574), ISBLANK(M574))),
        "",
        MAX(
            1,
            IF(
                NETWORKDAYS(IF(NOT(ISBLANK(M574)), M574, L574), N574, Holiday_Dates) &lt;= 0,
                1,
                NETWORKDAYS(IF(NOT(ISBLANK(M574)), M574, L574), N574, Holiday_Dates)
                - IF(IF(NOT(ISBLANK(M574)), M574, L574) = N574, 0, 1)
            )
        )
    ),
    ""
)</f>
        <v>1</v>
      </c>
      <c r="S574" s="385">
        <f>IFERROR(
    IF(
        OR(ISBLANK(N574), ISBLANK(O574)),
        "",
        MAX(
            1,
            IF(
                NETWORKDAYS(N574, O574, Holiday_Dates) &lt;= 0,
                1,
                NETWORKDAYS(N574, O574, Holiday_Dates) - IF(N574 = O574, 0, 1)
            )
        )
    ),
    ""
)</f>
        <v>1</v>
      </c>
      <c r="T574" s="385" t="s">
        <v>929</v>
      </c>
      <c r="U574" s="385" t="s">
        <v>4</v>
      </c>
      <c r="V574" s="385" t="s">
        <v>101</v>
      </c>
      <c r="W574" s="385" t="s">
        <v>4710</v>
      </c>
      <c r="X574" s="1"/>
    </row>
    <row r="575" spans="1:24">
      <c r="A575" s="385" t="s">
        <v>49</v>
      </c>
      <c r="B575" s="385" t="s">
        <v>2352</v>
      </c>
      <c r="C575" s="385" t="s">
        <v>2358</v>
      </c>
      <c r="D575" s="385" t="s">
        <v>88</v>
      </c>
      <c r="E575" s="385" t="s">
        <v>344</v>
      </c>
      <c r="F575" s="385"/>
      <c r="G575" s="385" t="s">
        <v>128</v>
      </c>
      <c r="H575" s="385">
        <v>2026</v>
      </c>
      <c r="I575" s="386">
        <v>46064</v>
      </c>
      <c r="J575" s="30" t="s">
        <v>4826</v>
      </c>
      <c r="K575" s="385" t="s">
        <v>62</v>
      </c>
      <c r="L575" s="386">
        <v>46066</v>
      </c>
      <c r="M575" s="385"/>
      <c r="N575" s="386">
        <v>46067</v>
      </c>
      <c r="O575" s="386">
        <v>46069</v>
      </c>
      <c r="P575" s="385">
        <f>IFERROR(
    IF(
        OR(ISBLANK(I575), ISBLANK(L575)),
        "",
        MAX(
            1,
            IF(
                NETWORKDAYS(I575, L575, Holiday_Dates) &lt;= 0,
                1,
                NETWORKDAYS(I575, L575, Holiday_Dates) - IF(I575 = L575, 0, 1)
            )
        )
    ),
    ""
)</f>
        <v>2</v>
      </c>
      <c r="Q575" s="385" t="str">
        <f>IF(
    OR(ISBLANK(L575), ISBLANK(M575)),
    "",
    MAX(
        1,
        IF(
            NETWORKDAYS(L575, M575, Holiday_Dates) &lt;= 0,
            1,
            NETWORKDAYS(L575, M575, Holiday_Dates) - IF(L575 = M575, 0, 1)
        )
    )
)</f>
        <v/>
      </c>
      <c r="R575" s="385">
        <f>IFERROR(
    IF(
        OR(ISBLANK(N575), AND(ISBLANK(L575), ISBLANK(M575))),
        "",
        MAX(
            1,
            IF(
                NETWORKDAYS(IF(NOT(ISBLANK(M575)), M575, L575), N575, Holiday_Dates) &lt;= 0,
                1,
                NETWORKDAYS(IF(NOT(ISBLANK(M575)), M575, L575), N575, Holiday_Dates)
                - IF(IF(NOT(ISBLANK(M575)), M575, L575) = N575, 0, 1)
            )
        )
    ),
    ""
)</f>
        <v>1</v>
      </c>
      <c r="S575" s="385">
        <f>IFERROR(
    IF(
        OR(ISBLANK(N575), ISBLANK(O575)),
        "",
        MAX(
            1,
            IF(
                NETWORKDAYS(N575, O575, Holiday_Dates) &lt;= 0,
                1,
                NETWORKDAYS(N575, O575, Holiday_Dates) - IF(N575 = O575, 0, 1)
            )
        )
    ),
    ""
)</f>
        <v>1</v>
      </c>
      <c r="T575" s="385" t="s">
        <v>929</v>
      </c>
      <c r="U575" s="385" t="s">
        <v>4</v>
      </c>
      <c r="V575" s="385" t="s">
        <v>101</v>
      </c>
      <c r="W575" s="385" t="s">
        <v>4710</v>
      </c>
      <c r="X575" s="1"/>
    </row>
    <row r="576" spans="1:24">
      <c r="A576" s="385" t="s">
        <v>49</v>
      </c>
      <c r="B576" s="385" t="s">
        <v>2417</v>
      </c>
      <c r="C576" s="385" t="s">
        <v>2427</v>
      </c>
      <c r="D576" s="385" t="s">
        <v>88</v>
      </c>
      <c r="E576" s="385"/>
      <c r="F576" s="385"/>
      <c r="G576" s="385"/>
      <c r="H576" s="385">
        <v>2025</v>
      </c>
      <c r="I576" s="386">
        <v>45790</v>
      </c>
      <c r="J576" s="30" t="s">
        <v>4827</v>
      </c>
      <c r="K576" s="385"/>
      <c r="L576" s="385"/>
      <c r="M576" s="385"/>
      <c r="N576" s="385"/>
      <c r="O576" s="385"/>
      <c r="P576" s="385" t="str">
        <f>IFERROR(
    IF(
        OR(ISBLANK(I576), ISBLANK(L576)),
        "",
        MAX(
            1,
            IF(
                NETWORKDAYS(I576, L576, Holiday_Dates) &lt;= 0,
                1,
                NETWORKDAYS(I576, L576, Holiday_Dates) - IF(I576 = L576, 0, 1)
            )
        )
    ),
    ""
)</f>
        <v/>
      </c>
      <c r="Q576" s="385" t="str">
        <f>IF(
    OR(ISBLANK(L576), ISBLANK(M576)),
    "",
    MAX(
        1,
        IF(
            NETWORKDAYS(L576, M576, Holiday_Dates) &lt;= 0,
            1,
            NETWORKDAYS(L576, M576, Holiday_Dates) - IF(L576 = M576, 0, 1)
        )
    )
)</f>
        <v/>
      </c>
      <c r="R576" s="385" t="str">
        <f>IFERROR(
    IF(
        OR(ISBLANK(N576), AND(ISBLANK(L576), ISBLANK(M576))),
        "",
        MAX(
            1,
            IF(
                NETWORKDAYS(IF(NOT(ISBLANK(M576)), M576, L576), N576, Holiday_Dates) &lt;= 0,
                1,
                NETWORKDAYS(IF(NOT(ISBLANK(M576)), M576, L576), N576, Holiday_Dates)
                - IF(IF(NOT(ISBLANK(M576)), M576, L576) = N576, 0, 1)
            )
        )
    ),
    ""
)</f>
        <v/>
      </c>
      <c r="S576" s="385" t="str">
        <f>IFERROR(
    IF(
        OR(ISBLANK(N576), ISBLANK(O576)),
        "",
        MAX(
            1,
            IF(
                NETWORKDAYS(N576, O576, Holiday_Dates) &lt;= 0,
                1,
                NETWORKDAYS(N576, O576, Holiday_Dates) - IF(N576 = O576, 0, 1)
            )
        )
    ),
    ""
)</f>
        <v/>
      </c>
      <c r="T576" s="385"/>
      <c r="U576" s="385" t="s">
        <v>4</v>
      </c>
      <c r="V576" s="385" t="s">
        <v>101</v>
      </c>
      <c r="W576" s="385" t="s">
        <v>1436</v>
      </c>
      <c r="X576" s="1"/>
    </row>
    <row r="577" spans="1:24">
      <c r="A577" s="385" t="s">
        <v>49</v>
      </c>
      <c r="B577" s="385" t="s">
        <v>2417</v>
      </c>
      <c r="C577" s="385" t="s">
        <v>2429</v>
      </c>
      <c r="D577" s="385" t="s">
        <v>88</v>
      </c>
      <c r="E577" s="385"/>
      <c r="F577" s="385"/>
      <c r="G577" s="385"/>
      <c r="H577" s="385">
        <v>2025</v>
      </c>
      <c r="I577" s="386">
        <v>45790</v>
      </c>
      <c r="J577" s="30" t="s">
        <v>4828</v>
      </c>
      <c r="K577" s="385"/>
      <c r="L577" s="385"/>
      <c r="M577" s="385"/>
      <c r="N577" s="385"/>
      <c r="O577" s="385"/>
      <c r="P577" s="385" t="str">
        <f>IFERROR(
    IF(
        OR(ISBLANK(I577), ISBLANK(L577)),
        "",
        MAX(
            1,
            IF(
                NETWORKDAYS(I577, L577, Holiday_Dates) &lt;= 0,
                1,
                NETWORKDAYS(I577, L577, Holiday_Dates) - IF(I577 = L577, 0, 1)
            )
        )
    ),
    ""
)</f>
        <v/>
      </c>
      <c r="Q577" s="385" t="str">
        <f>IF(
    OR(ISBLANK(L577), ISBLANK(M577)),
    "",
    MAX(
        1,
        IF(
            NETWORKDAYS(L577, M577, Holiday_Dates) &lt;= 0,
            1,
            NETWORKDAYS(L577, M577, Holiday_Dates) - IF(L577 = M577, 0, 1)
        )
    )
)</f>
        <v/>
      </c>
      <c r="R577" s="385" t="str">
        <f>IFERROR(
    IF(
        OR(ISBLANK(N577), AND(ISBLANK(L577), ISBLANK(M577))),
        "",
        MAX(
            1,
            IF(
                NETWORKDAYS(IF(NOT(ISBLANK(M577)), M577, L577), N577, Holiday_Dates) &lt;= 0,
                1,
                NETWORKDAYS(IF(NOT(ISBLANK(M577)), M577, L577), N577, Holiday_Dates)
                - IF(IF(NOT(ISBLANK(M577)), M577, L577) = N577, 0, 1)
            )
        )
    ),
    ""
)</f>
        <v/>
      </c>
      <c r="S577" s="385" t="str">
        <f>IFERROR(
    IF(
        OR(ISBLANK(N577), ISBLANK(O577)),
        "",
        MAX(
            1,
            IF(
                NETWORKDAYS(N577, O577, Holiday_Dates) &lt;= 0,
                1,
                NETWORKDAYS(N577, O577, Holiday_Dates) - IF(N577 = O577, 0, 1)
            )
        )
    ),
    ""
)</f>
        <v/>
      </c>
      <c r="T577" s="385"/>
      <c r="U577" s="385" t="s">
        <v>4</v>
      </c>
      <c r="V577" s="385" t="s">
        <v>101</v>
      </c>
      <c r="W577" s="385" t="s">
        <v>1436</v>
      </c>
      <c r="X577" s="1"/>
    </row>
    <row r="578" spans="1:24">
      <c r="A578" s="385" t="s">
        <v>49</v>
      </c>
      <c r="B578" s="385" t="s">
        <v>2417</v>
      </c>
      <c r="C578" s="385" t="s">
        <v>422</v>
      </c>
      <c r="D578" s="385" t="s">
        <v>88</v>
      </c>
      <c r="E578" s="385"/>
      <c r="F578" s="385"/>
      <c r="G578" s="385"/>
      <c r="H578" s="385">
        <v>2024</v>
      </c>
      <c r="I578" s="385" t="s">
        <v>4628</v>
      </c>
      <c r="J578" s="30"/>
      <c r="K578" s="385"/>
      <c r="L578" s="385"/>
      <c r="M578" s="385"/>
      <c r="N578" s="385"/>
      <c r="O578" s="385"/>
      <c r="P578" s="385" t="str">
        <f>IFERROR(
    IF(
        OR(ISBLANK(I578), ISBLANK(L578)),
        "",
        MAX(
            1,
            IF(
                NETWORKDAYS(I578, L578, Holiday_Dates) &lt;= 0,
                1,
                NETWORKDAYS(I578, L578, Holiday_Dates) - IF(I578 = L578, 0, 1)
            )
        )
    ),
    ""
)</f>
        <v/>
      </c>
      <c r="Q578" s="385" t="str">
        <f>IF(
    OR(ISBLANK(L578), ISBLANK(M578)),
    "",
    MAX(
        1,
        IF(
            NETWORKDAYS(L578, M578, Holiday_Dates) &lt;= 0,
            1,
            NETWORKDAYS(L578, M578, Holiday_Dates) - IF(L578 = M578, 0, 1)
        )
    )
)</f>
        <v/>
      </c>
      <c r="R578" s="385" t="str">
        <f>IFERROR(
    IF(
        OR(ISBLANK(N578), AND(ISBLANK(L578), ISBLANK(M578))),
        "",
        MAX(
            1,
            IF(
                NETWORKDAYS(IF(NOT(ISBLANK(M578)), M578, L578), N578, Holiday_Dates) &lt;= 0,
                1,
                NETWORKDAYS(IF(NOT(ISBLANK(M578)), M578, L578), N578, Holiday_Dates)
                - IF(IF(NOT(ISBLANK(M578)), M578, L578) = N578, 0, 1)
            )
        )
    ),
    ""
)</f>
        <v/>
      </c>
      <c r="S578" s="385" t="str">
        <f>IFERROR(
    IF(
        OR(ISBLANK(N578), ISBLANK(O578)),
        "",
        MAX(
            1,
            IF(
                NETWORKDAYS(N578, O578, Holiday_Dates) &lt;= 0,
                1,
                NETWORKDAYS(N578, O578, Holiday_Dates) - IF(N578 = O578, 0, 1)
            )
        )
    ),
    ""
)</f>
        <v/>
      </c>
      <c r="T578" s="385"/>
      <c r="U578" s="385" t="s">
        <v>672</v>
      </c>
      <c r="V578" s="385"/>
      <c r="W578" s="385" t="s">
        <v>1436</v>
      </c>
      <c r="X578" s="1"/>
    </row>
    <row r="579" spans="1:24">
      <c r="A579" s="385" t="s">
        <v>49</v>
      </c>
      <c r="B579" s="385" t="s">
        <v>2417</v>
      </c>
      <c r="C579" s="385" t="s">
        <v>2431</v>
      </c>
      <c r="D579" s="385" t="s">
        <v>88</v>
      </c>
      <c r="E579" s="385"/>
      <c r="F579" s="385"/>
      <c r="G579" s="385"/>
      <c r="H579" s="385">
        <v>2025</v>
      </c>
      <c r="I579" s="386">
        <v>45729</v>
      </c>
      <c r="J579" s="30" t="s">
        <v>4829</v>
      </c>
      <c r="K579" s="385"/>
      <c r="L579" s="385"/>
      <c r="M579" s="385"/>
      <c r="N579" s="385"/>
      <c r="O579" s="385"/>
      <c r="P579" s="385" t="str">
        <f>IFERROR(
    IF(
        OR(ISBLANK(I579), ISBLANK(L579)),
        "",
        MAX(
            1,
            IF(
                NETWORKDAYS(I579, L579, Holiday_Dates) &lt;= 0,
                1,
                NETWORKDAYS(I579, L579, Holiday_Dates) - IF(I579 = L579, 0, 1)
            )
        )
    ),
    ""
)</f>
        <v/>
      </c>
      <c r="Q579" s="385" t="str">
        <f>IF(
    OR(ISBLANK(L579), ISBLANK(M579)),
    "",
    MAX(
        1,
        IF(
            NETWORKDAYS(L579, M579, Holiday_Dates) &lt;= 0,
            1,
            NETWORKDAYS(L579, M579, Holiday_Dates) - IF(L579 = M579, 0, 1)
        )
    )
)</f>
        <v/>
      </c>
      <c r="R579" s="385" t="str">
        <f>IFERROR(
    IF(
        OR(ISBLANK(N579), AND(ISBLANK(L579), ISBLANK(M579))),
        "",
        MAX(
            1,
            IF(
                NETWORKDAYS(IF(NOT(ISBLANK(M579)), M579, L579), N579, Holiday_Dates) &lt;= 0,
                1,
                NETWORKDAYS(IF(NOT(ISBLANK(M579)), M579, L579), N579, Holiday_Dates)
                - IF(IF(NOT(ISBLANK(M579)), M579, L579) = N579, 0, 1)
            )
        )
    ),
    ""
)</f>
        <v/>
      </c>
      <c r="S579" s="385" t="str">
        <f>IFERROR(
    IF(
        OR(ISBLANK(N579), ISBLANK(O579)),
        "",
        MAX(
            1,
            IF(
                NETWORKDAYS(N579, O579, Holiday_Dates) &lt;= 0,
                1,
                NETWORKDAYS(N579, O579, Holiday_Dates) - IF(N579 = O579, 0, 1)
            )
        )
    ),
    ""
)</f>
        <v/>
      </c>
      <c r="T579" s="385"/>
      <c r="U579" s="385" t="s">
        <v>4</v>
      </c>
      <c r="V579" s="385" t="s">
        <v>101</v>
      </c>
      <c r="W579" s="385" t="s">
        <v>1436</v>
      </c>
      <c r="X579" s="1"/>
    </row>
    <row r="580" spans="1:24">
      <c r="A580" s="385" t="s">
        <v>49</v>
      </c>
      <c r="B580" s="385" t="s">
        <v>2417</v>
      </c>
      <c r="C580" s="385" t="s">
        <v>2432</v>
      </c>
      <c r="D580" s="385" t="s">
        <v>88</v>
      </c>
      <c r="E580" s="385"/>
      <c r="F580" s="385"/>
      <c r="G580" s="385"/>
      <c r="H580" s="385">
        <v>2025</v>
      </c>
      <c r="I580" s="386">
        <v>45729</v>
      </c>
      <c r="J580" s="30" t="s">
        <v>4830</v>
      </c>
      <c r="K580" s="385"/>
      <c r="L580" s="385"/>
      <c r="M580" s="385"/>
      <c r="N580" s="385"/>
      <c r="O580" s="385"/>
      <c r="P580" s="385" t="str">
        <f>IFERROR(
    IF(
        OR(ISBLANK(I580), ISBLANK(L580)),
        "",
        MAX(
            1,
            IF(
                NETWORKDAYS(I580, L580, Holiday_Dates) &lt;= 0,
                1,
                NETWORKDAYS(I580, L580, Holiday_Dates) - IF(I580 = L580, 0, 1)
            )
        )
    ),
    ""
)</f>
        <v/>
      </c>
      <c r="Q580" s="385" t="str">
        <f>IF(
    OR(ISBLANK(L580), ISBLANK(M580)),
    "",
    MAX(
        1,
        IF(
            NETWORKDAYS(L580, M580, Holiday_Dates) &lt;= 0,
            1,
            NETWORKDAYS(L580, M580, Holiday_Dates) - IF(L580 = M580, 0, 1)
        )
    )
)</f>
        <v/>
      </c>
      <c r="R580" s="385" t="str">
        <f>IFERROR(
    IF(
        OR(ISBLANK(N580), AND(ISBLANK(L580), ISBLANK(M580))),
        "",
        MAX(
            1,
            IF(
                NETWORKDAYS(IF(NOT(ISBLANK(M580)), M580, L580), N580, Holiday_Dates) &lt;= 0,
                1,
                NETWORKDAYS(IF(NOT(ISBLANK(M580)), M580, L580), N580, Holiday_Dates)
                - IF(IF(NOT(ISBLANK(M580)), M580, L580) = N580, 0, 1)
            )
        )
    ),
    ""
)</f>
        <v/>
      </c>
      <c r="S580" s="385" t="str">
        <f>IFERROR(
    IF(
        OR(ISBLANK(N580), ISBLANK(O580)),
        "",
        MAX(
            1,
            IF(
                NETWORKDAYS(N580, O580, Holiday_Dates) &lt;= 0,
                1,
                NETWORKDAYS(N580, O580, Holiday_Dates) - IF(N580 = O580, 0, 1)
            )
        )
    ),
    ""
)</f>
        <v/>
      </c>
      <c r="T580" s="385"/>
      <c r="U580" s="385" t="s">
        <v>4</v>
      </c>
      <c r="V580" s="385" t="s">
        <v>101</v>
      </c>
      <c r="W580" s="385" t="s">
        <v>1436</v>
      </c>
      <c r="X580" s="1"/>
    </row>
    <row r="581" spans="1:24">
      <c r="A581" s="385" t="s">
        <v>49</v>
      </c>
      <c r="B581" s="385" t="s">
        <v>2417</v>
      </c>
      <c r="C581" s="385" t="s">
        <v>2433</v>
      </c>
      <c r="D581" s="385" t="s">
        <v>88</v>
      </c>
      <c r="E581" s="385"/>
      <c r="F581" s="385"/>
      <c r="G581" s="385"/>
      <c r="H581" s="385">
        <v>2025</v>
      </c>
      <c r="I581" s="386">
        <v>45729</v>
      </c>
      <c r="J581" s="30" t="s">
        <v>4831</v>
      </c>
      <c r="K581" s="385"/>
      <c r="L581" s="385"/>
      <c r="M581" s="385"/>
      <c r="N581" s="385"/>
      <c r="O581" s="385"/>
      <c r="P581" s="385" t="str">
        <f>IFERROR(
    IF(
        OR(ISBLANK(I581), ISBLANK(L581)),
        "",
        MAX(
            1,
            IF(
                NETWORKDAYS(I581, L581, Holiday_Dates) &lt;= 0,
                1,
                NETWORKDAYS(I581, L581, Holiday_Dates) - IF(I581 = L581, 0, 1)
            )
        )
    ),
    ""
)</f>
        <v/>
      </c>
      <c r="Q581" s="385" t="str">
        <f>IF(
    OR(ISBLANK(L581), ISBLANK(M581)),
    "",
    MAX(
        1,
        IF(
            NETWORKDAYS(L581, M581, Holiday_Dates) &lt;= 0,
            1,
            NETWORKDAYS(L581, M581, Holiday_Dates) - IF(L581 = M581, 0, 1)
        )
    )
)</f>
        <v/>
      </c>
      <c r="R581" s="385" t="str">
        <f>IFERROR(
    IF(
        OR(ISBLANK(N581), AND(ISBLANK(L581), ISBLANK(M581))),
        "",
        MAX(
            1,
            IF(
                NETWORKDAYS(IF(NOT(ISBLANK(M581)), M581, L581), N581, Holiday_Dates) &lt;= 0,
                1,
                NETWORKDAYS(IF(NOT(ISBLANK(M581)), M581, L581), N581, Holiday_Dates)
                - IF(IF(NOT(ISBLANK(M581)), M581, L581) = N581, 0, 1)
            )
        )
    ),
    ""
)</f>
        <v/>
      </c>
      <c r="S581" s="385" t="str">
        <f>IFERROR(
    IF(
        OR(ISBLANK(N581), ISBLANK(O581)),
        "",
        MAX(
            1,
            IF(
                NETWORKDAYS(N581, O581, Holiday_Dates) &lt;= 0,
                1,
                NETWORKDAYS(N581, O581, Holiday_Dates) - IF(N581 = O581, 0, 1)
            )
        )
    ),
    ""
)</f>
        <v/>
      </c>
      <c r="T581" s="385"/>
      <c r="U581" s="385" t="s">
        <v>672</v>
      </c>
      <c r="V581" s="385" t="s">
        <v>101</v>
      </c>
      <c r="W581" s="385" t="s">
        <v>1436</v>
      </c>
      <c r="X581" s="1"/>
    </row>
    <row r="582" spans="1:24">
      <c r="A582" s="385" t="s">
        <v>49</v>
      </c>
      <c r="B582" s="385" t="s">
        <v>2573</v>
      </c>
      <c r="C582" s="385" t="s">
        <v>2597</v>
      </c>
      <c r="D582" s="385" t="s">
        <v>88</v>
      </c>
      <c r="E582" s="385" t="s">
        <v>136</v>
      </c>
      <c r="F582" s="385"/>
      <c r="G582" s="385" t="s">
        <v>128</v>
      </c>
      <c r="H582" s="385">
        <v>2026</v>
      </c>
      <c r="I582" s="386">
        <v>46065</v>
      </c>
      <c r="J582" s="30" t="s">
        <v>4832</v>
      </c>
      <c r="K582" s="385" t="s">
        <v>62</v>
      </c>
      <c r="L582" s="386">
        <v>46071</v>
      </c>
      <c r="M582" s="385"/>
      <c r="N582" s="386">
        <v>46071</v>
      </c>
      <c r="O582" s="386">
        <v>46071</v>
      </c>
      <c r="P582" s="385">
        <f>IFERROR(
    IF(
        OR(ISBLANK(I582), ISBLANK(L582)),
        "",
        MAX(
            1,
            IF(
                NETWORKDAYS(I582, L582, Holiday_Dates) &lt;= 0,
                1,
                NETWORKDAYS(I582, L582, Holiday_Dates) - IF(I582 = L582, 0, 1)
            )
        )
    ),
    ""
)</f>
        <v>4</v>
      </c>
      <c r="Q582" s="385" t="str">
        <f>IF(
    OR(ISBLANK(L582), ISBLANK(M582)),
    "",
    MAX(
        1,
        IF(
            NETWORKDAYS(L582, M582, Holiday_Dates) &lt;= 0,
            1,
            NETWORKDAYS(L582, M582, Holiday_Dates) - IF(L582 = M582, 0, 1)
        )
    )
)</f>
        <v/>
      </c>
      <c r="R582" s="385">
        <f>IFERROR(
    IF(
        OR(ISBLANK(N582), AND(ISBLANK(L582), ISBLANK(M582))),
        "",
        MAX(
            1,
            IF(
                NETWORKDAYS(IF(NOT(ISBLANK(M582)), M582, L582), N582, Holiday_Dates) &lt;= 0,
                1,
                NETWORKDAYS(IF(NOT(ISBLANK(M582)), M582, L582), N582, Holiday_Dates)
                - IF(IF(NOT(ISBLANK(M582)), M582, L582) = N582, 0, 1)
            )
        )
    ),
    ""
)</f>
        <v>1</v>
      </c>
      <c r="S582" s="385">
        <f>IFERROR(
    IF(
        OR(ISBLANK(N582), ISBLANK(O582)),
        "",
        MAX(
            1,
            IF(
                NETWORKDAYS(N582, O582, Holiday_Dates) &lt;= 0,
                1,
                NETWORKDAYS(N582, O582, Holiday_Dates) - IF(N582 = O582, 0, 1)
            )
        )
    ),
    ""
)</f>
        <v>1</v>
      </c>
      <c r="T582" s="385" t="s">
        <v>929</v>
      </c>
      <c r="U582" s="385" t="s">
        <v>4</v>
      </c>
      <c r="V582" s="385" t="s">
        <v>101</v>
      </c>
      <c r="W582" s="385" t="s">
        <v>4710</v>
      </c>
      <c r="X582" s="1"/>
    </row>
    <row r="583" spans="1:24">
      <c r="A583" s="385" t="s">
        <v>49</v>
      </c>
      <c r="B583" s="385" t="s">
        <v>2417</v>
      </c>
      <c r="C583" s="385" t="s">
        <v>1039</v>
      </c>
      <c r="D583" s="385" t="s">
        <v>88</v>
      </c>
      <c r="E583" s="385"/>
      <c r="F583" s="385"/>
      <c r="G583" s="385"/>
      <c r="H583" s="385">
        <v>2024</v>
      </c>
      <c r="I583" s="385" t="s">
        <v>4594</v>
      </c>
      <c r="J583" s="30"/>
      <c r="K583" s="385"/>
      <c r="L583" s="385"/>
      <c r="M583" s="385"/>
      <c r="N583" s="385"/>
      <c r="O583" s="385"/>
      <c r="P583" s="385" t="str">
        <f>IFERROR(
    IF(
        OR(ISBLANK(I583), ISBLANK(L583)),
        "",
        MAX(
            1,
            IF(
                NETWORKDAYS(I583, L583, Holiday_Dates) &lt;= 0,
                1,
                NETWORKDAYS(I583, L583, Holiday_Dates) - IF(I583 = L583, 0, 1)
            )
        )
    ),
    ""
)</f>
        <v/>
      </c>
      <c r="Q583" s="385" t="str">
        <f>IF(
    OR(ISBLANK(L583), ISBLANK(M583)),
    "",
    MAX(
        1,
        IF(
            NETWORKDAYS(L583, M583, Holiday_Dates) &lt;= 0,
            1,
            NETWORKDAYS(L583, M583, Holiday_Dates) - IF(L583 = M583, 0, 1)
        )
    )
)</f>
        <v/>
      </c>
      <c r="R583" s="385" t="str">
        <f>IFERROR(
    IF(
        OR(ISBLANK(N583), AND(ISBLANK(L583), ISBLANK(M583))),
        "",
        MAX(
            1,
            IF(
                NETWORKDAYS(IF(NOT(ISBLANK(M583)), M583, L583), N583, Holiday_Dates) &lt;= 0,
                1,
                NETWORKDAYS(IF(NOT(ISBLANK(M583)), M583, L583), N583, Holiday_Dates)
                - IF(IF(NOT(ISBLANK(M583)), M583, L583) = N583, 0, 1)
            )
        )
    ),
    ""
)</f>
        <v/>
      </c>
      <c r="S583" s="385" t="str">
        <f>IFERROR(
    IF(
        OR(ISBLANK(N583), ISBLANK(O583)),
        "",
        MAX(
            1,
            IF(
                NETWORKDAYS(N583, O583, Holiday_Dates) &lt;= 0,
                1,
                NETWORKDAYS(N583, O583, Holiday_Dates) - IF(N583 = O583, 0, 1)
            )
        )
    ),
    ""
)</f>
        <v/>
      </c>
      <c r="T583" s="385"/>
      <c r="U583" s="385" t="s">
        <v>672</v>
      </c>
      <c r="V583" s="385"/>
      <c r="W583" s="385" t="s">
        <v>1436</v>
      </c>
      <c r="X583" s="1"/>
    </row>
    <row r="584" spans="1:24">
      <c r="A584" s="385" t="s">
        <v>49</v>
      </c>
      <c r="B584" s="385" t="s">
        <v>2417</v>
      </c>
      <c r="C584" s="385" t="s">
        <v>2436</v>
      </c>
      <c r="D584" s="385" t="s">
        <v>88</v>
      </c>
      <c r="E584" s="385"/>
      <c r="F584" s="385"/>
      <c r="G584" s="385"/>
      <c r="H584" s="385">
        <v>2024</v>
      </c>
      <c r="I584" s="385" t="s">
        <v>4594</v>
      </c>
      <c r="J584" s="30"/>
      <c r="K584" s="385"/>
      <c r="L584" s="385"/>
      <c r="M584" s="385"/>
      <c r="N584" s="385"/>
      <c r="O584" s="385"/>
      <c r="P584" s="385" t="str">
        <f>IFERROR(
    IF(
        OR(ISBLANK(I584), ISBLANK(L584)),
        "",
        MAX(
            1,
            IF(
                NETWORKDAYS(I584, L584, Holiday_Dates) &lt;= 0,
                1,
                NETWORKDAYS(I584, L584, Holiday_Dates) - IF(I584 = L584, 0, 1)
            )
        )
    ),
    ""
)</f>
        <v/>
      </c>
      <c r="Q584" s="385" t="str">
        <f>IF(
    OR(ISBLANK(L584), ISBLANK(M584)),
    "",
    MAX(
        1,
        IF(
            NETWORKDAYS(L584, M584, Holiday_Dates) &lt;= 0,
            1,
            NETWORKDAYS(L584, M584, Holiday_Dates) - IF(L584 = M584, 0, 1)
        )
    )
)</f>
        <v/>
      </c>
      <c r="R584" s="385" t="str">
        <f>IFERROR(
    IF(
        OR(ISBLANK(N584), AND(ISBLANK(L584), ISBLANK(M584))),
        "",
        MAX(
            1,
            IF(
                NETWORKDAYS(IF(NOT(ISBLANK(M584)), M584, L584), N584, Holiday_Dates) &lt;= 0,
                1,
                NETWORKDAYS(IF(NOT(ISBLANK(M584)), M584, L584), N584, Holiday_Dates)
                - IF(IF(NOT(ISBLANK(M584)), M584, L584) = N584, 0, 1)
            )
        )
    ),
    ""
)</f>
        <v/>
      </c>
      <c r="S584" s="385" t="str">
        <f>IFERROR(
    IF(
        OR(ISBLANK(N584), ISBLANK(O584)),
        "",
        MAX(
            1,
            IF(
                NETWORKDAYS(N584, O584, Holiday_Dates) &lt;= 0,
                1,
                NETWORKDAYS(N584, O584, Holiday_Dates) - IF(N584 = O584, 0, 1)
            )
        )
    ),
    ""
)</f>
        <v/>
      </c>
      <c r="T584" s="385"/>
      <c r="U584" s="385" t="s">
        <v>672</v>
      </c>
      <c r="V584" s="385"/>
      <c r="W584" s="385" t="s">
        <v>1436</v>
      </c>
      <c r="X584" s="1"/>
    </row>
    <row r="585" spans="1:24">
      <c r="A585" s="385" t="s">
        <v>49</v>
      </c>
      <c r="B585" s="385" t="s">
        <v>2417</v>
      </c>
      <c r="C585" s="385" t="s">
        <v>1066</v>
      </c>
      <c r="D585" s="385" t="s">
        <v>88</v>
      </c>
      <c r="E585" s="385"/>
      <c r="F585" s="385"/>
      <c r="G585" s="385"/>
      <c r="H585" s="385">
        <v>2024</v>
      </c>
      <c r="I585" s="385" t="s">
        <v>4628</v>
      </c>
      <c r="J585" s="30"/>
      <c r="K585" s="385"/>
      <c r="L585" s="385"/>
      <c r="M585" s="385"/>
      <c r="N585" s="385"/>
      <c r="O585" s="385"/>
      <c r="P585" s="385" t="str">
        <f>IFERROR(
    IF(
        OR(ISBLANK(I585), ISBLANK(L585)),
        "",
        MAX(
            1,
            IF(
                NETWORKDAYS(I585, L585, Holiday_Dates) &lt;= 0,
                1,
                NETWORKDAYS(I585, L585, Holiday_Dates) - IF(I585 = L585, 0, 1)
            )
        )
    ),
    ""
)</f>
        <v/>
      </c>
      <c r="Q585" s="385" t="str">
        <f>IF(
    OR(ISBLANK(L585), ISBLANK(M585)),
    "",
    MAX(
        1,
        IF(
            NETWORKDAYS(L585, M585, Holiday_Dates) &lt;= 0,
            1,
            NETWORKDAYS(L585, M585, Holiday_Dates) - IF(L585 = M585, 0, 1)
        )
    )
)</f>
        <v/>
      </c>
      <c r="R585" s="385" t="str">
        <f>IFERROR(
    IF(
        OR(ISBLANK(N585), AND(ISBLANK(L585), ISBLANK(M585))),
        "",
        MAX(
            1,
            IF(
                NETWORKDAYS(IF(NOT(ISBLANK(M585)), M585, L585), N585, Holiday_Dates) &lt;= 0,
                1,
                NETWORKDAYS(IF(NOT(ISBLANK(M585)), M585, L585), N585, Holiday_Dates)
                - IF(IF(NOT(ISBLANK(M585)), M585, L585) = N585, 0, 1)
            )
        )
    ),
    ""
)</f>
        <v/>
      </c>
      <c r="S585" s="385" t="str">
        <f>IFERROR(
    IF(
        OR(ISBLANK(N585), ISBLANK(O585)),
        "",
        MAX(
            1,
            IF(
                NETWORKDAYS(N585, O585, Holiday_Dates) &lt;= 0,
                1,
                NETWORKDAYS(N585, O585, Holiday_Dates) - IF(N585 = O585, 0, 1)
            )
        )
    ),
    ""
)</f>
        <v/>
      </c>
      <c r="T585" s="385"/>
      <c r="U585" s="385" t="s">
        <v>672</v>
      </c>
      <c r="V585" s="385"/>
      <c r="W585" s="385" t="s">
        <v>1436</v>
      </c>
      <c r="X585" s="1"/>
    </row>
    <row r="586" spans="1:24">
      <c r="A586" s="385" t="s">
        <v>49</v>
      </c>
      <c r="B586" s="385" t="s">
        <v>2417</v>
      </c>
      <c r="C586" s="385" t="s">
        <v>2439</v>
      </c>
      <c r="D586" s="385" t="s">
        <v>88</v>
      </c>
      <c r="E586" s="385"/>
      <c r="F586" s="385"/>
      <c r="G586" s="385"/>
      <c r="H586" s="385">
        <v>2024</v>
      </c>
      <c r="I586" s="385" t="s">
        <v>4594</v>
      </c>
      <c r="J586" s="30"/>
      <c r="K586" s="385"/>
      <c r="L586" s="385"/>
      <c r="M586" s="385"/>
      <c r="N586" s="385"/>
      <c r="O586" s="385"/>
      <c r="P586" s="385" t="str">
        <f>IFERROR(
    IF(
        OR(ISBLANK(I586), ISBLANK(L586)),
        "",
        MAX(
            1,
            IF(
                NETWORKDAYS(I586, L586, Holiday_Dates) &lt;= 0,
                1,
                NETWORKDAYS(I586, L586, Holiday_Dates) - IF(I586 = L586, 0, 1)
            )
        )
    ),
    ""
)</f>
        <v/>
      </c>
      <c r="Q586" s="385" t="str">
        <f>IF(
    OR(ISBLANK(L586), ISBLANK(M586)),
    "",
    MAX(
        1,
        IF(
            NETWORKDAYS(L586, M586, Holiday_Dates) &lt;= 0,
            1,
            NETWORKDAYS(L586, M586, Holiday_Dates) - IF(L586 = M586, 0, 1)
        )
    )
)</f>
        <v/>
      </c>
      <c r="R586" s="385" t="str">
        <f>IFERROR(
    IF(
        OR(ISBLANK(N586), AND(ISBLANK(L586), ISBLANK(M586))),
        "",
        MAX(
            1,
            IF(
                NETWORKDAYS(IF(NOT(ISBLANK(M586)), M586, L586), N586, Holiday_Dates) &lt;= 0,
                1,
                NETWORKDAYS(IF(NOT(ISBLANK(M586)), M586, L586), N586, Holiday_Dates)
                - IF(IF(NOT(ISBLANK(M586)), M586, L586) = N586, 0, 1)
            )
        )
    ),
    ""
)</f>
        <v/>
      </c>
      <c r="S586" s="385" t="str">
        <f>IFERROR(
    IF(
        OR(ISBLANK(N586), ISBLANK(O586)),
        "",
        MAX(
            1,
            IF(
                NETWORKDAYS(N586, O586, Holiday_Dates) &lt;= 0,
                1,
                NETWORKDAYS(N586, O586, Holiday_Dates) - IF(N586 = O586, 0, 1)
            )
        )
    ),
    ""
)</f>
        <v/>
      </c>
      <c r="T586" s="385"/>
      <c r="U586" s="385" t="s">
        <v>672</v>
      </c>
      <c r="V586" s="385"/>
      <c r="W586" s="385" t="s">
        <v>1436</v>
      </c>
      <c r="X586" s="1"/>
    </row>
    <row r="587" spans="1:24">
      <c r="A587" s="385" t="s">
        <v>49</v>
      </c>
      <c r="B587" s="385" t="s">
        <v>2417</v>
      </c>
      <c r="C587" s="385" t="s">
        <v>590</v>
      </c>
      <c r="D587" s="385" t="s">
        <v>88</v>
      </c>
      <c r="E587" s="385"/>
      <c r="F587" s="385"/>
      <c r="G587" s="385"/>
      <c r="H587" s="385">
        <v>2024</v>
      </c>
      <c r="I587" s="385" t="s">
        <v>4628</v>
      </c>
      <c r="J587" s="30"/>
      <c r="K587" s="385"/>
      <c r="L587" s="385"/>
      <c r="M587" s="385"/>
      <c r="N587" s="385"/>
      <c r="O587" s="385"/>
      <c r="P587" s="385" t="str">
        <f>IFERROR(
    IF(
        OR(ISBLANK(I587), ISBLANK(L587)),
        "",
        MAX(
            1,
            IF(
                NETWORKDAYS(I587, L587, Holiday_Dates) &lt;= 0,
                1,
                NETWORKDAYS(I587, L587, Holiday_Dates) - IF(I587 = L587, 0, 1)
            )
        )
    ),
    ""
)</f>
        <v/>
      </c>
      <c r="Q587" s="385" t="str">
        <f>IF(
    OR(ISBLANK(L587), ISBLANK(M587)),
    "",
    MAX(
        1,
        IF(
            NETWORKDAYS(L587, M587, Holiday_Dates) &lt;= 0,
            1,
            NETWORKDAYS(L587, M587, Holiday_Dates) - IF(L587 = M587, 0, 1)
        )
    )
)</f>
        <v/>
      </c>
      <c r="R587" s="385" t="str">
        <f>IFERROR(
    IF(
        OR(ISBLANK(N587), AND(ISBLANK(L587), ISBLANK(M587))),
        "",
        MAX(
            1,
            IF(
                NETWORKDAYS(IF(NOT(ISBLANK(M587)), M587, L587), N587, Holiday_Dates) &lt;= 0,
                1,
                NETWORKDAYS(IF(NOT(ISBLANK(M587)), M587, L587), N587, Holiday_Dates)
                - IF(IF(NOT(ISBLANK(M587)), M587, L587) = N587, 0, 1)
            )
        )
    ),
    ""
)</f>
        <v/>
      </c>
      <c r="S587" s="385" t="str">
        <f>IFERROR(
    IF(
        OR(ISBLANK(N587), ISBLANK(O587)),
        "",
        MAX(
            1,
            IF(
                NETWORKDAYS(N587, O587, Holiday_Dates) &lt;= 0,
                1,
                NETWORKDAYS(N587, O587, Holiday_Dates) - IF(N587 = O587, 0, 1)
            )
        )
    ),
    ""
)</f>
        <v/>
      </c>
      <c r="T587" s="385"/>
      <c r="U587" s="385" t="s">
        <v>672</v>
      </c>
      <c r="V587" s="385"/>
      <c r="W587" s="385" t="s">
        <v>1436</v>
      </c>
      <c r="X587" s="1"/>
    </row>
    <row r="588" spans="1:24">
      <c r="A588" s="385" t="s">
        <v>49</v>
      </c>
      <c r="B588" s="385" t="s">
        <v>2417</v>
      </c>
      <c r="C588" s="385" t="s">
        <v>2272</v>
      </c>
      <c r="D588" s="385" t="s">
        <v>88</v>
      </c>
      <c r="E588" s="385"/>
      <c r="F588" s="385"/>
      <c r="G588" s="385"/>
      <c r="H588" s="385">
        <v>2024</v>
      </c>
      <c r="I588" s="385" t="s">
        <v>4628</v>
      </c>
      <c r="J588" s="30"/>
      <c r="K588" s="385"/>
      <c r="L588" s="385"/>
      <c r="M588" s="385"/>
      <c r="N588" s="385"/>
      <c r="O588" s="385"/>
      <c r="P588" s="385" t="str">
        <f>IFERROR(
    IF(
        OR(ISBLANK(I588), ISBLANK(L588)),
        "",
        MAX(
            1,
            IF(
                NETWORKDAYS(I588, L588, Holiday_Dates) &lt;= 0,
                1,
                NETWORKDAYS(I588, L588, Holiday_Dates) - IF(I588 = L588, 0, 1)
            )
        )
    ),
    ""
)</f>
        <v/>
      </c>
      <c r="Q588" s="385" t="str">
        <f>IF(
    OR(ISBLANK(L588), ISBLANK(M588)),
    "",
    MAX(
        1,
        IF(
            NETWORKDAYS(L588, M588, Holiday_Dates) &lt;= 0,
            1,
            NETWORKDAYS(L588, M588, Holiday_Dates) - IF(L588 = M588, 0, 1)
        )
    )
)</f>
        <v/>
      </c>
      <c r="R588" s="385" t="str">
        <f>IFERROR(
    IF(
        OR(ISBLANK(N588), AND(ISBLANK(L588), ISBLANK(M588))),
        "",
        MAX(
            1,
            IF(
                NETWORKDAYS(IF(NOT(ISBLANK(M588)), M588, L588), N588, Holiday_Dates) &lt;= 0,
                1,
                NETWORKDAYS(IF(NOT(ISBLANK(M588)), M588, L588), N588, Holiday_Dates)
                - IF(IF(NOT(ISBLANK(M588)), M588, L588) = N588, 0, 1)
            )
        )
    ),
    ""
)</f>
        <v/>
      </c>
      <c r="S588" s="385" t="str">
        <f>IFERROR(
    IF(
        OR(ISBLANK(N588), ISBLANK(O588)),
        "",
        MAX(
            1,
            IF(
                NETWORKDAYS(N588, O588, Holiday_Dates) &lt;= 0,
                1,
                NETWORKDAYS(N588, O588, Holiday_Dates) - IF(N588 = O588, 0, 1)
            )
        )
    ),
    ""
)</f>
        <v/>
      </c>
      <c r="T588" s="385"/>
      <c r="U588" s="385" t="s">
        <v>672</v>
      </c>
      <c r="V588" s="385"/>
      <c r="W588" s="385" t="s">
        <v>1436</v>
      </c>
      <c r="X588" s="1"/>
    </row>
    <row r="589" spans="1:24">
      <c r="A589" s="385" t="s">
        <v>49</v>
      </c>
      <c r="B589" s="385" t="s">
        <v>2417</v>
      </c>
      <c r="C589" s="385" t="s">
        <v>926</v>
      </c>
      <c r="D589" s="385" t="s">
        <v>88</v>
      </c>
      <c r="E589" s="385"/>
      <c r="F589" s="385"/>
      <c r="G589" s="385"/>
      <c r="H589" s="385">
        <v>2025</v>
      </c>
      <c r="I589" s="386">
        <v>45674</v>
      </c>
      <c r="J589" s="30" t="s">
        <v>4833</v>
      </c>
      <c r="K589" s="385"/>
      <c r="L589" s="385"/>
      <c r="M589" s="385"/>
      <c r="N589" s="385"/>
      <c r="O589" s="385"/>
      <c r="P589" s="385" t="str">
        <f>IFERROR(
    IF(
        OR(ISBLANK(I589), ISBLANK(L589)),
        "",
        MAX(
            1,
            IF(
                NETWORKDAYS(I589, L589, Holiday_Dates) &lt;= 0,
                1,
                NETWORKDAYS(I589, L589, Holiday_Dates) - IF(I589 = L589, 0, 1)
            )
        )
    ),
    ""
)</f>
        <v/>
      </c>
      <c r="Q589" s="385" t="str">
        <f>IF(
    OR(ISBLANK(L589), ISBLANK(M589)),
    "",
    MAX(
        1,
        IF(
            NETWORKDAYS(L589, M589, Holiday_Dates) &lt;= 0,
            1,
            NETWORKDAYS(L589, M589, Holiday_Dates) - IF(L589 = M589, 0, 1)
        )
    )
)</f>
        <v/>
      </c>
      <c r="R589" s="385" t="str">
        <f>IFERROR(
    IF(
        OR(ISBLANK(N589), AND(ISBLANK(L589), ISBLANK(M589))),
        "",
        MAX(
            1,
            IF(
                NETWORKDAYS(IF(NOT(ISBLANK(M589)), M589, L589), N589, Holiday_Dates) &lt;= 0,
                1,
                NETWORKDAYS(IF(NOT(ISBLANK(M589)), M589, L589), N589, Holiday_Dates)
                - IF(IF(NOT(ISBLANK(M589)), M589, L589) = N589, 0, 1)
            )
        )
    ),
    ""
)</f>
        <v/>
      </c>
      <c r="S589" s="385" t="str">
        <f>IFERROR(
    IF(
        OR(ISBLANK(N589), ISBLANK(O589)),
        "",
        MAX(
            1,
            IF(
                NETWORKDAYS(N589, O589, Holiday_Dates) &lt;= 0,
                1,
                NETWORKDAYS(N589, O589, Holiday_Dates) - IF(N589 = O589, 0, 1)
            )
        )
    ),
    ""
)</f>
        <v/>
      </c>
      <c r="T589" s="385"/>
      <c r="U589" s="385" t="s">
        <v>4</v>
      </c>
      <c r="V589" s="385" t="s">
        <v>101</v>
      </c>
      <c r="W589" s="385" t="s">
        <v>1436</v>
      </c>
      <c r="X589" s="1"/>
    </row>
    <row r="590" spans="1:24">
      <c r="A590" s="385" t="s">
        <v>49</v>
      </c>
      <c r="B590" s="385" t="s">
        <v>2417</v>
      </c>
      <c r="C590" s="385" t="s">
        <v>2443</v>
      </c>
      <c r="D590" s="385" t="s">
        <v>88</v>
      </c>
      <c r="E590" s="385"/>
      <c r="F590" s="385"/>
      <c r="G590" s="385"/>
      <c r="H590" s="385">
        <v>2025</v>
      </c>
      <c r="I590" s="386">
        <v>45883</v>
      </c>
      <c r="J590" s="30" t="s">
        <v>4834</v>
      </c>
      <c r="K590" s="385"/>
      <c r="L590" s="385"/>
      <c r="M590" s="385"/>
      <c r="N590" s="385"/>
      <c r="O590" s="385"/>
      <c r="P590" s="385" t="str">
        <f>IFERROR(
    IF(
        OR(ISBLANK(I590), ISBLANK(L590)),
        "",
        MAX(
            1,
            IF(
                NETWORKDAYS(I590, L590, Holiday_Dates) &lt;= 0,
                1,
                NETWORKDAYS(I590, L590, Holiday_Dates) - IF(I590 = L590, 0, 1)
            )
        )
    ),
    ""
)</f>
        <v/>
      </c>
      <c r="Q590" s="385" t="str">
        <f>IF(
    OR(ISBLANK(L590), ISBLANK(M590)),
    "",
    MAX(
        1,
        IF(
            NETWORKDAYS(L590, M590, Holiday_Dates) &lt;= 0,
            1,
            NETWORKDAYS(L590, M590, Holiday_Dates) - IF(L590 = M590, 0, 1)
        )
    )
)</f>
        <v/>
      </c>
      <c r="R590" s="385" t="str">
        <f>IFERROR(
    IF(
        OR(ISBLANK(N590), AND(ISBLANK(L590), ISBLANK(M590))),
        "",
        MAX(
            1,
            IF(
                NETWORKDAYS(IF(NOT(ISBLANK(M590)), M590, L590), N590, Holiday_Dates) &lt;= 0,
                1,
                NETWORKDAYS(IF(NOT(ISBLANK(M590)), M590, L590), N590, Holiday_Dates)
                - IF(IF(NOT(ISBLANK(M590)), M590, L590) = N590, 0, 1)
            )
        )
    ),
    ""
)</f>
        <v/>
      </c>
      <c r="S590" s="385" t="str">
        <f>IFERROR(
    IF(
        OR(ISBLANK(N590), ISBLANK(O590)),
        "",
        MAX(
            1,
            IF(
                NETWORKDAYS(N590, O590, Holiday_Dates) &lt;= 0,
                1,
                NETWORKDAYS(N590, O590, Holiday_Dates) - IF(N590 = O590, 0, 1)
            )
        )
    ),
    ""
)</f>
        <v/>
      </c>
      <c r="T590" s="385"/>
      <c r="U590" s="385" t="s">
        <v>672</v>
      </c>
      <c r="V590" s="385" t="s">
        <v>101</v>
      </c>
      <c r="W590" s="385" t="s">
        <v>1436</v>
      </c>
      <c r="X590" s="1"/>
    </row>
    <row r="591" spans="1:24">
      <c r="A591" s="385" t="s">
        <v>49</v>
      </c>
      <c r="B591" s="385" t="s">
        <v>2417</v>
      </c>
      <c r="C591" s="385" t="s">
        <v>726</v>
      </c>
      <c r="D591" s="385" t="s">
        <v>88</v>
      </c>
      <c r="E591" s="385"/>
      <c r="F591" s="385"/>
      <c r="G591" s="385"/>
      <c r="H591" s="385">
        <v>2025</v>
      </c>
      <c r="I591" s="386">
        <v>45883</v>
      </c>
      <c r="J591" s="30" t="s">
        <v>4835</v>
      </c>
      <c r="K591" s="385"/>
      <c r="L591" s="385"/>
      <c r="M591" s="385"/>
      <c r="N591" s="385"/>
      <c r="O591" s="385"/>
      <c r="P591" s="385" t="str">
        <f>IFERROR(
    IF(
        OR(ISBLANK(I591), ISBLANK(L591)),
        "",
        MAX(
            1,
            IF(
                NETWORKDAYS(I591, L591, Holiday_Dates) &lt;= 0,
                1,
                NETWORKDAYS(I591, L591, Holiday_Dates) - IF(I591 = L591, 0, 1)
            )
        )
    ),
    ""
)</f>
        <v/>
      </c>
      <c r="Q591" s="385" t="str">
        <f>IF(
    OR(ISBLANK(L591), ISBLANK(M591)),
    "",
    MAX(
        1,
        IF(
            NETWORKDAYS(L591, M591, Holiday_Dates) &lt;= 0,
            1,
            NETWORKDAYS(L591, M591, Holiday_Dates) - IF(L591 = M591, 0, 1)
        )
    )
)</f>
        <v/>
      </c>
      <c r="R591" s="385" t="str">
        <f>IFERROR(
    IF(
        OR(ISBLANK(N591), AND(ISBLANK(L591), ISBLANK(M591))),
        "",
        MAX(
            1,
            IF(
                NETWORKDAYS(IF(NOT(ISBLANK(M591)), M591, L591), N591, Holiday_Dates) &lt;= 0,
                1,
                NETWORKDAYS(IF(NOT(ISBLANK(M591)), M591, L591), N591, Holiday_Dates)
                - IF(IF(NOT(ISBLANK(M591)), M591, L591) = N591, 0, 1)
            )
        )
    ),
    ""
)</f>
        <v/>
      </c>
      <c r="S591" s="385" t="str">
        <f>IFERROR(
    IF(
        OR(ISBLANK(N591), ISBLANK(O591)),
        "",
        MAX(
            1,
            IF(
                NETWORKDAYS(N591, O591, Holiday_Dates) &lt;= 0,
                1,
                NETWORKDAYS(N591, O591, Holiday_Dates) - IF(N591 = O591, 0, 1)
            )
        )
    ),
    ""
)</f>
        <v/>
      </c>
      <c r="T591" s="385"/>
      <c r="U591" s="385" t="s">
        <v>4</v>
      </c>
      <c r="V591" s="385" t="s">
        <v>101</v>
      </c>
      <c r="W591" s="385" t="s">
        <v>1436</v>
      </c>
      <c r="X591" s="1"/>
    </row>
    <row r="592" spans="1:24">
      <c r="A592" s="385" t="s">
        <v>49</v>
      </c>
      <c r="B592" s="385" t="s">
        <v>2417</v>
      </c>
      <c r="C592" s="385" t="s">
        <v>2071</v>
      </c>
      <c r="D592" s="385" t="s">
        <v>88</v>
      </c>
      <c r="E592" s="385"/>
      <c r="F592" s="385"/>
      <c r="G592" s="385"/>
      <c r="H592" s="385">
        <v>2024</v>
      </c>
      <c r="I592" s="385" t="s">
        <v>4594</v>
      </c>
      <c r="J592" s="30"/>
      <c r="K592" s="385"/>
      <c r="L592" s="385"/>
      <c r="M592" s="385"/>
      <c r="N592" s="385"/>
      <c r="O592" s="385"/>
      <c r="P592" s="385" t="str">
        <f>IFERROR(
    IF(
        OR(ISBLANK(I592), ISBLANK(L592)),
        "",
        MAX(
            1,
            IF(
                NETWORKDAYS(I592, L592, Holiday_Dates) &lt;= 0,
                1,
                NETWORKDAYS(I592, L592, Holiday_Dates) - IF(I592 = L592, 0, 1)
            )
        )
    ),
    ""
)</f>
        <v/>
      </c>
      <c r="Q592" s="385" t="str">
        <f>IF(
    OR(ISBLANK(L592), ISBLANK(M592)),
    "",
    MAX(
        1,
        IF(
            NETWORKDAYS(L592, M592, Holiday_Dates) &lt;= 0,
            1,
            NETWORKDAYS(L592, M592, Holiday_Dates) - IF(L592 = M592, 0, 1)
        )
    )
)</f>
        <v/>
      </c>
      <c r="R592" s="385" t="str">
        <f>IFERROR(
    IF(
        OR(ISBLANK(N592), AND(ISBLANK(L592), ISBLANK(M592))),
        "",
        MAX(
            1,
            IF(
                NETWORKDAYS(IF(NOT(ISBLANK(M592)), M592, L592), N592, Holiday_Dates) &lt;= 0,
                1,
                NETWORKDAYS(IF(NOT(ISBLANK(M592)), M592, L592), N592, Holiday_Dates)
                - IF(IF(NOT(ISBLANK(M592)), M592, L592) = N592, 0, 1)
            )
        )
    ),
    ""
)</f>
        <v/>
      </c>
      <c r="S592" s="385" t="str">
        <f>IFERROR(
    IF(
        OR(ISBLANK(N592), ISBLANK(O592)),
        "",
        MAX(
            1,
            IF(
                NETWORKDAYS(N592, O592, Holiday_Dates) &lt;= 0,
                1,
                NETWORKDAYS(N592, O592, Holiday_Dates) - IF(N592 = O592, 0, 1)
            )
        )
    ),
    ""
)</f>
        <v/>
      </c>
      <c r="T592" s="385"/>
      <c r="U592" s="385" t="s">
        <v>672</v>
      </c>
      <c r="V592" s="385"/>
      <c r="W592" s="385" t="s">
        <v>1436</v>
      </c>
      <c r="X592" s="1"/>
    </row>
    <row r="593" spans="1:24">
      <c r="A593" s="385" t="s">
        <v>49</v>
      </c>
      <c r="B593" s="385" t="s">
        <v>2417</v>
      </c>
      <c r="C593" s="385" t="s">
        <v>2445</v>
      </c>
      <c r="D593" s="385" t="s">
        <v>88</v>
      </c>
      <c r="E593" s="385"/>
      <c r="F593" s="385"/>
      <c r="G593" s="385"/>
      <c r="H593" s="385">
        <v>2025</v>
      </c>
      <c r="I593" s="386">
        <v>45883</v>
      </c>
      <c r="J593" s="30" t="s">
        <v>4836</v>
      </c>
      <c r="K593" s="385"/>
      <c r="L593" s="385"/>
      <c r="M593" s="385"/>
      <c r="N593" s="385"/>
      <c r="O593" s="385"/>
      <c r="P593" s="385" t="str">
        <f>IFERROR(
    IF(
        OR(ISBLANK(I593), ISBLANK(L593)),
        "",
        MAX(
            1,
            IF(
                NETWORKDAYS(I593, L593, Holiday_Dates) &lt;= 0,
                1,
                NETWORKDAYS(I593, L593, Holiday_Dates) - IF(I593 = L593, 0, 1)
            )
        )
    ),
    ""
)</f>
        <v/>
      </c>
      <c r="Q593" s="385" t="str">
        <f>IF(
    OR(ISBLANK(L593), ISBLANK(M593)),
    "",
    MAX(
        1,
        IF(
            NETWORKDAYS(L593, M593, Holiday_Dates) &lt;= 0,
            1,
            NETWORKDAYS(L593, M593, Holiday_Dates) - IF(L593 = M593, 0, 1)
        )
    )
)</f>
        <v/>
      </c>
      <c r="R593" s="385" t="str">
        <f>IFERROR(
    IF(
        OR(ISBLANK(N593), AND(ISBLANK(L593), ISBLANK(M593))),
        "",
        MAX(
            1,
            IF(
                NETWORKDAYS(IF(NOT(ISBLANK(M593)), M593, L593), N593, Holiday_Dates) &lt;= 0,
                1,
                NETWORKDAYS(IF(NOT(ISBLANK(M593)), M593, L593), N593, Holiday_Dates)
                - IF(IF(NOT(ISBLANK(M593)), M593, L593) = N593, 0, 1)
            )
        )
    ),
    ""
)</f>
        <v/>
      </c>
      <c r="S593" s="385" t="str">
        <f>IFERROR(
    IF(
        OR(ISBLANK(N593), ISBLANK(O593)),
        "",
        MAX(
            1,
            IF(
                NETWORKDAYS(N593, O593, Holiday_Dates) &lt;= 0,
                1,
                NETWORKDAYS(N593, O593, Holiday_Dates) - IF(N593 = O593, 0, 1)
            )
        )
    ),
    ""
)</f>
        <v/>
      </c>
      <c r="T593" s="385"/>
      <c r="U593" s="385" t="s">
        <v>4</v>
      </c>
      <c r="V593" s="385" t="s">
        <v>101</v>
      </c>
      <c r="W593" s="385" t="s">
        <v>1436</v>
      </c>
      <c r="X593" s="1"/>
    </row>
    <row r="594" spans="1:24">
      <c r="A594" s="385" t="s">
        <v>49</v>
      </c>
      <c r="B594" s="385" t="s">
        <v>2573</v>
      </c>
      <c r="C594" s="385" t="s">
        <v>2598</v>
      </c>
      <c r="D594" s="385" t="s">
        <v>88</v>
      </c>
      <c r="E594" s="385" t="s">
        <v>136</v>
      </c>
      <c r="F594" s="385"/>
      <c r="G594" s="385" t="s">
        <v>128</v>
      </c>
      <c r="H594" s="385">
        <v>2026</v>
      </c>
      <c r="I594" s="386">
        <v>46065</v>
      </c>
      <c r="J594" s="30" t="s">
        <v>4837</v>
      </c>
      <c r="K594" s="385" t="s">
        <v>62</v>
      </c>
      <c r="L594" s="386">
        <v>46071</v>
      </c>
      <c r="M594" s="385"/>
      <c r="N594" s="386">
        <v>46071</v>
      </c>
      <c r="O594" s="386">
        <v>46071</v>
      </c>
      <c r="P594" s="385">
        <f>IFERROR(
    IF(
        OR(ISBLANK(I594), ISBLANK(L594)),
        "",
        MAX(
            1,
            IF(
                NETWORKDAYS(I594, L594, Holiday_Dates) &lt;= 0,
                1,
                NETWORKDAYS(I594, L594, Holiday_Dates) - IF(I594 = L594, 0, 1)
            )
        )
    ),
    ""
)</f>
        <v>4</v>
      </c>
      <c r="Q594" s="385" t="str">
        <f>IF(
    OR(ISBLANK(L594), ISBLANK(M594)),
    "",
    MAX(
        1,
        IF(
            NETWORKDAYS(L594, M594, Holiday_Dates) &lt;= 0,
            1,
            NETWORKDAYS(L594, M594, Holiday_Dates) - IF(L594 = M594, 0, 1)
        )
    )
)</f>
        <v/>
      </c>
      <c r="R594" s="385">
        <f>IFERROR(
    IF(
        OR(ISBLANK(N594), AND(ISBLANK(L594), ISBLANK(M594))),
        "",
        MAX(
            1,
            IF(
                NETWORKDAYS(IF(NOT(ISBLANK(M594)), M594, L594), N594, Holiday_Dates) &lt;= 0,
                1,
                NETWORKDAYS(IF(NOT(ISBLANK(M594)), M594, L594), N594, Holiday_Dates)
                - IF(IF(NOT(ISBLANK(M594)), M594, L594) = N594, 0, 1)
            )
        )
    ),
    ""
)</f>
        <v>1</v>
      </c>
      <c r="S594" s="385">
        <f>IFERROR(
    IF(
        OR(ISBLANK(N594), ISBLANK(O594)),
        "",
        MAX(
            1,
            IF(
                NETWORKDAYS(N594, O594, Holiday_Dates) &lt;= 0,
                1,
                NETWORKDAYS(N594, O594, Holiday_Dates) - IF(N594 = O594, 0, 1)
            )
        )
    ),
    ""
)</f>
        <v>1</v>
      </c>
      <c r="T594" s="385" t="s">
        <v>929</v>
      </c>
      <c r="U594" s="385" t="s">
        <v>4</v>
      </c>
      <c r="V594" s="385" t="s">
        <v>101</v>
      </c>
      <c r="W594" s="385" t="s">
        <v>4710</v>
      </c>
      <c r="X594" s="1"/>
    </row>
    <row r="595" spans="1:24">
      <c r="A595" s="385" t="s">
        <v>49</v>
      </c>
      <c r="B595" s="385" t="s">
        <v>2573</v>
      </c>
      <c r="C595" s="385" t="s">
        <v>2599</v>
      </c>
      <c r="D595" s="385" t="s">
        <v>88</v>
      </c>
      <c r="E595" s="385" t="s">
        <v>136</v>
      </c>
      <c r="F595" s="385"/>
      <c r="G595" s="385" t="s">
        <v>128</v>
      </c>
      <c r="H595" s="385">
        <v>2026</v>
      </c>
      <c r="I595" s="386">
        <v>46065</v>
      </c>
      <c r="J595" s="30" t="s">
        <v>4838</v>
      </c>
      <c r="K595" s="385" t="s">
        <v>62</v>
      </c>
      <c r="L595" s="386">
        <v>46071</v>
      </c>
      <c r="M595" s="385"/>
      <c r="N595" s="386">
        <v>46071</v>
      </c>
      <c r="O595" s="386">
        <v>46071</v>
      </c>
      <c r="P595" s="385">
        <f>IFERROR(
    IF(
        OR(ISBLANK(I595), ISBLANK(L595)),
        "",
        MAX(
            1,
            IF(
                NETWORKDAYS(I595, L595, Holiday_Dates) &lt;= 0,
                1,
                NETWORKDAYS(I595, L595, Holiday_Dates) - IF(I595 = L595, 0, 1)
            )
        )
    ),
    ""
)</f>
        <v>4</v>
      </c>
      <c r="Q595" s="385" t="str">
        <f>IF(
    OR(ISBLANK(L595), ISBLANK(M595)),
    "",
    MAX(
        1,
        IF(
            NETWORKDAYS(L595, M595, Holiday_Dates) &lt;= 0,
            1,
            NETWORKDAYS(L595, M595, Holiday_Dates) - IF(L595 = M595, 0, 1)
        )
    )
)</f>
        <v/>
      </c>
      <c r="R595" s="385">
        <f>IFERROR(
    IF(
        OR(ISBLANK(N595), AND(ISBLANK(L595), ISBLANK(M595))),
        "",
        MAX(
            1,
            IF(
                NETWORKDAYS(IF(NOT(ISBLANK(M595)), M595, L595), N595, Holiday_Dates) &lt;= 0,
                1,
                NETWORKDAYS(IF(NOT(ISBLANK(M595)), M595, L595), N595, Holiday_Dates)
                - IF(IF(NOT(ISBLANK(M595)), M595, L595) = N595, 0, 1)
            )
        )
    ),
    ""
)</f>
        <v>1</v>
      </c>
      <c r="S595" s="385">
        <f>IFERROR(
    IF(
        OR(ISBLANK(N595), ISBLANK(O595)),
        "",
        MAX(
            1,
            IF(
                NETWORKDAYS(N595, O595, Holiday_Dates) &lt;= 0,
                1,
                NETWORKDAYS(N595, O595, Holiday_Dates) - IF(N595 = O595, 0, 1)
            )
        )
    ),
    ""
)</f>
        <v>1</v>
      </c>
      <c r="T595" s="385" t="s">
        <v>929</v>
      </c>
      <c r="U595" s="385" t="s">
        <v>4</v>
      </c>
      <c r="V595" s="385" t="s">
        <v>101</v>
      </c>
      <c r="W595" s="385" t="s">
        <v>4710</v>
      </c>
      <c r="X595" s="1"/>
    </row>
    <row r="596" spans="1:24">
      <c r="A596" s="385" t="s">
        <v>49</v>
      </c>
      <c r="B596" s="385" t="s">
        <v>2573</v>
      </c>
      <c r="C596" s="385" t="s">
        <v>2574</v>
      </c>
      <c r="D596" s="385" t="s">
        <v>88</v>
      </c>
      <c r="E596" s="385"/>
      <c r="F596" s="385"/>
      <c r="G596" s="385"/>
      <c r="H596" s="385">
        <v>2025</v>
      </c>
      <c r="I596" s="386">
        <v>45849</v>
      </c>
      <c r="J596" s="30" t="s">
        <v>4839</v>
      </c>
      <c r="K596" s="385"/>
      <c r="L596" s="385"/>
      <c r="M596" s="385"/>
      <c r="N596" s="385"/>
      <c r="O596" s="385"/>
      <c r="P596" s="385" t="str">
        <f>IFERROR(
    IF(
        OR(ISBLANK(I596), ISBLANK(L596)),
        "",
        MAX(
            1,
            IF(
                NETWORKDAYS(I596, L596, Holiday_Dates) &lt;= 0,
                1,
                NETWORKDAYS(I596, L596, Holiday_Dates) - IF(I596 = L596, 0, 1)
            )
        )
    ),
    ""
)</f>
        <v/>
      </c>
      <c r="Q596" s="385" t="str">
        <f>IF(
    OR(ISBLANK(L596), ISBLANK(M596)),
    "",
    MAX(
        1,
        IF(
            NETWORKDAYS(L596, M596, Holiday_Dates) &lt;= 0,
            1,
            NETWORKDAYS(L596, M596, Holiday_Dates) - IF(L596 = M596, 0, 1)
        )
    )
)</f>
        <v/>
      </c>
      <c r="R596" s="385" t="str">
        <f>IFERROR(
    IF(
        OR(ISBLANK(N596), AND(ISBLANK(L596), ISBLANK(M596))),
        "",
        MAX(
            1,
            IF(
                NETWORKDAYS(IF(NOT(ISBLANK(M596)), M596, L596), N596, Holiday_Dates) &lt;= 0,
                1,
                NETWORKDAYS(IF(NOT(ISBLANK(M596)), M596, L596), N596, Holiday_Dates)
                - IF(IF(NOT(ISBLANK(M596)), M596, L596) = N596, 0, 1)
            )
        )
    ),
    ""
)</f>
        <v/>
      </c>
      <c r="S596" s="385" t="str">
        <f>IFERROR(
    IF(
        OR(ISBLANK(N596), ISBLANK(O596)),
        "",
        MAX(
            1,
            IF(
                NETWORKDAYS(N596, O596, Holiday_Dates) &lt;= 0,
                1,
                NETWORKDAYS(N596, O596, Holiday_Dates) - IF(N596 = O596, 0, 1)
            )
        )
    ),
    ""
)</f>
        <v/>
      </c>
      <c r="T596" s="385"/>
      <c r="U596" s="385" t="s">
        <v>672</v>
      </c>
      <c r="V596" s="385" t="s">
        <v>1676</v>
      </c>
      <c r="W596" s="385" t="s">
        <v>1436</v>
      </c>
      <c r="X596" s="1"/>
    </row>
    <row r="597" spans="1:24">
      <c r="A597" s="385" t="s">
        <v>49</v>
      </c>
      <c r="B597" s="385" t="s">
        <v>2573</v>
      </c>
      <c r="C597" s="385" t="s">
        <v>2586</v>
      </c>
      <c r="D597" s="385" t="s">
        <v>88</v>
      </c>
      <c r="E597" s="385"/>
      <c r="F597" s="385"/>
      <c r="G597" s="385"/>
      <c r="H597" s="385">
        <v>2025</v>
      </c>
      <c r="I597" s="386">
        <v>45849</v>
      </c>
      <c r="J597" s="30" t="s">
        <v>4840</v>
      </c>
      <c r="K597" s="385"/>
      <c r="L597" s="385"/>
      <c r="M597" s="385"/>
      <c r="N597" s="385"/>
      <c r="O597" s="385"/>
      <c r="P597" s="385" t="str">
        <f>IFERROR(
    IF(
        OR(ISBLANK(I597), ISBLANK(L597)),
        "",
        MAX(
            1,
            IF(
                NETWORKDAYS(I597, L597, Holiday_Dates) &lt;= 0,
                1,
                NETWORKDAYS(I597, L597, Holiday_Dates) - IF(I597 = L597, 0, 1)
            )
        )
    ),
    ""
)</f>
        <v/>
      </c>
      <c r="Q597" s="385" t="str">
        <f>IF(
    OR(ISBLANK(L597), ISBLANK(M597)),
    "",
    MAX(
        1,
        IF(
            NETWORKDAYS(L597, M597, Holiday_Dates) &lt;= 0,
            1,
            NETWORKDAYS(L597, M597, Holiday_Dates) - IF(L597 = M597, 0, 1)
        )
    )
)</f>
        <v/>
      </c>
      <c r="R597" s="385" t="str">
        <f>IFERROR(
    IF(
        OR(ISBLANK(N597), AND(ISBLANK(L597), ISBLANK(M597))),
        "",
        MAX(
            1,
            IF(
                NETWORKDAYS(IF(NOT(ISBLANK(M597)), M597, L597), N597, Holiday_Dates) &lt;= 0,
                1,
                NETWORKDAYS(IF(NOT(ISBLANK(M597)), M597, L597), N597, Holiday_Dates)
                - IF(IF(NOT(ISBLANK(M597)), M597, L597) = N597, 0, 1)
            )
        )
    ),
    ""
)</f>
        <v/>
      </c>
      <c r="S597" s="385" t="str">
        <f>IFERROR(
    IF(
        OR(ISBLANK(N597), ISBLANK(O597)),
        "",
        MAX(
            1,
            IF(
                NETWORKDAYS(N597, O597, Holiday_Dates) &lt;= 0,
                1,
                NETWORKDAYS(N597, O597, Holiday_Dates) - IF(N597 = O597, 0, 1)
            )
        )
    ),
    ""
)</f>
        <v/>
      </c>
      <c r="T597" s="385"/>
      <c r="U597" s="385" t="s">
        <v>672</v>
      </c>
      <c r="V597" s="385" t="s">
        <v>1676</v>
      </c>
      <c r="W597" s="385" t="s">
        <v>1436</v>
      </c>
      <c r="X597" s="1"/>
    </row>
    <row r="598" spans="1:24">
      <c r="A598" s="385" t="s">
        <v>49</v>
      </c>
      <c r="B598" s="385" t="s">
        <v>2573</v>
      </c>
      <c r="C598" s="385" t="s">
        <v>2602</v>
      </c>
      <c r="D598" s="385" t="s">
        <v>88</v>
      </c>
      <c r="E598" s="385" t="s">
        <v>136</v>
      </c>
      <c r="F598" s="385"/>
      <c r="G598" s="385" t="s">
        <v>128</v>
      </c>
      <c r="H598" s="385">
        <v>2026</v>
      </c>
      <c r="I598" s="386">
        <v>46065</v>
      </c>
      <c r="J598" s="30" t="s">
        <v>4841</v>
      </c>
      <c r="K598" s="385" t="s">
        <v>62</v>
      </c>
      <c r="L598" s="386">
        <v>46071</v>
      </c>
      <c r="M598" s="385"/>
      <c r="N598" s="386">
        <v>46071</v>
      </c>
      <c r="O598" s="386">
        <v>46071</v>
      </c>
      <c r="P598" s="385">
        <f>IFERROR(
    IF(
        OR(ISBLANK(I598), ISBLANK(L598)),
        "",
        MAX(
            1,
            IF(
                NETWORKDAYS(I598, L598, Holiday_Dates) &lt;= 0,
                1,
                NETWORKDAYS(I598, L598, Holiday_Dates) - IF(I598 = L598, 0, 1)
            )
        )
    ),
    ""
)</f>
        <v>4</v>
      </c>
      <c r="Q598" s="385" t="str">
        <f>IF(
    OR(ISBLANK(L598), ISBLANK(M598)),
    "",
    MAX(
        1,
        IF(
            NETWORKDAYS(L598, M598, Holiday_Dates) &lt;= 0,
            1,
            NETWORKDAYS(L598, M598, Holiday_Dates) - IF(L598 = M598, 0, 1)
        )
    )
)</f>
        <v/>
      </c>
      <c r="R598" s="385">
        <f>IFERROR(
    IF(
        OR(ISBLANK(N598), AND(ISBLANK(L598), ISBLANK(M598))),
        "",
        MAX(
            1,
            IF(
                NETWORKDAYS(IF(NOT(ISBLANK(M598)), M598, L598), N598, Holiday_Dates) &lt;= 0,
                1,
                NETWORKDAYS(IF(NOT(ISBLANK(M598)), M598, L598), N598, Holiday_Dates)
                - IF(IF(NOT(ISBLANK(M598)), M598, L598) = N598, 0, 1)
            )
        )
    ),
    ""
)</f>
        <v>1</v>
      </c>
      <c r="S598" s="385">
        <f>IFERROR(
    IF(
        OR(ISBLANK(N598), ISBLANK(O598)),
        "",
        MAX(
            1,
            IF(
                NETWORKDAYS(N598, O598, Holiday_Dates) &lt;= 0,
                1,
                NETWORKDAYS(N598, O598, Holiday_Dates) - IF(N598 = O598, 0, 1)
            )
        )
    ),
    ""
)</f>
        <v>1</v>
      </c>
      <c r="T598" s="385" t="s">
        <v>929</v>
      </c>
      <c r="U598" s="385" t="s">
        <v>4</v>
      </c>
      <c r="V598" s="385" t="s">
        <v>101</v>
      </c>
      <c r="W598" s="385" t="s">
        <v>4710</v>
      </c>
      <c r="X598" s="1"/>
    </row>
    <row r="599" spans="1:24">
      <c r="A599" s="385" t="s">
        <v>49</v>
      </c>
      <c r="B599" s="385" t="s">
        <v>2573</v>
      </c>
      <c r="C599" s="385" t="s">
        <v>2603</v>
      </c>
      <c r="D599" s="385" t="s">
        <v>88</v>
      </c>
      <c r="E599" s="385" t="s">
        <v>136</v>
      </c>
      <c r="F599" s="385"/>
      <c r="G599" s="385" t="s">
        <v>128</v>
      </c>
      <c r="H599" s="385">
        <v>2026</v>
      </c>
      <c r="I599" s="386">
        <v>46065</v>
      </c>
      <c r="J599" s="30" t="s">
        <v>4842</v>
      </c>
      <c r="K599" s="385" t="s">
        <v>62</v>
      </c>
      <c r="L599" s="386">
        <v>46071</v>
      </c>
      <c r="M599" s="385"/>
      <c r="N599" s="386">
        <v>46071</v>
      </c>
      <c r="O599" s="386">
        <v>46071</v>
      </c>
      <c r="P599" s="385">
        <f>IFERROR(
    IF(
        OR(ISBLANK(I599), ISBLANK(L599)),
        "",
        MAX(
            1,
            IF(
                NETWORKDAYS(I599, L599, Holiday_Dates) &lt;= 0,
                1,
                NETWORKDAYS(I599, L599, Holiday_Dates) - IF(I599 = L599, 0, 1)
            )
        )
    ),
    ""
)</f>
        <v>4</v>
      </c>
      <c r="Q599" s="385" t="str">
        <f>IF(
    OR(ISBLANK(L599), ISBLANK(M599)),
    "",
    MAX(
        1,
        IF(
            NETWORKDAYS(L599, M599, Holiday_Dates) &lt;= 0,
            1,
            NETWORKDAYS(L599, M599, Holiday_Dates) - IF(L599 = M599, 0, 1)
        )
    )
)</f>
        <v/>
      </c>
      <c r="R599" s="385">
        <f>IFERROR(
    IF(
        OR(ISBLANK(N599), AND(ISBLANK(L599), ISBLANK(M599))),
        "",
        MAX(
            1,
            IF(
                NETWORKDAYS(IF(NOT(ISBLANK(M599)), M599, L599), N599, Holiday_Dates) &lt;= 0,
                1,
                NETWORKDAYS(IF(NOT(ISBLANK(M599)), M599, L599), N599, Holiday_Dates)
                - IF(IF(NOT(ISBLANK(M599)), M599, L599) = N599, 0, 1)
            )
        )
    ),
    ""
)</f>
        <v>1</v>
      </c>
      <c r="S599" s="385">
        <f>IFERROR(
    IF(
        OR(ISBLANK(N599), ISBLANK(O599)),
        "",
        MAX(
            1,
            IF(
                NETWORKDAYS(N599, O599, Holiday_Dates) &lt;= 0,
                1,
                NETWORKDAYS(N599, O599, Holiday_Dates) - IF(N599 = O599, 0, 1)
            )
        )
    ),
    ""
)</f>
        <v>1</v>
      </c>
      <c r="T599" s="385" t="s">
        <v>929</v>
      </c>
      <c r="U599" s="385" t="s">
        <v>4</v>
      </c>
      <c r="V599" s="385" t="s">
        <v>101</v>
      </c>
      <c r="W599" s="385" t="s">
        <v>4710</v>
      </c>
      <c r="X599" s="1"/>
    </row>
    <row r="600" spans="1:24">
      <c r="A600" s="385" t="s">
        <v>49</v>
      </c>
      <c r="B600" s="385" t="s">
        <v>2573</v>
      </c>
      <c r="C600" s="385" t="s">
        <v>4843</v>
      </c>
      <c r="D600" s="385" t="s">
        <v>88</v>
      </c>
      <c r="E600" s="385" t="s">
        <v>136</v>
      </c>
      <c r="F600" s="385"/>
      <c r="G600" s="385" t="s">
        <v>128</v>
      </c>
      <c r="H600" s="385">
        <v>2026</v>
      </c>
      <c r="I600" s="386">
        <v>46065</v>
      </c>
      <c r="J600" s="30" t="s">
        <v>4844</v>
      </c>
      <c r="K600" s="385" t="s">
        <v>62</v>
      </c>
      <c r="L600" s="386">
        <v>46071</v>
      </c>
      <c r="M600" s="385"/>
      <c r="N600" s="386">
        <v>46071</v>
      </c>
      <c r="O600" s="386">
        <v>46071</v>
      </c>
      <c r="P600" s="385">
        <f>IFERROR(
    IF(
        OR(ISBLANK(I600), ISBLANK(L600)),
        "",
        MAX(
            1,
            IF(
                NETWORKDAYS(I600, L600, Holiday_Dates) &lt;= 0,
                1,
                NETWORKDAYS(I600, L600, Holiday_Dates) - IF(I600 = L600, 0, 1)
            )
        )
    ),
    ""
)</f>
        <v>4</v>
      </c>
      <c r="Q600" s="385" t="str">
        <f>IF(
    OR(ISBLANK(L600), ISBLANK(M600)),
    "",
    MAX(
        1,
        IF(
            NETWORKDAYS(L600, M600, Holiday_Dates) &lt;= 0,
            1,
            NETWORKDAYS(L600, M600, Holiday_Dates) - IF(L600 = M600, 0, 1)
        )
    )
)</f>
        <v/>
      </c>
      <c r="R600" s="385">
        <f>IFERROR(
    IF(
        OR(ISBLANK(N600), AND(ISBLANK(L600), ISBLANK(M600))),
        "",
        MAX(
            1,
            IF(
                NETWORKDAYS(IF(NOT(ISBLANK(M600)), M600, L600), N600, Holiday_Dates) &lt;= 0,
                1,
                NETWORKDAYS(IF(NOT(ISBLANK(M600)), M600, L600), N600, Holiday_Dates)
                - IF(IF(NOT(ISBLANK(M600)), M600, L600) = N600, 0, 1)
            )
        )
    ),
    ""
)</f>
        <v>1</v>
      </c>
      <c r="S600" s="385">
        <f>IFERROR(
    IF(
        OR(ISBLANK(N600), ISBLANK(O600)),
        "",
        MAX(
            1,
            IF(
                NETWORKDAYS(N600, O600, Holiday_Dates) &lt;= 0,
                1,
                NETWORKDAYS(N600, O600, Holiday_Dates) - IF(N600 = O600, 0, 1)
            )
        )
    ),
    ""
)</f>
        <v>1</v>
      </c>
      <c r="T600" s="385" t="s">
        <v>929</v>
      </c>
      <c r="U600" s="385" t="s">
        <v>4</v>
      </c>
      <c r="V600" s="385" t="s">
        <v>101</v>
      </c>
      <c r="W600" s="385" t="s">
        <v>4710</v>
      </c>
      <c r="X600" s="1"/>
    </row>
    <row r="601" spans="1:24">
      <c r="A601" s="385" t="s">
        <v>49</v>
      </c>
      <c r="B601" s="385" t="s">
        <v>2573</v>
      </c>
      <c r="C601" s="385" t="s">
        <v>2575</v>
      </c>
      <c r="D601" s="385" t="s">
        <v>88</v>
      </c>
      <c r="E601" s="385"/>
      <c r="F601" s="385"/>
      <c r="G601" s="385"/>
      <c r="H601" s="385">
        <v>2024</v>
      </c>
      <c r="I601" s="386">
        <v>45575</v>
      </c>
      <c r="J601" s="30"/>
      <c r="K601" s="385"/>
      <c r="L601" s="385"/>
      <c r="M601" s="385"/>
      <c r="N601" s="385"/>
      <c r="O601" s="385"/>
      <c r="P601" s="385" t="str">
        <f>IFERROR(
    IF(
        OR(ISBLANK(I601), ISBLANK(L601)),
        "",
        MAX(
            1,
            IF(
                NETWORKDAYS(I601, L601, Holiday_Dates) &lt;= 0,
                1,
                NETWORKDAYS(I601, L601, Holiday_Dates) - IF(I601 = L601, 0, 1)
            )
        )
    ),
    ""
)</f>
        <v/>
      </c>
      <c r="Q601" s="385" t="str">
        <f>IF(
    OR(ISBLANK(L601), ISBLANK(M601)),
    "",
    MAX(
        1,
        IF(
            NETWORKDAYS(L601, M601, Holiday_Dates) &lt;= 0,
            1,
            NETWORKDAYS(L601, M601, Holiday_Dates) - IF(L601 = M601, 0, 1)
        )
    )
)</f>
        <v/>
      </c>
      <c r="R601" s="385" t="str">
        <f>IFERROR(
    IF(
        OR(ISBLANK(N601), AND(ISBLANK(L601), ISBLANK(M601))),
        "",
        MAX(
            1,
            IF(
                NETWORKDAYS(IF(NOT(ISBLANK(M601)), M601, L601), N601, Holiday_Dates) &lt;= 0,
                1,
                NETWORKDAYS(IF(NOT(ISBLANK(M601)), M601, L601), N601, Holiday_Dates)
                - IF(IF(NOT(ISBLANK(M601)), M601, L601) = N601, 0, 1)
            )
        )
    ),
    ""
)</f>
        <v/>
      </c>
      <c r="S601" s="385" t="str">
        <f>IFERROR(
    IF(
        OR(ISBLANK(N601), ISBLANK(O601)),
        "",
        MAX(
            1,
            IF(
                NETWORKDAYS(N601, O601, Holiday_Dates) &lt;= 0,
                1,
                NETWORKDAYS(N601, O601, Holiday_Dates) - IF(N601 = O601, 0, 1)
            )
        )
    ),
    ""
)</f>
        <v/>
      </c>
      <c r="T601" s="385"/>
      <c r="U601" s="385" t="s">
        <v>4</v>
      </c>
      <c r="V601" s="385" t="s">
        <v>101</v>
      </c>
      <c r="W601" s="385" t="s">
        <v>1436</v>
      </c>
      <c r="X601" s="1"/>
    </row>
    <row r="602" spans="1:24">
      <c r="A602" s="385" t="s">
        <v>49</v>
      </c>
      <c r="B602" s="385" t="s">
        <v>2573</v>
      </c>
      <c r="C602" s="385" t="s">
        <v>4845</v>
      </c>
      <c r="D602" s="385" t="s">
        <v>88</v>
      </c>
      <c r="E602" s="385" t="s">
        <v>136</v>
      </c>
      <c r="F602" s="385"/>
      <c r="G602" s="385" t="s">
        <v>128</v>
      </c>
      <c r="H602" s="385">
        <v>2026</v>
      </c>
      <c r="I602" s="386">
        <v>46065</v>
      </c>
      <c r="J602" s="30" t="s">
        <v>4846</v>
      </c>
      <c r="K602" s="385" t="s">
        <v>62</v>
      </c>
      <c r="L602" s="386">
        <v>46071</v>
      </c>
      <c r="M602" s="385"/>
      <c r="N602" s="386">
        <v>46071</v>
      </c>
      <c r="O602" s="386">
        <v>46071</v>
      </c>
      <c r="P602" s="385">
        <f>IFERROR(
    IF(
        OR(ISBLANK(I602), ISBLANK(L602)),
        "",
        MAX(
            1,
            IF(
                NETWORKDAYS(I602, L602, Holiday_Dates) &lt;= 0,
                1,
                NETWORKDAYS(I602, L602, Holiday_Dates) - IF(I602 = L602, 0, 1)
            )
        )
    ),
    ""
)</f>
        <v>4</v>
      </c>
      <c r="Q602" s="385" t="str">
        <f>IF(
    OR(ISBLANK(L602), ISBLANK(M602)),
    "",
    MAX(
        1,
        IF(
            NETWORKDAYS(L602, M602, Holiday_Dates) &lt;= 0,
            1,
            NETWORKDAYS(L602, M602, Holiday_Dates) - IF(L602 = M602, 0, 1)
        )
    )
)</f>
        <v/>
      </c>
      <c r="R602" s="385">
        <f>IFERROR(
    IF(
        OR(ISBLANK(N602), AND(ISBLANK(L602), ISBLANK(M602))),
        "",
        MAX(
            1,
            IF(
                NETWORKDAYS(IF(NOT(ISBLANK(M602)), M602, L602), N602, Holiday_Dates) &lt;= 0,
                1,
                NETWORKDAYS(IF(NOT(ISBLANK(M602)), M602, L602), N602, Holiday_Dates)
                - IF(IF(NOT(ISBLANK(M602)), M602, L602) = N602, 0, 1)
            )
        )
    ),
    ""
)</f>
        <v>1</v>
      </c>
      <c r="S602" s="385">
        <f>IFERROR(
    IF(
        OR(ISBLANK(N602), ISBLANK(O602)),
        "",
        MAX(
            1,
            IF(
                NETWORKDAYS(N602, O602, Holiday_Dates) &lt;= 0,
                1,
                NETWORKDAYS(N602, O602, Holiday_Dates) - IF(N602 = O602, 0, 1)
            )
        )
    ),
    ""
)</f>
        <v>1</v>
      </c>
      <c r="T602" s="385" t="s">
        <v>929</v>
      </c>
      <c r="U602" s="385" t="s">
        <v>4</v>
      </c>
      <c r="V602" s="385" t="s">
        <v>101</v>
      </c>
      <c r="W602" s="385" t="s">
        <v>4710</v>
      </c>
      <c r="X602" s="1"/>
    </row>
    <row r="603" spans="1:24">
      <c r="A603" s="385" t="s">
        <v>49</v>
      </c>
      <c r="B603" s="385" t="s">
        <v>2573</v>
      </c>
      <c r="C603" s="385" t="s">
        <v>2608</v>
      </c>
      <c r="D603" s="385" t="s">
        <v>88</v>
      </c>
      <c r="E603" s="385" t="s">
        <v>136</v>
      </c>
      <c r="F603" s="385"/>
      <c r="G603" s="385" t="s">
        <v>128</v>
      </c>
      <c r="H603" s="385">
        <v>2026</v>
      </c>
      <c r="I603" s="386">
        <v>46065</v>
      </c>
      <c r="J603" s="30" t="s">
        <v>4847</v>
      </c>
      <c r="K603" s="385" t="s">
        <v>62</v>
      </c>
      <c r="L603" s="386">
        <v>46071</v>
      </c>
      <c r="M603" s="385"/>
      <c r="N603" s="386">
        <v>46071</v>
      </c>
      <c r="O603" s="386">
        <v>46071</v>
      </c>
      <c r="P603" s="385">
        <f>IFERROR(
    IF(
        OR(ISBLANK(I603), ISBLANK(L603)),
        "",
        MAX(
            1,
            IF(
                NETWORKDAYS(I603, L603, Holiday_Dates) &lt;= 0,
                1,
                NETWORKDAYS(I603, L603, Holiday_Dates) - IF(I603 = L603, 0, 1)
            )
        )
    ),
    ""
)</f>
        <v>4</v>
      </c>
      <c r="Q603" s="385" t="str">
        <f>IF(
    OR(ISBLANK(L603), ISBLANK(M603)),
    "",
    MAX(
        1,
        IF(
            NETWORKDAYS(L603, M603, Holiday_Dates) &lt;= 0,
            1,
            NETWORKDAYS(L603, M603, Holiday_Dates) - IF(L603 = M603, 0, 1)
        )
    )
)</f>
        <v/>
      </c>
      <c r="R603" s="385">
        <f>IFERROR(
    IF(
        OR(ISBLANK(N603), AND(ISBLANK(L603), ISBLANK(M603))),
        "",
        MAX(
            1,
            IF(
                NETWORKDAYS(IF(NOT(ISBLANK(M603)), M603, L603), N603, Holiday_Dates) &lt;= 0,
                1,
                NETWORKDAYS(IF(NOT(ISBLANK(M603)), M603, L603), N603, Holiday_Dates)
                - IF(IF(NOT(ISBLANK(M603)), M603, L603) = N603, 0, 1)
            )
        )
    ),
    ""
)</f>
        <v>1</v>
      </c>
      <c r="S603" s="385">
        <f>IFERROR(
    IF(
        OR(ISBLANK(N603), ISBLANK(O603)),
        "",
        MAX(
            1,
            IF(
                NETWORKDAYS(N603, O603, Holiday_Dates) &lt;= 0,
                1,
                NETWORKDAYS(N603, O603, Holiday_Dates) - IF(N603 = O603, 0, 1)
            )
        )
    ),
    ""
)</f>
        <v>1</v>
      </c>
      <c r="T603" s="385" t="s">
        <v>929</v>
      </c>
      <c r="U603" s="385" t="s">
        <v>4</v>
      </c>
      <c r="V603" s="385" t="s">
        <v>101</v>
      </c>
      <c r="W603" s="385" t="s">
        <v>4710</v>
      </c>
      <c r="X603" s="1"/>
    </row>
    <row r="604" spans="1:24">
      <c r="A604" s="385" t="s">
        <v>49</v>
      </c>
      <c r="B604" s="385" t="s">
        <v>2573</v>
      </c>
      <c r="C604" s="385" t="s">
        <v>926</v>
      </c>
      <c r="D604" s="385" t="s">
        <v>88</v>
      </c>
      <c r="E604" s="385" t="s">
        <v>136</v>
      </c>
      <c r="F604" s="385"/>
      <c r="G604" s="385" t="s">
        <v>128</v>
      </c>
      <c r="H604" s="385">
        <v>2026</v>
      </c>
      <c r="I604" s="386">
        <v>46065</v>
      </c>
      <c r="J604" s="30" t="s">
        <v>4848</v>
      </c>
      <c r="K604" s="385" t="s">
        <v>62</v>
      </c>
      <c r="L604" s="386">
        <v>46071</v>
      </c>
      <c r="M604" s="385"/>
      <c r="N604" s="386">
        <v>46071</v>
      </c>
      <c r="O604" s="386">
        <v>46071</v>
      </c>
      <c r="P604" s="385">
        <f>IFERROR(
    IF(
        OR(ISBLANK(I604), ISBLANK(L604)),
        "",
        MAX(
            1,
            IF(
                NETWORKDAYS(I604, L604, Holiday_Dates) &lt;= 0,
                1,
                NETWORKDAYS(I604, L604, Holiday_Dates) - IF(I604 = L604, 0, 1)
            )
        )
    ),
    ""
)</f>
        <v>4</v>
      </c>
      <c r="Q604" s="385" t="str">
        <f>IF(
    OR(ISBLANK(L604), ISBLANK(M604)),
    "",
    MAX(
        1,
        IF(
            NETWORKDAYS(L604, M604, Holiday_Dates) &lt;= 0,
            1,
            NETWORKDAYS(L604, M604, Holiday_Dates) - IF(L604 = M604, 0, 1)
        )
    )
)</f>
        <v/>
      </c>
      <c r="R604" s="385">
        <f>IFERROR(
    IF(
        OR(ISBLANK(N604), AND(ISBLANK(L604), ISBLANK(M604))),
        "",
        MAX(
            1,
            IF(
                NETWORKDAYS(IF(NOT(ISBLANK(M604)), M604, L604), N604, Holiday_Dates) &lt;= 0,
                1,
                NETWORKDAYS(IF(NOT(ISBLANK(M604)), M604, L604), N604, Holiday_Dates)
                - IF(IF(NOT(ISBLANK(M604)), M604, L604) = N604, 0, 1)
            )
        )
    ),
    ""
)</f>
        <v>1</v>
      </c>
      <c r="S604" s="385">
        <f>IFERROR(
    IF(
        OR(ISBLANK(N604), ISBLANK(O604)),
        "",
        MAX(
            1,
            IF(
                NETWORKDAYS(N604, O604, Holiday_Dates) &lt;= 0,
                1,
                NETWORKDAYS(N604, O604, Holiday_Dates) - IF(N604 = O604, 0, 1)
            )
        )
    ),
    ""
)</f>
        <v>1</v>
      </c>
      <c r="T604" s="385" t="s">
        <v>929</v>
      </c>
      <c r="U604" s="385" t="s">
        <v>4</v>
      </c>
      <c r="V604" s="385" t="s">
        <v>101</v>
      </c>
      <c r="W604" s="385" t="s">
        <v>4710</v>
      </c>
      <c r="X604" s="1"/>
    </row>
    <row r="605" spans="1:24">
      <c r="A605" s="385" t="s">
        <v>49</v>
      </c>
      <c r="B605" s="385" t="s">
        <v>342</v>
      </c>
      <c r="C605" s="385" t="s">
        <v>694</v>
      </c>
      <c r="D605" s="385" t="s">
        <v>88</v>
      </c>
      <c r="E605" s="385" t="s">
        <v>344</v>
      </c>
      <c r="F605" s="385"/>
      <c r="G605" s="385" t="s">
        <v>128</v>
      </c>
      <c r="H605" s="385">
        <v>2026</v>
      </c>
      <c r="I605" s="386">
        <v>46063</v>
      </c>
      <c r="J605" s="30" t="s">
        <v>4849</v>
      </c>
      <c r="K605" s="385" t="s">
        <v>62</v>
      </c>
      <c r="L605" s="386">
        <v>46065</v>
      </c>
      <c r="M605" s="385"/>
      <c r="N605" s="386">
        <v>46067</v>
      </c>
      <c r="O605" s="386">
        <v>46069</v>
      </c>
      <c r="P605" s="385">
        <f>IFERROR(
    IF(
        OR(ISBLANK(I605), ISBLANK(L605)),
        "",
        MAX(
            1,
            IF(
                NETWORKDAYS(I605, L605, Holiday_Dates) &lt;= 0,
                1,
                NETWORKDAYS(I605, L605, Holiday_Dates) - IF(I605 = L605, 0, 1)
            )
        )
    ),
    ""
)</f>
        <v>2</v>
      </c>
      <c r="Q605" s="385" t="str">
        <f>IF(
    OR(ISBLANK(L605), ISBLANK(M605)),
    "",
    MAX(
        1,
        IF(
            NETWORKDAYS(L605, M605, Holiday_Dates) &lt;= 0,
            1,
            NETWORKDAYS(L605, M605, Holiday_Dates) - IF(L605 = M605, 0, 1)
        )
    )
)</f>
        <v/>
      </c>
      <c r="R605" s="385">
        <f>IFERROR(
    IF(
        OR(ISBLANK(N605), AND(ISBLANK(L605), ISBLANK(M605))),
        "",
        MAX(
            1,
            IF(
                NETWORKDAYS(IF(NOT(ISBLANK(M605)), M605, L605), N605, Holiday_Dates) &lt;= 0,
                1,
                NETWORKDAYS(IF(NOT(ISBLANK(M605)), M605, L605), N605, Holiday_Dates)
                - IF(IF(NOT(ISBLANK(M605)), M605, L605) = N605, 0, 1)
            )
        )
    ),
    ""
)</f>
        <v>1</v>
      </c>
      <c r="S605" s="385">
        <f>IFERROR(
    IF(
        OR(ISBLANK(N605), ISBLANK(O605)),
        "",
        MAX(
            1,
            IF(
                NETWORKDAYS(N605, O605, Holiday_Dates) &lt;= 0,
                1,
                NETWORKDAYS(N605, O605, Holiday_Dates) - IF(N605 = O605, 0, 1)
            )
        )
    ),
    ""
)</f>
        <v>1</v>
      </c>
      <c r="T605" s="385" t="s">
        <v>929</v>
      </c>
      <c r="U605" s="385" t="s">
        <v>4616</v>
      </c>
      <c r="V605" s="385" t="s">
        <v>4809</v>
      </c>
      <c r="W605" s="385" t="s">
        <v>4710</v>
      </c>
      <c r="X605" s="1"/>
    </row>
    <row r="606" spans="1:24">
      <c r="A606" s="385" t="s">
        <v>49</v>
      </c>
      <c r="B606" s="385" t="s">
        <v>342</v>
      </c>
      <c r="C606" s="385" t="s">
        <v>2234</v>
      </c>
      <c r="D606" s="385" t="s">
        <v>88</v>
      </c>
      <c r="E606" s="385" t="s">
        <v>344</v>
      </c>
      <c r="F606" s="385"/>
      <c r="G606" s="385" t="s">
        <v>128</v>
      </c>
      <c r="H606" s="385">
        <v>2026</v>
      </c>
      <c r="I606" s="386">
        <v>46063</v>
      </c>
      <c r="J606" s="30" t="s">
        <v>4850</v>
      </c>
      <c r="K606" s="385" t="s">
        <v>62</v>
      </c>
      <c r="L606" s="386">
        <v>46065</v>
      </c>
      <c r="M606" s="385"/>
      <c r="N606" s="386">
        <v>46067</v>
      </c>
      <c r="O606" s="386">
        <v>46069</v>
      </c>
      <c r="P606" s="385">
        <f>IFERROR(
    IF(
        OR(ISBLANK(I606), ISBLANK(L606)),
        "",
        MAX(
            1,
            IF(
                NETWORKDAYS(I606, L606, Holiday_Dates) &lt;= 0,
                1,
                NETWORKDAYS(I606, L606, Holiday_Dates) - IF(I606 = L606, 0, 1)
            )
        )
    ),
    ""
)</f>
        <v>2</v>
      </c>
      <c r="Q606" s="385" t="str">
        <f>IF(
    OR(ISBLANK(L606), ISBLANK(M606)),
    "",
    MAX(
        1,
        IF(
            NETWORKDAYS(L606, M606, Holiday_Dates) &lt;= 0,
            1,
            NETWORKDAYS(L606, M606, Holiday_Dates) - IF(L606 = M606, 0, 1)
        )
    )
)</f>
        <v/>
      </c>
      <c r="R606" s="385">
        <f>IFERROR(
    IF(
        OR(ISBLANK(N606), AND(ISBLANK(L606), ISBLANK(M606))),
        "",
        MAX(
            1,
            IF(
                NETWORKDAYS(IF(NOT(ISBLANK(M606)), M606, L606), N606, Holiday_Dates) &lt;= 0,
                1,
                NETWORKDAYS(IF(NOT(ISBLANK(M606)), M606, L606), N606, Holiday_Dates)
                - IF(IF(NOT(ISBLANK(M606)), M606, L606) = N606, 0, 1)
            )
        )
    ),
    ""
)</f>
        <v>1</v>
      </c>
      <c r="S606" s="385">
        <f>IFERROR(
    IF(
        OR(ISBLANK(N606), ISBLANK(O606)),
        "",
        MAX(
            1,
            IF(
                NETWORKDAYS(N606, O606, Holiday_Dates) &lt;= 0,
                1,
                NETWORKDAYS(N606, O606, Holiday_Dates) - IF(N606 = O606, 0, 1)
            )
        )
    ),
    ""
)</f>
        <v>1</v>
      </c>
      <c r="T606" s="385" t="s">
        <v>929</v>
      </c>
      <c r="U606" s="385" t="s">
        <v>4616</v>
      </c>
      <c r="V606" s="385" t="s">
        <v>4809</v>
      </c>
      <c r="W606" s="385" t="s">
        <v>4710</v>
      </c>
      <c r="X606" s="1"/>
    </row>
    <row r="607" spans="1:24">
      <c r="A607" s="385" t="s">
        <v>49</v>
      </c>
      <c r="B607" s="385" t="s">
        <v>342</v>
      </c>
      <c r="C607" s="385" t="s">
        <v>2344</v>
      </c>
      <c r="D607" s="385" t="s">
        <v>88</v>
      </c>
      <c r="E607" s="385" t="s">
        <v>344</v>
      </c>
      <c r="F607" s="385"/>
      <c r="G607" s="385" t="s">
        <v>128</v>
      </c>
      <c r="H607" s="385">
        <v>2026</v>
      </c>
      <c r="I607" s="386">
        <v>46069</v>
      </c>
      <c r="J607" s="30" t="s">
        <v>4851</v>
      </c>
      <c r="K607" s="385" t="s">
        <v>62</v>
      </c>
      <c r="L607" s="386">
        <v>46070</v>
      </c>
      <c r="M607" s="385"/>
      <c r="N607" s="386">
        <v>46071</v>
      </c>
      <c r="O607" s="386">
        <v>46071</v>
      </c>
      <c r="P607" s="385">
        <f>IFERROR(
    IF(
        OR(ISBLANK(I607), ISBLANK(L607)),
        "",
        MAX(
            1,
            IF(
                NETWORKDAYS(I607, L607, Holiday_Dates) &lt;= 0,
                1,
                NETWORKDAYS(I607, L607, Holiday_Dates) - IF(I607 = L607, 0, 1)
            )
        )
    ),
    ""
)</f>
        <v>1</v>
      </c>
      <c r="Q607" s="385" t="str">
        <f>IF(
    OR(ISBLANK(L607), ISBLANK(M607)),
    "",
    MAX(
        1,
        IF(
            NETWORKDAYS(L607, M607, Holiday_Dates) &lt;= 0,
            1,
            NETWORKDAYS(L607, M607, Holiday_Dates) - IF(L607 = M607, 0, 1)
        )
    )
)</f>
        <v/>
      </c>
      <c r="R607" s="385">
        <f>IFERROR(
    IF(
        OR(ISBLANK(N607), AND(ISBLANK(L607), ISBLANK(M607))),
        "",
        MAX(
            1,
            IF(
                NETWORKDAYS(IF(NOT(ISBLANK(M607)), M607, L607), N607, Holiday_Dates) &lt;= 0,
                1,
                NETWORKDAYS(IF(NOT(ISBLANK(M607)), M607, L607), N607, Holiday_Dates)
                - IF(IF(NOT(ISBLANK(M607)), M607, L607) = N607, 0, 1)
            )
        )
    ),
    ""
)</f>
        <v>1</v>
      </c>
      <c r="S607" s="385">
        <f>IFERROR(
    IF(
        OR(ISBLANK(N607), ISBLANK(O607)),
        "",
        MAX(
            1,
            IF(
                NETWORKDAYS(N607, O607, Holiday_Dates) &lt;= 0,
                1,
                NETWORKDAYS(N607, O607, Holiday_Dates) - IF(N607 = O607, 0, 1)
            )
        )
    ),
    ""
)</f>
        <v>1</v>
      </c>
      <c r="T607" s="385" t="s">
        <v>929</v>
      </c>
      <c r="U607" s="385" t="s">
        <v>4616</v>
      </c>
      <c r="V607" s="385" t="s">
        <v>4852</v>
      </c>
      <c r="W607" s="385" t="s">
        <v>4710</v>
      </c>
      <c r="X607" s="1"/>
    </row>
    <row r="608" spans="1:24">
      <c r="A608" s="385" t="s">
        <v>49</v>
      </c>
      <c r="B608" s="385" t="s">
        <v>2573</v>
      </c>
      <c r="C608" s="385" t="s">
        <v>2594</v>
      </c>
      <c r="D608" s="385" t="s">
        <v>88</v>
      </c>
      <c r="E608" s="385"/>
      <c r="F608" s="385"/>
      <c r="G608" s="385"/>
      <c r="H608" s="385">
        <v>2024</v>
      </c>
      <c r="I608" s="386">
        <v>45575</v>
      </c>
      <c r="J608" s="30"/>
      <c r="K608" s="385"/>
      <c r="L608" s="385"/>
      <c r="M608" s="385"/>
      <c r="N608" s="385"/>
      <c r="O608" s="385"/>
      <c r="P608" s="385" t="str">
        <f>IFERROR(
    IF(
        OR(ISBLANK(I608), ISBLANK(L608)),
        "",
        MAX(
            1,
            IF(
                NETWORKDAYS(I608, L608, Holiday_Dates) &lt;= 0,
                1,
                NETWORKDAYS(I608, L608, Holiday_Dates) - IF(I608 = L608, 0, 1)
            )
        )
    ),
    ""
)</f>
        <v/>
      </c>
      <c r="Q608" s="385" t="str">
        <f>IF(
    OR(ISBLANK(L608), ISBLANK(M608)),
    "",
    MAX(
        1,
        IF(
            NETWORKDAYS(L608, M608, Holiday_Dates) &lt;= 0,
            1,
            NETWORKDAYS(L608, M608, Holiday_Dates) - IF(L608 = M608, 0, 1)
        )
    )
)</f>
        <v/>
      </c>
      <c r="R608" s="385" t="str">
        <f>IFERROR(
    IF(
        OR(ISBLANK(N608), AND(ISBLANK(L608), ISBLANK(M608))),
        "",
        MAX(
            1,
            IF(
                NETWORKDAYS(IF(NOT(ISBLANK(M608)), M608, L608), N608, Holiday_Dates) &lt;= 0,
                1,
                NETWORKDAYS(IF(NOT(ISBLANK(M608)), M608, L608), N608, Holiday_Dates)
                - IF(IF(NOT(ISBLANK(M608)), M608, L608) = N608, 0, 1)
            )
        )
    ),
    ""
)</f>
        <v/>
      </c>
      <c r="S608" s="385" t="str">
        <f>IFERROR(
    IF(
        OR(ISBLANK(N608), ISBLANK(O608)),
        "",
        MAX(
            1,
            IF(
                NETWORKDAYS(N608, O608, Holiday_Dates) &lt;= 0,
                1,
                NETWORKDAYS(N608, O608, Holiday_Dates) - IF(N608 = O608, 0, 1)
            )
        )
    ),
    ""
)</f>
        <v/>
      </c>
      <c r="T608" s="385"/>
      <c r="U608" s="385" t="s">
        <v>4</v>
      </c>
      <c r="V608" s="385" t="s">
        <v>101</v>
      </c>
      <c r="W608" s="385" t="s">
        <v>1436</v>
      </c>
      <c r="X608" s="1"/>
    </row>
    <row r="609" spans="1:24">
      <c r="A609" s="385" t="s">
        <v>49</v>
      </c>
      <c r="B609" s="385" t="s">
        <v>342</v>
      </c>
      <c r="C609" s="385" t="s">
        <v>554</v>
      </c>
      <c r="D609" s="385" t="s">
        <v>88</v>
      </c>
      <c r="E609" s="385" t="s">
        <v>344</v>
      </c>
      <c r="F609" s="385"/>
      <c r="G609" s="385" t="s">
        <v>128</v>
      </c>
      <c r="H609" s="385">
        <v>2026</v>
      </c>
      <c r="I609" s="386">
        <v>46063</v>
      </c>
      <c r="J609" s="30" t="s">
        <v>4853</v>
      </c>
      <c r="K609" s="385" t="s">
        <v>62</v>
      </c>
      <c r="L609" s="386">
        <v>46065</v>
      </c>
      <c r="M609" s="385"/>
      <c r="N609" s="386">
        <v>46067</v>
      </c>
      <c r="O609" s="386">
        <v>46069</v>
      </c>
      <c r="P609" s="385">
        <f>IFERROR(
    IF(
        OR(ISBLANK(I609), ISBLANK(L609)),
        "",
        MAX(
            1,
            IF(
                NETWORKDAYS(I609, L609, Holiday_Dates) &lt;= 0,
                1,
                NETWORKDAYS(I609, L609, Holiday_Dates) - IF(I609 = L609, 0, 1)
            )
        )
    ),
    ""
)</f>
        <v>2</v>
      </c>
      <c r="Q609" s="385" t="str">
        <f>IF(
    OR(ISBLANK(L609), ISBLANK(M609)),
    "",
    MAX(
        1,
        IF(
            NETWORKDAYS(L609, M609, Holiday_Dates) &lt;= 0,
            1,
            NETWORKDAYS(L609, M609, Holiday_Dates) - IF(L609 = M609, 0, 1)
        )
    )
)</f>
        <v/>
      </c>
      <c r="R609" s="385">
        <f>IFERROR(
    IF(
        OR(ISBLANK(N609), AND(ISBLANK(L609), ISBLANK(M609))),
        "",
        MAX(
            1,
            IF(
                NETWORKDAYS(IF(NOT(ISBLANK(M609)), M609, L609), N609, Holiday_Dates) &lt;= 0,
                1,
                NETWORKDAYS(IF(NOT(ISBLANK(M609)), M609, L609), N609, Holiday_Dates)
                - IF(IF(NOT(ISBLANK(M609)), M609, L609) = N609, 0, 1)
            )
        )
    ),
    ""
)</f>
        <v>1</v>
      </c>
      <c r="S609" s="385">
        <f>IFERROR(
    IF(
        OR(ISBLANK(N609), ISBLANK(O609)),
        "",
        MAX(
            1,
            IF(
                NETWORKDAYS(N609, O609, Holiday_Dates) &lt;= 0,
                1,
                NETWORKDAYS(N609, O609, Holiday_Dates) - IF(N609 = O609, 0, 1)
            )
        )
    ),
    ""
)</f>
        <v>1</v>
      </c>
      <c r="T609" s="385" t="s">
        <v>929</v>
      </c>
      <c r="U609" s="385" t="s">
        <v>4616</v>
      </c>
      <c r="V609" s="385" t="s">
        <v>4854</v>
      </c>
      <c r="W609" s="385" t="s">
        <v>4710</v>
      </c>
      <c r="X609" s="1"/>
    </row>
    <row r="610" spans="1:24">
      <c r="A610" s="385" t="s">
        <v>49</v>
      </c>
      <c r="B610" s="385" t="s">
        <v>342</v>
      </c>
      <c r="C610" s="385" t="s">
        <v>2125</v>
      </c>
      <c r="D610" s="385" t="s">
        <v>88</v>
      </c>
      <c r="E610" s="385" t="s">
        <v>344</v>
      </c>
      <c r="F610" s="385"/>
      <c r="G610" s="385" t="s">
        <v>128</v>
      </c>
      <c r="H610" s="385">
        <v>2026</v>
      </c>
      <c r="I610" s="386">
        <v>46069</v>
      </c>
      <c r="J610" s="30" t="s">
        <v>4855</v>
      </c>
      <c r="K610" s="385" t="s">
        <v>62</v>
      </c>
      <c r="L610" s="386">
        <v>46070</v>
      </c>
      <c r="M610" s="385"/>
      <c r="N610" s="386">
        <v>46071</v>
      </c>
      <c r="O610" s="386">
        <v>46071</v>
      </c>
      <c r="P610" s="385">
        <f>IFERROR(
    IF(
        OR(ISBLANK(I610), ISBLANK(L610)),
        "",
        MAX(
            1,
            IF(
                NETWORKDAYS(I610, L610, Holiday_Dates) &lt;= 0,
                1,
                NETWORKDAYS(I610, L610, Holiday_Dates) - IF(I610 = L610, 0, 1)
            )
        )
    ),
    ""
)</f>
        <v>1</v>
      </c>
      <c r="Q610" s="385" t="str">
        <f>IF(
    OR(ISBLANK(L610), ISBLANK(M610)),
    "",
    MAX(
        1,
        IF(
            NETWORKDAYS(L610, M610, Holiday_Dates) &lt;= 0,
            1,
            NETWORKDAYS(L610, M610, Holiday_Dates) - IF(L610 = M610, 0, 1)
        )
    )
)</f>
        <v/>
      </c>
      <c r="R610" s="385">
        <f>IFERROR(
    IF(
        OR(ISBLANK(N610), AND(ISBLANK(L610), ISBLANK(M610))),
        "",
        MAX(
            1,
            IF(
                NETWORKDAYS(IF(NOT(ISBLANK(M610)), M610, L610), N610, Holiday_Dates) &lt;= 0,
                1,
                NETWORKDAYS(IF(NOT(ISBLANK(M610)), M610, L610), N610, Holiday_Dates)
                - IF(IF(NOT(ISBLANK(M610)), M610, L610) = N610, 0, 1)
            )
        )
    ),
    ""
)</f>
        <v>1</v>
      </c>
      <c r="S610" s="385">
        <f>IFERROR(
    IF(
        OR(ISBLANK(N610), ISBLANK(O610)),
        "",
        MAX(
            1,
            IF(
                NETWORKDAYS(N610, O610, Holiday_Dates) &lt;= 0,
                1,
                NETWORKDAYS(N610, O610, Holiday_Dates) - IF(N610 = O610, 0, 1)
            )
        )
    ),
    ""
)</f>
        <v>1</v>
      </c>
      <c r="T610" s="385" t="s">
        <v>929</v>
      </c>
      <c r="U610" s="385" t="s">
        <v>4</v>
      </c>
      <c r="V610" s="385" t="s">
        <v>101</v>
      </c>
      <c r="W610" s="385" t="s">
        <v>4710</v>
      </c>
      <c r="X610" s="1"/>
    </row>
    <row r="611" spans="1:24">
      <c r="A611" s="385" t="s">
        <v>49</v>
      </c>
      <c r="B611" s="385" t="s">
        <v>2573</v>
      </c>
      <c r="C611" s="385" t="s">
        <v>2577</v>
      </c>
      <c r="D611" s="385" t="s">
        <v>88</v>
      </c>
      <c r="E611" s="385"/>
      <c r="F611" s="385"/>
      <c r="G611" s="385"/>
      <c r="H611" s="385">
        <v>2025</v>
      </c>
      <c r="I611" s="386">
        <v>45692</v>
      </c>
      <c r="J611" s="30" t="s">
        <v>4856</v>
      </c>
      <c r="K611" s="385"/>
      <c r="L611" s="385"/>
      <c r="M611" s="385"/>
      <c r="N611" s="385"/>
      <c r="O611" s="385"/>
      <c r="P611" s="385" t="str">
        <f>IFERROR(
    IF(
        OR(ISBLANK(I611), ISBLANK(L611)),
        "",
        MAX(
            1,
            IF(
                NETWORKDAYS(I611, L611, Holiday_Dates) &lt;= 0,
                1,
                NETWORKDAYS(I611, L611, Holiday_Dates) - IF(I611 = L611, 0, 1)
            )
        )
    ),
    ""
)</f>
        <v/>
      </c>
      <c r="Q611" s="385" t="str">
        <f>IF(
    OR(ISBLANK(L611), ISBLANK(M611)),
    "",
    MAX(
        1,
        IF(
            NETWORKDAYS(L611, M611, Holiday_Dates) &lt;= 0,
            1,
            NETWORKDAYS(L611, M611, Holiday_Dates) - IF(L611 = M611, 0, 1)
        )
    )
)</f>
        <v/>
      </c>
      <c r="R611" s="385" t="str">
        <f>IFERROR(
    IF(
        OR(ISBLANK(N611), AND(ISBLANK(L611), ISBLANK(M611))),
        "",
        MAX(
            1,
            IF(
                NETWORKDAYS(IF(NOT(ISBLANK(M611)), M611, L611), N611, Holiday_Dates) &lt;= 0,
                1,
                NETWORKDAYS(IF(NOT(ISBLANK(M611)), M611, L611), N611, Holiday_Dates)
                - IF(IF(NOT(ISBLANK(M611)), M611, L611) = N611, 0, 1)
            )
        )
    ),
    ""
)</f>
        <v/>
      </c>
      <c r="S611" s="385" t="str">
        <f>IFERROR(
    IF(
        OR(ISBLANK(N611), ISBLANK(O611)),
        "",
        MAX(
            1,
            IF(
                NETWORKDAYS(N611, O611, Holiday_Dates) &lt;= 0,
                1,
                NETWORKDAYS(N611, O611, Holiday_Dates) - IF(N611 = O611, 0, 1)
            )
        )
    ),
    ""
)</f>
        <v/>
      </c>
      <c r="T611" s="385"/>
      <c r="U611" s="385" t="s">
        <v>4</v>
      </c>
      <c r="V611" s="385" t="s">
        <v>101</v>
      </c>
      <c r="W611" s="385" t="s">
        <v>1436</v>
      </c>
      <c r="X611" s="1"/>
    </row>
    <row r="612" spans="1:24">
      <c r="A612" s="385" t="s">
        <v>49</v>
      </c>
      <c r="B612" s="385" t="s">
        <v>501</v>
      </c>
      <c r="C612" s="385" t="s">
        <v>2487</v>
      </c>
      <c r="D612" s="385" t="s">
        <v>88</v>
      </c>
      <c r="E612" s="385" t="s">
        <v>344</v>
      </c>
      <c r="F612" s="385"/>
      <c r="G612" s="385" t="s">
        <v>128</v>
      </c>
      <c r="H612" s="385">
        <v>2026</v>
      </c>
      <c r="I612" s="386">
        <v>46065</v>
      </c>
      <c r="J612" s="30" t="s">
        <v>4857</v>
      </c>
      <c r="K612" s="385" t="s">
        <v>62</v>
      </c>
      <c r="L612" s="386">
        <v>46067</v>
      </c>
      <c r="M612" s="385"/>
      <c r="N612" s="386">
        <v>46069</v>
      </c>
      <c r="O612" s="386">
        <v>46069</v>
      </c>
      <c r="P612" s="385">
        <f>IFERROR(
    IF(
        OR(ISBLANK(I612), ISBLANK(L612)),
        "",
        MAX(
            1,
            IF(
                NETWORKDAYS(I612, L612, Holiday_Dates) &lt;= 0,
                1,
                NETWORKDAYS(I612, L612, Holiday_Dates) - IF(I612 = L612, 0, 1)
            )
        )
    ),
    ""
)</f>
        <v>1</v>
      </c>
      <c r="Q612" s="385" t="str">
        <f>IF(
    OR(ISBLANK(L612), ISBLANK(M612)),
    "",
    MAX(
        1,
        IF(
            NETWORKDAYS(L612, M612, Holiday_Dates) &lt;= 0,
            1,
            NETWORKDAYS(L612, M612, Holiday_Dates) - IF(L612 = M612, 0, 1)
        )
    )
)</f>
        <v/>
      </c>
      <c r="R612" s="385">
        <f>IFERROR(
    IF(
        OR(ISBLANK(N612), AND(ISBLANK(L612), ISBLANK(M612))),
        "",
        MAX(
            1,
            IF(
                NETWORKDAYS(IF(NOT(ISBLANK(M612)), M612, L612), N612, Holiday_Dates) &lt;= 0,
                1,
                NETWORKDAYS(IF(NOT(ISBLANK(M612)), M612, L612), N612, Holiday_Dates)
                - IF(IF(NOT(ISBLANK(M612)), M612, L612) = N612, 0, 1)
            )
        )
    ),
    ""
)</f>
        <v>1</v>
      </c>
      <c r="S612" s="385">
        <f>IFERROR(
    IF(
        OR(ISBLANK(N612), ISBLANK(O612)),
        "",
        MAX(
            1,
            IF(
                NETWORKDAYS(N612, O612, Holiday_Dates) &lt;= 0,
                1,
                NETWORKDAYS(N612, O612, Holiday_Dates) - IF(N612 = O612, 0, 1)
            )
        )
    ),
    ""
)</f>
        <v>1</v>
      </c>
      <c r="T612" s="385" t="s">
        <v>929</v>
      </c>
      <c r="U612" s="385" t="s">
        <v>4</v>
      </c>
      <c r="V612" s="385" t="s">
        <v>101</v>
      </c>
      <c r="W612" s="385" t="s">
        <v>4710</v>
      </c>
      <c r="X612" s="1"/>
    </row>
    <row r="613" spans="1:24">
      <c r="A613" s="385" t="s">
        <v>49</v>
      </c>
      <c r="B613" s="385" t="s">
        <v>501</v>
      </c>
      <c r="C613" s="385" t="s">
        <v>2489</v>
      </c>
      <c r="D613" s="385" t="s">
        <v>88</v>
      </c>
      <c r="E613" s="385" t="s">
        <v>344</v>
      </c>
      <c r="F613" s="385"/>
      <c r="G613" s="385" t="s">
        <v>128</v>
      </c>
      <c r="H613" s="385">
        <v>2026</v>
      </c>
      <c r="I613" s="386">
        <v>46065</v>
      </c>
      <c r="J613" s="30" t="s">
        <v>4858</v>
      </c>
      <c r="K613" s="385" t="s">
        <v>62</v>
      </c>
      <c r="L613" s="386">
        <v>46067</v>
      </c>
      <c r="M613" s="385"/>
      <c r="N613" s="386">
        <v>46069</v>
      </c>
      <c r="O613" s="386">
        <v>46069</v>
      </c>
      <c r="P613" s="385">
        <f>IFERROR(
    IF(
        OR(ISBLANK(I613), ISBLANK(L613)),
        "",
        MAX(
            1,
            IF(
                NETWORKDAYS(I613, L613, Holiday_Dates) &lt;= 0,
                1,
                NETWORKDAYS(I613, L613, Holiday_Dates) - IF(I613 = L613, 0, 1)
            )
        )
    ),
    ""
)</f>
        <v>1</v>
      </c>
      <c r="Q613" s="385" t="str">
        <f>IF(
    OR(ISBLANK(L613), ISBLANK(M613)),
    "",
    MAX(
        1,
        IF(
            NETWORKDAYS(L613, M613, Holiday_Dates) &lt;= 0,
            1,
            NETWORKDAYS(L613, M613, Holiday_Dates) - IF(L613 = M613, 0, 1)
        )
    )
)</f>
        <v/>
      </c>
      <c r="R613" s="385">
        <f>IFERROR(
    IF(
        OR(ISBLANK(N613), AND(ISBLANK(L613), ISBLANK(M613))),
        "",
        MAX(
            1,
            IF(
                NETWORKDAYS(IF(NOT(ISBLANK(M613)), M613, L613), N613, Holiday_Dates) &lt;= 0,
                1,
                NETWORKDAYS(IF(NOT(ISBLANK(M613)), M613, L613), N613, Holiday_Dates)
                - IF(IF(NOT(ISBLANK(M613)), M613, L613) = N613, 0, 1)
            )
        )
    ),
    ""
)</f>
        <v>1</v>
      </c>
      <c r="S613" s="385">
        <f>IFERROR(
    IF(
        OR(ISBLANK(N613), ISBLANK(O613)),
        "",
        MAX(
            1,
            IF(
                NETWORKDAYS(N613, O613, Holiday_Dates) &lt;= 0,
                1,
                NETWORKDAYS(N613, O613, Holiday_Dates) - IF(N613 = O613, 0, 1)
            )
        )
    ),
    ""
)</f>
        <v>1</v>
      </c>
      <c r="T613" s="385" t="s">
        <v>929</v>
      </c>
      <c r="U613" s="385" t="s">
        <v>672</v>
      </c>
      <c r="V613" s="385" t="s">
        <v>101</v>
      </c>
      <c r="W613" s="385" t="s">
        <v>4710</v>
      </c>
      <c r="X613" s="1"/>
    </row>
    <row r="614" spans="1:24">
      <c r="A614" s="385" t="s">
        <v>49</v>
      </c>
      <c r="B614" s="385" t="s">
        <v>2573</v>
      </c>
      <c r="C614" s="385" t="s">
        <v>2600</v>
      </c>
      <c r="D614" s="385" t="s">
        <v>88</v>
      </c>
      <c r="E614" s="385"/>
      <c r="F614" s="385"/>
      <c r="G614" s="385"/>
      <c r="H614" s="385">
        <v>2024</v>
      </c>
      <c r="I614" s="386">
        <v>45576</v>
      </c>
      <c r="J614" s="30"/>
      <c r="K614" s="385"/>
      <c r="L614" s="385"/>
      <c r="M614" s="385"/>
      <c r="N614" s="385"/>
      <c r="O614" s="385"/>
      <c r="P614" s="385" t="str">
        <f>IFERROR(
    IF(
        OR(ISBLANK(I614), ISBLANK(L614)),
        "",
        MAX(
            1,
            IF(
                NETWORKDAYS(I614, L614, Holiday_Dates) &lt;= 0,
                1,
                NETWORKDAYS(I614, L614, Holiday_Dates) - IF(I614 = L614, 0, 1)
            )
        )
    ),
    ""
)</f>
        <v/>
      </c>
      <c r="Q614" s="385" t="str">
        <f>IF(
    OR(ISBLANK(L614), ISBLANK(M614)),
    "",
    MAX(
        1,
        IF(
            NETWORKDAYS(L614, M614, Holiday_Dates) &lt;= 0,
            1,
            NETWORKDAYS(L614, M614, Holiday_Dates) - IF(L614 = M614, 0, 1)
        )
    )
)</f>
        <v/>
      </c>
      <c r="R614" s="385" t="str">
        <f>IFERROR(
    IF(
        OR(ISBLANK(N614), AND(ISBLANK(L614), ISBLANK(M614))),
        "",
        MAX(
            1,
            IF(
                NETWORKDAYS(IF(NOT(ISBLANK(M614)), M614, L614), N614, Holiday_Dates) &lt;= 0,
                1,
                NETWORKDAYS(IF(NOT(ISBLANK(M614)), M614, L614), N614, Holiday_Dates)
                - IF(IF(NOT(ISBLANK(M614)), M614, L614) = N614, 0, 1)
            )
        )
    ),
    ""
)</f>
        <v/>
      </c>
      <c r="S614" s="385" t="str">
        <f>IFERROR(
    IF(
        OR(ISBLANK(N614), ISBLANK(O614)),
        "",
        MAX(
            1,
            IF(
                NETWORKDAYS(N614, O614, Holiday_Dates) &lt;= 0,
                1,
                NETWORKDAYS(N614, O614, Holiday_Dates) - IF(N614 = O614, 0, 1)
            )
        )
    ),
    ""
)</f>
        <v/>
      </c>
      <c r="T614" s="385"/>
      <c r="U614" s="385" t="s">
        <v>4</v>
      </c>
      <c r="V614" s="385" t="s">
        <v>101</v>
      </c>
      <c r="W614" s="385" t="s">
        <v>1436</v>
      </c>
      <c r="X614" s="1"/>
    </row>
    <row r="615" spans="1:24">
      <c r="A615" s="385" t="s">
        <v>49</v>
      </c>
      <c r="B615" s="385" t="s">
        <v>501</v>
      </c>
      <c r="C615" s="385" t="s">
        <v>2490</v>
      </c>
      <c r="D615" s="385" t="s">
        <v>88</v>
      </c>
      <c r="E615" s="385" t="s">
        <v>344</v>
      </c>
      <c r="F615" s="385"/>
      <c r="G615" s="385" t="s">
        <v>128</v>
      </c>
      <c r="H615" s="385">
        <v>2026</v>
      </c>
      <c r="I615" s="386">
        <v>46065</v>
      </c>
      <c r="J615" s="30" t="s">
        <v>4859</v>
      </c>
      <c r="K615" s="385" t="s">
        <v>62</v>
      </c>
      <c r="L615" s="386">
        <v>46067</v>
      </c>
      <c r="M615" s="385"/>
      <c r="N615" s="386">
        <v>46069</v>
      </c>
      <c r="O615" s="386">
        <v>46069</v>
      </c>
      <c r="P615" s="385">
        <f>IFERROR(
    IF(
        OR(ISBLANK(I615), ISBLANK(L615)),
        "",
        MAX(
            1,
            IF(
                NETWORKDAYS(I615, L615, Holiday_Dates) &lt;= 0,
                1,
                NETWORKDAYS(I615, L615, Holiday_Dates) - IF(I615 = L615, 0, 1)
            )
        )
    ),
    ""
)</f>
        <v>1</v>
      </c>
      <c r="Q615" s="385" t="str">
        <f>IF(
    OR(ISBLANK(L615), ISBLANK(M615)),
    "",
    MAX(
        1,
        IF(
            NETWORKDAYS(L615, M615, Holiday_Dates) &lt;= 0,
            1,
            NETWORKDAYS(L615, M615, Holiday_Dates) - IF(L615 = M615, 0, 1)
        )
    )
)</f>
        <v/>
      </c>
      <c r="R615" s="385">
        <f>IFERROR(
    IF(
        OR(ISBLANK(N615), AND(ISBLANK(L615), ISBLANK(M615))),
        "",
        MAX(
            1,
            IF(
                NETWORKDAYS(IF(NOT(ISBLANK(M615)), M615, L615), N615, Holiday_Dates) &lt;= 0,
                1,
                NETWORKDAYS(IF(NOT(ISBLANK(M615)), M615, L615), N615, Holiday_Dates)
                - IF(IF(NOT(ISBLANK(M615)), M615, L615) = N615, 0, 1)
            )
        )
    ),
    ""
)</f>
        <v>1</v>
      </c>
      <c r="S615" s="385">
        <f>IFERROR(
    IF(
        OR(ISBLANK(N615), ISBLANK(O615)),
        "",
        MAX(
            1,
            IF(
                NETWORKDAYS(N615, O615, Holiday_Dates) &lt;= 0,
                1,
                NETWORKDAYS(N615, O615, Holiday_Dates) - IF(N615 = O615, 0, 1)
            )
        )
    ),
    ""
)</f>
        <v>1</v>
      </c>
      <c r="T615" s="385" t="s">
        <v>929</v>
      </c>
      <c r="U615" s="385" t="s">
        <v>4</v>
      </c>
      <c r="V615" s="385" t="s">
        <v>101</v>
      </c>
      <c r="W615" s="385" t="s">
        <v>4710</v>
      </c>
      <c r="X615" s="1"/>
    </row>
    <row r="616" spans="1:24">
      <c r="A616" s="385" t="s">
        <v>49</v>
      </c>
      <c r="B616" s="385" t="s">
        <v>2573</v>
      </c>
      <c r="C616" s="385" t="s">
        <v>2579</v>
      </c>
      <c r="D616" s="385" t="s">
        <v>88</v>
      </c>
      <c r="E616" s="385"/>
      <c r="F616" s="385"/>
      <c r="G616" s="385"/>
      <c r="H616" s="385">
        <v>2025</v>
      </c>
      <c r="I616" s="386">
        <v>45692</v>
      </c>
      <c r="J616" s="30" t="s">
        <v>4860</v>
      </c>
      <c r="K616" s="385"/>
      <c r="L616" s="385"/>
      <c r="M616" s="385"/>
      <c r="N616" s="385"/>
      <c r="O616" s="385"/>
      <c r="P616" s="385" t="str">
        <f>IFERROR(
    IF(
        OR(ISBLANK(I616), ISBLANK(L616)),
        "",
        MAX(
            1,
            IF(
                NETWORKDAYS(I616, L616, Holiday_Dates) &lt;= 0,
                1,
                NETWORKDAYS(I616, L616, Holiday_Dates) - IF(I616 = L616, 0, 1)
            )
        )
    ),
    ""
)</f>
        <v/>
      </c>
      <c r="Q616" s="385" t="str">
        <f>IF(
    OR(ISBLANK(L616), ISBLANK(M616)),
    "",
    MAX(
        1,
        IF(
            NETWORKDAYS(L616, M616, Holiday_Dates) &lt;= 0,
            1,
            NETWORKDAYS(L616, M616, Holiday_Dates) - IF(L616 = M616, 0, 1)
        )
    )
)</f>
        <v/>
      </c>
      <c r="R616" s="385" t="str">
        <f>IFERROR(
    IF(
        OR(ISBLANK(N616), AND(ISBLANK(L616), ISBLANK(M616))),
        "",
        MAX(
            1,
            IF(
                NETWORKDAYS(IF(NOT(ISBLANK(M616)), M616, L616), N616, Holiday_Dates) &lt;= 0,
                1,
                NETWORKDAYS(IF(NOT(ISBLANK(M616)), M616, L616), N616, Holiday_Dates)
                - IF(IF(NOT(ISBLANK(M616)), M616, L616) = N616, 0, 1)
            )
        )
    ),
    ""
)</f>
        <v/>
      </c>
      <c r="S616" s="385" t="str">
        <f>IFERROR(
    IF(
        OR(ISBLANK(N616), ISBLANK(O616)),
        "",
        MAX(
            1,
            IF(
                NETWORKDAYS(N616, O616, Holiday_Dates) &lt;= 0,
                1,
                NETWORKDAYS(N616, O616, Holiday_Dates) - IF(N616 = O616, 0, 1)
            )
        )
    ),
    ""
)</f>
        <v/>
      </c>
      <c r="T616" s="385"/>
      <c r="U616" s="385" t="s">
        <v>4</v>
      </c>
      <c r="V616" s="385" t="s">
        <v>101</v>
      </c>
      <c r="W616" s="385" t="s">
        <v>1436</v>
      </c>
      <c r="X616" s="1"/>
    </row>
    <row r="617" spans="1:24">
      <c r="A617" s="385" t="s">
        <v>49</v>
      </c>
      <c r="B617" s="385" t="s">
        <v>2573</v>
      </c>
      <c r="C617" s="385" t="s">
        <v>2578</v>
      </c>
      <c r="D617" s="385" t="s">
        <v>88</v>
      </c>
      <c r="E617" s="385"/>
      <c r="F617" s="385"/>
      <c r="G617" s="385"/>
      <c r="H617" s="385">
        <v>2025</v>
      </c>
      <c r="I617" s="386">
        <v>45840</v>
      </c>
      <c r="J617" s="30" t="s">
        <v>4861</v>
      </c>
      <c r="K617" s="385"/>
      <c r="L617" s="385"/>
      <c r="M617" s="385"/>
      <c r="N617" s="385"/>
      <c r="O617" s="385"/>
      <c r="P617" s="385" t="str">
        <f>IFERROR(
    IF(
        OR(ISBLANK(I617), ISBLANK(L617)),
        "",
        MAX(
            1,
            IF(
                NETWORKDAYS(I617, L617, Holiday_Dates) &lt;= 0,
                1,
                NETWORKDAYS(I617, L617, Holiday_Dates) - IF(I617 = L617, 0, 1)
            )
        )
    ),
    ""
)</f>
        <v/>
      </c>
      <c r="Q617" s="385" t="str">
        <f>IF(
    OR(ISBLANK(L617), ISBLANK(M617)),
    "",
    MAX(
        1,
        IF(
            NETWORKDAYS(L617, M617, Holiday_Dates) &lt;= 0,
            1,
            NETWORKDAYS(L617, M617, Holiday_Dates) - IF(L617 = M617, 0, 1)
        )
    )
)</f>
        <v/>
      </c>
      <c r="R617" s="385" t="str">
        <f>IFERROR(
    IF(
        OR(ISBLANK(N617), AND(ISBLANK(L617), ISBLANK(M617))),
        "",
        MAX(
            1,
            IF(
                NETWORKDAYS(IF(NOT(ISBLANK(M617)), M617, L617), N617, Holiday_Dates) &lt;= 0,
                1,
                NETWORKDAYS(IF(NOT(ISBLANK(M617)), M617, L617), N617, Holiday_Dates)
                - IF(IF(NOT(ISBLANK(M617)), M617, L617) = N617, 0, 1)
            )
        )
    ),
    ""
)</f>
        <v/>
      </c>
      <c r="S617" s="385" t="str">
        <f>IFERROR(
    IF(
        OR(ISBLANK(N617), ISBLANK(O617)),
        "",
        MAX(
            1,
            IF(
                NETWORKDAYS(N617, O617, Holiday_Dates) &lt;= 0,
                1,
                NETWORKDAYS(N617, O617, Holiday_Dates) - IF(N617 = O617, 0, 1)
            )
        )
    ),
    ""
)</f>
        <v/>
      </c>
      <c r="T617" s="385"/>
      <c r="U617" s="385" t="s">
        <v>4</v>
      </c>
      <c r="V617" s="385" t="s">
        <v>101</v>
      </c>
      <c r="W617" s="385" t="s">
        <v>1436</v>
      </c>
      <c r="X617" s="1"/>
    </row>
    <row r="618" spans="1:24">
      <c r="A618" s="385" t="s">
        <v>49</v>
      </c>
      <c r="B618" s="385" t="s">
        <v>501</v>
      </c>
      <c r="C618" s="385" t="s">
        <v>427</v>
      </c>
      <c r="D618" s="385" t="s">
        <v>88</v>
      </c>
      <c r="E618" s="385" t="s">
        <v>344</v>
      </c>
      <c r="F618" s="385"/>
      <c r="G618" s="385" t="s">
        <v>128</v>
      </c>
      <c r="H618" s="385">
        <v>2026</v>
      </c>
      <c r="I618" s="386">
        <v>46065</v>
      </c>
      <c r="J618" s="30" t="s">
        <v>4862</v>
      </c>
      <c r="K618" s="385" t="s">
        <v>62</v>
      </c>
      <c r="L618" s="386">
        <v>46067</v>
      </c>
      <c r="M618" s="385"/>
      <c r="N618" s="386">
        <v>46069</v>
      </c>
      <c r="O618" s="386">
        <v>46069</v>
      </c>
      <c r="P618" s="385">
        <f>IFERROR(
    IF(
        OR(ISBLANK(I618), ISBLANK(L618)),
        "",
        MAX(
            1,
            IF(
                NETWORKDAYS(I618, L618, Holiday_Dates) &lt;= 0,
                1,
                NETWORKDAYS(I618, L618, Holiday_Dates) - IF(I618 = L618, 0, 1)
            )
        )
    ),
    ""
)</f>
        <v>1</v>
      </c>
      <c r="Q618" s="385" t="str">
        <f>IF(
    OR(ISBLANK(L618), ISBLANK(M618)),
    "",
    MAX(
        1,
        IF(
            NETWORKDAYS(L618, M618, Holiday_Dates) &lt;= 0,
            1,
            NETWORKDAYS(L618, M618, Holiday_Dates) - IF(L618 = M618, 0, 1)
        )
    )
)</f>
        <v/>
      </c>
      <c r="R618" s="385">
        <f>IFERROR(
    IF(
        OR(ISBLANK(N618), AND(ISBLANK(L618), ISBLANK(M618))),
        "",
        MAX(
            1,
            IF(
                NETWORKDAYS(IF(NOT(ISBLANK(M618)), M618, L618), N618, Holiday_Dates) &lt;= 0,
                1,
                NETWORKDAYS(IF(NOT(ISBLANK(M618)), M618, L618), N618, Holiday_Dates)
                - IF(IF(NOT(ISBLANK(M618)), M618, L618) = N618, 0, 1)
            )
        )
    ),
    ""
)</f>
        <v>1</v>
      </c>
      <c r="S618" s="385">
        <f>IFERROR(
    IF(
        OR(ISBLANK(N618), ISBLANK(O618)),
        "",
        MAX(
            1,
            IF(
                NETWORKDAYS(N618, O618, Holiday_Dates) &lt;= 0,
                1,
                NETWORKDAYS(N618, O618, Holiday_Dates) - IF(N618 = O618, 0, 1)
            )
        )
    ),
    ""
)</f>
        <v>1</v>
      </c>
      <c r="T618" s="385" t="s">
        <v>929</v>
      </c>
      <c r="U618" s="385" t="s">
        <v>4</v>
      </c>
      <c r="V618" s="385" t="s">
        <v>4863</v>
      </c>
      <c r="W618" s="385" t="s">
        <v>4710</v>
      </c>
      <c r="X618" s="1"/>
    </row>
    <row r="619" spans="1:24">
      <c r="A619" s="385" t="s">
        <v>65</v>
      </c>
      <c r="B619" s="385" t="s">
        <v>1314</v>
      </c>
      <c r="C619" s="385" t="s">
        <v>2776</v>
      </c>
      <c r="D619" s="385" t="s">
        <v>88</v>
      </c>
      <c r="E619" s="385" t="s">
        <v>141</v>
      </c>
      <c r="F619" s="385"/>
      <c r="G619" s="385" t="s">
        <v>130</v>
      </c>
      <c r="H619" s="385">
        <v>2026</v>
      </c>
      <c r="I619" s="386">
        <v>46048</v>
      </c>
      <c r="J619" s="529" t="s">
        <v>4864</v>
      </c>
      <c r="K619" s="385" t="s">
        <v>62</v>
      </c>
      <c r="L619" s="386">
        <v>46051</v>
      </c>
      <c r="M619" s="385"/>
      <c r="N619" s="386">
        <v>46051</v>
      </c>
      <c r="O619" s="386">
        <v>46051</v>
      </c>
      <c r="P619" s="385">
        <f>IFERROR(
    IF(
        OR(ISBLANK(I619), ISBLANK(L619)),
        "",
        MAX(
            1,
            IF(
                NETWORKDAYS(I619, L619, Holiday_Dates) &lt;= 0,
                1,
                NETWORKDAYS(I619, L619, Holiday_Dates) - IF(I619 = L619, 0, 1)
            )
        )
    ),
    ""
)</f>
        <v>3</v>
      </c>
      <c r="Q619" s="385" t="str">
        <f>IF(
    OR(ISBLANK(L619), ISBLANK(M619)),
    "",
    MAX(
        1,
        IF(
            NETWORKDAYS(L619, M619, Holiday_Dates) &lt;= 0,
            1,
            NETWORKDAYS(L619, M619, Holiday_Dates) - IF(L619 = M619, 0, 1)
        )
    )
)</f>
        <v/>
      </c>
      <c r="R619" s="385">
        <f>IFERROR(
    IF(
        OR(ISBLANK(N619), AND(ISBLANK(L619), ISBLANK(M619))),
        "",
        MAX(
            1,
            IF(
                NETWORKDAYS(IF(NOT(ISBLANK(M619)), M619, L619), N619, Holiday_Dates) &lt;= 0,
                1,
                NETWORKDAYS(IF(NOT(ISBLANK(M619)), M619, L619), N619, Holiday_Dates)
                - IF(IF(NOT(ISBLANK(M619)), M619, L619) = N619, 0, 1)
            )
        )
    ),
    ""
)</f>
        <v>1</v>
      </c>
      <c r="S619" s="385">
        <f>IFERROR(
    IF(
        OR(ISBLANK(N619), ISBLANK(O619)),
        "",
        MAX(
            1,
            IF(
                NETWORKDAYS(N619, O619, Holiday_Dates) &lt;= 0,
                1,
                NETWORKDAYS(N619, O619, Holiday_Dates) - IF(N619 = O619, 0, 1)
            )
        )
    ),
    ""
)</f>
        <v>1</v>
      </c>
      <c r="T619" s="385" t="s">
        <v>929</v>
      </c>
      <c r="U619" s="385" t="s">
        <v>672</v>
      </c>
      <c r="V619" s="385" t="s">
        <v>101</v>
      </c>
      <c r="W619" s="385" t="s">
        <v>4710</v>
      </c>
      <c r="X619" s="1"/>
    </row>
    <row r="620" spans="1:24">
      <c r="A620" s="385" t="s">
        <v>49</v>
      </c>
      <c r="B620" s="385" t="s">
        <v>2573</v>
      </c>
      <c r="C620" s="385" t="s">
        <v>2452</v>
      </c>
      <c r="D620" s="385" t="s">
        <v>88</v>
      </c>
      <c r="E620" s="385"/>
      <c r="F620" s="385"/>
      <c r="G620" s="385"/>
      <c r="H620" s="385">
        <v>2025</v>
      </c>
      <c r="I620" s="386">
        <v>45840</v>
      </c>
      <c r="J620" s="30" t="s">
        <v>4865</v>
      </c>
      <c r="K620" s="385"/>
      <c r="L620" s="385"/>
      <c r="M620" s="385"/>
      <c r="N620" s="385"/>
      <c r="O620" s="385"/>
      <c r="P620" s="385" t="str">
        <f>IFERROR(
    IF(
        OR(ISBLANK(I620), ISBLANK(L620)),
        "",
        MAX(
            1,
            IF(
                NETWORKDAYS(I620, L620, Holiday_Dates) &lt;= 0,
                1,
                NETWORKDAYS(I620, L620, Holiday_Dates) - IF(I620 = L620, 0, 1)
            )
        )
    ),
    ""
)</f>
        <v/>
      </c>
      <c r="Q620" s="385" t="str">
        <f>IF(
    OR(ISBLANK(L620), ISBLANK(M620)),
    "",
    MAX(
        1,
        IF(
            NETWORKDAYS(L620, M620, Holiday_Dates) &lt;= 0,
            1,
            NETWORKDAYS(L620, M620, Holiday_Dates) - IF(L620 = M620, 0, 1)
        )
    )
)</f>
        <v/>
      </c>
      <c r="R620" s="385" t="str">
        <f>IFERROR(
    IF(
        OR(ISBLANK(N620), AND(ISBLANK(L620), ISBLANK(M620))),
        "",
        MAX(
            1,
            IF(
                NETWORKDAYS(IF(NOT(ISBLANK(M620)), M620, L620), N620, Holiday_Dates) &lt;= 0,
                1,
                NETWORKDAYS(IF(NOT(ISBLANK(M620)), M620, L620), N620, Holiday_Dates)
                - IF(IF(NOT(ISBLANK(M620)), M620, L620) = N620, 0, 1)
            )
        )
    ),
    ""
)</f>
        <v/>
      </c>
      <c r="S620" s="385" t="str">
        <f>IFERROR(
    IF(
        OR(ISBLANK(N620), ISBLANK(O620)),
        "",
        MAX(
            1,
            IF(
                NETWORKDAYS(N620, O620, Holiday_Dates) &lt;= 0,
                1,
                NETWORKDAYS(N620, O620, Holiday_Dates) - IF(N620 = O620, 0, 1)
            )
        )
    ),
    ""
)</f>
        <v/>
      </c>
      <c r="T620" s="385"/>
      <c r="U620" s="385" t="s">
        <v>4</v>
      </c>
      <c r="V620" s="385" t="s">
        <v>101</v>
      </c>
      <c r="W620" s="385" t="s">
        <v>1436</v>
      </c>
      <c r="X620" s="1"/>
    </row>
    <row r="621" spans="1:24">
      <c r="A621" s="385" t="s">
        <v>65</v>
      </c>
      <c r="B621" s="385" t="s">
        <v>1314</v>
      </c>
      <c r="C621" s="385" t="s">
        <v>2863</v>
      </c>
      <c r="D621" s="385" t="s">
        <v>88</v>
      </c>
      <c r="E621" s="385" t="s">
        <v>141</v>
      </c>
      <c r="F621" s="385"/>
      <c r="G621" s="385" t="s">
        <v>130</v>
      </c>
      <c r="H621" s="385">
        <v>2026</v>
      </c>
      <c r="I621" s="386">
        <v>46057</v>
      </c>
      <c r="J621" s="529" t="s">
        <v>4866</v>
      </c>
      <c r="K621" s="385" t="s">
        <v>62</v>
      </c>
      <c r="L621" s="386">
        <v>46060</v>
      </c>
      <c r="M621" s="385"/>
      <c r="N621" s="386">
        <v>46062</v>
      </c>
      <c r="O621" s="386">
        <v>46062</v>
      </c>
      <c r="P621" s="385">
        <f>IFERROR(
    IF(
        OR(ISBLANK(I621), ISBLANK(L621)),
        "",
        MAX(
            1,
            IF(
                NETWORKDAYS(I621, L621, Holiday_Dates) &lt;= 0,
                1,
                NETWORKDAYS(I621, L621, Holiday_Dates) - IF(I621 = L621, 0, 1)
            )
        )
    ),
    ""
)</f>
        <v>2</v>
      </c>
      <c r="Q621" s="385" t="str">
        <f>IF(
    OR(ISBLANK(L621), ISBLANK(M621)),
    "",
    MAX(
        1,
        IF(
            NETWORKDAYS(L621, M621, Holiday_Dates) &lt;= 0,
            1,
            NETWORKDAYS(L621, M621, Holiday_Dates) - IF(L621 = M621, 0, 1)
        )
    )
)</f>
        <v/>
      </c>
      <c r="R621" s="385">
        <f>IFERROR(
    IF(
        OR(ISBLANK(N621), AND(ISBLANK(L621), ISBLANK(M621))),
        "",
        MAX(
            1,
            IF(
                NETWORKDAYS(IF(NOT(ISBLANK(M621)), M621, L621), N621, Holiday_Dates) &lt;= 0,
                1,
                NETWORKDAYS(IF(NOT(ISBLANK(M621)), M621, L621), N621, Holiday_Dates)
                - IF(IF(NOT(ISBLANK(M621)), M621, L621) = N621, 0, 1)
            )
        )
    ),
    ""
)</f>
        <v>1</v>
      </c>
      <c r="S621" s="385">
        <f>IFERROR(
    IF(
        OR(ISBLANK(N621), ISBLANK(O621)),
        "",
        MAX(
            1,
            IF(
                NETWORKDAYS(N621, O621, Holiday_Dates) &lt;= 0,
                1,
                NETWORKDAYS(N621, O621, Holiday_Dates) - IF(N621 = O621, 0, 1)
            )
        )
    ),
    ""
)</f>
        <v>1</v>
      </c>
      <c r="T621" s="385" t="s">
        <v>929</v>
      </c>
      <c r="U621" s="385" t="s">
        <v>672</v>
      </c>
      <c r="V621" s="385" t="s">
        <v>101</v>
      </c>
      <c r="W621" s="385" t="s">
        <v>4710</v>
      </c>
      <c r="X621" s="1"/>
    </row>
    <row r="622" spans="1:24">
      <c r="A622" s="385" t="s">
        <v>65</v>
      </c>
      <c r="B622" s="385" t="s">
        <v>407</v>
      </c>
      <c r="C622" s="385" t="s">
        <v>2777</v>
      </c>
      <c r="D622" s="385" t="s">
        <v>88</v>
      </c>
      <c r="E622" s="385" t="s">
        <v>30</v>
      </c>
      <c r="F622" s="385"/>
      <c r="G622" s="385" t="s">
        <v>130</v>
      </c>
      <c r="H622" s="385">
        <v>2026</v>
      </c>
      <c r="I622" s="386">
        <v>46063</v>
      </c>
      <c r="J622" s="529" t="s">
        <v>4867</v>
      </c>
      <c r="K622" s="385" t="s">
        <v>62</v>
      </c>
      <c r="L622" s="386">
        <v>46064</v>
      </c>
      <c r="M622" s="385"/>
      <c r="N622" s="386">
        <v>46064</v>
      </c>
      <c r="O622" s="386">
        <v>46064</v>
      </c>
      <c r="P622" s="385">
        <f>IFERROR(
    IF(
        OR(ISBLANK(I622), ISBLANK(L622)),
        "",
        MAX(
            1,
            IF(
                NETWORKDAYS(I622, L622, Holiday_Dates) &lt;= 0,
                1,
                NETWORKDAYS(I622, L622, Holiday_Dates) - IF(I622 = L622, 0, 1)
            )
        )
    ),
    ""
)</f>
        <v>1</v>
      </c>
      <c r="Q622" s="385" t="str">
        <f>IF(
    OR(ISBLANK(L622), ISBLANK(M622)),
    "",
    MAX(
        1,
        IF(
            NETWORKDAYS(L622, M622, Holiday_Dates) &lt;= 0,
            1,
            NETWORKDAYS(L622, M622, Holiday_Dates) - IF(L622 = M622, 0, 1)
        )
    )
)</f>
        <v/>
      </c>
      <c r="R622" s="385">
        <f>IFERROR(
    IF(
        OR(ISBLANK(N622), AND(ISBLANK(L622), ISBLANK(M622))),
        "",
        MAX(
            1,
            IF(
                NETWORKDAYS(IF(NOT(ISBLANK(M622)), M622, L622), N622, Holiday_Dates) &lt;= 0,
                1,
                NETWORKDAYS(IF(NOT(ISBLANK(M622)), M622, L622), N622, Holiday_Dates)
                - IF(IF(NOT(ISBLANK(M622)), M622, L622) = N622, 0, 1)
            )
        )
    ),
    ""
)</f>
        <v>1</v>
      </c>
      <c r="S622" s="385">
        <f>IFERROR(
    IF(
        OR(ISBLANK(N622), ISBLANK(O622)),
        "",
        MAX(
            1,
            IF(
                NETWORKDAYS(N622, O622, Holiday_Dates) &lt;= 0,
                1,
                NETWORKDAYS(N622, O622, Holiday_Dates) - IF(N622 = O622, 0, 1)
            )
        )
    ),
    ""
)</f>
        <v>1</v>
      </c>
      <c r="T622" s="385" t="s">
        <v>929</v>
      </c>
      <c r="U622" s="385" t="s">
        <v>672</v>
      </c>
      <c r="V622" s="385" t="s">
        <v>101</v>
      </c>
      <c r="W622" s="385" t="s">
        <v>4710</v>
      </c>
      <c r="X622" s="1"/>
    </row>
    <row r="623" spans="1:24">
      <c r="A623" s="385" t="s">
        <v>65</v>
      </c>
      <c r="B623" s="385" t="s">
        <v>407</v>
      </c>
      <c r="C623" s="385" t="s">
        <v>1059</v>
      </c>
      <c r="D623" s="385" t="s">
        <v>88</v>
      </c>
      <c r="E623" s="385" t="s">
        <v>30</v>
      </c>
      <c r="F623" s="385"/>
      <c r="G623" s="385" t="s">
        <v>130</v>
      </c>
      <c r="H623" s="385">
        <v>2026</v>
      </c>
      <c r="I623" s="386">
        <v>46063</v>
      </c>
      <c r="J623" s="30" t="s">
        <v>4868</v>
      </c>
      <c r="K623" s="385" t="s">
        <v>62</v>
      </c>
      <c r="L623" s="386">
        <v>46063</v>
      </c>
      <c r="M623" s="385"/>
      <c r="N623" s="386">
        <v>46064</v>
      </c>
      <c r="O623" s="386">
        <v>46064</v>
      </c>
      <c r="P623" s="385">
        <f>IFERROR(
    IF(
        OR(ISBLANK(I623), ISBLANK(L623)),
        "",
        MAX(
            1,
            IF(
                NETWORKDAYS(I623, L623, Holiday_Dates) &lt;= 0,
                1,
                NETWORKDAYS(I623, L623, Holiday_Dates) - IF(I623 = L623, 0, 1)
            )
        )
    ),
    ""
)</f>
        <v>1</v>
      </c>
      <c r="Q623" s="385" t="str">
        <f>IF(
    OR(ISBLANK(L623), ISBLANK(M623)),
    "",
    MAX(
        1,
        IF(
            NETWORKDAYS(L623, M623, Holiday_Dates) &lt;= 0,
            1,
            NETWORKDAYS(L623, M623, Holiday_Dates) - IF(L623 = M623, 0, 1)
        )
    )
)</f>
        <v/>
      </c>
      <c r="R623" s="385">
        <f>IFERROR(
    IF(
        OR(ISBLANK(N623), AND(ISBLANK(L623), ISBLANK(M623))),
        "",
        MAX(
            1,
            IF(
                NETWORKDAYS(IF(NOT(ISBLANK(M623)), M623, L623), N623, Holiday_Dates) &lt;= 0,
                1,
                NETWORKDAYS(IF(NOT(ISBLANK(M623)), M623, L623), N623, Holiday_Dates)
                - IF(IF(NOT(ISBLANK(M623)), M623, L623) = N623, 0, 1)
            )
        )
    ),
    ""
)</f>
        <v>1</v>
      </c>
      <c r="S623" s="385">
        <f>IFERROR(
    IF(
        OR(ISBLANK(N623), ISBLANK(O623)),
        "",
        MAX(
            1,
            IF(
                NETWORKDAYS(N623, O623, Holiday_Dates) &lt;= 0,
                1,
                NETWORKDAYS(N623, O623, Holiday_Dates) - IF(N623 = O623, 0, 1)
            )
        )
    ),
    ""
)</f>
        <v>1</v>
      </c>
      <c r="T623" s="385" t="s">
        <v>929</v>
      </c>
      <c r="U623" s="385" t="s">
        <v>672</v>
      </c>
      <c r="V623" s="385" t="s">
        <v>101</v>
      </c>
      <c r="W623" s="385" t="s">
        <v>4710</v>
      </c>
      <c r="X623" s="1"/>
    </row>
    <row r="624" spans="1:24">
      <c r="A624" s="385" t="s">
        <v>65</v>
      </c>
      <c r="B624" s="385" t="s">
        <v>407</v>
      </c>
      <c r="C624" s="385" t="s">
        <v>2282</v>
      </c>
      <c r="D624" s="385" t="s">
        <v>88</v>
      </c>
      <c r="E624" s="385" t="s">
        <v>30</v>
      </c>
      <c r="F624" s="385"/>
      <c r="G624" s="385" t="s">
        <v>130</v>
      </c>
      <c r="H624" s="385">
        <v>2026</v>
      </c>
      <c r="I624" s="386">
        <v>46063</v>
      </c>
      <c r="J624" s="529" t="s">
        <v>4869</v>
      </c>
      <c r="K624" s="385" t="s">
        <v>62</v>
      </c>
      <c r="L624" s="386">
        <v>46064</v>
      </c>
      <c r="M624" s="385"/>
      <c r="N624" s="386">
        <v>46064</v>
      </c>
      <c r="O624" s="386">
        <v>46064</v>
      </c>
      <c r="P624" s="385">
        <f>IFERROR(
    IF(
        OR(ISBLANK(I624), ISBLANK(L624)),
        "",
        MAX(
            1,
            IF(
                NETWORKDAYS(I624, L624, Holiday_Dates) &lt;= 0,
                1,
                NETWORKDAYS(I624, L624, Holiday_Dates) - IF(I624 = L624, 0, 1)
            )
        )
    ),
    ""
)</f>
        <v>1</v>
      </c>
      <c r="Q624" s="385" t="str">
        <f>IF(
    OR(ISBLANK(L624), ISBLANK(M624)),
    "",
    MAX(
        1,
        IF(
            NETWORKDAYS(L624, M624, Holiday_Dates) &lt;= 0,
            1,
            NETWORKDAYS(L624, M624, Holiday_Dates) - IF(L624 = M624, 0, 1)
        )
    )
)</f>
        <v/>
      </c>
      <c r="R624" s="385">
        <f>IFERROR(
    IF(
        OR(ISBLANK(N624), AND(ISBLANK(L624), ISBLANK(M624))),
        "",
        MAX(
            1,
            IF(
                NETWORKDAYS(IF(NOT(ISBLANK(M624)), M624, L624), N624, Holiday_Dates) &lt;= 0,
                1,
                NETWORKDAYS(IF(NOT(ISBLANK(M624)), M624, L624), N624, Holiday_Dates)
                - IF(IF(NOT(ISBLANK(M624)), M624, L624) = N624, 0, 1)
            )
        )
    ),
    ""
)</f>
        <v>1</v>
      </c>
      <c r="S624" s="385">
        <f>IFERROR(
    IF(
        OR(ISBLANK(N624), ISBLANK(O624)),
        "",
        MAX(
            1,
            IF(
                NETWORKDAYS(N624, O624, Holiday_Dates) &lt;= 0,
                1,
                NETWORKDAYS(N624, O624, Holiday_Dates) - IF(N624 = O624, 0, 1)
            )
        )
    ),
    ""
)</f>
        <v>1</v>
      </c>
      <c r="T624" s="385" t="s">
        <v>929</v>
      </c>
      <c r="U624" s="385" t="s">
        <v>672</v>
      </c>
      <c r="V624" s="385" t="s">
        <v>101</v>
      </c>
      <c r="W624" s="385" t="s">
        <v>4710</v>
      </c>
      <c r="X624" s="1"/>
    </row>
    <row r="625" spans="1:24">
      <c r="A625" s="385" t="s">
        <v>65</v>
      </c>
      <c r="B625" s="385" t="s">
        <v>407</v>
      </c>
      <c r="C625" s="385" t="s">
        <v>1882</v>
      </c>
      <c r="D625" s="385" t="s">
        <v>88</v>
      </c>
      <c r="E625" s="385" t="s">
        <v>30</v>
      </c>
      <c r="F625" s="385"/>
      <c r="G625" s="385" t="s">
        <v>130</v>
      </c>
      <c r="H625" s="385">
        <v>2026</v>
      </c>
      <c r="I625" s="386">
        <v>46063</v>
      </c>
      <c r="J625" s="529" t="s">
        <v>4870</v>
      </c>
      <c r="K625" s="385" t="s">
        <v>62</v>
      </c>
      <c r="L625" s="386">
        <v>46064</v>
      </c>
      <c r="M625" s="385"/>
      <c r="N625" s="386">
        <v>46064</v>
      </c>
      <c r="O625" s="386">
        <v>46064</v>
      </c>
      <c r="P625" s="385">
        <f>IFERROR(
    IF(
        OR(ISBLANK(I625), ISBLANK(L625)),
        "",
        MAX(
            1,
            IF(
                NETWORKDAYS(I625, L625, Holiday_Dates) &lt;= 0,
                1,
                NETWORKDAYS(I625, L625, Holiday_Dates) - IF(I625 = L625, 0, 1)
            )
        )
    ),
    ""
)</f>
        <v>1</v>
      </c>
      <c r="Q625" s="385" t="str">
        <f>IF(
    OR(ISBLANK(L625), ISBLANK(M625)),
    "",
    MAX(
        1,
        IF(
            NETWORKDAYS(L625, M625, Holiday_Dates) &lt;= 0,
            1,
            NETWORKDAYS(L625, M625, Holiday_Dates) - IF(L625 = M625, 0, 1)
        )
    )
)</f>
        <v/>
      </c>
      <c r="R625" s="385">
        <f>IFERROR(
    IF(
        OR(ISBLANK(N625), AND(ISBLANK(L625), ISBLANK(M625))),
        "",
        MAX(
            1,
            IF(
                NETWORKDAYS(IF(NOT(ISBLANK(M625)), M625, L625), N625, Holiday_Dates) &lt;= 0,
                1,
                NETWORKDAYS(IF(NOT(ISBLANK(M625)), M625, L625), N625, Holiday_Dates)
                - IF(IF(NOT(ISBLANK(M625)), M625, L625) = N625, 0, 1)
            )
        )
    ),
    ""
)</f>
        <v>1</v>
      </c>
      <c r="S625" s="385">
        <f>IFERROR(
    IF(
        OR(ISBLANK(N625), ISBLANK(O625)),
        "",
        MAX(
            1,
            IF(
                NETWORKDAYS(N625, O625, Holiday_Dates) &lt;= 0,
                1,
                NETWORKDAYS(N625, O625, Holiday_Dates) - IF(N625 = O625, 0, 1)
            )
        )
    ),
    ""
)</f>
        <v>1</v>
      </c>
      <c r="T625" s="385" t="s">
        <v>929</v>
      </c>
      <c r="U625" s="385" t="s">
        <v>672</v>
      </c>
      <c r="V625" s="385" t="s">
        <v>101</v>
      </c>
      <c r="W625" s="385" t="s">
        <v>4710</v>
      </c>
      <c r="X625" s="1"/>
    </row>
    <row r="626" spans="1:24">
      <c r="A626" s="385" t="s">
        <v>65</v>
      </c>
      <c r="B626" s="385" t="s">
        <v>407</v>
      </c>
      <c r="C626" s="385" t="s">
        <v>539</v>
      </c>
      <c r="D626" s="385" t="s">
        <v>88</v>
      </c>
      <c r="E626" s="385" t="s">
        <v>30</v>
      </c>
      <c r="F626" s="385"/>
      <c r="G626" s="385" t="s">
        <v>130</v>
      </c>
      <c r="H626" s="385">
        <v>2026</v>
      </c>
      <c r="I626" s="386">
        <v>46063</v>
      </c>
      <c r="J626" s="529" t="s">
        <v>4871</v>
      </c>
      <c r="K626" s="385" t="s">
        <v>62</v>
      </c>
      <c r="L626" s="386">
        <v>46064</v>
      </c>
      <c r="M626" s="385"/>
      <c r="N626" s="386">
        <v>46064</v>
      </c>
      <c r="O626" s="386">
        <v>46064</v>
      </c>
      <c r="P626" s="385">
        <f>IFERROR(
    IF(
        OR(ISBLANK(I626), ISBLANK(L626)),
        "",
        MAX(
            1,
            IF(
                NETWORKDAYS(I626, L626, Holiday_Dates) &lt;= 0,
                1,
                NETWORKDAYS(I626, L626, Holiday_Dates) - IF(I626 = L626, 0, 1)
            )
        )
    ),
    ""
)</f>
        <v>1</v>
      </c>
      <c r="Q626" s="385" t="str">
        <f>IF(
    OR(ISBLANK(L626), ISBLANK(M626)),
    "",
    MAX(
        1,
        IF(
            NETWORKDAYS(L626, M626, Holiday_Dates) &lt;= 0,
            1,
            NETWORKDAYS(L626, M626, Holiday_Dates) - IF(L626 = M626, 0, 1)
        )
    )
)</f>
        <v/>
      </c>
      <c r="R626" s="385">
        <f>IFERROR(
    IF(
        OR(ISBLANK(N626), AND(ISBLANK(L626), ISBLANK(M626))),
        "",
        MAX(
            1,
            IF(
                NETWORKDAYS(IF(NOT(ISBLANK(M626)), M626, L626), N626, Holiday_Dates) &lt;= 0,
                1,
                NETWORKDAYS(IF(NOT(ISBLANK(M626)), M626, L626), N626, Holiday_Dates)
                - IF(IF(NOT(ISBLANK(M626)), M626, L626) = N626, 0, 1)
            )
        )
    ),
    ""
)</f>
        <v>1</v>
      </c>
      <c r="S626" s="385">
        <f>IFERROR(
    IF(
        OR(ISBLANK(N626), ISBLANK(O626)),
        "",
        MAX(
            1,
            IF(
                NETWORKDAYS(N626, O626, Holiday_Dates) &lt;= 0,
                1,
                NETWORKDAYS(N626, O626, Holiday_Dates) - IF(N626 = O626, 0, 1)
            )
        )
    ),
    ""
)</f>
        <v>1</v>
      </c>
      <c r="T626" s="385" t="s">
        <v>929</v>
      </c>
      <c r="U626" s="385" t="s">
        <v>672</v>
      </c>
      <c r="V626" s="385" t="s">
        <v>101</v>
      </c>
      <c r="W626" s="385" t="s">
        <v>4710</v>
      </c>
      <c r="X626" s="1"/>
    </row>
    <row r="627" spans="1:24">
      <c r="A627" s="385" t="s">
        <v>49</v>
      </c>
      <c r="B627" s="385" t="s">
        <v>2573</v>
      </c>
      <c r="C627" s="385" t="s">
        <v>4872</v>
      </c>
      <c r="D627" s="385" t="s">
        <v>88</v>
      </c>
      <c r="E627" s="385"/>
      <c r="F627" s="385"/>
      <c r="G627" s="385"/>
      <c r="H627" s="385">
        <v>2025</v>
      </c>
      <c r="I627" s="386">
        <v>45849</v>
      </c>
      <c r="J627" s="30" t="s">
        <v>4873</v>
      </c>
      <c r="K627" s="385"/>
      <c r="L627" s="385"/>
      <c r="M627" s="385"/>
      <c r="N627" s="385"/>
      <c r="O627" s="385"/>
      <c r="P627" s="385" t="str">
        <f>IFERROR(
    IF(
        OR(ISBLANK(I627), ISBLANK(L627)),
        "",
        MAX(
            1,
            IF(
                NETWORKDAYS(I627, L627, Holiday_Dates) &lt;= 0,
                1,
                NETWORKDAYS(I627, L627, Holiday_Dates) - IF(I627 = L627, 0, 1)
            )
        )
    ),
    ""
)</f>
        <v/>
      </c>
      <c r="Q627" s="385" t="str">
        <f>IF(
    OR(ISBLANK(L627), ISBLANK(M627)),
    "",
    MAX(
        1,
        IF(
            NETWORKDAYS(L627, M627, Holiday_Dates) &lt;= 0,
            1,
            NETWORKDAYS(L627, M627, Holiday_Dates) - IF(L627 = M627, 0, 1)
        )
    )
)</f>
        <v/>
      </c>
      <c r="R627" s="385" t="str">
        <f>IFERROR(
    IF(
        OR(ISBLANK(N627), AND(ISBLANK(L627), ISBLANK(M627))),
        "",
        MAX(
            1,
            IF(
                NETWORKDAYS(IF(NOT(ISBLANK(M627)), M627, L627), N627, Holiday_Dates) &lt;= 0,
                1,
                NETWORKDAYS(IF(NOT(ISBLANK(M627)), M627, L627), N627, Holiday_Dates)
                - IF(IF(NOT(ISBLANK(M627)), M627, L627) = N627, 0, 1)
            )
        )
    ),
    ""
)</f>
        <v/>
      </c>
      <c r="S627" s="385" t="str">
        <f>IFERROR(
    IF(
        OR(ISBLANK(N627), ISBLANK(O627)),
        "",
        MAX(
            1,
            IF(
                NETWORKDAYS(N627, O627, Holiday_Dates) &lt;= 0,
                1,
                NETWORKDAYS(N627, O627, Holiday_Dates) - IF(N627 = O627, 0, 1)
            )
        )
    ),
    ""
)</f>
        <v/>
      </c>
      <c r="T627" s="385"/>
      <c r="U627" s="385" t="s">
        <v>4</v>
      </c>
      <c r="V627" s="385" t="s">
        <v>101</v>
      </c>
      <c r="W627" s="385" t="s">
        <v>1436</v>
      </c>
      <c r="X627" s="1"/>
    </row>
    <row r="628" spans="1:24">
      <c r="A628" s="385" t="s">
        <v>65</v>
      </c>
      <c r="B628" s="385" t="s">
        <v>2958</v>
      </c>
      <c r="C628" s="385" t="s">
        <v>2960</v>
      </c>
      <c r="D628" s="385" t="s">
        <v>88</v>
      </c>
      <c r="E628" s="385" t="s">
        <v>30</v>
      </c>
      <c r="F628" s="385"/>
      <c r="G628" s="385" t="s">
        <v>130</v>
      </c>
      <c r="H628" s="385">
        <v>2026</v>
      </c>
      <c r="I628" s="386">
        <v>46042</v>
      </c>
      <c r="J628" s="30" t="s">
        <v>4874</v>
      </c>
      <c r="K628" s="385" t="s">
        <v>62</v>
      </c>
      <c r="L628" s="386">
        <v>46042</v>
      </c>
      <c r="M628" s="386">
        <v>46043</v>
      </c>
      <c r="N628" s="386">
        <v>46043</v>
      </c>
      <c r="O628" s="386">
        <v>46044</v>
      </c>
      <c r="P628" s="385">
        <f>IFERROR(
    IF(
        OR(ISBLANK(I628), ISBLANK(L628)),
        "",
        MAX(
            1,
            IF(
                NETWORKDAYS(I628, L628, Holiday_Dates) &lt;= 0,
                1,
                NETWORKDAYS(I628, L628, Holiday_Dates) - IF(I628 = L628, 0, 1)
            )
        )
    ),
    ""
)</f>
        <v>1</v>
      </c>
      <c r="Q628" s="385">
        <f>IF(
    OR(ISBLANK(L628), ISBLANK(M628)),
    "",
    MAX(
        1,
        IF(
            NETWORKDAYS(L628, M628, Holiday_Dates) &lt;= 0,
            1,
            NETWORKDAYS(L628, M628, Holiday_Dates) - IF(L628 = M628, 0, 1)
        )
    )
)</f>
        <v>1</v>
      </c>
      <c r="R628" s="385">
        <f>IFERROR(
    IF(
        OR(ISBLANK(N628), AND(ISBLANK(L628), ISBLANK(M628))),
        "",
        MAX(
            1,
            IF(
                NETWORKDAYS(IF(NOT(ISBLANK(M628)), M628, L628), N628, Holiday_Dates) &lt;= 0,
                1,
                NETWORKDAYS(IF(NOT(ISBLANK(M628)), M628, L628), N628, Holiday_Dates)
                - IF(IF(NOT(ISBLANK(M628)), M628, L628) = N628, 0, 1)
            )
        )
    ),
    ""
)</f>
        <v>1</v>
      </c>
      <c r="S628" s="385">
        <f>IFERROR(
    IF(
        OR(ISBLANK(N628), ISBLANK(O628)),
        "",
        MAX(
            1,
            IF(
                NETWORKDAYS(N628, O628, Holiday_Dates) &lt;= 0,
                1,
                NETWORKDAYS(N628, O628, Holiday_Dates) - IF(N628 = O628, 0, 1)
            )
        )
    ),
    ""
)</f>
        <v>1</v>
      </c>
      <c r="T628" s="385" t="s">
        <v>929</v>
      </c>
      <c r="U628" s="385" t="s">
        <v>672</v>
      </c>
      <c r="V628" s="385" t="s">
        <v>101</v>
      </c>
      <c r="W628" s="385" t="s">
        <v>4710</v>
      </c>
      <c r="X628" s="1"/>
    </row>
    <row r="629" spans="1:24">
      <c r="A629" s="388" t="s">
        <v>65</v>
      </c>
      <c r="B629" s="388" t="s">
        <v>511</v>
      </c>
      <c r="C629" s="388" t="s">
        <v>3042</v>
      </c>
      <c r="D629" s="388" t="s">
        <v>88</v>
      </c>
      <c r="E629" s="388" t="s">
        <v>29</v>
      </c>
      <c r="F629" s="597"/>
      <c r="G629" s="597" t="s">
        <v>130</v>
      </c>
      <c r="H629" s="597">
        <v>2026</v>
      </c>
      <c r="I629" s="456">
        <v>46069</v>
      </c>
      <c r="J629" s="598" t="s">
        <v>4875</v>
      </c>
      <c r="K629" s="385" t="s">
        <v>62</v>
      </c>
      <c r="L629" s="456">
        <v>46070</v>
      </c>
      <c r="M629" s="385"/>
      <c r="N629" s="456">
        <v>46071</v>
      </c>
      <c r="O629" s="456">
        <v>46071</v>
      </c>
      <c r="P629" s="385">
        <f>IFERROR(
    IF(
        OR(ISBLANK(I629), ISBLANK(L629)),
        "",
        MAX(
            1,
            IF(
                NETWORKDAYS(I629, L629, Holiday_Dates) &lt;= 0,
                1,
                NETWORKDAYS(I629, L629, Holiday_Dates) - IF(I629 = L629, 0, 1)
            )
        )
    ),
    ""
)</f>
        <v>1</v>
      </c>
      <c r="Q629" s="385" t="str">
        <f>IF(
    OR(ISBLANK(L629), ISBLANK(M629)),
    "",
    MAX(
        1,
        IF(
            NETWORKDAYS(L629, M629, Holiday_Dates) &lt;= 0,
            1,
            NETWORKDAYS(L629, M629, Holiday_Dates) - IF(L629 = M629, 0, 1)
        )
    )
)</f>
        <v/>
      </c>
      <c r="R629" s="385">
        <f>IFERROR(
    IF(
        OR(ISBLANK(N629), AND(ISBLANK(L629), ISBLANK(M629))),
        "",
        MAX(
            1,
            IF(
                NETWORKDAYS(IF(NOT(ISBLANK(M629)), M629, L629), N629, Holiday_Dates) &lt;= 0,
                1,
                NETWORKDAYS(IF(NOT(ISBLANK(M629)), M629, L629), N629, Holiday_Dates)
                - IF(IF(NOT(ISBLANK(M629)), M629, L629) = N629, 0, 1)
            )
        )
    ),
    ""
)</f>
        <v>1</v>
      </c>
      <c r="S629" s="385">
        <f>IFERROR(
    IF(
        OR(ISBLANK(N629), ISBLANK(O629)),
        "",
        MAX(
            1,
            IF(
                NETWORKDAYS(N629, O629, Holiday_Dates) &lt;= 0,
                1,
                NETWORKDAYS(N629, O629, Holiday_Dates) - IF(N629 = O629, 0, 1)
            )
        )
    ),
    ""
)</f>
        <v>1</v>
      </c>
      <c r="T629" s="385" t="s">
        <v>929</v>
      </c>
      <c r="U629" s="385" t="s">
        <v>672</v>
      </c>
      <c r="V629" s="385" t="s">
        <v>685</v>
      </c>
      <c r="W629" s="385" t="s">
        <v>4710</v>
      </c>
      <c r="X629" s="1"/>
    </row>
    <row r="630" spans="1:24">
      <c r="A630" s="388" t="s">
        <v>65</v>
      </c>
      <c r="B630" s="388" t="s">
        <v>511</v>
      </c>
      <c r="C630" s="388" t="s">
        <v>886</v>
      </c>
      <c r="D630" s="388" t="s">
        <v>88</v>
      </c>
      <c r="E630" s="388" t="s">
        <v>29</v>
      </c>
      <c r="F630" s="597"/>
      <c r="G630" s="597" t="s">
        <v>130</v>
      </c>
      <c r="H630" s="597">
        <v>2026</v>
      </c>
      <c r="I630" s="456">
        <v>46069</v>
      </c>
      <c r="J630" s="598" t="s">
        <v>4876</v>
      </c>
      <c r="K630" s="385" t="s">
        <v>62</v>
      </c>
      <c r="L630" s="456">
        <v>46070</v>
      </c>
      <c r="M630" s="385"/>
      <c r="N630" s="456">
        <v>46071</v>
      </c>
      <c r="O630" s="456">
        <v>46071</v>
      </c>
      <c r="P630" s="385">
        <f>IFERROR(
    IF(
        OR(ISBLANK(I630), ISBLANK(L630)),
        "",
        MAX(
            1,
            IF(
                NETWORKDAYS(I630, L630, Holiday_Dates) &lt;= 0,
                1,
                NETWORKDAYS(I630, L630, Holiday_Dates) - IF(I630 = L630, 0, 1)
            )
        )
    ),
    ""
)</f>
        <v>1</v>
      </c>
      <c r="Q630" s="385" t="str">
        <f>IF(
    OR(ISBLANK(L630), ISBLANK(M630)),
    "",
    MAX(
        1,
        IF(
            NETWORKDAYS(L630, M630, Holiday_Dates) &lt;= 0,
            1,
            NETWORKDAYS(L630, M630, Holiday_Dates) - IF(L630 = M630, 0, 1)
        )
    )
)</f>
        <v/>
      </c>
      <c r="R630" s="385">
        <f>IFERROR(
    IF(
        OR(ISBLANK(N630), AND(ISBLANK(L630), ISBLANK(M630))),
        "",
        MAX(
            1,
            IF(
                NETWORKDAYS(IF(NOT(ISBLANK(M630)), M630, L630), N630, Holiday_Dates) &lt;= 0,
                1,
                NETWORKDAYS(IF(NOT(ISBLANK(M630)), M630, L630), N630, Holiday_Dates)
                - IF(IF(NOT(ISBLANK(M630)), M630, L630) = N630, 0, 1)
            )
        )
    ),
    ""
)</f>
        <v>1</v>
      </c>
      <c r="S630" s="385">
        <f>IFERROR(
    IF(
        OR(ISBLANK(N630), ISBLANK(O630)),
        "",
        MAX(
            1,
            IF(
                NETWORKDAYS(N630, O630, Holiday_Dates) &lt;= 0,
                1,
                NETWORKDAYS(N630, O630, Holiday_Dates) - IF(N630 = O630, 0, 1)
            )
        )
    ),
    ""
)</f>
        <v>1</v>
      </c>
      <c r="T630" s="385" t="s">
        <v>929</v>
      </c>
      <c r="U630" s="385" t="s">
        <v>672</v>
      </c>
      <c r="V630" s="385" t="s">
        <v>685</v>
      </c>
      <c r="W630" s="385" t="s">
        <v>4710</v>
      </c>
      <c r="X630" s="1"/>
    </row>
    <row r="631" spans="1:24">
      <c r="A631" s="388" t="s">
        <v>65</v>
      </c>
      <c r="B631" s="388" t="s">
        <v>511</v>
      </c>
      <c r="C631" s="388" t="s">
        <v>3050</v>
      </c>
      <c r="D631" s="388" t="s">
        <v>88</v>
      </c>
      <c r="E631" s="388" t="s">
        <v>29</v>
      </c>
      <c r="F631" s="597"/>
      <c r="G631" s="597" t="s">
        <v>130</v>
      </c>
      <c r="H631" s="597">
        <v>2026</v>
      </c>
      <c r="I631" s="456">
        <v>46069</v>
      </c>
      <c r="J631" s="598" t="s">
        <v>4877</v>
      </c>
      <c r="K631" s="385" t="s">
        <v>62</v>
      </c>
      <c r="L631" s="456">
        <v>46071</v>
      </c>
      <c r="M631" s="385"/>
      <c r="N631" s="456">
        <v>46071</v>
      </c>
      <c r="O631" s="456">
        <v>46071</v>
      </c>
      <c r="P631" s="385">
        <f>IFERROR(
    IF(
        OR(ISBLANK(I631), ISBLANK(L631)),
        "",
        MAX(
            1,
            IF(
                NETWORKDAYS(I631, L631, Holiday_Dates) &lt;= 0,
                1,
                NETWORKDAYS(I631, L631, Holiday_Dates) - IF(I631 = L631, 0, 1)
            )
        )
    ),
    ""
)</f>
        <v>2</v>
      </c>
      <c r="Q631" s="385" t="str">
        <f>IF(
    OR(ISBLANK(L631), ISBLANK(M631)),
    "",
    MAX(
        1,
        IF(
            NETWORKDAYS(L631, M631, Holiday_Dates) &lt;= 0,
            1,
            NETWORKDAYS(L631, M631, Holiday_Dates) - IF(L631 = M631, 0, 1)
        )
    )
)</f>
        <v/>
      </c>
      <c r="R631" s="385">
        <f>IFERROR(
    IF(
        OR(ISBLANK(N631), AND(ISBLANK(L631), ISBLANK(M631))),
        "",
        MAX(
            1,
            IF(
                NETWORKDAYS(IF(NOT(ISBLANK(M631)), M631, L631), N631, Holiday_Dates) &lt;= 0,
                1,
                NETWORKDAYS(IF(NOT(ISBLANK(M631)), M631, L631), N631, Holiday_Dates)
                - IF(IF(NOT(ISBLANK(M631)), M631, L631) = N631, 0, 1)
            )
        )
    ),
    ""
)</f>
        <v>1</v>
      </c>
      <c r="S631" s="385">
        <f>IFERROR(
    IF(
        OR(ISBLANK(N631), ISBLANK(O631)),
        "",
        MAX(
            1,
            IF(
                NETWORKDAYS(N631, O631, Holiday_Dates) &lt;= 0,
                1,
                NETWORKDAYS(N631, O631, Holiday_Dates) - IF(N631 = O631, 0, 1)
            )
        )
    ),
    ""
)</f>
        <v>1</v>
      </c>
      <c r="T631" s="385" t="s">
        <v>929</v>
      </c>
      <c r="U631" s="385" t="s">
        <v>672</v>
      </c>
      <c r="V631" s="385" t="s">
        <v>685</v>
      </c>
      <c r="W631" s="385" t="s">
        <v>4710</v>
      </c>
      <c r="X631" s="1"/>
    </row>
    <row r="632" spans="1:24">
      <c r="A632" s="385" t="s">
        <v>49</v>
      </c>
      <c r="B632" s="385" t="s">
        <v>2573</v>
      </c>
      <c r="C632" s="385" t="s">
        <v>2409</v>
      </c>
      <c r="D632" s="385" t="s">
        <v>88</v>
      </c>
      <c r="E632" s="385"/>
      <c r="F632" s="385"/>
      <c r="G632" s="385"/>
      <c r="H632" s="385">
        <v>2024</v>
      </c>
      <c r="I632" s="386">
        <v>45576</v>
      </c>
      <c r="J632" s="30"/>
      <c r="K632" s="385"/>
      <c r="L632" s="385"/>
      <c r="M632" s="385"/>
      <c r="N632" s="385"/>
      <c r="O632" s="385"/>
      <c r="P632" s="385" t="str">
        <f>IFERROR(
    IF(
        OR(ISBLANK(I632), ISBLANK(L632)),
        "",
        MAX(
            1,
            IF(
                NETWORKDAYS(I632, L632, Holiday_Dates) &lt;= 0,
                1,
                NETWORKDAYS(I632, L632, Holiday_Dates) - IF(I632 = L632, 0, 1)
            )
        )
    ),
    ""
)</f>
        <v/>
      </c>
      <c r="Q632" s="385" t="str">
        <f>IF(
    OR(ISBLANK(L632), ISBLANK(M632)),
    "",
    MAX(
        1,
        IF(
            NETWORKDAYS(L632, M632, Holiday_Dates) &lt;= 0,
            1,
            NETWORKDAYS(L632, M632, Holiday_Dates) - IF(L632 = M632, 0, 1)
        )
    )
)</f>
        <v/>
      </c>
      <c r="R632" s="385" t="str">
        <f>IFERROR(
    IF(
        OR(ISBLANK(N632), AND(ISBLANK(L632), ISBLANK(M632))),
        "",
        MAX(
            1,
            IF(
                NETWORKDAYS(IF(NOT(ISBLANK(M632)), M632, L632), N632, Holiday_Dates) &lt;= 0,
                1,
                NETWORKDAYS(IF(NOT(ISBLANK(M632)), M632, L632), N632, Holiday_Dates)
                - IF(IF(NOT(ISBLANK(M632)), M632, L632) = N632, 0, 1)
            )
        )
    ),
    ""
)</f>
        <v/>
      </c>
      <c r="S632" s="385" t="str">
        <f>IFERROR(
    IF(
        OR(ISBLANK(N632), ISBLANK(O632)),
        "",
        MAX(
            1,
            IF(
                NETWORKDAYS(N632, O632, Holiday_Dates) &lt;= 0,
                1,
                NETWORKDAYS(N632, O632, Holiday_Dates) - IF(N632 = O632, 0, 1)
            )
        )
    ),
    ""
)</f>
        <v/>
      </c>
      <c r="T632" s="385"/>
      <c r="U632" s="385" t="s">
        <v>672</v>
      </c>
      <c r="V632" s="385" t="s">
        <v>1676</v>
      </c>
      <c r="W632" s="385" t="s">
        <v>1436</v>
      </c>
      <c r="X632" s="1"/>
    </row>
    <row r="633" spans="1:24">
      <c r="A633" s="388" t="s">
        <v>65</v>
      </c>
      <c r="B633" s="388" t="s">
        <v>511</v>
      </c>
      <c r="C633" s="388" t="s">
        <v>3029</v>
      </c>
      <c r="D633" s="388" t="s">
        <v>88</v>
      </c>
      <c r="E633" s="388" t="s">
        <v>29</v>
      </c>
      <c r="F633" s="597"/>
      <c r="G633" s="597" t="s">
        <v>130</v>
      </c>
      <c r="H633" s="597">
        <v>2026</v>
      </c>
      <c r="I633" s="456">
        <v>46065</v>
      </c>
      <c r="J633" s="598" t="s">
        <v>4878</v>
      </c>
      <c r="K633" s="385" t="s">
        <v>62</v>
      </c>
      <c r="L633" s="456">
        <v>46068</v>
      </c>
      <c r="M633" s="385"/>
      <c r="N633" s="456">
        <v>46071</v>
      </c>
      <c r="O633" s="456">
        <v>46071</v>
      </c>
      <c r="P633" s="385">
        <f>IFERROR(
    IF(
        OR(ISBLANK(I633), ISBLANK(L633)),
        "",
        MAX(
            1,
            IF(
                NETWORKDAYS(I633, L633, Holiday_Dates) &lt;= 0,
                1,
                NETWORKDAYS(I633, L633, Holiday_Dates) - IF(I633 = L633, 0, 1)
            )
        )
    ),
    ""
)</f>
        <v>1</v>
      </c>
      <c r="Q633" s="385" t="str">
        <f>IF(
    OR(ISBLANK(L633), ISBLANK(M633)),
    "",
    MAX(
        1,
        IF(
            NETWORKDAYS(L633, M633, Holiday_Dates) &lt;= 0,
            1,
            NETWORKDAYS(L633, M633, Holiday_Dates) - IF(L633 = M633, 0, 1)
        )
    )
)</f>
        <v/>
      </c>
      <c r="R633" s="385">
        <f>IFERROR(
    IF(
        OR(ISBLANK(N633), AND(ISBLANK(L633), ISBLANK(M633))),
        "",
        MAX(
            1,
            IF(
                NETWORKDAYS(IF(NOT(ISBLANK(M633)), M633, L633), N633, Holiday_Dates) &lt;= 0,
                1,
                NETWORKDAYS(IF(NOT(ISBLANK(M633)), M633, L633), N633, Holiday_Dates)
                - IF(IF(NOT(ISBLANK(M633)), M633, L633) = N633, 0, 1)
            )
        )
    ),
    ""
)</f>
        <v>2</v>
      </c>
      <c r="S633" s="385">
        <f>IFERROR(
    IF(
        OR(ISBLANK(N633), ISBLANK(O633)),
        "",
        MAX(
            1,
            IF(
                NETWORKDAYS(N633, O633, Holiday_Dates) &lt;= 0,
                1,
                NETWORKDAYS(N633, O633, Holiday_Dates) - IF(N633 = O633, 0, 1)
            )
        )
    ),
    ""
)</f>
        <v>1</v>
      </c>
      <c r="T633" s="385" t="s">
        <v>929</v>
      </c>
      <c r="U633" s="385" t="s">
        <v>4</v>
      </c>
      <c r="V633" s="385" t="s">
        <v>685</v>
      </c>
      <c r="W633" s="385" t="s">
        <v>4710</v>
      </c>
      <c r="X633" s="1"/>
    </row>
    <row r="634" spans="1:24">
      <c r="A634" s="385" t="s">
        <v>65</v>
      </c>
      <c r="B634" s="385" t="s">
        <v>511</v>
      </c>
      <c r="C634" s="385" t="s">
        <v>3057</v>
      </c>
      <c r="D634" s="385" t="s">
        <v>88</v>
      </c>
      <c r="E634" s="385" t="s">
        <v>29</v>
      </c>
      <c r="F634" s="385"/>
      <c r="G634" s="385" t="s">
        <v>130</v>
      </c>
      <c r="H634" s="385">
        <v>2026</v>
      </c>
      <c r="I634" s="386">
        <v>46069</v>
      </c>
      <c r="J634" s="30" t="s">
        <v>4879</v>
      </c>
      <c r="K634" s="385" t="s">
        <v>62</v>
      </c>
      <c r="L634" s="386">
        <v>46070</v>
      </c>
      <c r="M634" s="385"/>
      <c r="N634" s="386">
        <v>46071</v>
      </c>
      <c r="O634" s="386">
        <v>46071</v>
      </c>
      <c r="P634" s="385">
        <f>IFERROR(
    IF(
        OR(ISBLANK(I634), ISBLANK(L634)),
        "",
        MAX(
            1,
            IF(
                NETWORKDAYS(I634, L634, Holiday_Dates) &lt;= 0,
                1,
                NETWORKDAYS(I634, L634, Holiday_Dates) - IF(I634 = L634, 0, 1)
            )
        )
    ),
    ""
)</f>
        <v>1</v>
      </c>
      <c r="Q634" s="385" t="str">
        <f>IF(
    OR(ISBLANK(L634), ISBLANK(M634)),
    "",
    MAX(
        1,
        IF(
            NETWORKDAYS(L634, M634, Holiday_Dates) &lt;= 0,
            1,
            NETWORKDAYS(L634, M634, Holiday_Dates) - IF(L634 = M634, 0, 1)
        )
    )
)</f>
        <v/>
      </c>
      <c r="R634" s="385">
        <f>IFERROR(
    IF(
        OR(ISBLANK(N634), AND(ISBLANK(L634), ISBLANK(M634))),
        "",
        MAX(
            1,
            IF(
                NETWORKDAYS(IF(NOT(ISBLANK(M634)), M634, L634), N634, Holiday_Dates) &lt;= 0,
                1,
                NETWORKDAYS(IF(NOT(ISBLANK(M634)), M634, L634), N634, Holiday_Dates)
                - IF(IF(NOT(ISBLANK(M634)), M634, L634) = N634, 0, 1)
            )
        )
    ),
    ""
)</f>
        <v>1</v>
      </c>
      <c r="S634" s="385">
        <f>IFERROR(
    IF(
        OR(ISBLANK(N634), ISBLANK(O634)),
        "",
        MAX(
            1,
            IF(
                NETWORKDAYS(N634, O634, Holiday_Dates) &lt;= 0,
                1,
                NETWORKDAYS(N634, O634, Holiday_Dates) - IF(N634 = O634, 0, 1)
            )
        )
    ),
    ""
)</f>
        <v>1</v>
      </c>
      <c r="T634" s="385" t="s">
        <v>929</v>
      </c>
      <c r="U634" s="385" t="s">
        <v>672</v>
      </c>
      <c r="V634" s="385" t="s">
        <v>101</v>
      </c>
      <c r="W634" s="385" t="s">
        <v>4710</v>
      </c>
      <c r="X634" s="1"/>
    </row>
    <row r="635" spans="1:24">
      <c r="A635" s="385" t="s">
        <v>65</v>
      </c>
      <c r="B635" s="385" t="s">
        <v>511</v>
      </c>
      <c r="C635" s="385" t="s">
        <v>3058</v>
      </c>
      <c r="D635" s="385" t="s">
        <v>88</v>
      </c>
      <c r="E635" s="385" t="s">
        <v>29</v>
      </c>
      <c r="F635" s="385"/>
      <c r="G635" s="385" t="s">
        <v>130</v>
      </c>
      <c r="H635" s="385">
        <v>2026</v>
      </c>
      <c r="I635" s="386">
        <v>46069</v>
      </c>
      <c r="J635" s="30" t="s">
        <v>4880</v>
      </c>
      <c r="K635" s="385" t="s">
        <v>62</v>
      </c>
      <c r="L635" s="386">
        <v>46070</v>
      </c>
      <c r="M635" s="385"/>
      <c r="N635" s="386">
        <v>46071</v>
      </c>
      <c r="O635" s="386">
        <v>46071</v>
      </c>
      <c r="P635" s="385">
        <f>IFERROR(
    IF(
        OR(ISBLANK(I635), ISBLANK(L635)),
        "",
        MAX(
            1,
            IF(
                NETWORKDAYS(I635, L635, Holiday_Dates) &lt;= 0,
                1,
                NETWORKDAYS(I635, L635, Holiday_Dates) - IF(I635 = L635, 0, 1)
            )
        )
    ),
    ""
)</f>
        <v>1</v>
      </c>
      <c r="Q635" s="385" t="str">
        <f>IF(
    OR(ISBLANK(L635), ISBLANK(M635)),
    "",
    MAX(
        1,
        IF(
            NETWORKDAYS(L635, M635, Holiday_Dates) &lt;= 0,
            1,
            NETWORKDAYS(L635, M635, Holiday_Dates) - IF(L635 = M635, 0, 1)
        )
    )
)</f>
        <v/>
      </c>
      <c r="R635" s="385">
        <f>IFERROR(
    IF(
        OR(ISBLANK(N635), AND(ISBLANK(L635), ISBLANK(M635))),
        "",
        MAX(
            1,
            IF(
                NETWORKDAYS(IF(NOT(ISBLANK(M635)), M635, L635), N635, Holiday_Dates) &lt;= 0,
                1,
                NETWORKDAYS(IF(NOT(ISBLANK(M635)), M635, L635), N635, Holiday_Dates)
                - IF(IF(NOT(ISBLANK(M635)), M635, L635) = N635, 0, 1)
            )
        )
    ),
    ""
)</f>
        <v>1</v>
      </c>
      <c r="S635" s="385">
        <f>IFERROR(
    IF(
        OR(ISBLANK(N635), ISBLANK(O635)),
        "",
        MAX(
            1,
            IF(
                NETWORKDAYS(N635, O635, Holiday_Dates) &lt;= 0,
                1,
                NETWORKDAYS(N635, O635, Holiday_Dates) - IF(N635 = O635, 0, 1)
            )
        )
    ),
    ""
)</f>
        <v>1</v>
      </c>
      <c r="T635" s="385" t="s">
        <v>929</v>
      </c>
      <c r="U635" s="385" t="s">
        <v>672</v>
      </c>
      <c r="V635" s="385" t="s">
        <v>101</v>
      </c>
      <c r="W635" s="385" t="s">
        <v>4710</v>
      </c>
      <c r="X635" s="1"/>
    </row>
    <row r="636" spans="1:24">
      <c r="A636" s="388" t="s">
        <v>65</v>
      </c>
      <c r="B636" s="388" t="s">
        <v>295</v>
      </c>
      <c r="C636" s="388" t="s">
        <v>3144</v>
      </c>
      <c r="D636" s="388" t="s">
        <v>88</v>
      </c>
      <c r="E636" s="388" t="s">
        <v>29</v>
      </c>
      <c r="F636" s="385"/>
      <c r="G636" s="385" t="s">
        <v>130</v>
      </c>
      <c r="H636" s="597">
        <v>2026</v>
      </c>
      <c r="I636" s="456">
        <v>46064</v>
      </c>
      <c r="J636" s="30" t="s">
        <v>4881</v>
      </c>
      <c r="K636" s="385" t="s">
        <v>62</v>
      </c>
      <c r="L636" s="456">
        <v>46068</v>
      </c>
      <c r="M636" s="385"/>
      <c r="N636" s="456">
        <v>46071</v>
      </c>
      <c r="O636" s="456">
        <v>46071</v>
      </c>
      <c r="P636" s="385">
        <f>IFERROR(
    IF(
        OR(ISBLANK(I636), ISBLANK(L636)),
        "",
        MAX(
            1,
            IF(
                NETWORKDAYS(I636, L636, Holiday_Dates) &lt;= 0,
                1,
                NETWORKDAYS(I636, L636, Holiday_Dates) - IF(I636 = L636, 0, 1)
            )
        )
    ),
    ""
)</f>
        <v>2</v>
      </c>
      <c r="Q636" s="385" t="str">
        <f>IF(
    OR(ISBLANK(L636), ISBLANK(M636)),
    "",
    MAX(
        1,
        IF(
            NETWORKDAYS(L636, M636, Holiday_Dates) &lt;= 0,
            1,
            NETWORKDAYS(L636, M636, Holiday_Dates) - IF(L636 = M636, 0, 1)
        )
    )
)</f>
        <v/>
      </c>
      <c r="R636" s="385">
        <f>IFERROR(
    IF(
        OR(ISBLANK(N636), AND(ISBLANK(L636), ISBLANK(M636))),
        "",
        MAX(
            1,
            IF(
                NETWORKDAYS(IF(NOT(ISBLANK(M636)), M636, L636), N636, Holiday_Dates) &lt;= 0,
                1,
                NETWORKDAYS(IF(NOT(ISBLANK(M636)), M636, L636), N636, Holiday_Dates)
                - IF(IF(NOT(ISBLANK(M636)), M636, L636) = N636, 0, 1)
            )
        )
    ),
    ""
)</f>
        <v>2</v>
      </c>
      <c r="S636" s="385">
        <f>IFERROR(
    IF(
        OR(ISBLANK(N636), ISBLANK(O636)),
        "",
        MAX(
            1,
            IF(
                NETWORKDAYS(N636, O636, Holiday_Dates) &lt;= 0,
                1,
                NETWORKDAYS(N636, O636, Holiday_Dates) - IF(N636 = O636, 0, 1)
            )
        )
    ),
    ""
)</f>
        <v>1</v>
      </c>
      <c r="T636" s="385" t="s">
        <v>929</v>
      </c>
      <c r="U636" s="385" t="s">
        <v>672</v>
      </c>
      <c r="V636" s="385" t="s">
        <v>685</v>
      </c>
      <c r="W636" s="385" t="s">
        <v>4710</v>
      </c>
      <c r="X636" s="1"/>
    </row>
    <row r="637" spans="1:24">
      <c r="A637" s="385" t="s">
        <v>65</v>
      </c>
      <c r="B637" s="385" t="s">
        <v>511</v>
      </c>
      <c r="C637" s="385" t="s">
        <v>3060</v>
      </c>
      <c r="D637" s="385" t="s">
        <v>88</v>
      </c>
      <c r="E637" s="385" t="s">
        <v>29</v>
      </c>
      <c r="F637" s="385"/>
      <c r="G637" s="385" t="s">
        <v>130</v>
      </c>
      <c r="H637" s="385">
        <v>2026</v>
      </c>
      <c r="I637" s="386">
        <v>46069</v>
      </c>
      <c r="J637" s="30" t="s">
        <v>4882</v>
      </c>
      <c r="K637" s="385" t="s">
        <v>62</v>
      </c>
      <c r="L637" s="386">
        <v>46070</v>
      </c>
      <c r="M637" s="385"/>
      <c r="N637" s="386">
        <v>46071</v>
      </c>
      <c r="O637" s="386">
        <v>46071</v>
      </c>
      <c r="P637" s="385">
        <f>IFERROR(
    IF(
        OR(ISBLANK(I637), ISBLANK(L637)),
        "",
        MAX(
            1,
            IF(
                NETWORKDAYS(I637, L637, Holiday_Dates) &lt;= 0,
                1,
                NETWORKDAYS(I637, L637, Holiday_Dates) - IF(I637 = L637, 0, 1)
            )
        )
    ),
    ""
)</f>
        <v>1</v>
      </c>
      <c r="Q637" s="385" t="str">
        <f>IF(
    OR(ISBLANK(L637), ISBLANK(M637)),
    "",
    MAX(
        1,
        IF(
            NETWORKDAYS(L637, M637, Holiday_Dates) &lt;= 0,
            1,
            NETWORKDAYS(L637, M637, Holiday_Dates) - IF(L637 = M637, 0, 1)
        )
    )
)</f>
        <v/>
      </c>
      <c r="R637" s="385">
        <f>IFERROR(
    IF(
        OR(ISBLANK(N637), AND(ISBLANK(L637), ISBLANK(M637))),
        "",
        MAX(
            1,
            IF(
                NETWORKDAYS(IF(NOT(ISBLANK(M637)), M637, L637), N637, Holiday_Dates) &lt;= 0,
                1,
                NETWORKDAYS(IF(NOT(ISBLANK(M637)), M637, L637), N637, Holiday_Dates)
                - IF(IF(NOT(ISBLANK(M637)), M637, L637) = N637, 0, 1)
            )
        )
    ),
    ""
)</f>
        <v>1</v>
      </c>
      <c r="S637" s="385">
        <f>IFERROR(
    IF(
        OR(ISBLANK(N637), ISBLANK(O637)),
        "",
        MAX(
            1,
            IF(
                NETWORKDAYS(N637, O637, Holiday_Dates) &lt;= 0,
                1,
                NETWORKDAYS(N637, O637, Holiday_Dates) - IF(N637 = O637, 0, 1)
            )
        )
    ),
    ""
)</f>
        <v>1</v>
      </c>
      <c r="T637" s="385" t="s">
        <v>929</v>
      </c>
      <c r="U637" s="385" t="s">
        <v>672</v>
      </c>
      <c r="V637" s="385" t="s">
        <v>101</v>
      </c>
      <c r="W637" s="385" t="s">
        <v>4710</v>
      </c>
      <c r="X637" s="1"/>
    </row>
    <row r="638" spans="1:24">
      <c r="A638" s="388" t="s">
        <v>65</v>
      </c>
      <c r="B638" s="388" t="s">
        <v>295</v>
      </c>
      <c r="C638" s="388" t="s">
        <v>3150</v>
      </c>
      <c r="D638" s="388" t="s">
        <v>88</v>
      </c>
      <c r="E638" s="388" t="s">
        <v>29</v>
      </c>
      <c r="F638" s="385"/>
      <c r="G638" s="385" t="s">
        <v>130</v>
      </c>
      <c r="H638" s="597">
        <v>2026</v>
      </c>
      <c r="I638" s="456">
        <v>46064</v>
      </c>
      <c r="J638" s="30" t="s">
        <v>4883</v>
      </c>
      <c r="K638" s="385" t="s">
        <v>62</v>
      </c>
      <c r="L638" s="456">
        <v>46068</v>
      </c>
      <c r="M638" s="385"/>
      <c r="N638" s="456">
        <v>46071</v>
      </c>
      <c r="O638" s="456">
        <v>46071</v>
      </c>
      <c r="P638" s="385">
        <f>IFERROR(
    IF(
        OR(ISBLANK(I638), ISBLANK(L638)),
        "",
        MAX(
            1,
            IF(
                NETWORKDAYS(I638, L638, Holiday_Dates) &lt;= 0,
                1,
                NETWORKDAYS(I638, L638, Holiday_Dates) - IF(I638 = L638, 0, 1)
            )
        )
    ),
    ""
)</f>
        <v>2</v>
      </c>
      <c r="Q638" s="385" t="str">
        <f>IF(
    OR(ISBLANK(L638), ISBLANK(M638)),
    "",
    MAX(
        1,
        IF(
            NETWORKDAYS(L638, M638, Holiday_Dates) &lt;= 0,
            1,
            NETWORKDAYS(L638, M638, Holiday_Dates) - IF(L638 = M638, 0, 1)
        )
    )
)</f>
        <v/>
      </c>
      <c r="R638" s="385">
        <f>IFERROR(
    IF(
        OR(ISBLANK(N638), AND(ISBLANK(L638), ISBLANK(M638))),
        "",
        MAX(
            1,
            IF(
                NETWORKDAYS(IF(NOT(ISBLANK(M638)), M638, L638), N638, Holiday_Dates) &lt;= 0,
                1,
                NETWORKDAYS(IF(NOT(ISBLANK(M638)), M638, L638), N638, Holiday_Dates)
                - IF(IF(NOT(ISBLANK(M638)), M638, L638) = N638, 0, 1)
            )
        )
    ),
    ""
)</f>
        <v>2</v>
      </c>
      <c r="S638" s="385">
        <f>IFERROR(
    IF(
        OR(ISBLANK(N638), ISBLANK(O638)),
        "",
        MAX(
            1,
            IF(
                NETWORKDAYS(N638, O638, Holiday_Dates) &lt;= 0,
                1,
                NETWORKDAYS(N638, O638, Holiday_Dates) - IF(N638 = O638, 0, 1)
            )
        )
    ),
    ""
)</f>
        <v>1</v>
      </c>
      <c r="T638" s="385" t="s">
        <v>929</v>
      </c>
      <c r="U638" s="385" t="s">
        <v>672</v>
      </c>
      <c r="V638" s="385" t="s">
        <v>685</v>
      </c>
      <c r="W638" s="385" t="s">
        <v>4710</v>
      </c>
      <c r="X638" s="1"/>
    </row>
    <row r="639" spans="1:24">
      <c r="A639" s="388" t="s">
        <v>65</v>
      </c>
      <c r="B639" s="388" t="s">
        <v>295</v>
      </c>
      <c r="C639" s="388" t="s">
        <v>728</v>
      </c>
      <c r="D639" s="388" t="s">
        <v>88</v>
      </c>
      <c r="E639" s="388" t="s">
        <v>29</v>
      </c>
      <c r="F639" s="385"/>
      <c r="G639" s="385" t="s">
        <v>130</v>
      </c>
      <c r="H639" s="597">
        <v>2026</v>
      </c>
      <c r="I639" s="456">
        <v>46064</v>
      </c>
      <c r="J639" s="30" t="s">
        <v>4884</v>
      </c>
      <c r="K639" s="385" t="s">
        <v>62</v>
      </c>
      <c r="L639" s="456">
        <v>46068</v>
      </c>
      <c r="M639" s="385"/>
      <c r="N639" s="456">
        <v>46071</v>
      </c>
      <c r="O639" s="456">
        <v>46071</v>
      </c>
      <c r="P639" s="385">
        <f>IFERROR(
    IF(
        OR(ISBLANK(I639), ISBLANK(L639)),
        "",
        MAX(
            1,
            IF(
                NETWORKDAYS(I639, L639, Holiday_Dates) &lt;= 0,
                1,
                NETWORKDAYS(I639, L639, Holiday_Dates) - IF(I639 = L639, 0, 1)
            )
        )
    ),
    ""
)</f>
        <v>2</v>
      </c>
      <c r="Q639" s="385" t="str">
        <f>IF(
    OR(ISBLANK(L639), ISBLANK(M639)),
    "",
    MAX(
        1,
        IF(
            NETWORKDAYS(L639, M639, Holiday_Dates) &lt;= 0,
            1,
            NETWORKDAYS(L639, M639, Holiday_Dates) - IF(L639 = M639, 0, 1)
        )
    )
)</f>
        <v/>
      </c>
      <c r="R639" s="385">
        <f>IFERROR(
    IF(
        OR(ISBLANK(N639), AND(ISBLANK(L639), ISBLANK(M639))),
        "",
        MAX(
            1,
            IF(
                NETWORKDAYS(IF(NOT(ISBLANK(M639)), M639, L639), N639, Holiday_Dates) &lt;= 0,
                1,
                NETWORKDAYS(IF(NOT(ISBLANK(M639)), M639, L639), N639, Holiday_Dates)
                - IF(IF(NOT(ISBLANK(M639)), M639, L639) = N639, 0, 1)
            )
        )
    ),
    ""
)</f>
        <v>2</v>
      </c>
      <c r="S639" s="385">
        <f>IFERROR(
    IF(
        OR(ISBLANK(N639), ISBLANK(O639)),
        "",
        MAX(
            1,
            IF(
                NETWORKDAYS(N639, O639, Holiday_Dates) &lt;= 0,
                1,
                NETWORKDAYS(N639, O639, Holiday_Dates) - IF(N639 = O639, 0, 1)
            )
        )
    ),
    ""
)</f>
        <v>1</v>
      </c>
      <c r="T639" s="385" t="s">
        <v>929</v>
      </c>
      <c r="U639" s="385" t="s">
        <v>672</v>
      </c>
      <c r="V639" s="385" t="s">
        <v>685</v>
      </c>
      <c r="W639" s="385" t="s">
        <v>4710</v>
      </c>
      <c r="X639" s="1"/>
    </row>
    <row r="640" spans="1:24">
      <c r="A640" s="385" t="s">
        <v>49</v>
      </c>
      <c r="B640" s="385" t="s">
        <v>2573</v>
      </c>
      <c r="C640" s="385" t="s">
        <v>2613</v>
      </c>
      <c r="D640" s="385" t="s">
        <v>88</v>
      </c>
      <c r="E640" s="385"/>
      <c r="F640" s="385"/>
      <c r="G640" s="385"/>
      <c r="H640" s="385">
        <v>2024</v>
      </c>
      <c r="I640" s="386">
        <v>45603</v>
      </c>
      <c r="J640" s="30"/>
      <c r="K640" s="385"/>
      <c r="L640" s="385"/>
      <c r="M640" s="385"/>
      <c r="N640" s="385"/>
      <c r="O640" s="385"/>
      <c r="P640" s="385" t="str">
        <f>IFERROR(
    IF(
        OR(ISBLANK(I640), ISBLANK(L640)),
        "",
        MAX(
            1,
            IF(
                NETWORKDAYS(I640, L640, Holiday_Dates) &lt;= 0,
                1,
                NETWORKDAYS(I640, L640, Holiday_Dates) - IF(I640 = L640, 0, 1)
            )
        )
    ),
    ""
)</f>
        <v/>
      </c>
      <c r="Q640" s="385" t="str">
        <f>IF(
    OR(ISBLANK(L640), ISBLANK(M640)),
    "",
    MAX(
        1,
        IF(
            NETWORKDAYS(L640, M640, Holiday_Dates) &lt;= 0,
            1,
            NETWORKDAYS(L640, M640, Holiday_Dates) - IF(L640 = M640, 0, 1)
        )
    )
)</f>
        <v/>
      </c>
      <c r="R640" s="385" t="str">
        <f>IFERROR(
    IF(
        OR(ISBLANK(N640), AND(ISBLANK(L640), ISBLANK(M640))),
        "",
        MAX(
            1,
            IF(
                NETWORKDAYS(IF(NOT(ISBLANK(M640)), M640, L640), N640, Holiday_Dates) &lt;= 0,
                1,
                NETWORKDAYS(IF(NOT(ISBLANK(M640)), M640, L640), N640, Holiday_Dates)
                - IF(IF(NOT(ISBLANK(M640)), M640, L640) = N640, 0, 1)
            )
        )
    ),
    ""
)</f>
        <v/>
      </c>
      <c r="S640" s="385" t="str">
        <f>IFERROR(
    IF(
        OR(ISBLANK(N640), ISBLANK(O640)),
        "",
        MAX(
            1,
            IF(
                NETWORKDAYS(N640, O640, Holiday_Dates) &lt;= 0,
                1,
                NETWORKDAYS(N640, O640, Holiday_Dates) - IF(N640 = O640, 0, 1)
            )
        )
    ),
    ""
)</f>
        <v/>
      </c>
      <c r="T640" s="385"/>
      <c r="U640" s="385" t="s">
        <v>4</v>
      </c>
      <c r="V640" s="385" t="s">
        <v>101</v>
      </c>
      <c r="W640" s="385" t="s">
        <v>1436</v>
      </c>
      <c r="X640" s="1"/>
    </row>
    <row r="641" spans="1:24">
      <c r="A641" s="385" t="s">
        <v>49</v>
      </c>
      <c r="B641" s="385" t="s">
        <v>2573</v>
      </c>
      <c r="C641" s="385" t="s">
        <v>2615</v>
      </c>
      <c r="D641" s="385" t="s">
        <v>88</v>
      </c>
      <c r="E641" s="385"/>
      <c r="F641" s="385"/>
      <c r="G641" s="385"/>
      <c r="H641" s="385">
        <v>2024</v>
      </c>
      <c r="I641" s="386">
        <v>45603</v>
      </c>
      <c r="J641" s="30"/>
      <c r="K641" s="385"/>
      <c r="L641" s="385"/>
      <c r="M641" s="385"/>
      <c r="N641" s="385"/>
      <c r="O641" s="385"/>
      <c r="P641" s="385" t="str">
        <f>IFERROR(
    IF(
        OR(ISBLANK(I641), ISBLANK(L641)),
        "",
        MAX(
            1,
            IF(
                NETWORKDAYS(I641, L641, Holiday_Dates) &lt;= 0,
                1,
                NETWORKDAYS(I641, L641, Holiday_Dates) - IF(I641 = L641, 0, 1)
            )
        )
    ),
    ""
)</f>
        <v/>
      </c>
      <c r="Q641" s="385" t="str">
        <f>IF(
    OR(ISBLANK(L641), ISBLANK(M641)),
    "",
    MAX(
        1,
        IF(
            NETWORKDAYS(L641, M641, Holiday_Dates) &lt;= 0,
            1,
            NETWORKDAYS(L641, M641, Holiday_Dates) - IF(L641 = M641, 0, 1)
        )
    )
)</f>
        <v/>
      </c>
      <c r="R641" s="385" t="str">
        <f>IFERROR(
    IF(
        OR(ISBLANK(N641), AND(ISBLANK(L641), ISBLANK(M641))),
        "",
        MAX(
            1,
            IF(
                NETWORKDAYS(IF(NOT(ISBLANK(M641)), M641, L641), N641, Holiday_Dates) &lt;= 0,
                1,
                NETWORKDAYS(IF(NOT(ISBLANK(M641)), M641, L641), N641, Holiday_Dates)
                - IF(IF(NOT(ISBLANK(M641)), M641, L641) = N641, 0, 1)
            )
        )
    ),
    ""
)</f>
        <v/>
      </c>
      <c r="S641" s="385" t="str">
        <f>IFERROR(
    IF(
        OR(ISBLANK(N641), ISBLANK(O641)),
        "",
        MAX(
            1,
            IF(
                NETWORKDAYS(N641, O641, Holiday_Dates) &lt;= 0,
                1,
                NETWORKDAYS(N641, O641, Holiday_Dates) - IF(N641 = O641, 0, 1)
            )
        )
    ),
    ""
)</f>
        <v/>
      </c>
      <c r="T641" s="385"/>
      <c r="U641" s="385" t="s">
        <v>4</v>
      </c>
      <c r="V641" s="385" t="s">
        <v>101</v>
      </c>
      <c r="W641" s="385" t="s">
        <v>1436</v>
      </c>
      <c r="X641" s="1"/>
    </row>
    <row r="642" spans="1:24">
      <c r="A642" s="385" t="s">
        <v>49</v>
      </c>
      <c r="B642" s="385" t="s">
        <v>2573</v>
      </c>
      <c r="C642" s="385" t="s">
        <v>2617</v>
      </c>
      <c r="D642" s="385" t="s">
        <v>88</v>
      </c>
      <c r="E642" s="385"/>
      <c r="F642" s="385"/>
      <c r="G642" s="385"/>
      <c r="H642" s="385">
        <v>2024</v>
      </c>
      <c r="I642" s="386">
        <v>45603</v>
      </c>
      <c r="J642" s="30"/>
      <c r="K642" s="385"/>
      <c r="L642" s="385"/>
      <c r="M642" s="385"/>
      <c r="N642" s="385"/>
      <c r="O642" s="385"/>
      <c r="P642" s="385" t="str">
        <f>IFERROR(
    IF(
        OR(ISBLANK(I642), ISBLANK(L642)),
        "",
        MAX(
            1,
            IF(
                NETWORKDAYS(I642, L642, Holiday_Dates) &lt;= 0,
                1,
                NETWORKDAYS(I642, L642, Holiday_Dates) - IF(I642 = L642, 0, 1)
            )
        )
    ),
    ""
)</f>
        <v/>
      </c>
      <c r="Q642" s="385" t="str">
        <f>IF(
    OR(ISBLANK(L642), ISBLANK(M642)),
    "",
    MAX(
        1,
        IF(
            NETWORKDAYS(L642, M642, Holiday_Dates) &lt;= 0,
            1,
            NETWORKDAYS(L642, M642, Holiday_Dates) - IF(L642 = M642, 0, 1)
        )
    )
)</f>
        <v/>
      </c>
      <c r="R642" s="385" t="str">
        <f>IFERROR(
    IF(
        OR(ISBLANK(N642), AND(ISBLANK(L642), ISBLANK(M642))),
        "",
        MAX(
            1,
            IF(
                NETWORKDAYS(IF(NOT(ISBLANK(M642)), M642, L642), N642, Holiday_Dates) &lt;= 0,
                1,
                NETWORKDAYS(IF(NOT(ISBLANK(M642)), M642, L642), N642, Holiday_Dates)
                - IF(IF(NOT(ISBLANK(M642)), M642, L642) = N642, 0, 1)
            )
        )
    ),
    ""
)</f>
        <v/>
      </c>
      <c r="S642" s="385" t="str">
        <f>IFERROR(
    IF(
        OR(ISBLANK(N642), ISBLANK(O642)),
        "",
        MAX(
            1,
            IF(
                NETWORKDAYS(N642, O642, Holiday_Dates) &lt;= 0,
                1,
                NETWORKDAYS(N642, O642, Holiday_Dates) - IF(N642 = O642, 0, 1)
            )
        )
    ),
    ""
)</f>
        <v/>
      </c>
      <c r="T642" s="385"/>
      <c r="U642" s="385" t="s">
        <v>4</v>
      </c>
      <c r="V642" s="385" t="s">
        <v>101</v>
      </c>
      <c r="W642" s="385" t="s">
        <v>1436</v>
      </c>
      <c r="X642" s="1"/>
    </row>
    <row r="643" spans="1:24">
      <c r="A643" s="385" t="s">
        <v>49</v>
      </c>
      <c r="B643" s="385" t="s">
        <v>2573</v>
      </c>
      <c r="C643" s="385" t="s">
        <v>2619</v>
      </c>
      <c r="D643" s="385" t="s">
        <v>88</v>
      </c>
      <c r="E643" s="385"/>
      <c r="F643" s="385"/>
      <c r="G643" s="385"/>
      <c r="H643" s="385">
        <v>2024</v>
      </c>
      <c r="I643" s="386">
        <v>45428</v>
      </c>
      <c r="J643" s="30"/>
      <c r="K643" s="385"/>
      <c r="L643" s="385"/>
      <c r="M643" s="385"/>
      <c r="N643" s="385"/>
      <c r="O643" s="385"/>
      <c r="P643" s="385" t="str">
        <f>IFERROR(
    IF(
        OR(ISBLANK(I643), ISBLANK(L643)),
        "",
        MAX(
            1,
            IF(
                NETWORKDAYS(I643, L643, Holiday_Dates) &lt;= 0,
                1,
                NETWORKDAYS(I643, L643, Holiday_Dates) - IF(I643 = L643, 0, 1)
            )
        )
    ),
    ""
)</f>
        <v/>
      </c>
      <c r="Q643" s="385" t="str">
        <f>IF(
    OR(ISBLANK(L643), ISBLANK(M643)),
    "",
    MAX(
        1,
        IF(
            NETWORKDAYS(L643, M643, Holiday_Dates) &lt;= 0,
            1,
            NETWORKDAYS(L643, M643, Holiday_Dates) - IF(L643 = M643, 0, 1)
        )
    )
)</f>
        <v/>
      </c>
      <c r="R643" s="385" t="str">
        <f>IFERROR(
    IF(
        OR(ISBLANK(N643), AND(ISBLANK(L643), ISBLANK(M643))),
        "",
        MAX(
            1,
            IF(
                NETWORKDAYS(IF(NOT(ISBLANK(M643)), M643, L643), N643, Holiday_Dates) &lt;= 0,
                1,
                NETWORKDAYS(IF(NOT(ISBLANK(M643)), M643, L643), N643, Holiday_Dates)
                - IF(IF(NOT(ISBLANK(M643)), M643, L643) = N643, 0, 1)
            )
        )
    ),
    ""
)</f>
        <v/>
      </c>
      <c r="S643" s="385" t="str">
        <f>IFERROR(
    IF(
        OR(ISBLANK(N643), ISBLANK(O643)),
        "",
        MAX(
            1,
            IF(
                NETWORKDAYS(N643, O643, Holiday_Dates) &lt;= 0,
                1,
                NETWORKDAYS(N643, O643, Holiday_Dates) - IF(N643 = O643, 0, 1)
            )
        )
    ),
    ""
)</f>
        <v/>
      </c>
      <c r="T643" s="385"/>
      <c r="U643" s="385" t="s">
        <v>672</v>
      </c>
      <c r="V643" s="385"/>
      <c r="W643" s="385" t="s">
        <v>1436</v>
      </c>
      <c r="X643" s="1"/>
    </row>
    <row r="644" spans="1:24">
      <c r="A644" s="385" t="s">
        <v>49</v>
      </c>
      <c r="B644" s="385" t="s">
        <v>2573</v>
      </c>
      <c r="C644" s="385" t="s">
        <v>2621</v>
      </c>
      <c r="D644" s="385" t="s">
        <v>88</v>
      </c>
      <c r="E644" s="385"/>
      <c r="F644" s="385"/>
      <c r="G644" s="385"/>
      <c r="H644" s="385">
        <v>2024</v>
      </c>
      <c r="I644" s="386">
        <v>45603</v>
      </c>
      <c r="J644" s="30"/>
      <c r="K644" s="385"/>
      <c r="L644" s="385"/>
      <c r="M644" s="385"/>
      <c r="N644" s="385"/>
      <c r="O644" s="385"/>
      <c r="P644" s="385" t="str">
        <f>IFERROR(
    IF(
        OR(ISBLANK(I644), ISBLANK(L644)),
        "",
        MAX(
            1,
            IF(
                NETWORKDAYS(I644, L644, Holiday_Dates) &lt;= 0,
                1,
                NETWORKDAYS(I644, L644, Holiday_Dates) - IF(I644 = L644, 0, 1)
            )
        )
    ),
    ""
)</f>
        <v/>
      </c>
      <c r="Q644" s="385" t="str">
        <f>IF(
    OR(ISBLANK(L644), ISBLANK(M644)),
    "",
    MAX(
        1,
        IF(
            NETWORKDAYS(L644, M644, Holiday_Dates) &lt;= 0,
            1,
            NETWORKDAYS(L644, M644, Holiday_Dates) - IF(L644 = M644, 0, 1)
        )
    )
)</f>
        <v/>
      </c>
      <c r="R644" s="385" t="str">
        <f>IFERROR(
    IF(
        OR(ISBLANK(N644), AND(ISBLANK(L644), ISBLANK(M644))),
        "",
        MAX(
            1,
            IF(
                NETWORKDAYS(IF(NOT(ISBLANK(M644)), M644, L644), N644, Holiday_Dates) &lt;= 0,
                1,
                NETWORKDAYS(IF(NOT(ISBLANK(M644)), M644, L644), N644, Holiday_Dates)
                - IF(IF(NOT(ISBLANK(M644)), M644, L644) = N644, 0, 1)
            )
        )
    ),
    ""
)</f>
        <v/>
      </c>
      <c r="S644" s="385" t="str">
        <f>IFERROR(
    IF(
        OR(ISBLANK(N644), ISBLANK(O644)),
        "",
        MAX(
            1,
            IF(
                NETWORKDAYS(N644, O644, Holiday_Dates) &lt;= 0,
                1,
                NETWORKDAYS(N644, O644, Holiday_Dates) - IF(N644 = O644, 0, 1)
            )
        )
    ),
    ""
)</f>
        <v/>
      </c>
      <c r="T644" s="385"/>
      <c r="U644" s="385" t="s">
        <v>4</v>
      </c>
      <c r="V644" s="385" t="s">
        <v>101</v>
      </c>
      <c r="W644" s="385" t="s">
        <v>1436</v>
      </c>
      <c r="X644" s="1"/>
    </row>
    <row r="645" spans="1:24">
      <c r="A645" s="388" t="s">
        <v>65</v>
      </c>
      <c r="B645" s="388" t="s">
        <v>295</v>
      </c>
      <c r="C645" s="388" t="s">
        <v>520</v>
      </c>
      <c r="D645" s="388" t="s">
        <v>88</v>
      </c>
      <c r="E645" s="388" t="s">
        <v>29</v>
      </c>
      <c r="F645" s="385"/>
      <c r="G645" s="385" t="s">
        <v>130</v>
      </c>
      <c r="H645" s="597">
        <v>2026</v>
      </c>
      <c r="I645" s="456">
        <v>46064</v>
      </c>
      <c r="J645" s="30" t="s">
        <v>4885</v>
      </c>
      <c r="K645" s="385" t="s">
        <v>62</v>
      </c>
      <c r="L645" s="456">
        <v>46068</v>
      </c>
      <c r="M645" s="385"/>
      <c r="N645" s="456">
        <v>46071</v>
      </c>
      <c r="O645" s="456">
        <v>46071</v>
      </c>
      <c r="P645" s="385">
        <f>IFERROR(
    IF(
        OR(ISBLANK(I645), ISBLANK(L645)),
        "",
        MAX(
            1,
            IF(
                NETWORKDAYS(I645, L645, Holiday_Dates) &lt;= 0,
                1,
                NETWORKDAYS(I645, L645, Holiday_Dates) - IF(I645 = L645, 0, 1)
            )
        )
    ),
    ""
)</f>
        <v>2</v>
      </c>
      <c r="Q645" s="385" t="str">
        <f>IF(
    OR(ISBLANK(L645), ISBLANK(M645)),
    "",
    MAX(
        1,
        IF(
            NETWORKDAYS(L645, M645, Holiday_Dates) &lt;= 0,
            1,
            NETWORKDAYS(L645, M645, Holiday_Dates) - IF(L645 = M645, 0, 1)
        )
    )
)</f>
        <v/>
      </c>
      <c r="R645" s="385">
        <f>IFERROR(
    IF(
        OR(ISBLANK(N645), AND(ISBLANK(L645), ISBLANK(M645))),
        "",
        MAX(
            1,
            IF(
                NETWORKDAYS(IF(NOT(ISBLANK(M645)), M645, L645), N645, Holiday_Dates) &lt;= 0,
                1,
                NETWORKDAYS(IF(NOT(ISBLANK(M645)), M645, L645), N645, Holiday_Dates)
                - IF(IF(NOT(ISBLANK(M645)), M645, L645) = N645, 0, 1)
            )
        )
    ),
    ""
)</f>
        <v>2</v>
      </c>
      <c r="S645" s="385">
        <f>IFERROR(
    IF(
        OR(ISBLANK(N645), ISBLANK(O645)),
        "",
        MAX(
            1,
            IF(
                NETWORKDAYS(N645, O645, Holiday_Dates) &lt;= 0,
                1,
                NETWORKDAYS(N645, O645, Holiday_Dates) - IF(N645 = O645, 0, 1)
            )
        )
    ),
    ""
)</f>
        <v>1</v>
      </c>
      <c r="T645" s="385" t="s">
        <v>929</v>
      </c>
      <c r="U645" s="385" t="s">
        <v>672</v>
      </c>
      <c r="V645" s="385" t="s">
        <v>685</v>
      </c>
      <c r="W645" s="385" t="s">
        <v>4710</v>
      </c>
      <c r="X645" s="1"/>
    </row>
    <row r="646" spans="1:24">
      <c r="A646" s="385" t="s">
        <v>65</v>
      </c>
      <c r="B646" s="385" t="s">
        <v>347</v>
      </c>
      <c r="C646" s="385" t="s">
        <v>1433</v>
      </c>
      <c r="D646" s="385" t="s">
        <v>88</v>
      </c>
      <c r="E646" s="385" t="s">
        <v>141</v>
      </c>
      <c r="F646" s="385"/>
      <c r="G646" s="385" t="s">
        <v>130</v>
      </c>
      <c r="H646" s="385">
        <v>2026</v>
      </c>
      <c r="I646" s="386">
        <v>46049</v>
      </c>
      <c r="J646" s="529" t="s">
        <v>4886</v>
      </c>
      <c r="K646" s="385" t="s">
        <v>62</v>
      </c>
      <c r="L646" s="386">
        <v>46059</v>
      </c>
      <c r="M646" s="385"/>
      <c r="N646" s="386">
        <v>46059</v>
      </c>
      <c r="O646" s="386">
        <v>46062</v>
      </c>
      <c r="P646" s="385">
        <f>IFERROR(
    IF(
        OR(ISBLANK(I646), ISBLANK(L646)),
        "",
        MAX(
            1,
            IF(
                NETWORKDAYS(I646, L646, Holiday_Dates) &lt;= 0,
                1,
                NETWORKDAYS(I646, L646, Holiday_Dates) - IF(I646 = L646, 0, 1)
            )
        )
    ),
    ""
)</f>
        <v>8</v>
      </c>
      <c r="Q646" s="385" t="str">
        <f>IF(
    OR(ISBLANK(L646), ISBLANK(M646)),
    "",
    MAX(
        1,
        IF(
            NETWORKDAYS(L646, M646, Holiday_Dates) &lt;= 0,
            1,
            NETWORKDAYS(L646, M646, Holiday_Dates) - IF(L646 = M646, 0, 1)
        )
    )
)</f>
        <v/>
      </c>
      <c r="R646" s="385">
        <f>IFERROR(
    IF(
        OR(ISBLANK(N646), AND(ISBLANK(L646), ISBLANK(M646))),
        "",
        MAX(
            1,
            IF(
                NETWORKDAYS(IF(NOT(ISBLANK(M646)), M646, L646), N646, Holiday_Dates) &lt;= 0,
                1,
                NETWORKDAYS(IF(NOT(ISBLANK(M646)), M646, L646), N646, Holiday_Dates)
                - IF(IF(NOT(ISBLANK(M646)), M646, L646) = N646, 0, 1)
            )
        )
    ),
    ""
)</f>
        <v>1</v>
      </c>
      <c r="S646" s="385">
        <f>IFERROR(
    IF(
        OR(ISBLANK(N646), ISBLANK(O646)),
        "",
        MAX(
            1,
            IF(
                NETWORKDAYS(N646, O646, Holiday_Dates) &lt;= 0,
                1,
                NETWORKDAYS(N646, O646, Holiday_Dates) - IF(N646 = O646, 0, 1)
            )
        )
    ),
    ""
)</f>
        <v>1</v>
      </c>
      <c r="T646" s="385" t="s">
        <v>929</v>
      </c>
      <c r="U646" s="385" t="s">
        <v>672</v>
      </c>
      <c r="V646" s="385" t="s">
        <v>101</v>
      </c>
      <c r="W646" s="385" t="s">
        <v>4710</v>
      </c>
      <c r="X646" s="1"/>
    </row>
    <row r="647" spans="1:24">
      <c r="A647" s="385" t="s">
        <v>49</v>
      </c>
      <c r="B647" s="385" t="s">
        <v>2573</v>
      </c>
      <c r="C647" s="385" t="s">
        <v>2623</v>
      </c>
      <c r="D647" s="385" t="s">
        <v>88</v>
      </c>
      <c r="E647" s="385"/>
      <c r="F647" s="385"/>
      <c r="G647" s="385"/>
      <c r="H647" s="385">
        <v>2024</v>
      </c>
      <c r="I647" s="386">
        <v>45604</v>
      </c>
      <c r="J647" s="30"/>
      <c r="K647" s="385"/>
      <c r="L647" s="385"/>
      <c r="M647" s="385"/>
      <c r="N647" s="385"/>
      <c r="O647" s="385"/>
      <c r="P647" s="385" t="str">
        <f>IFERROR(
    IF(
        OR(ISBLANK(I647), ISBLANK(L647)),
        "",
        MAX(
            1,
            IF(
                NETWORKDAYS(I647, L647, Holiday_Dates) &lt;= 0,
                1,
                NETWORKDAYS(I647, L647, Holiday_Dates) - IF(I647 = L647, 0, 1)
            )
        )
    ),
    ""
)</f>
        <v/>
      </c>
      <c r="Q647" s="385" t="str">
        <f>IF(
    OR(ISBLANK(L647), ISBLANK(M647)),
    "",
    MAX(
        1,
        IF(
            NETWORKDAYS(L647, M647, Holiday_Dates) &lt;= 0,
            1,
            NETWORKDAYS(L647, M647, Holiday_Dates) - IF(L647 = M647, 0, 1)
        )
    )
)</f>
        <v/>
      </c>
      <c r="R647" s="385" t="str">
        <f>IFERROR(
    IF(
        OR(ISBLANK(N647), AND(ISBLANK(L647), ISBLANK(M647))),
        "",
        MAX(
            1,
            IF(
                NETWORKDAYS(IF(NOT(ISBLANK(M647)), M647, L647), N647, Holiday_Dates) &lt;= 0,
                1,
                NETWORKDAYS(IF(NOT(ISBLANK(M647)), M647, L647), N647, Holiday_Dates)
                - IF(IF(NOT(ISBLANK(M647)), M647, L647) = N647, 0, 1)
            )
        )
    ),
    ""
)</f>
        <v/>
      </c>
      <c r="S647" s="385" t="str">
        <f>IFERROR(
    IF(
        OR(ISBLANK(N647), ISBLANK(O647)),
        "",
        MAX(
            1,
            IF(
                NETWORKDAYS(N647, O647, Holiday_Dates) &lt;= 0,
                1,
                NETWORKDAYS(N647, O647, Holiday_Dates) - IF(N647 = O647, 0, 1)
            )
        )
    ),
    ""
)</f>
        <v/>
      </c>
      <c r="T647" s="385"/>
      <c r="U647" s="385" t="s">
        <v>4</v>
      </c>
      <c r="V647" s="385" t="s">
        <v>101</v>
      </c>
      <c r="W647" s="385" t="s">
        <v>1436</v>
      </c>
      <c r="X647" s="1"/>
    </row>
    <row r="648" spans="1:24">
      <c r="A648" s="385" t="s">
        <v>65</v>
      </c>
      <c r="B648" s="385" t="s">
        <v>347</v>
      </c>
      <c r="C648" s="385" t="s">
        <v>1439</v>
      </c>
      <c r="D648" s="385" t="s">
        <v>88</v>
      </c>
      <c r="E648" s="385" t="s">
        <v>141</v>
      </c>
      <c r="F648" s="385"/>
      <c r="G648" s="385" t="s">
        <v>130</v>
      </c>
      <c r="H648" s="385">
        <v>2026</v>
      </c>
      <c r="I648" s="386">
        <v>46058</v>
      </c>
      <c r="J648" s="529" t="s">
        <v>4887</v>
      </c>
      <c r="K648" s="385" t="s">
        <v>62</v>
      </c>
      <c r="L648" s="386">
        <v>46060</v>
      </c>
      <c r="M648" s="385"/>
      <c r="N648" s="386">
        <v>46062</v>
      </c>
      <c r="O648" s="386">
        <v>46062</v>
      </c>
      <c r="P648" s="385">
        <f>IFERROR(
    IF(
        OR(ISBLANK(I648), ISBLANK(L648)),
        "",
        MAX(
            1,
            IF(
                NETWORKDAYS(I648, L648, Holiday_Dates) &lt;= 0,
                1,
                NETWORKDAYS(I648, L648, Holiday_Dates) - IF(I648 = L648, 0, 1)
            )
        )
    ),
    ""
)</f>
        <v>1</v>
      </c>
      <c r="Q648" s="385" t="str">
        <f>IF(
    OR(ISBLANK(L648), ISBLANK(M648)),
    "",
    MAX(
        1,
        IF(
            NETWORKDAYS(L648, M648, Holiday_Dates) &lt;= 0,
            1,
            NETWORKDAYS(L648, M648, Holiday_Dates) - IF(L648 = M648, 0, 1)
        )
    )
)</f>
        <v/>
      </c>
      <c r="R648" s="385">
        <f>IFERROR(
    IF(
        OR(ISBLANK(N648), AND(ISBLANK(L648), ISBLANK(M648))),
        "",
        MAX(
            1,
            IF(
                NETWORKDAYS(IF(NOT(ISBLANK(M648)), M648, L648), N648, Holiday_Dates) &lt;= 0,
                1,
                NETWORKDAYS(IF(NOT(ISBLANK(M648)), M648, L648), N648, Holiday_Dates)
                - IF(IF(NOT(ISBLANK(M648)), M648, L648) = N648, 0, 1)
            )
        )
    ),
    ""
)</f>
        <v>1</v>
      </c>
      <c r="S648" s="385">
        <f>IFERROR(
    IF(
        OR(ISBLANK(N648), ISBLANK(O648)),
        "",
        MAX(
            1,
            IF(
                NETWORKDAYS(N648, O648, Holiday_Dates) &lt;= 0,
                1,
                NETWORKDAYS(N648, O648, Holiday_Dates) - IF(N648 = O648, 0, 1)
            )
        )
    ),
    ""
)</f>
        <v>1</v>
      </c>
      <c r="T648" s="385" t="s">
        <v>929</v>
      </c>
      <c r="U648" s="385" t="s">
        <v>672</v>
      </c>
      <c r="V648" s="385" t="s">
        <v>101</v>
      </c>
      <c r="W648" s="385" t="s">
        <v>4710</v>
      </c>
      <c r="X648" s="1"/>
    </row>
    <row r="649" spans="1:24">
      <c r="A649" s="385" t="s">
        <v>49</v>
      </c>
      <c r="B649" s="385" t="s">
        <v>2573</v>
      </c>
      <c r="C649" s="385" t="s">
        <v>2626</v>
      </c>
      <c r="D649" s="385" t="s">
        <v>88</v>
      </c>
      <c r="E649" s="385"/>
      <c r="F649" s="385"/>
      <c r="G649" s="385"/>
      <c r="H649" s="385">
        <v>2024</v>
      </c>
      <c r="I649" s="386">
        <v>45604</v>
      </c>
      <c r="J649" s="30"/>
      <c r="K649" s="385"/>
      <c r="L649" s="385"/>
      <c r="M649" s="385"/>
      <c r="N649" s="385"/>
      <c r="O649" s="385"/>
      <c r="P649" s="385" t="str">
        <f>IFERROR(
    IF(
        OR(ISBLANK(I649), ISBLANK(L649)),
        "",
        MAX(
            1,
            IF(
                NETWORKDAYS(I649, L649, Holiday_Dates) &lt;= 0,
                1,
                NETWORKDAYS(I649, L649, Holiday_Dates) - IF(I649 = L649, 0, 1)
            )
        )
    ),
    ""
)</f>
        <v/>
      </c>
      <c r="Q649" s="385" t="str">
        <f>IF(
    OR(ISBLANK(L649), ISBLANK(M649)),
    "",
    MAX(
        1,
        IF(
            NETWORKDAYS(L649, M649, Holiday_Dates) &lt;= 0,
            1,
            NETWORKDAYS(L649, M649, Holiday_Dates) - IF(L649 = M649, 0, 1)
        )
    )
)</f>
        <v/>
      </c>
      <c r="R649" s="385" t="str">
        <f>IFERROR(
    IF(
        OR(ISBLANK(N649), AND(ISBLANK(L649), ISBLANK(M649))),
        "",
        MAX(
            1,
            IF(
                NETWORKDAYS(IF(NOT(ISBLANK(M649)), M649, L649), N649, Holiday_Dates) &lt;= 0,
                1,
                NETWORKDAYS(IF(NOT(ISBLANK(M649)), M649, L649), N649, Holiday_Dates)
                - IF(IF(NOT(ISBLANK(M649)), M649, L649) = N649, 0, 1)
            )
        )
    ),
    ""
)</f>
        <v/>
      </c>
      <c r="S649" s="385" t="str">
        <f>IFERROR(
    IF(
        OR(ISBLANK(N649), ISBLANK(O649)),
        "",
        MAX(
            1,
            IF(
                NETWORKDAYS(N649, O649, Holiday_Dates) &lt;= 0,
                1,
                NETWORKDAYS(N649, O649, Holiday_Dates) - IF(N649 = O649, 0, 1)
            )
        )
    ),
    ""
)</f>
        <v/>
      </c>
      <c r="T649" s="385"/>
      <c r="U649" s="385" t="s">
        <v>4</v>
      </c>
      <c r="V649" s="385" t="s">
        <v>101</v>
      </c>
      <c r="W649" s="385" t="s">
        <v>1436</v>
      </c>
      <c r="X649" s="1"/>
    </row>
    <row r="650" spans="1:24">
      <c r="A650" s="385" t="s">
        <v>49</v>
      </c>
      <c r="B650" s="385" t="s">
        <v>2573</v>
      </c>
      <c r="C650" s="385" t="s">
        <v>2628</v>
      </c>
      <c r="D650" s="385" t="s">
        <v>88</v>
      </c>
      <c r="E650" s="385"/>
      <c r="F650" s="385"/>
      <c r="G650" s="385"/>
      <c r="H650" s="385">
        <v>2024</v>
      </c>
      <c r="I650" s="386">
        <v>45604</v>
      </c>
      <c r="J650" s="30"/>
      <c r="K650" s="385"/>
      <c r="L650" s="385"/>
      <c r="M650" s="385"/>
      <c r="N650" s="385"/>
      <c r="O650" s="385"/>
      <c r="P650" s="385" t="str">
        <f>IFERROR(
    IF(
        OR(ISBLANK(I650), ISBLANK(L650)),
        "",
        MAX(
            1,
            IF(
                NETWORKDAYS(I650, L650, Holiday_Dates) &lt;= 0,
                1,
                NETWORKDAYS(I650, L650, Holiday_Dates) - IF(I650 = L650, 0, 1)
            )
        )
    ),
    ""
)</f>
        <v/>
      </c>
      <c r="Q650" s="385" t="str">
        <f>IF(
    OR(ISBLANK(L650), ISBLANK(M650)),
    "",
    MAX(
        1,
        IF(
            NETWORKDAYS(L650, M650, Holiday_Dates) &lt;= 0,
            1,
            NETWORKDAYS(L650, M650, Holiday_Dates) - IF(L650 = M650, 0, 1)
        )
    )
)</f>
        <v/>
      </c>
      <c r="R650" s="385" t="str">
        <f>IFERROR(
    IF(
        OR(ISBLANK(N650), AND(ISBLANK(L650), ISBLANK(M650))),
        "",
        MAX(
            1,
            IF(
                NETWORKDAYS(IF(NOT(ISBLANK(M650)), M650, L650), N650, Holiday_Dates) &lt;= 0,
                1,
                NETWORKDAYS(IF(NOT(ISBLANK(M650)), M650, L650), N650, Holiday_Dates)
                - IF(IF(NOT(ISBLANK(M650)), M650, L650) = N650, 0, 1)
            )
        )
    ),
    ""
)</f>
        <v/>
      </c>
      <c r="S650" s="385" t="str">
        <f>IFERROR(
    IF(
        OR(ISBLANK(N650), ISBLANK(O650)),
        "",
        MAX(
            1,
            IF(
                NETWORKDAYS(N650, O650, Holiday_Dates) &lt;= 0,
                1,
                NETWORKDAYS(N650, O650, Holiday_Dates) - IF(N650 = O650, 0, 1)
            )
        )
    ),
    ""
)</f>
        <v/>
      </c>
      <c r="T650" s="385"/>
      <c r="U650" s="385" t="s">
        <v>4</v>
      </c>
      <c r="V650" s="385" t="s">
        <v>101</v>
      </c>
      <c r="W650" s="385" t="s">
        <v>1436</v>
      </c>
      <c r="X650" s="1"/>
    </row>
    <row r="651" spans="1:24">
      <c r="A651" s="385" t="s">
        <v>49</v>
      </c>
      <c r="B651" s="385" t="s">
        <v>2573</v>
      </c>
      <c r="C651" s="385" t="s">
        <v>2236</v>
      </c>
      <c r="D651" s="385" t="s">
        <v>88</v>
      </c>
      <c r="E651" s="385"/>
      <c r="F651" s="385"/>
      <c r="G651" s="385"/>
      <c r="H651" s="385">
        <v>2024</v>
      </c>
      <c r="I651" s="386">
        <v>45576</v>
      </c>
      <c r="J651" s="30"/>
      <c r="K651" s="385"/>
      <c r="L651" s="385"/>
      <c r="M651" s="385"/>
      <c r="N651" s="385"/>
      <c r="O651" s="385"/>
      <c r="P651" s="385" t="str">
        <f>IFERROR(
    IF(
        OR(ISBLANK(I651), ISBLANK(L651)),
        "",
        MAX(
            1,
            IF(
                NETWORKDAYS(I651, L651, Holiday_Dates) &lt;= 0,
                1,
                NETWORKDAYS(I651, L651, Holiday_Dates) - IF(I651 = L651, 0, 1)
            )
        )
    ),
    ""
)</f>
        <v/>
      </c>
      <c r="Q651" s="385" t="str">
        <f>IF(
    OR(ISBLANK(L651), ISBLANK(M651)),
    "",
    MAX(
        1,
        IF(
            NETWORKDAYS(L651, M651, Holiday_Dates) &lt;= 0,
            1,
            NETWORKDAYS(L651, M651, Holiday_Dates) - IF(L651 = M651, 0, 1)
        )
    )
)</f>
        <v/>
      </c>
      <c r="R651" s="385" t="str">
        <f>IFERROR(
    IF(
        OR(ISBLANK(N651), AND(ISBLANK(L651), ISBLANK(M651))),
        "",
        MAX(
            1,
            IF(
                NETWORKDAYS(IF(NOT(ISBLANK(M651)), M651, L651), N651, Holiday_Dates) &lt;= 0,
                1,
                NETWORKDAYS(IF(NOT(ISBLANK(M651)), M651, L651), N651, Holiday_Dates)
                - IF(IF(NOT(ISBLANK(M651)), M651, L651) = N651, 0, 1)
            )
        )
    ),
    ""
)</f>
        <v/>
      </c>
      <c r="S651" s="385" t="str">
        <f>IFERROR(
    IF(
        OR(ISBLANK(N651), ISBLANK(O651)),
        "",
        MAX(
            1,
            IF(
                NETWORKDAYS(N651, O651, Holiday_Dates) &lt;= 0,
                1,
                NETWORKDAYS(N651, O651, Holiday_Dates) - IF(N651 = O651, 0, 1)
            )
        )
    ),
    ""
)</f>
        <v/>
      </c>
      <c r="T651" s="385"/>
      <c r="U651" s="385" t="s">
        <v>4</v>
      </c>
      <c r="V651" s="385" t="s">
        <v>101</v>
      </c>
      <c r="W651" s="385" t="s">
        <v>1436</v>
      </c>
      <c r="X651" s="1"/>
    </row>
    <row r="652" spans="1:24">
      <c r="A652" s="385" t="s">
        <v>65</v>
      </c>
      <c r="B652" s="385" t="s">
        <v>347</v>
      </c>
      <c r="C652" s="385" t="s">
        <v>1441</v>
      </c>
      <c r="D652" s="385" t="s">
        <v>88</v>
      </c>
      <c r="E652" s="385" t="s">
        <v>141</v>
      </c>
      <c r="F652" s="385"/>
      <c r="G652" s="385" t="s">
        <v>130</v>
      </c>
      <c r="H652" s="385">
        <v>2026</v>
      </c>
      <c r="I652" s="386">
        <v>46056</v>
      </c>
      <c r="J652" s="529" t="s">
        <v>4888</v>
      </c>
      <c r="K652" s="385" t="s">
        <v>62</v>
      </c>
      <c r="L652" s="386">
        <v>46058</v>
      </c>
      <c r="M652" s="385"/>
      <c r="N652" s="386">
        <v>46062</v>
      </c>
      <c r="O652" s="386">
        <v>46062</v>
      </c>
      <c r="P652" s="385">
        <f>IFERROR(
    IF(
        OR(ISBLANK(I652), ISBLANK(L652)),
        "",
        MAX(
            1,
            IF(
                NETWORKDAYS(I652, L652, Holiday_Dates) &lt;= 0,
                1,
                NETWORKDAYS(I652, L652, Holiday_Dates) - IF(I652 = L652, 0, 1)
            )
        )
    ),
    ""
)</f>
        <v>2</v>
      </c>
      <c r="Q652" s="385" t="str">
        <f>IF(
    OR(ISBLANK(L652), ISBLANK(M652)),
    "",
    MAX(
        1,
        IF(
            NETWORKDAYS(L652, M652, Holiday_Dates) &lt;= 0,
            1,
            NETWORKDAYS(L652, M652, Holiday_Dates) - IF(L652 = M652, 0, 1)
        )
    )
)</f>
        <v/>
      </c>
      <c r="R652" s="385">
        <f>IFERROR(
    IF(
        OR(ISBLANK(N652), AND(ISBLANK(L652), ISBLANK(M652))),
        "",
        MAX(
            1,
            IF(
                NETWORKDAYS(IF(NOT(ISBLANK(M652)), M652, L652), N652, Holiday_Dates) &lt;= 0,
                1,
                NETWORKDAYS(IF(NOT(ISBLANK(M652)), M652, L652), N652, Holiday_Dates)
                - IF(IF(NOT(ISBLANK(M652)), M652, L652) = N652, 0, 1)
            )
        )
    ),
    ""
)</f>
        <v>2</v>
      </c>
      <c r="S652" s="385">
        <f>IFERROR(
    IF(
        OR(ISBLANK(N652), ISBLANK(O652)),
        "",
        MAX(
            1,
            IF(
                NETWORKDAYS(N652, O652, Holiday_Dates) &lt;= 0,
                1,
                NETWORKDAYS(N652, O652, Holiday_Dates) - IF(N652 = O652, 0, 1)
            )
        )
    ),
    ""
)</f>
        <v>1</v>
      </c>
      <c r="T652" s="385" t="s">
        <v>929</v>
      </c>
      <c r="U652" s="385" t="s">
        <v>672</v>
      </c>
      <c r="V652" s="385" t="s">
        <v>101</v>
      </c>
      <c r="W652" s="385" t="s">
        <v>4710</v>
      </c>
      <c r="X652" s="1"/>
    </row>
    <row r="653" spans="1:24">
      <c r="A653" s="385" t="s">
        <v>65</v>
      </c>
      <c r="B653" s="385" t="s">
        <v>347</v>
      </c>
      <c r="C653" s="385" t="s">
        <v>3104</v>
      </c>
      <c r="D653" s="385" t="s">
        <v>88</v>
      </c>
      <c r="E653" s="385" t="s">
        <v>141</v>
      </c>
      <c r="F653" s="385"/>
      <c r="G653" s="385" t="s">
        <v>130</v>
      </c>
      <c r="H653" s="385">
        <v>2026</v>
      </c>
      <c r="I653" s="386">
        <v>46062</v>
      </c>
      <c r="J653" s="30" t="s">
        <v>4889</v>
      </c>
      <c r="K653" s="385" t="s">
        <v>62</v>
      </c>
      <c r="L653" s="386">
        <v>46064</v>
      </c>
      <c r="M653" s="385"/>
      <c r="N653" s="386">
        <v>46065</v>
      </c>
      <c r="O653" s="386">
        <v>46065</v>
      </c>
      <c r="P653" s="385">
        <f>IFERROR(
    IF(
        OR(ISBLANK(I653), ISBLANK(L653)),
        "",
        MAX(
            1,
            IF(
                NETWORKDAYS(I653, L653, Holiday_Dates) &lt;= 0,
                1,
                NETWORKDAYS(I653, L653, Holiday_Dates) - IF(I653 = L653, 0, 1)
            )
        )
    ),
    ""
)</f>
        <v>2</v>
      </c>
      <c r="Q653" s="385" t="str">
        <f>IF(
    OR(ISBLANK(L653), ISBLANK(M653)),
    "",
    MAX(
        1,
        IF(
            NETWORKDAYS(L653, M653, Holiday_Dates) &lt;= 0,
            1,
            NETWORKDAYS(L653, M653, Holiday_Dates) - IF(L653 = M653, 0, 1)
        )
    )
)</f>
        <v/>
      </c>
      <c r="R653" s="385">
        <f>IFERROR(
    IF(
        OR(ISBLANK(N653), AND(ISBLANK(L653), ISBLANK(M653))),
        "",
        MAX(
            1,
            IF(
                NETWORKDAYS(IF(NOT(ISBLANK(M653)), M653, L653), N653, Holiday_Dates) &lt;= 0,
                1,
                NETWORKDAYS(IF(NOT(ISBLANK(M653)), M653, L653), N653, Holiday_Dates)
                - IF(IF(NOT(ISBLANK(M653)), M653, L653) = N653, 0, 1)
            )
        )
    ),
    ""
)</f>
        <v>1</v>
      </c>
      <c r="S653" s="385">
        <f>IFERROR(
    IF(
        OR(ISBLANK(N653), ISBLANK(O653)),
        "",
        MAX(
            1,
            IF(
                NETWORKDAYS(N653, O653, Holiday_Dates) &lt;= 0,
                1,
                NETWORKDAYS(N653, O653, Holiday_Dates) - IF(N653 = O653, 0, 1)
            )
        )
    ),
    ""
)</f>
        <v>1</v>
      </c>
      <c r="T653" s="385" t="s">
        <v>929</v>
      </c>
      <c r="U653" s="385" t="s">
        <v>672</v>
      </c>
      <c r="V653" s="385" t="s">
        <v>101</v>
      </c>
      <c r="W653" s="385" t="s">
        <v>4710</v>
      </c>
      <c r="X653" s="1"/>
    </row>
    <row r="654" spans="1:24">
      <c r="A654" s="385" t="s">
        <v>65</v>
      </c>
      <c r="B654" s="385" t="s">
        <v>347</v>
      </c>
      <c r="C654" s="385" t="s">
        <v>3105</v>
      </c>
      <c r="D654" s="385" t="s">
        <v>88</v>
      </c>
      <c r="E654" s="385" t="s">
        <v>141</v>
      </c>
      <c r="F654" s="385"/>
      <c r="G654" s="385" t="s">
        <v>130</v>
      </c>
      <c r="H654" s="385">
        <v>2026</v>
      </c>
      <c r="I654" s="386">
        <v>46056</v>
      </c>
      <c r="J654" s="529" t="s">
        <v>4890</v>
      </c>
      <c r="K654" s="385" t="s">
        <v>62</v>
      </c>
      <c r="L654" s="386">
        <v>46058</v>
      </c>
      <c r="M654" s="385"/>
      <c r="N654" s="386">
        <v>46062</v>
      </c>
      <c r="O654" s="386">
        <v>46063</v>
      </c>
      <c r="P654" s="385">
        <f>IFERROR(
    IF(
        OR(ISBLANK(I654), ISBLANK(L654)),
        "",
        MAX(
            1,
            IF(
                NETWORKDAYS(I654, L654, Holiday_Dates) &lt;= 0,
                1,
                NETWORKDAYS(I654, L654, Holiday_Dates) - IF(I654 = L654, 0, 1)
            )
        )
    ),
    ""
)</f>
        <v>2</v>
      </c>
      <c r="Q654" s="385" t="str">
        <f>IF(
    OR(ISBLANK(L654), ISBLANK(M654)),
    "",
    MAX(
        1,
        IF(
            NETWORKDAYS(L654, M654, Holiday_Dates) &lt;= 0,
            1,
            NETWORKDAYS(L654, M654, Holiday_Dates) - IF(L654 = M654, 0, 1)
        )
    )
)</f>
        <v/>
      </c>
      <c r="R654" s="385">
        <f>IFERROR(
    IF(
        OR(ISBLANK(N654), AND(ISBLANK(L654), ISBLANK(M654))),
        "",
        MAX(
            1,
            IF(
                NETWORKDAYS(IF(NOT(ISBLANK(M654)), M654, L654), N654, Holiday_Dates) &lt;= 0,
                1,
                NETWORKDAYS(IF(NOT(ISBLANK(M654)), M654, L654), N654, Holiday_Dates)
                - IF(IF(NOT(ISBLANK(M654)), M654, L654) = N654, 0, 1)
            )
        )
    ),
    ""
)</f>
        <v>2</v>
      </c>
      <c r="S654" s="385">
        <f>IFERROR(
    IF(
        OR(ISBLANK(N654), ISBLANK(O654)),
        "",
        MAX(
            1,
            IF(
                NETWORKDAYS(N654, O654, Holiday_Dates) &lt;= 0,
                1,
                NETWORKDAYS(N654, O654, Holiday_Dates) - IF(N654 = O654, 0, 1)
            )
        )
    ),
    ""
)</f>
        <v>1</v>
      </c>
      <c r="T654" s="385" t="s">
        <v>929</v>
      </c>
      <c r="U654" s="385" t="s">
        <v>672</v>
      </c>
      <c r="V654" s="385" t="s">
        <v>101</v>
      </c>
      <c r="W654" s="385" t="s">
        <v>4710</v>
      </c>
      <c r="X654" s="1"/>
    </row>
    <row r="655" spans="1:24">
      <c r="A655" s="385" t="s">
        <v>65</v>
      </c>
      <c r="B655" s="385" t="s">
        <v>347</v>
      </c>
      <c r="C655" s="385" t="s">
        <v>3106</v>
      </c>
      <c r="D655" s="385" t="s">
        <v>88</v>
      </c>
      <c r="E655" s="385" t="s">
        <v>141</v>
      </c>
      <c r="F655" s="385"/>
      <c r="G655" s="385" t="s">
        <v>130</v>
      </c>
      <c r="H655" s="385">
        <v>2026</v>
      </c>
      <c r="I655" s="386">
        <v>46056</v>
      </c>
      <c r="J655" s="529" t="s">
        <v>4891</v>
      </c>
      <c r="K655" s="385" t="s">
        <v>62</v>
      </c>
      <c r="L655" s="386">
        <v>46058</v>
      </c>
      <c r="M655" s="385"/>
      <c r="N655" s="386">
        <v>46062</v>
      </c>
      <c r="O655" s="386">
        <v>46062</v>
      </c>
      <c r="P655" s="385">
        <f>IFERROR(
    IF(
        OR(ISBLANK(I655), ISBLANK(L655)),
        "",
        MAX(
            1,
            IF(
                NETWORKDAYS(I655, L655, Holiday_Dates) &lt;= 0,
                1,
                NETWORKDAYS(I655, L655, Holiday_Dates) - IF(I655 = L655, 0, 1)
            )
        )
    ),
    ""
)</f>
        <v>2</v>
      </c>
      <c r="Q655" s="385" t="str">
        <f>IF(
    OR(ISBLANK(L655), ISBLANK(M655)),
    "",
    MAX(
        1,
        IF(
            NETWORKDAYS(L655, M655, Holiday_Dates) &lt;= 0,
            1,
            NETWORKDAYS(L655, M655, Holiday_Dates) - IF(L655 = M655, 0, 1)
        )
    )
)</f>
        <v/>
      </c>
      <c r="R655" s="385">
        <f>IFERROR(
    IF(
        OR(ISBLANK(N655), AND(ISBLANK(L655), ISBLANK(M655))),
        "",
        MAX(
            1,
            IF(
                NETWORKDAYS(IF(NOT(ISBLANK(M655)), M655, L655), N655, Holiday_Dates) &lt;= 0,
                1,
                NETWORKDAYS(IF(NOT(ISBLANK(M655)), M655, L655), N655, Holiday_Dates)
                - IF(IF(NOT(ISBLANK(M655)), M655, L655) = N655, 0, 1)
            )
        )
    ),
    ""
)</f>
        <v>2</v>
      </c>
      <c r="S655" s="385">
        <f>IFERROR(
    IF(
        OR(ISBLANK(N655), ISBLANK(O655)),
        "",
        MAX(
            1,
            IF(
                NETWORKDAYS(N655, O655, Holiday_Dates) &lt;= 0,
                1,
                NETWORKDAYS(N655, O655, Holiday_Dates) - IF(N655 = O655, 0, 1)
            )
        )
    ),
    ""
)</f>
        <v>1</v>
      </c>
      <c r="T655" s="385" t="s">
        <v>929</v>
      </c>
      <c r="U655" s="385" t="s">
        <v>672</v>
      </c>
      <c r="V655" s="385" t="s">
        <v>101</v>
      </c>
      <c r="W655" s="385" t="s">
        <v>4710</v>
      </c>
      <c r="X655" s="1"/>
    </row>
    <row r="656" spans="1:24">
      <c r="A656" s="385" t="s">
        <v>65</v>
      </c>
      <c r="B656" s="385" t="s">
        <v>347</v>
      </c>
      <c r="C656" s="385" t="s">
        <v>3107</v>
      </c>
      <c r="D656" s="385" t="s">
        <v>88</v>
      </c>
      <c r="E656" s="385" t="s">
        <v>141</v>
      </c>
      <c r="F656" s="385"/>
      <c r="G656" s="385" t="s">
        <v>130</v>
      </c>
      <c r="H656" s="385">
        <v>2026</v>
      </c>
      <c r="I656" s="386">
        <v>46062</v>
      </c>
      <c r="J656" s="30" t="s">
        <v>4892</v>
      </c>
      <c r="K656" s="385" t="s">
        <v>62</v>
      </c>
      <c r="L656" s="386">
        <v>46064</v>
      </c>
      <c r="M656" s="385"/>
      <c r="N656" s="386">
        <v>46065</v>
      </c>
      <c r="O656" s="386">
        <v>46065</v>
      </c>
      <c r="P656" s="385">
        <f>IFERROR(
    IF(
        OR(ISBLANK(I656), ISBLANK(L656)),
        "",
        MAX(
            1,
            IF(
                NETWORKDAYS(I656, L656, Holiday_Dates) &lt;= 0,
                1,
                NETWORKDAYS(I656, L656, Holiday_Dates) - IF(I656 = L656, 0, 1)
            )
        )
    ),
    ""
)</f>
        <v>2</v>
      </c>
      <c r="Q656" s="385" t="str">
        <f>IF(
    OR(ISBLANK(L656), ISBLANK(M656)),
    "",
    MAX(
        1,
        IF(
            NETWORKDAYS(L656, M656, Holiday_Dates) &lt;= 0,
            1,
            NETWORKDAYS(L656, M656, Holiday_Dates) - IF(L656 = M656, 0, 1)
        )
    )
)</f>
        <v/>
      </c>
      <c r="R656" s="385">
        <f>IFERROR(
    IF(
        OR(ISBLANK(N656), AND(ISBLANK(L656), ISBLANK(M656))),
        "",
        MAX(
            1,
            IF(
                NETWORKDAYS(IF(NOT(ISBLANK(M656)), M656, L656), N656, Holiday_Dates) &lt;= 0,
                1,
                NETWORKDAYS(IF(NOT(ISBLANK(M656)), M656, L656), N656, Holiday_Dates)
                - IF(IF(NOT(ISBLANK(M656)), M656, L656) = N656, 0, 1)
            )
        )
    ),
    ""
)</f>
        <v>1</v>
      </c>
      <c r="S656" s="385">
        <f>IFERROR(
    IF(
        OR(ISBLANK(N656), ISBLANK(O656)),
        "",
        MAX(
            1,
            IF(
                NETWORKDAYS(N656, O656, Holiday_Dates) &lt;= 0,
                1,
                NETWORKDAYS(N656, O656, Holiday_Dates) - IF(N656 = O656, 0, 1)
            )
        )
    ),
    ""
)</f>
        <v>1</v>
      </c>
      <c r="T656" s="385" t="s">
        <v>929</v>
      </c>
      <c r="U656" s="385" t="s">
        <v>672</v>
      </c>
      <c r="V656" s="385" t="s">
        <v>101</v>
      </c>
      <c r="W656" s="385" t="s">
        <v>4710</v>
      </c>
      <c r="X656" s="1"/>
    </row>
    <row r="657" spans="1:24">
      <c r="A657" s="385" t="s">
        <v>49</v>
      </c>
      <c r="B657" s="385" t="s">
        <v>2722</v>
      </c>
      <c r="C657" s="385" t="s">
        <v>1555</v>
      </c>
      <c r="D657" s="385" t="s">
        <v>88</v>
      </c>
      <c r="E657" s="385"/>
      <c r="F657" s="385"/>
      <c r="G657" s="385"/>
      <c r="H657" s="385">
        <v>2025</v>
      </c>
      <c r="I657" s="386">
        <v>45839</v>
      </c>
      <c r="J657" s="30" t="s">
        <v>4893</v>
      </c>
      <c r="K657" s="385"/>
      <c r="L657" s="385"/>
      <c r="M657" s="385"/>
      <c r="N657" s="385"/>
      <c r="O657" s="385"/>
      <c r="P657" s="385" t="str">
        <f>IFERROR(
    IF(
        OR(ISBLANK(I657), ISBLANK(L657)),
        "",
        MAX(
            1,
            IF(
                NETWORKDAYS(I657, L657, Holiday_Dates) &lt;= 0,
                1,
                NETWORKDAYS(I657, L657, Holiday_Dates) - IF(I657 = L657, 0, 1)
            )
        )
    ),
    ""
)</f>
        <v/>
      </c>
      <c r="Q657" s="385" t="str">
        <f>IF(
    OR(ISBLANK(L657), ISBLANK(M657)),
    "",
    MAX(
        1,
        IF(
            NETWORKDAYS(L657, M657, Holiday_Dates) &lt;= 0,
            1,
            NETWORKDAYS(L657, M657, Holiday_Dates) - IF(L657 = M657, 0, 1)
        )
    )
)</f>
        <v/>
      </c>
      <c r="R657" s="385" t="str">
        <f>IFERROR(
    IF(
        OR(ISBLANK(N657), AND(ISBLANK(L657), ISBLANK(M657))),
        "",
        MAX(
            1,
            IF(
                NETWORKDAYS(IF(NOT(ISBLANK(M657)), M657, L657), N657, Holiday_Dates) &lt;= 0,
                1,
                NETWORKDAYS(IF(NOT(ISBLANK(M657)), M657, L657), N657, Holiday_Dates)
                - IF(IF(NOT(ISBLANK(M657)), M657, L657) = N657, 0, 1)
            )
        )
    ),
    ""
)</f>
        <v/>
      </c>
      <c r="S657" s="385" t="str">
        <f>IFERROR(
    IF(
        OR(ISBLANK(N657), ISBLANK(O657)),
        "",
        MAX(
            1,
            IF(
                NETWORKDAYS(N657, O657, Holiday_Dates) &lt;= 0,
                1,
                NETWORKDAYS(N657, O657, Holiday_Dates) - IF(N657 = O657, 0, 1)
            )
        )
    ),
    ""
)</f>
        <v/>
      </c>
      <c r="T657" s="385"/>
      <c r="U657" s="385" t="s">
        <v>4</v>
      </c>
      <c r="V657" s="385" t="s">
        <v>101</v>
      </c>
      <c r="W657" s="385" t="s">
        <v>1436</v>
      </c>
      <c r="X657" s="1"/>
    </row>
    <row r="658" spans="1:24">
      <c r="A658" s="388" t="s">
        <v>65</v>
      </c>
      <c r="B658" s="388" t="s">
        <v>3162</v>
      </c>
      <c r="C658" s="388" t="s">
        <v>2750</v>
      </c>
      <c r="D658" s="388" t="s">
        <v>88</v>
      </c>
      <c r="E658" s="388" t="s">
        <v>29</v>
      </c>
      <c r="F658" s="385"/>
      <c r="G658" s="385" t="s">
        <v>130</v>
      </c>
      <c r="H658" s="597">
        <v>2026</v>
      </c>
      <c r="I658" s="456">
        <v>46065</v>
      </c>
      <c r="J658" s="30" t="s">
        <v>4894</v>
      </c>
      <c r="K658" s="385" t="s">
        <v>62</v>
      </c>
      <c r="L658" s="456">
        <v>46069</v>
      </c>
      <c r="M658" s="385"/>
      <c r="N658" s="456">
        <v>46071</v>
      </c>
      <c r="O658" s="456">
        <v>46071</v>
      </c>
      <c r="P658" s="385">
        <f>IFERROR(
    IF(
        OR(ISBLANK(I658), ISBLANK(L658)),
        "",
        MAX(
            1,
            IF(
                NETWORKDAYS(I658, L658, Holiday_Dates) &lt;= 0,
                1,
                NETWORKDAYS(I658, L658, Holiday_Dates) - IF(I658 = L658, 0, 1)
            )
        )
    ),
    ""
)</f>
        <v>2</v>
      </c>
      <c r="Q658" s="385" t="str">
        <f>IF(
    OR(ISBLANK(L658), ISBLANK(M658)),
    "",
    MAX(
        1,
        IF(
            NETWORKDAYS(L658, M658, Holiday_Dates) &lt;= 0,
            1,
            NETWORKDAYS(L658, M658, Holiday_Dates) - IF(L658 = M658, 0, 1)
        )
    )
)</f>
        <v/>
      </c>
      <c r="R658" s="385">
        <f>IFERROR(
    IF(
        OR(ISBLANK(N658), AND(ISBLANK(L658), ISBLANK(M658))),
        "",
        MAX(
            1,
            IF(
                NETWORKDAYS(IF(NOT(ISBLANK(M658)), M658, L658), N658, Holiday_Dates) &lt;= 0,
                1,
                NETWORKDAYS(IF(NOT(ISBLANK(M658)), M658, L658), N658, Holiday_Dates)
                - IF(IF(NOT(ISBLANK(M658)), M658, L658) = N658, 0, 1)
            )
        )
    ),
    ""
)</f>
        <v>2</v>
      </c>
      <c r="S658" s="385">
        <f>IFERROR(
    IF(
        OR(ISBLANK(N658), ISBLANK(O658)),
        "",
        MAX(
            1,
            IF(
                NETWORKDAYS(N658, O658, Holiday_Dates) &lt;= 0,
                1,
                NETWORKDAYS(N658, O658, Holiday_Dates) - IF(N658 = O658, 0, 1)
            )
        )
    ),
    ""
)</f>
        <v>1</v>
      </c>
      <c r="T658" s="385" t="s">
        <v>929</v>
      </c>
      <c r="U658" s="385" t="s">
        <v>672</v>
      </c>
      <c r="V658" s="385" t="s">
        <v>685</v>
      </c>
      <c r="W658" s="385" t="s">
        <v>4710</v>
      </c>
      <c r="X658" s="1"/>
    </row>
    <row r="659" spans="1:24">
      <c r="A659" s="388" t="s">
        <v>65</v>
      </c>
      <c r="B659" s="388" t="s">
        <v>3162</v>
      </c>
      <c r="C659" s="388" t="s">
        <v>3013</v>
      </c>
      <c r="D659" s="388" t="s">
        <v>88</v>
      </c>
      <c r="E659" s="388" t="s">
        <v>29</v>
      </c>
      <c r="F659" s="385"/>
      <c r="G659" s="385" t="s">
        <v>130</v>
      </c>
      <c r="H659" s="597">
        <v>2026</v>
      </c>
      <c r="I659" s="456">
        <v>46068</v>
      </c>
      <c r="J659" s="30" t="s">
        <v>4895</v>
      </c>
      <c r="K659" s="385" t="s">
        <v>62</v>
      </c>
      <c r="L659" s="456">
        <v>46069</v>
      </c>
      <c r="M659" s="385"/>
      <c r="N659" s="456">
        <v>46071</v>
      </c>
      <c r="O659" s="456">
        <v>46071</v>
      </c>
      <c r="P659" s="385">
        <f>IFERROR(
    IF(
        OR(ISBLANK(I659), ISBLANK(L659)),
        "",
        MAX(
            1,
            IF(
                NETWORKDAYS(I659, L659, Holiday_Dates) &lt;= 0,
                1,
                NETWORKDAYS(I659, L659, Holiday_Dates) - IF(I659 = L659, 0, 1)
            )
        )
    ),
    ""
)</f>
        <v>1</v>
      </c>
      <c r="Q659" s="385" t="str">
        <f>IF(
    OR(ISBLANK(L659), ISBLANK(M659)),
    "",
    MAX(
        1,
        IF(
            NETWORKDAYS(L659, M659, Holiday_Dates) &lt;= 0,
            1,
            NETWORKDAYS(L659, M659, Holiday_Dates) - IF(L659 = M659, 0, 1)
        )
    )
)</f>
        <v/>
      </c>
      <c r="R659" s="385">
        <f>IFERROR(
    IF(
        OR(ISBLANK(N659), AND(ISBLANK(L659), ISBLANK(M659))),
        "",
        MAX(
            1,
            IF(
                NETWORKDAYS(IF(NOT(ISBLANK(M659)), M659, L659), N659, Holiday_Dates) &lt;= 0,
                1,
                NETWORKDAYS(IF(NOT(ISBLANK(M659)), M659, L659), N659, Holiday_Dates)
                - IF(IF(NOT(ISBLANK(M659)), M659, L659) = N659, 0, 1)
            )
        )
    ),
    ""
)</f>
        <v>2</v>
      </c>
      <c r="S659" s="385">
        <f>IFERROR(
    IF(
        OR(ISBLANK(N659), ISBLANK(O659)),
        "",
        MAX(
            1,
            IF(
                NETWORKDAYS(N659, O659, Holiday_Dates) &lt;= 0,
                1,
                NETWORKDAYS(N659, O659, Holiday_Dates) - IF(N659 = O659, 0, 1)
            )
        )
    ),
    ""
)</f>
        <v>1</v>
      </c>
      <c r="T659" s="385" t="s">
        <v>929</v>
      </c>
      <c r="U659" s="385" t="s">
        <v>672</v>
      </c>
      <c r="V659" s="385" t="s">
        <v>685</v>
      </c>
      <c r="W659" s="385" t="s">
        <v>4710</v>
      </c>
      <c r="X659" s="1"/>
    </row>
    <row r="660" spans="1:24">
      <c r="A660" s="388" t="s">
        <v>65</v>
      </c>
      <c r="B660" s="388" t="s">
        <v>528</v>
      </c>
      <c r="C660" s="388" t="s">
        <v>664</v>
      </c>
      <c r="D660" s="388" t="s">
        <v>88</v>
      </c>
      <c r="E660" s="388" t="s">
        <v>29</v>
      </c>
      <c r="F660" s="385"/>
      <c r="G660" s="385" t="s">
        <v>130</v>
      </c>
      <c r="H660" s="597">
        <v>2026</v>
      </c>
      <c r="I660" s="456">
        <v>46064</v>
      </c>
      <c r="J660" s="30" t="s">
        <v>4896</v>
      </c>
      <c r="K660" s="385" t="s">
        <v>62</v>
      </c>
      <c r="L660" s="456">
        <v>46069</v>
      </c>
      <c r="M660" s="385"/>
      <c r="N660" s="456">
        <v>46071</v>
      </c>
      <c r="O660" s="456">
        <v>46071</v>
      </c>
      <c r="P660" s="385">
        <f>IFERROR(
    IF(
        OR(ISBLANK(I660), ISBLANK(L660)),
        "",
        MAX(
            1,
            IF(
                NETWORKDAYS(I660, L660, Holiday_Dates) &lt;= 0,
                1,
                NETWORKDAYS(I660, L660, Holiday_Dates) - IF(I660 = L660, 0, 1)
            )
        )
    ),
    ""
)</f>
        <v>3</v>
      </c>
      <c r="Q660" s="385" t="str">
        <f>IF(
    OR(ISBLANK(L660), ISBLANK(M660)),
    "",
    MAX(
        1,
        IF(
            NETWORKDAYS(L660, M660, Holiday_Dates) &lt;= 0,
            1,
            NETWORKDAYS(L660, M660, Holiday_Dates) - IF(L660 = M660, 0, 1)
        )
    )
)</f>
        <v/>
      </c>
      <c r="R660" s="385">
        <f>IFERROR(
    IF(
        OR(ISBLANK(N660), AND(ISBLANK(L660), ISBLANK(M660))),
        "",
        MAX(
            1,
            IF(
                NETWORKDAYS(IF(NOT(ISBLANK(M660)), M660, L660), N660, Holiday_Dates) &lt;= 0,
                1,
                NETWORKDAYS(IF(NOT(ISBLANK(M660)), M660, L660), N660, Holiday_Dates)
                - IF(IF(NOT(ISBLANK(M660)), M660, L660) = N660, 0, 1)
            )
        )
    ),
    ""
)</f>
        <v>2</v>
      </c>
      <c r="S660" s="385">
        <f>IFERROR(
    IF(
        OR(ISBLANK(N660), ISBLANK(O660)),
        "",
        MAX(
            1,
            IF(
                NETWORKDAYS(N660, O660, Holiday_Dates) &lt;= 0,
                1,
                NETWORKDAYS(N660, O660, Holiday_Dates) - IF(N660 = O660, 0, 1)
            )
        )
    ),
    ""
)</f>
        <v>1</v>
      </c>
      <c r="T660" s="385" t="s">
        <v>929</v>
      </c>
      <c r="U660" s="385" t="s">
        <v>672</v>
      </c>
      <c r="V660" s="385" t="s">
        <v>685</v>
      </c>
      <c r="W660" s="385" t="s">
        <v>4710</v>
      </c>
      <c r="X660" s="1"/>
    </row>
    <row r="661" spans="1:24">
      <c r="A661" s="388" t="s">
        <v>65</v>
      </c>
      <c r="B661" s="388" t="s">
        <v>528</v>
      </c>
      <c r="C661" s="388" t="s">
        <v>3450</v>
      </c>
      <c r="D661" s="388" t="s">
        <v>88</v>
      </c>
      <c r="E661" s="388" t="s">
        <v>29</v>
      </c>
      <c r="F661" s="385"/>
      <c r="G661" s="385" t="s">
        <v>130</v>
      </c>
      <c r="H661" s="597">
        <v>2026</v>
      </c>
      <c r="I661" s="456">
        <v>46064</v>
      </c>
      <c r="J661" s="30" t="s">
        <v>4897</v>
      </c>
      <c r="K661" s="385" t="s">
        <v>62</v>
      </c>
      <c r="L661" s="456">
        <v>46069</v>
      </c>
      <c r="M661" s="385"/>
      <c r="N661" s="456">
        <v>46071</v>
      </c>
      <c r="O661" s="456">
        <v>46071</v>
      </c>
      <c r="P661" s="385">
        <f>IFERROR(
    IF(
        OR(ISBLANK(I661), ISBLANK(L661)),
        "",
        MAX(
            1,
            IF(
                NETWORKDAYS(I661, L661, Holiday_Dates) &lt;= 0,
                1,
                NETWORKDAYS(I661, L661, Holiday_Dates) - IF(I661 = L661, 0, 1)
            )
        )
    ),
    ""
)</f>
        <v>3</v>
      </c>
      <c r="Q661" s="385" t="str">
        <f>IF(
    OR(ISBLANK(L661), ISBLANK(M661)),
    "",
    MAX(
        1,
        IF(
            NETWORKDAYS(L661, M661, Holiday_Dates) &lt;= 0,
            1,
            NETWORKDAYS(L661, M661, Holiday_Dates) - IF(L661 = M661, 0, 1)
        )
    )
)</f>
        <v/>
      </c>
      <c r="R661" s="385">
        <f>IFERROR(
    IF(
        OR(ISBLANK(N661), AND(ISBLANK(L661), ISBLANK(M661))),
        "",
        MAX(
            1,
            IF(
                NETWORKDAYS(IF(NOT(ISBLANK(M661)), M661, L661), N661, Holiday_Dates) &lt;= 0,
                1,
                NETWORKDAYS(IF(NOT(ISBLANK(M661)), M661, L661), N661, Holiday_Dates)
                - IF(IF(NOT(ISBLANK(M661)), M661, L661) = N661, 0, 1)
            )
        )
    ),
    ""
)</f>
        <v>2</v>
      </c>
      <c r="S661" s="385">
        <f>IFERROR(
    IF(
        OR(ISBLANK(N661), ISBLANK(O661)),
        "",
        MAX(
            1,
            IF(
                NETWORKDAYS(N661, O661, Holiday_Dates) &lt;= 0,
                1,
                NETWORKDAYS(N661, O661, Holiday_Dates) - IF(N661 = O661, 0, 1)
            )
        )
    ),
    ""
)</f>
        <v>1</v>
      </c>
      <c r="T661" s="385" t="s">
        <v>929</v>
      </c>
      <c r="U661" s="385" t="s">
        <v>672</v>
      </c>
      <c r="V661" s="385" t="s">
        <v>685</v>
      </c>
      <c r="W661" s="385" t="s">
        <v>4710</v>
      </c>
      <c r="X661" s="1"/>
    </row>
    <row r="662" spans="1:24">
      <c r="A662" s="385" t="s">
        <v>49</v>
      </c>
      <c r="B662" s="385" t="s">
        <v>2722</v>
      </c>
      <c r="C662" s="385" t="s">
        <v>2726</v>
      </c>
      <c r="D662" s="385" t="s">
        <v>88</v>
      </c>
      <c r="E662" s="385"/>
      <c r="F662" s="385"/>
      <c r="G662" s="385"/>
      <c r="H662" s="385">
        <v>2025</v>
      </c>
      <c r="I662" s="386">
        <v>45839</v>
      </c>
      <c r="J662" s="30" t="s">
        <v>4898</v>
      </c>
      <c r="K662" s="385"/>
      <c r="L662" s="385"/>
      <c r="M662" s="385"/>
      <c r="N662" s="385"/>
      <c r="O662" s="385"/>
      <c r="P662" s="385" t="str">
        <f>IFERROR(
    IF(
        OR(ISBLANK(I662), ISBLANK(L662)),
        "",
        MAX(
            1,
            IF(
                NETWORKDAYS(I662, L662, Holiday_Dates) &lt;= 0,
                1,
                NETWORKDAYS(I662, L662, Holiday_Dates) - IF(I662 = L662, 0, 1)
            )
        )
    ),
    ""
)</f>
        <v/>
      </c>
      <c r="Q662" s="385" t="str">
        <f>IF(
    OR(ISBLANK(L662), ISBLANK(M662)),
    "",
    MAX(
        1,
        IF(
            NETWORKDAYS(L662, M662, Holiday_Dates) &lt;= 0,
            1,
            NETWORKDAYS(L662, M662, Holiday_Dates) - IF(L662 = M662, 0, 1)
        )
    )
)</f>
        <v/>
      </c>
      <c r="R662" s="385" t="str">
        <f>IFERROR(
    IF(
        OR(ISBLANK(N662), AND(ISBLANK(L662), ISBLANK(M662))),
        "",
        MAX(
            1,
            IF(
                NETWORKDAYS(IF(NOT(ISBLANK(M662)), M662, L662), N662, Holiday_Dates) &lt;= 0,
                1,
                NETWORKDAYS(IF(NOT(ISBLANK(M662)), M662, L662), N662, Holiday_Dates)
                - IF(IF(NOT(ISBLANK(M662)), M662, L662) = N662, 0, 1)
            )
        )
    ),
    ""
)</f>
        <v/>
      </c>
      <c r="S662" s="385" t="str">
        <f>IFERROR(
    IF(
        OR(ISBLANK(N662), ISBLANK(O662)),
        "",
        MAX(
            1,
            IF(
                NETWORKDAYS(N662, O662, Holiday_Dates) &lt;= 0,
                1,
                NETWORKDAYS(N662, O662, Holiday_Dates) - IF(N662 = O662, 0, 1)
            )
        )
    ),
    ""
)</f>
        <v/>
      </c>
      <c r="T662" s="385"/>
      <c r="U662" s="385" t="s">
        <v>4</v>
      </c>
      <c r="V662" s="385" t="s">
        <v>101</v>
      </c>
      <c r="W662" s="385" t="s">
        <v>1436</v>
      </c>
      <c r="X662" s="1"/>
    </row>
    <row r="663" spans="1:24">
      <c r="A663" s="388" t="s">
        <v>65</v>
      </c>
      <c r="B663" s="388" t="s">
        <v>528</v>
      </c>
      <c r="C663" s="388" t="s">
        <v>1866</v>
      </c>
      <c r="D663" s="388" t="s">
        <v>88</v>
      </c>
      <c r="E663" s="388" t="s">
        <v>29</v>
      </c>
      <c r="F663" s="385"/>
      <c r="G663" s="385" t="s">
        <v>130</v>
      </c>
      <c r="H663" s="597">
        <v>2026</v>
      </c>
      <c r="I663" s="456">
        <v>46064</v>
      </c>
      <c r="J663" s="30" t="s">
        <v>4899</v>
      </c>
      <c r="K663" s="385" t="s">
        <v>62</v>
      </c>
      <c r="L663" s="456">
        <v>46069</v>
      </c>
      <c r="M663" s="385"/>
      <c r="N663" s="456">
        <v>46071</v>
      </c>
      <c r="O663" s="456">
        <v>46071</v>
      </c>
      <c r="P663" s="385">
        <f>IFERROR(
    IF(
        OR(ISBLANK(I663), ISBLANK(L663)),
        "",
        MAX(
            1,
            IF(
                NETWORKDAYS(I663, L663, Holiday_Dates) &lt;= 0,
                1,
                NETWORKDAYS(I663, L663, Holiday_Dates) - IF(I663 = L663, 0, 1)
            )
        )
    ),
    ""
)</f>
        <v>3</v>
      </c>
      <c r="Q663" s="385" t="str">
        <f>IF(
    OR(ISBLANK(L663), ISBLANK(M663)),
    "",
    MAX(
        1,
        IF(
            NETWORKDAYS(L663, M663, Holiday_Dates) &lt;= 0,
            1,
            NETWORKDAYS(L663, M663, Holiday_Dates) - IF(L663 = M663, 0, 1)
        )
    )
)</f>
        <v/>
      </c>
      <c r="R663" s="385">
        <f>IFERROR(
    IF(
        OR(ISBLANK(N663), AND(ISBLANK(L663), ISBLANK(M663))),
        "",
        MAX(
            1,
            IF(
                NETWORKDAYS(IF(NOT(ISBLANK(M663)), M663, L663), N663, Holiday_Dates) &lt;= 0,
                1,
                NETWORKDAYS(IF(NOT(ISBLANK(M663)), M663, L663), N663, Holiday_Dates)
                - IF(IF(NOT(ISBLANK(M663)), M663, L663) = N663, 0, 1)
            )
        )
    ),
    ""
)</f>
        <v>2</v>
      </c>
      <c r="S663" s="385">
        <f>IFERROR(
    IF(
        OR(ISBLANK(N663), ISBLANK(O663)),
        "",
        MAX(
            1,
            IF(
                NETWORKDAYS(N663, O663, Holiday_Dates) &lt;= 0,
                1,
                NETWORKDAYS(N663, O663, Holiday_Dates) - IF(N663 = O663, 0, 1)
            )
        )
    ),
    ""
)</f>
        <v>1</v>
      </c>
      <c r="T663" s="385" t="s">
        <v>929</v>
      </c>
      <c r="U663" s="385" t="s">
        <v>672</v>
      </c>
      <c r="V663" s="385" t="s">
        <v>685</v>
      </c>
      <c r="W663" s="385" t="s">
        <v>4710</v>
      </c>
      <c r="X663" s="1"/>
    </row>
    <row r="664" spans="1:24">
      <c r="A664" s="385" t="s">
        <v>65</v>
      </c>
      <c r="B664" s="385" t="s">
        <v>518</v>
      </c>
      <c r="C664" s="385" t="s">
        <v>3229</v>
      </c>
      <c r="D664" s="385" t="s">
        <v>88</v>
      </c>
      <c r="E664" s="385" t="s">
        <v>26</v>
      </c>
      <c r="F664" s="385"/>
      <c r="G664" s="385" t="s">
        <v>130</v>
      </c>
      <c r="H664" s="385">
        <v>2026</v>
      </c>
      <c r="I664" s="386">
        <v>46064</v>
      </c>
      <c r="J664" s="30" t="s">
        <v>4900</v>
      </c>
      <c r="K664" s="385" t="s">
        <v>62</v>
      </c>
      <c r="L664" s="386">
        <v>46068</v>
      </c>
      <c r="M664" s="385"/>
      <c r="N664" s="386">
        <v>46071</v>
      </c>
      <c r="O664" s="386">
        <v>46071</v>
      </c>
      <c r="P664" s="385">
        <f>IFERROR(
    IF(
        OR(ISBLANK(I664), ISBLANK(L664)),
        "",
        MAX(
            1,
            IF(
                NETWORKDAYS(I664, L664, Holiday_Dates) &lt;= 0,
                1,
                NETWORKDAYS(I664, L664, Holiday_Dates) - IF(I664 = L664, 0, 1)
            )
        )
    ),
    ""
)</f>
        <v>2</v>
      </c>
      <c r="Q664" s="385" t="str">
        <f>IF(
    OR(ISBLANK(L664), ISBLANK(M664)),
    "",
    MAX(
        1,
        IF(
            NETWORKDAYS(L664, M664, Holiday_Dates) &lt;= 0,
            1,
            NETWORKDAYS(L664, M664, Holiday_Dates) - IF(L664 = M664, 0, 1)
        )
    )
)</f>
        <v/>
      </c>
      <c r="R664" s="385">
        <f>IFERROR(
    IF(
        OR(ISBLANK(N664), AND(ISBLANK(L664), ISBLANK(M664))),
        "",
        MAX(
            1,
            IF(
                NETWORKDAYS(IF(NOT(ISBLANK(M664)), M664, L664), N664, Holiday_Dates) &lt;= 0,
                1,
                NETWORKDAYS(IF(NOT(ISBLANK(M664)), M664, L664), N664, Holiday_Dates)
                - IF(IF(NOT(ISBLANK(M664)), M664, L664) = N664, 0, 1)
            )
        )
    ),
    ""
)</f>
        <v>2</v>
      </c>
      <c r="S664" s="385">
        <f>IFERROR(
    IF(
        OR(ISBLANK(N664), ISBLANK(O664)),
        "",
        MAX(
            1,
            IF(
                NETWORKDAYS(N664, O664, Holiday_Dates) &lt;= 0,
                1,
                NETWORKDAYS(N664, O664, Holiday_Dates) - IF(N664 = O664, 0, 1)
            )
        )
    ),
    ""
)</f>
        <v>1</v>
      </c>
      <c r="T664" s="385" t="s">
        <v>929</v>
      </c>
      <c r="U664" s="385" t="s">
        <v>4</v>
      </c>
      <c r="V664" s="385" t="s">
        <v>101</v>
      </c>
      <c r="W664" s="385" t="s">
        <v>4710</v>
      </c>
      <c r="X664" s="1"/>
    </row>
    <row r="665" spans="1:24">
      <c r="A665" s="385" t="s">
        <v>49</v>
      </c>
      <c r="B665" s="385" t="s">
        <v>497</v>
      </c>
      <c r="C665" s="385" t="s">
        <v>2322</v>
      </c>
      <c r="D665" s="385" t="s">
        <v>88</v>
      </c>
      <c r="E665" s="385"/>
      <c r="F665" s="385"/>
      <c r="G665" s="385"/>
      <c r="H665" s="385">
        <v>2025</v>
      </c>
      <c r="I665" s="386">
        <v>45729</v>
      </c>
      <c r="J665" s="30" t="s">
        <v>4901</v>
      </c>
      <c r="K665" s="385"/>
      <c r="L665" s="385"/>
      <c r="M665" s="385"/>
      <c r="N665" s="385"/>
      <c r="O665" s="385"/>
      <c r="P665" s="385" t="str">
        <f>IFERROR(
    IF(
        OR(ISBLANK(I665), ISBLANK(L665)),
        "",
        MAX(
            1,
            IF(
                NETWORKDAYS(I665, L665, Holiday_Dates) &lt;= 0,
                1,
                NETWORKDAYS(I665, L665, Holiday_Dates) - IF(I665 = L665, 0, 1)
            )
        )
    ),
    ""
)</f>
        <v/>
      </c>
      <c r="Q665" s="385" t="str">
        <f>IF(
    OR(ISBLANK(L665), ISBLANK(M665)),
    "",
    MAX(
        1,
        IF(
            NETWORKDAYS(L665, M665, Holiday_Dates) &lt;= 0,
            1,
            NETWORKDAYS(L665, M665, Holiday_Dates) - IF(L665 = M665, 0, 1)
        )
    )
)</f>
        <v/>
      </c>
      <c r="R665" s="385" t="str">
        <f>IFERROR(
    IF(
        OR(ISBLANK(N665), AND(ISBLANK(L665), ISBLANK(M665))),
        "",
        MAX(
            1,
            IF(
                NETWORKDAYS(IF(NOT(ISBLANK(M665)), M665, L665), N665, Holiday_Dates) &lt;= 0,
                1,
                NETWORKDAYS(IF(NOT(ISBLANK(M665)), M665, L665), N665, Holiday_Dates)
                - IF(IF(NOT(ISBLANK(M665)), M665, L665) = N665, 0, 1)
            )
        )
    ),
    ""
)</f>
        <v/>
      </c>
      <c r="S665" s="385" t="str">
        <f>IFERROR(
    IF(
        OR(ISBLANK(N665), ISBLANK(O665)),
        "",
        MAX(
            1,
            IF(
                NETWORKDAYS(N665, O665, Holiday_Dates) &lt;= 0,
                1,
                NETWORKDAYS(N665, O665, Holiday_Dates) - IF(N665 = O665, 0, 1)
            )
        )
    ),
    ""
)</f>
        <v/>
      </c>
      <c r="T665" s="385"/>
      <c r="U665" s="385" t="s">
        <v>672</v>
      </c>
      <c r="V665" s="385" t="s">
        <v>1676</v>
      </c>
      <c r="W665" s="385" t="s">
        <v>1436</v>
      </c>
      <c r="X665" s="1"/>
    </row>
    <row r="666" spans="1:24">
      <c r="A666" s="385" t="s">
        <v>49</v>
      </c>
      <c r="B666" s="385" t="s">
        <v>497</v>
      </c>
      <c r="C666" s="385" t="s">
        <v>2323</v>
      </c>
      <c r="D666" s="385" t="s">
        <v>88</v>
      </c>
      <c r="E666" s="385"/>
      <c r="F666" s="385"/>
      <c r="G666" s="385"/>
      <c r="H666" s="385">
        <v>2025</v>
      </c>
      <c r="I666" s="386">
        <v>45729</v>
      </c>
      <c r="J666" s="30" t="s">
        <v>4902</v>
      </c>
      <c r="K666" s="385"/>
      <c r="L666" s="385"/>
      <c r="M666" s="385"/>
      <c r="N666" s="385"/>
      <c r="O666" s="385"/>
      <c r="P666" s="385" t="str">
        <f>IFERROR(
    IF(
        OR(ISBLANK(I666), ISBLANK(L666)),
        "",
        MAX(
            1,
            IF(
                NETWORKDAYS(I666, L666, Holiday_Dates) &lt;= 0,
                1,
                NETWORKDAYS(I666, L666, Holiday_Dates) - IF(I666 = L666, 0, 1)
            )
        )
    ),
    ""
)</f>
        <v/>
      </c>
      <c r="Q666" s="385" t="str">
        <f>IF(
    OR(ISBLANK(L666), ISBLANK(M666)),
    "",
    MAX(
        1,
        IF(
            NETWORKDAYS(L666, M666, Holiday_Dates) &lt;= 0,
            1,
            NETWORKDAYS(L666, M666, Holiday_Dates) - IF(L666 = M666, 0, 1)
        )
    )
)</f>
        <v/>
      </c>
      <c r="R666" s="385" t="str">
        <f>IFERROR(
    IF(
        OR(ISBLANK(N666), AND(ISBLANK(L666), ISBLANK(M666))),
        "",
        MAX(
            1,
            IF(
                NETWORKDAYS(IF(NOT(ISBLANK(M666)), M666, L666), N666, Holiday_Dates) &lt;= 0,
                1,
                NETWORKDAYS(IF(NOT(ISBLANK(M666)), M666, L666), N666, Holiday_Dates)
                - IF(IF(NOT(ISBLANK(M666)), M666, L666) = N666, 0, 1)
            )
        )
    ),
    ""
)</f>
        <v/>
      </c>
      <c r="S666" s="385" t="str">
        <f>IFERROR(
    IF(
        OR(ISBLANK(N666), ISBLANK(O666)),
        "",
        MAX(
            1,
            IF(
                NETWORKDAYS(N666, O666, Holiday_Dates) &lt;= 0,
                1,
                NETWORKDAYS(N666, O666, Holiday_Dates) - IF(N666 = O666, 0, 1)
            )
        )
    ),
    ""
)</f>
        <v/>
      </c>
      <c r="T666" s="385"/>
      <c r="U666" s="385" t="s">
        <v>672</v>
      </c>
      <c r="V666" s="385" t="s">
        <v>1676</v>
      </c>
      <c r="W666" s="385" t="s">
        <v>1436</v>
      </c>
      <c r="X666" s="1"/>
    </row>
    <row r="667" spans="1:24">
      <c r="A667" s="385" t="s">
        <v>49</v>
      </c>
      <c r="B667" s="385" t="s">
        <v>497</v>
      </c>
      <c r="C667" s="385" t="s">
        <v>2324</v>
      </c>
      <c r="D667" s="385" t="s">
        <v>88</v>
      </c>
      <c r="E667" s="385"/>
      <c r="F667" s="385"/>
      <c r="G667" s="385"/>
      <c r="H667" s="385">
        <v>2025</v>
      </c>
      <c r="I667" s="386">
        <v>45728</v>
      </c>
      <c r="J667" s="30" t="s">
        <v>4903</v>
      </c>
      <c r="K667" s="385"/>
      <c r="L667" s="385"/>
      <c r="M667" s="385"/>
      <c r="N667" s="385"/>
      <c r="O667" s="385"/>
      <c r="P667" s="385" t="str">
        <f>IFERROR(
    IF(
        OR(ISBLANK(I667), ISBLANK(L667)),
        "",
        MAX(
            1,
            IF(
                NETWORKDAYS(I667, L667, Holiday_Dates) &lt;= 0,
                1,
                NETWORKDAYS(I667, L667, Holiday_Dates) - IF(I667 = L667, 0, 1)
            )
        )
    ),
    ""
)</f>
        <v/>
      </c>
      <c r="Q667" s="385" t="str">
        <f>IF(
    OR(ISBLANK(L667), ISBLANK(M667)),
    "",
    MAX(
        1,
        IF(
            NETWORKDAYS(L667, M667, Holiday_Dates) &lt;= 0,
            1,
            NETWORKDAYS(L667, M667, Holiday_Dates) - IF(L667 = M667, 0, 1)
        )
    )
)</f>
        <v/>
      </c>
      <c r="R667" s="385" t="str">
        <f>IFERROR(
    IF(
        OR(ISBLANK(N667), AND(ISBLANK(L667), ISBLANK(M667))),
        "",
        MAX(
            1,
            IF(
                NETWORKDAYS(IF(NOT(ISBLANK(M667)), M667, L667), N667, Holiday_Dates) &lt;= 0,
                1,
                NETWORKDAYS(IF(NOT(ISBLANK(M667)), M667, L667), N667, Holiday_Dates)
                - IF(IF(NOT(ISBLANK(M667)), M667, L667) = N667, 0, 1)
            )
        )
    ),
    ""
)</f>
        <v/>
      </c>
      <c r="S667" s="385" t="str">
        <f>IFERROR(
    IF(
        OR(ISBLANK(N667), ISBLANK(O667)),
        "",
        MAX(
            1,
            IF(
                NETWORKDAYS(N667, O667, Holiday_Dates) &lt;= 0,
                1,
                NETWORKDAYS(N667, O667, Holiday_Dates) - IF(N667 = O667, 0, 1)
            )
        )
    ),
    ""
)</f>
        <v/>
      </c>
      <c r="T667" s="385"/>
      <c r="U667" s="385" t="s">
        <v>672</v>
      </c>
      <c r="V667" s="385" t="s">
        <v>1676</v>
      </c>
      <c r="W667" s="385" t="s">
        <v>1436</v>
      </c>
      <c r="X667" s="1"/>
    </row>
    <row r="668" spans="1:24">
      <c r="A668" s="385" t="s">
        <v>49</v>
      </c>
      <c r="B668" s="385" t="s">
        <v>497</v>
      </c>
      <c r="C668" s="385" t="s">
        <v>2325</v>
      </c>
      <c r="D668" s="385" t="s">
        <v>88</v>
      </c>
      <c r="E668" s="385"/>
      <c r="F668" s="385"/>
      <c r="G668" s="385"/>
      <c r="H668" s="385">
        <v>2024</v>
      </c>
      <c r="I668" s="386">
        <v>45518</v>
      </c>
      <c r="J668" s="30"/>
      <c r="K668" s="385"/>
      <c r="L668" s="385"/>
      <c r="M668" s="385"/>
      <c r="N668" s="385"/>
      <c r="O668" s="385"/>
      <c r="P668" s="385" t="str">
        <f>IFERROR(
    IF(
        OR(ISBLANK(I668), ISBLANK(L668)),
        "",
        MAX(
            1,
            IF(
                NETWORKDAYS(I668, L668, Holiday_Dates) &lt;= 0,
                1,
                NETWORKDAYS(I668, L668, Holiday_Dates) - IF(I668 = L668, 0, 1)
            )
        )
    ),
    ""
)</f>
        <v/>
      </c>
      <c r="Q668" s="385" t="str">
        <f>IF(
    OR(ISBLANK(L668), ISBLANK(M668)),
    "",
    MAX(
        1,
        IF(
            NETWORKDAYS(L668, M668, Holiday_Dates) &lt;= 0,
            1,
            NETWORKDAYS(L668, M668, Holiday_Dates) - IF(L668 = M668, 0, 1)
        )
    )
)</f>
        <v/>
      </c>
      <c r="R668" s="385" t="str">
        <f>IFERROR(
    IF(
        OR(ISBLANK(N668), AND(ISBLANK(L668), ISBLANK(M668))),
        "",
        MAX(
            1,
            IF(
                NETWORKDAYS(IF(NOT(ISBLANK(M668)), M668, L668), N668, Holiday_Dates) &lt;= 0,
                1,
                NETWORKDAYS(IF(NOT(ISBLANK(M668)), M668, L668), N668, Holiday_Dates)
                - IF(IF(NOT(ISBLANK(M668)), M668, L668) = N668, 0, 1)
            )
        )
    ),
    ""
)</f>
        <v/>
      </c>
      <c r="S668" s="385" t="str">
        <f>IFERROR(
    IF(
        OR(ISBLANK(N668), ISBLANK(O668)),
        "",
        MAX(
            1,
            IF(
                NETWORKDAYS(N668, O668, Holiday_Dates) &lt;= 0,
                1,
                NETWORKDAYS(N668, O668, Holiday_Dates) - IF(N668 = O668, 0, 1)
            )
        )
    ),
    ""
)</f>
        <v/>
      </c>
      <c r="T668" s="385"/>
      <c r="U668" s="385" t="s">
        <v>4</v>
      </c>
      <c r="V668" s="385" t="s">
        <v>101</v>
      </c>
      <c r="W668" s="385" t="s">
        <v>1436</v>
      </c>
      <c r="X668" s="1"/>
    </row>
    <row r="669" spans="1:24">
      <c r="A669" s="385" t="s">
        <v>49</v>
      </c>
      <c r="B669" s="385" t="s">
        <v>497</v>
      </c>
      <c r="C669" s="385" t="s">
        <v>2211</v>
      </c>
      <c r="D669" s="385" t="s">
        <v>88</v>
      </c>
      <c r="E669" s="385"/>
      <c r="F669" s="385"/>
      <c r="G669" s="385"/>
      <c r="H669" s="385">
        <v>2025</v>
      </c>
      <c r="I669" s="386">
        <v>45729</v>
      </c>
      <c r="J669" s="30" t="s">
        <v>4904</v>
      </c>
      <c r="K669" s="385"/>
      <c r="L669" s="385"/>
      <c r="M669" s="385"/>
      <c r="N669" s="385"/>
      <c r="O669" s="385"/>
      <c r="P669" s="385" t="str">
        <f>IFERROR(
    IF(
        OR(ISBLANK(I669), ISBLANK(L669)),
        "",
        MAX(
            1,
            IF(
                NETWORKDAYS(I669, L669, Holiday_Dates) &lt;= 0,
                1,
                NETWORKDAYS(I669, L669, Holiday_Dates) - IF(I669 = L669, 0, 1)
            )
        )
    ),
    ""
)</f>
        <v/>
      </c>
      <c r="Q669" s="385" t="str">
        <f>IF(
    OR(ISBLANK(L669), ISBLANK(M669)),
    "",
    MAX(
        1,
        IF(
            NETWORKDAYS(L669, M669, Holiday_Dates) &lt;= 0,
            1,
            NETWORKDAYS(L669, M669, Holiday_Dates) - IF(L669 = M669, 0, 1)
        )
    )
)</f>
        <v/>
      </c>
      <c r="R669" s="385" t="str">
        <f>IFERROR(
    IF(
        OR(ISBLANK(N669), AND(ISBLANK(L669), ISBLANK(M669))),
        "",
        MAX(
            1,
            IF(
                NETWORKDAYS(IF(NOT(ISBLANK(M669)), M669, L669), N669, Holiday_Dates) &lt;= 0,
                1,
                NETWORKDAYS(IF(NOT(ISBLANK(M669)), M669, L669), N669, Holiday_Dates)
                - IF(IF(NOT(ISBLANK(M669)), M669, L669) = N669, 0, 1)
            )
        )
    ),
    ""
)</f>
        <v/>
      </c>
      <c r="S669" s="385" t="str">
        <f>IFERROR(
    IF(
        OR(ISBLANK(N669), ISBLANK(O669)),
        "",
        MAX(
            1,
            IF(
                NETWORKDAYS(N669, O669, Holiday_Dates) &lt;= 0,
                1,
                NETWORKDAYS(N669, O669, Holiday_Dates) - IF(N669 = O669, 0, 1)
            )
        )
    ),
    ""
)</f>
        <v/>
      </c>
      <c r="T669" s="385"/>
      <c r="U669" s="385" t="s">
        <v>672</v>
      </c>
      <c r="V669" s="385" t="s">
        <v>1676</v>
      </c>
      <c r="W669" s="385" t="s">
        <v>1436</v>
      </c>
      <c r="X669" s="1"/>
    </row>
    <row r="670" spans="1:24">
      <c r="A670" s="385" t="s">
        <v>49</v>
      </c>
      <c r="B670" s="385" t="s">
        <v>497</v>
      </c>
      <c r="C670" s="385" t="s">
        <v>926</v>
      </c>
      <c r="D670" s="385" t="s">
        <v>88</v>
      </c>
      <c r="E670" s="385"/>
      <c r="F670" s="385"/>
      <c r="G670" s="385"/>
      <c r="H670" s="385">
        <v>2025</v>
      </c>
      <c r="I670" s="386">
        <v>45692</v>
      </c>
      <c r="J670" s="30" t="s">
        <v>4905</v>
      </c>
      <c r="K670" s="385"/>
      <c r="L670" s="385"/>
      <c r="M670" s="385"/>
      <c r="N670" s="385"/>
      <c r="O670" s="385"/>
      <c r="P670" s="385" t="str">
        <f>IFERROR(
    IF(
        OR(ISBLANK(I670), ISBLANK(L670)),
        "",
        MAX(
            1,
            IF(
                NETWORKDAYS(I670, L670, Holiday_Dates) &lt;= 0,
                1,
                NETWORKDAYS(I670, L670, Holiday_Dates) - IF(I670 = L670, 0, 1)
            )
        )
    ),
    ""
)</f>
        <v/>
      </c>
      <c r="Q670" s="385" t="str">
        <f>IF(
    OR(ISBLANK(L670), ISBLANK(M670)),
    "",
    MAX(
        1,
        IF(
            NETWORKDAYS(L670, M670, Holiday_Dates) &lt;= 0,
            1,
            NETWORKDAYS(L670, M670, Holiday_Dates) - IF(L670 = M670, 0, 1)
        )
    )
)</f>
        <v/>
      </c>
      <c r="R670" s="385" t="str">
        <f>IFERROR(
    IF(
        OR(ISBLANK(N670), AND(ISBLANK(L670), ISBLANK(M670))),
        "",
        MAX(
            1,
            IF(
                NETWORKDAYS(IF(NOT(ISBLANK(M670)), M670, L670), N670, Holiday_Dates) &lt;= 0,
                1,
                NETWORKDAYS(IF(NOT(ISBLANK(M670)), M670, L670), N670, Holiday_Dates)
                - IF(IF(NOT(ISBLANK(M670)), M670, L670) = N670, 0, 1)
            )
        )
    ),
    ""
)</f>
        <v/>
      </c>
      <c r="S670" s="385" t="str">
        <f>IFERROR(
    IF(
        OR(ISBLANK(N670), ISBLANK(O670)),
        "",
        MAX(
            1,
            IF(
                NETWORKDAYS(N670, O670, Holiday_Dates) &lt;= 0,
                1,
                NETWORKDAYS(N670, O670, Holiday_Dates) - IF(N670 = O670, 0, 1)
            )
        )
    ),
    ""
)</f>
        <v/>
      </c>
      <c r="T670" s="385"/>
      <c r="U670" s="385" t="s">
        <v>672</v>
      </c>
      <c r="V670" s="385" t="s">
        <v>1676</v>
      </c>
      <c r="W670" s="385" t="s">
        <v>1436</v>
      </c>
      <c r="X670" s="1"/>
    </row>
    <row r="671" spans="1:24">
      <c r="A671" s="385" t="s">
        <v>49</v>
      </c>
      <c r="B671" s="385" t="s">
        <v>497</v>
      </c>
      <c r="C671" s="385" t="s">
        <v>2327</v>
      </c>
      <c r="D671" s="385" t="s">
        <v>88</v>
      </c>
      <c r="E671" s="385"/>
      <c r="F671" s="385"/>
      <c r="G671" s="385"/>
      <c r="H671" s="385">
        <v>2024</v>
      </c>
      <c r="I671" s="386">
        <v>45604</v>
      </c>
      <c r="J671" s="30"/>
      <c r="K671" s="385"/>
      <c r="L671" s="385"/>
      <c r="M671" s="385"/>
      <c r="N671" s="385"/>
      <c r="O671" s="385"/>
      <c r="P671" s="385" t="str">
        <f>IFERROR(
    IF(
        OR(ISBLANK(I671), ISBLANK(L671)),
        "",
        MAX(
            1,
            IF(
                NETWORKDAYS(I671, L671, Holiday_Dates) &lt;= 0,
                1,
                NETWORKDAYS(I671, L671, Holiday_Dates) - IF(I671 = L671, 0, 1)
            )
        )
    ),
    ""
)</f>
        <v/>
      </c>
      <c r="Q671" s="385" t="str">
        <f>IF(
    OR(ISBLANK(L671), ISBLANK(M671)),
    "",
    MAX(
        1,
        IF(
            NETWORKDAYS(L671, M671, Holiday_Dates) &lt;= 0,
            1,
            NETWORKDAYS(L671, M671, Holiday_Dates) - IF(L671 = M671, 0, 1)
        )
    )
)</f>
        <v/>
      </c>
      <c r="R671" s="385" t="str">
        <f>IFERROR(
    IF(
        OR(ISBLANK(N671), AND(ISBLANK(L671), ISBLANK(M671))),
        "",
        MAX(
            1,
            IF(
                NETWORKDAYS(IF(NOT(ISBLANK(M671)), M671, L671), N671, Holiday_Dates) &lt;= 0,
                1,
                NETWORKDAYS(IF(NOT(ISBLANK(M671)), M671, L671), N671, Holiday_Dates)
                - IF(IF(NOT(ISBLANK(M671)), M671, L671) = N671, 0, 1)
            )
        )
    ),
    ""
)</f>
        <v/>
      </c>
      <c r="S671" s="385" t="str">
        <f>IFERROR(
    IF(
        OR(ISBLANK(N671), ISBLANK(O671)),
        "",
        MAX(
            1,
            IF(
                NETWORKDAYS(N671, O671, Holiday_Dates) &lt;= 0,
                1,
                NETWORKDAYS(N671, O671, Holiday_Dates) - IF(N671 = O671, 0, 1)
            )
        )
    ),
    ""
)</f>
        <v/>
      </c>
      <c r="T671" s="385"/>
      <c r="U671" s="385" t="s">
        <v>672</v>
      </c>
      <c r="V671" s="385" t="s">
        <v>1676</v>
      </c>
      <c r="W671" s="385" t="s">
        <v>1436</v>
      </c>
      <c r="X671" s="1"/>
    </row>
    <row r="672" spans="1:24">
      <c r="A672" s="385" t="s">
        <v>49</v>
      </c>
      <c r="B672" s="385" t="s">
        <v>497</v>
      </c>
      <c r="C672" s="385" t="s">
        <v>2213</v>
      </c>
      <c r="D672" s="385" t="s">
        <v>88</v>
      </c>
      <c r="E672" s="385"/>
      <c r="F672" s="385"/>
      <c r="G672" s="385"/>
      <c r="H672" s="385">
        <v>2025</v>
      </c>
      <c r="I672" s="386">
        <v>45729</v>
      </c>
      <c r="J672" s="30" t="s">
        <v>4906</v>
      </c>
      <c r="K672" s="385"/>
      <c r="L672" s="385"/>
      <c r="M672" s="385"/>
      <c r="N672" s="385"/>
      <c r="O672" s="385"/>
      <c r="P672" s="385" t="str">
        <f>IFERROR(
    IF(
        OR(ISBLANK(I672), ISBLANK(L672)),
        "",
        MAX(
            1,
            IF(
                NETWORKDAYS(I672, L672, Holiday_Dates) &lt;= 0,
                1,
                NETWORKDAYS(I672, L672, Holiday_Dates) - IF(I672 = L672, 0, 1)
            )
        )
    ),
    ""
)</f>
        <v/>
      </c>
      <c r="Q672" s="385" t="str">
        <f>IF(
    OR(ISBLANK(L672), ISBLANK(M672)),
    "",
    MAX(
        1,
        IF(
            NETWORKDAYS(L672, M672, Holiday_Dates) &lt;= 0,
            1,
            NETWORKDAYS(L672, M672, Holiday_Dates) - IF(L672 = M672, 0, 1)
        )
    )
)</f>
        <v/>
      </c>
      <c r="R672" s="385" t="str">
        <f>IFERROR(
    IF(
        OR(ISBLANK(N672), AND(ISBLANK(L672), ISBLANK(M672))),
        "",
        MAX(
            1,
            IF(
                NETWORKDAYS(IF(NOT(ISBLANK(M672)), M672, L672), N672, Holiday_Dates) &lt;= 0,
                1,
                NETWORKDAYS(IF(NOT(ISBLANK(M672)), M672, L672), N672, Holiday_Dates)
                - IF(IF(NOT(ISBLANK(M672)), M672, L672) = N672, 0, 1)
            )
        )
    ),
    ""
)</f>
        <v/>
      </c>
      <c r="S672" s="385" t="str">
        <f>IFERROR(
    IF(
        OR(ISBLANK(N672), ISBLANK(O672)),
        "",
        MAX(
            1,
            IF(
                NETWORKDAYS(N672, O672, Holiday_Dates) &lt;= 0,
                1,
                NETWORKDAYS(N672, O672, Holiday_Dates) - IF(N672 = O672, 0, 1)
            )
        )
    ),
    ""
)</f>
        <v/>
      </c>
      <c r="T672" s="385"/>
      <c r="U672" s="385" t="s">
        <v>672</v>
      </c>
      <c r="V672" s="385" t="s">
        <v>1676</v>
      </c>
      <c r="W672" s="385" t="s">
        <v>1436</v>
      </c>
      <c r="X672" s="1"/>
    </row>
    <row r="673" spans="1:24">
      <c r="A673" s="385" t="s">
        <v>49</v>
      </c>
      <c r="B673" s="385" t="s">
        <v>497</v>
      </c>
      <c r="C673" s="385" t="s">
        <v>554</v>
      </c>
      <c r="D673" s="385" t="s">
        <v>88</v>
      </c>
      <c r="E673" s="385"/>
      <c r="F673" s="385"/>
      <c r="G673" s="385"/>
      <c r="H673" s="385">
        <v>2024</v>
      </c>
      <c r="I673" s="386">
        <v>45604</v>
      </c>
      <c r="J673" s="30"/>
      <c r="K673" s="385"/>
      <c r="L673" s="385"/>
      <c r="M673" s="385"/>
      <c r="N673" s="385"/>
      <c r="O673" s="385"/>
      <c r="P673" s="385" t="str">
        <f>IFERROR(
    IF(
        OR(ISBLANK(I673), ISBLANK(L673)),
        "",
        MAX(
            1,
            IF(
                NETWORKDAYS(I673, L673, Holiday_Dates) &lt;= 0,
                1,
                NETWORKDAYS(I673, L673, Holiday_Dates) - IF(I673 = L673, 0, 1)
            )
        )
    ),
    ""
)</f>
        <v/>
      </c>
      <c r="Q673" s="385" t="str">
        <f>IF(
    OR(ISBLANK(L673), ISBLANK(M673)),
    "",
    MAX(
        1,
        IF(
            NETWORKDAYS(L673, M673, Holiday_Dates) &lt;= 0,
            1,
            NETWORKDAYS(L673, M673, Holiday_Dates) - IF(L673 = M673, 0, 1)
        )
    )
)</f>
        <v/>
      </c>
      <c r="R673" s="385" t="str">
        <f>IFERROR(
    IF(
        OR(ISBLANK(N673), AND(ISBLANK(L673), ISBLANK(M673))),
        "",
        MAX(
            1,
            IF(
                NETWORKDAYS(IF(NOT(ISBLANK(M673)), M673, L673), N673, Holiday_Dates) &lt;= 0,
                1,
                NETWORKDAYS(IF(NOT(ISBLANK(M673)), M673, L673), N673, Holiday_Dates)
                - IF(IF(NOT(ISBLANK(M673)), M673, L673) = N673, 0, 1)
            )
        )
    ),
    ""
)</f>
        <v/>
      </c>
      <c r="S673" s="385" t="str">
        <f>IFERROR(
    IF(
        OR(ISBLANK(N673), ISBLANK(O673)),
        "",
        MAX(
            1,
            IF(
                NETWORKDAYS(N673, O673, Holiday_Dates) &lt;= 0,
                1,
                NETWORKDAYS(N673, O673, Holiday_Dates) - IF(N673 = O673, 0, 1)
            )
        )
    ),
    ""
)</f>
        <v/>
      </c>
      <c r="T673" s="385"/>
      <c r="U673" s="385" t="s">
        <v>672</v>
      </c>
      <c r="V673" s="385" t="s">
        <v>1676</v>
      </c>
      <c r="W673" s="385" t="s">
        <v>1436</v>
      </c>
      <c r="X673" s="1"/>
    </row>
    <row r="674" spans="1:24">
      <c r="A674" s="385" t="s">
        <v>49</v>
      </c>
      <c r="B674" s="385" t="s">
        <v>497</v>
      </c>
      <c r="C674" s="385" t="s">
        <v>539</v>
      </c>
      <c r="D674" s="385" t="s">
        <v>88</v>
      </c>
      <c r="E674" s="385"/>
      <c r="F674" s="385"/>
      <c r="G674" s="385"/>
      <c r="H674" s="385">
        <v>2024</v>
      </c>
      <c r="I674" s="386">
        <v>45603</v>
      </c>
      <c r="J674" s="30"/>
      <c r="K674" s="385"/>
      <c r="L674" s="385"/>
      <c r="M674" s="385"/>
      <c r="N674" s="385"/>
      <c r="O674" s="385"/>
      <c r="P674" s="385" t="str">
        <f>IFERROR(
    IF(
        OR(ISBLANK(I674), ISBLANK(L674)),
        "",
        MAX(
            1,
            IF(
                NETWORKDAYS(I674, L674, Holiday_Dates) &lt;= 0,
                1,
                NETWORKDAYS(I674, L674, Holiday_Dates) - IF(I674 = L674, 0, 1)
            )
        )
    ),
    ""
)</f>
        <v/>
      </c>
      <c r="Q674" s="385" t="str">
        <f>IF(
    OR(ISBLANK(L674), ISBLANK(M674)),
    "",
    MAX(
        1,
        IF(
            NETWORKDAYS(L674, M674, Holiday_Dates) &lt;= 0,
            1,
            NETWORKDAYS(L674, M674, Holiday_Dates) - IF(L674 = M674, 0, 1)
        )
    )
)</f>
        <v/>
      </c>
      <c r="R674" s="385" t="str">
        <f>IFERROR(
    IF(
        OR(ISBLANK(N674), AND(ISBLANK(L674), ISBLANK(M674))),
        "",
        MAX(
            1,
            IF(
                NETWORKDAYS(IF(NOT(ISBLANK(M674)), M674, L674), N674, Holiday_Dates) &lt;= 0,
                1,
                NETWORKDAYS(IF(NOT(ISBLANK(M674)), M674, L674), N674, Holiday_Dates)
                - IF(IF(NOT(ISBLANK(M674)), M674, L674) = N674, 0, 1)
            )
        )
    ),
    ""
)</f>
        <v/>
      </c>
      <c r="S674" s="385" t="str">
        <f>IFERROR(
    IF(
        OR(ISBLANK(N674), ISBLANK(O674)),
        "",
        MAX(
            1,
            IF(
                NETWORKDAYS(N674, O674, Holiday_Dates) &lt;= 0,
                1,
                NETWORKDAYS(N674, O674, Holiday_Dates) - IF(N674 = O674, 0, 1)
            )
        )
    ),
    ""
)</f>
        <v/>
      </c>
      <c r="T674" s="385"/>
      <c r="U674" s="385" t="s">
        <v>4</v>
      </c>
      <c r="V674" s="385" t="s">
        <v>101</v>
      </c>
      <c r="W674" s="385" t="s">
        <v>1436</v>
      </c>
      <c r="X674" s="1"/>
    </row>
    <row r="675" spans="1:24">
      <c r="A675" s="385" t="s">
        <v>49</v>
      </c>
      <c r="B675" s="385" t="s">
        <v>497</v>
      </c>
      <c r="C675" s="385" t="s">
        <v>2331</v>
      </c>
      <c r="D675" s="385" t="s">
        <v>88</v>
      </c>
      <c r="E675" s="385"/>
      <c r="F675" s="385"/>
      <c r="G675" s="385"/>
      <c r="H675" s="385">
        <v>2025</v>
      </c>
      <c r="I675" s="386">
        <v>45674</v>
      </c>
      <c r="J675" s="30" t="s">
        <v>4907</v>
      </c>
      <c r="K675" s="385"/>
      <c r="L675" s="385"/>
      <c r="M675" s="385"/>
      <c r="N675" s="385"/>
      <c r="O675" s="385"/>
      <c r="P675" s="385" t="str">
        <f>IFERROR(
    IF(
        OR(ISBLANK(I675), ISBLANK(L675)),
        "",
        MAX(
            1,
            IF(
                NETWORKDAYS(I675, L675, Holiday_Dates) &lt;= 0,
                1,
                NETWORKDAYS(I675, L675, Holiday_Dates) - IF(I675 = L675, 0, 1)
            )
        )
    ),
    ""
)</f>
        <v/>
      </c>
      <c r="Q675" s="385" t="str">
        <f>IF(
    OR(ISBLANK(L675), ISBLANK(M675)),
    "",
    MAX(
        1,
        IF(
            NETWORKDAYS(L675, M675, Holiday_Dates) &lt;= 0,
            1,
            NETWORKDAYS(L675, M675, Holiday_Dates) - IF(L675 = M675, 0, 1)
        )
    )
)</f>
        <v/>
      </c>
      <c r="R675" s="385" t="str">
        <f>IFERROR(
    IF(
        OR(ISBLANK(N675), AND(ISBLANK(L675), ISBLANK(M675))),
        "",
        MAX(
            1,
            IF(
                NETWORKDAYS(IF(NOT(ISBLANK(M675)), M675, L675), N675, Holiday_Dates) &lt;= 0,
                1,
                NETWORKDAYS(IF(NOT(ISBLANK(M675)), M675, L675), N675, Holiday_Dates)
                - IF(IF(NOT(ISBLANK(M675)), M675, L675) = N675, 0, 1)
            )
        )
    ),
    ""
)</f>
        <v/>
      </c>
      <c r="S675" s="385" t="str">
        <f>IFERROR(
    IF(
        OR(ISBLANK(N675), ISBLANK(O675)),
        "",
        MAX(
            1,
            IF(
                NETWORKDAYS(N675, O675, Holiday_Dates) &lt;= 0,
                1,
                NETWORKDAYS(N675, O675, Holiday_Dates) - IF(N675 = O675, 0, 1)
            )
        )
    ),
    ""
)</f>
        <v/>
      </c>
      <c r="T675" s="385"/>
      <c r="U675" s="385" t="s">
        <v>672</v>
      </c>
      <c r="V675" s="385" t="s">
        <v>1676</v>
      </c>
      <c r="W675" s="385" t="s">
        <v>1436</v>
      </c>
      <c r="X675" s="1"/>
    </row>
    <row r="676" spans="1:24">
      <c r="A676" s="385" t="s">
        <v>49</v>
      </c>
      <c r="B676" s="385" t="s">
        <v>497</v>
      </c>
      <c r="C676" s="385" t="s">
        <v>2332</v>
      </c>
      <c r="D676" s="385" t="s">
        <v>88</v>
      </c>
      <c r="E676" s="385"/>
      <c r="F676" s="385"/>
      <c r="G676" s="385"/>
      <c r="H676" s="385">
        <v>2025</v>
      </c>
      <c r="I676" s="386">
        <v>45692</v>
      </c>
      <c r="J676" s="30" t="s">
        <v>4908</v>
      </c>
      <c r="K676" s="385"/>
      <c r="L676" s="385"/>
      <c r="M676" s="385"/>
      <c r="N676" s="385"/>
      <c r="O676" s="385"/>
      <c r="P676" s="385" t="str">
        <f>IFERROR(
    IF(
        OR(ISBLANK(I676), ISBLANK(L676)),
        "",
        MAX(
            1,
            IF(
                NETWORKDAYS(I676, L676, Holiday_Dates) &lt;= 0,
                1,
                NETWORKDAYS(I676, L676, Holiday_Dates) - IF(I676 = L676, 0, 1)
            )
        )
    ),
    ""
)</f>
        <v/>
      </c>
      <c r="Q676" s="385" t="str">
        <f>IF(
    OR(ISBLANK(L676), ISBLANK(M676)),
    "",
    MAX(
        1,
        IF(
            NETWORKDAYS(L676, M676, Holiday_Dates) &lt;= 0,
            1,
            NETWORKDAYS(L676, M676, Holiday_Dates) - IF(L676 = M676, 0, 1)
        )
    )
)</f>
        <v/>
      </c>
      <c r="R676" s="385" t="str">
        <f>IFERROR(
    IF(
        OR(ISBLANK(N676), AND(ISBLANK(L676), ISBLANK(M676))),
        "",
        MAX(
            1,
            IF(
                NETWORKDAYS(IF(NOT(ISBLANK(M676)), M676, L676), N676, Holiday_Dates) &lt;= 0,
                1,
                NETWORKDAYS(IF(NOT(ISBLANK(M676)), M676, L676), N676, Holiday_Dates)
                - IF(IF(NOT(ISBLANK(M676)), M676, L676) = N676, 0, 1)
            )
        )
    ),
    ""
)</f>
        <v/>
      </c>
      <c r="S676" s="385" t="str">
        <f>IFERROR(
    IF(
        OR(ISBLANK(N676), ISBLANK(O676)),
        "",
        MAX(
            1,
            IF(
                NETWORKDAYS(N676, O676, Holiday_Dates) &lt;= 0,
                1,
                NETWORKDAYS(N676, O676, Holiday_Dates) - IF(N676 = O676, 0, 1)
            )
        )
    ),
    ""
)</f>
        <v/>
      </c>
      <c r="T676" s="385"/>
      <c r="U676" s="385" t="s">
        <v>672</v>
      </c>
      <c r="V676" s="385" t="s">
        <v>101</v>
      </c>
      <c r="W676" s="385" t="s">
        <v>1436</v>
      </c>
      <c r="X676" s="1"/>
    </row>
    <row r="677" spans="1:24">
      <c r="A677" s="385" t="s">
        <v>49</v>
      </c>
      <c r="B677" s="385" t="s">
        <v>497</v>
      </c>
      <c r="C677" s="385" t="s">
        <v>2245</v>
      </c>
      <c r="D677" s="385" t="s">
        <v>88</v>
      </c>
      <c r="E677" s="385"/>
      <c r="F677" s="385"/>
      <c r="G677" s="385"/>
      <c r="H677" s="385">
        <v>2024</v>
      </c>
      <c r="I677" s="386">
        <v>45422</v>
      </c>
      <c r="J677" s="30"/>
      <c r="K677" s="385"/>
      <c r="L677" s="385"/>
      <c r="M677" s="385"/>
      <c r="N677" s="385"/>
      <c r="O677" s="385"/>
      <c r="P677" s="385" t="str">
        <f>IFERROR(
    IF(
        OR(ISBLANK(I677), ISBLANK(L677)),
        "",
        MAX(
            1,
            IF(
                NETWORKDAYS(I677, L677, Holiday_Dates) &lt;= 0,
                1,
                NETWORKDAYS(I677, L677, Holiday_Dates) - IF(I677 = L677, 0, 1)
            )
        )
    ),
    ""
)</f>
        <v/>
      </c>
      <c r="Q677" s="385" t="str">
        <f>IF(
    OR(ISBLANK(L677), ISBLANK(M677)),
    "",
    MAX(
        1,
        IF(
            NETWORKDAYS(L677, M677, Holiday_Dates) &lt;= 0,
            1,
            NETWORKDAYS(L677, M677, Holiday_Dates) - IF(L677 = M677, 0, 1)
        )
    )
)</f>
        <v/>
      </c>
      <c r="R677" s="385" t="str">
        <f>IFERROR(
    IF(
        OR(ISBLANK(N677), AND(ISBLANK(L677), ISBLANK(M677))),
        "",
        MAX(
            1,
            IF(
                NETWORKDAYS(IF(NOT(ISBLANK(M677)), M677, L677), N677, Holiday_Dates) &lt;= 0,
                1,
                NETWORKDAYS(IF(NOT(ISBLANK(M677)), M677, L677), N677, Holiday_Dates)
                - IF(IF(NOT(ISBLANK(M677)), M677, L677) = N677, 0, 1)
            )
        )
    ),
    ""
)</f>
        <v/>
      </c>
      <c r="S677" s="385" t="str">
        <f>IFERROR(
    IF(
        OR(ISBLANK(N677), ISBLANK(O677)),
        "",
        MAX(
            1,
            IF(
                NETWORKDAYS(N677, O677, Holiday_Dates) &lt;= 0,
                1,
                NETWORKDAYS(N677, O677, Holiday_Dates) - IF(N677 = O677, 0, 1)
            )
        )
    ),
    ""
)</f>
        <v/>
      </c>
      <c r="T677" s="385"/>
      <c r="U677" s="385" t="s">
        <v>672</v>
      </c>
      <c r="V677" s="385"/>
      <c r="W677" s="385" t="s">
        <v>1436</v>
      </c>
      <c r="X677" s="1"/>
    </row>
    <row r="678" spans="1:24">
      <c r="A678" s="385" t="s">
        <v>49</v>
      </c>
      <c r="B678" s="385" t="s">
        <v>497</v>
      </c>
      <c r="C678" s="385" t="s">
        <v>676</v>
      </c>
      <c r="D678" s="385" t="s">
        <v>88</v>
      </c>
      <c r="E678" s="385"/>
      <c r="F678" s="385"/>
      <c r="G678" s="385"/>
      <c r="H678" s="385">
        <v>2025</v>
      </c>
      <c r="I678" s="386">
        <v>45695</v>
      </c>
      <c r="J678" s="30" t="s">
        <v>4909</v>
      </c>
      <c r="K678" s="385"/>
      <c r="L678" s="385"/>
      <c r="M678" s="385"/>
      <c r="N678" s="385"/>
      <c r="O678" s="385"/>
      <c r="P678" s="385" t="str">
        <f>IFERROR(
    IF(
        OR(ISBLANK(I678), ISBLANK(L678)),
        "",
        MAX(
            1,
            IF(
                NETWORKDAYS(I678, L678, Holiday_Dates) &lt;= 0,
                1,
                NETWORKDAYS(I678, L678, Holiday_Dates) - IF(I678 = L678, 0, 1)
            )
        )
    ),
    ""
)</f>
        <v/>
      </c>
      <c r="Q678" s="385" t="str">
        <f>IF(
    OR(ISBLANK(L678), ISBLANK(M678)),
    "",
    MAX(
        1,
        IF(
            NETWORKDAYS(L678, M678, Holiday_Dates) &lt;= 0,
            1,
            NETWORKDAYS(L678, M678, Holiday_Dates) - IF(L678 = M678, 0, 1)
        )
    )
)</f>
        <v/>
      </c>
      <c r="R678" s="385" t="str">
        <f>IFERROR(
    IF(
        OR(ISBLANK(N678), AND(ISBLANK(L678), ISBLANK(M678))),
        "",
        MAX(
            1,
            IF(
                NETWORKDAYS(IF(NOT(ISBLANK(M678)), M678, L678), N678, Holiday_Dates) &lt;= 0,
                1,
                NETWORKDAYS(IF(NOT(ISBLANK(M678)), M678, L678), N678, Holiday_Dates)
                - IF(IF(NOT(ISBLANK(M678)), M678, L678) = N678, 0, 1)
            )
        )
    ),
    ""
)</f>
        <v/>
      </c>
      <c r="S678" s="385" t="str">
        <f>IFERROR(
    IF(
        OR(ISBLANK(N678), ISBLANK(O678)),
        "",
        MAX(
            1,
            IF(
                NETWORKDAYS(N678, O678, Holiday_Dates) &lt;= 0,
                1,
                NETWORKDAYS(N678, O678, Holiday_Dates) - IF(N678 = O678, 0, 1)
            )
        )
    ),
    ""
)</f>
        <v/>
      </c>
      <c r="T678" s="385"/>
      <c r="U678" s="385" t="s">
        <v>4</v>
      </c>
      <c r="V678" s="385" t="s">
        <v>101</v>
      </c>
      <c r="W678" s="385" t="s">
        <v>1436</v>
      </c>
      <c r="X678" s="1"/>
    </row>
    <row r="679" spans="1:24">
      <c r="A679" s="385" t="s">
        <v>49</v>
      </c>
      <c r="B679" s="385" t="s">
        <v>342</v>
      </c>
      <c r="C679" s="385" t="s">
        <v>1068</v>
      </c>
      <c r="D679" s="385" t="s">
        <v>88</v>
      </c>
      <c r="E679" s="385"/>
      <c r="F679" s="385"/>
      <c r="G679" s="385"/>
      <c r="H679" s="385">
        <v>2024</v>
      </c>
      <c r="I679" s="386">
        <v>45449</v>
      </c>
      <c r="J679" s="30"/>
      <c r="K679" s="385"/>
      <c r="L679" s="385"/>
      <c r="M679" s="385"/>
      <c r="N679" s="385"/>
      <c r="O679" s="385"/>
      <c r="P679" s="385" t="str">
        <f>IFERROR(
    IF(
        OR(ISBLANK(I679), ISBLANK(L679)),
        "",
        MAX(
            1,
            IF(
                NETWORKDAYS(I679, L679, Holiday_Dates) &lt;= 0,
                1,
                NETWORKDAYS(I679, L679, Holiday_Dates) - IF(I679 = L679, 0, 1)
            )
        )
    ),
    ""
)</f>
        <v/>
      </c>
      <c r="Q679" s="385" t="str">
        <f>IF(
    OR(ISBLANK(L679), ISBLANK(M679)),
    "",
    MAX(
        1,
        IF(
            NETWORKDAYS(L679, M679, Holiday_Dates) &lt;= 0,
            1,
            NETWORKDAYS(L679, M679, Holiday_Dates) - IF(L679 = M679, 0, 1)
        )
    )
)</f>
        <v/>
      </c>
      <c r="R679" s="385" t="str">
        <f>IFERROR(
    IF(
        OR(ISBLANK(N679), AND(ISBLANK(L679), ISBLANK(M679))),
        "",
        MAX(
            1,
            IF(
                NETWORKDAYS(IF(NOT(ISBLANK(M679)), M679, L679), N679, Holiday_Dates) &lt;= 0,
                1,
                NETWORKDAYS(IF(NOT(ISBLANK(M679)), M679, L679), N679, Holiday_Dates)
                - IF(IF(NOT(ISBLANK(M679)), M679, L679) = N679, 0, 1)
            )
        )
    ),
    ""
)</f>
        <v/>
      </c>
      <c r="S679" s="385" t="str">
        <f>IFERROR(
    IF(
        OR(ISBLANK(N679), ISBLANK(O679)),
        "",
        MAX(
            1,
            IF(
                NETWORKDAYS(N679, O679, Holiday_Dates) &lt;= 0,
                1,
                NETWORKDAYS(N679, O679, Holiday_Dates) - IF(N679 = O679, 0, 1)
            )
        )
    ),
    ""
)</f>
        <v/>
      </c>
      <c r="T679" s="385"/>
      <c r="U679" s="385" t="s">
        <v>672</v>
      </c>
      <c r="V679" s="385"/>
      <c r="W679" s="385" t="s">
        <v>1436</v>
      </c>
      <c r="X679" s="1"/>
    </row>
    <row r="680" spans="1:24">
      <c r="A680" s="385" t="s">
        <v>49</v>
      </c>
      <c r="B680" s="385" t="s">
        <v>342</v>
      </c>
      <c r="C680" s="385" t="s">
        <v>2335</v>
      </c>
      <c r="D680" s="385" t="s">
        <v>88</v>
      </c>
      <c r="E680" s="385"/>
      <c r="F680" s="385"/>
      <c r="G680" s="385"/>
      <c r="H680" s="385">
        <v>2024</v>
      </c>
      <c r="I680" s="386">
        <v>45456</v>
      </c>
      <c r="J680" s="30"/>
      <c r="K680" s="385"/>
      <c r="L680" s="385"/>
      <c r="M680" s="385"/>
      <c r="N680" s="385"/>
      <c r="O680" s="385"/>
      <c r="P680" s="385" t="str">
        <f>IFERROR(
    IF(
        OR(ISBLANK(I680), ISBLANK(L680)),
        "",
        MAX(
            1,
            IF(
                NETWORKDAYS(I680, L680, Holiday_Dates) &lt;= 0,
                1,
                NETWORKDAYS(I680, L680, Holiday_Dates) - IF(I680 = L680, 0, 1)
            )
        )
    ),
    ""
)</f>
        <v/>
      </c>
      <c r="Q680" s="385" t="str">
        <f>IF(
    OR(ISBLANK(L680), ISBLANK(M680)),
    "",
    MAX(
        1,
        IF(
            NETWORKDAYS(L680, M680, Holiday_Dates) &lt;= 0,
            1,
            NETWORKDAYS(L680, M680, Holiday_Dates) - IF(L680 = M680, 0, 1)
        )
    )
)</f>
        <v/>
      </c>
      <c r="R680" s="385" t="str">
        <f>IFERROR(
    IF(
        OR(ISBLANK(N680), AND(ISBLANK(L680), ISBLANK(M680))),
        "",
        MAX(
            1,
            IF(
                NETWORKDAYS(IF(NOT(ISBLANK(M680)), M680, L680), N680, Holiday_Dates) &lt;= 0,
                1,
                NETWORKDAYS(IF(NOT(ISBLANK(M680)), M680, L680), N680, Holiday_Dates)
                - IF(IF(NOT(ISBLANK(M680)), M680, L680) = N680, 0, 1)
            )
        )
    ),
    ""
)</f>
        <v/>
      </c>
      <c r="S680" s="385" t="str">
        <f>IFERROR(
    IF(
        OR(ISBLANK(N680), ISBLANK(O680)),
        "",
        MAX(
            1,
            IF(
                NETWORKDAYS(N680, O680, Holiday_Dates) &lt;= 0,
                1,
                NETWORKDAYS(N680, O680, Holiday_Dates) - IF(N680 = O680, 0, 1)
            )
        )
    ),
    ""
)</f>
        <v/>
      </c>
      <c r="T680" s="385"/>
      <c r="U680" s="385" t="s">
        <v>672</v>
      </c>
      <c r="V680" s="385"/>
      <c r="W680" s="385" t="s">
        <v>1436</v>
      </c>
      <c r="X680" s="1"/>
    </row>
    <row r="681" spans="1:24">
      <c r="A681" s="385" t="s">
        <v>49</v>
      </c>
      <c r="B681" s="385" t="s">
        <v>342</v>
      </c>
      <c r="C681" s="385" t="s">
        <v>422</v>
      </c>
      <c r="D681" s="385" t="s">
        <v>88</v>
      </c>
      <c r="E681" s="385"/>
      <c r="F681" s="385"/>
      <c r="G681" s="385"/>
      <c r="H681" s="385">
        <v>2024</v>
      </c>
      <c r="I681" s="386">
        <v>45539</v>
      </c>
      <c r="J681" s="30"/>
      <c r="K681" s="385"/>
      <c r="L681" s="385"/>
      <c r="M681" s="385"/>
      <c r="N681" s="385"/>
      <c r="O681" s="385"/>
      <c r="P681" s="385" t="str">
        <f>IFERROR(
    IF(
        OR(ISBLANK(I681), ISBLANK(L681)),
        "",
        MAX(
            1,
            IF(
                NETWORKDAYS(I681, L681, Holiday_Dates) &lt;= 0,
                1,
                NETWORKDAYS(I681, L681, Holiday_Dates) - IF(I681 = L681, 0, 1)
            )
        )
    ),
    ""
)</f>
        <v/>
      </c>
      <c r="Q681" s="385" t="str">
        <f>IF(
    OR(ISBLANK(L681), ISBLANK(M681)),
    "",
    MAX(
        1,
        IF(
            NETWORKDAYS(L681, M681, Holiday_Dates) &lt;= 0,
            1,
            NETWORKDAYS(L681, M681, Holiday_Dates) - IF(L681 = M681, 0, 1)
        )
    )
)</f>
        <v/>
      </c>
      <c r="R681" s="385" t="str">
        <f>IFERROR(
    IF(
        OR(ISBLANK(N681), AND(ISBLANK(L681), ISBLANK(M681))),
        "",
        MAX(
            1,
            IF(
                NETWORKDAYS(IF(NOT(ISBLANK(M681)), M681, L681), N681, Holiday_Dates) &lt;= 0,
                1,
                NETWORKDAYS(IF(NOT(ISBLANK(M681)), M681, L681), N681, Holiday_Dates)
                - IF(IF(NOT(ISBLANK(M681)), M681, L681) = N681, 0, 1)
            )
        )
    ),
    ""
)</f>
        <v/>
      </c>
      <c r="S681" s="385" t="str">
        <f>IFERROR(
    IF(
        OR(ISBLANK(N681), ISBLANK(O681)),
        "",
        MAX(
            1,
            IF(
                NETWORKDAYS(N681, O681, Holiday_Dates) &lt;= 0,
                1,
                NETWORKDAYS(N681, O681, Holiday_Dates) - IF(N681 = O681, 0, 1)
            )
        )
    ),
    ""
)</f>
        <v/>
      </c>
      <c r="T681" s="385"/>
      <c r="U681" s="385" t="s">
        <v>4</v>
      </c>
      <c r="V681" s="385" t="s">
        <v>101</v>
      </c>
      <c r="W681" s="385" t="s">
        <v>1436</v>
      </c>
      <c r="X681" s="1"/>
    </row>
    <row r="682" spans="1:24">
      <c r="A682" s="385" t="s">
        <v>49</v>
      </c>
      <c r="B682" s="385" t="s">
        <v>342</v>
      </c>
      <c r="C682" s="385" t="s">
        <v>2350</v>
      </c>
      <c r="D682" s="385" t="s">
        <v>88</v>
      </c>
      <c r="E682" s="385"/>
      <c r="F682" s="385"/>
      <c r="G682" s="385"/>
      <c r="H682" s="385">
        <v>2024</v>
      </c>
      <c r="I682" s="386">
        <v>45539</v>
      </c>
      <c r="J682" s="30"/>
      <c r="K682" s="385"/>
      <c r="L682" s="385"/>
      <c r="M682" s="385"/>
      <c r="N682" s="385"/>
      <c r="O682" s="385"/>
      <c r="P682" s="385" t="str">
        <f>IFERROR(
    IF(
        OR(ISBLANK(I682), ISBLANK(L682)),
        "",
        MAX(
            1,
            IF(
                NETWORKDAYS(I682, L682, Holiday_Dates) &lt;= 0,
                1,
                NETWORKDAYS(I682, L682, Holiday_Dates) - IF(I682 = L682, 0, 1)
            )
        )
    ),
    ""
)</f>
        <v/>
      </c>
      <c r="Q682" s="385" t="str">
        <f>IF(
    OR(ISBLANK(L682), ISBLANK(M682)),
    "",
    MAX(
        1,
        IF(
            NETWORKDAYS(L682, M682, Holiday_Dates) &lt;= 0,
            1,
            NETWORKDAYS(L682, M682, Holiday_Dates) - IF(L682 = M682, 0, 1)
        )
    )
)</f>
        <v/>
      </c>
      <c r="R682" s="385" t="str">
        <f>IFERROR(
    IF(
        OR(ISBLANK(N682), AND(ISBLANK(L682), ISBLANK(M682))),
        "",
        MAX(
            1,
            IF(
                NETWORKDAYS(IF(NOT(ISBLANK(M682)), M682, L682), N682, Holiday_Dates) &lt;= 0,
                1,
                NETWORKDAYS(IF(NOT(ISBLANK(M682)), M682, L682), N682, Holiday_Dates)
                - IF(IF(NOT(ISBLANK(M682)), M682, L682) = N682, 0, 1)
            )
        )
    ),
    ""
)</f>
        <v/>
      </c>
      <c r="S682" s="385" t="str">
        <f>IFERROR(
    IF(
        OR(ISBLANK(N682), ISBLANK(O682)),
        "",
        MAX(
            1,
            IF(
                NETWORKDAYS(N682, O682, Holiday_Dates) &lt;= 0,
                1,
                NETWORKDAYS(N682, O682, Holiday_Dates) - IF(N682 = O682, 0, 1)
            )
        )
    ),
    ""
)</f>
        <v/>
      </c>
      <c r="T682" s="385"/>
      <c r="U682" s="385" t="s">
        <v>4</v>
      </c>
      <c r="V682" s="385" t="s">
        <v>101</v>
      </c>
      <c r="W682" s="385" t="s">
        <v>1436</v>
      </c>
      <c r="X682" s="1"/>
    </row>
    <row r="683" spans="1:24">
      <c r="A683" s="385" t="s">
        <v>49</v>
      </c>
      <c r="B683" s="385" t="s">
        <v>342</v>
      </c>
      <c r="C683" s="385" t="s">
        <v>2338</v>
      </c>
      <c r="D683" s="385" t="s">
        <v>88</v>
      </c>
      <c r="E683" s="385"/>
      <c r="F683" s="385"/>
      <c r="G683" s="385"/>
      <c r="H683" s="385">
        <v>2025</v>
      </c>
      <c r="I683" s="386">
        <v>45854</v>
      </c>
      <c r="J683" s="30" t="s">
        <v>4910</v>
      </c>
      <c r="K683" s="385"/>
      <c r="L683" s="385"/>
      <c r="M683" s="385"/>
      <c r="N683" s="385"/>
      <c r="O683" s="385"/>
      <c r="P683" s="385" t="str">
        <f>IFERROR(
    IF(
        OR(ISBLANK(I683), ISBLANK(L683)),
        "",
        MAX(
            1,
            IF(
                NETWORKDAYS(I683, L683, Holiday_Dates) &lt;= 0,
                1,
                NETWORKDAYS(I683, L683, Holiday_Dates) - IF(I683 = L683, 0, 1)
            )
        )
    ),
    ""
)</f>
        <v/>
      </c>
      <c r="Q683" s="385" t="str">
        <f>IF(
    OR(ISBLANK(L683), ISBLANK(M683)),
    "",
    MAX(
        1,
        IF(
            NETWORKDAYS(L683, M683, Holiday_Dates) &lt;= 0,
            1,
            NETWORKDAYS(L683, M683, Holiday_Dates) - IF(L683 = M683, 0, 1)
        )
    )
)</f>
        <v/>
      </c>
      <c r="R683" s="385" t="str">
        <f>IFERROR(
    IF(
        OR(ISBLANK(N683), AND(ISBLANK(L683), ISBLANK(M683))),
        "",
        MAX(
            1,
            IF(
                NETWORKDAYS(IF(NOT(ISBLANK(M683)), M683, L683), N683, Holiday_Dates) &lt;= 0,
                1,
                NETWORKDAYS(IF(NOT(ISBLANK(M683)), M683, L683), N683, Holiday_Dates)
                - IF(IF(NOT(ISBLANK(M683)), M683, L683) = N683, 0, 1)
            )
        )
    ),
    ""
)</f>
        <v/>
      </c>
      <c r="S683" s="385" t="str">
        <f>IFERROR(
    IF(
        OR(ISBLANK(N683), ISBLANK(O683)),
        "",
        MAX(
            1,
            IF(
                NETWORKDAYS(N683, O683, Holiday_Dates) &lt;= 0,
                1,
                NETWORKDAYS(N683, O683, Holiday_Dates) - IF(N683 = O683, 0, 1)
            )
        )
    ),
    ""
)</f>
        <v/>
      </c>
      <c r="T683" s="385"/>
      <c r="U683" s="385" t="s">
        <v>4</v>
      </c>
      <c r="V683" s="385" t="s">
        <v>101</v>
      </c>
      <c r="W683" s="385" t="s">
        <v>1436</v>
      </c>
      <c r="X683" s="1"/>
    </row>
    <row r="684" spans="1:24">
      <c r="A684" s="385" t="s">
        <v>49</v>
      </c>
      <c r="B684" s="385" t="s">
        <v>342</v>
      </c>
      <c r="C684" s="385" t="s">
        <v>2339</v>
      </c>
      <c r="D684" s="385" t="s">
        <v>88</v>
      </c>
      <c r="E684" s="385"/>
      <c r="F684" s="385"/>
      <c r="G684" s="385"/>
      <c r="H684" s="385">
        <v>2025</v>
      </c>
      <c r="I684" s="386">
        <v>45854</v>
      </c>
      <c r="J684" s="30" t="s">
        <v>4911</v>
      </c>
      <c r="K684" s="385"/>
      <c r="L684" s="385"/>
      <c r="M684" s="385"/>
      <c r="N684" s="385"/>
      <c r="O684" s="385"/>
      <c r="P684" s="385" t="str">
        <f>IFERROR(
    IF(
        OR(ISBLANK(I684), ISBLANK(L684)),
        "",
        MAX(
            1,
            IF(
                NETWORKDAYS(I684, L684, Holiday_Dates) &lt;= 0,
                1,
                NETWORKDAYS(I684, L684, Holiday_Dates) - IF(I684 = L684, 0, 1)
            )
        )
    ),
    ""
)</f>
        <v/>
      </c>
      <c r="Q684" s="385" t="str">
        <f>IF(
    OR(ISBLANK(L684), ISBLANK(M684)),
    "",
    MAX(
        1,
        IF(
            NETWORKDAYS(L684, M684, Holiday_Dates) &lt;= 0,
            1,
            NETWORKDAYS(L684, M684, Holiday_Dates) - IF(L684 = M684, 0, 1)
        )
    )
)</f>
        <v/>
      </c>
      <c r="R684" s="385" t="str">
        <f>IFERROR(
    IF(
        OR(ISBLANK(N684), AND(ISBLANK(L684), ISBLANK(M684))),
        "",
        MAX(
            1,
            IF(
                NETWORKDAYS(IF(NOT(ISBLANK(M684)), M684, L684), N684, Holiday_Dates) &lt;= 0,
                1,
                NETWORKDAYS(IF(NOT(ISBLANK(M684)), M684, L684), N684, Holiday_Dates)
                - IF(IF(NOT(ISBLANK(M684)), M684, L684) = N684, 0, 1)
            )
        )
    ),
    ""
)</f>
        <v/>
      </c>
      <c r="S684" s="385" t="str">
        <f>IFERROR(
    IF(
        OR(ISBLANK(N684), ISBLANK(O684)),
        "",
        MAX(
            1,
            IF(
                NETWORKDAYS(N684, O684, Holiday_Dates) &lt;= 0,
                1,
                NETWORKDAYS(N684, O684, Holiday_Dates) - IF(N684 = O684, 0, 1)
            )
        )
    ),
    ""
)</f>
        <v/>
      </c>
      <c r="T684" s="385"/>
      <c r="U684" s="385" t="s">
        <v>4</v>
      </c>
      <c r="V684" s="385" t="s">
        <v>101</v>
      </c>
      <c r="W684" s="385" t="s">
        <v>1436</v>
      </c>
      <c r="X684" s="1"/>
    </row>
    <row r="685" spans="1:24">
      <c r="A685" s="385" t="s">
        <v>65</v>
      </c>
      <c r="B685" s="385" t="s">
        <v>518</v>
      </c>
      <c r="C685" s="385" t="s">
        <v>3230</v>
      </c>
      <c r="D685" s="385" t="s">
        <v>88</v>
      </c>
      <c r="E685" s="385" t="s">
        <v>26</v>
      </c>
      <c r="F685" s="385"/>
      <c r="G685" s="385" t="s">
        <v>130</v>
      </c>
      <c r="H685" s="385">
        <v>2026</v>
      </c>
      <c r="I685" s="386">
        <v>46065</v>
      </c>
      <c r="J685" s="30" t="s">
        <v>4912</v>
      </c>
      <c r="K685" s="385" t="s">
        <v>62</v>
      </c>
      <c r="L685" s="386">
        <v>46072</v>
      </c>
      <c r="M685" s="385"/>
      <c r="N685" s="386">
        <v>46073</v>
      </c>
      <c r="O685" s="386">
        <v>46076</v>
      </c>
      <c r="P685" s="385">
        <f>IFERROR(
    IF(
        OR(ISBLANK(I685), ISBLANK(L685)),
        "",
        MAX(
            1,
            IF(
                NETWORKDAYS(I685, L685, Holiday_Dates) &lt;= 0,
                1,
                NETWORKDAYS(I685, L685, Holiday_Dates) - IF(I685 = L685, 0, 1)
            )
        )
    ),
    ""
)</f>
        <v>5</v>
      </c>
      <c r="Q685" s="385" t="str">
        <f>IF(
    OR(ISBLANK(L685), ISBLANK(M685)),
    "",
    MAX(
        1,
        IF(
            NETWORKDAYS(L685, M685, Holiday_Dates) &lt;= 0,
            1,
            NETWORKDAYS(L685, M685, Holiday_Dates) - IF(L685 = M685, 0, 1)
        )
    )
)</f>
        <v/>
      </c>
      <c r="R685" s="385">
        <f>IFERROR(
    IF(
        OR(ISBLANK(N685), AND(ISBLANK(L685), ISBLANK(M685))),
        "",
        MAX(
            1,
            IF(
                NETWORKDAYS(IF(NOT(ISBLANK(M685)), M685, L685), N685, Holiday_Dates) &lt;= 0,
                1,
                NETWORKDAYS(IF(NOT(ISBLANK(M685)), M685, L685), N685, Holiday_Dates)
                - IF(IF(NOT(ISBLANK(M685)), M685, L685) = N685, 0, 1)
            )
        )
    ),
    ""
)</f>
        <v>1</v>
      </c>
      <c r="S685" s="385">
        <f>IFERROR(
    IF(
        OR(ISBLANK(N685), ISBLANK(O685)),
        "",
        MAX(
            1,
            IF(
                NETWORKDAYS(N685, O685, Holiday_Dates) &lt;= 0,
                1,
                NETWORKDAYS(N685, O685, Holiday_Dates) - IF(N685 = O685, 0, 1)
            )
        )
    ),
    ""
)</f>
        <v>1</v>
      </c>
      <c r="T685" s="385" t="s">
        <v>929</v>
      </c>
      <c r="U685" s="385" t="s">
        <v>4</v>
      </c>
      <c r="V685" s="385" t="s">
        <v>101</v>
      </c>
      <c r="W685" s="385" t="s">
        <v>4710</v>
      </c>
      <c r="X685" s="1"/>
    </row>
    <row r="686" spans="1:24">
      <c r="A686" s="385" t="s">
        <v>49</v>
      </c>
      <c r="B686" s="385" t="s">
        <v>342</v>
      </c>
      <c r="C686" s="385" t="s">
        <v>2341</v>
      </c>
      <c r="D686" s="385" t="s">
        <v>88</v>
      </c>
      <c r="E686" s="385"/>
      <c r="F686" s="385"/>
      <c r="G686" s="385"/>
      <c r="H686" s="385">
        <v>2025</v>
      </c>
      <c r="I686" s="386">
        <v>45729</v>
      </c>
      <c r="J686" s="30" t="s">
        <v>4913</v>
      </c>
      <c r="K686" s="385"/>
      <c r="L686" s="385"/>
      <c r="M686" s="385"/>
      <c r="N686" s="385"/>
      <c r="O686" s="385"/>
      <c r="P686" s="385" t="str">
        <f>IFERROR(
    IF(
        OR(ISBLANK(I686), ISBLANK(L686)),
        "",
        MAX(
            1,
            IF(
                NETWORKDAYS(I686, L686, Holiday_Dates) &lt;= 0,
                1,
                NETWORKDAYS(I686, L686, Holiday_Dates) - IF(I686 = L686, 0, 1)
            )
        )
    ),
    ""
)</f>
        <v/>
      </c>
      <c r="Q686" s="385" t="str">
        <f>IF(
    OR(ISBLANK(L686), ISBLANK(M686)),
    "",
    MAX(
        1,
        IF(
            NETWORKDAYS(L686, M686, Holiday_Dates) &lt;= 0,
            1,
            NETWORKDAYS(L686, M686, Holiday_Dates) - IF(L686 = M686, 0, 1)
        )
    )
)</f>
        <v/>
      </c>
      <c r="R686" s="385" t="str">
        <f>IFERROR(
    IF(
        OR(ISBLANK(N686), AND(ISBLANK(L686), ISBLANK(M686))),
        "",
        MAX(
            1,
            IF(
                NETWORKDAYS(IF(NOT(ISBLANK(M686)), M686, L686), N686, Holiday_Dates) &lt;= 0,
                1,
                NETWORKDAYS(IF(NOT(ISBLANK(M686)), M686, L686), N686, Holiday_Dates)
                - IF(IF(NOT(ISBLANK(M686)), M686, L686) = N686, 0, 1)
            )
        )
    ),
    ""
)</f>
        <v/>
      </c>
      <c r="S686" s="385" t="str">
        <f>IFERROR(
    IF(
        OR(ISBLANK(N686), ISBLANK(O686)),
        "",
        MAX(
            1,
            IF(
                NETWORKDAYS(N686, O686, Holiday_Dates) &lt;= 0,
                1,
                NETWORKDAYS(N686, O686, Holiday_Dates) - IF(N686 = O686, 0, 1)
            )
        )
    ),
    ""
)</f>
        <v/>
      </c>
      <c r="T686" s="385"/>
      <c r="U686" s="385" t="s">
        <v>672</v>
      </c>
      <c r="V686" s="385" t="s">
        <v>101</v>
      </c>
      <c r="W686" s="385" t="s">
        <v>1436</v>
      </c>
      <c r="X686" s="1"/>
    </row>
    <row r="687" spans="1:24">
      <c r="A687" s="385" t="s">
        <v>49</v>
      </c>
      <c r="B687" s="385" t="s">
        <v>342</v>
      </c>
      <c r="C687" s="385" t="s">
        <v>2342</v>
      </c>
      <c r="D687" s="385" t="s">
        <v>88</v>
      </c>
      <c r="E687" s="385"/>
      <c r="F687" s="385"/>
      <c r="G687" s="385"/>
      <c r="H687" s="385">
        <v>2025</v>
      </c>
      <c r="I687" s="386">
        <v>45729</v>
      </c>
      <c r="J687" s="30" t="s">
        <v>4914</v>
      </c>
      <c r="K687" s="385"/>
      <c r="L687" s="385"/>
      <c r="M687" s="385"/>
      <c r="N687" s="385"/>
      <c r="O687" s="385"/>
      <c r="P687" s="385" t="str">
        <f>IFERROR(
    IF(
        OR(ISBLANK(I687), ISBLANK(L687)),
        "",
        MAX(
            1,
            IF(
                NETWORKDAYS(I687, L687, Holiday_Dates) &lt;= 0,
                1,
                NETWORKDAYS(I687, L687, Holiday_Dates) - IF(I687 = L687, 0, 1)
            )
        )
    ),
    ""
)</f>
        <v/>
      </c>
      <c r="Q687" s="385" t="str">
        <f>IF(
    OR(ISBLANK(L687), ISBLANK(M687)),
    "",
    MAX(
        1,
        IF(
            NETWORKDAYS(L687, M687, Holiday_Dates) &lt;= 0,
            1,
            NETWORKDAYS(L687, M687, Holiday_Dates) - IF(L687 = M687, 0, 1)
        )
    )
)</f>
        <v/>
      </c>
      <c r="R687" s="385" t="str">
        <f>IFERROR(
    IF(
        OR(ISBLANK(N687), AND(ISBLANK(L687), ISBLANK(M687))),
        "",
        MAX(
            1,
            IF(
                NETWORKDAYS(IF(NOT(ISBLANK(M687)), M687, L687), N687, Holiday_Dates) &lt;= 0,
                1,
                NETWORKDAYS(IF(NOT(ISBLANK(M687)), M687, L687), N687, Holiday_Dates)
                - IF(IF(NOT(ISBLANK(M687)), M687, L687) = N687, 0, 1)
            )
        )
    ),
    ""
)</f>
        <v/>
      </c>
      <c r="S687" s="385" t="str">
        <f>IFERROR(
    IF(
        OR(ISBLANK(N687), ISBLANK(O687)),
        "",
        MAX(
            1,
            IF(
                NETWORKDAYS(N687, O687, Holiday_Dates) &lt;= 0,
                1,
                NETWORKDAYS(N687, O687, Holiday_Dates) - IF(N687 = O687, 0, 1)
            )
        )
    ),
    ""
)</f>
        <v/>
      </c>
      <c r="T687" s="385"/>
      <c r="U687" s="385" t="s">
        <v>672</v>
      </c>
      <c r="V687" s="385" t="s">
        <v>101</v>
      </c>
      <c r="W687" s="385" t="s">
        <v>1436</v>
      </c>
      <c r="X687" s="1"/>
    </row>
    <row r="688" spans="1:24">
      <c r="A688" s="385" t="s">
        <v>65</v>
      </c>
      <c r="B688" s="385" t="s">
        <v>518</v>
      </c>
      <c r="C688" s="385" t="s">
        <v>3231</v>
      </c>
      <c r="D688" s="385" t="s">
        <v>88</v>
      </c>
      <c r="E688" s="385" t="s">
        <v>26</v>
      </c>
      <c r="F688" s="385"/>
      <c r="G688" s="385" t="s">
        <v>130</v>
      </c>
      <c r="H688" s="385">
        <v>2026</v>
      </c>
      <c r="I688" s="386">
        <v>46065</v>
      </c>
      <c r="J688" s="30" t="s">
        <v>4915</v>
      </c>
      <c r="K688" s="385" t="s">
        <v>62</v>
      </c>
      <c r="L688" s="386">
        <v>46072</v>
      </c>
      <c r="M688" s="385"/>
      <c r="N688" s="386">
        <v>46073</v>
      </c>
      <c r="O688" s="386">
        <v>46076</v>
      </c>
      <c r="P688" s="385">
        <f>IFERROR(
    IF(
        OR(ISBLANK(I688), ISBLANK(L688)),
        "",
        MAX(
            1,
            IF(
                NETWORKDAYS(I688, L688, Holiday_Dates) &lt;= 0,
                1,
                NETWORKDAYS(I688, L688, Holiday_Dates) - IF(I688 = L688, 0, 1)
            )
        )
    ),
    ""
)</f>
        <v>5</v>
      </c>
      <c r="Q688" s="385" t="str">
        <f>IF(
    OR(ISBLANK(L688), ISBLANK(M688)),
    "",
    MAX(
        1,
        IF(
            NETWORKDAYS(L688, M688, Holiday_Dates) &lt;= 0,
            1,
            NETWORKDAYS(L688, M688, Holiday_Dates) - IF(L688 = M688, 0, 1)
        )
    )
)</f>
        <v/>
      </c>
      <c r="R688" s="385">
        <f>IFERROR(
    IF(
        OR(ISBLANK(N688), AND(ISBLANK(L688), ISBLANK(M688))),
        "",
        MAX(
            1,
            IF(
                NETWORKDAYS(IF(NOT(ISBLANK(M688)), M688, L688), N688, Holiday_Dates) &lt;= 0,
                1,
                NETWORKDAYS(IF(NOT(ISBLANK(M688)), M688, L688), N688, Holiday_Dates)
                - IF(IF(NOT(ISBLANK(M688)), M688, L688) = N688, 0, 1)
            )
        )
    ),
    ""
)</f>
        <v>1</v>
      </c>
      <c r="S688" s="385">
        <f>IFERROR(
    IF(
        OR(ISBLANK(N688), ISBLANK(O688)),
        "",
        MAX(
            1,
            IF(
                NETWORKDAYS(N688, O688, Holiday_Dates) &lt;= 0,
                1,
                NETWORKDAYS(N688, O688, Holiday_Dates) - IF(N688 = O688, 0, 1)
            )
        )
    ),
    ""
)</f>
        <v>1</v>
      </c>
      <c r="T688" s="385" t="s">
        <v>929</v>
      </c>
      <c r="U688" s="385" t="s">
        <v>4</v>
      </c>
      <c r="V688" s="385" t="s">
        <v>101</v>
      </c>
      <c r="W688" s="385" t="s">
        <v>4710</v>
      </c>
      <c r="X688" s="1"/>
    </row>
    <row r="689" spans="1:24">
      <c r="A689" s="385" t="s">
        <v>65</v>
      </c>
      <c r="B689" s="385" t="s">
        <v>518</v>
      </c>
      <c r="C689" s="385" t="s">
        <v>2584</v>
      </c>
      <c r="D689" s="385" t="s">
        <v>88</v>
      </c>
      <c r="E689" s="385" t="s">
        <v>26</v>
      </c>
      <c r="F689" s="385"/>
      <c r="G689" s="385" t="s">
        <v>130</v>
      </c>
      <c r="H689" s="385">
        <v>2026</v>
      </c>
      <c r="I689" s="386">
        <v>46065</v>
      </c>
      <c r="J689" s="30" t="s">
        <v>4916</v>
      </c>
      <c r="K689" s="385" t="s">
        <v>62</v>
      </c>
      <c r="L689" s="386">
        <v>46072</v>
      </c>
      <c r="M689" s="385"/>
      <c r="N689" s="386">
        <v>46072</v>
      </c>
      <c r="O689" s="386">
        <v>46072</v>
      </c>
      <c r="P689" s="385">
        <f>IFERROR(
    IF(
        OR(ISBLANK(I689), ISBLANK(L689)),
        "",
        MAX(
            1,
            IF(
                NETWORKDAYS(I689, L689, Holiday_Dates) &lt;= 0,
                1,
                NETWORKDAYS(I689, L689, Holiday_Dates) - IF(I689 = L689, 0, 1)
            )
        )
    ),
    ""
)</f>
        <v>5</v>
      </c>
      <c r="Q689" s="385" t="str">
        <f>IF(
    OR(ISBLANK(L689), ISBLANK(M689)),
    "",
    MAX(
        1,
        IF(
            NETWORKDAYS(L689, M689, Holiday_Dates) &lt;= 0,
            1,
            NETWORKDAYS(L689, M689, Holiday_Dates) - IF(L689 = M689, 0, 1)
        )
    )
)</f>
        <v/>
      </c>
      <c r="R689" s="385">
        <f>IFERROR(
    IF(
        OR(ISBLANK(N689), AND(ISBLANK(L689), ISBLANK(M689))),
        "",
        MAX(
            1,
            IF(
                NETWORKDAYS(IF(NOT(ISBLANK(M689)), M689, L689), N689, Holiday_Dates) &lt;= 0,
                1,
                NETWORKDAYS(IF(NOT(ISBLANK(M689)), M689, L689), N689, Holiday_Dates)
                - IF(IF(NOT(ISBLANK(M689)), M689, L689) = N689, 0, 1)
            )
        )
    ),
    ""
)</f>
        <v>1</v>
      </c>
      <c r="S689" s="385">
        <f>IFERROR(
    IF(
        OR(ISBLANK(N689), ISBLANK(O689)),
        "",
        MAX(
            1,
            IF(
                NETWORKDAYS(N689, O689, Holiday_Dates) &lt;= 0,
                1,
                NETWORKDAYS(N689, O689, Holiday_Dates) - IF(N689 = O689, 0, 1)
            )
        )
    ),
    ""
)</f>
        <v>1</v>
      </c>
      <c r="T689" s="385" t="s">
        <v>929</v>
      </c>
      <c r="U689" s="385" t="s">
        <v>672</v>
      </c>
      <c r="V689" s="385" t="s">
        <v>101</v>
      </c>
      <c r="W689" s="385" t="s">
        <v>4710</v>
      </c>
      <c r="X689" s="1"/>
    </row>
    <row r="690" spans="1:24">
      <c r="A690" s="385" t="s">
        <v>65</v>
      </c>
      <c r="B690" s="385" t="s">
        <v>518</v>
      </c>
      <c r="C690" s="385" t="s">
        <v>3232</v>
      </c>
      <c r="D690" s="385" t="s">
        <v>88</v>
      </c>
      <c r="E690" s="385" t="s">
        <v>26</v>
      </c>
      <c r="F690" s="385"/>
      <c r="G690" s="385" t="s">
        <v>130</v>
      </c>
      <c r="H690" s="385">
        <v>2026</v>
      </c>
      <c r="I690" s="386">
        <v>46064</v>
      </c>
      <c r="J690" s="30" t="s">
        <v>4917</v>
      </c>
      <c r="K690" s="385" t="s">
        <v>62</v>
      </c>
      <c r="L690" s="386">
        <v>46068</v>
      </c>
      <c r="M690" s="385"/>
      <c r="N690" s="386">
        <v>46071</v>
      </c>
      <c r="O690" s="386">
        <v>46071</v>
      </c>
      <c r="P690" s="385">
        <f>IFERROR(
    IF(
        OR(ISBLANK(I690), ISBLANK(L690)),
        "",
        MAX(
            1,
            IF(
                NETWORKDAYS(I690, L690, Holiday_Dates) &lt;= 0,
                1,
                NETWORKDAYS(I690, L690, Holiday_Dates) - IF(I690 = L690, 0, 1)
            )
        )
    ),
    ""
)</f>
        <v>2</v>
      </c>
      <c r="Q690" s="385" t="str">
        <f>IF(
    OR(ISBLANK(L690), ISBLANK(M690)),
    "",
    MAX(
        1,
        IF(
            NETWORKDAYS(L690, M690, Holiday_Dates) &lt;= 0,
            1,
            NETWORKDAYS(L690, M690, Holiday_Dates) - IF(L690 = M690, 0, 1)
        )
    )
)</f>
        <v/>
      </c>
      <c r="R690" s="385">
        <f>IFERROR(
    IF(
        OR(ISBLANK(N690), AND(ISBLANK(L690), ISBLANK(M690))),
        "",
        MAX(
            1,
            IF(
                NETWORKDAYS(IF(NOT(ISBLANK(M690)), M690, L690), N690, Holiday_Dates) &lt;= 0,
                1,
                NETWORKDAYS(IF(NOT(ISBLANK(M690)), M690, L690), N690, Holiday_Dates)
                - IF(IF(NOT(ISBLANK(M690)), M690, L690) = N690, 0, 1)
            )
        )
    ),
    ""
)</f>
        <v>2</v>
      </c>
      <c r="S690" s="385">
        <f>IFERROR(
    IF(
        OR(ISBLANK(N690), ISBLANK(O690)),
        "",
        MAX(
            1,
            IF(
                NETWORKDAYS(N690, O690, Holiday_Dates) &lt;= 0,
                1,
                NETWORKDAYS(N690, O690, Holiday_Dates) - IF(N690 = O690, 0, 1)
            )
        )
    ),
    ""
)</f>
        <v>1</v>
      </c>
      <c r="T690" s="385" t="s">
        <v>929</v>
      </c>
      <c r="U690" s="385" t="s">
        <v>4</v>
      </c>
      <c r="V690" s="385" t="s">
        <v>101</v>
      </c>
      <c r="W690" s="385" t="s">
        <v>4710</v>
      </c>
      <c r="X690" s="1"/>
    </row>
    <row r="691" spans="1:24">
      <c r="A691" s="385" t="s">
        <v>65</v>
      </c>
      <c r="B691" s="385" t="s">
        <v>518</v>
      </c>
      <c r="C691" s="385" t="s">
        <v>3233</v>
      </c>
      <c r="D691" s="385" t="s">
        <v>88</v>
      </c>
      <c r="E691" s="385" t="s">
        <v>26</v>
      </c>
      <c r="F691" s="385"/>
      <c r="G691" s="385" t="s">
        <v>130</v>
      </c>
      <c r="H691" s="385">
        <v>2026</v>
      </c>
      <c r="I691" s="386">
        <v>46065</v>
      </c>
      <c r="J691" s="30" t="s">
        <v>4918</v>
      </c>
      <c r="K691" s="385" t="s">
        <v>62</v>
      </c>
      <c r="L691" s="386">
        <v>46072</v>
      </c>
      <c r="M691" s="385"/>
      <c r="N691" s="386">
        <v>46072</v>
      </c>
      <c r="O691" s="386">
        <v>46072</v>
      </c>
      <c r="P691" s="385">
        <f>IFERROR(
    IF(
        OR(ISBLANK(I691), ISBLANK(L691)),
        "",
        MAX(
            1,
            IF(
                NETWORKDAYS(I691, L691, Holiday_Dates) &lt;= 0,
                1,
                NETWORKDAYS(I691, L691, Holiday_Dates) - IF(I691 = L691, 0, 1)
            )
        )
    ),
    ""
)</f>
        <v>5</v>
      </c>
      <c r="Q691" s="385" t="str">
        <f>IF(
    OR(ISBLANK(L691), ISBLANK(M691)),
    "",
    MAX(
        1,
        IF(
            NETWORKDAYS(L691, M691, Holiday_Dates) &lt;= 0,
            1,
            NETWORKDAYS(L691, M691, Holiday_Dates) - IF(L691 = M691, 0, 1)
        )
    )
)</f>
        <v/>
      </c>
      <c r="R691" s="385">
        <f>IFERROR(
    IF(
        OR(ISBLANK(N691), AND(ISBLANK(L691), ISBLANK(M691))),
        "",
        MAX(
            1,
            IF(
                NETWORKDAYS(IF(NOT(ISBLANK(M691)), M691, L691), N691, Holiday_Dates) &lt;= 0,
                1,
                NETWORKDAYS(IF(NOT(ISBLANK(M691)), M691, L691), N691, Holiday_Dates)
                - IF(IF(NOT(ISBLANK(M691)), M691, L691) = N691, 0, 1)
            )
        )
    ),
    ""
)</f>
        <v>1</v>
      </c>
      <c r="S691" s="385">
        <f>IFERROR(
    IF(
        OR(ISBLANK(N691), ISBLANK(O691)),
        "",
        MAX(
            1,
            IF(
                NETWORKDAYS(N691, O691, Holiday_Dates) &lt;= 0,
                1,
                NETWORKDAYS(N691, O691, Holiday_Dates) - IF(N691 = O691, 0, 1)
            )
        )
    ),
    ""
)</f>
        <v>1</v>
      </c>
      <c r="T691" s="385" t="s">
        <v>929</v>
      </c>
      <c r="U691" s="385" t="s">
        <v>672</v>
      </c>
      <c r="V691" s="385" t="s">
        <v>101</v>
      </c>
      <c r="W691" s="385" t="s">
        <v>4710</v>
      </c>
      <c r="X691" s="1"/>
    </row>
    <row r="692" spans="1:24">
      <c r="A692" s="385" t="s">
        <v>65</v>
      </c>
      <c r="B692" s="385" t="s">
        <v>518</v>
      </c>
      <c r="C692" s="385" t="s">
        <v>1486</v>
      </c>
      <c r="D692" s="385" t="s">
        <v>88</v>
      </c>
      <c r="E692" s="385" t="s">
        <v>26</v>
      </c>
      <c r="F692" s="385"/>
      <c r="G692" s="385" t="s">
        <v>130</v>
      </c>
      <c r="H692" s="385">
        <v>2026</v>
      </c>
      <c r="I692" s="386">
        <v>46064</v>
      </c>
      <c r="J692" s="30" t="s">
        <v>4919</v>
      </c>
      <c r="K692" s="385" t="s">
        <v>62</v>
      </c>
      <c r="L692" s="386">
        <v>46068</v>
      </c>
      <c r="M692" s="385"/>
      <c r="N692" s="386">
        <v>46071</v>
      </c>
      <c r="O692" s="386">
        <v>46071</v>
      </c>
      <c r="P692" s="385">
        <f>IFERROR(
    IF(
        OR(ISBLANK(I692), ISBLANK(L692)),
        "",
        MAX(
            1,
            IF(
                NETWORKDAYS(I692, L692, Holiday_Dates) &lt;= 0,
                1,
                NETWORKDAYS(I692, L692, Holiday_Dates) - IF(I692 = L692, 0, 1)
            )
        )
    ),
    ""
)</f>
        <v>2</v>
      </c>
      <c r="Q692" s="385" t="str">
        <f>IF(
    OR(ISBLANK(L692), ISBLANK(M692)),
    "",
    MAX(
        1,
        IF(
            NETWORKDAYS(L692, M692, Holiday_Dates) &lt;= 0,
            1,
            NETWORKDAYS(L692, M692, Holiday_Dates) - IF(L692 = M692, 0, 1)
        )
    )
)</f>
        <v/>
      </c>
      <c r="R692" s="385">
        <f>IFERROR(
    IF(
        OR(ISBLANK(N692), AND(ISBLANK(L692), ISBLANK(M692))),
        "",
        MAX(
            1,
            IF(
                NETWORKDAYS(IF(NOT(ISBLANK(M692)), M692, L692), N692, Holiday_Dates) &lt;= 0,
                1,
                NETWORKDAYS(IF(NOT(ISBLANK(M692)), M692, L692), N692, Holiday_Dates)
                - IF(IF(NOT(ISBLANK(M692)), M692, L692) = N692, 0, 1)
            )
        )
    ),
    ""
)</f>
        <v>2</v>
      </c>
      <c r="S692" s="385">
        <f>IFERROR(
    IF(
        OR(ISBLANK(N692), ISBLANK(O692)),
        "",
        MAX(
            1,
            IF(
                NETWORKDAYS(N692, O692, Holiday_Dates) &lt;= 0,
                1,
                NETWORKDAYS(N692, O692, Holiday_Dates) - IF(N692 = O692, 0, 1)
            )
        )
    ),
    ""
)</f>
        <v>1</v>
      </c>
      <c r="T692" s="385" t="s">
        <v>929</v>
      </c>
      <c r="U692" s="385" t="s">
        <v>4</v>
      </c>
      <c r="V692" s="385" t="s">
        <v>101</v>
      </c>
      <c r="W692" s="385" t="s">
        <v>4710</v>
      </c>
      <c r="X692" s="1"/>
    </row>
    <row r="693" spans="1:24">
      <c r="A693" s="385" t="s">
        <v>65</v>
      </c>
      <c r="B693" s="385" t="s">
        <v>518</v>
      </c>
      <c r="C693" s="385" t="s">
        <v>3236</v>
      </c>
      <c r="D693" s="385" t="s">
        <v>88</v>
      </c>
      <c r="E693" s="385" t="s">
        <v>26</v>
      </c>
      <c r="F693" s="385"/>
      <c r="G693" s="385" t="s">
        <v>130</v>
      </c>
      <c r="H693" s="385">
        <v>2026</v>
      </c>
      <c r="I693" s="386">
        <v>46064</v>
      </c>
      <c r="J693" s="30" t="s">
        <v>4920</v>
      </c>
      <c r="K693" s="385" t="s">
        <v>62</v>
      </c>
      <c r="L693" s="386">
        <v>46068</v>
      </c>
      <c r="M693" s="385"/>
      <c r="N693" s="386">
        <v>46071</v>
      </c>
      <c r="O693" s="386">
        <v>46071</v>
      </c>
      <c r="P693" s="385">
        <f>IFERROR(
    IF(
        OR(ISBLANK(I693), ISBLANK(L693)),
        "",
        MAX(
            1,
            IF(
                NETWORKDAYS(I693, L693, Holiday_Dates) &lt;= 0,
                1,
                NETWORKDAYS(I693, L693, Holiday_Dates) - IF(I693 = L693, 0, 1)
            )
        )
    ),
    ""
)</f>
        <v>2</v>
      </c>
      <c r="Q693" s="385" t="str">
        <f>IF(
    OR(ISBLANK(L693), ISBLANK(M693)),
    "",
    MAX(
        1,
        IF(
            NETWORKDAYS(L693, M693, Holiday_Dates) &lt;= 0,
            1,
            NETWORKDAYS(L693, M693, Holiday_Dates) - IF(L693 = M693, 0, 1)
        )
    )
)</f>
        <v/>
      </c>
      <c r="R693" s="385">
        <f>IFERROR(
    IF(
        OR(ISBLANK(N693), AND(ISBLANK(L693), ISBLANK(M693))),
        "",
        MAX(
            1,
            IF(
                NETWORKDAYS(IF(NOT(ISBLANK(M693)), M693, L693), N693, Holiday_Dates) &lt;= 0,
                1,
                NETWORKDAYS(IF(NOT(ISBLANK(M693)), M693, L693), N693, Holiday_Dates)
                - IF(IF(NOT(ISBLANK(M693)), M693, L693) = N693, 0, 1)
            )
        )
    ),
    ""
)</f>
        <v>2</v>
      </c>
      <c r="S693" s="385">
        <f>IFERROR(
    IF(
        OR(ISBLANK(N693), ISBLANK(O693)),
        "",
        MAX(
            1,
            IF(
                NETWORKDAYS(N693, O693, Holiday_Dates) &lt;= 0,
                1,
                NETWORKDAYS(N693, O693, Holiday_Dates) - IF(N693 = O693, 0, 1)
            )
        )
    ),
    ""
)</f>
        <v>1</v>
      </c>
      <c r="T693" s="385" t="s">
        <v>929</v>
      </c>
      <c r="U693" s="385" t="s">
        <v>4</v>
      </c>
      <c r="V693" s="385" t="s">
        <v>101</v>
      </c>
      <c r="W693" s="385" t="s">
        <v>4710</v>
      </c>
      <c r="X693" s="1"/>
    </row>
    <row r="694" spans="1:24">
      <c r="A694" s="385" t="s">
        <v>65</v>
      </c>
      <c r="B694" s="385" t="s">
        <v>979</v>
      </c>
      <c r="C694" s="385" t="s">
        <v>3090</v>
      </c>
      <c r="D694" s="385" t="s">
        <v>88</v>
      </c>
      <c r="E694" s="385" t="s">
        <v>30</v>
      </c>
      <c r="F694" s="385"/>
      <c r="G694" s="385" t="s">
        <v>130</v>
      </c>
      <c r="H694" s="385">
        <v>2026</v>
      </c>
      <c r="I694" s="386">
        <v>46049</v>
      </c>
      <c r="J694" s="529" t="s">
        <v>4921</v>
      </c>
      <c r="K694" s="385" t="s">
        <v>62</v>
      </c>
      <c r="L694" s="386">
        <v>46049</v>
      </c>
      <c r="M694" s="385"/>
      <c r="N694" s="386">
        <v>46051</v>
      </c>
      <c r="O694" s="386">
        <v>46055</v>
      </c>
      <c r="P694" s="385">
        <f>IFERROR(
    IF(
        OR(ISBLANK(I694), ISBLANK(L694)),
        "",
        MAX(
            1,
            IF(
                NETWORKDAYS(I694, L694, Holiday_Dates) &lt;= 0,
                1,
                NETWORKDAYS(I694, L694, Holiday_Dates) - IF(I694 = L694, 0, 1)
            )
        )
    ),
    ""
)</f>
        <v>1</v>
      </c>
      <c r="Q694" s="385" t="str">
        <f>IF(
    OR(ISBLANK(L694), ISBLANK(M694)),
    "",
    MAX(
        1,
        IF(
            NETWORKDAYS(L694, M694, Holiday_Dates) &lt;= 0,
            1,
            NETWORKDAYS(L694, M694, Holiday_Dates) - IF(L694 = M694, 0, 1)
        )
    )
)</f>
        <v/>
      </c>
      <c r="R694" s="385">
        <f>IFERROR(
    IF(
        OR(ISBLANK(N694), AND(ISBLANK(L694), ISBLANK(M694))),
        "",
        MAX(
            1,
            IF(
                NETWORKDAYS(IF(NOT(ISBLANK(M694)), M694, L694), N694, Holiday_Dates) &lt;= 0,
                1,
                NETWORKDAYS(IF(NOT(ISBLANK(M694)), M694, L694), N694, Holiday_Dates)
                - IF(IF(NOT(ISBLANK(M694)), M694, L694) = N694, 0, 1)
            )
        )
    ),
    ""
)</f>
        <v>2</v>
      </c>
      <c r="S694" s="385">
        <f>IFERROR(
    IF(
        OR(ISBLANK(N694), ISBLANK(O694)),
        "",
        MAX(
            1,
            IF(
                NETWORKDAYS(N694, O694, Holiday_Dates) &lt;= 0,
                1,
                NETWORKDAYS(N694, O694, Holiday_Dates) - IF(N694 = O694, 0, 1)
            )
        )
    ),
    ""
)</f>
        <v>2</v>
      </c>
      <c r="T694" s="385" t="s">
        <v>929</v>
      </c>
      <c r="U694" s="385" t="s">
        <v>672</v>
      </c>
      <c r="V694" s="385" t="s">
        <v>101</v>
      </c>
      <c r="W694" s="385" t="s">
        <v>4710</v>
      </c>
      <c r="X694" s="1"/>
    </row>
    <row r="695" spans="1:24">
      <c r="A695" s="385" t="s">
        <v>49</v>
      </c>
      <c r="B695" s="385" t="s">
        <v>342</v>
      </c>
      <c r="C695" s="385" t="s">
        <v>881</v>
      </c>
      <c r="D695" s="385" t="s">
        <v>88</v>
      </c>
      <c r="E695" s="385"/>
      <c r="F695" s="385"/>
      <c r="G695" s="385"/>
      <c r="H695" s="385">
        <v>2024</v>
      </c>
      <c r="I695" s="386">
        <v>45483</v>
      </c>
      <c r="J695" s="30"/>
      <c r="K695" s="385"/>
      <c r="L695" s="385"/>
      <c r="M695" s="385"/>
      <c r="N695" s="385"/>
      <c r="O695" s="385"/>
      <c r="P695" s="385" t="str">
        <f>IFERROR(
    IF(
        OR(ISBLANK(I695), ISBLANK(L695)),
        "",
        MAX(
            1,
            IF(
                NETWORKDAYS(I695, L695, Holiday_Dates) &lt;= 0,
                1,
                NETWORKDAYS(I695, L695, Holiday_Dates) - IF(I695 = L695, 0, 1)
            )
        )
    ),
    ""
)</f>
        <v/>
      </c>
      <c r="Q695" s="385" t="str">
        <f>IF(
    OR(ISBLANK(L695), ISBLANK(M695)),
    "",
    MAX(
        1,
        IF(
            NETWORKDAYS(L695, M695, Holiday_Dates) &lt;= 0,
            1,
            NETWORKDAYS(L695, M695, Holiday_Dates) - IF(L695 = M695, 0, 1)
        )
    )
)</f>
        <v/>
      </c>
      <c r="R695" s="385" t="str">
        <f>IFERROR(
    IF(
        OR(ISBLANK(N695), AND(ISBLANK(L695), ISBLANK(M695))),
        "",
        MAX(
            1,
            IF(
                NETWORKDAYS(IF(NOT(ISBLANK(M695)), M695, L695), N695, Holiday_Dates) &lt;= 0,
                1,
                NETWORKDAYS(IF(NOT(ISBLANK(M695)), M695, L695), N695, Holiday_Dates)
                - IF(IF(NOT(ISBLANK(M695)), M695, L695) = N695, 0, 1)
            )
        )
    ),
    ""
)</f>
        <v/>
      </c>
      <c r="S695" s="385" t="str">
        <f>IFERROR(
    IF(
        OR(ISBLANK(N695), ISBLANK(O695)),
        "",
        MAX(
            1,
            IF(
                NETWORKDAYS(N695, O695, Holiday_Dates) &lt;= 0,
                1,
                NETWORKDAYS(N695, O695, Holiday_Dates) - IF(N695 = O695, 0, 1)
            )
        )
    ),
    ""
)</f>
        <v/>
      </c>
      <c r="T695" s="385"/>
      <c r="U695" s="385" t="s">
        <v>4</v>
      </c>
      <c r="V695" s="385" t="s">
        <v>101</v>
      </c>
      <c r="W695" s="385" t="s">
        <v>1436</v>
      </c>
      <c r="X695" s="1"/>
    </row>
    <row r="696" spans="1:24">
      <c r="A696" s="385" t="s">
        <v>65</v>
      </c>
      <c r="B696" s="385" t="s">
        <v>979</v>
      </c>
      <c r="C696" s="385" t="s">
        <v>1340</v>
      </c>
      <c r="D696" s="385" t="s">
        <v>88</v>
      </c>
      <c r="E696" s="385" t="s">
        <v>30</v>
      </c>
      <c r="F696" s="385"/>
      <c r="G696" s="385" t="s">
        <v>130</v>
      </c>
      <c r="H696" s="385">
        <v>2026</v>
      </c>
      <c r="I696" s="386">
        <v>46049</v>
      </c>
      <c r="J696" s="529" t="s">
        <v>4922</v>
      </c>
      <c r="K696" s="385" t="s">
        <v>62</v>
      </c>
      <c r="L696" s="386">
        <v>46049</v>
      </c>
      <c r="M696" s="385"/>
      <c r="N696" s="386">
        <v>46051</v>
      </c>
      <c r="O696" s="386">
        <v>46055</v>
      </c>
      <c r="P696" s="385">
        <f>IFERROR(
    IF(
        OR(ISBLANK(I696), ISBLANK(L696)),
        "",
        MAX(
            1,
            IF(
                NETWORKDAYS(I696, L696, Holiday_Dates) &lt;= 0,
                1,
                NETWORKDAYS(I696, L696, Holiday_Dates) - IF(I696 = L696, 0, 1)
            )
        )
    ),
    ""
)</f>
        <v>1</v>
      </c>
      <c r="Q696" s="385" t="str">
        <f>IF(
    OR(ISBLANK(L696), ISBLANK(M696)),
    "",
    MAX(
        1,
        IF(
            NETWORKDAYS(L696, M696, Holiday_Dates) &lt;= 0,
            1,
            NETWORKDAYS(L696, M696, Holiday_Dates) - IF(L696 = M696, 0, 1)
        )
    )
)</f>
        <v/>
      </c>
      <c r="R696" s="385">
        <f>IFERROR(
    IF(
        OR(ISBLANK(N696), AND(ISBLANK(L696), ISBLANK(M696))),
        "",
        MAX(
            1,
            IF(
                NETWORKDAYS(IF(NOT(ISBLANK(M696)), M696, L696), N696, Holiday_Dates) &lt;= 0,
                1,
                NETWORKDAYS(IF(NOT(ISBLANK(M696)), M696, L696), N696, Holiday_Dates)
                - IF(IF(NOT(ISBLANK(M696)), M696, L696) = N696, 0, 1)
            )
        )
    ),
    ""
)</f>
        <v>2</v>
      </c>
      <c r="S696" s="385">
        <f>IFERROR(
    IF(
        OR(ISBLANK(N696), ISBLANK(O696)),
        "",
        MAX(
            1,
            IF(
                NETWORKDAYS(N696, O696, Holiday_Dates) &lt;= 0,
                1,
                NETWORKDAYS(N696, O696, Holiday_Dates) - IF(N696 = O696, 0, 1)
            )
        )
    ),
    ""
)</f>
        <v>2</v>
      </c>
      <c r="T696" s="385" t="s">
        <v>929</v>
      </c>
      <c r="U696" s="385" t="s">
        <v>672</v>
      </c>
      <c r="V696" s="385" t="s">
        <v>101</v>
      </c>
      <c r="W696" s="385" t="s">
        <v>4710</v>
      </c>
      <c r="X696" s="1"/>
    </row>
    <row r="697" spans="1:24">
      <c r="A697" s="385" t="s">
        <v>65</v>
      </c>
      <c r="B697" s="385" t="s">
        <v>410</v>
      </c>
      <c r="C697" s="385" t="s">
        <v>3250</v>
      </c>
      <c r="D697" s="385" t="s">
        <v>88</v>
      </c>
      <c r="E697" s="385" t="s">
        <v>140</v>
      </c>
      <c r="F697" s="385"/>
      <c r="G697" s="385" t="s">
        <v>130</v>
      </c>
      <c r="H697" s="385">
        <v>2026</v>
      </c>
      <c r="I697" s="386">
        <v>46058</v>
      </c>
      <c r="J697" s="529" t="s">
        <v>4923</v>
      </c>
      <c r="K697" s="385" t="s">
        <v>62</v>
      </c>
      <c r="L697" s="386">
        <v>46058</v>
      </c>
      <c r="M697" s="385"/>
      <c r="N697" s="386">
        <v>46062</v>
      </c>
      <c r="O697" s="386">
        <v>46062</v>
      </c>
      <c r="P697" s="385">
        <f>IFERROR(
    IF(
        OR(ISBLANK(I697), ISBLANK(L697)),
        "",
        MAX(
            1,
            IF(
                NETWORKDAYS(I697, L697, Holiday_Dates) &lt;= 0,
                1,
                NETWORKDAYS(I697, L697, Holiday_Dates) - IF(I697 = L697, 0, 1)
            )
        )
    ),
    ""
)</f>
        <v>1</v>
      </c>
      <c r="Q697" s="385" t="str">
        <f>IF(
    OR(ISBLANK(L697), ISBLANK(M697)),
    "",
    MAX(
        1,
        IF(
            NETWORKDAYS(L697, M697, Holiday_Dates) &lt;= 0,
            1,
            NETWORKDAYS(L697, M697, Holiday_Dates) - IF(L697 = M697, 0, 1)
        )
    )
)</f>
        <v/>
      </c>
      <c r="R697" s="385">
        <f>IFERROR(
    IF(
        OR(ISBLANK(N697), AND(ISBLANK(L697), ISBLANK(M697))),
        "",
        MAX(
            1,
            IF(
                NETWORKDAYS(IF(NOT(ISBLANK(M697)), M697, L697), N697, Holiday_Dates) &lt;= 0,
                1,
                NETWORKDAYS(IF(NOT(ISBLANK(M697)), M697, L697), N697, Holiday_Dates)
                - IF(IF(NOT(ISBLANK(M697)), M697, L697) = N697, 0, 1)
            )
        )
    ),
    ""
)</f>
        <v>2</v>
      </c>
      <c r="S697" s="385">
        <f>IFERROR(
    IF(
        OR(ISBLANK(N697), ISBLANK(O697)),
        "",
        MAX(
            1,
            IF(
                NETWORKDAYS(N697, O697, Holiday_Dates) &lt;= 0,
                1,
                NETWORKDAYS(N697, O697, Holiday_Dates) - IF(N697 = O697, 0, 1)
            )
        )
    ),
    ""
)</f>
        <v>1</v>
      </c>
      <c r="T697" s="385" t="s">
        <v>929</v>
      </c>
      <c r="U697" s="385" t="s">
        <v>672</v>
      </c>
      <c r="V697" s="385" t="s">
        <v>101</v>
      </c>
      <c r="W697" s="385" t="s">
        <v>4710</v>
      </c>
      <c r="X697" s="1"/>
    </row>
    <row r="698" spans="1:24">
      <c r="A698" s="385" t="s">
        <v>65</v>
      </c>
      <c r="B698" s="385" t="s">
        <v>410</v>
      </c>
      <c r="C698" s="385" t="s">
        <v>3251</v>
      </c>
      <c r="D698" s="385" t="s">
        <v>88</v>
      </c>
      <c r="E698" s="385" t="s">
        <v>140</v>
      </c>
      <c r="F698" s="385"/>
      <c r="G698" s="385" t="s">
        <v>130</v>
      </c>
      <c r="H698" s="385">
        <v>2026</v>
      </c>
      <c r="I698" s="386">
        <v>46065</v>
      </c>
      <c r="J698" s="30" t="s">
        <v>4924</v>
      </c>
      <c r="K698" s="385" t="s">
        <v>62</v>
      </c>
      <c r="L698" s="386">
        <v>46065</v>
      </c>
      <c r="M698" s="385"/>
      <c r="N698" s="386">
        <v>46069</v>
      </c>
      <c r="O698" s="386">
        <v>46069</v>
      </c>
      <c r="P698" s="385">
        <f>IFERROR(
    IF(
        OR(ISBLANK(I698), ISBLANK(L698)),
        "",
        MAX(
            1,
            IF(
                NETWORKDAYS(I698, L698, Holiday_Dates) &lt;= 0,
                1,
                NETWORKDAYS(I698, L698, Holiday_Dates) - IF(I698 = L698, 0, 1)
            )
        )
    ),
    ""
)</f>
        <v>1</v>
      </c>
      <c r="Q698" s="385" t="str">
        <f>IF(
    OR(ISBLANK(L698), ISBLANK(M698)),
    "",
    MAX(
        1,
        IF(
            NETWORKDAYS(L698, M698, Holiday_Dates) &lt;= 0,
            1,
            NETWORKDAYS(L698, M698, Holiday_Dates) - IF(L698 = M698, 0, 1)
        )
    )
)</f>
        <v/>
      </c>
      <c r="R698" s="385">
        <f>IFERROR(
    IF(
        OR(ISBLANK(N698), AND(ISBLANK(L698), ISBLANK(M698))),
        "",
        MAX(
            1,
            IF(
                NETWORKDAYS(IF(NOT(ISBLANK(M698)), M698, L698), N698, Holiday_Dates) &lt;= 0,
                1,
                NETWORKDAYS(IF(NOT(ISBLANK(M698)), M698, L698), N698, Holiday_Dates)
                - IF(IF(NOT(ISBLANK(M698)), M698, L698) = N698, 0, 1)
            )
        )
    ),
    ""
)</f>
        <v>2</v>
      </c>
      <c r="S698" s="385">
        <f>IFERROR(
    IF(
        OR(ISBLANK(N698), ISBLANK(O698)),
        "",
        MAX(
            1,
            IF(
                NETWORKDAYS(N698, O698, Holiday_Dates) &lt;= 0,
                1,
                NETWORKDAYS(N698, O698, Holiday_Dates) - IF(N698 = O698, 0, 1)
            )
        )
    ),
    ""
)</f>
        <v>1</v>
      </c>
      <c r="T698" s="385" t="s">
        <v>929</v>
      </c>
      <c r="U698" s="385" t="s">
        <v>672</v>
      </c>
      <c r="V698" s="385" t="s">
        <v>101</v>
      </c>
      <c r="W698" s="385" t="s">
        <v>4710</v>
      </c>
      <c r="X698" s="1"/>
    </row>
    <row r="699" spans="1:24">
      <c r="A699" s="385" t="s">
        <v>65</v>
      </c>
      <c r="B699" s="385" t="s">
        <v>410</v>
      </c>
      <c r="C699" s="385" t="s">
        <v>357</v>
      </c>
      <c r="D699" s="385" t="s">
        <v>88</v>
      </c>
      <c r="E699" s="385" t="s">
        <v>140</v>
      </c>
      <c r="F699" s="385"/>
      <c r="G699" s="385" t="s">
        <v>130</v>
      </c>
      <c r="H699" s="385">
        <v>2026</v>
      </c>
      <c r="I699" s="386">
        <v>46058</v>
      </c>
      <c r="J699" s="529" t="s">
        <v>4925</v>
      </c>
      <c r="K699" s="385" t="s">
        <v>62</v>
      </c>
      <c r="L699" s="386">
        <v>46058</v>
      </c>
      <c r="M699" s="385"/>
      <c r="N699" s="386">
        <v>46062</v>
      </c>
      <c r="O699" s="386">
        <v>46062</v>
      </c>
      <c r="P699" s="385">
        <f>IFERROR(
    IF(
        OR(ISBLANK(I699), ISBLANK(L699)),
        "",
        MAX(
            1,
            IF(
                NETWORKDAYS(I699, L699, Holiday_Dates) &lt;= 0,
                1,
                NETWORKDAYS(I699, L699, Holiday_Dates) - IF(I699 = L699, 0, 1)
            )
        )
    ),
    ""
)</f>
        <v>1</v>
      </c>
      <c r="Q699" s="385" t="str">
        <f>IF(
    OR(ISBLANK(L699), ISBLANK(M699)),
    "",
    MAX(
        1,
        IF(
            NETWORKDAYS(L699, M699, Holiday_Dates) &lt;= 0,
            1,
            NETWORKDAYS(L699, M699, Holiday_Dates) - IF(L699 = M699, 0, 1)
        )
    )
)</f>
        <v/>
      </c>
      <c r="R699" s="385">
        <f>IFERROR(
    IF(
        OR(ISBLANK(N699), AND(ISBLANK(L699), ISBLANK(M699))),
        "",
        MAX(
            1,
            IF(
                NETWORKDAYS(IF(NOT(ISBLANK(M699)), M699, L699), N699, Holiday_Dates) &lt;= 0,
                1,
                NETWORKDAYS(IF(NOT(ISBLANK(M699)), M699, L699), N699, Holiday_Dates)
                - IF(IF(NOT(ISBLANK(M699)), M699, L699) = N699, 0, 1)
            )
        )
    ),
    ""
)</f>
        <v>2</v>
      </c>
      <c r="S699" s="385">
        <f>IFERROR(
    IF(
        OR(ISBLANK(N699), ISBLANK(O699)),
        "",
        MAX(
            1,
            IF(
                NETWORKDAYS(N699, O699, Holiday_Dates) &lt;= 0,
                1,
                NETWORKDAYS(N699, O699, Holiday_Dates) - IF(N699 = O699, 0, 1)
            )
        )
    ),
    ""
)</f>
        <v>1</v>
      </c>
      <c r="T699" s="385" t="s">
        <v>929</v>
      </c>
      <c r="U699" s="385" t="s">
        <v>672</v>
      </c>
      <c r="V699" s="385" t="s">
        <v>101</v>
      </c>
      <c r="W699" s="385" t="s">
        <v>4710</v>
      </c>
      <c r="X699" s="1"/>
    </row>
    <row r="700" spans="1:24">
      <c r="A700" s="385" t="s">
        <v>65</v>
      </c>
      <c r="B700" s="385" t="s">
        <v>410</v>
      </c>
      <c r="C700" s="385" t="s">
        <v>2718</v>
      </c>
      <c r="D700" s="385" t="s">
        <v>88</v>
      </c>
      <c r="E700" s="385" t="s">
        <v>140</v>
      </c>
      <c r="F700" s="385"/>
      <c r="G700" s="385" t="s">
        <v>130</v>
      </c>
      <c r="H700" s="385">
        <v>2026</v>
      </c>
      <c r="I700" s="386">
        <v>46065</v>
      </c>
      <c r="J700" s="30" t="s">
        <v>4926</v>
      </c>
      <c r="K700" s="385" t="s">
        <v>62</v>
      </c>
      <c r="L700" s="386">
        <v>46065</v>
      </c>
      <c r="M700" s="385"/>
      <c r="N700" s="386">
        <v>46069</v>
      </c>
      <c r="O700" s="386">
        <v>46069</v>
      </c>
      <c r="P700" s="385">
        <f>IFERROR(
    IF(
        OR(ISBLANK(I700), ISBLANK(L700)),
        "",
        MAX(
            1,
            IF(
                NETWORKDAYS(I700, L700, Holiday_Dates) &lt;= 0,
                1,
                NETWORKDAYS(I700, L700, Holiday_Dates) - IF(I700 = L700, 0, 1)
            )
        )
    ),
    ""
)</f>
        <v>1</v>
      </c>
      <c r="Q700" s="385" t="str">
        <f>IF(
    OR(ISBLANK(L700), ISBLANK(M700)),
    "",
    MAX(
        1,
        IF(
            NETWORKDAYS(L700, M700, Holiday_Dates) &lt;= 0,
            1,
            NETWORKDAYS(L700, M700, Holiday_Dates) - IF(L700 = M700, 0, 1)
        )
    )
)</f>
        <v/>
      </c>
      <c r="R700" s="385">
        <f>IFERROR(
    IF(
        OR(ISBLANK(N700), AND(ISBLANK(L700), ISBLANK(M700))),
        "",
        MAX(
            1,
            IF(
                NETWORKDAYS(IF(NOT(ISBLANK(M700)), M700, L700), N700, Holiday_Dates) &lt;= 0,
                1,
                NETWORKDAYS(IF(NOT(ISBLANK(M700)), M700, L700), N700, Holiday_Dates)
                - IF(IF(NOT(ISBLANK(M700)), M700, L700) = N700, 0, 1)
            )
        )
    ),
    ""
)</f>
        <v>2</v>
      </c>
      <c r="S700" s="385">
        <f>IFERROR(
    IF(
        OR(ISBLANK(N700), ISBLANK(O700)),
        "",
        MAX(
            1,
            IF(
                NETWORKDAYS(N700, O700, Holiday_Dates) &lt;= 0,
                1,
                NETWORKDAYS(N700, O700, Holiday_Dates) - IF(N700 = O700, 0, 1)
            )
        )
    ),
    ""
)</f>
        <v>1</v>
      </c>
      <c r="T700" s="385" t="s">
        <v>929</v>
      </c>
      <c r="U700" s="385" t="s">
        <v>672</v>
      </c>
      <c r="V700" s="385" t="s">
        <v>101</v>
      </c>
      <c r="W700" s="385" t="s">
        <v>4710</v>
      </c>
      <c r="X700" s="1"/>
    </row>
    <row r="701" spans="1:24">
      <c r="A701" s="385" t="s">
        <v>49</v>
      </c>
      <c r="B701" s="385" t="s">
        <v>342</v>
      </c>
      <c r="C701" s="385" t="s">
        <v>2346</v>
      </c>
      <c r="D701" s="385" t="s">
        <v>88</v>
      </c>
      <c r="E701" s="385"/>
      <c r="F701" s="385"/>
      <c r="G701" s="385"/>
      <c r="H701" s="385">
        <v>2025</v>
      </c>
      <c r="I701" s="386">
        <v>45854</v>
      </c>
      <c r="J701" s="30" t="s">
        <v>4927</v>
      </c>
      <c r="K701" s="385"/>
      <c r="L701" s="385"/>
      <c r="M701" s="385"/>
      <c r="N701" s="385"/>
      <c r="O701" s="385"/>
      <c r="P701" s="385" t="str">
        <f>IFERROR(
    IF(
        OR(ISBLANK(I701), ISBLANK(L701)),
        "",
        MAX(
            1,
            IF(
                NETWORKDAYS(I701, L701, Holiday_Dates) &lt;= 0,
                1,
                NETWORKDAYS(I701, L701, Holiday_Dates) - IF(I701 = L701, 0, 1)
            )
        )
    ),
    ""
)</f>
        <v/>
      </c>
      <c r="Q701" s="385" t="str">
        <f>IF(
    OR(ISBLANK(L701), ISBLANK(M701)),
    "",
    MAX(
        1,
        IF(
            NETWORKDAYS(L701, M701, Holiday_Dates) &lt;= 0,
            1,
            NETWORKDAYS(L701, M701, Holiday_Dates) - IF(L701 = M701, 0, 1)
        )
    )
)</f>
        <v/>
      </c>
      <c r="R701" s="385" t="str">
        <f>IFERROR(
    IF(
        OR(ISBLANK(N701), AND(ISBLANK(L701), ISBLANK(M701))),
        "",
        MAX(
            1,
            IF(
                NETWORKDAYS(IF(NOT(ISBLANK(M701)), M701, L701), N701, Holiday_Dates) &lt;= 0,
                1,
                NETWORKDAYS(IF(NOT(ISBLANK(M701)), M701, L701), N701, Holiday_Dates)
                - IF(IF(NOT(ISBLANK(M701)), M701, L701) = N701, 0, 1)
            )
        )
    ),
    ""
)</f>
        <v/>
      </c>
      <c r="S701" s="385" t="str">
        <f>IFERROR(
    IF(
        OR(ISBLANK(N701), ISBLANK(O701)),
        "",
        MAX(
            1,
            IF(
                NETWORKDAYS(N701, O701, Holiday_Dates) &lt;= 0,
                1,
                NETWORKDAYS(N701, O701, Holiday_Dates) - IF(N701 = O701, 0, 1)
            )
        )
    ),
    ""
)</f>
        <v/>
      </c>
      <c r="T701" s="385"/>
      <c r="U701" s="385" t="s">
        <v>4</v>
      </c>
      <c r="V701" s="385" t="s">
        <v>101</v>
      </c>
      <c r="W701" s="385" t="s">
        <v>1436</v>
      </c>
      <c r="X701" s="1"/>
    </row>
    <row r="702" spans="1:24">
      <c r="A702" s="385" t="s">
        <v>65</v>
      </c>
      <c r="B702" s="385" t="s">
        <v>410</v>
      </c>
      <c r="C702" s="385" t="s">
        <v>539</v>
      </c>
      <c r="D702" s="385" t="s">
        <v>88</v>
      </c>
      <c r="E702" s="385" t="s">
        <v>140</v>
      </c>
      <c r="F702" s="385"/>
      <c r="G702" s="385" t="s">
        <v>130</v>
      </c>
      <c r="H702" s="385">
        <v>2026</v>
      </c>
      <c r="I702" s="386">
        <v>46058</v>
      </c>
      <c r="J702" s="529" t="s">
        <v>4928</v>
      </c>
      <c r="K702" s="385" t="s">
        <v>62</v>
      </c>
      <c r="L702" s="386">
        <v>46058</v>
      </c>
      <c r="M702" s="385"/>
      <c r="N702" s="386">
        <v>46062</v>
      </c>
      <c r="O702" s="386">
        <v>46062</v>
      </c>
      <c r="P702" s="385">
        <f>IFERROR(
    IF(
        OR(ISBLANK(I702), ISBLANK(L702)),
        "",
        MAX(
            1,
            IF(
                NETWORKDAYS(I702, L702, Holiday_Dates) &lt;= 0,
                1,
                NETWORKDAYS(I702, L702, Holiday_Dates) - IF(I702 = L702, 0, 1)
            )
        )
    ),
    ""
)</f>
        <v>1</v>
      </c>
      <c r="Q702" s="385" t="str">
        <f>IF(
    OR(ISBLANK(L702), ISBLANK(M702)),
    "",
    MAX(
        1,
        IF(
            NETWORKDAYS(L702, M702, Holiday_Dates) &lt;= 0,
            1,
            NETWORKDAYS(L702, M702, Holiday_Dates) - IF(L702 = M702, 0, 1)
        )
    )
)</f>
        <v/>
      </c>
      <c r="R702" s="385">
        <f>IFERROR(
    IF(
        OR(ISBLANK(N702), AND(ISBLANK(L702), ISBLANK(M702))),
        "",
        MAX(
            1,
            IF(
                NETWORKDAYS(IF(NOT(ISBLANK(M702)), M702, L702), N702, Holiday_Dates) &lt;= 0,
                1,
                NETWORKDAYS(IF(NOT(ISBLANK(M702)), M702, L702), N702, Holiday_Dates)
                - IF(IF(NOT(ISBLANK(M702)), M702, L702) = N702, 0, 1)
            )
        )
    ),
    ""
)</f>
        <v>2</v>
      </c>
      <c r="S702" s="385">
        <f>IFERROR(
    IF(
        OR(ISBLANK(N702), ISBLANK(O702)),
        "",
        MAX(
            1,
            IF(
                NETWORKDAYS(N702, O702, Holiday_Dates) &lt;= 0,
                1,
                NETWORKDAYS(N702, O702, Holiday_Dates) - IF(N702 = O702, 0, 1)
            )
        )
    ),
    ""
)</f>
        <v>1</v>
      </c>
      <c r="T702" s="385" t="s">
        <v>929</v>
      </c>
      <c r="U702" s="385" t="s">
        <v>672</v>
      </c>
      <c r="V702" s="385" t="s">
        <v>101</v>
      </c>
      <c r="W702" s="385" t="s">
        <v>4710</v>
      </c>
      <c r="X702" s="1"/>
    </row>
    <row r="703" spans="1:24">
      <c r="A703" s="385" t="s">
        <v>65</v>
      </c>
      <c r="B703" s="385" t="s">
        <v>410</v>
      </c>
      <c r="C703" s="385" t="s">
        <v>2236</v>
      </c>
      <c r="D703" s="385" t="s">
        <v>88</v>
      </c>
      <c r="E703" s="385" t="s">
        <v>140</v>
      </c>
      <c r="F703" s="385"/>
      <c r="G703" s="385" t="s">
        <v>130</v>
      </c>
      <c r="H703" s="385">
        <v>2026</v>
      </c>
      <c r="I703" s="386">
        <v>46065</v>
      </c>
      <c r="J703" s="30" t="s">
        <v>4929</v>
      </c>
      <c r="K703" s="385" t="s">
        <v>62</v>
      </c>
      <c r="L703" s="386">
        <v>46065</v>
      </c>
      <c r="M703" s="385"/>
      <c r="N703" s="386">
        <v>46069</v>
      </c>
      <c r="O703" s="386">
        <v>46069</v>
      </c>
      <c r="P703" s="385">
        <f>IFERROR(
    IF(
        OR(ISBLANK(I703), ISBLANK(L703)),
        "",
        MAX(
            1,
            IF(
                NETWORKDAYS(I703, L703, Holiday_Dates) &lt;= 0,
                1,
                NETWORKDAYS(I703, L703, Holiday_Dates) - IF(I703 = L703, 0, 1)
            )
        )
    ),
    ""
)</f>
        <v>1</v>
      </c>
      <c r="Q703" s="385" t="str">
        <f>IF(
    OR(ISBLANK(L703), ISBLANK(M703)),
    "",
    MAX(
        1,
        IF(
            NETWORKDAYS(L703, M703, Holiday_Dates) &lt;= 0,
            1,
            NETWORKDAYS(L703, M703, Holiday_Dates) - IF(L703 = M703, 0, 1)
        )
    )
)</f>
        <v/>
      </c>
      <c r="R703" s="385">
        <f>IFERROR(
    IF(
        OR(ISBLANK(N703), AND(ISBLANK(L703), ISBLANK(M703))),
        "",
        MAX(
            1,
            IF(
                NETWORKDAYS(IF(NOT(ISBLANK(M703)), M703, L703), N703, Holiday_Dates) &lt;= 0,
                1,
                NETWORKDAYS(IF(NOT(ISBLANK(M703)), M703, L703), N703, Holiday_Dates)
                - IF(IF(NOT(ISBLANK(M703)), M703, L703) = N703, 0, 1)
            )
        )
    ),
    ""
)</f>
        <v>2</v>
      </c>
      <c r="S703" s="385">
        <f>IFERROR(
    IF(
        OR(ISBLANK(N703), ISBLANK(O703)),
        "",
        MAX(
            1,
            IF(
                NETWORKDAYS(N703, O703, Holiday_Dates) &lt;= 0,
                1,
                NETWORKDAYS(N703, O703, Holiday_Dates) - IF(N703 = O703, 0, 1)
            )
        )
    ),
    ""
)</f>
        <v>1</v>
      </c>
      <c r="T703" s="385" t="s">
        <v>929</v>
      </c>
      <c r="U703" s="385" t="s">
        <v>672</v>
      </c>
      <c r="V703" s="385" t="s">
        <v>101</v>
      </c>
      <c r="W703" s="385" t="s">
        <v>4710</v>
      </c>
      <c r="X703" s="1"/>
    </row>
    <row r="704" spans="1:24">
      <c r="A704" s="385" t="s">
        <v>65</v>
      </c>
      <c r="B704" s="385" t="s">
        <v>410</v>
      </c>
      <c r="C704" s="385" t="s">
        <v>3255</v>
      </c>
      <c r="D704" s="385" t="s">
        <v>88</v>
      </c>
      <c r="E704" s="385" t="s">
        <v>140</v>
      </c>
      <c r="F704" s="385"/>
      <c r="G704" s="385" t="s">
        <v>130</v>
      </c>
      <c r="H704" s="385">
        <v>2026</v>
      </c>
      <c r="I704" s="386">
        <v>46065</v>
      </c>
      <c r="J704" s="30" t="s">
        <v>4930</v>
      </c>
      <c r="K704" s="385" t="s">
        <v>62</v>
      </c>
      <c r="L704" s="386">
        <v>46065</v>
      </c>
      <c r="M704" s="385"/>
      <c r="N704" s="386">
        <v>46069</v>
      </c>
      <c r="O704" s="386">
        <v>46069</v>
      </c>
      <c r="P704" s="385">
        <f>IFERROR(
    IF(
        OR(ISBLANK(I704), ISBLANK(L704)),
        "",
        MAX(
            1,
            IF(
                NETWORKDAYS(I704, L704, Holiday_Dates) &lt;= 0,
                1,
                NETWORKDAYS(I704, L704, Holiday_Dates) - IF(I704 = L704, 0, 1)
            )
        )
    ),
    ""
)</f>
        <v>1</v>
      </c>
      <c r="Q704" s="385" t="str">
        <f>IF(
    OR(ISBLANK(L704), ISBLANK(M704)),
    "",
    MAX(
        1,
        IF(
            NETWORKDAYS(L704, M704, Holiday_Dates) &lt;= 0,
            1,
            NETWORKDAYS(L704, M704, Holiday_Dates) - IF(L704 = M704, 0, 1)
        )
    )
)</f>
        <v/>
      </c>
      <c r="R704" s="385">
        <f>IFERROR(
    IF(
        OR(ISBLANK(N704), AND(ISBLANK(L704), ISBLANK(M704))),
        "",
        MAX(
            1,
            IF(
                NETWORKDAYS(IF(NOT(ISBLANK(M704)), M704, L704), N704, Holiday_Dates) &lt;= 0,
                1,
                NETWORKDAYS(IF(NOT(ISBLANK(M704)), M704, L704), N704, Holiday_Dates)
                - IF(IF(NOT(ISBLANK(M704)), M704, L704) = N704, 0, 1)
            )
        )
    ),
    ""
)</f>
        <v>2</v>
      </c>
      <c r="S704" s="385">
        <f>IFERROR(
    IF(
        OR(ISBLANK(N704), ISBLANK(O704)),
        "",
        MAX(
            1,
            IF(
                NETWORKDAYS(N704, O704, Holiday_Dates) &lt;= 0,
                1,
                NETWORKDAYS(N704, O704, Holiday_Dates) - IF(N704 = O704, 0, 1)
            )
        )
    ),
    ""
)</f>
        <v>1</v>
      </c>
      <c r="T704" s="385" t="s">
        <v>929</v>
      </c>
      <c r="U704" s="385" t="s">
        <v>672</v>
      </c>
      <c r="V704" s="385" t="s">
        <v>101</v>
      </c>
      <c r="W704" s="385" t="s">
        <v>4710</v>
      </c>
      <c r="X704" s="1"/>
    </row>
    <row r="705" spans="1:24">
      <c r="A705" s="385" t="s">
        <v>49</v>
      </c>
      <c r="B705" s="385" t="s">
        <v>223</v>
      </c>
      <c r="C705" s="385" t="s">
        <v>2403</v>
      </c>
      <c r="D705" s="385" t="s">
        <v>88</v>
      </c>
      <c r="E705" s="385"/>
      <c r="F705" s="385"/>
      <c r="G705" s="385"/>
      <c r="H705" s="385">
        <v>2025</v>
      </c>
      <c r="I705" s="386">
        <v>45757</v>
      </c>
      <c r="J705" s="30" t="s">
        <v>4931</v>
      </c>
      <c r="K705" s="385"/>
      <c r="L705" s="385"/>
      <c r="M705" s="385"/>
      <c r="N705" s="385"/>
      <c r="O705" s="385"/>
      <c r="P705" s="385" t="str">
        <f>IFERROR(
    IF(
        OR(ISBLANK(I705), ISBLANK(L705)),
        "",
        MAX(
            1,
            IF(
                NETWORKDAYS(I705, L705, Holiday_Dates) &lt;= 0,
                1,
                NETWORKDAYS(I705, L705, Holiday_Dates) - IF(I705 = L705, 0, 1)
            )
        )
    ),
    ""
)</f>
        <v/>
      </c>
      <c r="Q705" s="385" t="str">
        <f>IF(
    OR(ISBLANK(L705), ISBLANK(M705)),
    "",
    MAX(
        1,
        IF(
            NETWORKDAYS(L705, M705, Holiday_Dates) &lt;= 0,
            1,
            NETWORKDAYS(L705, M705, Holiday_Dates) - IF(L705 = M705, 0, 1)
        )
    )
)</f>
        <v/>
      </c>
      <c r="R705" s="385" t="str">
        <f>IFERROR(
    IF(
        OR(ISBLANK(N705), AND(ISBLANK(L705), ISBLANK(M705))),
        "",
        MAX(
            1,
            IF(
                NETWORKDAYS(IF(NOT(ISBLANK(M705)), M705, L705), N705, Holiday_Dates) &lt;= 0,
                1,
                NETWORKDAYS(IF(NOT(ISBLANK(M705)), M705, L705), N705, Holiday_Dates)
                - IF(IF(NOT(ISBLANK(M705)), M705, L705) = N705, 0, 1)
            )
        )
    ),
    ""
)</f>
        <v/>
      </c>
      <c r="S705" s="385" t="str">
        <f>IFERROR(
    IF(
        OR(ISBLANK(N705), ISBLANK(O705)),
        "",
        MAX(
            1,
            IF(
                NETWORKDAYS(N705, O705, Holiday_Dates) &lt;= 0,
                1,
                NETWORKDAYS(N705, O705, Holiday_Dates) - IF(N705 = O705, 0, 1)
            )
        )
    ),
    ""
)</f>
        <v/>
      </c>
      <c r="T705" s="385"/>
      <c r="U705" s="385" t="s">
        <v>672</v>
      </c>
      <c r="V705" s="385" t="s">
        <v>101</v>
      </c>
      <c r="W705" s="385" t="s">
        <v>1436</v>
      </c>
      <c r="X705" s="1"/>
    </row>
    <row r="706" spans="1:24">
      <c r="A706" s="385" t="s">
        <v>49</v>
      </c>
      <c r="B706" s="385" t="s">
        <v>223</v>
      </c>
      <c r="C706" s="385" t="s">
        <v>2404</v>
      </c>
      <c r="D706" s="385" t="s">
        <v>88</v>
      </c>
      <c r="E706" s="385"/>
      <c r="F706" s="385"/>
      <c r="G706" s="385"/>
      <c r="H706" s="385">
        <v>2025</v>
      </c>
      <c r="I706" s="386">
        <v>45757</v>
      </c>
      <c r="J706" s="30" t="s">
        <v>4932</v>
      </c>
      <c r="K706" s="385"/>
      <c r="L706" s="385"/>
      <c r="M706" s="385"/>
      <c r="N706" s="385"/>
      <c r="O706" s="385"/>
      <c r="P706" s="385" t="str">
        <f>IFERROR(
    IF(
        OR(ISBLANK(I706), ISBLANK(L706)),
        "",
        MAX(
            1,
            IF(
                NETWORKDAYS(I706, L706, Holiday_Dates) &lt;= 0,
                1,
                NETWORKDAYS(I706, L706, Holiday_Dates) - IF(I706 = L706, 0, 1)
            )
        )
    ),
    ""
)</f>
        <v/>
      </c>
      <c r="Q706" s="385" t="str">
        <f>IF(
    OR(ISBLANK(L706), ISBLANK(M706)),
    "",
    MAX(
        1,
        IF(
            NETWORKDAYS(L706, M706, Holiday_Dates) &lt;= 0,
            1,
            NETWORKDAYS(L706, M706, Holiday_Dates) - IF(L706 = M706, 0, 1)
        )
    )
)</f>
        <v/>
      </c>
      <c r="R706" s="385" t="str">
        <f>IFERROR(
    IF(
        OR(ISBLANK(N706), AND(ISBLANK(L706), ISBLANK(M706))),
        "",
        MAX(
            1,
            IF(
                NETWORKDAYS(IF(NOT(ISBLANK(M706)), M706, L706), N706, Holiday_Dates) &lt;= 0,
                1,
                NETWORKDAYS(IF(NOT(ISBLANK(M706)), M706, L706), N706, Holiday_Dates)
                - IF(IF(NOT(ISBLANK(M706)), M706, L706) = N706, 0, 1)
            )
        )
    ),
    ""
)</f>
        <v/>
      </c>
      <c r="S706" s="385" t="str">
        <f>IFERROR(
    IF(
        OR(ISBLANK(N706), ISBLANK(O706)),
        "",
        MAX(
            1,
            IF(
                NETWORKDAYS(N706, O706, Holiday_Dates) &lt;= 0,
                1,
                NETWORKDAYS(N706, O706, Holiday_Dates) - IF(N706 = O706, 0, 1)
            )
        )
    ),
    ""
)</f>
        <v/>
      </c>
      <c r="T706" s="385"/>
      <c r="U706" s="385" t="s">
        <v>672</v>
      </c>
      <c r="V706" s="385" t="s">
        <v>101</v>
      </c>
      <c r="W706" s="385" t="s">
        <v>1436</v>
      </c>
      <c r="X706" s="1"/>
    </row>
    <row r="707" spans="1:24">
      <c r="A707" s="385" t="s">
        <v>49</v>
      </c>
      <c r="B707" s="385" t="s">
        <v>223</v>
      </c>
      <c r="C707" s="385" t="s">
        <v>1770</v>
      </c>
      <c r="D707" s="385" t="s">
        <v>88</v>
      </c>
      <c r="E707" s="385"/>
      <c r="F707" s="385"/>
      <c r="G707" s="385"/>
      <c r="H707" s="385">
        <v>2025</v>
      </c>
      <c r="I707" s="386">
        <v>45818</v>
      </c>
      <c r="J707" s="30" t="s">
        <v>4933</v>
      </c>
      <c r="K707" s="385"/>
      <c r="L707" s="385"/>
      <c r="M707" s="385"/>
      <c r="N707" s="385"/>
      <c r="O707" s="385"/>
      <c r="P707" s="385" t="str">
        <f>IFERROR(
    IF(
        OR(ISBLANK(I707), ISBLANK(L707)),
        "",
        MAX(
            1,
            IF(
                NETWORKDAYS(I707, L707, Holiday_Dates) &lt;= 0,
                1,
                NETWORKDAYS(I707, L707, Holiday_Dates) - IF(I707 = L707, 0, 1)
            )
        )
    ),
    ""
)</f>
        <v/>
      </c>
      <c r="Q707" s="385" t="str">
        <f>IF(
    OR(ISBLANK(L707), ISBLANK(M707)),
    "",
    MAX(
        1,
        IF(
            NETWORKDAYS(L707, M707, Holiday_Dates) &lt;= 0,
            1,
            NETWORKDAYS(L707, M707, Holiday_Dates) - IF(L707 = M707, 0, 1)
        )
    )
)</f>
        <v/>
      </c>
      <c r="R707" s="385" t="str">
        <f>IFERROR(
    IF(
        OR(ISBLANK(N707), AND(ISBLANK(L707), ISBLANK(M707))),
        "",
        MAX(
            1,
            IF(
                NETWORKDAYS(IF(NOT(ISBLANK(M707)), M707, L707), N707, Holiday_Dates) &lt;= 0,
                1,
                NETWORKDAYS(IF(NOT(ISBLANK(M707)), M707, L707), N707, Holiday_Dates)
                - IF(IF(NOT(ISBLANK(M707)), M707, L707) = N707, 0, 1)
            )
        )
    ),
    ""
)</f>
        <v/>
      </c>
      <c r="S707" s="385" t="str">
        <f>IFERROR(
    IF(
        OR(ISBLANK(N707), ISBLANK(O707)),
        "",
        MAX(
            1,
            IF(
                NETWORKDAYS(N707, O707, Holiday_Dates) &lt;= 0,
                1,
                NETWORKDAYS(N707, O707, Holiday_Dates) - IF(N707 = O707, 0, 1)
            )
        )
    ),
    ""
)</f>
        <v/>
      </c>
      <c r="T707" s="385"/>
      <c r="U707" s="385" t="s">
        <v>672</v>
      </c>
      <c r="V707" s="385" t="s">
        <v>101</v>
      </c>
      <c r="W707" s="385" t="s">
        <v>1436</v>
      </c>
      <c r="X707" s="1"/>
    </row>
    <row r="708" spans="1:24">
      <c r="A708" s="385" t="s">
        <v>49</v>
      </c>
      <c r="B708" s="385" t="s">
        <v>223</v>
      </c>
      <c r="C708" s="385" t="s">
        <v>766</v>
      </c>
      <c r="D708" s="385" t="s">
        <v>88</v>
      </c>
      <c r="E708" s="385"/>
      <c r="F708" s="385"/>
      <c r="G708" s="385"/>
      <c r="H708" s="385">
        <v>2025</v>
      </c>
      <c r="I708" s="386">
        <v>45818</v>
      </c>
      <c r="J708" s="30" t="s">
        <v>4934</v>
      </c>
      <c r="K708" s="385"/>
      <c r="L708" s="385"/>
      <c r="M708" s="385"/>
      <c r="N708" s="385"/>
      <c r="O708" s="385"/>
      <c r="P708" s="385" t="str">
        <f>IFERROR(
    IF(
        OR(ISBLANK(I708), ISBLANK(L708)),
        "",
        MAX(
            1,
            IF(
                NETWORKDAYS(I708, L708, Holiday_Dates) &lt;= 0,
                1,
                NETWORKDAYS(I708, L708, Holiday_Dates) - IF(I708 = L708, 0, 1)
            )
        )
    ),
    ""
)</f>
        <v/>
      </c>
      <c r="Q708" s="385" t="str">
        <f>IF(
    OR(ISBLANK(L708), ISBLANK(M708)),
    "",
    MAX(
        1,
        IF(
            NETWORKDAYS(L708, M708, Holiday_Dates) &lt;= 0,
            1,
            NETWORKDAYS(L708, M708, Holiday_Dates) - IF(L708 = M708, 0, 1)
        )
    )
)</f>
        <v/>
      </c>
      <c r="R708" s="385" t="str">
        <f>IFERROR(
    IF(
        OR(ISBLANK(N708), AND(ISBLANK(L708), ISBLANK(M708))),
        "",
        MAX(
            1,
            IF(
                NETWORKDAYS(IF(NOT(ISBLANK(M708)), M708, L708), N708, Holiday_Dates) &lt;= 0,
                1,
                NETWORKDAYS(IF(NOT(ISBLANK(M708)), M708, L708), N708, Holiday_Dates)
                - IF(IF(NOT(ISBLANK(M708)), M708, L708) = N708, 0, 1)
            )
        )
    ),
    ""
)</f>
        <v/>
      </c>
      <c r="S708" s="385" t="str">
        <f>IFERROR(
    IF(
        OR(ISBLANK(N708), ISBLANK(O708)),
        "",
        MAX(
            1,
            IF(
                NETWORKDAYS(N708, O708, Holiday_Dates) &lt;= 0,
                1,
                NETWORKDAYS(N708, O708, Holiday_Dates) - IF(N708 = O708, 0, 1)
            )
        )
    ),
    ""
)</f>
        <v/>
      </c>
      <c r="T708" s="385"/>
      <c r="U708" s="385" t="s">
        <v>672</v>
      </c>
      <c r="V708" s="385" t="s">
        <v>101</v>
      </c>
      <c r="W708" s="385" t="s">
        <v>1436</v>
      </c>
      <c r="X708" s="1"/>
    </row>
    <row r="709" spans="1:24">
      <c r="A709" s="385" t="s">
        <v>65</v>
      </c>
      <c r="B709" s="385" t="s">
        <v>444</v>
      </c>
      <c r="C709" s="385" t="s">
        <v>3015</v>
      </c>
      <c r="D709" s="385" t="s">
        <v>88</v>
      </c>
      <c r="E709" s="385" t="s">
        <v>26</v>
      </c>
      <c r="F709" s="385"/>
      <c r="G709" s="385" t="s">
        <v>130</v>
      </c>
      <c r="H709" s="385">
        <v>2026</v>
      </c>
      <c r="I709" s="386">
        <v>46055</v>
      </c>
      <c r="J709" s="529" t="s">
        <v>4935</v>
      </c>
      <c r="K709" s="385" t="s">
        <v>62</v>
      </c>
      <c r="L709" s="386">
        <v>46063</v>
      </c>
      <c r="M709" s="385"/>
      <c r="N709" s="386">
        <v>46063</v>
      </c>
      <c r="O709" s="386">
        <v>46063</v>
      </c>
      <c r="P709" s="385">
        <f>IFERROR(
    IF(
        OR(ISBLANK(I709), ISBLANK(L709)),
        "",
        MAX(
            1,
            IF(
                NETWORKDAYS(I709, L709, Holiday_Dates) &lt;= 0,
                1,
                NETWORKDAYS(I709, L709, Holiday_Dates) - IF(I709 = L709, 0, 1)
            )
        )
    ),
    ""
)</f>
        <v>6</v>
      </c>
      <c r="Q709" s="385" t="str">
        <f>IF(
    OR(ISBLANK(L709), ISBLANK(M709)),
    "",
    MAX(
        1,
        IF(
            NETWORKDAYS(L709, M709, Holiday_Dates) &lt;= 0,
            1,
            NETWORKDAYS(L709, M709, Holiday_Dates) - IF(L709 = M709, 0, 1)
        )
    )
)</f>
        <v/>
      </c>
      <c r="R709" s="385">
        <f>IFERROR(
    IF(
        OR(ISBLANK(N709), AND(ISBLANK(L709), ISBLANK(M709))),
        "",
        MAX(
            1,
            IF(
                NETWORKDAYS(IF(NOT(ISBLANK(M709)), M709, L709), N709, Holiday_Dates) &lt;= 0,
                1,
                NETWORKDAYS(IF(NOT(ISBLANK(M709)), M709, L709), N709, Holiday_Dates)
                - IF(IF(NOT(ISBLANK(M709)), M709, L709) = N709, 0, 1)
            )
        )
    ),
    ""
)</f>
        <v>1</v>
      </c>
      <c r="S709" s="385">
        <f>IFERROR(
    IF(
        OR(ISBLANK(N709), ISBLANK(O709)),
        "",
        MAX(
            1,
            IF(
                NETWORKDAYS(N709, O709, Holiday_Dates) &lt;= 0,
                1,
                NETWORKDAYS(N709, O709, Holiday_Dates) - IF(N709 = O709, 0, 1)
            )
        )
    ),
    ""
)</f>
        <v>1</v>
      </c>
      <c r="T709" s="385" t="s">
        <v>929</v>
      </c>
      <c r="U709" s="385" t="s">
        <v>4</v>
      </c>
      <c r="V709" s="385" t="s">
        <v>101</v>
      </c>
      <c r="W709" s="385" t="s">
        <v>4710</v>
      </c>
      <c r="X709" s="1"/>
    </row>
    <row r="710" spans="1:24">
      <c r="A710" s="385" t="s">
        <v>49</v>
      </c>
      <c r="B710" s="385" t="s">
        <v>223</v>
      </c>
      <c r="C710" s="385" t="s">
        <v>2406</v>
      </c>
      <c r="D710" s="385" t="s">
        <v>88</v>
      </c>
      <c r="E710" s="385"/>
      <c r="F710" s="385"/>
      <c r="G710" s="385"/>
      <c r="H710" s="385">
        <v>2025</v>
      </c>
      <c r="I710" s="386">
        <v>45793</v>
      </c>
      <c r="J710" s="30" t="s">
        <v>4936</v>
      </c>
      <c r="K710" s="385"/>
      <c r="L710" s="385"/>
      <c r="M710" s="385"/>
      <c r="N710" s="385"/>
      <c r="O710" s="385"/>
      <c r="P710" s="385" t="str">
        <f>IFERROR(
    IF(
        OR(ISBLANK(I710), ISBLANK(L710)),
        "",
        MAX(
            1,
            IF(
                NETWORKDAYS(I710, L710, Holiday_Dates) &lt;= 0,
                1,
                NETWORKDAYS(I710, L710, Holiday_Dates) - IF(I710 = L710, 0, 1)
            )
        )
    ),
    ""
)</f>
        <v/>
      </c>
      <c r="Q710" s="385" t="str">
        <f>IF(
    OR(ISBLANK(L710), ISBLANK(M710)),
    "",
    MAX(
        1,
        IF(
            NETWORKDAYS(L710, M710, Holiday_Dates) &lt;= 0,
            1,
            NETWORKDAYS(L710, M710, Holiday_Dates) - IF(L710 = M710, 0, 1)
        )
    )
)</f>
        <v/>
      </c>
      <c r="R710" s="385" t="str">
        <f>IFERROR(
    IF(
        OR(ISBLANK(N710), AND(ISBLANK(L710), ISBLANK(M710))),
        "",
        MAX(
            1,
            IF(
                NETWORKDAYS(IF(NOT(ISBLANK(M710)), M710, L710), N710, Holiday_Dates) &lt;= 0,
                1,
                NETWORKDAYS(IF(NOT(ISBLANK(M710)), M710, L710), N710, Holiday_Dates)
                - IF(IF(NOT(ISBLANK(M710)), M710, L710) = N710, 0, 1)
            )
        )
    ),
    ""
)</f>
        <v/>
      </c>
      <c r="S710" s="385" t="str">
        <f>IFERROR(
    IF(
        OR(ISBLANK(N710), ISBLANK(O710)),
        "",
        MAX(
            1,
            IF(
                NETWORKDAYS(N710, O710, Holiday_Dates) &lt;= 0,
                1,
                NETWORKDAYS(N710, O710, Holiday_Dates) - IF(N710 = O710, 0, 1)
            )
        )
    ),
    ""
)</f>
        <v/>
      </c>
      <c r="T710" s="385"/>
      <c r="U710" s="385" t="s">
        <v>672</v>
      </c>
      <c r="V710" s="385" t="s">
        <v>101</v>
      </c>
      <c r="W710" s="385" t="s">
        <v>1436</v>
      </c>
      <c r="X710" s="1"/>
    </row>
    <row r="711" spans="1:24">
      <c r="A711" s="385" t="s">
        <v>65</v>
      </c>
      <c r="B711" s="385" t="s">
        <v>444</v>
      </c>
      <c r="C711" s="385" t="s">
        <v>728</v>
      </c>
      <c r="D711" s="385" t="s">
        <v>88</v>
      </c>
      <c r="E711" s="385" t="s">
        <v>26</v>
      </c>
      <c r="F711" s="385"/>
      <c r="G711" s="385" t="s">
        <v>130</v>
      </c>
      <c r="H711" s="385">
        <v>2026</v>
      </c>
      <c r="I711" s="386">
        <v>46056</v>
      </c>
      <c r="J711" s="529" t="s">
        <v>4937</v>
      </c>
      <c r="K711" s="385" t="s">
        <v>62</v>
      </c>
      <c r="L711" s="386">
        <v>46063</v>
      </c>
      <c r="M711" s="385"/>
      <c r="N711" s="386">
        <v>46063</v>
      </c>
      <c r="O711" s="386">
        <v>46064</v>
      </c>
      <c r="P711" s="385">
        <f>IFERROR(
    IF(
        OR(ISBLANK(I711), ISBLANK(L711)),
        "",
        MAX(
            1,
            IF(
                NETWORKDAYS(I711, L711, Holiday_Dates) &lt;= 0,
                1,
                NETWORKDAYS(I711, L711, Holiday_Dates) - IF(I711 = L711, 0, 1)
            )
        )
    ),
    ""
)</f>
        <v>5</v>
      </c>
      <c r="Q711" s="385" t="str">
        <f>IF(
    OR(ISBLANK(L711), ISBLANK(M711)),
    "",
    MAX(
        1,
        IF(
            NETWORKDAYS(L711, M711, Holiday_Dates) &lt;= 0,
            1,
            NETWORKDAYS(L711, M711, Holiday_Dates) - IF(L711 = M711, 0, 1)
        )
    )
)</f>
        <v/>
      </c>
      <c r="R711" s="385">
        <f>IFERROR(
    IF(
        OR(ISBLANK(N711), AND(ISBLANK(L711), ISBLANK(M711))),
        "",
        MAX(
            1,
            IF(
                NETWORKDAYS(IF(NOT(ISBLANK(M711)), M711, L711), N711, Holiday_Dates) &lt;= 0,
                1,
                NETWORKDAYS(IF(NOT(ISBLANK(M711)), M711, L711), N711, Holiday_Dates)
                - IF(IF(NOT(ISBLANK(M711)), M711, L711) = N711, 0, 1)
            )
        )
    ),
    ""
)</f>
        <v>1</v>
      </c>
      <c r="S711" s="385">
        <f>IFERROR(
    IF(
        OR(ISBLANK(N711), ISBLANK(O711)),
        "",
        MAX(
            1,
            IF(
                NETWORKDAYS(N711, O711, Holiday_Dates) &lt;= 0,
                1,
                NETWORKDAYS(N711, O711, Holiday_Dates) - IF(N711 = O711, 0, 1)
            )
        )
    ),
    ""
)</f>
        <v>1</v>
      </c>
      <c r="T711" s="385" t="s">
        <v>929</v>
      </c>
      <c r="U711" s="385" t="s">
        <v>4</v>
      </c>
      <c r="V711" s="385" t="s">
        <v>101</v>
      </c>
      <c r="W711" s="385" t="s">
        <v>4710</v>
      </c>
      <c r="X711" s="1"/>
    </row>
    <row r="712" spans="1:24">
      <c r="A712" s="385" t="s">
        <v>49</v>
      </c>
      <c r="B712" s="385" t="s">
        <v>223</v>
      </c>
      <c r="C712" s="385" t="s">
        <v>2408</v>
      </c>
      <c r="D712" s="385" t="s">
        <v>88</v>
      </c>
      <c r="E712" s="385"/>
      <c r="F712" s="385"/>
      <c r="G712" s="385"/>
      <c r="H712" s="385">
        <v>2025</v>
      </c>
      <c r="I712" s="386">
        <v>45791</v>
      </c>
      <c r="J712" s="30" t="s">
        <v>4938</v>
      </c>
      <c r="K712" s="385"/>
      <c r="L712" s="385"/>
      <c r="M712" s="385"/>
      <c r="N712" s="385"/>
      <c r="O712" s="385"/>
      <c r="P712" s="385" t="str">
        <f>IFERROR(
    IF(
        OR(ISBLANK(I712), ISBLANK(L712)),
        "",
        MAX(
            1,
            IF(
                NETWORKDAYS(I712, L712, Holiday_Dates) &lt;= 0,
                1,
                NETWORKDAYS(I712, L712, Holiday_Dates) - IF(I712 = L712, 0, 1)
            )
        )
    ),
    ""
)</f>
        <v/>
      </c>
      <c r="Q712" s="385" t="str">
        <f>IF(
    OR(ISBLANK(L712), ISBLANK(M712)),
    "",
    MAX(
        1,
        IF(
            NETWORKDAYS(L712, M712, Holiday_Dates) &lt;= 0,
            1,
            NETWORKDAYS(L712, M712, Holiday_Dates) - IF(L712 = M712, 0, 1)
        )
    )
)</f>
        <v/>
      </c>
      <c r="R712" s="385" t="str">
        <f>IFERROR(
    IF(
        OR(ISBLANK(N712), AND(ISBLANK(L712), ISBLANK(M712))),
        "",
        MAX(
            1,
            IF(
                NETWORKDAYS(IF(NOT(ISBLANK(M712)), M712, L712), N712, Holiday_Dates) &lt;= 0,
                1,
                NETWORKDAYS(IF(NOT(ISBLANK(M712)), M712, L712), N712, Holiday_Dates)
                - IF(IF(NOT(ISBLANK(M712)), M712, L712) = N712, 0, 1)
            )
        )
    ),
    ""
)</f>
        <v/>
      </c>
      <c r="S712" s="385" t="str">
        <f>IFERROR(
    IF(
        OR(ISBLANK(N712), ISBLANK(O712)),
        "",
        MAX(
            1,
            IF(
                NETWORKDAYS(N712, O712, Holiday_Dates) &lt;= 0,
                1,
                NETWORKDAYS(N712, O712, Holiday_Dates) - IF(N712 = O712, 0, 1)
            )
        )
    ),
    ""
)</f>
        <v/>
      </c>
      <c r="T712" s="385"/>
      <c r="U712" s="385" t="s">
        <v>672</v>
      </c>
      <c r="V712" s="385" t="s">
        <v>101</v>
      </c>
      <c r="W712" s="385" t="s">
        <v>1436</v>
      </c>
      <c r="X712" s="1"/>
    </row>
    <row r="713" spans="1:24">
      <c r="A713" s="385" t="s">
        <v>49</v>
      </c>
      <c r="B713" s="385" t="s">
        <v>223</v>
      </c>
      <c r="C713" s="385" t="s">
        <v>2409</v>
      </c>
      <c r="D713" s="385" t="s">
        <v>88</v>
      </c>
      <c r="E713" s="385"/>
      <c r="F713" s="385"/>
      <c r="G713" s="385"/>
      <c r="H713" s="385">
        <v>2025</v>
      </c>
      <c r="I713" s="386">
        <v>45818</v>
      </c>
      <c r="J713" s="30" t="s">
        <v>4939</v>
      </c>
      <c r="K713" s="385"/>
      <c r="L713" s="385"/>
      <c r="M713" s="385"/>
      <c r="N713" s="385"/>
      <c r="O713" s="385"/>
      <c r="P713" s="385" t="str">
        <f>IFERROR(
    IF(
        OR(ISBLANK(I713), ISBLANK(L713)),
        "",
        MAX(
            1,
            IF(
                NETWORKDAYS(I713, L713, Holiday_Dates) &lt;= 0,
                1,
                NETWORKDAYS(I713, L713, Holiday_Dates) - IF(I713 = L713, 0, 1)
            )
        )
    ),
    ""
)</f>
        <v/>
      </c>
      <c r="Q713" s="385" t="str">
        <f>IF(
    OR(ISBLANK(L713), ISBLANK(M713)),
    "",
    MAX(
        1,
        IF(
            NETWORKDAYS(L713, M713, Holiday_Dates) &lt;= 0,
            1,
            NETWORKDAYS(L713, M713, Holiday_Dates) - IF(L713 = M713, 0, 1)
        )
    )
)</f>
        <v/>
      </c>
      <c r="R713" s="385" t="str">
        <f>IFERROR(
    IF(
        OR(ISBLANK(N713), AND(ISBLANK(L713), ISBLANK(M713))),
        "",
        MAX(
            1,
            IF(
                NETWORKDAYS(IF(NOT(ISBLANK(M713)), M713, L713), N713, Holiday_Dates) &lt;= 0,
                1,
                NETWORKDAYS(IF(NOT(ISBLANK(M713)), M713, L713), N713, Holiday_Dates)
                - IF(IF(NOT(ISBLANK(M713)), M713, L713) = N713, 0, 1)
            )
        )
    ),
    ""
)</f>
        <v/>
      </c>
      <c r="S713" s="385" t="str">
        <f>IFERROR(
    IF(
        OR(ISBLANK(N713), ISBLANK(O713)),
        "",
        MAX(
            1,
            IF(
                NETWORKDAYS(N713, O713, Holiday_Dates) &lt;= 0,
                1,
                NETWORKDAYS(N713, O713, Holiday_Dates) - IF(N713 = O713, 0, 1)
            )
        )
    ),
    ""
)</f>
        <v/>
      </c>
      <c r="T713" s="385"/>
      <c r="U713" s="385" t="s">
        <v>672</v>
      </c>
      <c r="V713" s="385" t="s">
        <v>101</v>
      </c>
      <c r="W713" s="385" t="s">
        <v>1436</v>
      </c>
      <c r="X713" s="1"/>
    </row>
    <row r="714" spans="1:24">
      <c r="A714" s="385" t="s">
        <v>49</v>
      </c>
      <c r="B714" s="385" t="s">
        <v>223</v>
      </c>
      <c r="C714" s="385" t="s">
        <v>2410</v>
      </c>
      <c r="D714" s="385" t="s">
        <v>88</v>
      </c>
      <c r="E714" s="385"/>
      <c r="F714" s="385"/>
      <c r="G714" s="385"/>
      <c r="H714" s="385">
        <v>2025</v>
      </c>
      <c r="I714" s="386">
        <v>45818</v>
      </c>
      <c r="J714" s="30" t="s">
        <v>4940</v>
      </c>
      <c r="K714" s="385"/>
      <c r="L714" s="385"/>
      <c r="M714" s="385"/>
      <c r="N714" s="385"/>
      <c r="O714" s="385"/>
      <c r="P714" s="385" t="str">
        <f>IFERROR(
    IF(
        OR(ISBLANK(I714), ISBLANK(L714)),
        "",
        MAX(
            1,
            IF(
                NETWORKDAYS(I714, L714, Holiday_Dates) &lt;= 0,
                1,
                NETWORKDAYS(I714, L714, Holiday_Dates) - IF(I714 = L714, 0, 1)
            )
        )
    ),
    ""
)</f>
        <v/>
      </c>
      <c r="Q714" s="385" t="str">
        <f>IF(
    OR(ISBLANK(L714), ISBLANK(M714)),
    "",
    MAX(
        1,
        IF(
            NETWORKDAYS(L714, M714, Holiday_Dates) &lt;= 0,
            1,
            NETWORKDAYS(L714, M714, Holiday_Dates) - IF(L714 = M714, 0, 1)
        )
    )
)</f>
        <v/>
      </c>
      <c r="R714" s="385" t="str">
        <f>IFERROR(
    IF(
        OR(ISBLANK(N714), AND(ISBLANK(L714), ISBLANK(M714))),
        "",
        MAX(
            1,
            IF(
                NETWORKDAYS(IF(NOT(ISBLANK(M714)), M714, L714), N714, Holiday_Dates) &lt;= 0,
                1,
                NETWORKDAYS(IF(NOT(ISBLANK(M714)), M714, L714), N714, Holiday_Dates)
                - IF(IF(NOT(ISBLANK(M714)), M714, L714) = N714, 0, 1)
            )
        )
    ),
    ""
)</f>
        <v/>
      </c>
      <c r="S714" s="385" t="str">
        <f>IFERROR(
    IF(
        OR(ISBLANK(N714), ISBLANK(O714)),
        "",
        MAX(
            1,
            IF(
                NETWORKDAYS(N714, O714, Holiday_Dates) &lt;= 0,
                1,
                NETWORKDAYS(N714, O714, Holiday_Dates) - IF(N714 = O714, 0, 1)
            )
        )
    ),
    ""
)</f>
        <v/>
      </c>
      <c r="T714" s="385"/>
      <c r="U714" s="385" t="s">
        <v>672</v>
      </c>
      <c r="V714" s="385" t="s">
        <v>101</v>
      </c>
      <c r="W714" s="385" t="s">
        <v>1436</v>
      </c>
      <c r="X714" s="1"/>
    </row>
    <row r="715" spans="1:24">
      <c r="A715" s="385" t="s">
        <v>49</v>
      </c>
      <c r="B715" s="385" t="s">
        <v>223</v>
      </c>
      <c r="C715" s="385" t="s">
        <v>1016</v>
      </c>
      <c r="D715" s="385" t="s">
        <v>88</v>
      </c>
      <c r="E715" s="385"/>
      <c r="F715" s="385"/>
      <c r="G715" s="385"/>
      <c r="H715" s="385">
        <v>2025</v>
      </c>
      <c r="I715" s="386">
        <v>45876</v>
      </c>
      <c r="J715" s="30" t="s">
        <v>4941</v>
      </c>
      <c r="K715" s="385"/>
      <c r="L715" s="385"/>
      <c r="M715" s="385"/>
      <c r="N715" s="385"/>
      <c r="O715" s="385"/>
      <c r="P715" s="385" t="str">
        <f>IFERROR(
    IF(
        OR(ISBLANK(I715), ISBLANK(L715)),
        "",
        MAX(
            1,
            IF(
                NETWORKDAYS(I715, L715, Holiday_Dates) &lt;= 0,
                1,
                NETWORKDAYS(I715, L715, Holiday_Dates) - IF(I715 = L715, 0, 1)
            )
        )
    ),
    ""
)</f>
        <v/>
      </c>
      <c r="Q715" s="385" t="str">
        <f>IF(
    OR(ISBLANK(L715), ISBLANK(M715)),
    "",
    MAX(
        1,
        IF(
            NETWORKDAYS(L715, M715, Holiday_Dates) &lt;= 0,
            1,
            NETWORKDAYS(L715, M715, Holiday_Dates) - IF(L715 = M715, 0, 1)
        )
    )
)</f>
        <v/>
      </c>
      <c r="R715" s="385" t="str">
        <f>IFERROR(
    IF(
        OR(ISBLANK(N715), AND(ISBLANK(L715), ISBLANK(M715))),
        "",
        MAX(
            1,
            IF(
                NETWORKDAYS(IF(NOT(ISBLANK(M715)), M715, L715), N715, Holiday_Dates) &lt;= 0,
                1,
                NETWORKDAYS(IF(NOT(ISBLANK(M715)), M715, L715), N715, Holiday_Dates)
                - IF(IF(NOT(ISBLANK(M715)), M715, L715) = N715, 0, 1)
            )
        )
    ),
    ""
)</f>
        <v/>
      </c>
      <c r="S715" s="385" t="str">
        <f>IFERROR(
    IF(
        OR(ISBLANK(N715), ISBLANK(O715)),
        "",
        MAX(
            1,
            IF(
                NETWORKDAYS(N715, O715, Holiday_Dates) &lt;= 0,
                1,
                NETWORKDAYS(N715, O715, Holiday_Dates) - IF(N715 = O715, 0, 1)
            )
        )
    ),
    ""
)</f>
        <v/>
      </c>
      <c r="T715" s="385"/>
      <c r="U715" s="385" t="s">
        <v>672</v>
      </c>
      <c r="V715" s="385" t="s">
        <v>101</v>
      </c>
      <c r="W715" s="385" t="s">
        <v>1436</v>
      </c>
      <c r="X715" s="1"/>
    </row>
    <row r="716" spans="1:24">
      <c r="A716" s="385" t="s">
        <v>49</v>
      </c>
      <c r="B716" s="385" t="s">
        <v>223</v>
      </c>
      <c r="C716" s="385" t="s">
        <v>2411</v>
      </c>
      <c r="D716" s="385" t="s">
        <v>88</v>
      </c>
      <c r="E716" s="385"/>
      <c r="F716" s="385"/>
      <c r="G716" s="385"/>
      <c r="H716" s="385">
        <v>2025</v>
      </c>
      <c r="I716" s="386">
        <v>45876</v>
      </c>
      <c r="J716" s="30" t="s">
        <v>4942</v>
      </c>
      <c r="K716" s="385"/>
      <c r="L716" s="385"/>
      <c r="M716" s="385"/>
      <c r="N716" s="385"/>
      <c r="O716" s="385"/>
      <c r="P716" s="385" t="str">
        <f>IFERROR(
    IF(
        OR(ISBLANK(I716), ISBLANK(L716)),
        "",
        MAX(
            1,
            IF(
                NETWORKDAYS(I716, L716, Holiday_Dates) &lt;= 0,
                1,
                NETWORKDAYS(I716, L716, Holiday_Dates) - IF(I716 = L716, 0, 1)
            )
        )
    ),
    ""
)</f>
        <v/>
      </c>
      <c r="Q716" s="385" t="str">
        <f>IF(
    OR(ISBLANK(L716), ISBLANK(M716)),
    "",
    MAX(
        1,
        IF(
            NETWORKDAYS(L716, M716, Holiday_Dates) &lt;= 0,
            1,
            NETWORKDAYS(L716, M716, Holiday_Dates) - IF(L716 = M716, 0, 1)
        )
    )
)</f>
        <v/>
      </c>
      <c r="R716" s="385" t="str">
        <f>IFERROR(
    IF(
        OR(ISBLANK(N716), AND(ISBLANK(L716), ISBLANK(M716))),
        "",
        MAX(
            1,
            IF(
                NETWORKDAYS(IF(NOT(ISBLANK(M716)), M716, L716), N716, Holiday_Dates) &lt;= 0,
                1,
                NETWORKDAYS(IF(NOT(ISBLANK(M716)), M716, L716), N716, Holiday_Dates)
                - IF(IF(NOT(ISBLANK(M716)), M716, L716) = N716, 0, 1)
            )
        )
    ),
    ""
)</f>
        <v/>
      </c>
      <c r="S716" s="385" t="str">
        <f>IFERROR(
    IF(
        OR(ISBLANK(N716), ISBLANK(O716)),
        "",
        MAX(
            1,
            IF(
                NETWORKDAYS(N716, O716, Holiday_Dates) &lt;= 0,
                1,
                NETWORKDAYS(N716, O716, Holiday_Dates) - IF(N716 = O716, 0, 1)
            )
        )
    ),
    ""
)</f>
        <v/>
      </c>
      <c r="T716" s="385"/>
      <c r="U716" s="385" t="s">
        <v>672</v>
      </c>
      <c r="V716" s="385" t="s">
        <v>101</v>
      </c>
      <c r="W716" s="385" t="s">
        <v>1436</v>
      </c>
      <c r="X716" s="1"/>
    </row>
    <row r="717" spans="1:24">
      <c r="A717" s="385" t="s">
        <v>65</v>
      </c>
      <c r="B717" s="385" t="s">
        <v>444</v>
      </c>
      <c r="C717" s="385" t="s">
        <v>1087</v>
      </c>
      <c r="D717" s="385" t="s">
        <v>88</v>
      </c>
      <c r="E717" s="385" t="s">
        <v>26</v>
      </c>
      <c r="F717" s="385"/>
      <c r="G717" s="385" t="s">
        <v>130</v>
      </c>
      <c r="H717" s="385">
        <v>2026</v>
      </c>
      <c r="I717" s="386">
        <v>46055</v>
      </c>
      <c r="J717" s="529" t="s">
        <v>4943</v>
      </c>
      <c r="K717" s="385" t="s">
        <v>62</v>
      </c>
      <c r="L717" s="386">
        <v>46063</v>
      </c>
      <c r="M717" s="385"/>
      <c r="N717" s="386">
        <v>46063</v>
      </c>
      <c r="O717" s="386">
        <v>46063</v>
      </c>
      <c r="P717" s="385">
        <f>IFERROR(
    IF(
        OR(ISBLANK(I717), ISBLANK(L717)),
        "",
        MAX(
            1,
            IF(
                NETWORKDAYS(I717, L717, Holiday_Dates) &lt;= 0,
                1,
                NETWORKDAYS(I717, L717, Holiday_Dates) - IF(I717 = L717, 0, 1)
            )
        )
    ),
    ""
)</f>
        <v>6</v>
      </c>
      <c r="Q717" s="385" t="str">
        <f>IF(
    OR(ISBLANK(L717), ISBLANK(M717)),
    "",
    MAX(
        1,
        IF(
            NETWORKDAYS(L717, M717, Holiday_Dates) &lt;= 0,
            1,
            NETWORKDAYS(L717, M717, Holiday_Dates) - IF(L717 = M717, 0, 1)
        )
    )
)</f>
        <v/>
      </c>
      <c r="R717" s="385">
        <f>IFERROR(
    IF(
        OR(ISBLANK(N717), AND(ISBLANK(L717), ISBLANK(M717))),
        "",
        MAX(
            1,
            IF(
                NETWORKDAYS(IF(NOT(ISBLANK(M717)), M717, L717), N717, Holiday_Dates) &lt;= 0,
                1,
                NETWORKDAYS(IF(NOT(ISBLANK(M717)), M717, L717), N717, Holiday_Dates)
                - IF(IF(NOT(ISBLANK(M717)), M717, L717) = N717, 0, 1)
            )
        )
    ),
    ""
)</f>
        <v>1</v>
      </c>
      <c r="S717" s="385">
        <f>IFERROR(
    IF(
        OR(ISBLANK(N717), ISBLANK(O717)),
        "",
        MAX(
            1,
            IF(
                NETWORKDAYS(N717, O717, Holiday_Dates) &lt;= 0,
                1,
                NETWORKDAYS(N717, O717, Holiday_Dates) - IF(N717 = O717, 0, 1)
            )
        )
    ),
    ""
)</f>
        <v>1</v>
      </c>
      <c r="T717" s="385" t="s">
        <v>929</v>
      </c>
      <c r="U717" s="385" t="s">
        <v>4</v>
      </c>
      <c r="V717" s="385" t="s">
        <v>101</v>
      </c>
      <c r="W717" s="385" t="s">
        <v>4710</v>
      </c>
      <c r="X717" s="1"/>
    </row>
    <row r="718" spans="1:24">
      <c r="A718" s="385" t="s">
        <v>49</v>
      </c>
      <c r="B718" s="385" t="s">
        <v>223</v>
      </c>
      <c r="C718" s="385" t="s">
        <v>2413</v>
      </c>
      <c r="D718" s="385" t="s">
        <v>88</v>
      </c>
      <c r="E718" s="385"/>
      <c r="F718" s="385"/>
      <c r="G718" s="385"/>
      <c r="H718" s="385">
        <v>2024</v>
      </c>
      <c r="I718" s="386">
        <v>45546</v>
      </c>
      <c r="J718" s="30"/>
      <c r="K718" s="385"/>
      <c r="L718" s="385"/>
      <c r="M718" s="385"/>
      <c r="N718" s="385"/>
      <c r="O718" s="385"/>
      <c r="P718" s="385" t="str">
        <f>IFERROR(
    IF(
        OR(ISBLANK(I718), ISBLANK(L718)),
        "",
        MAX(
            1,
            IF(
                NETWORKDAYS(I718, L718, Holiday_Dates) &lt;= 0,
                1,
                NETWORKDAYS(I718, L718, Holiday_Dates) - IF(I718 = L718, 0, 1)
            )
        )
    ),
    ""
)</f>
        <v/>
      </c>
      <c r="Q718" s="385" t="str">
        <f>IF(
    OR(ISBLANK(L718), ISBLANK(M718)),
    "",
    MAX(
        1,
        IF(
            NETWORKDAYS(L718, M718, Holiday_Dates) &lt;= 0,
            1,
            NETWORKDAYS(L718, M718, Holiday_Dates) - IF(L718 = M718, 0, 1)
        )
    )
)</f>
        <v/>
      </c>
      <c r="R718" s="385" t="str">
        <f>IFERROR(
    IF(
        OR(ISBLANK(N718), AND(ISBLANK(L718), ISBLANK(M718))),
        "",
        MAX(
            1,
            IF(
                NETWORKDAYS(IF(NOT(ISBLANK(M718)), M718, L718), N718, Holiday_Dates) &lt;= 0,
                1,
                NETWORKDAYS(IF(NOT(ISBLANK(M718)), M718, L718), N718, Holiday_Dates)
                - IF(IF(NOT(ISBLANK(M718)), M718, L718) = N718, 0, 1)
            )
        )
    ),
    ""
)</f>
        <v/>
      </c>
      <c r="S718" s="385" t="str">
        <f>IFERROR(
    IF(
        OR(ISBLANK(N718), ISBLANK(O718)),
        "",
        MAX(
            1,
            IF(
                NETWORKDAYS(N718, O718, Holiday_Dates) &lt;= 0,
                1,
                NETWORKDAYS(N718, O718, Holiday_Dates) - IF(N718 = O718, 0, 1)
            )
        )
    ),
    ""
)</f>
        <v/>
      </c>
      <c r="T718" s="385"/>
      <c r="U718" s="385" t="s">
        <v>672</v>
      </c>
      <c r="V718" s="385"/>
      <c r="W718" s="385" t="s">
        <v>1436</v>
      </c>
      <c r="X718" s="1"/>
    </row>
    <row r="719" spans="1:24">
      <c r="A719" s="385" t="s">
        <v>49</v>
      </c>
      <c r="B719" s="385" t="s">
        <v>223</v>
      </c>
      <c r="C719" s="385" t="s">
        <v>2416</v>
      </c>
      <c r="D719" s="385" t="s">
        <v>88</v>
      </c>
      <c r="E719" s="385"/>
      <c r="F719" s="385"/>
      <c r="G719" s="385"/>
      <c r="H719" s="385">
        <v>2025</v>
      </c>
      <c r="I719" s="386">
        <v>45694</v>
      </c>
      <c r="J719" s="30" t="s">
        <v>4944</v>
      </c>
      <c r="K719" s="385"/>
      <c r="L719" s="385"/>
      <c r="M719" s="385"/>
      <c r="N719" s="385"/>
      <c r="O719" s="385"/>
      <c r="P719" s="385" t="str">
        <f>IFERROR(
    IF(
        OR(ISBLANK(I719), ISBLANK(L719)),
        "",
        MAX(
            1,
            IF(
                NETWORKDAYS(I719, L719, Holiday_Dates) &lt;= 0,
                1,
                NETWORKDAYS(I719, L719, Holiday_Dates) - IF(I719 = L719, 0, 1)
            )
        )
    ),
    ""
)</f>
        <v/>
      </c>
      <c r="Q719" s="385" t="str">
        <f>IF(
    OR(ISBLANK(L719), ISBLANK(M719)),
    "",
    MAX(
        1,
        IF(
            NETWORKDAYS(L719, M719, Holiday_Dates) &lt;= 0,
            1,
            NETWORKDAYS(L719, M719, Holiday_Dates) - IF(L719 = M719, 0, 1)
        )
    )
)</f>
        <v/>
      </c>
      <c r="R719" s="385" t="str">
        <f>IFERROR(
    IF(
        OR(ISBLANK(N719), AND(ISBLANK(L719), ISBLANK(M719))),
        "",
        MAX(
            1,
            IF(
                NETWORKDAYS(IF(NOT(ISBLANK(M719)), M719, L719), N719, Holiday_Dates) &lt;= 0,
                1,
                NETWORKDAYS(IF(NOT(ISBLANK(M719)), M719, L719), N719, Holiday_Dates)
                - IF(IF(NOT(ISBLANK(M719)), M719, L719) = N719, 0, 1)
            )
        )
    ),
    ""
)</f>
        <v/>
      </c>
      <c r="S719" s="385" t="str">
        <f>IFERROR(
    IF(
        OR(ISBLANK(N719), ISBLANK(O719)),
        "",
        MAX(
            1,
            IF(
                NETWORKDAYS(N719, O719, Holiday_Dates) &lt;= 0,
                1,
                NETWORKDAYS(N719, O719, Holiday_Dates) - IF(N719 = O719, 0, 1)
            )
        )
    ),
    ""
)</f>
        <v/>
      </c>
      <c r="T719" s="385"/>
      <c r="U719" s="385" t="s">
        <v>672</v>
      </c>
      <c r="V719" s="385" t="s">
        <v>1676</v>
      </c>
      <c r="W719" s="385" t="s">
        <v>1436</v>
      </c>
      <c r="X719" s="1"/>
    </row>
    <row r="720" spans="1:24">
      <c r="A720" s="385" t="s">
        <v>49</v>
      </c>
      <c r="B720" s="385" t="s">
        <v>223</v>
      </c>
      <c r="C720" s="385" t="s">
        <v>2186</v>
      </c>
      <c r="D720" s="385" t="s">
        <v>88</v>
      </c>
      <c r="E720" s="385"/>
      <c r="F720" s="385"/>
      <c r="G720" s="385"/>
      <c r="H720" s="385">
        <v>2025</v>
      </c>
      <c r="I720" s="386">
        <v>45694</v>
      </c>
      <c r="J720" s="30" t="s">
        <v>4945</v>
      </c>
      <c r="K720" s="385"/>
      <c r="L720" s="385"/>
      <c r="M720" s="385"/>
      <c r="N720" s="385"/>
      <c r="O720" s="385"/>
      <c r="P720" s="385" t="str">
        <f>IFERROR(
    IF(
        OR(ISBLANK(I720), ISBLANK(L720)),
        "",
        MAX(
            1,
            IF(
                NETWORKDAYS(I720, L720, Holiday_Dates) &lt;= 0,
                1,
                NETWORKDAYS(I720, L720, Holiday_Dates) - IF(I720 = L720, 0, 1)
            )
        )
    ),
    ""
)</f>
        <v/>
      </c>
      <c r="Q720" s="385" t="str">
        <f>IF(
    OR(ISBLANK(L720), ISBLANK(M720)),
    "",
    MAX(
        1,
        IF(
            NETWORKDAYS(L720, M720, Holiday_Dates) &lt;= 0,
            1,
            NETWORKDAYS(L720, M720, Holiday_Dates) - IF(L720 = M720, 0, 1)
        )
    )
)</f>
        <v/>
      </c>
      <c r="R720" s="385" t="str">
        <f>IFERROR(
    IF(
        OR(ISBLANK(N720), AND(ISBLANK(L720), ISBLANK(M720))),
        "",
        MAX(
            1,
            IF(
                NETWORKDAYS(IF(NOT(ISBLANK(M720)), M720, L720), N720, Holiday_Dates) &lt;= 0,
                1,
                NETWORKDAYS(IF(NOT(ISBLANK(M720)), M720, L720), N720, Holiday_Dates)
                - IF(IF(NOT(ISBLANK(M720)), M720, L720) = N720, 0, 1)
            )
        )
    ),
    ""
)</f>
        <v/>
      </c>
      <c r="S720" s="385" t="str">
        <f>IFERROR(
    IF(
        OR(ISBLANK(N720), ISBLANK(O720)),
        "",
        MAX(
            1,
            IF(
                NETWORKDAYS(N720, O720, Holiday_Dates) &lt;= 0,
                1,
                NETWORKDAYS(N720, O720, Holiday_Dates) - IF(N720 = O720, 0, 1)
            )
        )
    ),
    ""
)</f>
        <v/>
      </c>
      <c r="T720" s="385"/>
      <c r="U720" s="385" t="s">
        <v>672</v>
      </c>
      <c r="V720" s="385" t="s">
        <v>101</v>
      </c>
      <c r="W720" s="385" t="s">
        <v>1436</v>
      </c>
      <c r="X720" s="1"/>
    </row>
    <row r="721" spans="1:24">
      <c r="A721" s="385" t="s">
        <v>49</v>
      </c>
      <c r="B721" s="385" t="s">
        <v>434</v>
      </c>
      <c r="C721" s="385" t="s">
        <v>1694</v>
      </c>
      <c r="D721" s="385" t="s">
        <v>88</v>
      </c>
      <c r="E721" s="385"/>
      <c r="F721" s="385"/>
      <c r="G721" s="385"/>
      <c r="H721" s="385">
        <v>2025</v>
      </c>
      <c r="I721" s="386">
        <v>45728</v>
      </c>
      <c r="J721" s="30" t="s">
        <v>4946</v>
      </c>
      <c r="K721" s="385"/>
      <c r="L721" s="385"/>
      <c r="M721" s="385"/>
      <c r="N721" s="385"/>
      <c r="O721" s="385"/>
      <c r="P721" s="385" t="str">
        <f>IFERROR(
    IF(
        OR(ISBLANK(I721), ISBLANK(L721)),
        "",
        MAX(
            1,
            IF(
                NETWORKDAYS(I721, L721, Holiday_Dates) &lt;= 0,
                1,
                NETWORKDAYS(I721, L721, Holiday_Dates) - IF(I721 = L721, 0, 1)
            )
        )
    ),
    ""
)</f>
        <v/>
      </c>
      <c r="Q721" s="385" t="str">
        <f>IF(
    OR(ISBLANK(L721), ISBLANK(M721)),
    "",
    MAX(
        1,
        IF(
            NETWORKDAYS(L721, M721, Holiday_Dates) &lt;= 0,
            1,
            NETWORKDAYS(L721, M721, Holiday_Dates) - IF(L721 = M721, 0, 1)
        )
    )
)</f>
        <v/>
      </c>
      <c r="R721" s="385" t="str">
        <f>IFERROR(
    IF(
        OR(ISBLANK(N721), AND(ISBLANK(L721), ISBLANK(M721))),
        "",
        MAX(
            1,
            IF(
                NETWORKDAYS(IF(NOT(ISBLANK(M721)), M721, L721), N721, Holiday_Dates) &lt;= 0,
                1,
                NETWORKDAYS(IF(NOT(ISBLANK(M721)), M721, L721), N721, Holiday_Dates)
                - IF(IF(NOT(ISBLANK(M721)), M721, L721) = N721, 0, 1)
            )
        )
    ),
    ""
)</f>
        <v/>
      </c>
      <c r="S721" s="385" t="str">
        <f>IFERROR(
    IF(
        OR(ISBLANK(N721), ISBLANK(O721)),
        "",
        MAX(
            1,
            IF(
                NETWORKDAYS(N721, O721, Holiday_Dates) &lt;= 0,
                1,
                NETWORKDAYS(N721, O721, Holiday_Dates) - IF(N721 = O721, 0, 1)
            )
        )
    ),
    ""
)</f>
        <v/>
      </c>
      <c r="T721" s="385"/>
      <c r="U721" s="385" t="s">
        <v>672</v>
      </c>
      <c r="V721" s="385" t="s">
        <v>101</v>
      </c>
      <c r="W721" s="385" t="s">
        <v>1436</v>
      </c>
      <c r="X721" s="1"/>
    </row>
    <row r="722" spans="1:24">
      <c r="A722" s="385" t="s">
        <v>49</v>
      </c>
      <c r="B722" s="385" t="s">
        <v>434</v>
      </c>
      <c r="C722" s="385" t="s">
        <v>2447</v>
      </c>
      <c r="D722" s="385" t="s">
        <v>88</v>
      </c>
      <c r="E722" s="385"/>
      <c r="F722" s="385"/>
      <c r="G722" s="385"/>
      <c r="H722" s="385">
        <v>2025</v>
      </c>
      <c r="I722" s="386">
        <v>45728</v>
      </c>
      <c r="J722" s="30" t="s">
        <v>4947</v>
      </c>
      <c r="K722" s="385"/>
      <c r="L722" s="385"/>
      <c r="M722" s="385"/>
      <c r="N722" s="385"/>
      <c r="O722" s="385"/>
      <c r="P722" s="385" t="str">
        <f>IFERROR(
    IF(
        OR(ISBLANK(I722), ISBLANK(L722)),
        "",
        MAX(
            1,
            IF(
                NETWORKDAYS(I722, L722, Holiday_Dates) &lt;= 0,
                1,
                NETWORKDAYS(I722, L722, Holiday_Dates) - IF(I722 = L722, 0, 1)
            )
        )
    ),
    ""
)</f>
        <v/>
      </c>
      <c r="Q722" s="385" t="str">
        <f>IF(
    OR(ISBLANK(L722), ISBLANK(M722)),
    "",
    MAX(
        1,
        IF(
            NETWORKDAYS(L722, M722, Holiday_Dates) &lt;= 0,
            1,
            NETWORKDAYS(L722, M722, Holiday_Dates) - IF(L722 = M722, 0, 1)
        )
    )
)</f>
        <v/>
      </c>
      <c r="R722" s="385" t="str">
        <f>IFERROR(
    IF(
        OR(ISBLANK(N722), AND(ISBLANK(L722), ISBLANK(M722))),
        "",
        MAX(
            1,
            IF(
                NETWORKDAYS(IF(NOT(ISBLANK(M722)), M722, L722), N722, Holiday_Dates) &lt;= 0,
                1,
                NETWORKDAYS(IF(NOT(ISBLANK(M722)), M722, L722), N722, Holiday_Dates)
                - IF(IF(NOT(ISBLANK(M722)), M722, L722) = N722, 0, 1)
            )
        )
    ),
    ""
)</f>
        <v/>
      </c>
      <c r="S722" s="385" t="str">
        <f>IFERROR(
    IF(
        OR(ISBLANK(N722), ISBLANK(O722)),
        "",
        MAX(
            1,
            IF(
                NETWORKDAYS(N722, O722, Holiday_Dates) &lt;= 0,
                1,
                NETWORKDAYS(N722, O722, Holiday_Dates) - IF(N722 = O722, 0, 1)
            )
        )
    ),
    ""
)</f>
        <v/>
      </c>
      <c r="T722" s="385"/>
      <c r="U722" s="385" t="s">
        <v>672</v>
      </c>
      <c r="V722" s="385" t="s">
        <v>101</v>
      </c>
      <c r="W722" s="385" t="s">
        <v>1436</v>
      </c>
      <c r="X722" s="1"/>
    </row>
    <row r="723" spans="1:24">
      <c r="A723" s="385" t="s">
        <v>49</v>
      </c>
      <c r="B723" s="385" t="s">
        <v>434</v>
      </c>
      <c r="C723" s="385" t="s">
        <v>2448</v>
      </c>
      <c r="D723" s="385" t="s">
        <v>88</v>
      </c>
      <c r="E723" s="385"/>
      <c r="F723" s="385"/>
      <c r="G723" s="385"/>
      <c r="H723" s="385">
        <v>2024</v>
      </c>
      <c r="I723" s="385" t="s">
        <v>4627</v>
      </c>
      <c r="J723" s="30"/>
      <c r="K723" s="385"/>
      <c r="L723" s="385"/>
      <c r="M723" s="385"/>
      <c r="N723" s="385"/>
      <c r="O723" s="385"/>
      <c r="P723" s="385" t="str">
        <f>IFERROR(
    IF(
        OR(ISBLANK(I723), ISBLANK(L723)),
        "",
        MAX(
            1,
            IF(
                NETWORKDAYS(I723, L723, Holiday_Dates) &lt;= 0,
                1,
                NETWORKDAYS(I723, L723, Holiday_Dates) - IF(I723 = L723, 0, 1)
            )
        )
    ),
    ""
)</f>
        <v/>
      </c>
      <c r="Q723" s="385" t="str">
        <f>IF(
    OR(ISBLANK(L723), ISBLANK(M723)),
    "",
    MAX(
        1,
        IF(
            NETWORKDAYS(L723, M723, Holiday_Dates) &lt;= 0,
            1,
            NETWORKDAYS(L723, M723, Holiday_Dates) - IF(L723 = M723, 0, 1)
        )
    )
)</f>
        <v/>
      </c>
      <c r="R723" s="385" t="str">
        <f>IFERROR(
    IF(
        OR(ISBLANK(N723), AND(ISBLANK(L723), ISBLANK(M723))),
        "",
        MAX(
            1,
            IF(
                NETWORKDAYS(IF(NOT(ISBLANK(M723)), M723, L723), N723, Holiday_Dates) &lt;= 0,
                1,
                NETWORKDAYS(IF(NOT(ISBLANK(M723)), M723, L723), N723, Holiday_Dates)
                - IF(IF(NOT(ISBLANK(M723)), M723, L723) = N723, 0, 1)
            )
        )
    ),
    ""
)</f>
        <v/>
      </c>
      <c r="S723" s="385" t="str">
        <f>IFERROR(
    IF(
        OR(ISBLANK(N723), ISBLANK(O723)),
        "",
        MAX(
            1,
            IF(
                NETWORKDAYS(N723, O723, Holiday_Dates) &lt;= 0,
                1,
                NETWORKDAYS(N723, O723, Holiday_Dates) - IF(N723 = O723, 0, 1)
            )
        )
    ),
    ""
)</f>
        <v/>
      </c>
      <c r="T723" s="385"/>
      <c r="U723" s="385" t="s">
        <v>672</v>
      </c>
      <c r="V723" s="385"/>
      <c r="W723" s="385" t="s">
        <v>1436</v>
      </c>
      <c r="X723" s="1"/>
    </row>
    <row r="724" spans="1:24">
      <c r="A724" s="385" t="s">
        <v>49</v>
      </c>
      <c r="B724" s="385" t="s">
        <v>434</v>
      </c>
      <c r="C724" s="385" t="s">
        <v>768</v>
      </c>
      <c r="D724" s="385" t="s">
        <v>88</v>
      </c>
      <c r="E724" s="385"/>
      <c r="F724" s="385"/>
      <c r="G724" s="385"/>
      <c r="H724" s="385">
        <v>2024</v>
      </c>
      <c r="I724" s="385" t="s">
        <v>4627</v>
      </c>
      <c r="J724" s="30"/>
      <c r="K724" s="385"/>
      <c r="L724" s="385"/>
      <c r="M724" s="385"/>
      <c r="N724" s="385"/>
      <c r="O724" s="385"/>
      <c r="P724" s="385" t="str">
        <f>IFERROR(
    IF(
        OR(ISBLANK(I724), ISBLANK(L724)),
        "",
        MAX(
            1,
            IF(
                NETWORKDAYS(I724, L724, Holiday_Dates) &lt;= 0,
                1,
                NETWORKDAYS(I724, L724, Holiday_Dates) - IF(I724 = L724, 0, 1)
            )
        )
    ),
    ""
)</f>
        <v/>
      </c>
      <c r="Q724" s="385" t="str">
        <f>IF(
    OR(ISBLANK(L724), ISBLANK(M724)),
    "",
    MAX(
        1,
        IF(
            NETWORKDAYS(L724, M724, Holiday_Dates) &lt;= 0,
            1,
            NETWORKDAYS(L724, M724, Holiday_Dates) - IF(L724 = M724, 0, 1)
        )
    )
)</f>
        <v/>
      </c>
      <c r="R724" s="385" t="str">
        <f>IFERROR(
    IF(
        OR(ISBLANK(N724), AND(ISBLANK(L724), ISBLANK(M724))),
        "",
        MAX(
            1,
            IF(
                NETWORKDAYS(IF(NOT(ISBLANK(M724)), M724, L724), N724, Holiday_Dates) &lt;= 0,
                1,
                NETWORKDAYS(IF(NOT(ISBLANK(M724)), M724, L724), N724, Holiday_Dates)
                - IF(IF(NOT(ISBLANK(M724)), M724, L724) = N724, 0, 1)
            )
        )
    ),
    ""
)</f>
        <v/>
      </c>
      <c r="S724" s="385" t="str">
        <f>IFERROR(
    IF(
        OR(ISBLANK(N724), ISBLANK(O724)),
        "",
        MAX(
            1,
            IF(
                NETWORKDAYS(N724, O724, Holiday_Dates) &lt;= 0,
                1,
                NETWORKDAYS(N724, O724, Holiday_Dates) - IF(N724 = O724, 0, 1)
            )
        )
    ),
    ""
)</f>
        <v/>
      </c>
      <c r="T724" s="385"/>
      <c r="U724" s="385" t="s">
        <v>672</v>
      </c>
      <c r="V724" s="385"/>
      <c r="W724" s="385" t="s">
        <v>1436</v>
      </c>
      <c r="X724" s="1"/>
    </row>
    <row r="725" spans="1:24">
      <c r="A725" s="385" t="s">
        <v>65</v>
      </c>
      <c r="B725" s="385" t="s">
        <v>444</v>
      </c>
      <c r="C725" s="385" t="s">
        <v>3114</v>
      </c>
      <c r="D725" s="385" t="s">
        <v>88</v>
      </c>
      <c r="E725" s="385" t="s">
        <v>26</v>
      </c>
      <c r="F725" s="385"/>
      <c r="G725" s="385" t="s">
        <v>130</v>
      </c>
      <c r="H725" s="385">
        <v>2026</v>
      </c>
      <c r="I725" s="386">
        <v>46055</v>
      </c>
      <c r="J725" s="529" t="s">
        <v>4948</v>
      </c>
      <c r="K725" s="385" t="s">
        <v>62</v>
      </c>
      <c r="L725" s="386">
        <v>46063</v>
      </c>
      <c r="M725" s="385"/>
      <c r="N725" s="386">
        <v>46063</v>
      </c>
      <c r="O725" s="386">
        <v>46063</v>
      </c>
      <c r="P725" s="385">
        <f>IFERROR(
    IF(
        OR(ISBLANK(I725), ISBLANK(L725)),
        "",
        MAX(
            1,
            IF(
                NETWORKDAYS(I725, L725, Holiday_Dates) &lt;= 0,
                1,
                NETWORKDAYS(I725, L725, Holiday_Dates) - IF(I725 = L725, 0, 1)
            )
        )
    ),
    ""
)</f>
        <v>6</v>
      </c>
      <c r="Q725" s="385" t="str">
        <f>IF(
    OR(ISBLANK(L725), ISBLANK(M725)),
    "",
    MAX(
        1,
        IF(
            NETWORKDAYS(L725, M725, Holiday_Dates) &lt;= 0,
            1,
            NETWORKDAYS(L725, M725, Holiday_Dates) - IF(L725 = M725, 0, 1)
        )
    )
)</f>
        <v/>
      </c>
      <c r="R725" s="385">
        <f>IFERROR(
    IF(
        OR(ISBLANK(N725), AND(ISBLANK(L725), ISBLANK(M725))),
        "",
        MAX(
            1,
            IF(
                NETWORKDAYS(IF(NOT(ISBLANK(M725)), M725, L725), N725, Holiday_Dates) &lt;= 0,
                1,
                NETWORKDAYS(IF(NOT(ISBLANK(M725)), M725, L725), N725, Holiday_Dates)
                - IF(IF(NOT(ISBLANK(M725)), M725, L725) = N725, 0, 1)
            )
        )
    ),
    ""
)</f>
        <v>1</v>
      </c>
      <c r="S725" s="385">
        <f>IFERROR(
    IF(
        OR(ISBLANK(N725), ISBLANK(O725)),
        "",
        MAX(
            1,
            IF(
                NETWORKDAYS(N725, O725, Holiday_Dates) &lt;= 0,
                1,
                NETWORKDAYS(N725, O725, Holiday_Dates) - IF(N725 = O725, 0, 1)
            )
        )
    ),
    ""
)</f>
        <v>1</v>
      </c>
      <c r="T725" s="385" t="s">
        <v>929</v>
      </c>
      <c r="U725" s="385" t="s">
        <v>672</v>
      </c>
      <c r="V725" s="385" t="s">
        <v>101</v>
      </c>
      <c r="W725" s="385" t="s">
        <v>4710</v>
      </c>
      <c r="X725" s="1"/>
    </row>
    <row r="726" spans="1:24">
      <c r="A726" s="385" t="s">
        <v>49</v>
      </c>
      <c r="B726" s="385" t="s">
        <v>434</v>
      </c>
      <c r="C726" s="385" t="s">
        <v>769</v>
      </c>
      <c r="D726" s="385" t="s">
        <v>88</v>
      </c>
      <c r="E726" s="385"/>
      <c r="F726" s="385"/>
      <c r="G726" s="385"/>
      <c r="H726" s="385">
        <v>2024</v>
      </c>
      <c r="I726" s="385" t="s">
        <v>4627</v>
      </c>
      <c r="J726" s="30"/>
      <c r="K726" s="385"/>
      <c r="L726" s="385"/>
      <c r="M726" s="385"/>
      <c r="N726" s="385"/>
      <c r="O726" s="385"/>
      <c r="P726" s="385" t="str">
        <f>IFERROR(
    IF(
        OR(ISBLANK(I726), ISBLANK(L726)),
        "",
        MAX(
            1,
            IF(
                NETWORKDAYS(I726, L726, Holiday_Dates) &lt;= 0,
                1,
                NETWORKDAYS(I726, L726, Holiday_Dates) - IF(I726 = L726, 0, 1)
            )
        )
    ),
    ""
)</f>
        <v/>
      </c>
      <c r="Q726" s="385" t="str">
        <f>IF(
    OR(ISBLANK(L726), ISBLANK(M726)),
    "",
    MAX(
        1,
        IF(
            NETWORKDAYS(L726, M726, Holiday_Dates) &lt;= 0,
            1,
            NETWORKDAYS(L726, M726, Holiday_Dates) - IF(L726 = M726, 0, 1)
        )
    )
)</f>
        <v/>
      </c>
      <c r="R726" s="385" t="str">
        <f>IFERROR(
    IF(
        OR(ISBLANK(N726), AND(ISBLANK(L726), ISBLANK(M726))),
        "",
        MAX(
            1,
            IF(
                NETWORKDAYS(IF(NOT(ISBLANK(M726)), M726, L726), N726, Holiday_Dates) &lt;= 0,
                1,
                NETWORKDAYS(IF(NOT(ISBLANK(M726)), M726, L726), N726, Holiday_Dates)
                - IF(IF(NOT(ISBLANK(M726)), M726, L726) = N726, 0, 1)
            )
        )
    ),
    ""
)</f>
        <v/>
      </c>
      <c r="S726" s="385" t="str">
        <f>IFERROR(
    IF(
        OR(ISBLANK(N726), ISBLANK(O726)),
        "",
        MAX(
            1,
            IF(
                NETWORKDAYS(N726, O726, Holiday_Dates) &lt;= 0,
                1,
                NETWORKDAYS(N726, O726, Holiday_Dates) - IF(N726 = O726, 0, 1)
            )
        )
    ),
    ""
)</f>
        <v/>
      </c>
      <c r="T726" s="385"/>
      <c r="U726" s="385" t="s">
        <v>672</v>
      </c>
      <c r="V726" s="385"/>
      <c r="W726" s="385" t="s">
        <v>1436</v>
      </c>
      <c r="X726" s="1"/>
    </row>
    <row r="727" spans="1:24">
      <c r="A727" s="385" t="s">
        <v>49</v>
      </c>
      <c r="B727" s="385" t="s">
        <v>434</v>
      </c>
      <c r="C727" s="385" t="s">
        <v>2452</v>
      </c>
      <c r="D727" s="385" t="s">
        <v>88</v>
      </c>
      <c r="E727" s="385"/>
      <c r="F727" s="385"/>
      <c r="G727" s="385"/>
      <c r="H727" s="385">
        <v>2024</v>
      </c>
      <c r="I727" s="385" t="s">
        <v>4627</v>
      </c>
      <c r="J727" s="30"/>
      <c r="K727" s="385"/>
      <c r="L727" s="385"/>
      <c r="M727" s="385"/>
      <c r="N727" s="385"/>
      <c r="O727" s="385"/>
      <c r="P727" s="385" t="str">
        <f>IFERROR(
    IF(
        OR(ISBLANK(I727), ISBLANK(L727)),
        "",
        MAX(
            1,
            IF(
                NETWORKDAYS(I727, L727, Holiday_Dates) &lt;= 0,
                1,
                NETWORKDAYS(I727, L727, Holiday_Dates) - IF(I727 = L727, 0, 1)
            )
        )
    ),
    ""
)</f>
        <v/>
      </c>
      <c r="Q727" s="385" t="str">
        <f>IF(
    OR(ISBLANK(L727), ISBLANK(M727)),
    "",
    MAX(
        1,
        IF(
            NETWORKDAYS(L727, M727, Holiday_Dates) &lt;= 0,
            1,
            NETWORKDAYS(L727, M727, Holiday_Dates) - IF(L727 = M727, 0, 1)
        )
    )
)</f>
        <v/>
      </c>
      <c r="R727" s="385" t="str">
        <f>IFERROR(
    IF(
        OR(ISBLANK(N727), AND(ISBLANK(L727), ISBLANK(M727))),
        "",
        MAX(
            1,
            IF(
                NETWORKDAYS(IF(NOT(ISBLANK(M727)), M727, L727), N727, Holiday_Dates) &lt;= 0,
                1,
                NETWORKDAYS(IF(NOT(ISBLANK(M727)), M727, L727), N727, Holiday_Dates)
                - IF(IF(NOT(ISBLANK(M727)), M727, L727) = N727, 0, 1)
            )
        )
    ),
    ""
)</f>
        <v/>
      </c>
      <c r="S727" s="385" t="str">
        <f>IFERROR(
    IF(
        OR(ISBLANK(N727), ISBLANK(O727)),
        "",
        MAX(
            1,
            IF(
                NETWORKDAYS(N727, O727, Holiday_Dates) &lt;= 0,
                1,
                NETWORKDAYS(N727, O727, Holiday_Dates) - IF(N727 = O727, 0, 1)
            )
        )
    ),
    ""
)</f>
        <v/>
      </c>
      <c r="T727" s="385"/>
      <c r="U727" s="385" t="s">
        <v>672</v>
      </c>
      <c r="V727" s="385"/>
      <c r="W727" s="385" t="s">
        <v>1436</v>
      </c>
      <c r="X727" s="1"/>
    </row>
    <row r="728" spans="1:24">
      <c r="A728" s="385" t="s">
        <v>65</v>
      </c>
      <c r="B728" s="385" t="s">
        <v>444</v>
      </c>
      <c r="C728" s="385" t="s">
        <v>3013</v>
      </c>
      <c r="D728" s="385" t="s">
        <v>88</v>
      </c>
      <c r="E728" s="385" t="s">
        <v>26</v>
      </c>
      <c r="F728" s="385"/>
      <c r="G728" s="385" t="s">
        <v>130</v>
      </c>
      <c r="H728" s="385">
        <v>2026</v>
      </c>
      <c r="I728" s="386">
        <v>46056</v>
      </c>
      <c r="J728" s="30" t="s">
        <v>4949</v>
      </c>
      <c r="K728" s="385" t="s">
        <v>62</v>
      </c>
      <c r="L728" s="386">
        <v>46063</v>
      </c>
      <c r="M728" s="385"/>
      <c r="N728" s="386">
        <v>46064</v>
      </c>
      <c r="O728" s="386">
        <v>46064</v>
      </c>
      <c r="P728" s="385">
        <f>IFERROR(
    IF(
        OR(ISBLANK(I728), ISBLANK(L728)),
        "",
        MAX(
            1,
            IF(
                NETWORKDAYS(I728, L728, Holiday_Dates) &lt;= 0,
                1,
                NETWORKDAYS(I728, L728, Holiday_Dates) - IF(I728 = L728, 0, 1)
            )
        )
    ),
    ""
)</f>
        <v>5</v>
      </c>
      <c r="Q728" s="385" t="str">
        <f>IF(
    OR(ISBLANK(L728), ISBLANK(M728)),
    "",
    MAX(
        1,
        IF(
            NETWORKDAYS(L728, M728, Holiday_Dates) &lt;= 0,
            1,
            NETWORKDAYS(L728, M728, Holiday_Dates) - IF(L728 = M728, 0, 1)
        )
    )
)</f>
        <v/>
      </c>
      <c r="R728" s="385">
        <f>IFERROR(
    IF(
        OR(ISBLANK(N728), AND(ISBLANK(L728), ISBLANK(M728))),
        "",
        MAX(
            1,
            IF(
                NETWORKDAYS(IF(NOT(ISBLANK(M728)), M728, L728), N728, Holiday_Dates) &lt;= 0,
                1,
                NETWORKDAYS(IF(NOT(ISBLANK(M728)), M728, L728), N728, Holiday_Dates)
                - IF(IF(NOT(ISBLANK(M728)), M728, L728) = N728, 0, 1)
            )
        )
    ),
    ""
)</f>
        <v>1</v>
      </c>
      <c r="S728" s="385">
        <f>IFERROR(
    IF(
        OR(ISBLANK(N728), ISBLANK(O728)),
        "",
        MAX(
            1,
            IF(
                NETWORKDAYS(N728, O728, Holiday_Dates) &lt;= 0,
                1,
                NETWORKDAYS(N728, O728, Holiday_Dates) - IF(N728 = O728, 0, 1)
            )
        )
    ),
    ""
)</f>
        <v>1</v>
      </c>
      <c r="T728" s="385" t="s">
        <v>929</v>
      </c>
      <c r="U728" s="385" t="s">
        <v>4</v>
      </c>
      <c r="V728" s="385" t="s">
        <v>101</v>
      </c>
      <c r="W728" s="385" t="s">
        <v>4710</v>
      </c>
      <c r="X728" s="1"/>
    </row>
    <row r="729" spans="1:24">
      <c r="A729" s="385" t="s">
        <v>65</v>
      </c>
      <c r="B729" s="385" t="s">
        <v>444</v>
      </c>
      <c r="C729" s="385" t="s">
        <v>3277</v>
      </c>
      <c r="D729" s="385" t="s">
        <v>88</v>
      </c>
      <c r="E729" s="385" t="s">
        <v>26</v>
      </c>
      <c r="F729" s="385"/>
      <c r="G729" s="385" t="s">
        <v>130</v>
      </c>
      <c r="H729" s="385">
        <v>2026</v>
      </c>
      <c r="I729" s="386">
        <v>46056</v>
      </c>
      <c r="J729" s="529" t="s">
        <v>4950</v>
      </c>
      <c r="K729" s="385" t="s">
        <v>62</v>
      </c>
      <c r="L729" s="386">
        <v>46063</v>
      </c>
      <c r="M729" s="385"/>
      <c r="N729" s="386">
        <v>46064</v>
      </c>
      <c r="O729" s="386">
        <v>46064</v>
      </c>
      <c r="P729" s="385">
        <f>IFERROR(
    IF(
        OR(ISBLANK(I729), ISBLANK(L729)),
        "",
        MAX(
            1,
            IF(
                NETWORKDAYS(I729, L729, Holiday_Dates) &lt;= 0,
                1,
                NETWORKDAYS(I729, L729, Holiday_Dates) - IF(I729 = L729, 0, 1)
            )
        )
    ),
    ""
)</f>
        <v>5</v>
      </c>
      <c r="Q729" s="385" t="str">
        <f>IF(
    OR(ISBLANK(L729), ISBLANK(M729)),
    "",
    MAX(
        1,
        IF(
            NETWORKDAYS(L729, M729, Holiday_Dates) &lt;= 0,
            1,
            NETWORKDAYS(L729, M729, Holiday_Dates) - IF(L729 = M729, 0, 1)
        )
    )
)</f>
        <v/>
      </c>
      <c r="R729" s="385">
        <f>IFERROR(
    IF(
        OR(ISBLANK(N729), AND(ISBLANK(L729), ISBLANK(M729))),
        "",
        MAX(
            1,
            IF(
                NETWORKDAYS(IF(NOT(ISBLANK(M729)), M729, L729), N729, Holiday_Dates) &lt;= 0,
                1,
                NETWORKDAYS(IF(NOT(ISBLANK(M729)), M729, L729), N729, Holiday_Dates)
                - IF(IF(NOT(ISBLANK(M729)), M729, L729) = N729, 0, 1)
            )
        )
    ),
    ""
)</f>
        <v>1</v>
      </c>
      <c r="S729" s="385">
        <f>IFERROR(
    IF(
        OR(ISBLANK(N729), ISBLANK(O729)),
        "",
        MAX(
            1,
            IF(
                NETWORKDAYS(N729, O729, Holiday_Dates) &lt;= 0,
                1,
                NETWORKDAYS(N729, O729, Holiday_Dates) - IF(N729 = O729, 0, 1)
            )
        )
    ),
    ""
)</f>
        <v>1</v>
      </c>
      <c r="T729" s="385" t="s">
        <v>929</v>
      </c>
      <c r="U729" s="385" t="s">
        <v>4</v>
      </c>
      <c r="V729" s="385" t="s">
        <v>101</v>
      </c>
      <c r="W729" s="385" t="s">
        <v>4710</v>
      </c>
      <c r="X729" s="1"/>
    </row>
    <row r="730" spans="1:24">
      <c r="A730" s="385" t="s">
        <v>65</v>
      </c>
      <c r="B730" s="385" t="s">
        <v>444</v>
      </c>
      <c r="C730" s="385" t="s">
        <v>741</v>
      </c>
      <c r="D730" s="385" t="s">
        <v>88</v>
      </c>
      <c r="E730" s="385" t="s">
        <v>26</v>
      </c>
      <c r="F730" s="385"/>
      <c r="G730" s="385" t="s">
        <v>130</v>
      </c>
      <c r="H730" s="385">
        <v>2026</v>
      </c>
      <c r="I730" s="386">
        <v>46056</v>
      </c>
      <c r="J730" s="30" t="s">
        <v>4951</v>
      </c>
      <c r="K730" s="385" t="s">
        <v>62</v>
      </c>
      <c r="L730" s="386">
        <v>46063</v>
      </c>
      <c r="M730" s="385"/>
      <c r="N730" s="386">
        <v>46064</v>
      </c>
      <c r="O730" s="386">
        <v>46064</v>
      </c>
      <c r="P730" s="385">
        <f>IFERROR(
    IF(
        OR(ISBLANK(I730), ISBLANK(L730)),
        "",
        MAX(
            1,
            IF(
                NETWORKDAYS(I730, L730, Holiday_Dates) &lt;= 0,
                1,
                NETWORKDAYS(I730, L730, Holiday_Dates) - IF(I730 = L730, 0, 1)
            )
        )
    ),
    ""
)</f>
        <v>5</v>
      </c>
      <c r="Q730" s="385" t="str">
        <f>IF(
    OR(ISBLANK(L730), ISBLANK(M730)),
    "",
    MAX(
        1,
        IF(
            NETWORKDAYS(L730, M730, Holiday_Dates) &lt;= 0,
            1,
            NETWORKDAYS(L730, M730, Holiday_Dates) - IF(L730 = M730, 0, 1)
        )
    )
)</f>
        <v/>
      </c>
      <c r="R730" s="385">
        <f>IFERROR(
    IF(
        OR(ISBLANK(N730), AND(ISBLANK(L730), ISBLANK(M730))),
        "",
        MAX(
            1,
            IF(
                NETWORKDAYS(IF(NOT(ISBLANK(M730)), M730, L730), N730, Holiday_Dates) &lt;= 0,
                1,
                NETWORKDAYS(IF(NOT(ISBLANK(M730)), M730, L730), N730, Holiday_Dates)
                - IF(IF(NOT(ISBLANK(M730)), M730, L730) = N730, 0, 1)
            )
        )
    ),
    ""
)</f>
        <v>1</v>
      </c>
      <c r="S730" s="385">
        <f>IFERROR(
    IF(
        OR(ISBLANK(N730), ISBLANK(O730)),
        "",
        MAX(
            1,
            IF(
                NETWORKDAYS(N730, O730, Holiday_Dates) &lt;= 0,
                1,
                NETWORKDAYS(N730, O730, Holiday_Dates) - IF(N730 = O730, 0, 1)
            )
        )
    ),
    ""
)</f>
        <v>1</v>
      </c>
      <c r="T730" s="385" t="s">
        <v>929</v>
      </c>
      <c r="U730" s="385" t="s">
        <v>4</v>
      </c>
      <c r="V730" s="385" t="s">
        <v>101</v>
      </c>
      <c r="W730" s="385" t="s">
        <v>4710</v>
      </c>
      <c r="X730" s="1"/>
    </row>
    <row r="731" spans="1:24">
      <c r="A731" s="385" t="s">
        <v>51</v>
      </c>
      <c r="B731" s="385" t="s">
        <v>1364</v>
      </c>
      <c r="C731" s="385" t="s">
        <v>3488</v>
      </c>
      <c r="D731" s="385" t="s">
        <v>88</v>
      </c>
      <c r="E731" s="385" t="s">
        <v>33</v>
      </c>
      <c r="F731" s="385"/>
      <c r="G731" s="385" t="s">
        <v>239</v>
      </c>
      <c r="H731" s="385">
        <v>2026</v>
      </c>
      <c r="I731" s="386">
        <v>46056</v>
      </c>
      <c r="J731" s="30" t="s">
        <v>4952</v>
      </c>
      <c r="K731" s="385" t="s">
        <v>62</v>
      </c>
      <c r="L731" s="386">
        <v>46059</v>
      </c>
      <c r="M731" s="385"/>
      <c r="N731" s="386">
        <v>46064</v>
      </c>
      <c r="O731" s="386">
        <v>46064</v>
      </c>
      <c r="P731" s="385">
        <f>IFERROR(
    IF(
        OR(ISBLANK(I731), ISBLANK(L731)),
        "",
        MAX(
            1,
            IF(
                NETWORKDAYS(I731, L731, Holiday_Dates) &lt;= 0,
                1,
                NETWORKDAYS(I731, L731, Holiday_Dates) - IF(I731 = L731, 0, 1)
            )
        )
    ),
    ""
)</f>
        <v>3</v>
      </c>
      <c r="Q731" s="385" t="str">
        <f>IF(
    OR(ISBLANK(L731), ISBLANK(M731)),
    "",
    MAX(
        1,
        IF(
            NETWORKDAYS(L731, M731, Holiday_Dates) &lt;= 0,
            1,
            NETWORKDAYS(L731, M731, Holiday_Dates) - IF(L731 = M731, 0, 1)
        )
    )
)</f>
        <v/>
      </c>
      <c r="R731" s="385">
        <f>IFERROR(
    IF(
        OR(ISBLANK(N731), AND(ISBLANK(L731), ISBLANK(M731))),
        "",
        MAX(
            1,
            IF(
                NETWORKDAYS(IF(NOT(ISBLANK(M731)), M731, L731), N731, Holiday_Dates) &lt;= 0,
                1,
                NETWORKDAYS(IF(NOT(ISBLANK(M731)), M731, L731), N731, Holiday_Dates)
                - IF(IF(NOT(ISBLANK(M731)), M731, L731) = N731, 0, 1)
            )
        )
    ),
    ""
)</f>
        <v>3</v>
      </c>
      <c r="S731" s="385">
        <f>IFERROR(
    IF(
        OR(ISBLANK(N731), ISBLANK(O731)),
        "",
        MAX(
            1,
            IF(
                NETWORKDAYS(N731, O731, Holiday_Dates) &lt;= 0,
                1,
                NETWORKDAYS(N731, O731, Holiday_Dates) - IF(N731 = O731, 0, 1)
            )
        )
    ),
    ""
)</f>
        <v>1</v>
      </c>
      <c r="T731" s="385" t="s">
        <v>929</v>
      </c>
      <c r="U731" s="385" t="s">
        <v>672</v>
      </c>
      <c r="V731" s="385" t="s">
        <v>101</v>
      </c>
      <c r="W731" s="385" t="s">
        <v>4710</v>
      </c>
      <c r="X731" s="1"/>
    </row>
    <row r="732" spans="1:24">
      <c r="A732" s="385" t="s">
        <v>51</v>
      </c>
      <c r="B732" s="385" t="s">
        <v>1364</v>
      </c>
      <c r="C732" s="385" t="s">
        <v>3489</v>
      </c>
      <c r="D732" s="385" t="s">
        <v>88</v>
      </c>
      <c r="E732" s="385" t="s">
        <v>33</v>
      </c>
      <c r="F732" s="385"/>
      <c r="G732" s="385" t="s">
        <v>239</v>
      </c>
      <c r="H732" s="385">
        <v>2026</v>
      </c>
      <c r="I732" s="386">
        <v>46063</v>
      </c>
      <c r="J732" s="30" t="s">
        <v>4953</v>
      </c>
      <c r="K732" s="385" t="s">
        <v>62</v>
      </c>
      <c r="L732" s="386">
        <v>46067</v>
      </c>
      <c r="M732" s="385"/>
      <c r="N732" s="386">
        <v>46069</v>
      </c>
      <c r="O732" s="386">
        <v>46069</v>
      </c>
      <c r="P732" s="385">
        <f>IFERROR(
    IF(
        OR(ISBLANK(I732), ISBLANK(L732)),
        "",
        MAX(
            1,
            IF(
                NETWORKDAYS(I732, L732, Holiday_Dates) &lt;= 0,
                1,
                NETWORKDAYS(I732, L732, Holiday_Dates) - IF(I732 = L732, 0, 1)
            )
        )
    ),
    ""
)</f>
        <v>3</v>
      </c>
      <c r="Q732" s="385" t="str">
        <f>IF(
    OR(ISBLANK(L732), ISBLANK(M732)),
    "",
    MAX(
        1,
        IF(
            NETWORKDAYS(L732, M732, Holiday_Dates) &lt;= 0,
            1,
            NETWORKDAYS(L732, M732, Holiday_Dates) - IF(L732 = M732, 0, 1)
        )
    )
)</f>
        <v/>
      </c>
      <c r="R732" s="385">
        <f>IFERROR(
    IF(
        OR(ISBLANK(N732), AND(ISBLANK(L732), ISBLANK(M732))),
        "",
        MAX(
            1,
            IF(
                NETWORKDAYS(IF(NOT(ISBLANK(M732)), M732, L732), N732, Holiday_Dates) &lt;= 0,
                1,
                NETWORKDAYS(IF(NOT(ISBLANK(M732)), M732, L732), N732, Holiday_Dates)
                - IF(IF(NOT(ISBLANK(M732)), M732, L732) = N732, 0, 1)
            )
        )
    ),
    ""
)</f>
        <v>1</v>
      </c>
      <c r="S732" s="385">
        <f>IFERROR(
    IF(
        OR(ISBLANK(N732), ISBLANK(O732)),
        "",
        MAX(
            1,
            IF(
                NETWORKDAYS(N732, O732, Holiday_Dates) &lt;= 0,
                1,
                NETWORKDAYS(N732, O732, Holiday_Dates) - IF(N732 = O732, 0, 1)
            )
        )
    ),
    ""
)</f>
        <v>1</v>
      </c>
      <c r="T732" s="385" t="s">
        <v>929</v>
      </c>
      <c r="U732" s="385" t="s">
        <v>672</v>
      </c>
      <c r="V732" s="385" t="s">
        <v>101</v>
      </c>
      <c r="W732" s="385" t="s">
        <v>4710</v>
      </c>
      <c r="X732" s="1"/>
    </row>
    <row r="733" spans="1:24">
      <c r="A733" s="385" t="s">
        <v>49</v>
      </c>
      <c r="B733" s="385" t="s">
        <v>434</v>
      </c>
      <c r="C733" s="385" t="s">
        <v>2457</v>
      </c>
      <c r="D733" s="385" t="s">
        <v>88</v>
      </c>
      <c r="E733" s="385"/>
      <c r="F733" s="385"/>
      <c r="G733" s="385"/>
      <c r="H733" s="385">
        <v>2024</v>
      </c>
      <c r="I733" s="386">
        <v>45422</v>
      </c>
      <c r="J733" s="30"/>
      <c r="K733" s="385"/>
      <c r="L733" s="385"/>
      <c r="M733" s="385"/>
      <c r="N733" s="385"/>
      <c r="O733" s="385"/>
      <c r="P733" s="385" t="str">
        <f>IFERROR(
    IF(
        OR(ISBLANK(I733), ISBLANK(L733)),
        "",
        MAX(
            1,
            IF(
                NETWORKDAYS(I733, L733, Holiday_Dates) &lt;= 0,
                1,
                NETWORKDAYS(I733, L733, Holiday_Dates) - IF(I733 = L733, 0, 1)
            )
        )
    ),
    ""
)</f>
        <v/>
      </c>
      <c r="Q733" s="385" t="str">
        <f>IF(
    OR(ISBLANK(L733), ISBLANK(M733)),
    "",
    MAX(
        1,
        IF(
            NETWORKDAYS(L733, M733, Holiday_Dates) &lt;= 0,
            1,
            NETWORKDAYS(L733, M733, Holiday_Dates) - IF(L733 = M733, 0, 1)
        )
    )
)</f>
        <v/>
      </c>
      <c r="R733" s="385" t="str">
        <f>IFERROR(
    IF(
        OR(ISBLANK(N733), AND(ISBLANK(L733), ISBLANK(M733))),
        "",
        MAX(
            1,
            IF(
                NETWORKDAYS(IF(NOT(ISBLANK(M733)), M733, L733), N733, Holiday_Dates) &lt;= 0,
                1,
                NETWORKDAYS(IF(NOT(ISBLANK(M733)), M733, L733), N733, Holiday_Dates)
                - IF(IF(NOT(ISBLANK(M733)), M733, L733) = N733, 0, 1)
            )
        )
    ),
    ""
)</f>
        <v/>
      </c>
      <c r="S733" s="385" t="str">
        <f>IFERROR(
    IF(
        OR(ISBLANK(N733), ISBLANK(O733)),
        "",
        MAX(
            1,
            IF(
                NETWORKDAYS(N733, O733, Holiday_Dates) &lt;= 0,
                1,
                NETWORKDAYS(N733, O733, Holiday_Dates) - IF(N733 = O733, 0, 1)
            )
        )
    ),
    ""
)</f>
        <v/>
      </c>
      <c r="T733" s="385"/>
      <c r="U733" s="385" t="s">
        <v>672</v>
      </c>
      <c r="V733" s="385"/>
      <c r="W733" s="385" t="s">
        <v>1436</v>
      </c>
      <c r="X733" s="1"/>
    </row>
    <row r="734" spans="1:24">
      <c r="A734" s="385" t="s">
        <v>51</v>
      </c>
      <c r="B734" s="385" t="s">
        <v>1364</v>
      </c>
      <c r="C734" s="385" t="s">
        <v>3492</v>
      </c>
      <c r="D734" s="385" t="s">
        <v>88</v>
      </c>
      <c r="E734" s="385" t="s">
        <v>33</v>
      </c>
      <c r="F734" s="385"/>
      <c r="G734" s="385" t="s">
        <v>239</v>
      </c>
      <c r="H734" s="385">
        <v>2026</v>
      </c>
      <c r="I734" s="386">
        <v>46056</v>
      </c>
      <c r="J734" s="30" t="s">
        <v>4954</v>
      </c>
      <c r="K734" s="385" t="s">
        <v>62</v>
      </c>
      <c r="L734" s="386">
        <v>46059</v>
      </c>
      <c r="M734" s="386"/>
      <c r="N734" s="386">
        <v>46064</v>
      </c>
      <c r="O734" s="386">
        <v>46064</v>
      </c>
      <c r="P734" s="385">
        <f>IFERROR(
    IF(
        OR(ISBLANK(I734), ISBLANK(L734)),
        "",
        MAX(
            1,
            IF(
                NETWORKDAYS(I734, L734, Holiday_Dates) &lt;= 0,
                1,
                NETWORKDAYS(I734, L734, Holiday_Dates) - IF(I734 = L734, 0, 1)
            )
        )
    ),
    ""
)</f>
        <v>3</v>
      </c>
      <c r="Q734" s="385" t="str">
        <f>IF(
    OR(ISBLANK(L734), ISBLANK(M734)),
    "",
    MAX(
        1,
        IF(
            NETWORKDAYS(L734, M734, Holiday_Dates) &lt;= 0,
            1,
            NETWORKDAYS(L734, M734, Holiday_Dates) - IF(L734 = M734, 0, 1)
        )
    )
)</f>
        <v/>
      </c>
      <c r="R734" s="385">
        <f>IFERROR(
    IF(
        OR(ISBLANK(N734), AND(ISBLANK(L734), ISBLANK(M734))),
        "",
        MAX(
            1,
            IF(
                NETWORKDAYS(IF(NOT(ISBLANK(M734)), M734, L734), N734, Holiday_Dates) &lt;= 0,
                1,
                NETWORKDAYS(IF(NOT(ISBLANK(M734)), M734, L734), N734, Holiday_Dates)
                - IF(IF(NOT(ISBLANK(M734)), M734, L734) = N734, 0, 1)
            )
        )
    ),
    ""
)</f>
        <v>3</v>
      </c>
      <c r="S734" s="385">
        <f>IFERROR(
    IF(
        OR(ISBLANK(N734), ISBLANK(O734)),
        "",
        MAX(
            1,
            IF(
                NETWORKDAYS(N734, O734, Holiday_Dates) &lt;= 0,
                1,
                NETWORKDAYS(N734, O734, Holiday_Dates) - IF(N734 = O734, 0, 1)
            )
        )
    ),
    ""
)</f>
        <v>1</v>
      </c>
      <c r="T734" s="385" t="s">
        <v>929</v>
      </c>
      <c r="U734" s="385" t="s">
        <v>672</v>
      </c>
      <c r="V734" s="385" t="s">
        <v>108</v>
      </c>
      <c r="W734" s="385" t="s">
        <v>4710</v>
      </c>
      <c r="X734" s="1"/>
    </row>
    <row r="735" spans="1:24">
      <c r="A735" s="385" t="s">
        <v>49</v>
      </c>
      <c r="B735" s="385" t="s">
        <v>437</v>
      </c>
      <c r="C735" s="385" t="s">
        <v>2460</v>
      </c>
      <c r="D735" s="385" t="s">
        <v>88</v>
      </c>
      <c r="E735" s="385"/>
      <c r="F735" s="385"/>
      <c r="G735" s="385"/>
      <c r="H735" s="385">
        <v>2025</v>
      </c>
      <c r="I735" s="386">
        <v>45723</v>
      </c>
      <c r="J735" s="30" t="s">
        <v>4955</v>
      </c>
      <c r="K735" s="385"/>
      <c r="L735" s="385"/>
      <c r="M735" s="385"/>
      <c r="N735" s="385"/>
      <c r="O735" s="385"/>
      <c r="P735" s="385" t="str">
        <f>IFERROR(
    IF(
        OR(ISBLANK(I735), ISBLANK(L735)),
        "",
        MAX(
            1,
            IF(
                NETWORKDAYS(I735, L735, Holiday_Dates) &lt;= 0,
                1,
                NETWORKDAYS(I735, L735, Holiday_Dates) - IF(I735 = L735, 0, 1)
            )
        )
    ),
    ""
)</f>
        <v/>
      </c>
      <c r="Q735" s="385" t="str">
        <f>IF(
    OR(ISBLANK(L735), ISBLANK(M735)),
    "",
    MAX(
        1,
        IF(
            NETWORKDAYS(L735, M735, Holiday_Dates) &lt;= 0,
            1,
            NETWORKDAYS(L735, M735, Holiday_Dates) - IF(L735 = M735, 0, 1)
        )
    )
)</f>
        <v/>
      </c>
      <c r="R735" s="385" t="str">
        <f>IFERROR(
    IF(
        OR(ISBLANK(N735), AND(ISBLANK(L735), ISBLANK(M735))),
        "",
        MAX(
            1,
            IF(
                NETWORKDAYS(IF(NOT(ISBLANK(M735)), M735, L735), N735, Holiday_Dates) &lt;= 0,
                1,
                NETWORKDAYS(IF(NOT(ISBLANK(M735)), M735, L735), N735, Holiday_Dates)
                - IF(IF(NOT(ISBLANK(M735)), M735, L735) = N735, 0, 1)
            )
        )
    ),
    ""
)</f>
        <v/>
      </c>
      <c r="S735" s="385" t="str">
        <f>IFERROR(
    IF(
        OR(ISBLANK(N735), ISBLANK(O735)),
        "",
        MAX(
            1,
            IF(
                NETWORKDAYS(N735, O735, Holiday_Dates) &lt;= 0,
                1,
                NETWORKDAYS(N735, O735, Holiday_Dates) - IF(N735 = O735, 0, 1)
            )
        )
    ),
    ""
)</f>
        <v/>
      </c>
      <c r="T735" s="385"/>
      <c r="U735" s="385" t="s">
        <v>672</v>
      </c>
      <c r="V735" s="385" t="s">
        <v>101</v>
      </c>
      <c r="W735" s="385" t="s">
        <v>1436</v>
      </c>
      <c r="X735" s="1"/>
    </row>
    <row r="736" spans="1:24">
      <c r="A736" s="385" t="s">
        <v>51</v>
      </c>
      <c r="B736" s="385" t="s">
        <v>1364</v>
      </c>
      <c r="C736" s="385" t="s">
        <v>3493</v>
      </c>
      <c r="D736" s="385" t="s">
        <v>88</v>
      </c>
      <c r="E736" s="385" t="s">
        <v>33</v>
      </c>
      <c r="F736" s="385"/>
      <c r="G736" s="385" t="s">
        <v>239</v>
      </c>
      <c r="H736" s="385">
        <v>2026</v>
      </c>
      <c r="I736" s="386">
        <v>46069</v>
      </c>
      <c r="J736" s="30" t="s">
        <v>4956</v>
      </c>
      <c r="K736" s="385" t="s">
        <v>62</v>
      </c>
      <c r="L736" s="386">
        <v>46071</v>
      </c>
      <c r="M736" s="385"/>
      <c r="N736" s="386">
        <v>46071</v>
      </c>
      <c r="O736" s="386">
        <v>46071</v>
      </c>
      <c r="P736" s="385">
        <f>IFERROR(
    IF(
        OR(ISBLANK(I736), ISBLANK(L736)),
        "",
        MAX(
            1,
            IF(
                NETWORKDAYS(I736, L736, Holiday_Dates) &lt;= 0,
                1,
                NETWORKDAYS(I736, L736, Holiday_Dates) - IF(I736 = L736, 0, 1)
            )
        )
    ),
    ""
)</f>
        <v>2</v>
      </c>
      <c r="Q736" s="385" t="str">
        <f>IF(
    OR(ISBLANK(L736), ISBLANK(M736)),
    "",
    MAX(
        1,
        IF(
            NETWORKDAYS(L736, M736, Holiday_Dates) &lt;= 0,
            1,
            NETWORKDAYS(L736, M736, Holiday_Dates) - IF(L736 = M736, 0, 1)
        )
    )
)</f>
        <v/>
      </c>
      <c r="R736" s="385">
        <f>IFERROR(
    IF(
        OR(ISBLANK(N736), AND(ISBLANK(L736), ISBLANK(M736))),
        "",
        MAX(
            1,
            IF(
                NETWORKDAYS(IF(NOT(ISBLANK(M736)), M736, L736), N736, Holiday_Dates) &lt;= 0,
                1,
                NETWORKDAYS(IF(NOT(ISBLANK(M736)), M736, L736), N736, Holiday_Dates)
                - IF(IF(NOT(ISBLANK(M736)), M736, L736) = N736, 0, 1)
            )
        )
    ),
    ""
)</f>
        <v>1</v>
      </c>
      <c r="S736" s="385">
        <f>IFERROR(
    IF(
        OR(ISBLANK(N736), ISBLANK(O736)),
        "",
        MAX(
            1,
            IF(
                NETWORKDAYS(N736, O736, Holiday_Dates) &lt;= 0,
                1,
                NETWORKDAYS(N736, O736, Holiday_Dates) - IF(N736 = O736, 0, 1)
            )
        )
    ),
    ""
)</f>
        <v>1</v>
      </c>
      <c r="T736" s="385" t="s">
        <v>929</v>
      </c>
      <c r="U736" s="385" t="s">
        <v>672</v>
      </c>
      <c r="V736" s="385" t="s">
        <v>1676</v>
      </c>
      <c r="W736" s="385" t="s">
        <v>4710</v>
      </c>
      <c r="X736" s="1"/>
    </row>
    <row r="737" spans="1:24">
      <c r="A737" s="385" t="s">
        <v>51</v>
      </c>
      <c r="B737" s="385" t="s">
        <v>1364</v>
      </c>
      <c r="C737" s="385" t="s">
        <v>3494</v>
      </c>
      <c r="D737" s="385" t="s">
        <v>88</v>
      </c>
      <c r="E737" s="385" t="s">
        <v>33</v>
      </c>
      <c r="F737" s="385"/>
      <c r="G737" s="385" t="s">
        <v>239</v>
      </c>
      <c r="H737" s="385">
        <v>2026</v>
      </c>
      <c r="I737" s="386">
        <v>46072</v>
      </c>
      <c r="J737" s="30" t="s">
        <v>4957</v>
      </c>
      <c r="K737" s="385" t="s">
        <v>62</v>
      </c>
      <c r="L737" s="386">
        <v>46072</v>
      </c>
      <c r="M737" s="385"/>
      <c r="N737" s="386">
        <v>46072</v>
      </c>
      <c r="O737" s="386">
        <v>46071</v>
      </c>
      <c r="P737" s="385">
        <f>IFERROR(
    IF(
        OR(ISBLANK(I737), ISBLANK(L737)),
        "",
        MAX(
            1,
            IF(
                NETWORKDAYS(I737, L737, Holiday_Dates) &lt;= 0,
                1,
                NETWORKDAYS(I737, L737, Holiday_Dates) - IF(I737 = L737, 0, 1)
            )
        )
    ),
    ""
)</f>
        <v>1</v>
      </c>
      <c r="Q737" s="385" t="str">
        <f>IF(
    OR(ISBLANK(L737), ISBLANK(M737)),
    "",
    MAX(
        1,
        IF(
            NETWORKDAYS(L737, M737, Holiday_Dates) &lt;= 0,
            1,
            NETWORKDAYS(L737, M737, Holiday_Dates) - IF(L737 = M737, 0, 1)
        )
    )
)</f>
        <v/>
      </c>
      <c r="R737" s="385">
        <f>IFERROR(
    IF(
        OR(ISBLANK(N737), AND(ISBLANK(L737), ISBLANK(M737))),
        "",
        MAX(
            1,
            IF(
                NETWORKDAYS(IF(NOT(ISBLANK(M737)), M737, L737), N737, Holiday_Dates) &lt;= 0,
                1,
                NETWORKDAYS(IF(NOT(ISBLANK(M737)), M737, L737), N737, Holiday_Dates)
                - IF(IF(NOT(ISBLANK(M737)), M737, L737) = N737, 0, 1)
            )
        )
    ),
    ""
)</f>
        <v>1</v>
      </c>
      <c r="S737" s="385">
        <f>IFERROR(
    IF(
        OR(ISBLANK(N737), ISBLANK(O737)),
        "",
        MAX(
            1,
            IF(
                NETWORKDAYS(N737, O737, Holiday_Dates) &lt;= 0,
                1,
                NETWORKDAYS(N737, O737, Holiday_Dates) - IF(N737 = O737, 0, 1)
            )
        )
    ),
    ""
)</f>
        <v>1</v>
      </c>
      <c r="T737" s="385" t="s">
        <v>929</v>
      </c>
      <c r="U737" s="385" t="s">
        <v>672</v>
      </c>
      <c r="V737" s="385" t="s">
        <v>101</v>
      </c>
      <c r="W737" s="385" t="s">
        <v>4710</v>
      </c>
      <c r="X737" s="1"/>
    </row>
    <row r="738" spans="1:24">
      <c r="A738" s="385" t="s">
        <v>49</v>
      </c>
      <c r="B738" s="385" t="s">
        <v>437</v>
      </c>
      <c r="C738" s="385" t="s">
        <v>2462</v>
      </c>
      <c r="D738" s="385" t="s">
        <v>88</v>
      </c>
      <c r="E738" s="385"/>
      <c r="F738" s="385"/>
      <c r="G738" s="385"/>
      <c r="H738" s="385">
        <v>2024</v>
      </c>
      <c r="I738" s="386">
        <v>45450</v>
      </c>
      <c r="J738" s="30"/>
      <c r="K738" s="385"/>
      <c r="L738" s="385"/>
      <c r="M738" s="385"/>
      <c r="N738" s="385"/>
      <c r="O738" s="385"/>
      <c r="P738" s="385" t="str">
        <f>IFERROR(
    IF(
        OR(ISBLANK(I738), ISBLANK(L738)),
        "",
        MAX(
            1,
            IF(
                NETWORKDAYS(I738, L738, Holiday_Dates) &lt;= 0,
                1,
                NETWORKDAYS(I738, L738, Holiday_Dates) - IF(I738 = L738, 0, 1)
            )
        )
    ),
    ""
)</f>
        <v/>
      </c>
      <c r="Q738" s="385" t="str">
        <f>IF(
    OR(ISBLANK(L738), ISBLANK(M738)),
    "",
    MAX(
        1,
        IF(
            NETWORKDAYS(L738, M738, Holiday_Dates) &lt;= 0,
            1,
            NETWORKDAYS(L738, M738, Holiday_Dates) - IF(L738 = M738, 0, 1)
        )
    )
)</f>
        <v/>
      </c>
      <c r="R738" s="385" t="str">
        <f>IFERROR(
    IF(
        OR(ISBLANK(N738), AND(ISBLANK(L738), ISBLANK(M738))),
        "",
        MAX(
            1,
            IF(
                NETWORKDAYS(IF(NOT(ISBLANK(M738)), M738, L738), N738, Holiday_Dates) &lt;= 0,
                1,
                NETWORKDAYS(IF(NOT(ISBLANK(M738)), M738, L738), N738, Holiday_Dates)
                - IF(IF(NOT(ISBLANK(M738)), M738, L738) = N738, 0, 1)
            )
        )
    ),
    ""
)</f>
        <v/>
      </c>
      <c r="S738" s="385" t="str">
        <f>IFERROR(
    IF(
        OR(ISBLANK(N738), ISBLANK(O738)),
        "",
        MAX(
            1,
            IF(
                NETWORKDAYS(N738, O738, Holiday_Dates) &lt;= 0,
                1,
                NETWORKDAYS(N738, O738, Holiday_Dates) - IF(N738 = O738, 0, 1)
            )
        )
    ),
    ""
)</f>
        <v/>
      </c>
      <c r="T738" s="385"/>
      <c r="U738" s="385" t="s">
        <v>672</v>
      </c>
      <c r="V738" s="385"/>
      <c r="W738" s="385" t="s">
        <v>1436</v>
      </c>
      <c r="X738" s="1"/>
    </row>
    <row r="739" spans="1:24">
      <c r="A739" s="385" t="s">
        <v>51</v>
      </c>
      <c r="B739" s="385" t="s">
        <v>389</v>
      </c>
      <c r="C739" s="385" t="s">
        <v>3531</v>
      </c>
      <c r="D739" s="385" t="s">
        <v>88</v>
      </c>
      <c r="E739" s="385" t="s">
        <v>32</v>
      </c>
      <c r="F739" s="385"/>
      <c r="G739" s="385" t="s">
        <v>133</v>
      </c>
      <c r="H739" s="385">
        <v>2026</v>
      </c>
      <c r="I739" s="386">
        <v>46064</v>
      </c>
      <c r="J739" s="30" t="s">
        <v>4958</v>
      </c>
      <c r="K739" s="385" t="s">
        <v>62</v>
      </c>
      <c r="L739" s="386">
        <v>46066</v>
      </c>
      <c r="M739" s="385"/>
      <c r="N739" s="386">
        <v>46069</v>
      </c>
      <c r="O739" s="386">
        <v>46069</v>
      </c>
      <c r="P739" s="385">
        <f>IFERROR(
    IF(
        OR(ISBLANK(I739), ISBLANK(L739)),
        "",
        MAX(
            1,
            IF(
                NETWORKDAYS(I739, L739, Holiday_Dates) &lt;= 0,
                1,
                NETWORKDAYS(I739, L739, Holiday_Dates) - IF(I739 = L739, 0, 1)
            )
        )
    ),
    ""
)</f>
        <v>2</v>
      </c>
      <c r="Q739" s="385" t="str">
        <f>IF(
    OR(ISBLANK(L739), ISBLANK(M739)),
    "",
    MAX(
        1,
        IF(
            NETWORKDAYS(L739, M739, Holiday_Dates) &lt;= 0,
            1,
            NETWORKDAYS(L739, M739, Holiday_Dates) - IF(L739 = M739, 0, 1)
        )
    )
)</f>
        <v/>
      </c>
      <c r="R739" s="385">
        <f>IFERROR(
    IF(
        OR(ISBLANK(N739), AND(ISBLANK(L739), ISBLANK(M739))),
        "",
        MAX(
            1,
            IF(
                NETWORKDAYS(IF(NOT(ISBLANK(M739)), M739, L739), N739, Holiday_Dates) &lt;= 0,
                1,
                NETWORKDAYS(IF(NOT(ISBLANK(M739)), M739, L739), N739, Holiday_Dates)
                - IF(IF(NOT(ISBLANK(M739)), M739, L739) = N739, 0, 1)
            )
        )
    ),
    ""
)</f>
        <v>1</v>
      </c>
      <c r="S739" s="385">
        <f>IFERROR(
    IF(
        OR(ISBLANK(N739), ISBLANK(O739)),
        "",
        MAX(
            1,
            IF(
                NETWORKDAYS(N739, O739, Holiday_Dates) &lt;= 0,
                1,
                NETWORKDAYS(N739, O739, Holiday_Dates) - IF(N739 = O739, 0, 1)
            )
        )
    ),
    ""
)</f>
        <v>1</v>
      </c>
      <c r="T739" s="385" t="s">
        <v>929</v>
      </c>
      <c r="U739" s="385" t="s">
        <v>4708</v>
      </c>
      <c r="V739" s="385" t="s">
        <v>4782</v>
      </c>
      <c r="W739" s="385" t="s">
        <v>4710</v>
      </c>
      <c r="X739" s="1"/>
    </row>
    <row r="740" spans="1:24">
      <c r="A740" s="385" t="s">
        <v>51</v>
      </c>
      <c r="B740" s="385" t="s">
        <v>389</v>
      </c>
      <c r="C740" s="385" t="s">
        <v>3533</v>
      </c>
      <c r="D740" s="385" t="s">
        <v>88</v>
      </c>
      <c r="E740" s="385" t="s">
        <v>32</v>
      </c>
      <c r="F740" s="385"/>
      <c r="G740" s="385" t="s">
        <v>133</v>
      </c>
      <c r="H740" s="385">
        <v>2026</v>
      </c>
      <c r="I740" s="386">
        <v>46065</v>
      </c>
      <c r="J740" s="30" t="s">
        <v>4959</v>
      </c>
      <c r="K740" s="385" t="s">
        <v>62</v>
      </c>
      <c r="L740" s="386">
        <v>46066</v>
      </c>
      <c r="M740" s="385"/>
      <c r="N740" s="386">
        <v>46069</v>
      </c>
      <c r="O740" s="386">
        <v>46069</v>
      </c>
      <c r="P740" s="385">
        <f>IFERROR(
    IF(
        OR(ISBLANK(I740), ISBLANK(L740)),
        "",
        MAX(
            1,
            IF(
                NETWORKDAYS(I740, L740, Holiday_Dates) &lt;= 0,
                1,
                NETWORKDAYS(I740, L740, Holiday_Dates) - IF(I740 = L740, 0, 1)
            )
        )
    ),
    ""
)</f>
        <v>1</v>
      </c>
      <c r="Q740" s="385" t="str">
        <f>IF(
    OR(ISBLANK(L740), ISBLANK(M740)),
    "",
    MAX(
        1,
        IF(
            NETWORKDAYS(L740, M740, Holiday_Dates) &lt;= 0,
            1,
            NETWORKDAYS(L740, M740, Holiday_Dates) - IF(L740 = M740, 0, 1)
        )
    )
)</f>
        <v/>
      </c>
      <c r="R740" s="385">
        <f>IFERROR(
    IF(
        OR(ISBLANK(N740), AND(ISBLANK(L740), ISBLANK(M740))),
        "",
        MAX(
            1,
            IF(
                NETWORKDAYS(IF(NOT(ISBLANK(M740)), M740, L740), N740, Holiday_Dates) &lt;= 0,
                1,
                NETWORKDAYS(IF(NOT(ISBLANK(M740)), M740, L740), N740, Holiday_Dates)
                - IF(IF(NOT(ISBLANK(M740)), M740, L740) = N740, 0, 1)
            )
        )
    ),
    ""
)</f>
        <v>1</v>
      </c>
      <c r="S740" s="385">
        <f>IFERROR(
    IF(
        OR(ISBLANK(N740), ISBLANK(O740)),
        "",
        MAX(
            1,
            IF(
                NETWORKDAYS(N740, O740, Holiday_Dates) &lt;= 0,
                1,
                NETWORKDAYS(N740, O740, Holiday_Dates) - IF(N740 = O740, 0, 1)
            )
        )
    ),
    ""
)</f>
        <v>1</v>
      </c>
      <c r="T740" s="385" t="s">
        <v>929</v>
      </c>
      <c r="U740" s="385" t="s">
        <v>4</v>
      </c>
      <c r="V740" s="385" t="s">
        <v>101</v>
      </c>
      <c r="W740" s="385" t="s">
        <v>4710</v>
      </c>
      <c r="X740" s="1"/>
    </row>
    <row r="741" spans="1:24">
      <c r="A741" s="385" t="s">
        <v>51</v>
      </c>
      <c r="B741" s="385" t="s">
        <v>389</v>
      </c>
      <c r="C741" s="385" t="s">
        <v>3536</v>
      </c>
      <c r="D741" s="385" t="s">
        <v>88</v>
      </c>
      <c r="E741" s="385" t="s">
        <v>32</v>
      </c>
      <c r="F741" s="385"/>
      <c r="G741" s="385" t="s">
        <v>133</v>
      </c>
      <c r="H741" s="385">
        <v>2026</v>
      </c>
      <c r="I741" s="386">
        <v>46065</v>
      </c>
      <c r="J741" s="30" t="s">
        <v>4960</v>
      </c>
      <c r="K741" s="385" t="s">
        <v>62</v>
      </c>
      <c r="L741" s="386">
        <v>46066</v>
      </c>
      <c r="M741" s="385"/>
      <c r="N741" s="386">
        <v>46069</v>
      </c>
      <c r="O741" s="386">
        <v>46069</v>
      </c>
      <c r="P741" s="385">
        <f>IFERROR(
    IF(
        OR(ISBLANK(I741), ISBLANK(L741)),
        "",
        MAX(
            1,
            IF(
                NETWORKDAYS(I741, L741, Holiday_Dates) &lt;= 0,
                1,
                NETWORKDAYS(I741, L741, Holiday_Dates) - IF(I741 = L741, 0, 1)
            )
        )
    ),
    ""
)</f>
        <v>1</v>
      </c>
      <c r="Q741" s="385" t="str">
        <f>IF(
    OR(ISBLANK(L741), ISBLANK(M741)),
    "",
    MAX(
        1,
        IF(
            NETWORKDAYS(L741, M741, Holiday_Dates) &lt;= 0,
            1,
            NETWORKDAYS(L741, M741, Holiday_Dates) - IF(L741 = M741, 0, 1)
        )
    )
)</f>
        <v/>
      </c>
      <c r="R741" s="385">
        <f>IFERROR(
    IF(
        OR(ISBLANK(N741), AND(ISBLANK(L741), ISBLANK(M741))),
        "",
        MAX(
            1,
            IF(
                NETWORKDAYS(IF(NOT(ISBLANK(M741)), M741, L741), N741, Holiday_Dates) &lt;= 0,
                1,
                NETWORKDAYS(IF(NOT(ISBLANK(M741)), M741, L741), N741, Holiday_Dates)
                - IF(IF(NOT(ISBLANK(M741)), M741, L741) = N741, 0, 1)
            )
        )
    ),
    ""
)</f>
        <v>1</v>
      </c>
      <c r="S741" s="385">
        <f>IFERROR(
    IF(
        OR(ISBLANK(N741), ISBLANK(O741)),
        "",
        MAX(
            1,
            IF(
                NETWORKDAYS(N741, O741, Holiday_Dates) &lt;= 0,
                1,
                NETWORKDAYS(N741, O741, Holiday_Dates) - IF(N741 = O741, 0, 1)
            )
        )
    ),
    ""
)</f>
        <v>1</v>
      </c>
      <c r="T741" s="385" t="s">
        <v>929</v>
      </c>
      <c r="U741" s="385" t="s">
        <v>4</v>
      </c>
      <c r="V741" s="385" t="s">
        <v>685</v>
      </c>
      <c r="W741" s="385" t="s">
        <v>4710</v>
      </c>
      <c r="X741" s="1"/>
    </row>
    <row r="742" spans="1:24">
      <c r="A742" s="385" t="s">
        <v>51</v>
      </c>
      <c r="B742" s="385" t="s">
        <v>389</v>
      </c>
      <c r="C742" s="385" t="s">
        <v>2475</v>
      </c>
      <c r="D742" s="385" t="s">
        <v>88</v>
      </c>
      <c r="E742" s="385" t="s">
        <v>32</v>
      </c>
      <c r="F742" s="385"/>
      <c r="G742" s="385" t="s">
        <v>133</v>
      </c>
      <c r="H742" s="385">
        <v>2026</v>
      </c>
      <c r="I742" s="386">
        <v>46065</v>
      </c>
      <c r="J742" s="30" t="s">
        <v>4961</v>
      </c>
      <c r="K742" s="385" t="s">
        <v>62</v>
      </c>
      <c r="L742" s="386">
        <v>46069</v>
      </c>
      <c r="M742" s="385"/>
      <c r="N742" s="386">
        <v>46070</v>
      </c>
      <c r="O742" s="386">
        <v>46070</v>
      </c>
      <c r="P742" s="385">
        <f>IFERROR(
    IF(
        OR(ISBLANK(I742), ISBLANK(L742)),
        "",
        MAX(
            1,
            IF(
                NETWORKDAYS(I742, L742, Holiday_Dates) &lt;= 0,
                1,
                NETWORKDAYS(I742, L742, Holiday_Dates) - IF(I742 = L742, 0, 1)
            )
        )
    ),
    ""
)</f>
        <v>2</v>
      </c>
      <c r="Q742" s="385" t="str">
        <f>IF(
    OR(ISBLANK(L742), ISBLANK(M742)),
    "",
    MAX(
        1,
        IF(
            NETWORKDAYS(L742, M742, Holiday_Dates) &lt;= 0,
            1,
            NETWORKDAYS(L742, M742, Holiday_Dates) - IF(L742 = M742, 0, 1)
        )
    )
)</f>
        <v/>
      </c>
      <c r="R742" s="385">
        <f>IFERROR(
    IF(
        OR(ISBLANK(N742), AND(ISBLANK(L742), ISBLANK(M742))),
        "",
        MAX(
            1,
            IF(
                NETWORKDAYS(IF(NOT(ISBLANK(M742)), M742, L742), N742, Holiday_Dates) &lt;= 0,
                1,
                NETWORKDAYS(IF(NOT(ISBLANK(M742)), M742, L742), N742, Holiday_Dates)
                - IF(IF(NOT(ISBLANK(M742)), M742, L742) = N742, 0, 1)
            )
        )
    ),
    ""
)</f>
        <v>1</v>
      </c>
      <c r="S742" s="385">
        <f>IFERROR(
    IF(
        OR(ISBLANK(N742), ISBLANK(O742)),
        "",
        MAX(
            1,
            IF(
                NETWORKDAYS(N742, O742, Holiday_Dates) &lt;= 0,
                1,
                NETWORKDAYS(N742, O742, Holiday_Dates) - IF(N742 = O742, 0, 1)
            )
        )
    ),
    ""
)</f>
        <v>1</v>
      </c>
      <c r="T742" s="385" t="s">
        <v>929</v>
      </c>
      <c r="U742" s="385" t="s">
        <v>4</v>
      </c>
      <c r="V742" s="385" t="s">
        <v>685</v>
      </c>
      <c r="W742" s="385" t="s">
        <v>4710</v>
      </c>
      <c r="X742" s="1"/>
    </row>
    <row r="743" spans="1:24">
      <c r="A743" s="385" t="s">
        <v>51</v>
      </c>
      <c r="B743" s="385" t="s">
        <v>389</v>
      </c>
      <c r="C743" s="385" t="s">
        <v>318</v>
      </c>
      <c r="D743" s="385" t="s">
        <v>88</v>
      </c>
      <c r="E743" s="385" t="s">
        <v>32</v>
      </c>
      <c r="F743" s="385"/>
      <c r="G743" s="385" t="s">
        <v>133</v>
      </c>
      <c r="H743" s="385">
        <v>2026</v>
      </c>
      <c r="I743" s="386">
        <v>46058</v>
      </c>
      <c r="J743" s="529" t="s">
        <v>4962</v>
      </c>
      <c r="K743" s="385" t="s">
        <v>62</v>
      </c>
      <c r="L743" s="386">
        <v>46058</v>
      </c>
      <c r="M743" s="385"/>
      <c r="N743" s="386">
        <v>46062</v>
      </c>
      <c r="O743" s="386">
        <v>46063</v>
      </c>
      <c r="P743" s="385">
        <f>IFERROR(
    IF(
        OR(ISBLANK(I743), ISBLANK(L743)),
        "",
        MAX(
            1,
            IF(
                NETWORKDAYS(I743, L743, Holiday_Dates) &lt;= 0,
                1,
                NETWORKDAYS(I743, L743, Holiday_Dates) - IF(I743 = L743, 0, 1)
            )
        )
    ),
    ""
)</f>
        <v>1</v>
      </c>
      <c r="Q743" s="385" t="str">
        <f>IF(
    OR(ISBLANK(L743), ISBLANK(M743)),
    "",
    MAX(
        1,
        IF(
            NETWORKDAYS(L743, M743, Holiday_Dates) &lt;= 0,
            1,
            NETWORKDAYS(L743, M743, Holiday_Dates) - IF(L743 = M743, 0, 1)
        )
    )
)</f>
        <v/>
      </c>
      <c r="R743" s="385">
        <f>IFERROR(
    IF(
        OR(ISBLANK(N743), AND(ISBLANK(L743), ISBLANK(M743))),
        "",
        MAX(
            1,
            IF(
                NETWORKDAYS(IF(NOT(ISBLANK(M743)), M743, L743), N743, Holiday_Dates) &lt;= 0,
                1,
                NETWORKDAYS(IF(NOT(ISBLANK(M743)), M743, L743), N743, Holiday_Dates)
                - IF(IF(NOT(ISBLANK(M743)), M743, L743) = N743, 0, 1)
            )
        )
    ),
    ""
)</f>
        <v>2</v>
      </c>
      <c r="S743" s="385">
        <f>IFERROR(
    IF(
        OR(ISBLANK(N743), ISBLANK(O743)),
        "",
        MAX(
            1,
            IF(
                NETWORKDAYS(N743, O743, Holiday_Dates) &lt;= 0,
                1,
                NETWORKDAYS(N743, O743, Holiday_Dates) - IF(N743 = O743, 0, 1)
            )
        )
    ),
    ""
)</f>
        <v>1</v>
      </c>
      <c r="T743" s="385" t="s">
        <v>929</v>
      </c>
      <c r="U743" s="385" t="s">
        <v>4</v>
      </c>
      <c r="V743" s="385" t="s">
        <v>108</v>
      </c>
      <c r="W743" s="385" t="s">
        <v>4710</v>
      </c>
      <c r="X743" s="1"/>
    </row>
    <row r="744" spans="1:24">
      <c r="A744" s="385" t="s">
        <v>49</v>
      </c>
      <c r="B744" s="385" t="s">
        <v>437</v>
      </c>
      <c r="C744" s="385" t="s">
        <v>771</v>
      </c>
      <c r="D744" s="385" t="s">
        <v>88</v>
      </c>
      <c r="E744" s="385"/>
      <c r="F744" s="385"/>
      <c r="G744" s="385"/>
      <c r="H744" s="385">
        <v>2024</v>
      </c>
      <c r="I744" s="386">
        <v>45450</v>
      </c>
      <c r="J744" s="30"/>
      <c r="K744" s="385"/>
      <c r="L744" s="385"/>
      <c r="M744" s="385"/>
      <c r="N744" s="385"/>
      <c r="O744" s="385"/>
      <c r="P744" s="385" t="str">
        <f>IFERROR(
    IF(
        OR(ISBLANK(I744), ISBLANK(L744)),
        "",
        MAX(
            1,
            IF(
                NETWORKDAYS(I744, L744, Holiday_Dates) &lt;= 0,
                1,
                NETWORKDAYS(I744, L744, Holiday_Dates) - IF(I744 = L744, 0, 1)
            )
        )
    ),
    ""
)</f>
        <v/>
      </c>
      <c r="Q744" s="385" t="str">
        <f>IF(
    OR(ISBLANK(L744), ISBLANK(M744)),
    "",
    MAX(
        1,
        IF(
            NETWORKDAYS(L744, M744, Holiday_Dates) &lt;= 0,
            1,
            NETWORKDAYS(L744, M744, Holiday_Dates) - IF(L744 = M744, 0, 1)
        )
    )
)</f>
        <v/>
      </c>
      <c r="R744" s="385" t="str">
        <f>IFERROR(
    IF(
        OR(ISBLANK(N744), AND(ISBLANK(L744), ISBLANK(M744))),
        "",
        MAX(
            1,
            IF(
                NETWORKDAYS(IF(NOT(ISBLANK(M744)), M744, L744), N744, Holiday_Dates) &lt;= 0,
                1,
                NETWORKDAYS(IF(NOT(ISBLANK(M744)), M744, L744), N744, Holiday_Dates)
                - IF(IF(NOT(ISBLANK(M744)), M744, L744) = N744, 0, 1)
            )
        )
    ),
    ""
)</f>
        <v/>
      </c>
      <c r="S744" s="385" t="str">
        <f>IFERROR(
    IF(
        OR(ISBLANK(N744), ISBLANK(O744)),
        "",
        MAX(
            1,
            IF(
                NETWORKDAYS(N744, O744, Holiday_Dates) &lt;= 0,
                1,
                NETWORKDAYS(N744, O744, Holiday_Dates) - IF(N744 = O744, 0, 1)
            )
        )
    ),
    ""
)</f>
        <v/>
      </c>
      <c r="T744" s="385"/>
      <c r="U744" s="385" t="s">
        <v>672</v>
      </c>
      <c r="V744" s="385"/>
      <c r="W744" s="385" t="s">
        <v>1436</v>
      </c>
      <c r="X744" s="1"/>
    </row>
    <row r="745" spans="1:24">
      <c r="A745" s="385" t="s">
        <v>49</v>
      </c>
      <c r="B745" s="385" t="s">
        <v>499</v>
      </c>
      <c r="C745" s="385" t="s">
        <v>2418</v>
      </c>
      <c r="D745" s="385" t="s">
        <v>88</v>
      </c>
      <c r="E745" s="385"/>
      <c r="F745" s="385"/>
      <c r="G745" s="385"/>
      <c r="H745" s="385">
        <v>2025</v>
      </c>
      <c r="I745" s="386">
        <v>45750</v>
      </c>
      <c r="J745" s="30" t="s">
        <v>4963</v>
      </c>
      <c r="K745" s="385"/>
      <c r="L745" s="385"/>
      <c r="M745" s="385"/>
      <c r="N745" s="385"/>
      <c r="O745" s="385"/>
      <c r="P745" s="385" t="str">
        <f>IFERROR(
    IF(
        OR(ISBLANK(I745), ISBLANK(L745)),
        "",
        MAX(
            1,
            IF(
                NETWORKDAYS(I745, L745, Holiday_Dates) &lt;= 0,
                1,
                NETWORKDAYS(I745, L745, Holiday_Dates) - IF(I745 = L745, 0, 1)
            )
        )
    ),
    ""
)</f>
        <v/>
      </c>
      <c r="Q745" s="385" t="str">
        <f>IF(
    OR(ISBLANK(L745), ISBLANK(M745)),
    "",
    MAX(
        1,
        IF(
            NETWORKDAYS(L745, M745, Holiday_Dates) &lt;= 0,
            1,
            NETWORKDAYS(L745, M745, Holiday_Dates) - IF(L745 = M745, 0, 1)
        )
    )
)</f>
        <v/>
      </c>
      <c r="R745" s="385" t="str">
        <f>IFERROR(
    IF(
        OR(ISBLANK(N745), AND(ISBLANK(L745), ISBLANK(M745))),
        "",
        MAX(
            1,
            IF(
                NETWORKDAYS(IF(NOT(ISBLANK(M745)), M745, L745), N745, Holiday_Dates) &lt;= 0,
                1,
                NETWORKDAYS(IF(NOT(ISBLANK(M745)), M745, L745), N745, Holiday_Dates)
                - IF(IF(NOT(ISBLANK(M745)), M745, L745) = N745, 0, 1)
            )
        )
    ),
    ""
)</f>
        <v/>
      </c>
      <c r="S745" s="385" t="str">
        <f>IFERROR(
    IF(
        OR(ISBLANK(N745), ISBLANK(O745)),
        "",
        MAX(
            1,
            IF(
                NETWORKDAYS(N745, O745, Holiday_Dates) &lt;= 0,
                1,
                NETWORKDAYS(N745, O745, Holiday_Dates) - IF(N745 = O745, 0, 1)
            )
        )
    ),
    ""
)</f>
        <v/>
      </c>
      <c r="T745" s="385"/>
      <c r="U745" s="385" t="s">
        <v>4</v>
      </c>
      <c r="V745" s="385" t="s">
        <v>101</v>
      </c>
      <c r="W745" s="385" t="s">
        <v>1436</v>
      </c>
      <c r="X745" s="1"/>
    </row>
    <row r="746" spans="1:24">
      <c r="A746" s="385" t="s">
        <v>49</v>
      </c>
      <c r="B746" s="385" t="s">
        <v>499</v>
      </c>
      <c r="C746" s="385" t="s">
        <v>2467</v>
      </c>
      <c r="D746" s="385" t="s">
        <v>88</v>
      </c>
      <c r="E746" s="385"/>
      <c r="F746" s="385"/>
      <c r="G746" s="385"/>
      <c r="H746" s="385">
        <v>2024</v>
      </c>
      <c r="I746" s="385" t="s">
        <v>4628</v>
      </c>
      <c r="J746" s="30"/>
      <c r="K746" s="385"/>
      <c r="L746" s="385"/>
      <c r="M746" s="385"/>
      <c r="N746" s="385"/>
      <c r="O746" s="385"/>
      <c r="P746" s="385" t="str">
        <f>IFERROR(
    IF(
        OR(ISBLANK(I746), ISBLANK(L746)),
        "",
        MAX(
            1,
            IF(
                NETWORKDAYS(I746, L746, Holiday_Dates) &lt;= 0,
                1,
                NETWORKDAYS(I746, L746, Holiday_Dates) - IF(I746 = L746, 0, 1)
            )
        )
    ),
    ""
)</f>
        <v/>
      </c>
      <c r="Q746" s="385" t="str">
        <f>IF(
    OR(ISBLANK(L746), ISBLANK(M746)),
    "",
    MAX(
        1,
        IF(
            NETWORKDAYS(L746, M746, Holiday_Dates) &lt;= 0,
            1,
            NETWORKDAYS(L746, M746, Holiday_Dates) - IF(L746 = M746, 0, 1)
        )
    )
)</f>
        <v/>
      </c>
      <c r="R746" s="385" t="str">
        <f>IFERROR(
    IF(
        OR(ISBLANK(N746), AND(ISBLANK(L746), ISBLANK(M746))),
        "",
        MAX(
            1,
            IF(
                NETWORKDAYS(IF(NOT(ISBLANK(M746)), M746, L746), N746, Holiday_Dates) &lt;= 0,
                1,
                NETWORKDAYS(IF(NOT(ISBLANK(M746)), M746, L746), N746, Holiday_Dates)
                - IF(IF(NOT(ISBLANK(M746)), M746, L746) = N746, 0, 1)
            )
        )
    ),
    ""
)</f>
        <v/>
      </c>
      <c r="S746" s="385" t="str">
        <f>IFERROR(
    IF(
        OR(ISBLANK(N746), ISBLANK(O746)),
        "",
        MAX(
            1,
            IF(
                NETWORKDAYS(N746, O746, Holiday_Dates) &lt;= 0,
                1,
                NETWORKDAYS(N746, O746, Holiday_Dates) - IF(N746 = O746, 0, 1)
            )
        )
    ),
    ""
)</f>
        <v/>
      </c>
      <c r="T746" s="385"/>
      <c r="U746" s="385" t="s">
        <v>672</v>
      </c>
      <c r="V746" s="385"/>
      <c r="W746" s="385" t="s">
        <v>1436</v>
      </c>
      <c r="X746" s="1"/>
    </row>
    <row r="747" spans="1:24">
      <c r="A747" s="385" t="s">
        <v>51</v>
      </c>
      <c r="B747" s="385" t="s">
        <v>352</v>
      </c>
      <c r="C747" s="385" t="s">
        <v>3596</v>
      </c>
      <c r="D747" s="385" t="s">
        <v>88</v>
      </c>
      <c r="E747" s="385" t="s">
        <v>32</v>
      </c>
      <c r="F747" s="385"/>
      <c r="G747" s="385" t="s">
        <v>133</v>
      </c>
      <c r="H747" s="385">
        <v>2026</v>
      </c>
      <c r="I747" s="386">
        <v>46066</v>
      </c>
      <c r="J747" s="30" t="s">
        <v>4964</v>
      </c>
      <c r="K747" s="385" t="s">
        <v>62</v>
      </c>
      <c r="L747" s="386">
        <v>46068</v>
      </c>
      <c r="M747" s="385"/>
      <c r="N747" s="386">
        <v>46069</v>
      </c>
      <c r="O747" s="386">
        <v>46069</v>
      </c>
      <c r="P747" s="385">
        <f>IFERROR(
    IF(
        OR(ISBLANK(I747), ISBLANK(L747)),
        "",
        MAX(
            1,
            IF(
                NETWORKDAYS(I747, L747, Holiday_Dates) &lt;= 0,
                1,
                NETWORKDAYS(I747, L747, Holiday_Dates) - IF(I747 = L747, 0, 1)
            )
        )
    ),
    ""
)</f>
        <v>1</v>
      </c>
      <c r="Q747" s="385" t="str">
        <f>IF(
    OR(ISBLANK(L747), ISBLANK(M747)),
    "",
    MAX(
        1,
        IF(
            NETWORKDAYS(L747, M747, Holiday_Dates) &lt;= 0,
            1,
            NETWORKDAYS(L747, M747, Holiday_Dates) - IF(L747 = M747, 0, 1)
        )
    )
)</f>
        <v/>
      </c>
      <c r="R747" s="385">
        <f>IFERROR(
    IF(
        OR(ISBLANK(N747), AND(ISBLANK(L747), ISBLANK(M747))),
        "",
        MAX(
            1,
            IF(
                NETWORKDAYS(IF(NOT(ISBLANK(M747)), M747, L747), N747, Holiday_Dates) &lt;= 0,
                1,
                NETWORKDAYS(IF(NOT(ISBLANK(M747)), M747, L747), N747, Holiday_Dates)
                - IF(IF(NOT(ISBLANK(M747)), M747, L747) = N747, 0, 1)
            )
        )
    ),
    ""
)</f>
        <v>1</v>
      </c>
      <c r="S747" s="385">
        <f>IFERROR(
    IF(
        OR(ISBLANK(N747), ISBLANK(O747)),
        "",
        MAX(
            1,
            IF(
                NETWORKDAYS(N747, O747, Holiday_Dates) &lt;= 0,
                1,
                NETWORKDAYS(N747, O747, Holiday_Dates) - IF(N747 = O747, 0, 1)
            )
        )
    ),
    ""
)</f>
        <v>1</v>
      </c>
      <c r="T747" s="385" t="s">
        <v>929</v>
      </c>
      <c r="U747" s="385" t="s">
        <v>4708</v>
      </c>
      <c r="V747" s="385" t="s">
        <v>4782</v>
      </c>
      <c r="W747" s="385" t="s">
        <v>4710</v>
      </c>
      <c r="X747" s="1"/>
    </row>
    <row r="748" spans="1:24">
      <c r="A748" s="385" t="s">
        <v>49</v>
      </c>
      <c r="B748" s="385" t="s">
        <v>499</v>
      </c>
      <c r="C748" s="385" t="s">
        <v>2470</v>
      </c>
      <c r="D748" s="385" t="s">
        <v>88</v>
      </c>
      <c r="E748" s="385"/>
      <c r="F748" s="385"/>
      <c r="G748" s="385"/>
      <c r="H748" s="385">
        <v>2025</v>
      </c>
      <c r="I748" s="386">
        <v>45819</v>
      </c>
      <c r="J748" s="30" t="s">
        <v>4965</v>
      </c>
      <c r="K748" s="385"/>
      <c r="L748" s="385"/>
      <c r="M748" s="385"/>
      <c r="N748" s="385"/>
      <c r="O748" s="385"/>
      <c r="P748" s="385" t="str">
        <f>IFERROR(
    IF(
        OR(ISBLANK(I748), ISBLANK(L748)),
        "",
        MAX(
            1,
            IF(
                NETWORKDAYS(I748, L748, Holiday_Dates) &lt;= 0,
                1,
                NETWORKDAYS(I748, L748, Holiday_Dates) - IF(I748 = L748, 0, 1)
            )
        )
    ),
    ""
)</f>
        <v/>
      </c>
      <c r="Q748" s="385" t="str">
        <f>IF(
    OR(ISBLANK(L748), ISBLANK(M748)),
    "",
    MAX(
        1,
        IF(
            NETWORKDAYS(L748, M748, Holiday_Dates) &lt;= 0,
            1,
            NETWORKDAYS(L748, M748, Holiday_Dates) - IF(L748 = M748, 0, 1)
        )
    )
)</f>
        <v/>
      </c>
      <c r="R748" s="385" t="str">
        <f>IFERROR(
    IF(
        OR(ISBLANK(N748), AND(ISBLANK(L748), ISBLANK(M748))),
        "",
        MAX(
            1,
            IF(
                NETWORKDAYS(IF(NOT(ISBLANK(M748)), M748, L748), N748, Holiday_Dates) &lt;= 0,
                1,
                NETWORKDAYS(IF(NOT(ISBLANK(M748)), M748, L748), N748, Holiday_Dates)
                - IF(IF(NOT(ISBLANK(M748)), M748, L748) = N748, 0, 1)
            )
        )
    ),
    ""
)</f>
        <v/>
      </c>
      <c r="S748" s="385" t="str">
        <f>IFERROR(
    IF(
        OR(ISBLANK(N748), ISBLANK(O748)),
        "",
        MAX(
            1,
            IF(
                NETWORKDAYS(N748, O748, Holiday_Dates) &lt;= 0,
                1,
                NETWORKDAYS(N748, O748, Holiday_Dates) - IF(N748 = O748, 0, 1)
            )
        )
    ),
    ""
)</f>
        <v/>
      </c>
      <c r="T748" s="385"/>
      <c r="U748" s="385" t="s">
        <v>4</v>
      </c>
      <c r="V748" s="385" t="s">
        <v>101</v>
      </c>
      <c r="W748" s="385" t="s">
        <v>1436</v>
      </c>
      <c r="X748" s="1"/>
    </row>
    <row r="749" spans="1:24">
      <c r="A749" s="385" t="s">
        <v>49</v>
      </c>
      <c r="B749" s="385" t="s">
        <v>499</v>
      </c>
      <c r="C749" s="385" t="s">
        <v>2471</v>
      </c>
      <c r="D749" s="385" t="s">
        <v>88</v>
      </c>
      <c r="E749" s="385"/>
      <c r="F749" s="385"/>
      <c r="G749" s="385"/>
      <c r="H749" s="385">
        <v>2024</v>
      </c>
      <c r="I749" s="386">
        <v>45537</v>
      </c>
      <c r="J749" s="30"/>
      <c r="K749" s="385"/>
      <c r="L749" s="385"/>
      <c r="M749" s="385"/>
      <c r="N749" s="385"/>
      <c r="O749" s="385"/>
      <c r="P749" s="385" t="str">
        <f>IFERROR(
    IF(
        OR(ISBLANK(I749), ISBLANK(L749)),
        "",
        MAX(
            1,
            IF(
                NETWORKDAYS(I749, L749, Holiday_Dates) &lt;= 0,
                1,
                NETWORKDAYS(I749, L749, Holiday_Dates) - IF(I749 = L749, 0, 1)
            )
        )
    ),
    ""
)</f>
        <v/>
      </c>
      <c r="Q749" s="385" t="str">
        <f>IF(
    OR(ISBLANK(L749), ISBLANK(M749)),
    "",
    MAX(
        1,
        IF(
            NETWORKDAYS(L749, M749, Holiday_Dates) &lt;= 0,
            1,
            NETWORKDAYS(L749, M749, Holiday_Dates) - IF(L749 = M749, 0, 1)
        )
    )
)</f>
        <v/>
      </c>
      <c r="R749" s="385" t="str">
        <f>IFERROR(
    IF(
        OR(ISBLANK(N749), AND(ISBLANK(L749), ISBLANK(M749))),
        "",
        MAX(
            1,
            IF(
                NETWORKDAYS(IF(NOT(ISBLANK(M749)), M749, L749), N749, Holiday_Dates) &lt;= 0,
                1,
                NETWORKDAYS(IF(NOT(ISBLANK(M749)), M749, L749), N749, Holiday_Dates)
                - IF(IF(NOT(ISBLANK(M749)), M749, L749) = N749, 0, 1)
            )
        )
    ),
    ""
)</f>
        <v/>
      </c>
      <c r="S749" s="385" t="str">
        <f>IFERROR(
    IF(
        OR(ISBLANK(N749), ISBLANK(O749)),
        "",
        MAX(
            1,
            IF(
                NETWORKDAYS(N749, O749, Holiday_Dates) &lt;= 0,
                1,
                NETWORKDAYS(N749, O749, Holiday_Dates) - IF(N749 = O749, 0, 1)
            )
        )
    ),
    ""
)</f>
        <v/>
      </c>
      <c r="T749" s="385"/>
      <c r="U749" s="385" t="s">
        <v>4</v>
      </c>
      <c r="V749" s="385" t="s">
        <v>101</v>
      </c>
      <c r="W749" s="385" t="s">
        <v>1436</v>
      </c>
      <c r="X749" s="1"/>
    </row>
    <row r="750" spans="1:24">
      <c r="A750" s="385" t="s">
        <v>49</v>
      </c>
      <c r="B750" s="385" t="s">
        <v>499</v>
      </c>
      <c r="C750" s="385" t="s">
        <v>2469</v>
      </c>
      <c r="D750" s="385" t="s">
        <v>88</v>
      </c>
      <c r="E750" s="385"/>
      <c r="F750" s="385"/>
      <c r="G750" s="385"/>
      <c r="H750" s="385">
        <v>2025</v>
      </c>
      <c r="I750" s="386">
        <v>45819</v>
      </c>
      <c r="J750" s="30" t="s">
        <v>4966</v>
      </c>
      <c r="K750" s="385"/>
      <c r="L750" s="385"/>
      <c r="M750" s="385"/>
      <c r="N750" s="385"/>
      <c r="O750" s="385"/>
      <c r="P750" s="385" t="str">
        <f>IFERROR(
    IF(
        OR(ISBLANK(I750), ISBLANK(L750)),
        "",
        MAX(
            1,
            IF(
                NETWORKDAYS(I750, L750, Holiday_Dates) &lt;= 0,
                1,
                NETWORKDAYS(I750, L750, Holiday_Dates) - IF(I750 = L750, 0, 1)
            )
        )
    ),
    ""
)</f>
        <v/>
      </c>
      <c r="Q750" s="385" t="str">
        <f>IF(
    OR(ISBLANK(L750), ISBLANK(M750)),
    "",
    MAX(
        1,
        IF(
            NETWORKDAYS(L750, M750, Holiday_Dates) &lt;= 0,
            1,
            NETWORKDAYS(L750, M750, Holiday_Dates) - IF(L750 = M750, 0, 1)
        )
    )
)</f>
        <v/>
      </c>
      <c r="R750" s="385" t="str">
        <f>IFERROR(
    IF(
        OR(ISBLANK(N750), AND(ISBLANK(L750), ISBLANK(M750))),
        "",
        MAX(
            1,
            IF(
                NETWORKDAYS(IF(NOT(ISBLANK(M750)), M750, L750), N750, Holiday_Dates) &lt;= 0,
                1,
                NETWORKDAYS(IF(NOT(ISBLANK(M750)), M750, L750), N750, Holiday_Dates)
                - IF(IF(NOT(ISBLANK(M750)), M750, L750) = N750, 0, 1)
            )
        )
    ),
    ""
)</f>
        <v/>
      </c>
      <c r="S750" s="385" t="str">
        <f>IFERROR(
    IF(
        OR(ISBLANK(N750), ISBLANK(O750)),
        "",
        MAX(
            1,
            IF(
                NETWORKDAYS(N750, O750, Holiday_Dates) &lt;= 0,
                1,
                NETWORKDAYS(N750, O750, Holiday_Dates) - IF(N750 = O750, 0, 1)
            )
        )
    ),
    ""
)</f>
        <v/>
      </c>
      <c r="T750" s="385"/>
      <c r="U750" s="385" t="s">
        <v>4</v>
      </c>
      <c r="V750" s="385" t="s">
        <v>101</v>
      </c>
      <c r="W750" s="385" t="s">
        <v>1436</v>
      </c>
      <c r="X750" s="1"/>
    </row>
    <row r="751" spans="1:24">
      <c r="A751" s="385" t="s">
        <v>49</v>
      </c>
      <c r="B751" s="385" t="s">
        <v>499</v>
      </c>
      <c r="C751" s="385" t="s">
        <v>2474</v>
      </c>
      <c r="D751" s="385" t="s">
        <v>88</v>
      </c>
      <c r="E751" s="385"/>
      <c r="F751" s="385"/>
      <c r="G751" s="385"/>
      <c r="H751" s="385">
        <v>2025</v>
      </c>
      <c r="I751" s="386">
        <v>45819</v>
      </c>
      <c r="J751" s="30" t="s">
        <v>4967</v>
      </c>
      <c r="K751" s="385"/>
      <c r="L751" s="385"/>
      <c r="M751" s="385"/>
      <c r="N751" s="385"/>
      <c r="O751" s="385"/>
      <c r="P751" s="385" t="str">
        <f>IFERROR(
    IF(
        OR(ISBLANK(I751), ISBLANK(L751)),
        "",
        MAX(
            1,
            IF(
                NETWORKDAYS(I751, L751, Holiday_Dates) &lt;= 0,
                1,
                NETWORKDAYS(I751, L751, Holiday_Dates) - IF(I751 = L751, 0, 1)
            )
        )
    ),
    ""
)</f>
        <v/>
      </c>
      <c r="Q751" s="385" t="str">
        <f>IF(
    OR(ISBLANK(L751), ISBLANK(M751)),
    "",
    MAX(
        1,
        IF(
            NETWORKDAYS(L751, M751, Holiday_Dates) &lt;= 0,
            1,
            NETWORKDAYS(L751, M751, Holiday_Dates) - IF(L751 = M751, 0, 1)
        )
    )
)</f>
        <v/>
      </c>
      <c r="R751" s="385" t="str">
        <f>IFERROR(
    IF(
        OR(ISBLANK(N751), AND(ISBLANK(L751), ISBLANK(M751))),
        "",
        MAX(
            1,
            IF(
                NETWORKDAYS(IF(NOT(ISBLANK(M751)), M751, L751), N751, Holiday_Dates) &lt;= 0,
                1,
                NETWORKDAYS(IF(NOT(ISBLANK(M751)), M751, L751), N751, Holiday_Dates)
                - IF(IF(NOT(ISBLANK(M751)), M751, L751) = N751, 0, 1)
            )
        )
    ),
    ""
)</f>
        <v/>
      </c>
      <c r="S751" s="385" t="str">
        <f>IFERROR(
    IF(
        OR(ISBLANK(N751), ISBLANK(O751)),
        "",
        MAX(
            1,
            IF(
                NETWORKDAYS(N751, O751, Holiday_Dates) &lt;= 0,
                1,
                NETWORKDAYS(N751, O751, Holiday_Dates) - IF(N751 = O751, 0, 1)
            )
        )
    ),
    ""
)</f>
        <v/>
      </c>
      <c r="T751" s="385"/>
      <c r="U751" s="385" t="s">
        <v>4</v>
      </c>
      <c r="V751" s="385" t="s">
        <v>101</v>
      </c>
      <c r="W751" s="385" t="s">
        <v>1436</v>
      </c>
      <c r="X751" s="1"/>
    </row>
    <row r="752" spans="1:24">
      <c r="A752" s="385" t="s">
        <v>49</v>
      </c>
      <c r="B752" s="385" t="s">
        <v>499</v>
      </c>
      <c r="C752" s="385" t="s">
        <v>740</v>
      </c>
      <c r="D752" s="385" t="s">
        <v>88</v>
      </c>
      <c r="E752" s="385"/>
      <c r="F752" s="385"/>
      <c r="G752" s="385"/>
      <c r="H752" s="385">
        <v>2025</v>
      </c>
      <c r="I752" s="386">
        <v>45695</v>
      </c>
      <c r="J752" s="30" t="s">
        <v>4968</v>
      </c>
      <c r="K752" s="385"/>
      <c r="L752" s="385"/>
      <c r="M752" s="385"/>
      <c r="N752" s="385"/>
      <c r="O752" s="385"/>
      <c r="P752" s="385" t="str">
        <f>IFERROR(
    IF(
        OR(ISBLANK(I752), ISBLANK(L752)),
        "",
        MAX(
            1,
            IF(
                NETWORKDAYS(I752, L752, Holiday_Dates) &lt;= 0,
                1,
                NETWORKDAYS(I752, L752, Holiday_Dates) - IF(I752 = L752, 0, 1)
            )
        )
    ),
    ""
)</f>
        <v/>
      </c>
      <c r="Q752" s="385" t="str">
        <f>IF(
    OR(ISBLANK(L752), ISBLANK(M752)),
    "",
    MAX(
        1,
        IF(
            NETWORKDAYS(L752, M752, Holiday_Dates) &lt;= 0,
            1,
            NETWORKDAYS(L752, M752, Holiday_Dates) - IF(L752 = M752, 0, 1)
        )
    )
)</f>
        <v/>
      </c>
      <c r="R752" s="385" t="str">
        <f>IFERROR(
    IF(
        OR(ISBLANK(N752), AND(ISBLANK(L752), ISBLANK(M752))),
        "",
        MAX(
            1,
            IF(
                NETWORKDAYS(IF(NOT(ISBLANK(M752)), M752, L752), N752, Holiday_Dates) &lt;= 0,
                1,
                NETWORKDAYS(IF(NOT(ISBLANK(M752)), M752, L752), N752, Holiday_Dates)
                - IF(IF(NOT(ISBLANK(M752)), M752, L752) = N752, 0, 1)
            )
        )
    ),
    ""
)</f>
        <v/>
      </c>
      <c r="S752" s="385" t="str">
        <f>IFERROR(
    IF(
        OR(ISBLANK(N752), ISBLANK(O752)),
        "",
        MAX(
            1,
            IF(
                NETWORKDAYS(N752, O752, Holiday_Dates) &lt;= 0,
                1,
                NETWORKDAYS(N752, O752, Holiday_Dates) - IF(N752 = O752, 0, 1)
            )
        )
    ),
    ""
)</f>
        <v/>
      </c>
      <c r="T752" s="385"/>
      <c r="U752" s="385" t="s">
        <v>4</v>
      </c>
      <c r="V752" s="385" t="s">
        <v>101</v>
      </c>
      <c r="W752" s="385" t="s">
        <v>1436</v>
      </c>
      <c r="X752" s="1"/>
    </row>
    <row r="753" spans="1:24">
      <c r="A753" s="385" t="s">
        <v>51</v>
      </c>
      <c r="B753" s="385" t="s">
        <v>352</v>
      </c>
      <c r="C753" s="385" t="s">
        <v>3301</v>
      </c>
      <c r="D753" s="385" t="s">
        <v>88</v>
      </c>
      <c r="E753" s="385" t="s">
        <v>32</v>
      </c>
      <c r="F753" s="385"/>
      <c r="G753" s="385" t="s">
        <v>133</v>
      </c>
      <c r="H753" s="385">
        <v>2026</v>
      </c>
      <c r="I753" s="386">
        <v>46043</v>
      </c>
      <c r="J753" s="529" t="s">
        <v>4969</v>
      </c>
      <c r="K753" s="385" t="s">
        <v>62</v>
      </c>
      <c r="L753" s="386">
        <v>46047</v>
      </c>
      <c r="M753" s="385"/>
      <c r="N753" s="386">
        <v>46048</v>
      </c>
      <c r="O753" s="386">
        <v>46051</v>
      </c>
      <c r="P753" s="385">
        <f>IFERROR(
    IF(
        OR(ISBLANK(I753), ISBLANK(L753)),
        "",
        MAX(
            1,
            IF(
                NETWORKDAYS(I753, L753, Holiday_Dates) &lt;= 0,
                1,
                NETWORKDAYS(I753, L753, Holiday_Dates) - IF(I753 = L753, 0, 1)
            )
        )
    ),
    ""
)</f>
        <v>2</v>
      </c>
      <c r="Q753" s="385" t="str">
        <f>IF(
    OR(ISBLANK(L753), ISBLANK(M753)),
    "",
    MAX(
        1,
        IF(
            NETWORKDAYS(L753, M753, Holiday_Dates) &lt;= 0,
            1,
            NETWORKDAYS(L753, M753, Holiday_Dates) - IF(L753 = M753, 0, 1)
        )
    )
)</f>
        <v/>
      </c>
      <c r="R753" s="385">
        <f>IFERROR(
    IF(
        OR(ISBLANK(N753), AND(ISBLANK(L753), ISBLANK(M753))),
        "",
        MAX(
            1,
            IF(
                NETWORKDAYS(IF(NOT(ISBLANK(M753)), M753, L753), N753, Holiday_Dates) &lt;= 0,
                1,
                NETWORKDAYS(IF(NOT(ISBLANK(M753)), M753, L753), N753, Holiday_Dates)
                - IF(IF(NOT(ISBLANK(M753)), M753, L753) = N753, 0, 1)
            )
        )
    ),
    ""
)</f>
        <v>1</v>
      </c>
      <c r="S753" s="385">
        <f>IFERROR(
    IF(
        OR(ISBLANK(N753), ISBLANK(O753)),
        "",
        MAX(
            1,
            IF(
                NETWORKDAYS(N753, O753, Holiday_Dates) &lt;= 0,
                1,
                NETWORKDAYS(N753, O753, Holiday_Dates) - IF(N753 = O753, 0, 1)
            )
        )
    ),
    ""
)</f>
        <v>3</v>
      </c>
      <c r="T753" s="385" t="s">
        <v>929</v>
      </c>
      <c r="U753" s="385" t="s">
        <v>4</v>
      </c>
      <c r="V753" s="385" t="s">
        <v>685</v>
      </c>
      <c r="W753" s="385" t="s">
        <v>4710</v>
      </c>
      <c r="X753" s="1"/>
    </row>
    <row r="754" spans="1:24">
      <c r="A754" s="385" t="s">
        <v>51</v>
      </c>
      <c r="B754" s="385" t="s">
        <v>352</v>
      </c>
      <c r="C754" s="385" t="s">
        <v>3524</v>
      </c>
      <c r="D754" s="385" t="s">
        <v>88</v>
      </c>
      <c r="E754" s="385" t="s">
        <v>32</v>
      </c>
      <c r="F754" s="385"/>
      <c r="G754" s="385" t="s">
        <v>133</v>
      </c>
      <c r="H754" s="385">
        <v>2026</v>
      </c>
      <c r="I754" s="386">
        <v>46043</v>
      </c>
      <c r="J754" s="529" t="s">
        <v>4970</v>
      </c>
      <c r="K754" s="385" t="s">
        <v>62</v>
      </c>
      <c r="L754" s="386">
        <v>46047</v>
      </c>
      <c r="M754" s="385"/>
      <c r="N754" s="386">
        <v>46048</v>
      </c>
      <c r="O754" s="386">
        <v>46051</v>
      </c>
      <c r="P754" s="385">
        <f>IFERROR(
    IF(
        OR(ISBLANK(I754), ISBLANK(L754)),
        "",
        MAX(
            1,
            IF(
                NETWORKDAYS(I754, L754, Holiday_Dates) &lt;= 0,
                1,
                NETWORKDAYS(I754, L754, Holiday_Dates) - IF(I754 = L754, 0, 1)
            )
        )
    ),
    ""
)</f>
        <v>2</v>
      </c>
      <c r="Q754" s="385" t="str">
        <f>IF(
    OR(ISBLANK(L754), ISBLANK(M754)),
    "",
    MAX(
        1,
        IF(
            NETWORKDAYS(L754, M754, Holiday_Dates) &lt;= 0,
            1,
            NETWORKDAYS(L754, M754, Holiday_Dates) - IF(L754 = M754, 0, 1)
        )
    )
)</f>
        <v/>
      </c>
      <c r="R754" s="385">
        <f>IFERROR(
    IF(
        OR(ISBLANK(N754), AND(ISBLANK(L754), ISBLANK(M754))),
        "",
        MAX(
            1,
            IF(
                NETWORKDAYS(IF(NOT(ISBLANK(M754)), M754, L754), N754, Holiday_Dates) &lt;= 0,
                1,
                NETWORKDAYS(IF(NOT(ISBLANK(M754)), M754, L754), N754, Holiday_Dates)
                - IF(IF(NOT(ISBLANK(M754)), M754, L754) = N754, 0, 1)
            )
        )
    ),
    ""
)</f>
        <v>1</v>
      </c>
      <c r="S754" s="385">
        <f>IFERROR(
    IF(
        OR(ISBLANK(N754), ISBLANK(O754)),
        "",
        MAX(
            1,
            IF(
                NETWORKDAYS(N754, O754, Holiday_Dates) &lt;= 0,
                1,
                NETWORKDAYS(N754, O754, Holiday_Dates) - IF(N754 = O754, 0, 1)
            )
        )
    ),
    ""
)</f>
        <v>3</v>
      </c>
      <c r="T754" s="385" t="s">
        <v>929</v>
      </c>
      <c r="U754" s="385" t="s">
        <v>4</v>
      </c>
      <c r="V754" s="385" t="s">
        <v>108</v>
      </c>
      <c r="W754" s="385" t="s">
        <v>4710</v>
      </c>
      <c r="X754" s="1"/>
    </row>
    <row r="755" spans="1:24">
      <c r="A755" s="385" t="s">
        <v>51</v>
      </c>
      <c r="B755" s="385" t="s">
        <v>352</v>
      </c>
      <c r="C755" s="385" t="s">
        <v>3598</v>
      </c>
      <c r="D755" s="385" t="s">
        <v>88</v>
      </c>
      <c r="E755" s="385" t="s">
        <v>32</v>
      </c>
      <c r="F755" s="385"/>
      <c r="G755" s="385" t="s">
        <v>133</v>
      </c>
      <c r="H755" s="385">
        <v>2026</v>
      </c>
      <c r="I755" s="386">
        <v>46043</v>
      </c>
      <c r="J755" s="529" t="s">
        <v>4971</v>
      </c>
      <c r="K755" s="385" t="s">
        <v>62</v>
      </c>
      <c r="L755" s="386">
        <v>46047</v>
      </c>
      <c r="M755" s="385"/>
      <c r="N755" s="386">
        <v>46048</v>
      </c>
      <c r="O755" s="386">
        <v>46051</v>
      </c>
      <c r="P755" s="385">
        <f>IFERROR(
    IF(
        OR(ISBLANK(I755), ISBLANK(L755)),
        "",
        MAX(
            1,
            IF(
                NETWORKDAYS(I755, L755, Holiday_Dates) &lt;= 0,
                1,
                NETWORKDAYS(I755, L755, Holiday_Dates) - IF(I755 = L755, 0, 1)
            )
        )
    ),
    ""
)</f>
        <v>2</v>
      </c>
      <c r="Q755" s="385" t="str">
        <f>IF(
    OR(ISBLANK(L755), ISBLANK(M755)),
    "",
    MAX(
        1,
        IF(
            NETWORKDAYS(L755, M755, Holiday_Dates) &lt;= 0,
            1,
            NETWORKDAYS(L755, M755, Holiday_Dates) - IF(L755 = M755, 0, 1)
        )
    )
)</f>
        <v/>
      </c>
      <c r="R755" s="385">
        <f>IFERROR(
    IF(
        OR(ISBLANK(N755), AND(ISBLANK(L755), ISBLANK(M755))),
        "",
        MAX(
            1,
            IF(
                NETWORKDAYS(IF(NOT(ISBLANK(M755)), M755, L755), N755, Holiday_Dates) &lt;= 0,
                1,
                NETWORKDAYS(IF(NOT(ISBLANK(M755)), M755, L755), N755, Holiday_Dates)
                - IF(IF(NOT(ISBLANK(M755)), M755, L755) = N755, 0, 1)
            )
        )
    ),
    ""
)</f>
        <v>1</v>
      </c>
      <c r="S755" s="385">
        <f>IFERROR(
    IF(
        OR(ISBLANK(N755), ISBLANK(O755)),
        "",
        MAX(
            1,
            IF(
                NETWORKDAYS(N755, O755, Holiday_Dates) &lt;= 0,
                1,
                NETWORKDAYS(N755, O755, Holiday_Dates) - IF(N755 = O755, 0, 1)
            )
        )
    ),
    ""
)</f>
        <v>3</v>
      </c>
      <c r="T755" s="385" t="s">
        <v>929</v>
      </c>
      <c r="U755" s="385" t="s">
        <v>4708</v>
      </c>
      <c r="V755" s="385" t="s">
        <v>4782</v>
      </c>
      <c r="W755" s="385" t="s">
        <v>4710</v>
      </c>
      <c r="X755" s="1"/>
    </row>
    <row r="756" spans="1:24">
      <c r="A756" s="385" t="s">
        <v>49</v>
      </c>
      <c r="B756" s="385" t="s">
        <v>499</v>
      </c>
      <c r="C756" s="385" t="s">
        <v>2478</v>
      </c>
      <c r="D756" s="385" t="s">
        <v>88</v>
      </c>
      <c r="E756" s="385"/>
      <c r="F756" s="385"/>
      <c r="G756" s="385"/>
      <c r="H756" s="385">
        <v>2024</v>
      </c>
      <c r="I756" s="386">
        <v>45540</v>
      </c>
      <c r="J756" s="30"/>
      <c r="K756" s="385"/>
      <c r="L756" s="385"/>
      <c r="M756" s="385"/>
      <c r="N756" s="385"/>
      <c r="O756" s="385"/>
      <c r="P756" s="385" t="str">
        <f>IFERROR(
    IF(
        OR(ISBLANK(I756), ISBLANK(L756)),
        "",
        MAX(
            1,
            IF(
                NETWORKDAYS(I756, L756, Holiday_Dates) &lt;= 0,
                1,
                NETWORKDAYS(I756, L756, Holiday_Dates) - IF(I756 = L756, 0, 1)
            )
        )
    ),
    ""
)</f>
        <v/>
      </c>
      <c r="Q756" s="385" t="str">
        <f>IF(
    OR(ISBLANK(L756), ISBLANK(M756)),
    "",
    MAX(
        1,
        IF(
            NETWORKDAYS(L756, M756, Holiday_Dates) &lt;= 0,
            1,
            NETWORKDAYS(L756, M756, Holiday_Dates) - IF(L756 = M756, 0, 1)
        )
    )
)</f>
        <v/>
      </c>
      <c r="R756" s="385" t="str">
        <f>IFERROR(
    IF(
        OR(ISBLANK(N756), AND(ISBLANK(L756), ISBLANK(M756))),
        "",
        MAX(
            1,
            IF(
                NETWORKDAYS(IF(NOT(ISBLANK(M756)), M756, L756), N756, Holiday_Dates) &lt;= 0,
                1,
                NETWORKDAYS(IF(NOT(ISBLANK(M756)), M756, L756), N756, Holiday_Dates)
                - IF(IF(NOT(ISBLANK(M756)), M756, L756) = N756, 0, 1)
            )
        )
    ),
    ""
)</f>
        <v/>
      </c>
      <c r="S756" s="385" t="str">
        <f>IFERROR(
    IF(
        OR(ISBLANK(N756), ISBLANK(O756)),
        "",
        MAX(
            1,
            IF(
                NETWORKDAYS(N756, O756, Holiday_Dates) &lt;= 0,
                1,
                NETWORKDAYS(N756, O756, Holiday_Dates) - IF(N756 = O756, 0, 1)
            )
        )
    ),
    ""
)</f>
        <v/>
      </c>
      <c r="T756" s="385"/>
      <c r="U756" s="385" t="s">
        <v>4</v>
      </c>
      <c r="V756" s="385" t="s">
        <v>101</v>
      </c>
      <c r="W756" s="385" t="s">
        <v>1436</v>
      </c>
      <c r="X756" s="1"/>
    </row>
    <row r="757" spans="1:24">
      <c r="A757" s="385" t="s">
        <v>49</v>
      </c>
      <c r="B757" s="385" t="s">
        <v>499</v>
      </c>
      <c r="C757" s="385" t="s">
        <v>772</v>
      </c>
      <c r="D757" s="385" t="s">
        <v>88</v>
      </c>
      <c r="E757" s="385"/>
      <c r="F757" s="385"/>
      <c r="G757" s="385"/>
      <c r="H757" s="385">
        <v>2025</v>
      </c>
      <c r="I757" s="386">
        <v>45695</v>
      </c>
      <c r="J757" s="30" t="s">
        <v>4972</v>
      </c>
      <c r="K757" s="385"/>
      <c r="L757" s="385"/>
      <c r="M757" s="385"/>
      <c r="N757" s="385"/>
      <c r="O757" s="385"/>
      <c r="P757" s="385" t="str">
        <f>IFERROR(
    IF(
        OR(ISBLANK(I757), ISBLANK(L757)),
        "",
        MAX(
            1,
            IF(
                NETWORKDAYS(I757, L757, Holiday_Dates) &lt;= 0,
                1,
                NETWORKDAYS(I757, L757, Holiday_Dates) - IF(I757 = L757, 0, 1)
            )
        )
    ),
    ""
)</f>
        <v/>
      </c>
      <c r="Q757" s="385" t="str">
        <f>IF(
    OR(ISBLANK(L757), ISBLANK(M757)),
    "",
    MAX(
        1,
        IF(
            NETWORKDAYS(L757, M757, Holiday_Dates) &lt;= 0,
            1,
            NETWORKDAYS(L757, M757, Holiday_Dates) - IF(L757 = M757, 0, 1)
        )
    )
)</f>
        <v/>
      </c>
      <c r="R757" s="385" t="str">
        <f>IFERROR(
    IF(
        OR(ISBLANK(N757), AND(ISBLANK(L757), ISBLANK(M757))),
        "",
        MAX(
            1,
            IF(
                NETWORKDAYS(IF(NOT(ISBLANK(M757)), M757, L757), N757, Holiday_Dates) &lt;= 0,
                1,
                NETWORKDAYS(IF(NOT(ISBLANK(M757)), M757, L757), N757, Holiday_Dates)
                - IF(IF(NOT(ISBLANK(M757)), M757, L757) = N757, 0, 1)
            )
        )
    ),
    ""
)</f>
        <v/>
      </c>
      <c r="S757" s="385" t="str">
        <f>IFERROR(
    IF(
        OR(ISBLANK(N757), ISBLANK(O757)),
        "",
        MAX(
            1,
            IF(
                NETWORKDAYS(N757, O757, Holiday_Dates) &lt;= 0,
                1,
                NETWORKDAYS(N757, O757, Holiday_Dates) - IF(N757 = O757, 0, 1)
            )
        )
    ),
    ""
)</f>
        <v/>
      </c>
      <c r="T757" s="385"/>
      <c r="U757" s="385" t="s">
        <v>4</v>
      </c>
      <c r="V757" s="385" t="s">
        <v>101</v>
      </c>
      <c r="W757" s="385" t="s">
        <v>1436</v>
      </c>
      <c r="X757" s="1"/>
    </row>
    <row r="758" spans="1:24">
      <c r="A758" s="385" t="s">
        <v>49</v>
      </c>
      <c r="B758" s="385" t="s">
        <v>499</v>
      </c>
      <c r="C758" s="385" t="s">
        <v>2480</v>
      </c>
      <c r="D758" s="385" t="s">
        <v>88</v>
      </c>
      <c r="E758" s="385"/>
      <c r="F758" s="385"/>
      <c r="G758" s="385"/>
      <c r="H758" s="385">
        <v>2025</v>
      </c>
      <c r="I758" s="386">
        <v>45750</v>
      </c>
      <c r="J758" s="30" t="s">
        <v>4973</v>
      </c>
      <c r="K758" s="385"/>
      <c r="L758" s="385"/>
      <c r="M758" s="385"/>
      <c r="N758" s="385"/>
      <c r="O758" s="385"/>
      <c r="P758" s="385" t="str">
        <f>IFERROR(
    IF(
        OR(ISBLANK(I758), ISBLANK(L758)),
        "",
        MAX(
            1,
            IF(
                NETWORKDAYS(I758, L758, Holiday_Dates) &lt;= 0,
                1,
                NETWORKDAYS(I758, L758, Holiday_Dates) - IF(I758 = L758, 0, 1)
            )
        )
    ),
    ""
)</f>
        <v/>
      </c>
      <c r="Q758" s="385" t="str">
        <f>IF(
    OR(ISBLANK(L758), ISBLANK(M758)),
    "",
    MAX(
        1,
        IF(
            NETWORKDAYS(L758, M758, Holiday_Dates) &lt;= 0,
            1,
            NETWORKDAYS(L758, M758, Holiday_Dates) - IF(L758 = M758, 0, 1)
        )
    )
)</f>
        <v/>
      </c>
      <c r="R758" s="385" t="str">
        <f>IFERROR(
    IF(
        OR(ISBLANK(N758), AND(ISBLANK(L758), ISBLANK(M758))),
        "",
        MAX(
            1,
            IF(
                NETWORKDAYS(IF(NOT(ISBLANK(M758)), M758, L758), N758, Holiday_Dates) &lt;= 0,
                1,
                NETWORKDAYS(IF(NOT(ISBLANK(M758)), M758, L758), N758, Holiday_Dates)
                - IF(IF(NOT(ISBLANK(M758)), M758, L758) = N758, 0, 1)
            )
        )
    ),
    ""
)</f>
        <v/>
      </c>
      <c r="S758" s="385" t="str">
        <f>IFERROR(
    IF(
        OR(ISBLANK(N758), ISBLANK(O758)),
        "",
        MAX(
            1,
            IF(
                NETWORKDAYS(N758, O758, Holiday_Dates) &lt;= 0,
                1,
                NETWORKDAYS(N758, O758, Holiday_Dates) - IF(N758 = O758, 0, 1)
            )
        )
    ),
    ""
)</f>
        <v/>
      </c>
      <c r="T758" s="385"/>
      <c r="U758" s="385" t="s">
        <v>4</v>
      </c>
      <c r="V758" s="385" t="s">
        <v>101</v>
      </c>
      <c r="W758" s="385" t="s">
        <v>1436</v>
      </c>
      <c r="X758" s="1"/>
    </row>
    <row r="759" spans="1:24">
      <c r="A759" s="385" t="s">
        <v>51</v>
      </c>
      <c r="B759" s="385" t="s">
        <v>352</v>
      </c>
      <c r="C759" s="385" t="s">
        <v>1374</v>
      </c>
      <c r="D759" s="385" t="s">
        <v>88</v>
      </c>
      <c r="E759" s="385" t="s">
        <v>32</v>
      </c>
      <c r="F759" s="385"/>
      <c r="G759" s="385" t="s">
        <v>133</v>
      </c>
      <c r="H759" s="385">
        <v>2026</v>
      </c>
      <c r="I759" s="386">
        <v>46043</v>
      </c>
      <c r="J759" s="529" t="s">
        <v>4974</v>
      </c>
      <c r="K759" s="385" t="s">
        <v>62</v>
      </c>
      <c r="L759" s="386">
        <v>46047</v>
      </c>
      <c r="M759" s="385"/>
      <c r="N759" s="386">
        <v>46048</v>
      </c>
      <c r="O759" s="386">
        <v>46048</v>
      </c>
      <c r="P759" s="385">
        <f>IFERROR(
    IF(
        OR(ISBLANK(I759), ISBLANK(L759)),
        "",
        MAX(
            1,
            IF(
                NETWORKDAYS(I759, L759, Holiday_Dates) &lt;= 0,
                1,
                NETWORKDAYS(I759, L759, Holiday_Dates) - IF(I759 = L759, 0, 1)
            )
        )
    ),
    ""
)</f>
        <v>2</v>
      </c>
      <c r="Q759" s="385" t="str">
        <f>IF(
    OR(ISBLANK(L759), ISBLANK(M759)),
    "",
    MAX(
        1,
        IF(
            NETWORKDAYS(L759, M759, Holiday_Dates) &lt;= 0,
            1,
            NETWORKDAYS(L759, M759, Holiday_Dates) - IF(L759 = M759, 0, 1)
        )
    )
)</f>
        <v/>
      </c>
      <c r="R759" s="385">
        <f>IFERROR(
    IF(
        OR(ISBLANK(N759), AND(ISBLANK(L759), ISBLANK(M759))),
        "",
        MAX(
            1,
            IF(
                NETWORKDAYS(IF(NOT(ISBLANK(M759)), M759, L759), N759, Holiday_Dates) &lt;= 0,
                1,
                NETWORKDAYS(IF(NOT(ISBLANK(M759)), M759, L759), N759, Holiday_Dates)
                - IF(IF(NOT(ISBLANK(M759)), M759, L759) = N759, 0, 1)
            )
        )
    ),
    ""
)</f>
        <v>1</v>
      </c>
      <c r="S759" s="385">
        <f>IFERROR(
    IF(
        OR(ISBLANK(N759), ISBLANK(O759)),
        "",
        MAX(
            1,
            IF(
                NETWORKDAYS(N759, O759, Holiday_Dates) &lt;= 0,
                1,
                NETWORKDAYS(N759, O759, Holiday_Dates) - IF(N759 = O759, 0, 1)
            )
        )
    ),
    ""
)</f>
        <v>1</v>
      </c>
      <c r="T759" s="385" t="s">
        <v>929</v>
      </c>
      <c r="U759" s="385" t="s">
        <v>4</v>
      </c>
      <c r="V759" s="385" t="s">
        <v>685</v>
      </c>
      <c r="W759" s="385" t="s">
        <v>4710</v>
      </c>
      <c r="X759" s="1"/>
    </row>
    <row r="760" spans="1:24">
      <c r="A760" s="385" t="s">
        <v>51</v>
      </c>
      <c r="B760" s="385" t="s">
        <v>1377</v>
      </c>
      <c r="C760" s="385" t="s">
        <v>3824</v>
      </c>
      <c r="D760" s="385" t="s">
        <v>88</v>
      </c>
      <c r="E760" s="385" t="s">
        <v>33</v>
      </c>
      <c r="F760" s="385"/>
      <c r="G760" s="385" t="s">
        <v>239</v>
      </c>
      <c r="H760" s="385">
        <v>2026</v>
      </c>
      <c r="I760" s="386">
        <v>46065</v>
      </c>
      <c r="J760" s="30" t="s">
        <v>4975</v>
      </c>
      <c r="K760" s="385" t="s">
        <v>62</v>
      </c>
      <c r="L760" s="386">
        <v>46067</v>
      </c>
      <c r="M760" s="385"/>
      <c r="N760" s="386">
        <v>46069</v>
      </c>
      <c r="O760" s="386">
        <v>46069</v>
      </c>
      <c r="P760" s="385">
        <f>IFERROR(
    IF(
        OR(ISBLANK(I760), ISBLANK(L760)),
        "",
        MAX(
            1,
            IF(
                NETWORKDAYS(I760, L760, Holiday_Dates) &lt;= 0,
                1,
                NETWORKDAYS(I760, L760, Holiday_Dates) - IF(I760 = L760, 0, 1)
            )
        )
    ),
    ""
)</f>
        <v>1</v>
      </c>
      <c r="Q760" s="385" t="str">
        <f>IF(
    OR(ISBLANK(L760), ISBLANK(M760)),
    "",
    MAX(
        1,
        IF(
            NETWORKDAYS(L760, M760, Holiday_Dates) &lt;= 0,
            1,
            NETWORKDAYS(L760, M760, Holiday_Dates) - IF(L760 = M760, 0, 1)
        )
    )
)</f>
        <v/>
      </c>
      <c r="R760" s="385">
        <f>IFERROR(
    IF(
        OR(ISBLANK(N760), AND(ISBLANK(L760), ISBLANK(M760))),
        "",
        MAX(
            1,
            IF(
                NETWORKDAYS(IF(NOT(ISBLANK(M760)), M760, L760), N760, Holiday_Dates) &lt;= 0,
                1,
                NETWORKDAYS(IF(NOT(ISBLANK(M760)), M760, L760), N760, Holiday_Dates)
                - IF(IF(NOT(ISBLANK(M760)), M760, L760) = N760, 0, 1)
            )
        )
    ),
    ""
)</f>
        <v>1</v>
      </c>
      <c r="S760" s="385">
        <f>IFERROR(
    IF(
        OR(ISBLANK(N760), ISBLANK(O760)),
        "",
        MAX(
            1,
            IF(
                NETWORKDAYS(N760, O760, Holiday_Dates) &lt;= 0,
                1,
                NETWORKDAYS(N760, O760, Holiday_Dates) - IF(N760 = O760, 0, 1)
            )
        )
    ),
    ""
)</f>
        <v>1</v>
      </c>
      <c r="T760" s="385" t="s">
        <v>929</v>
      </c>
      <c r="U760" s="385" t="s">
        <v>4</v>
      </c>
      <c r="V760" s="385" t="s">
        <v>101</v>
      </c>
      <c r="W760" s="385" t="s">
        <v>4710</v>
      </c>
      <c r="X760" s="1"/>
    </row>
    <row r="761" spans="1:24">
      <c r="A761" s="385" t="s">
        <v>49</v>
      </c>
      <c r="B761" s="385" t="s">
        <v>499</v>
      </c>
      <c r="C761" s="385" t="s">
        <v>926</v>
      </c>
      <c r="D761" s="385" t="s">
        <v>88</v>
      </c>
      <c r="E761" s="385"/>
      <c r="F761" s="385"/>
      <c r="G761" s="385"/>
      <c r="H761" s="385">
        <v>2024</v>
      </c>
      <c r="I761" s="385" t="s">
        <v>4628</v>
      </c>
      <c r="J761" s="30"/>
      <c r="K761" s="385"/>
      <c r="L761" s="385"/>
      <c r="M761" s="385"/>
      <c r="N761" s="385"/>
      <c r="O761" s="385"/>
      <c r="P761" s="385" t="str">
        <f>IFERROR(
    IF(
        OR(ISBLANK(I761), ISBLANK(L761)),
        "",
        MAX(
            1,
            IF(
                NETWORKDAYS(I761, L761, Holiday_Dates) &lt;= 0,
                1,
                NETWORKDAYS(I761, L761, Holiday_Dates) - IF(I761 = L761, 0, 1)
            )
        )
    ),
    ""
)</f>
        <v/>
      </c>
      <c r="Q761" s="385" t="str">
        <f>IF(
    OR(ISBLANK(L761), ISBLANK(M761)),
    "",
    MAX(
        1,
        IF(
            NETWORKDAYS(L761, M761, Holiday_Dates) &lt;= 0,
            1,
            NETWORKDAYS(L761, M761, Holiday_Dates) - IF(L761 = M761, 0, 1)
        )
    )
)</f>
        <v/>
      </c>
      <c r="R761" s="385" t="str">
        <f>IFERROR(
    IF(
        OR(ISBLANK(N761), AND(ISBLANK(L761), ISBLANK(M761))),
        "",
        MAX(
            1,
            IF(
                NETWORKDAYS(IF(NOT(ISBLANK(M761)), M761, L761), N761, Holiday_Dates) &lt;= 0,
                1,
                NETWORKDAYS(IF(NOT(ISBLANK(M761)), M761, L761), N761, Holiday_Dates)
                - IF(IF(NOT(ISBLANK(M761)), M761, L761) = N761, 0, 1)
            )
        )
    ),
    ""
)</f>
        <v/>
      </c>
      <c r="S761" s="385" t="str">
        <f>IFERROR(
    IF(
        OR(ISBLANK(N761), ISBLANK(O761)),
        "",
        MAX(
            1,
            IF(
                NETWORKDAYS(N761, O761, Holiday_Dates) &lt;= 0,
                1,
                NETWORKDAYS(N761, O761, Holiday_Dates) - IF(N761 = O761, 0, 1)
            )
        )
    ),
    ""
)</f>
        <v/>
      </c>
      <c r="T761" s="385"/>
      <c r="U761" s="385" t="s">
        <v>672</v>
      </c>
      <c r="V761" s="385"/>
      <c r="W761" s="385" t="s">
        <v>1436</v>
      </c>
      <c r="X761" s="1"/>
    </row>
    <row r="762" spans="1:24">
      <c r="A762" s="385" t="s">
        <v>51</v>
      </c>
      <c r="B762" s="385" t="s">
        <v>1377</v>
      </c>
      <c r="C762" s="385" t="s">
        <v>3825</v>
      </c>
      <c r="D762" s="385" t="s">
        <v>88</v>
      </c>
      <c r="E762" s="385" t="s">
        <v>33</v>
      </c>
      <c r="F762" s="385"/>
      <c r="G762" s="385" t="s">
        <v>239</v>
      </c>
      <c r="H762" s="385">
        <v>2026</v>
      </c>
      <c r="I762" s="386">
        <v>46065</v>
      </c>
      <c r="J762" s="30" t="s">
        <v>4976</v>
      </c>
      <c r="K762" s="385" t="s">
        <v>62</v>
      </c>
      <c r="L762" s="386">
        <v>46067</v>
      </c>
      <c r="M762" s="385"/>
      <c r="N762" s="386">
        <v>46069</v>
      </c>
      <c r="O762" s="386">
        <v>46069</v>
      </c>
      <c r="P762" s="385">
        <f>IFERROR(
    IF(
        OR(ISBLANK(I762), ISBLANK(L762)),
        "",
        MAX(
            1,
            IF(
                NETWORKDAYS(I762, L762, Holiday_Dates) &lt;= 0,
                1,
                NETWORKDAYS(I762, L762, Holiday_Dates) - IF(I762 = L762, 0, 1)
            )
        )
    ),
    ""
)</f>
        <v>1</v>
      </c>
      <c r="Q762" s="385" t="str">
        <f>IF(
    OR(ISBLANK(L762), ISBLANK(M762)),
    "",
    MAX(
        1,
        IF(
            NETWORKDAYS(L762, M762, Holiday_Dates) &lt;= 0,
            1,
            NETWORKDAYS(L762, M762, Holiday_Dates) - IF(L762 = M762, 0, 1)
        )
    )
)</f>
        <v/>
      </c>
      <c r="R762" s="385">
        <f>IFERROR(
    IF(
        OR(ISBLANK(N762), AND(ISBLANK(L762), ISBLANK(M762))),
        "",
        MAX(
            1,
            IF(
                NETWORKDAYS(IF(NOT(ISBLANK(M762)), M762, L762), N762, Holiday_Dates) &lt;= 0,
                1,
                NETWORKDAYS(IF(NOT(ISBLANK(M762)), M762, L762), N762, Holiday_Dates)
                - IF(IF(NOT(ISBLANK(M762)), M762, L762) = N762, 0, 1)
            )
        )
    ),
    ""
)</f>
        <v>1</v>
      </c>
      <c r="S762" s="385">
        <f>IFERROR(
    IF(
        OR(ISBLANK(N762), ISBLANK(O762)),
        "",
        MAX(
            1,
            IF(
                NETWORKDAYS(N762, O762, Holiday_Dates) &lt;= 0,
                1,
                NETWORKDAYS(N762, O762, Holiday_Dates) - IF(N762 = O762, 0, 1)
            )
        )
    ),
    ""
)</f>
        <v>1</v>
      </c>
      <c r="T762" s="385" t="s">
        <v>929</v>
      </c>
      <c r="U762" s="385" t="s">
        <v>672</v>
      </c>
      <c r="V762" s="385" t="s">
        <v>101</v>
      </c>
      <c r="W762" s="385" t="s">
        <v>4710</v>
      </c>
      <c r="X762" s="1"/>
    </row>
    <row r="763" spans="1:24">
      <c r="A763" s="385" t="s">
        <v>51</v>
      </c>
      <c r="B763" s="385" t="s">
        <v>1377</v>
      </c>
      <c r="C763" s="385" t="s">
        <v>3386</v>
      </c>
      <c r="D763" s="385" t="s">
        <v>88</v>
      </c>
      <c r="E763" s="385" t="s">
        <v>33</v>
      </c>
      <c r="F763" s="385"/>
      <c r="G763" s="385" t="s">
        <v>239</v>
      </c>
      <c r="H763" s="385">
        <v>2026</v>
      </c>
      <c r="I763" s="386">
        <v>46071</v>
      </c>
      <c r="J763" s="30" t="s">
        <v>4977</v>
      </c>
      <c r="K763" s="385" t="s">
        <v>62</v>
      </c>
      <c r="L763" s="386">
        <v>46071</v>
      </c>
      <c r="M763" s="385"/>
      <c r="N763" s="386">
        <v>46071</v>
      </c>
      <c r="O763" s="386">
        <v>46071</v>
      </c>
      <c r="P763" s="385">
        <f>IFERROR(
    IF(
        OR(ISBLANK(I763), ISBLANK(L763)),
        "",
        MAX(
            1,
            IF(
                NETWORKDAYS(I763, L763, Holiday_Dates) &lt;= 0,
                1,
                NETWORKDAYS(I763, L763, Holiday_Dates) - IF(I763 = L763, 0, 1)
            )
        )
    ),
    ""
)</f>
        <v>1</v>
      </c>
      <c r="Q763" s="385" t="str">
        <f>IF(
    OR(ISBLANK(L763), ISBLANK(M763)),
    "",
    MAX(
        1,
        IF(
            NETWORKDAYS(L763, M763, Holiday_Dates) &lt;= 0,
            1,
            NETWORKDAYS(L763, M763, Holiday_Dates) - IF(L763 = M763, 0, 1)
        )
    )
)</f>
        <v/>
      </c>
      <c r="R763" s="385">
        <f>IFERROR(
    IF(
        OR(ISBLANK(N763), AND(ISBLANK(L763), ISBLANK(M763))),
        "",
        MAX(
            1,
            IF(
                NETWORKDAYS(IF(NOT(ISBLANK(M763)), M763, L763), N763, Holiday_Dates) &lt;= 0,
                1,
                NETWORKDAYS(IF(NOT(ISBLANK(M763)), M763, L763), N763, Holiday_Dates)
                - IF(IF(NOT(ISBLANK(M763)), M763, L763) = N763, 0, 1)
            )
        )
    ),
    ""
)</f>
        <v>1</v>
      </c>
      <c r="S763" s="385">
        <f>IFERROR(
    IF(
        OR(ISBLANK(N763), ISBLANK(O763)),
        "",
        MAX(
            1,
            IF(
                NETWORKDAYS(N763, O763, Holiday_Dates) &lt;= 0,
                1,
                NETWORKDAYS(N763, O763, Holiday_Dates) - IF(N763 = O763, 0, 1)
            )
        )
    ),
    ""
)</f>
        <v>1</v>
      </c>
      <c r="T763" s="385" t="s">
        <v>929</v>
      </c>
      <c r="U763" s="385" t="s">
        <v>4</v>
      </c>
      <c r="V763" s="385" t="s">
        <v>101</v>
      </c>
      <c r="W763" s="385" t="s">
        <v>4710</v>
      </c>
      <c r="X763" s="1"/>
    </row>
    <row r="764" spans="1:24">
      <c r="A764" s="385" t="s">
        <v>51</v>
      </c>
      <c r="B764" s="385" t="s">
        <v>1377</v>
      </c>
      <c r="C764" s="385" t="s">
        <v>3828</v>
      </c>
      <c r="D764" s="385" t="s">
        <v>88</v>
      </c>
      <c r="E764" s="385" t="s">
        <v>33</v>
      </c>
      <c r="F764" s="385"/>
      <c r="G764" s="385" t="s">
        <v>239</v>
      </c>
      <c r="H764" s="385">
        <v>2026</v>
      </c>
      <c r="I764" s="386">
        <v>46071</v>
      </c>
      <c r="J764" s="30" t="s">
        <v>4978</v>
      </c>
      <c r="K764" s="385" t="s">
        <v>62</v>
      </c>
      <c r="L764" s="386">
        <v>46071</v>
      </c>
      <c r="M764" s="385"/>
      <c r="N764" s="386">
        <v>46071</v>
      </c>
      <c r="O764" s="386">
        <v>46071</v>
      </c>
      <c r="P764" s="385">
        <f>IFERROR(
    IF(
        OR(ISBLANK(I764), ISBLANK(L764)),
        "",
        MAX(
            1,
            IF(
                NETWORKDAYS(I764, L764, Holiday_Dates) &lt;= 0,
                1,
                NETWORKDAYS(I764, L764, Holiday_Dates) - IF(I764 = L764, 0, 1)
            )
        )
    ),
    ""
)</f>
        <v>1</v>
      </c>
      <c r="Q764" s="385" t="str">
        <f>IF(
    OR(ISBLANK(L764), ISBLANK(M764)),
    "",
    MAX(
        1,
        IF(
            NETWORKDAYS(L764, M764, Holiday_Dates) &lt;= 0,
            1,
            NETWORKDAYS(L764, M764, Holiday_Dates) - IF(L764 = M764, 0, 1)
        )
    )
)</f>
        <v/>
      </c>
      <c r="R764" s="385">
        <f>IFERROR(
    IF(
        OR(ISBLANK(N764), AND(ISBLANK(L764), ISBLANK(M764))),
        "",
        MAX(
            1,
            IF(
                NETWORKDAYS(IF(NOT(ISBLANK(M764)), M764, L764), N764, Holiday_Dates) &lt;= 0,
                1,
                NETWORKDAYS(IF(NOT(ISBLANK(M764)), M764, L764), N764, Holiday_Dates)
                - IF(IF(NOT(ISBLANK(M764)), M764, L764) = N764, 0, 1)
            )
        )
    ),
    ""
)</f>
        <v>1</v>
      </c>
      <c r="S764" s="385">
        <f>IFERROR(
    IF(
        OR(ISBLANK(N764), ISBLANK(O764)),
        "",
        MAX(
            1,
            IF(
                NETWORKDAYS(N764, O764, Holiday_Dates) &lt;= 0,
                1,
                NETWORKDAYS(N764, O764, Holiday_Dates) - IF(N764 = O764, 0, 1)
            )
        )
    ),
    ""
)</f>
        <v>1</v>
      </c>
      <c r="T764" s="385" t="s">
        <v>929</v>
      </c>
      <c r="U764" s="385" t="s">
        <v>4</v>
      </c>
      <c r="V764" s="385" t="s">
        <v>101</v>
      </c>
      <c r="W764" s="385" t="s">
        <v>4710</v>
      </c>
      <c r="X764" s="1"/>
    </row>
    <row r="765" spans="1:24">
      <c r="A765" s="385" t="s">
        <v>51</v>
      </c>
      <c r="B765" s="385" t="s">
        <v>1377</v>
      </c>
      <c r="C765" s="385" t="s">
        <v>946</v>
      </c>
      <c r="D765" s="385" t="s">
        <v>88</v>
      </c>
      <c r="E765" s="385" t="s">
        <v>33</v>
      </c>
      <c r="F765" s="385"/>
      <c r="G765" s="385" t="s">
        <v>239</v>
      </c>
      <c r="H765" s="385">
        <v>2026</v>
      </c>
      <c r="I765" s="386">
        <v>46071</v>
      </c>
      <c r="J765" s="30" t="s">
        <v>4979</v>
      </c>
      <c r="K765" s="385" t="s">
        <v>62</v>
      </c>
      <c r="L765" s="386">
        <v>46071</v>
      </c>
      <c r="M765" s="385"/>
      <c r="N765" s="386">
        <v>46071</v>
      </c>
      <c r="O765" s="386">
        <v>46071</v>
      </c>
      <c r="P765" s="385">
        <f>IFERROR(
    IF(
        OR(ISBLANK(I765), ISBLANK(L765)),
        "",
        MAX(
            1,
            IF(
                NETWORKDAYS(I765, L765, Holiday_Dates) &lt;= 0,
                1,
                NETWORKDAYS(I765, L765, Holiday_Dates) - IF(I765 = L765, 0, 1)
            )
        )
    ),
    ""
)</f>
        <v>1</v>
      </c>
      <c r="Q765" s="385" t="str">
        <f>IF(
    OR(ISBLANK(L765), ISBLANK(M765)),
    "",
    MAX(
        1,
        IF(
            NETWORKDAYS(L765, M765, Holiday_Dates) &lt;= 0,
            1,
            NETWORKDAYS(L765, M765, Holiday_Dates) - IF(L765 = M765, 0, 1)
        )
    )
)</f>
        <v/>
      </c>
      <c r="R765" s="385">
        <f>IFERROR(
    IF(
        OR(ISBLANK(N765), AND(ISBLANK(L765), ISBLANK(M765))),
        "",
        MAX(
            1,
            IF(
                NETWORKDAYS(IF(NOT(ISBLANK(M765)), M765, L765), N765, Holiday_Dates) &lt;= 0,
                1,
                NETWORKDAYS(IF(NOT(ISBLANK(M765)), M765, L765), N765, Holiday_Dates)
                - IF(IF(NOT(ISBLANK(M765)), M765, L765) = N765, 0, 1)
            )
        )
    ),
    ""
)</f>
        <v>1</v>
      </c>
      <c r="S765" s="385">
        <f>IFERROR(
    IF(
        OR(ISBLANK(N765), ISBLANK(O765)),
        "",
        MAX(
            1,
            IF(
                NETWORKDAYS(N765, O765, Holiday_Dates) &lt;= 0,
                1,
                NETWORKDAYS(N765, O765, Holiday_Dates) - IF(N765 = O765, 0, 1)
            )
        )
    ),
    ""
)</f>
        <v>1</v>
      </c>
      <c r="T765" s="385" t="s">
        <v>929</v>
      </c>
      <c r="U765" s="385" t="s">
        <v>4</v>
      </c>
      <c r="V765" s="385" t="s">
        <v>101</v>
      </c>
      <c r="W765" s="385" t="s">
        <v>4710</v>
      </c>
      <c r="X765" s="1"/>
    </row>
    <row r="766" spans="1:24">
      <c r="A766" s="385" t="s">
        <v>51</v>
      </c>
      <c r="B766" s="388" t="s">
        <v>354</v>
      </c>
      <c r="C766" s="385" t="s">
        <v>3644</v>
      </c>
      <c r="D766" s="385" t="s">
        <v>88</v>
      </c>
      <c r="E766" s="385" t="s">
        <v>142</v>
      </c>
      <c r="F766" s="385"/>
      <c r="G766" s="385" t="s">
        <v>133</v>
      </c>
      <c r="H766" s="385">
        <v>2026</v>
      </c>
      <c r="I766" s="386">
        <v>46072</v>
      </c>
      <c r="J766" s="30" t="s">
        <v>4980</v>
      </c>
      <c r="K766" s="385" t="s">
        <v>62</v>
      </c>
      <c r="L766" s="386">
        <v>46072</v>
      </c>
      <c r="M766" s="385"/>
      <c r="N766" s="386">
        <v>46072</v>
      </c>
      <c r="O766" s="386">
        <v>46072</v>
      </c>
      <c r="P766" s="385">
        <f>IFERROR(
    IF(
        OR(ISBLANK(I766), ISBLANK(L766)),
        "",
        MAX(
            1,
            IF(
                NETWORKDAYS(I766, L766, Holiday_Dates) &lt;= 0,
                1,
                NETWORKDAYS(I766, L766, Holiday_Dates) - IF(I766 = L766, 0, 1)
            )
        )
    ),
    ""
)</f>
        <v>1</v>
      </c>
      <c r="Q766" s="385" t="str">
        <f>IF(
    OR(ISBLANK(L766), ISBLANK(M766)),
    "",
    MAX(
        1,
        IF(
            NETWORKDAYS(L766, M766, Holiday_Dates) &lt;= 0,
            1,
            NETWORKDAYS(L766, M766, Holiday_Dates) - IF(L766 = M766, 0, 1)
        )
    )
)</f>
        <v/>
      </c>
      <c r="R766" s="385">
        <f>IFERROR(
    IF(
        OR(ISBLANK(N766), AND(ISBLANK(L766), ISBLANK(M766))),
        "",
        MAX(
            1,
            IF(
                NETWORKDAYS(IF(NOT(ISBLANK(M766)), M766, L766), N766, Holiday_Dates) &lt;= 0,
                1,
                NETWORKDAYS(IF(NOT(ISBLANK(M766)), M766, L766), N766, Holiday_Dates)
                - IF(IF(NOT(ISBLANK(M766)), M766, L766) = N766, 0, 1)
            )
        )
    ),
    ""
)</f>
        <v>1</v>
      </c>
      <c r="S766" s="385">
        <f>IFERROR(
    IF(
        OR(ISBLANK(N766), ISBLANK(O766)),
        "",
        MAX(
            1,
            IF(
                NETWORKDAYS(N766, O766, Holiday_Dates) &lt;= 0,
                1,
                NETWORKDAYS(N766, O766, Holiday_Dates) - IF(N766 = O766, 0, 1)
            )
        )
    ),
    ""
)</f>
        <v>1</v>
      </c>
      <c r="T766" s="385" t="s">
        <v>929</v>
      </c>
      <c r="U766" s="385" t="s">
        <v>4708</v>
      </c>
      <c r="V766" s="385" t="s">
        <v>4709</v>
      </c>
      <c r="W766" s="385" t="s">
        <v>4710</v>
      </c>
      <c r="X766" s="1"/>
    </row>
    <row r="767" spans="1:24">
      <c r="A767" s="385" t="s">
        <v>51</v>
      </c>
      <c r="B767" s="388" t="s">
        <v>354</v>
      </c>
      <c r="C767" s="385" t="s">
        <v>3645</v>
      </c>
      <c r="D767" s="385" t="s">
        <v>88</v>
      </c>
      <c r="E767" s="385" t="s">
        <v>142</v>
      </c>
      <c r="F767" s="385"/>
      <c r="G767" s="385" t="s">
        <v>133</v>
      </c>
      <c r="H767" s="385">
        <v>2026</v>
      </c>
      <c r="I767" s="386">
        <v>46072</v>
      </c>
      <c r="J767" s="30" t="s">
        <v>4981</v>
      </c>
      <c r="K767" s="385" t="s">
        <v>62</v>
      </c>
      <c r="L767" s="386">
        <v>46072</v>
      </c>
      <c r="M767" s="385"/>
      <c r="N767" s="386">
        <v>46072</v>
      </c>
      <c r="O767" s="386">
        <v>46072</v>
      </c>
      <c r="P767" s="385">
        <f>IFERROR(
    IF(
        OR(ISBLANK(I767), ISBLANK(L767)),
        "",
        MAX(
            1,
            IF(
                NETWORKDAYS(I767, L767, Holiday_Dates) &lt;= 0,
                1,
                NETWORKDAYS(I767, L767, Holiday_Dates) - IF(I767 = L767, 0, 1)
            )
        )
    ),
    ""
)</f>
        <v>1</v>
      </c>
      <c r="Q767" s="385" t="str">
        <f>IF(
    OR(ISBLANK(L767), ISBLANK(M767)),
    "",
    MAX(
        1,
        IF(
            NETWORKDAYS(L767, M767, Holiday_Dates) &lt;= 0,
            1,
            NETWORKDAYS(L767, M767, Holiday_Dates) - IF(L767 = M767, 0, 1)
        )
    )
)</f>
        <v/>
      </c>
      <c r="R767" s="385">
        <f>IFERROR(
    IF(
        OR(ISBLANK(N767), AND(ISBLANK(L767), ISBLANK(M767))),
        "",
        MAX(
            1,
            IF(
                NETWORKDAYS(IF(NOT(ISBLANK(M767)), M767, L767), N767, Holiday_Dates) &lt;= 0,
                1,
                NETWORKDAYS(IF(NOT(ISBLANK(M767)), M767, L767), N767, Holiday_Dates)
                - IF(IF(NOT(ISBLANK(M767)), M767, L767) = N767, 0, 1)
            )
        )
    ),
    ""
)</f>
        <v>1</v>
      </c>
      <c r="S767" s="385">
        <f>IFERROR(
    IF(
        OR(ISBLANK(N767), ISBLANK(O767)),
        "",
        MAX(
            1,
            IF(
                NETWORKDAYS(N767, O767, Holiday_Dates) &lt;= 0,
                1,
                NETWORKDAYS(N767, O767, Holiday_Dates) - IF(N767 = O767, 0, 1)
            )
        )
    ),
    ""
)</f>
        <v>1</v>
      </c>
      <c r="T767" s="385" t="s">
        <v>929</v>
      </c>
      <c r="U767" s="385" t="s">
        <v>672</v>
      </c>
      <c r="V767" s="385" t="s">
        <v>685</v>
      </c>
      <c r="W767" s="385" t="s">
        <v>4710</v>
      </c>
      <c r="X767" s="1"/>
    </row>
    <row r="768" spans="1:24">
      <c r="A768" s="385" t="s">
        <v>49</v>
      </c>
      <c r="B768" s="385" t="s">
        <v>501</v>
      </c>
      <c r="C768" s="385" t="s">
        <v>2488</v>
      </c>
      <c r="D768" s="385" t="s">
        <v>88</v>
      </c>
      <c r="E768" s="385"/>
      <c r="F768" s="385"/>
      <c r="G768" s="385"/>
      <c r="H768" s="385">
        <v>2025</v>
      </c>
      <c r="I768" s="386">
        <v>45755</v>
      </c>
      <c r="J768" s="30" t="s">
        <v>4982</v>
      </c>
      <c r="K768" s="385"/>
      <c r="L768" s="385"/>
      <c r="M768" s="385"/>
      <c r="N768" s="385"/>
      <c r="O768" s="385"/>
      <c r="P768" s="385" t="str">
        <f>IFERROR(
    IF(
        OR(ISBLANK(I768), ISBLANK(L768)),
        "",
        MAX(
            1,
            IF(
                NETWORKDAYS(I768, L768, Holiday_Dates) &lt;= 0,
                1,
                NETWORKDAYS(I768, L768, Holiday_Dates) - IF(I768 = L768, 0, 1)
            )
        )
    ),
    ""
)</f>
        <v/>
      </c>
      <c r="Q768" s="385" t="str">
        <f>IF(
    OR(ISBLANK(L768), ISBLANK(M768)),
    "",
    MAX(
        1,
        IF(
            NETWORKDAYS(L768, M768, Holiday_Dates) &lt;= 0,
            1,
            NETWORKDAYS(L768, M768, Holiday_Dates) - IF(L768 = M768, 0, 1)
        )
    )
)</f>
        <v/>
      </c>
      <c r="R768" s="385" t="str">
        <f>IFERROR(
    IF(
        OR(ISBLANK(N768), AND(ISBLANK(L768), ISBLANK(M768))),
        "",
        MAX(
            1,
            IF(
                NETWORKDAYS(IF(NOT(ISBLANK(M768)), M768, L768), N768, Holiday_Dates) &lt;= 0,
                1,
                NETWORKDAYS(IF(NOT(ISBLANK(M768)), M768, L768), N768, Holiday_Dates)
                - IF(IF(NOT(ISBLANK(M768)), M768, L768) = N768, 0, 1)
            )
        )
    ),
    ""
)</f>
        <v/>
      </c>
      <c r="S768" s="385" t="str">
        <f>IFERROR(
    IF(
        OR(ISBLANK(N768), ISBLANK(O768)),
        "",
        MAX(
            1,
            IF(
                NETWORKDAYS(N768, O768, Holiday_Dates) &lt;= 0,
                1,
                NETWORKDAYS(N768, O768, Holiday_Dates) - IF(N768 = O768, 0, 1)
            )
        )
    ),
    ""
)</f>
        <v/>
      </c>
      <c r="T768" s="385"/>
      <c r="U768" s="385" t="s">
        <v>4</v>
      </c>
      <c r="V768" s="385" t="s">
        <v>101</v>
      </c>
      <c r="W768" s="385" t="s">
        <v>1436</v>
      </c>
      <c r="X768" s="1"/>
    </row>
    <row r="769" spans="1:24">
      <c r="A769" s="385" t="s">
        <v>51</v>
      </c>
      <c r="B769" s="388" t="s">
        <v>354</v>
      </c>
      <c r="C769" s="385" t="s">
        <v>3650</v>
      </c>
      <c r="D769" s="385" t="s">
        <v>88</v>
      </c>
      <c r="E769" s="385" t="s">
        <v>142</v>
      </c>
      <c r="F769" s="385"/>
      <c r="G769" s="385" t="s">
        <v>133</v>
      </c>
      <c r="H769" s="385">
        <v>2026</v>
      </c>
      <c r="I769" s="386">
        <v>46072</v>
      </c>
      <c r="J769" s="30" t="s">
        <v>4983</v>
      </c>
      <c r="K769" s="385" t="s">
        <v>62</v>
      </c>
      <c r="L769" s="386">
        <v>46072</v>
      </c>
      <c r="M769" s="385"/>
      <c r="N769" s="386">
        <v>46072</v>
      </c>
      <c r="O769" s="386">
        <v>46072</v>
      </c>
      <c r="P769" s="385">
        <f>IFERROR(
    IF(
        OR(ISBLANK(I769), ISBLANK(L769)),
        "",
        MAX(
            1,
            IF(
                NETWORKDAYS(I769, L769, Holiday_Dates) &lt;= 0,
                1,
                NETWORKDAYS(I769, L769, Holiday_Dates) - IF(I769 = L769, 0, 1)
            )
        )
    ),
    ""
)</f>
        <v>1</v>
      </c>
      <c r="Q769" s="385" t="str">
        <f>IF(
    OR(ISBLANK(L769), ISBLANK(M769)),
    "",
    MAX(
        1,
        IF(
            NETWORKDAYS(L769, M769, Holiday_Dates) &lt;= 0,
            1,
            NETWORKDAYS(L769, M769, Holiday_Dates) - IF(L769 = M769, 0, 1)
        )
    )
)</f>
        <v/>
      </c>
      <c r="R769" s="385">
        <f>IFERROR(
    IF(
        OR(ISBLANK(N769), AND(ISBLANK(L769), ISBLANK(M769))),
        "",
        MAX(
            1,
            IF(
                NETWORKDAYS(IF(NOT(ISBLANK(M769)), M769, L769), N769, Holiday_Dates) &lt;= 0,
                1,
                NETWORKDAYS(IF(NOT(ISBLANK(M769)), M769, L769), N769, Holiday_Dates)
                - IF(IF(NOT(ISBLANK(M769)), M769, L769) = N769, 0, 1)
            )
        )
    ),
    ""
)</f>
        <v>1</v>
      </c>
      <c r="S769" s="385">
        <f>IFERROR(
    IF(
        OR(ISBLANK(N769), ISBLANK(O769)),
        "",
        MAX(
            1,
            IF(
                NETWORKDAYS(N769, O769, Holiday_Dates) &lt;= 0,
                1,
                NETWORKDAYS(N769, O769, Holiday_Dates) - IF(N769 = O769, 0, 1)
            )
        )
    ),
    ""
)</f>
        <v>1</v>
      </c>
      <c r="T769" s="385" t="s">
        <v>929</v>
      </c>
      <c r="U769" s="385" t="s">
        <v>4708</v>
      </c>
      <c r="V769" s="385" t="s">
        <v>4709</v>
      </c>
      <c r="W769" s="385" t="s">
        <v>4710</v>
      </c>
      <c r="X769" s="1"/>
    </row>
    <row r="770" spans="1:24">
      <c r="A770" s="385" t="s">
        <v>51</v>
      </c>
      <c r="B770" s="388" t="s">
        <v>354</v>
      </c>
      <c r="C770" s="385" t="s">
        <v>3652</v>
      </c>
      <c r="D770" s="385" t="s">
        <v>88</v>
      </c>
      <c r="E770" s="385" t="s">
        <v>142</v>
      </c>
      <c r="F770" s="385"/>
      <c r="G770" s="385" t="s">
        <v>133</v>
      </c>
      <c r="H770" s="385">
        <v>2026</v>
      </c>
      <c r="I770" s="386">
        <v>46072</v>
      </c>
      <c r="J770" s="30" t="s">
        <v>4984</v>
      </c>
      <c r="K770" s="385" t="s">
        <v>62</v>
      </c>
      <c r="L770" s="386">
        <v>46072</v>
      </c>
      <c r="M770" s="385"/>
      <c r="N770" s="386">
        <v>46072</v>
      </c>
      <c r="O770" s="386">
        <v>46072</v>
      </c>
      <c r="P770" s="385">
        <f>IFERROR(
    IF(
        OR(ISBLANK(I770), ISBLANK(L770)),
        "",
        MAX(
            1,
            IF(
                NETWORKDAYS(I770, L770, Holiday_Dates) &lt;= 0,
                1,
                NETWORKDAYS(I770, L770, Holiday_Dates) - IF(I770 = L770, 0, 1)
            )
        )
    ),
    ""
)</f>
        <v>1</v>
      </c>
      <c r="Q770" s="385" t="str">
        <f>IF(
    OR(ISBLANK(L770), ISBLANK(M770)),
    "",
    MAX(
        1,
        IF(
            NETWORKDAYS(L770, M770, Holiday_Dates) &lt;= 0,
            1,
            NETWORKDAYS(L770, M770, Holiday_Dates) - IF(L770 = M770, 0, 1)
        )
    )
)</f>
        <v/>
      </c>
      <c r="R770" s="385">
        <f>IFERROR(
    IF(
        OR(ISBLANK(N770), AND(ISBLANK(L770), ISBLANK(M770))),
        "",
        MAX(
            1,
            IF(
                NETWORKDAYS(IF(NOT(ISBLANK(M770)), M770, L770), N770, Holiday_Dates) &lt;= 0,
                1,
                NETWORKDAYS(IF(NOT(ISBLANK(M770)), M770, L770), N770, Holiday_Dates)
                - IF(IF(NOT(ISBLANK(M770)), M770, L770) = N770, 0, 1)
            )
        )
    ),
    ""
)</f>
        <v>1</v>
      </c>
      <c r="S770" s="385">
        <f>IFERROR(
    IF(
        OR(ISBLANK(N770), ISBLANK(O770)),
        "",
        MAX(
            1,
            IF(
                NETWORKDAYS(N770, O770, Holiday_Dates) &lt;= 0,
                1,
                NETWORKDAYS(N770, O770, Holiday_Dates) - IF(N770 = O770, 0, 1)
            )
        )
    ),
    ""
)</f>
        <v>1</v>
      </c>
      <c r="T770" s="385" t="s">
        <v>929</v>
      </c>
      <c r="U770" s="385" t="s">
        <v>4708</v>
      </c>
      <c r="V770" s="385" t="s">
        <v>4709</v>
      </c>
      <c r="W770" s="385" t="s">
        <v>4710</v>
      </c>
      <c r="X770" s="1"/>
    </row>
    <row r="771" spans="1:24">
      <c r="A771" s="385" t="s">
        <v>49</v>
      </c>
      <c r="B771" s="385" t="s">
        <v>501</v>
      </c>
      <c r="C771" s="385" t="s">
        <v>2491</v>
      </c>
      <c r="D771" s="385" t="s">
        <v>88</v>
      </c>
      <c r="E771" s="385"/>
      <c r="F771" s="385"/>
      <c r="G771" s="385"/>
      <c r="H771" s="385">
        <v>2025</v>
      </c>
      <c r="I771" s="386">
        <v>45875</v>
      </c>
      <c r="J771" s="30" t="s">
        <v>4985</v>
      </c>
      <c r="K771" s="385"/>
      <c r="L771" s="385"/>
      <c r="M771" s="385"/>
      <c r="N771" s="385"/>
      <c r="O771" s="385"/>
      <c r="P771" s="385" t="str">
        <f>IFERROR(
    IF(
        OR(ISBLANK(I771), ISBLANK(L771)),
        "",
        MAX(
            1,
            IF(
                NETWORKDAYS(I771, L771, Holiday_Dates) &lt;= 0,
                1,
                NETWORKDAYS(I771, L771, Holiday_Dates) - IF(I771 = L771, 0, 1)
            )
        )
    ),
    ""
)</f>
        <v/>
      </c>
      <c r="Q771" s="385" t="str">
        <f>IF(
    OR(ISBLANK(L771), ISBLANK(M771)),
    "",
    MAX(
        1,
        IF(
            NETWORKDAYS(L771, M771, Holiday_Dates) &lt;= 0,
            1,
            NETWORKDAYS(L771, M771, Holiday_Dates) - IF(L771 = M771, 0, 1)
        )
    )
)</f>
        <v/>
      </c>
      <c r="R771" s="385" t="str">
        <f>IFERROR(
    IF(
        OR(ISBLANK(N771), AND(ISBLANK(L771), ISBLANK(M771))),
        "",
        MAX(
            1,
            IF(
                NETWORKDAYS(IF(NOT(ISBLANK(M771)), M771, L771), N771, Holiday_Dates) &lt;= 0,
                1,
                NETWORKDAYS(IF(NOT(ISBLANK(M771)), M771, L771), N771, Holiday_Dates)
                - IF(IF(NOT(ISBLANK(M771)), M771, L771) = N771, 0, 1)
            )
        )
    ),
    ""
)</f>
        <v/>
      </c>
      <c r="S771" s="385" t="str">
        <f>IFERROR(
    IF(
        OR(ISBLANK(N771), ISBLANK(O771)),
        "",
        MAX(
            1,
            IF(
                NETWORKDAYS(N771, O771, Holiday_Dates) &lt;= 0,
                1,
                NETWORKDAYS(N771, O771, Holiday_Dates) - IF(N771 = O771, 0, 1)
            )
        )
    ),
    ""
)</f>
        <v/>
      </c>
      <c r="T771" s="385"/>
      <c r="U771" s="385" t="s">
        <v>4</v>
      </c>
      <c r="V771" s="385" t="s">
        <v>108</v>
      </c>
      <c r="W771" s="385" t="s">
        <v>1436</v>
      </c>
      <c r="X771" s="1"/>
    </row>
    <row r="772" spans="1:24">
      <c r="A772" s="385" t="s">
        <v>49</v>
      </c>
      <c r="B772" s="385" t="s">
        <v>501</v>
      </c>
      <c r="C772" s="385" t="s">
        <v>926</v>
      </c>
      <c r="D772" s="385" t="s">
        <v>88</v>
      </c>
      <c r="E772" s="385"/>
      <c r="F772" s="385"/>
      <c r="G772" s="385"/>
      <c r="H772" s="385">
        <v>2024</v>
      </c>
      <c r="I772" s="386">
        <v>45450</v>
      </c>
      <c r="J772" s="30"/>
      <c r="K772" s="385"/>
      <c r="L772" s="385"/>
      <c r="M772" s="385"/>
      <c r="N772" s="385"/>
      <c r="O772" s="385"/>
      <c r="P772" s="385" t="str">
        <f>IFERROR(
    IF(
        OR(ISBLANK(I772), ISBLANK(L772)),
        "",
        MAX(
            1,
            IF(
                NETWORKDAYS(I772, L772, Holiday_Dates) &lt;= 0,
                1,
                NETWORKDAYS(I772, L772, Holiday_Dates) - IF(I772 = L772, 0, 1)
            )
        )
    ),
    ""
)</f>
        <v/>
      </c>
      <c r="Q772" s="385" t="str">
        <f>IF(
    OR(ISBLANK(L772), ISBLANK(M772)),
    "",
    MAX(
        1,
        IF(
            NETWORKDAYS(L772, M772, Holiday_Dates) &lt;= 0,
            1,
            NETWORKDAYS(L772, M772, Holiday_Dates) - IF(L772 = M772, 0, 1)
        )
    )
)</f>
        <v/>
      </c>
      <c r="R772" s="385" t="str">
        <f>IFERROR(
    IF(
        OR(ISBLANK(N772), AND(ISBLANK(L772), ISBLANK(M772))),
        "",
        MAX(
            1,
            IF(
                NETWORKDAYS(IF(NOT(ISBLANK(M772)), M772, L772), N772, Holiday_Dates) &lt;= 0,
                1,
                NETWORKDAYS(IF(NOT(ISBLANK(M772)), M772, L772), N772, Holiday_Dates)
                - IF(IF(NOT(ISBLANK(M772)), M772, L772) = N772, 0, 1)
            )
        )
    ),
    ""
)</f>
        <v/>
      </c>
      <c r="S772" s="385" t="str">
        <f>IFERROR(
    IF(
        OR(ISBLANK(N772), ISBLANK(O772)),
        "",
        MAX(
            1,
            IF(
                NETWORKDAYS(N772, O772, Holiday_Dates) &lt;= 0,
                1,
                NETWORKDAYS(N772, O772, Holiday_Dates) - IF(N772 = O772, 0, 1)
            )
        )
    ),
    ""
)</f>
        <v/>
      </c>
      <c r="T772" s="385"/>
      <c r="U772" s="385" t="s">
        <v>672</v>
      </c>
      <c r="V772" s="385"/>
      <c r="W772" s="385" t="s">
        <v>1436</v>
      </c>
      <c r="X772" s="1"/>
    </row>
    <row r="773" spans="1:24">
      <c r="A773" s="385" t="s">
        <v>49</v>
      </c>
      <c r="B773" s="385" t="s">
        <v>501</v>
      </c>
      <c r="C773" s="385" t="s">
        <v>2493</v>
      </c>
      <c r="D773" s="385" t="s">
        <v>88</v>
      </c>
      <c r="E773" s="385"/>
      <c r="F773" s="385"/>
      <c r="G773" s="385"/>
      <c r="H773" s="385">
        <v>2025</v>
      </c>
      <c r="I773" s="386">
        <v>45821</v>
      </c>
      <c r="J773" s="30" t="s">
        <v>4986</v>
      </c>
      <c r="K773" s="386"/>
      <c r="L773" s="386"/>
      <c r="M773" s="386"/>
      <c r="N773" s="386"/>
      <c r="O773" s="386"/>
      <c r="P773" s="385" t="str">
        <f>IFERROR(
    IF(
        OR(ISBLANK(I773), ISBLANK(L773)),
        "",
        MAX(
            1,
            IF(
                NETWORKDAYS(I773, L773, Holiday_Dates) &lt;= 0,
                1,
                NETWORKDAYS(I773, L773, Holiday_Dates) - IF(I773 = L773, 0, 1)
            )
        )
    ),
    ""
)</f>
        <v/>
      </c>
      <c r="Q773" s="385" t="str">
        <f>IF(
    OR(ISBLANK(L773), ISBLANK(M773)),
    "",
    MAX(
        1,
        IF(
            NETWORKDAYS(L773, M773, Holiday_Dates) &lt;= 0,
            1,
            NETWORKDAYS(L773, M773, Holiday_Dates) - IF(L773 = M773, 0, 1)
        )
    )
)</f>
        <v/>
      </c>
      <c r="R773" s="385" t="str">
        <f>IFERROR(
    IF(
        OR(ISBLANK(N773), AND(ISBLANK(L773), ISBLANK(M773))),
        "",
        MAX(
            1,
            IF(
                NETWORKDAYS(IF(NOT(ISBLANK(M773)), M773, L773), N773, Holiday_Dates) &lt;= 0,
                1,
                NETWORKDAYS(IF(NOT(ISBLANK(M773)), M773, L773), N773, Holiday_Dates)
                - IF(IF(NOT(ISBLANK(M773)), M773, L773) = N773, 0, 1)
            )
        )
    ),
    ""
)</f>
        <v/>
      </c>
      <c r="S773" s="385" t="str">
        <f>IFERROR(
    IF(
        OR(ISBLANK(N773), ISBLANK(O773)),
        "",
        MAX(
            1,
            IF(
                NETWORKDAYS(N773, O773, Holiday_Dates) &lt;= 0,
                1,
                NETWORKDAYS(N773, O773, Holiday_Dates) - IF(N773 = O773, 0, 1)
            )
        )
    ),
    ""
)</f>
        <v/>
      </c>
      <c r="T773" s="385"/>
      <c r="U773" s="385" t="s">
        <v>4</v>
      </c>
      <c r="V773" s="385" t="s">
        <v>113</v>
      </c>
      <c r="W773" s="385" t="s">
        <v>1436</v>
      </c>
      <c r="X773" s="1"/>
    </row>
    <row r="774" spans="1:24">
      <c r="A774" s="385" t="s">
        <v>49</v>
      </c>
      <c r="B774" s="385" t="s">
        <v>501</v>
      </c>
      <c r="C774" s="385" t="s">
        <v>774</v>
      </c>
      <c r="D774" s="385" t="s">
        <v>88</v>
      </c>
      <c r="E774" s="385"/>
      <c r="F774" s="385"/>
      <c r="G774" s="385"/>
      <c r="H774" s="385">
        <v>2024</v>
      </c>
      <c r="I774" s="386">
        <v>45484</v>
      </c>
      <c r="J774" s="30"/>
      <c r="K774" s="385"/>
      <c r="L774" s="385"/>
      <c r="M774" s="385"/>
      <c r="N774" s="385"/>
      <c r="O774" s="385"/>
      <c r="P774" s="385" t="str">
        <f>IFERROR(
    IF(
        OR(ISBLANK(I774), ISBLANK(L774)),
        "",
        MAX(
            1,
            IF(
                NETWORKDAYS(I774, L774, Holiday_Dates) &lt;= 0,
                1,
                NETWORKDAYS(I774, L774, Holiday_Dates) - IF(I774 = L774, 0, 1)
            )
        )
    ),
    ""
)</f>
        <v/>
      </c>
      <c r="Q774" s="385" t="str">
        <f>IF(
    OR(ISBLANK(L774), ISBLANK(M774)),
    "",
    MAX(
        1,
        IF(
            NETWORKDAYS(L774, M774, Holiday_Dates) &lt;= 0,
            1,
            NETWORKDAYS(L774, M774, Holiday_Dates) - IF(L774 = M774, 0, 1)
        )
    )
)</f>
        <v/>
      </c>
      <c r="R774" s="385" t="str">
        <f>IFERROR(
    IF(
        OR(ISBLANK(N774), AND(ISBLANK(L774), ISBLANK(M774))),
        "",
        MAX(
            1,
            IF(
                NETWORKDAYS(IF(NOT(ISBLANK(M774)), M774, L774), N774, Holiday_Dates) &lt;= 0,
                1,
                NETWORKDAYS(IF(NOT(ISBLANK(M774)), M774, L774), N774, Holiday_Dates)
                - IF(IF(NOT(ISBLANK(M774)), M774, L774) = N774, 0, 1)
            )
        )
    ),
    ""
)</f>
        <v/>
      </c>
      <c r="S774" s="385" t="str">
        <f>IFERROR(
    IF(
        OR(ISBLANK(N774), ISBLANK(O774)),
        "",
        MAX(
            1,
            IF(
                NETWORKDAYS(N774, O774, Holiday_Dates) &lt;= 0,
                1,
                NETWORKDAYS(N774, O774, Holiday_Dates) - IF(N774 = O774, 0, 1)
            )
        )
    ),
    ""
)</f>
        <v/>
      </c>
      <c r="T774" s="385"/>
      <c r="U774" s="385" t="s">
        <v>4</v>
      </c>
      <c r="V774" s="385" t="s">
        <v>101</v>
      </c>
      <c r="W774" s="385" t="s">
        <v>1436</v>
      </c>
      <c r="X774" s="1"/>
    </row>
    <row r="775" spans="1:24">
      <c r="A775" s="385" t="s">
        <v>51</v>
      </c>
      <c r="B775" s="385" t="s">
        <v>534</v>
      </c>
      <c r="C775" s="385" t="s">
        <v>3695</v>
      </c>
      <c r="D775" s="385" t="s">
        <v>88</v>
      </c>
      <c r="E775" s="385" t="s">
        <v>32</v>
      </c>
      <c r="F775" s="385"/>
      <c r="G775" s="385" t="s">
        <v>133</v>
      </c>
      <c r="H775" s="385">
        <v>2026</v>
      </c>
      <c r="I775" s="386">
        <v>46069</v>
      </c>
      <c r="J775" s="30" t="s">
        <v>4987</v>
      </c>
      <c r="K775" s="385" t="s">
        <v>62</v>
      </c>
      <c r="L775" s="386">
        <v>46070</v>
      </c>
      <c r="M775" s="385"/>
      <c r="N775" s="386">
        <v>46070</v>
      </c>
      <c r="O775" s="386">
        <v>46070</v>
      </c>
      <c r="P775" s="385">
        <f>IFERROR(
    IF(
        OR(ISBLANK(I775), ISBLANK(L775)),
        "",
        MAX(
            1,
            IF(
                NETWORKDAYS(I775, L775, Holiday_Dates) &lt;= 0,
                1,
                NETWORKDAYS(I775, L775, Holiday_Dates) - IF(I775 = L775, 0, 1)
            )
        )
    ),
    ""
)</f>
        <v>1</v>
      </c>
      <c r="Q775" s="385" t="str">
        <f>IF(
    OR(ISBLANK(L775), ISBLANK(M775)),
    "",
    MAX(
        1,
        IF(
            NETWORKDAYS(L775, M775, Holiday_Dates) &lt;= 0,
            1,
            NETWORKDAYS(L775, M775, Holiday_Dates) - IF(L775 = M775, 0, 1)
        )
    )
)</f>
        <v/>
      </c>
      <c r="R775" s="385">
        <f>IFERROR(
    IF(
        OR(ISBLANK(N775), AND(ISBLANK(L775), ISBLANK(M775))),
        "",
        MAX(
            1,
            IF(
                NETWORKDAYS(IF(NOT(ISBLANK(M775)), M775, L775), N775, Holiday_Dates) &lt;= 0,
                1,
                NETWORKDAYS(IF(NOT(ISBLANK(M775)), M775, L775), N775, Holiday_Dates)
                - IF(IF(NOT(ISBLANK(M775)), M775, L775) = N775, 0, 1)
            )
        )
    ),
    ""
)</f>
        <v>1</v>
      </c>
      <c r="S775" s="385">
        <f>IFERROR(
    IF(
        OR(ISBLANK(N775), ISBLANK(O775)),
        "",
        MAX(
            1,
            IF(
                NETWORKDAYS(N775, O775, Holiday_Dates) &lt;= 0,
                1,
                NETWORKDAYS(N775, O775, Holiday_Dates) - IF(N775 = O775, 0, 1)
            )
        )
    ),
    ""
)</f>
        <v>1</v>
      </c>
      <c r="T775" s="385" t="s">
        <v>929</v>
      </c>
      <c r="U775" s="385" t="s">
        <v>4708</v>
      </c>
      <c r="V775" s="385" t="s">
        <v>4782</v>
      </c>
      <c r="W775" s="385" t="s">
        <v>4710</v>
      </c>
      <c r="X775" s="1"/>
    </row>
    <row r="776" spans="1:24">
      <c r="A776" s="385" t="s">
        <v>49</v>
      </c>
      <c r="B776" s="385" t="s">
        <v>501</v>
      </c>
      <c r="C776" s="385" t="s">
        <v>2234</v>
      </c>
      <c r="D776" s="385" t="s">
        <v>88</v>
      </c>
      <c r="E776" s="385"/>
      <c r="F776" s="385"/>
      <c r="G776" s="385"/>
      <c r="H776" s="385">
        <v>2025</v>
      </c>
      <c r="I776" s="386">
        <v>45875</v>
      </c>
      <c r="J776" s="30" t="s">
        <v>4988</v>
      </c>
      <c r="K776" s="385"/>
      <c r="L776" s="385"/>
      <c r="M776" s="385"/>
      <c r="N776" s="385"/>
      <c r="O776" s="385"/>
      <c r="P776" s="385" t="str">
        <f>IFERROR(
    IF(
        OR(ISBLANK(I776), ISBLANK(L776)),
        "",
        MAX(
            1,
            IF(
                NETWORKDAYS(I776, L776, Holiday_Dates) &lt;= 0,
                1,
                NETWORKDAYS(I776, L776, Holiday_Dates) - IF(I776 = L776, 0, 1)
            )
        )
    ),
    ""
)</f>
        <v/>
      </c>
      <c r="Q776" s="385" t="str">
        <f>IF(
    OR(ISBLANK(L776), ISBLANK(M776)),
    "",
    MAX(
        1,
        IF(
            NETWORKDAYS(L776, M776, Holiday_Dates) &lt;= 0,
            1,
            NETWORKDAYS(L776, M776, Holiday_Dates) - IF(L776 = M776, 0, 1)
        )
    )
)</f>
        <v/>
      </c>
      <c r="R776" s="385" t="str">
        <f>IFERROR(
    IF(
        OR(ISBLANK(N776), AND(ISBLANK(L776), ISBLANK(M776))),
        "",
        MAX(
            1,
            IF(
                NETWORKDAYS(IF(NOT(ISBLANK(M776)), M776, L776), N776, Holiday_Dates) &lt;= 0,
                1,
                NETWORKDAYS(IF(NOT(ISBLANK(M776)), M776, L776), N776, Holiday_Dates)
                - IF(IF(NOT(ISBLANK(M776)), M776, L776) = N776, 0, 1)
            )
        )
    ),
    ""
)</f>
        <v/>
      </c>
      <c r="S776" s="385" t="str">
        <f>IFERROR(
    IF(
        OR(ISBLANK(N776), ISBLANK(O776)),
        "",
        MAX(
            1,
            IF(
                NETWORKDAYS(N776, O776, Holiday_Dates) &lt;= 0,
                1,
                NETWORKDAYS(N776, O776, Holiday_Dates) - IF(N776 = O776, 0, 1)
            )
        )
    ),
    ""
)</f>
        <v/>
      </c>
      <c r="T776" s="385"/>
      <c r="U776" s="385" t="s">
        <v>4</v>
      </c>
      <c r="V776" s="385" t="s">
        <v>101</v>
      </c>
      <c r="W776" s="385" t="s">
        <v>1436</v>
      </c>
      <c r="X776" s="1"/>
    </row>
    <row r="777" spans="1:24">
      <c r="A777" s="385" t="s">
        <v>49</v>
      </c>
      <c r="B777" s="385" t="s">
        <v>501</v>
      </c>
      <c r="C777" s="385" t="s">
        <v>653</v>
      </c>
      <c r="D777" s="385" t="s">
        <v>88</v>
      </c>
      <c r="E777" s="385"/>
      <c r="F777" s="385"/>
      <c r="G777" s="385"/>
      <c r="H777" s="385">
        <v>2024</v>
      </c>
      <c r="I777" s="386">
        <v>45484</v>
      </c>
      <c r="J777" s="30"/>
      <c r="K777" s="385"/>
      <c r="L777" s="385"/>
      <c r="M777" s="385"/>
      <c r="N777" s="385"/>
      <c r="O777" s="385"/>
      <c r="P777" s="385" t="str">
        <f>IFERROR(
    IF(
        OR(ISBLANK(I777), ISBLANK(L777)),
        "",
        MAX(
            1,
            IF(
                NETWORKDAYS(I777, L777, Holiday_Dates) &lt;= 0,
                1,
                NETWORKDAYS(I777, L777, Holiday_Dates) - IF(I777 = L777, 0, 1)
            )
        )
    ),
    ""
)</f>
        <v/>
      </c>
      <c r="Q777" s="385" t="str">
        <f>IF(
    OR(ISBLANK(L777), ISBLANK(M777)),
    "",
    MAX(
        1,
        IF(
            NETWORKDAYS(L777, M777, Holiday_Dates) &lt;= 0,
            1,
            NETWORKDAYS(L777, M777, Holiday_Dates) - IF(L777 = M777, 0, 1)
        )
    )
)</f>
        <v/>
      </c>
      <c r="R777" s="385" t="str">
        <f>IFERROR(
    IF(
        OR(ISBLANK(N777), AND(ISBLANK(L777), ISBLANK(M777))),
        "",
        MAX(
            1,
            IF(
                NETWORKDAYS(IF(NOT(ISBLANK(M777)), M777, L777), N777, Holiday_Dates) &lt;= 0,
                1,
                NETWORKDAYS(IF(NOT(ISBLANK(M777)), M777, L777), N777, Holiday_Dates)
                - IF(IF(NOT(ISBLANK(M777)), M777, L777) = N777, 0, 1)
            )
        )
    ),
    ""
)</f>
        <v/>
      </c>
      <c r="S777" s="385" t="str">
        <f>IFERROR(
    IF(
        OR(ISBLANK(N777), ISBLANK(O777)),
        "",
        MAX(
            1,
            IF(
                NETWORKDAYS(N777, O777, Holiday_Dates) &lt;= 0,
                1,
                NETWORKDAYS(N777, O777, Holiday_Dates) - IF(N777 = O777, 0, 1)
            )
        )
    ),
    ""
)</f>
        <v/>
      </c>
      <c r="T777" s="385"/>
      <c r="U777" s="385" t="s">
        <v>4</v>
      </c>
      <c r="V777" s="385" t="s">
        <v>101</v>
      </c>
      <c r="W777" s="385" t="s">
        <v>1436</v>
      </c>
      <c r="X777" s="1"/>
    </row>
    <row r="778" spans="1:24">
      <c r="A778" s="385" t="s">
        <v>51</v>
      </c>
      <c r="B778" s="385" t="s">
        <v>534</v>
      </c>
      <c r="C778" s="385" t="s">
        <v>3386</v>
      </c>
      <c r="D778" s="385" t="s">
        <v>88</v>
      </c>
      <c r="E778" s="385" t="s">
        <v>32</v>
      </c>
      <c r="F778" s="385"/>
      <c r="G778" s="385" t="s">
        <v>133</v>
      </c>
      <c r="H778" s="385">
        <v>2026</v>
      </c>
      <c r="I778" s="386">
        <v>46069</v>
      </c>
      <c r="J778" s="30" t="s">
        <v>4989</v>
      </c>
      <c r="K778" s="385" t="s">
        <v>62</v>
      </c>
      <c r="L778" s="386">
        <v>46070</v>
      </c>
      <c r="M778" s="385"/>
      <c r="N778" s="386">
        <v>46070</v>
      </c>
      <c r="O778" s="386">
        <v>46070</v>
      </c>
      <c r="P778" s="385">
        <f>IFERROR(
    IF(
        OR(ISBLANK(I778), ISBLANK(L778)),
        "",
        MAX(
            1,
            IF(
                NETWORKDAYS(I778, L778, Holiday_Dates) &lt;= 0,
                1,
                NETWORKDAYS(I778, L778, Holiday_Dates) - IF(I778 = L778, 0, 1)
            )
        )
    ),
    ""
)</f>
        <v>1</v>
      </c>
      <c r="Q778" s="385" t="str">
        <f>IF(
    OR(ISBLANK(L778), ISBLANK(M778)),
    "",
    MAX(
        1,
        IF(
            NETWORKDAYS(L778, M778, Holiday_Dates) &lt;= 0,
            1,
            NETWORKDAYS(L778, M778, Holiday_Dates) - IF(L778 = M778, 0, 1)
        )
    )
)</f>
        <v/>
      </c>
      <c r="R778" s="385">
        <f>IFERROR(
    IF(
        OR(ISBLANK(N778), AND(ISBLANK(L778), ISBLANK(M778))),
        "",
        MAX(
            1,
            IF(
                NETWORKDAYS(IF(NOT(ISBLANK(M778)), M778, L778), N778, Holiday_Dates) &lt;= 0,
                1,
                NETWORKDAYS(IF(NOT(ISBLANK(M778)), M778, L778), N778, Holiday_Dates)
                - IF(IF(NOT(ISBLANK(M778)), M778, L778) = N778, 0, 1)
            )
        )
    ),
    ""
)</f>
        <v>1</v>
      </c>
      <c r="S778" s="385">
        <f>IFERROR(
    IF(
        OR(ISBLANK(N778), ISBLANK(O778)),
        "",
        MAX(
            1,
            IF(
                NETWORKDAYS(N778, O778, Holiday_Dates) &lt;= 0,
                1,
                NETWORKDAYS(N778, O778, Holiday_Dates) - IF(N778 = O778, 0, 1)
            )
        )
    ),
    ""
)</f>
        <v>1</v>
      </c>
      <c r="T778" s="385" t="s">
        <v>929</v>
      </c>
      <c r="U778" s="385" t="s">
        <v>4708</v>
      </c>
      <c r="V778" s="385" t="s">
        <v>4782</v>
      </c>
      <c r="W778" s="385" t="s">
        <v>4710</v>
      </c>
      <c r="X778" s="1"/>
    </row>
    <row r="779" spans="1:24">
      <c r="A779" s="385" t="s">
        <v>49</v>
      </c>
      <c r="B779" s="385" t="s">
        <v>501</v>
      </c>
      <c r="C779" s="385" t="s">
        <v>1879</v>
      </c>
      <c r="D779" s="385" t="s">
        <v>88</v>
      </c>
      <c r="E779" s="385"/>
      <c r="F779" s="385"/>
      <c r="G779" s="385"/>
      <c r="H779" s="385">
        <v>2025</v>
      </c>
      <c r="I779" s="386">
        <v>45821</v>
      </c>
      <c r="J779" s="30" t="s">
        <v>4990</v>
      </c>
      <c r="K779" s="385"/>
      <c r="L779" s="385"/>
      <c r="M779" s="385"/>
      <c r="N779" s="385"/>
      <c r="O779" s="385"/>
      <c r="P779" s="385" t="str">
        <f>IFERROR(
    IF(
        OR(ISBLANK(I779), ISBLANK(L779)),
        "",
        MAX(
            1,
            IF(
                NETWORKDAYS(I779, L779, Holiday_Dates) &lt;= 0,
                1,
                NETWORKDAYS(I779, L779, Holiday_Dates) - IF(I779 = L779, 0, 1)
            )
        )
    ),
    ""
)</f>
        <v/>
      </c>
      <c r="Q779" s="385" t="str">
        <f>IF(
    OR(ISBLANK(L779), ISBLANK(M779)),
    "",
    MAX(
        1,
        IF(
            NETWORKDAYS(L779, M779, Holiday_Dates) &lt;= 0,
            1,
            NETWORKDAYS(L779, M779, Holiday_Dates) - IF(L779 = M779, 0, 1)
        )
    )
)</f>
        <v/>
      </c>
      <c r="R779" s="385" t="str">
        <f>IFERROR(
    IF(
        OR(ISBLANK(N779), AND(ISBLANK(L779), ISBLANK(M779))),
        "",
        MAX(
            1,
            IF(
                NETWORKDAYS(IF(NOT(ISBLANK(M779)), M779, L779), N779, Holiday_Dates) &lt;= 0,
                1,
                NETWORKDAYS(IF(NOT(ISBLANK(M779)), M779, L779), N779, Holiday_Dates)
                - IF(IF(NOT(ISBLANK(M779)), M779, L779) = N779, 0, 1)
            )
        )
    ),
    ""
)</f>
        <v/>
      </c>
      <c r="S779" s="385" t="str">
        <f>IFERROR(
    IF(
        OR(ISBLANK(N779), ISBLANK(O779)),
        "",
        MAX(
            1,
            IF(
                NETWORKDAYS(N779, O779, Holiday_Dates) &lt;= 0,
                1,
                NETWORKDAYS(N779, O779, Holiday_Dates) - IF(N779 = O779, 0, 1)
            )
        )
    ),
    ""
)</f>
        <v/>
      </c>
      <c r="T779" s="385"/>
      <c r="U779" s="385" t="s">
        <v>4</v>
      </c>
      <c r="V779" s="385" t="s">
        <v>113</v>
      </c>
      <c r="W779" s="385" t="s">
        <v>1436</v>
      </c>
      <c r="X779" s="1"/>
    </row>
    <row r="780" spans="1:24">
      <c r="A780" s="385" t="s">
        <v>49</v>
      </c>
      <c r="B780" s="385" t="s">
        <v>501</v>
      </c>
      <c r="C780" s="385" t="s">
        <v>2347</v>
      </c>
      <c r="D780" s="385" t="s">
        <v>88</v>
      </c>
      <c r="E780" s="385"/>
      <c r="F780" s="385"/>
      <c r="G780" s="385"/>
      <c r="H780" s="385">
        <v>2025</v>
      </c>
      <c r="I780" s="386">
        <v>45755</v>
      </c>
      <c r="J780" s="30" t="s">
        <v>4991</v>
      </c>
      <c r="K780" s="385"/>
      <c r="L780" s="385"/>
      <c r="M780" s="385"/>
      <c r="N780" s="385"/>
      <c r="O780" s="385"/>
      <c r="P780" s="385" t="str">
        <f>IFERROR(
    IF(
        OR(ISBLANK(I780), ISBLANK(L780)),
        "",
        MAX(
            1,
            IF(
                NETWORKDAYS(I780, L780, Holiday_Dates) &lt;= 0,
                1,
                NETWORKDAYS(I780, L780, Holiday_Dates) - IF(I780 = L780, 0, 1)
            )
        )
    ),
    ""
)</f>
        <v/>
      </c>
      <c r="Q780" s="385" t="str">
        <f>IF(
    OR(ISBLANK(L780), ISBLANK(M780)),
    "",
    MAX(
        1,
        IF(
            NETWORKDAYS(L780, M780, Holiday_Dates) &lt;= 0,
            1,
            NETWORKDAYS(L780, M780, Holiday_Dates) - IF(L780 = M780, 0, 1)
        )
    )
)</f>
        <v/>
      </c>
      <c r="R780" s="385" t="str">
        <f>IFERROR(
    IF(
        OR(ISBLANK(N780), AND(ISBLANK(L780), ISBLANK(M780))),
        "",
        MAX(
            1,
            IF(
                NETWORKDAYS(IF(NOT(ISBLANK(M780)), M780, L780), N780, Holiday_Dates) &lt;= 0,
                1,
                NETWORKDAYS(IF(NOT(ISBLANK(M780)), M780, L780), N780, Holiday_Dates)
                - IF(IF(NOT(ISBLANK(M780)), M780, L780) = N780, 0, 1)
            )
        )
    ),
    ""
)</f>
        <v/>
      </c>
      <c r="S780" s="385" t="str">
        <f>IFERROR(
    IF(
        OR(ISBLANK(N780), ISBLANK(O780)),
        "",
        MAX(
            1,
            IF(
                NETWORKDAYS(N780, O780, Holiday_Dates) &lt;= 0,
                1,
                NETWORKDAYS(N780, O780, Holiday_Dates) - IF(N780 = O780, 0, 1)
            )
        )
    ),
    ""
)</f>
        <v/>
      </c>
      <c r="T780" s="385"/>
      <c r="U780" s="385" t="s">
        <v>4</v>
      </c>
      <c r="V780" s="385" t="s">
        <v>101</v>
      </c>
      <c r="W780" s="385" t="s">
        <v>1436</v>
      </c>
      <c r="X780" s="1"/>
    </row>
    <row r="781" spans="1:24">
      <c r="A781" s="385" t="s">
        <v>49</v>
      </c>
      <c r="B781" s="385" t="s">
        <v>284</v>
      </c>
      <c r="C781" s="385" t="s">
        <v>2497</v>
      </c>
      <c r="D781" s="385" t="s">
        <v>88</v>
      </c>
      <c r="E781" s="385"/>
      <c r="F781" s="385"/>
      <c r="G781" s="385"/>
      <c r="H781" s="385">
        <v>2024</v>
      </c>
      <c r="I781" s="386">
        <v>45552</v>
      </c>
      <c r="J781" s="30"/>
      <c r="K781" s="385"/>
      <c r="L781" s="385"/>
      <c r="M781" s="385"/>
      <c r="N781" s="385"/>
      <c r="O781" s="385"/>
      <c r="P781" s="385" t="str">
        <f>IFERROR(
    IF(
        OR(ISBLANK(I781), ISBLANK(L781)),
        "",
        MAX(
            1,
            IF(
                NETWORKDAYS(I781, L781, Holiday_Dates) &lt;= 0,
                1,
                NETWORKDAYS(I781, L781, Holiday_Dates) - IF(I781 = L781, 0, 1)
            )
        )
    ),
    ""
)</f>
        <v/>
      </c>
      <c r="Q781" s="385" t="str">
        <f>IF(
    OR(ISBLANK(L781), ISBLANK(M781)),
    "",
    MAX(
        1,
        IF(
            NETWORKDAYS(L781, M781, Holiday_Dates) &lt;= 0,
            1,
            NETWORKDAYS(L781, M781, Holiday_Dates) - IF(L781 = M781, 0, 1)
        )
    )
)</f>
        <v/>
      </c>
      <c r="R781" s="385" t="str">
        <f>IFERROR(
    IF(
        OR(ISBLANK(N781), AND(ISBLANK(L781), ISBLANK(M781))),
        "",
        MAX(
            1,
            IF(
                NETWORKDAYS(IF(NOT(ISBLANK(M781)), M781, L781), N781, Holiday_Dates) &lt;= 0,
                1,
                NETWORKDAYS(IF(NOT(ISBLANK(M781)), M781, L781), N781, Holiday_Dates)
                - IF(IF(NOT(ISBLANK(M781)), M781, L781) = N781, 0, 1)
            )
        )
    ),
    ""
)</f>
        <v/>
      </c>
      <c r="S781" s="385" t="str">
        <f>IFERROR(
    IF(
        OR(ISBLANK(N781), ISBLANK(O781)),
        "",
        MAX(
            1,
            IF(
                NETWORKDAYS(N781, O781, Holiday_Dates) &lt;= 0,
                1,
                NETWORKDAYS(N781, O781, Holiday_Dates) - IF(N781 = O781, 0, 1)
            )
        )
    ),
    ""
)</f>
        <v/>
      </c>
      <c r="T781" s="385"/>
      <c r="U781" s="385" t="s">
        <v>4</v>
      </c>
      <c r="V781" s="385" t="s">
        <v>101</v>
      </c>
      <c r="W781" s="385" t="s">
        <v>1436</v>
      </c>
      <c r="X781" s="1"/>
    </row>
    <row r="782" spans="1:24">
      <c r="A782" s="385" t="s">
        <v>49</v>
      </c>
      <c r="B782" s="385" t="s">
        <v>284</v>
      </c>
      <c r="C782" s="385" t="s">
        <v>985</v>
      </c>
      <c r="D782" s="385" t="s">
        <v>88</v>
      </c>
      <c r="E782" s="385"/>
      <c r="F782" s="385"/>
      <c r="G782" s="385"/>
      <c r="H782" s="385">
        <v>2024</v>
      </c>
      <c r="I782" s="386">
        <v>45457</v>
      </c>
      <c r="J782" s="30"/>
      <c r="K782" s="385"/>
      <c r="L782" s="385"/>
      <c r="M782" s="385"/>
      <c r="N782" s="385"/>
      <c r="O782" s="385"/>
      <c r="P782" s="385" t="str">
        <f>IFERROR(
    IF(
        OR(ISBLANK(I782), ISBLANK(L782)),
        "",
        MAX(
            1,
            IF(
                NETWORKDAYS(I782, L782, Holiday_Dates) &lt;= 0,
                1,
                NETWORKDAYS(I782, L782, Holiday_Dates) - IF(I782 = L782, 0, 1)
            )
        )
    ),
    ""
)</f>
        <v/>
      </c>
      <c r="Q782" s="385" t="str">
        <f>IF(
    OR(ISBLANK(L782), ISBLANK(M782)),
    "",
    MAX(
        1,
        IF(
            NETWORKDAYS(L782, M782, Holiday_Dates) &lt;= 0,
            1,
            NETWORKDAYS(L782, M782, Holiday_Dates) - IF(L782 = M782, 0, 1)
        )
    )
)</f>
        <v/>
      </c>
      <c r="R782" s="385" t="str">
        <f>IFERROR(
    IF(
        OR(ISBLANK(N782), AND(ISBLANK(L782), ISBLANK(M782))),
        "",
        MAX(
            1,
            IF(
                NETWORKDAYS(IF(NOT(ISBLANK(M782)), M782, L782), N782, Holiday_Dates) &lt;= 0,
                1,
                NETWORKDAYS(IF(NOT(ISBLANK(M782)), M782, L782), N782, Holiday_Dates)
                - IF(IF(NOT(ISBLANK(M782)), M782, L782) = N782, 0, 1)
            )
        )
    ),
    ""
)</f>
        <v/>
      </c>
      <c r="S782" s="385" t="str">
        <f>IFERROR(
    IF(
        OR(ISBLANK(N782), ISBLANK(O782)),
        "",
        MAX(
            1,
            IF(
                NETWORKDAYS(N782, O782, Holiday_Dates) &lt;= 0,
                1,
                NETWORKDAYS(N782, O782, Holiday_Dates) - IF(N782 = O782, 0, 1)
            )
        )
    ),
    ""
)</f>
        <v/>
      </c>
      <c r="T782" s="385"/>
      <c r="U782" s="385" t="s">
        <v>672</v>
      </c>
      <c r="V782" s="385"/>
      <c r="W782" s="385" t="s">
        <v>1436</v>
      </c>
      <c r="X782" s="1"/>
    </row>
    <row r="783" spans="1:24">
      <c r="A783" s="385" t="s">
        <v>49</v>
      </c>
      <c r="B783" s="385" t="s">
        <v>284</v>
      </c>
      <c r="C783" s="385" t="s">
        <v>2500</v>
      </c>
      <c r="D783" s="385" t="s">
        <v>88</v>
      </c>
      <c r="E783" s="385"/>
      <c r="F783" s="385"/>
      <c r="G783" s="385"/>
      <c r="H783" s="385">
        <v>2024</v>
      </c>
      <c r="I783" s="385" t="s">
        <v>4627</v>
      </c>
      <c r="J783" s="30"/>
      <c r="K783" s="385"/>
      <c r="L783" s="385"/>
      <c r="M783" s="385"/>
      <c r="N783" s="385"/>
      <c r="O783" s="385"/>
      <c r="P783" s="385" t="str">
        <f>IFERROR(
    IF(
        OR(ISBLANK(I783), ISBLANK(L783)),
        "",
        MAX(
            1,
            IF(
                NETWORKDAYS(I783, L783, Holiday_Dates) &lt;= 0,
                1,
                NETWORKDAYS(I783, L783, Holiday_Dates) - IF(I783 = L783, 0, 1)
            )
        )
    ),
    ""
)</f>
        <v/>
      </c>
      <c r="Q783" s="385" t="str">
        <f>IF(
    OR(ISBLANK(L783), ISBLANK(M783)),
    "",
    MAX(
        1,
        IF(
            NETWORKDAYS(L783, M783, Holiday_Dates) &lt;= 0,
            1,
            NETWORKDAYS(L783, M783, Holiday_Dates) - IF(L783 = M783, 0, 1)
        )
    )
)</f>
        <v/>
      </c>
      <c r="R783" s="385" t="str">
        <f>IFERROR(
    IF(
        OR(ISBLANK(N783), AND(ISBLANK(L783), ISBLANK(M783))),
        "",
        MAX(
            1,
            IF(
                NETWORKDAYS(IF(NOT(ISBLANK(M783)), M783, L783), N783, Holiday_Dates) &lt;= 0,
                1,
                NETWORKDAYS(IF(NOT(ISBLANK(M783)), M783, L783), N783, Holiday_Dates)
                - IF(IF(NOT(ISBLANK(M783)), M783, L783) = N783, 0, 1)
            )
        )
    ),
    ""
)</f>
        <v/>
      </c>
      <c r="S783" s="385" t="str">
        <f>IFERROR(
    IF(
        OR(ISBLANK(N783), ISBLANK(O783)),
        "",
        MAX(
            1,
            IF(
                NETWORKDAYS(N783, O783, Holiday_Dates) &lt;= 0,
                1,
                NETWORKDAYS(N783, O783, Holiday_Dates) - IF(N783 = O783, 0, 1)
            )
        )
    ),
    ""
)</f>
        <v/>
      </c>
      <c r="T783" s="385"/>
      <c r="U783" s="385" t="s">
        <v>672</v>
      </c>
      <c r="V783" s="385"/>
      <c r="W783" s="385" t="s">
        <v>1436</v>
      </c>
      <c r="X783" s="1"/>
    </row>
    <row r="784" spans="1:24">
      <c r="A784" s="385" t="s">
        <v>49</v>
      </c>
      <c r="B784" s="385" t="s">
        <v>284</v>
      </c>
      <c r="C784" s="385" t="s">
        <v>2502</v>
      </c>
      <c r="D784" s="385" t="s">
        <v>88</v>
      </c>
      <c r="E784" s="385"/>
      <c r="F784" s="385"/>
      <c r="G784" s="385"/>
      <c r="H784" s="385">
        <v>2024</v>
      </c>
      <c r="I784" s="386">
        <v>45575</v>
      </c>
      <c r="J784" s="30"/>
      <c r="K784" s="385"/>
      <c r="L784" s="385"/>
      <c r="M784" s="385"/>
      <c r="N784" s="385"/>
      <c r="O784" s="385"/>
      <c r="P784" s="385" t="str">
        <f>IFERROR(
    IF(
        OR(ISBLANK(I784), ISBLANK(L784)),
        "",
        MAX(
            1,
            IF(
                NETWORKDAYS(I784, L784, Holiday_Dates) &lt;= 0,
                1,
                NETWORKDAYS(I784, L784, Holiday_Dates) - IF(I784 = L784, 0, 1)
            )
        )
    ),
    ""
)</f>
        <v/>
      </c>
      <c r="Q784" s="385" t="str">
        <f>IF(
    OR(ISBLANK(L784), ISBLANK(M784)),
    "",
    MAX(
        1,
        IF(
            NETWORKDAYS(L784, M784, Holiday_Dates) &lt;= 0,
            1,
            NETWORKDAYS(L784, M784, Holiday_Dates) - IF(L784 = M784, 0, 1)
        )
    )
)</f>
        <v/>
      </c>
      <c r="R784" s="385" t="str">
        <f>IFERROR(
    IF(
        OR(ISBLANK(N784), AND(ISBLANK(L784), ISBLANK(M784))),
        "",
        MAX(
            1,
            IF(
                NETWORKDAYS(IF(NOT(ISBLANK(M784)), M784, L784), N784, Holiday_Dates) &lt;= 0,
                1,
                NETWORKDAYS(IF(NOT(ISBLANK(M784)), M784, L784), N784, Holiday_Dates)
                - IF(IF(NOT(ISBLANK(M784)), M784, L784) = N784, 0, 1)
            )
        )
    ),
    ""
)</f>
        <v/>
      </c>
      <c r="S784" s="385" t="str">
        <f>IFERROR(
    IF(
        OR(ISBLANK(N784), ISBLANK(O784)),
        "",
        MAX(
            1,
            IF(
                NETWORKDAYS(N784, O784, Holiday_Dates) &lt;= 0,
                1,
                NETWORKDAYS(N784, O784, Holiday_Dates) - IF(N784 = O784, 0, 1)
            )
        )
    ),
    ""
)</f>
        <v/>
      </c>
      <c r="T784" s="385"/>
      <c r="U784" s="385" t="s">
        <v>4</v>
      </c>
      <c r="V784" s="385" t="s">
        <v>101</v>
      </c>
      <c r="W784" s="385" t="s">
        <v>1436</v>
      </c>
      <c r="X784" s="1"/>
    </row>
    <row r="785" spans="1:24">
      <c r="A785" s="385" t="s">
        <v>49</v>
      </c>
      <c r="B785" s="385" t="s">
        <v>284</v>
      </c>
      <c r="C785" s="385" t="s">
        <v>2504</v>
      </c>
      <c r="D785" s="385" t="s">
        <v>88</v>
      </c>
      <c r="E785" s="385"/>
      <c r="F785" s="385"/>
      <c r="G785" s="385"/>
      <c r="H785" s="385">
        <v>2024</v>
      </c>
      <c r="I785" s="386">
        <v>45575</v>
      </c>
      <c r="J785" s="30"/>
      <c r="K785" s="385"/>
      <c r="L785" s="385"/>
      <c r="M785" s="385"/>
      <c r="N785" s="385"/>
      <c r="O785" s="385"/>
      <c r="P785" s="385" t="str">
        <f>IFERROR(
    IF(
        OR(ISBLANK(I785), ISBLANK(L785)),
        "",
        MAX(
            1,
            IF(
                NETWORKDAYS(I785, L785, Holiday_Dates) &lt;= 0,
                1,
                NETWORKDAYS(I785, L785, Holiday_Dates) - IF(I785 = L785, 0, 1)
            )
        )
    ),
    ""
)</f>
        <v/>
      </c>
      <c r="Q785" s="385" t="str">
        <f>IF(
    OR(ISBLANK(L785), ISBLANK(M785)),
    "",
    MAX(
        1,
        IF(
            NETWORKDAYS(L785, M785, Holiday_Dates) &lt;= 0,
            1,
            NETWORKDAYS(L785, M785, Holiday_Dates) - IF(L785 = M785, 0, 1)
        )
    )
)</f>
        <v/>
      </c>
      <c r="R785" s="385" t="str">
        <f>IFERROR(
    IF(
        OR(ISBLANK(N785), AND(ISBLANK(L785), ISBLANK(M785))),
        "",
        MAX(
            1,
            IF(
                NETWORKDAYS(IF(NOT(ISBLANK(M785)), M785, L785), N785, Holiday_Dates) &lt;= 0,
                1,
                NETWORKDAYS(IF(NOT(ISBLANK(M785)), M785, L785), N785, Holiday_Dates)
                - IF(IF(NOT(ISBLANK(M785)), M785, L785) = N785, 0, 1)
            )
        )
    ),
    ""
)</f>
        <v/>
      </c>
      <c r="S785" s="385" t="str">
        <f>IFERROR(
    IF(
        OR(ISBLANK(N785), ISBLANK(O785)),
        "",
        MAX(
            1,
            IF(
                NETWORKDAYS(N785, O785, Holiday_Dates) &lt;= 0,
                1,
                NETWORKDAYS(N785, O785, Holiday_Dates) - IF(N785 = O785, 0, 1)
            )
        )
    ),
    ""
)</f>
        <v/>
      </c>
      <c r="T785" s="385"/>
      <c r="U785" s="385" t="s">
        <v>672</v>
      </c>
      <c r="V785" s="385" t="s">
        <v>1676</v>
      </c>
      <c r="W785" s="385" t="s">
        <v>1436</v>
      </c>
      <c r="X785" s="1"/>
    </row>
    <row r="786" spans="1:24">
      <c r="A786" s="385" t="s">
        <v>51</v>
      </c>
      <c r="B786" s="385" t="s">
        <v>312</v>
      </c>
      <c r="C786" s="385" t="s">
        <v>3487</v>
      </c>
      <c r="D786" s="385" t="s">
        <v>88</v>
      </c>
      <c r="E786" s="385" t="s">
        <v>142</v>
      </c>
      <c r="F786" s="385"/>
      <c r="G786" s="385" t="s">
        <v>239</v>
      </c>
      <c r="H786" s="385">
        <v>2026</v>
      </c>
      <c r="I786" s="386">
        <v>46056</v>
      </c>
      <c r="J786" s="30" t="s">
        <v>4992</v>
      </c>
      <c r="K786" s="385" t="s">
        <v>62</v>
      </c>
      <c r="L786" s="386">
        <v>46066</v>
      </c>
      <c r="M786" s="385"/>
      <c r="N786" s="386">
        <v>46069</v>
      </c>
      <c r="O786" s="386">
        <v>46069</v>
      </c>
      <c r="P786" s="385">
        <f>IFERROR(
    IF(
        OR(ISBLANK(I786), ISBLANK(L786)),
        "",
        MAX(
            1,
            IF(
                NETWORKDAYS(I786, L786, Holiday_Dates) &lt;= 0,
                1,
                NETWORKDAYS(I786, L786, Holiday_Dates) - IF(I786 = L786, 0, 1)
            )
        )
    ),
    ""
)</f>
        <v>8</v>
      </c>
      <c r="Q786" s="385" t="str">
        <f>IF(
    OR(ISBLANK(L786), ISBLANK(M786)),
    "",
    MAX(
        1,
        IF(
            NETWORKDAYS(L786, M786, Holiday_Dates) &lt;= 0,
            1,
            NETWORKDAYS(L786, M786, Holiday_Dates) - IF(L786 = M786, 0, 1)
        )
    )
)</f>
        <v/>
      </c>
      <c r="R786" s="385">
        <f>IFERROR(
    IF(
        OR(ISBLANK(N786), AND(ISBLANK(L786), ISBLANK(M786))),
        "",
        MAX(
            1,
            IF(
                NETWORKDAYS(IF(NOT(ISBLANK(M786)), M786, L786), N786, Holiday_Dates) &lt;= 0,
                1,
                NETWORKDAYS(IF(NOT(ISBLANK(M786)), M786, L786), N786, Holiday_Dates)
                - IF(IF(NOT(ISBLANK(M786)), M786, L786) = N786, 0, 1)
            )
        )
    ),
    ""
)</f>
        <v>1</v>
      </c>
      <c r="S786" s="385">
        <f>IFERROR(
    IF(
        OR(ISBLANK(N786), ISBLANK(O786)),
        "",
        MAX(
            1,
            IF(
                NETWORKDAYS(N786, O786, Holiday_Dates) &lt;= 0,
                1,
                NETWORKDAYS(N786, O786, Holiday_Dates) - IF(N786 = O786, 0, 1)
            )
        )
    ),
    ""
)</f>
        <v>1</v>
      </c>
      <c r="T786" s="385" t="s">
        <v>929</v>
      </c>
      <c r="U786" s="385" t="s">
        <v>672</v>
      </c>
      <c r="V786" s="385" t="s">
        <v>101</v>
      </c>
      <c r="W786" s="385" t="s">
        <v>4710</v>
      </c>
      <c r="X786" s="1"/>
    </row>
    <row r="787" spans="1:24">
      <c r="A787" s="385" t="s">
        <v>49</v>
      </c>
      <c r="B787" s="385" t="s">
        <v>284</v>
      </c>
      <c r="C787" s="385" t="s">
        <v>2506</v>
      </c>
      <c r="D787" s="385" t="s">
        <v>88</v>
      </c>
      <c r="E787" s="385"/>
      <c r="F787" s="385"/>
      <c r="G787" s="385"/>
      <c r="H787" s="385">
        <v>2024</v>
      </c>
      <c r="I787" s="386">
        <v>45575</v>
      </c>
      <c r="J787" s="30"/>
      <c r="K787" s="385"/>
      <c r="L787" s="385"/>
      <c r="M787" s="385"/>
      <c r="N787" s="385"/>
      <c r="O787" s="385"/>
      <c r="P787" s="385" t="str">
        <f>IFERROR(
    IF(
        OR(ISBLANK(I787), ISBLANK(L787)),
        "",
        MAX(
            1,
            IF(
                NETWORKDAYS(I787, L787, Holiday_Dates) &lt;= 0,
                1,
                NETWORKDAYS(I787, L787, Holiday_Dates) - IF(I787 = L787, 0, 1)
            )
        )
    ),
    ""
)</f>
        <v/>
      </c>
      <c r="Q787" s="385" t="str">
        <f>IF(
    OR(ISBLANK(L787), ISBLANK(M787)),
    "",
    MAX(
        1,
        IF(
            NETWORKDAYS(L787, M787, Holiday_Dates) &lt;= 0,
            1,
            NETWORKDAYS(L787, M787, Holiday_Dates) - IF(L787 = M787, 0, 1)
        )
    )
)</f>
        <v/>
      </c>
      <c r="R787" s="385" t="str">
        <f>IFERROR(
    IF(
        OR(ISBLANK(N787), AND(ISBLANK(L787), ISBLANK(M787))),
        "",
        MAX(
            1,
            IF(
                NETWORKDAYS(IF(NOT(ISBLANK(M787)), M787, L787), N787, Holiday_Dates) &lt;= 0,
                1,
                NETWORKDAYS(IF(NOT(ISBLANK(M787)), M787, L787), N787, Holiday_Dates)
                - IF(IF(NOT(ISBLANK(M787)), M787, L787) = N787, 0, 1)
            )
        )
    ),
    ""
)</f>
        <v/>
      </c>
      <c r="S787" s="385" t="str">
        <f>IFERROR(
    IF(
        OR(ISBLANK(N787), ISBLANK(O787)),
        "",
        MAX(
            1,
            IF(
                NETWORKDAYS(N787, O787, Holiday_Dates) &lt;= 0,
                1,
                NETWORKDAYS(N787, O787, Holiday_Dates) - IF(N787 = O787, 0, 1)
            )
        )
    ),
    ""
)</f>
        <v/>
      </c>
      <c r="T787" s="385"/>
      <c r="U787" s="385" t="s">
        <v>4</v>
      </c>
      <c r="V787" s="385" t="s">
        <v>101</v>
      </c>
      <c r="W787" s="385" t="s">
        <v>1436</v>
      </c>
      <c r="X787" s="1"/>
    </row>
    <row r="788" spans="1:24">
      <c r="A788" s="385" t="s">
        <v>49</v>
      </c>
      <c r="B788" s="385" t="s">
        <v>284</v>
      </c>
      <c r="C788" s="385" t="s">
        <v>2508</v>
      </c>
      <c r="D788" s="385" t="s">
        <v>88</v>
      </c>
      <c r="E788" s="385"/>
      <c r="F788" s="385"/>
      <c r="G788" s="385"/>
      <c r="H788" s="385">
        <v>2025</v>
      </c>
      <c r="I788" s="386">
        <v>45702</v>
      </c>
      <c r="J788" s="30" t="s">
        <v>4993</v>
      </c>
      <c r="K788" s="385"/>
      <c r="L788" s="385"/>
      <c r="M788" s="385"/>
      <c r="N788" s="385"/>
      <c r="O788" s="385"/>
      <c r="P788" s="385" t="str">
        <f>IFERROR(
    IF(
        OR(ISBLANK(I788), ISBLANK(L788)),
        "",
        MAX(
            1,
            IF(
                NETWORKDAYS(I788, L788, Holiday_Dates) &lt;= 0,
                1,
                NETWORKDAYS(I788, L788, Holiday_Dates) - IF(I788 = L788, 0, 1)
            )
        )
    ),
    ""
)</f>
        <v/>
      </c>
      <c r="Q788" s="385" t="str">
        <f>IF(
    OR(ISBLANK(L788), ISBLANK(M788)),
    "",
    MAX(
        1,
        IF(
            NETWORKDAYS(L788, M788, Holiday_Dates) &lt;= 0,
            1,
            NETWORKDAYS(L788, M788, Holiday_Dates) - IF(L788 = M788, 0, 1)
        )
    )
)</f>
        <v/>
      </c>
      <c r="R788" s="385" t="str">
        <f>IFERROR(
    IF(
        OR(ISBLANK(N788), AND(ISBLANK(L788), ISBLANK(M788))),
        "",
        MAX(
            1,
            IF(
                NETWORKDAYS(IF(NOT(ISBLANK(M788)), M788, L788), N788, Holiday_Dates) &lt;= 0,
                1,
                NETWORKDAYS(IF(NOT(ISBLANK(M788)), M788, L788), N788, Holiday_Dates)
                - IF(IF(NOT(ISBLANK(M788)), M788, L788) = N788, 0, 1)
            )
        )
    ),
    ""
)</f>
        <v/>
      </c>
      <c r="S788" s="385" t="str">
        <f>IFERROR(
    IF(
        OR(ISBLANK(N788), ISBLANK(O788)),
        "",
        MAX(
            1,
            IF(
                NETWORKDAYS(N788, O788, Holiday_Dates) &lt;= 0,
                1,
                NETWORKDAYS(N788, O788, Holiday_Dates) - IF(N788 = O788, 0, 1)
            )
        )
    ),
    ""
)</f>
        <v/>
      </c>
      <c r="T788" s="385"/>
      <c r="U788" s="385" t="s">
        <v>4</v>
      </c>
      <c r="V788" s="385" t="s">
        <v>101</v>
      </c>
      <c r="W788" s="385" t="s">
        <v>1436</v>
      </c>
      <c r="X788" s="1"/>
    </row>
    <row r="789" spans="1:24">
      <c r="A789" s="385" t="s">
        <v>49</v>
      </c>
      <c r="B789" s="385" t="s">
        <v>284</v>
      </c>
      <c r="C789" s="385" t="s">
        <v>2509</v>
      </c>
      <c r="D789" s="385" t="s">
        <v>88</v>
      </c>
      <c r="E789" s="385"/>
      <c r="F789" s="385"/>
      <c r="G789" s="385"/>
      <c r="H789" s="385">
        <v>2025</v>
      </c>
      <c r="I789" s="386">
        <v>45693</v>
      </c>
      <c r="J789" s="30" t="s">
        <v>4994</v>
      </c>
      <c r="K789" s="385"/>
      <c r="L789" s="385"/>
      <c r="M789" s="385"/>
      <c r="N789" s="385"/>
      <c r="O789" s="385"/>
      <c r="P789" s="385" t="str">
        <f>IFERROR(
    IF(
        OR(ISBLANK(I789), ISBLANK(L789)),
        "",
        MAX(
            1,
            IF(
                NETWORKDAYS(I789, L789, Holiday_Dates) &lt;= 0,
                1,
                NETWORKDAYS(I789, L789, Holiday_Dates) - IF(I789 = L789, 0, 1)
            )
        )
    ),
    ""
)</f>
        <v/>
      </c>
      <c r="Q789" s="385" t="str">
        <f>IF(
    OR(ISBLANK(L789), ISBLANK(M789)),
    "",
    MAX(
        1,
        IF(
            NETWORKDAYS(L789, M789, Holiday_Dates) &lt;= 0,
            1,
            NETWORKDAYS(L789, M789, Holiday_Dates) - IF(L789 = M789, 0, 1)
        )
    )
)</f>
        <v/>
      </c>
      <c r="R789" s="385" t="str">
        <f>IFERROR(
    IF(
        OR(ISBLANK(N789), AND(ISBLANK(L789), ISBLANK(M789))),
        "",
        MAX(
            1,
            IF(
                NETWORKDAYS(IF(NOT(ISBLANK(M789)), M789, L789), N789, Holiday_Dates) &lt;= 0,
                1,
                NETWORKDAYS(IF(NOT(ISBLANK(M789)), M789, L789), N789, Holiday_Dates)
                - IF(IF(NOT(ISBLANK(M789)), M789, L789) = N789, 0, 1)
            )
        )
    ),
    ""
)</f>
        <v/>
      </c>
      <c r="S789" s="385" t="str">
        <f>IFERROR(
    IF(
        OR(ISBLANK(N789), ISBLANK(O789)),
        "",
        MAX(
            1,
            IF(
                NETWORKDAYS(N789, O789, Holiday_Dates) &lt;= 0,
                1,
                NETWORKDAYS(N789, O789, Holiday_Dates) - IF(N789 = O789, 0, 1)
            )
        )
    ),
    ""
)</f>
        <v/>
      </c>
      <c r="T789" s="385"/>
      <c r="U789" s="385" t="s">
        <v>672</v>
      </c>
      <c r="V789" s="385" t="s">
        <v>1676</v>
      </c>
      <c r="W789" s="385" t="s">
        <v>1436</v>
      </c>
      <c r="X789" s="1"/>
    </row>
    <row r="790" spans="1:24">
      <c r="A790" s="385" t="s">
        <v>49</v>
      </c>
      <c r="B790" s="385" t="s">
        <v>284</v>
      </c>
      <c r="C790" s="385" t="s">
        <v>2510</v>
      </c>
      <c r="D790" s="385" t="s">
        <v>88</v>
      </c>
      <c r="E790" s="385"/>
      <c r="F790" s="385"/>
      <c r="G790" s="385"/>
      <c r="H790" s="385">
        <v>2024</v>
      </c>
      <c r="I790" s="386">
        <v>45552</v>
      </c>
      <c r="J790" s="30"/>
      <c r="K790" s="385"/>
      <c r="L790" s="385"/>
      <c r="M790" s="385"/>
      <c r="N790" s="385"/>
      <c r="O790" s="385"/>
      <c r="P790" s="385" t="str">
        <f>IFERROR(
    IF(
        OR(ISBLANK(I790), ISBLANK(L790)),
        "",
        MAX(
            1,
            IF(
                NETWORKDAYS(I790, L790, Holiday_Dates) &lt;= 0,
                1,
                NETWORKDAYS(I790, L790, Holiday_Dates) - IF(I790 = L790, 0, 1)
            )
        )
    ),
    ""
)</f>
        <v/>
      </c>
      <c r="Q790" s="385" t="str">
        <f>IF(
    OR(ISBLANK(L790), ISBLANK(M790)),
    "",
    MAX(
        1,
        IF(
            NETWORKDAYS(L790, M790, Holiday_Dates) &lt;= 0,
            1,
            NETWORKDAYS(L790, M790, Holiday_Dates) - IF(L790 = M790, 0, 1)
        )
    )
)</f>
        <v/>
      </c>
      <c r="R790" s="385" t="str">
        <f>IFERROR(
    IF(
        OR(ISBLANK(N790), AND(ISBLANK(L790), ISBLANK(M790))),
        "",
        MAX(
            1,
            IF(
                NETWORKDAYS(IF(NOT(ISBLANK(M790)), M790, L790), N790, Holiday_Dates) &lt;= 0,
                1,
                NETWORKDAYS(IF(NOT(ISBLANK(M790)), M790, L790), N790, Holiday_Dates)
                - IF(IF(NOT(ISBLANK(M790)), M790, L790) = N790, 0, 1)
            )
        )
    ),
    ""
)</f>
        <v/>
      </c>
      <c r="S790" s="385" t="str">
        <f>IFERROR(
    IF(
        OR(ISBLANK(N790), ISBLANK(O790)),
        "",
        MAX(
            1,
            IF(
                NETWORKDAYS(N790, O790, Holiday_Dates) &lt;= 0,
                1,
                NETWORKDAYS(N790, O790, Holiday_Dates) - IF(N790 = O790, 0, 1)
            )
        )
    ),
    ""
)</f>
        <v/>
      </c>
      <c r="T790" s="385"/>
      <c r="U790" s="385" t="s">
        <v>672</v>
      </c>
      <c r="V790" s="385" t="s">
        <v>108</v>
      </c>
      <c r="W790" s="385" t="s">
        <v>1436</v>
      </c>
      <c r="X790" s="1"/>
    </row>
    <row r="791" spans="1:24">
      <c r="A791" s="385" t="s">
        <v>49</v>
      </c>
      <c r="B791" s="385" t="s">
        <v>284</v>
      </c>
      <c r="C791" s="385" t="s">
        <v>2512</v>
      </c>
      <c r="D791" s="385" t="s">
        <v>88</v>
      </c>
      <c r="E791" s="385"/>
      <c r="F791" s="385"/>
      <c r="G791" s="385"/>
      <c r="H791" s="385">
        <v>2024</v>
      </c>
      <c r="I791" s="386">
        <v>45552</v>
      </c>
      <c r="J791" s="30"/>
      <c r="K791" s="385"/>
      <c r="L791" s="385"/>
      <c r="M791" s="385"/>
      <c r="N791" s="385"/>
      <c r="O791" s="385"/>
      <c r="P791" s="385" t="str">
        <f>IFERROR(
    IF(
        OR(ISBLANK(I791), ISBLANK(L791)),
        "",
        MAX(
            1,
            IF(
                NETWORKDAYS(I791, L791, Holiday_Dates) &lt;= 0,
                1,
                NETWORKDAYS(I791, L791, Holiday_Dates) - IF(I791 = L791, 0, 1)
            )
        )
    ),
    ""
)</f>
        <v/>
      </c>
      <c r="Q791" s="385" t="str">
        <f>IF(
    OR(ISBLANK(L791), ISBLANK(M791)),
    "",
    MAX(
        1,
        IF(
            NETWORKDAYS(L791, M791, Holiday_Dates) &lt;= 0,
            1,
            NETWORKDAYS(L791, M791, Holiday_Dates) - IF(L791 = M791, 0, 1)
        )
    )
)</f>
        <v/>
      </c>
      <c r="R791" s="385" t="str">
        <f>IFERROR(
    IF(
        OR(ISBLANK(N791), AND(ISBLANK(L791), ISBLANK(M791))),
        "",
        MAX(
            1,
            IF(
                NETWORKDAYS(IF(NOT(ISBLANK(M791)), M791, L791), N791, Holiday_Dates) &lt;= 0,
                1,
                NETWORKDAYS(IF(NOT(ISBLANK(M791)), M791, L791), N791, Holiday_Dates)
                - IF(IF(NOT(ISBLANK(M791)), M791, L791) = N791, 0, 1)
            )
        )
    ),
    ""
)</f>
        <v/>
      </c>
      <c r="S791" s="385" t="str">
        <f>IFERROR(
    IF(
        OR(ISBLANK(N791), ISBLANK(O791)),
        "",
        MAX(
            1,
            IF(
                NETWORKDAYS(N791, O791, Holiday_Dates) &lt;= 0,
                1,
                NETWORKDAYS(N791, O791, Holiday_Dates) - IF(N791 = O791, 0, 1)
            )
        )
    ),
    ""
)</f>
        <v/>
      </c>
      <c r="T791" s="385"/>
      <c r="U791" s="385" t="s">
        <v>4</v>
      </c>
      <c r="V791" s="385" t="s">
        <v>101</v>
      </c>
      <c r="W791" s="385" t="s">
        <v>1436</v>
      </c>
      <c r="X791" s="1"/>
    </row>
    <row r="792" spans="1:24">
      <c r="A792" s="385" t="s">
        <v>49</v>
      </c>
      <c r="B792" s="385" t="s">
        <v>284</v>
      </c>
      <c r="C792" s="385" t="s">
        <v>2514</v>
      </c>
      <c r="D792" s="385" t="s">
        <v>88</v>
      </c>
      <c r="E792" s="385"/>
      <c r="F792" s="385"/>
      <c r="G792" s="385"/>
      <c r="H792" s="385">
        <v>2024</v>
      </c>
      <c r="I792" s="386">
        <v>45575</v>
      </c>
      <c r="J792" s="30"/>
      <c r="K792" s="385"/>
      <c r="L792" s="385"/>
      <c r="M792" s="385"/>
      <c r="N792" s="385"/>
      <c r="O792" s="385"/>
      <c r="P792" s="385" t="str">
        <f>IFERROR(
    IF(
        OR(ISBLANK(I792), ISBLANK(L792)),
        "",
        MAX(
            1,
            IF(
                NETWORKDAYS(I792, L792, Holiday_Dates) &lt;= 0,
                1,
                NETWORKDAYS(I792, L792, Holiday_Dates) - IF(I792 = L792, 0, 1)
            )
        )
    ),
    ""
)</f>
        <v/>
      </c>
      <c r="Q792" s="385" t="str">
        <f>IF(
    OR(ISBLANK(L792), ISBLANK(M792)),
    "",
    MAX(
        1,
        IF(
            NETWORKDAYS(L792, M792, Holiday_Dates) &lt;= 0,
            1,
            NETWORKDAYS(L792, M792, Holiday_Dates) - IF(L792 = M792, 0, 1)
        )
    )
)</f>
        <v/>
      </c>
      <c r="R792" s="385" t="str">
        <f>IFERROR(
    IF(
        OR(ISBLANK(N792), AND(ISBLANK(L792), ISBLANK(M792))),
        "",
        MAX(
            1,
            IF(
                NETWORKDAYS(IF(NOT(ISBLANK(M792)), M792, L792), N792, Holiday_Dates) &lt;= 0,
                1,
                NETWORKDAYS(IF(NOT(ISBLANK(M792)), M792, L792), N792, Holiday_Dates)
                - IF(IF(NOT(ISBLANK(M792)), M792, L792) = N792, 0, 1)
            )
        )
    ),
    ""
)</f>
        <v/>
      </c>
      <c r="S792" s="385" t="str">
        <f>IFERROR(
    IF(
        OR(ISBLANK(N792), ISBLANK(O792)),
        "",
        MAX(
            1,
            IF(
                NETWORKDAYS(N792, O792, Holiday_Dates) &lt;= 0,
                1,
                NETWORKDAYS(N792, O792, Holiday_Dates) - IF(N792 = O792, 0, 1)
            )
        )
    ),
    ""
)</f>
        <v/>
      </c>
      <c r="T792" s="385"/>
      <c r="U792" s="385" t="s">
        <v>4</v>
      </c>
      <c r="V792" s="385" t="s">
        <v>101</v>
      </c>
      <c r="W792" s="385" t="s">
        <v>1436</v>
      </c>
      <c r="X792" s="1"/>
    </row>
    <row r="793" spans="1:24">
      <c r="A793" s="385" t="s">
        <v>49</v>
      </c>
      <c r="B793" s="385" t="s">
        <v>284</v>
      </c>
      <c r="C793" s="385" t="s">
        <v>926</v>
      </c>
      <c r="D793" s="385" t="s">
        <v>88</v>
      </c>
      <c r="E793" s="385"/>
      <c r="F793" s="385"/>
      <c r="G793" s="385"/>
      <c r="H793" s="385">
        <v>2025</v>
      </c>
      <c r="I793" s="386">
        <v>45876</v>
      </c>
      <c r="J793" s="30" t="s">
        <v>4995</v>
      </c>
      <c r="K793" s="385"/>
      <c r="L793" s="385"/>
      <c r="M793" s="385"/>
      <c r="N793" s="385"/>
      <c r="O793" s="385"/>
      <c r="P793" s="385" t="str">
        <f>IFERROR(
    IF(
        OR(ISBLANK(I793), ISBLANK(L793)),
        "",
        MAX(
            1,
            IF(
                NETWORKDAYS(I793, L793, Holiday_Dates) &lt;= 0,
                1,
                NETWORKDAYS(I793, L793, Holiday_Dates) - IF(I793 = L793, 0, 1)
            )
        )
    ),
    ""
)</f>
        <v/>
      </c>
      <c r="Q793" s="385" t="str">
        <f>IF(
    OR(ISBLANK(L793), ISBLANK(M793)),
    "",
    MAX(
        1,
        IF(
            NETWORKDAYS(L793, M793, Holiday_Dates) &lt;= 0,
            1,
            NETWORKDAYS(L793, M793, Holiday_Dates) - IF(L793 = M793, 0, 1)
        )
    )
)</f>
        <v/>
      </c>
      <c r="R793" s="385" t="str">
        <f>IFERROR(
    IF(
        OR(ISBLANK(N793), AND(ISBLANK(L793), ISBLANK(M793))),
        "",
        MAX(
            1,
            IF(
                NETWORKDAYS(IF(NOT(ISBLANK(M793)), M793, L793), N793, Holiday_Dates) &lt;= 0,
                1,
                NETWORKDAYS(IF(NOT(ISBLANK(M793)), M793, L793), N793, Holiday_Dates)
                - IF(IF(NOT(ISBLANK(M793)), M793, L793) = N793, 0, 1)
            )
        )
    ),
    ""
)</f>
        <v/>
      </c>
      <c r="S793" s="385" t="str">
        <f>IFERROR(
    IF(
        OR(ISBLANK(N793), ISBLANK(O793)),
        "",
        MAX(
            1,
            IF(
                NETWORKDAYS(N793, O793, Holiday_Dates) &lt;= 0,
                1,
                NETWORKDAYS(N793, O793, Holiday_Dates) - IF(N793 = O793, 0, 1)
            )
        )
    ),
    ""
)</f>
        <v/>
      </c>
      <c r="T793" s="385"/>
      <c r="U793" s="385" t="s">
        <v>672</v>
      </c>
      <c r="V793" s="385" t="s">
        <v>1676</v>
      </c>
      <c r="W793" s="385" t="s">
        <v>1436</v>
      </c>
      <c r="X793" s="1"/>
    </row>
    <row r="794" spans="1:24">
      <c r="A794" s="385" t="s">
        <v>49</v>
      </c>
      <c r="B794" s="385" t="s">
        <v>284</v>
      </c>
      <c r="C794" s="385" t="s">
        <v>2516</v>
      </c>
      <c r="D794" s="385" t="s">
        <v>88</v>
      </c>
      <c r="E794" s="385"/>
      <c r="F794" s="385"/>
      <c r="G794" s="385"/>
      <c r="H794" s="385">
        <v>2025</v>
      </c>
      <c r="I794" s="386">
        <v>45693</v>
      </c>
      <c r="J794" s="30" t="s">
        <v>4996</v>
      </c>
      <c r="K794" s="385"/>
      <c r="L794" s="385"/>
      <c r="M794" s="385"/>
      <c r="N794" s="385"/>
      <c r="O794" s="385"/>
      <c r="P794" s="385" t="str">
        <f>IFERROR(
    IF(
        OR(ISBLANK(I794), ISBLANK(L794)),
        "",
        MAX(
            1,
            IF(
                NETWORKDAYS(I794, L794, Holiday_Dates) &lt;= 0,
                1,
                NETWORKDAYS(I794, L794, Holiday_Dates) - IF(I794 = L794, 0, 1)
            )
        )
    ),
    ""
)</f>
        <v/>
      </c>
      <c r="Q794" s="385" t="str">
        <f>IF(
    OR(ISBLANK(L794), ISBLANK(M794)),
    "",
    MAX(
        1,
        IF(
            NETWORKDAYS(L794, M794, Holiday_Dates) &lt;= 0,
            1,
            NETWORKDAYS(L794, M794, Holiday_Dates) - IF(L794 = M794, 0, 1)
        )
    )
)</f>
        <v/>
      </c>
      <c r="R794" s="385" t="str">
        <f>IFERROR(
    IF(
        OR(ISBLANK(N794), AND(ISBLANK(L794), ISBLANK(M794))),
        "",
        MAX(
            1,
            IF(
                NETWORKDAYS(IF(NOT(ISBLANK(M794)), M794, L794), N794, Holiday_Dates) &lt;= 0,
                1,
                NETWORKDAYS(IF(NOT(ISBLANK(M794)), M794, L794), N794, Holiday_Dates)
                - IF(IF(NOT(ISBLANK(M794)), M794, L794) = N794, 0, 1)
            )
        )
    ),
    ""
)</f>
        <v/>
      </c>
      <c r="S794" s="385" t="str">
        <f>IFERROR(
    IF(
        OR(ISBLANK(N794), ISBLANK(O794)),
        "",
        MAX(
            1,
            IF(
                NETWORKDAYS(N794, O794, Holiday_Dates) &lt;= 0,
                1,
                NETWORKDAYS(N794, O794, Holiday_Dates) - IF(N794 = O794, 0, 1)
            )
        )
    ),
    ""
)</f>
        <v/>
      </c>
      <c r="T794" s="385"/>
      <c r="U794" s="385" t="s">
        <v>4</v>
      </c>
      <c r="V794" s="385" t="s">
        <v>101</v>
      </c>
      <c r="W794" s="385" t="s">
        <v>1436</v>
      </c>
      <c r="X794" s="1"/>
    </row>
    <row r="795" spans="1:24">
      <c r="A795" s="385" t="s">
        <v>49</v>
      </c>
      <c r="B795" s="385" t="s">
        <v>284</v>
      </c>
      <c r="C795" s="385" t="s">
        <v>427</v>
      </c>
      <c r="D795" s="385" t="s">
        <v>88</v>
      </c>
      <c r="E795" s="385"/>
      <c r="F795" s="385"/>
      <c r="G795" s="385"/>
      <c r="H795" s="385">
        <v>2024</v>
      </c>
      <c r="I795" s="386">
        <v>45575</v>
      </c>
      <c r="J795" s="30"/>
      <c r="K795" s="385"/>
      <c r="L795" s="385"/>
      <c r="M795" s="385"/>
      <c r="N795" s="385"/>
      <c r="O795" s="385"/>
      <c r="P795" s="385" t="str">
        <f>IFERROR(
    IF(
        OR(ISBLANK(I795), ISBLANK(L795)),
        "",
        MAX(
            1,
            IF(
                NETWORKDAYS(I795, L795, Holiday_Dates) &lt;= 0,
                1,
                NETWORKDAYS(I795, L795, Holiday_Dates) - IF(I795 = L795, 0, 1)
            )
        )
    ),
    ""
)</f>
        <v/>
      </c>
      <c r="Q795" s="385" t="str">
        <f>IF(
    OR(ISBLANK(L795), ISBLANK(M795)),
    "",
    MAX(
        1,
        IF(
            NETWORKDAYS(L795, M795, Holiday_Dates) &lt;= 0,
            1,
            NETWORKDAYS(L795, M795, Holiday_Dates) - IF(L795 = M795, 0, 1)
        )
    )
)</f>
        <v/>
      </c>
      <c r="R795" s="385" t="str">
        <f>IFERROR(
    IF(
        OR(ISBLANK(N795), AND(ISBLANK(L795), ISBLANK(M795))),
        "",
        MAX(
            1,
            IF(
                NETWORKDAYS(IF(NOT(ISBLANK(M795)), M795, L795), N795, Holiday_Dates) &lt;= 0,
                1,
                NETWORKDAYS(IF(NOT(ISBLANK(M795)), M795, L795), N795, Holiday_Dates)
                - IF(IF(NOT(ISBLANK(M795)), M795, L795) = N795, 0, 1)
            )
        )
    ),
    ""
)</f>
        <v/>
      </c>
      <c r="S795" s="385" t="str">
        <f>IFERROR(
    IF(
        OR(ISBLANK(N795), ISBLANK(O795)),
        "",
        MAX(
            1,
            IF(
                NETWORKDAYS(N795, O795, Holiday_Dates) &lt;= 0,
                1,
                NETWORKDAYS(N795, O795, Holiday_Dates) - IF(N795 = O795, 0, 1)
            )
        )
    ),
    ""
)</f>
        <v/>
      </c>
      <c r="T795" s="385"/>
      <c r="U795" s="385" t="s">
        <v>4</v>
      </c>
      <c r="V795" s="385" t="s">
        <v>101</v>
      </c>
      <c r="W795" s="385" t="s">
        <v>1436</v>
      </c>
      <c r="X795" s="1"/>
    </row>
    <row r="796" spans="1:24">
      <c r="A796" s="385" t="s">
        <v>49</v>
      </c>
      <c r="B796" s="385" t="s">
        <v>284</v>
      </c>
      <c r="C796" s="385" t="s">
        <v>2282</v>
      </c>
      <c r="D796" s="385" t="s">
        <v>88</v>
      </c>
      <c r="E796" s="385"/>
      <c r="F796" s="385"/>
      <c r="G796" s="385"/>
      <c r="H796" s="385">
        <v>2024</v>
      </c>
      <c r="I796" s="386">
        <v>45426</v>
      </c>
      <c r="J796" s="30"/>
      <c r="K796" s="385"/>
      <c r="L796" s="385"/>
      <c r="M796" s="385"/>
      <c r="N796" s="385"/>
      <c r="O796" s="385"/>
      <c r="P796" s="385" t="str">
        <f>IFERROR(
    IF(
        OR(ISBLANK(I796), ISBLANK(L796)),
        "",
        MAX(
            1,
            IF(
                NETWORKDAYS(I796, L796, Holiday_Dates) &lt;= 0,
                1,
                NETWORKDAYS(I796, L796, Holiday_Dates) - IF(I796 = L796, 0, 1)
            )
        )
    ),
    ""
)</f>
        <v/>
      </c>
      <c r="Q796" s="385" t="str">
        <f>IF(
    OR(ISBLANK(L796), ISBLANK(M796)),
    "",
    MAX(
        1,
        IF(
            NETWORKDAYS(L796, M796, Holiday_Dates) &lt;= 0,
            1,
            NETWORKDAYS(L796, M796, Holiday_Dates) - IF(L796 = M796, 0, 1)
        )
    )
)</f>
        <v/>
      </c>
      <c r="R796" s="385" t="str">
        <f>IFERROR(
    IF(
        OR(ISBLANK(N796), AND(ISBLANK(L796), ISBLANK(M796))),
        "",
        MAX(
            1,
            IF(
                NETWORKDAYS(IF(NOT(ISBLANK(M796)), M796, L796), N796, Holiday_Dates) &lt;= 0,
                1,
                NETWORKDAYS(IF(NOT(ISBLANK(M796)), M796, L796), N796, Holiday_Dates)
                - IF(IF(NOT(ISBLANK(M796)), M796, L796) = N796, 0, 1)
            )
        )
    ),
    ""
)</f>
        <v/>
      </c>
      <c r="S796" s="385" t="str">
        <f>IFERROR(
    IF(
        OR(ISBLANK(N796), ISBLANK(O796)),
        "",
        MAX(
            1,
            IF(
                NETWORKDAYS(N796, O796, Holiday_Dates) &lt;= 0,
                1,
                NETWORKDAYS(N796, O796, Holiday_Dates) - IF(N796 = O796, 0, 1)
            )
        )
    ),
    ""
)</f>
        <v/>
      </c>
      <c r="T796" s="385"/>
      <c r="U796" s="385" t="s">
        <v>672</v>
      </c>
      <c r="V796" s="385"/>
      <c r="W796" s="385" t="s">
        <v>1436</v>
      </c>
      <c r="X796" s="1"/>
    </row>
    <row r="797" spans="1:24">
      <c r="A797" s="385" t="s">
        <v>49</v>
      </c>
      <c r="B797" s="385" t="s">
        <v>284</v>
      </c>
      <c r="C797" s="385" t="s">
        <v>1879</v>
      </c>
      <c r="D797" s="385" t="s">
        <v>88</v>
      </c>
      <c r="E797" s="385"/>
      <c r="F797" s="385"/>
      <c r="G797" s="385"/>
      <c r="H797" s="385">
        <v>2024</v>
      </c>
      <c r="I797" s="386">
        <v>45483</v>
      </c>
      <c r="J797" s="30"/>
      <c r="K797" s="385"/>
      <c r="L797" s="385"/>
      <c r="M797" s="385"/>
      <c r="N797" s="385"/>
      <c r="O797" s="385"/>
      <c r="P797" s="385" t="str">
        <f>IFERROR(
    IF(
        OR(ISBLANK(I797), ISBLANK(L797)),
        "",
        MAX(
            1,
            IF(
                NETWORKDAYS(I797, L797, Holiday_Dates) &lt;= 0,
                1,
                NETWORKDAYS(I797, L797, Holiday_Dates) - IF(I797 = L797, 0, 1)
            )
        )
    ),
    ""
)</f>
        <v/>
      </c>
      <c r="Q797" s="385" t="str">
        <f>IF(
    OR(ISBLANK(L797), ISBLANK(M797)),
    "",
    MAX(
        1,
        IF(
            NETWORKDAYS(L797, M797, Holiday_Dates) &lt;= 0,
            1,
            NETWORKDAYS(L797, M797, Holiday_Dates) - IF(L797 = M797, 0, 1)
        )
    )
)</f>
        <v/>
      </c>
      <c r="R797" s="385" t="str">
        <f>IFERROR(
    IF(
        OR(ISBLANK(N797), AND(ISBLANK(L797), ISBLANK(M797))),
        "",
        MAX(
            1,
            IF(
                NETWORKDAYS(IF(NOT(ISBLANK(M797)), M797, L797), N797, Holiday_Dates) &lt;= 0,
                1,
                NETWORKDAYS(IF(NOT(ISBLANK(M797)), M797, L797), N797, Holiday_Dates)
                - IF(IF(NOT(ISBLANK(M797)), M797, L797) = N797, 0, 1)
            )
        )
    ),
    ""
)</f>
        <v/>
      </c>
      <c r="S797" s="385" t="str">
        <f>IFERROR(
    IF(
        OR(ISBLANK(N797), ISBLANK(O797)),
        "",
        MAX(
            1,
            IF(
                NETWORKDAYS(N797, O797, Holiday_Dates) &lt;= 0,
                1,
                NETWORKDAYS(N797, O797, Holiday_Dates) - IF(N797 = O797, 0, 1)
            )
        )
    ),
    ""
)</f>
        <v/>
      </c>
      <c r="T797" s="385"/>
      <c r="U797" s="385" t="s">
        <v>4</v>
      </c>
      <c r="V797" s="385" t="s">
        <v>101</v>
      </c>
      <c r="W797" s="385" t="s">
        <v>1436</v>
      </c>
      <c r="X797" s="1"/>
    </row>
    <row r="798" spans="1:24">
      <c r="A798" s="385" t="s">
        <v>49</v>
      </c>
      <c r="B798" s="385" t="s">
        <v>284</v>
      </c>
      <c r="C798" s="385" t="s">
        <v>2520</v>
      </c>
      <c r="D798" s="385" t="s">
        <v>88</v>
      </c>
      <c r="E798" s="385"/>
      <c r="F798" s="385"/>
      <c r="G798" s="385"/>
      <c r="H798" s="385">
        <v>2025</v>
      </c>
      <c r="I798" s="386">
        <v>45721</v>
      </c>
      <c r="J798" s="30" t="s">
        <v>4997</v>
      </c>
      <c r="K798" s="385"/>
      <c r="L798" s="385"/>
      <c r="M798" s="385"/>
      <c r="N798" s="385"/>
      <c r="O798" s="385"/>
      <c r="P798" s="385" t="str">
        <f>IFERROR(
    IF(
        OR(ISBLANK(I798), ISBLANK(L798)),
        "",
        MAX(
            1,
            IF(
                NETWORKDAYS(I798, L798, Holiday_Dates) &lt;= 0,
                1,
                NETWORKDAYS(I798, L798, Holiday_Dates) - IF(I798 = L798, 0, 1)
            )
        )
    ),
    ""
)</f>
        <v/>
      </c>
      <c r="Q798" s="385" t="str">
        <f>IF(
    OR(ISBLANK(L798), ISBLANK(M798)),
    "",
    MAX(
        1,
        IF(
            NETWORKDAYS(L798, M798, Holiday_Dates) &lt;= 0,
            1,
            NETWORKDAYS(L798, M798, Holiday_Dates) - IF(L798 = M798, 0, 1)
        )
    )
)</f>
        <v/>
      </c>
      <c r="R798" s="385" t="str">
        <f>IFERROR(
    IF(
        OR(ISBLANK(N798), AND(ISBLANK(L798), ISBLANK(M798))),
        "",
        MAX(
            1,
            IF(
                NETWORKDAYS(IF(NOT(ISBLANK(M798)), M798, L798), N798, Holiday_Dates) &lt;= 0,
                1,
                NETWORKDAYS(IF(NOT(ISBLANK(M798)), M798, L798), N798, Holiday_Dates)
                - IF(IF(NOT(ISBLANK(M798)), M798, L798) = N798, 0, 1)
            )
        )
    ),
    ""
)</f>
        <v/>
      </c>
      <c r="S798" s="385" t="str">
        <f>IFERROR(
    IF(
        OR(ISBLANK(N798), ISBLANK(O798)),
        "",
        MAX(
            1,
            IF(
                NETWORKDAYS(N798, O798, Holiday_Dates) &lt;= 0,
                1,
                NETWORKDAYS(N798, O798, Holiday_Dates) - IF(N798 = O798, 0, 1)
            )
        )
    ),
    ""
)</f>
        <v/>
      </c>
      <c r="T798" s="385"/>
      <c r="U798" s="385" t="s">
        <v>4</v>
      </c>
      <c r="V798" s="385" t="s">
        <v>101</v>
      </c>
      <c r="W798" s="385" t="s">
        <v>1436</v>
      </c>
      <c r="X798" s="1"/>
    </row>
    <row r="799" spans="1:24">
      <c r="A799" s="385" t="s">
        <v>49</v>
      </c>
      <c r="B799" s="385" t="s">
        <v>284</v>
      </c>
      <c r="C799" s="385" t="s">
        <v>2331</v>
      </c>
      <c r="D799" s="385" t="s">
        <v>88</v>
      </c>
      <c r="E799" s="385"/>
      <c r="F799" s="385"/>
      <c r="G799" s="385"/>
      <c r="H799" s="385">
        <v>2024</v>
      </c>
      <c r="I799" s="386">
        <v>45456</v>
      </c>
      <c r="J799" s="30"/>
      <c r="K799" s="385"/>
      <c r="L799" s="385"/>
      <c r="M799" s="385"/>
      <c r="N799" s="385"/>
      <c r="O799" s="385"/>
      <c r="P799" s="385" t="str">
        <f>IFERROR(
    IF(
        OR(ISBLANK(I799), ISBLANK(L799)),
        "",
        MAX(
            1,
            IF(
                NETWORKDAYS(I799, L799, Holiday_Dates) &lt;= 0,
                1,
                NETWORKDAYS(I799, L799, Holiday_Dates) - IF(I799 = L799, 0, 1)
            )
        )
    ),
    ""
)</f>
        <v/>
      </c>
      <c r="Q799" s="385" t="str">
        <f>IF(
    OR(ISBLANK(L799), ISBLANK(M799)),
    "",
    MAX(
        1,
        IF(
            NETWORKDAYS(L799, M799, Holiday_Dates) &lt;= 0,
            1,
            NETWORKDAYS(L799, M799, Holiday_Dates) - IF(L799 = M799, 0, 1)
        )
    )
)</f>
        <v/>
      </c>
      <c r="R799" s="385" t="str">
        <f>IFERROR(
    IF(
        OR(ISBLANK(N799), AND(ISBLANK(L799), ISBLANK(M799))),
        "",
        MAX(
            1,
            IF(
                NETWORKDAYS(IF(NOT(ISBLANK(M799)), M799, L799), N799, Holiday_Dates) &lt;= 0,
                1,
                NETWORKDAYS(IF(NOT(ISBLANK(M799)), M799, L799), N799, Holiday_Dates)
                - IF(IF(NOT(ISBLANK(M799)), M799, L799) = N799, 0, 1)
            )
        )
    ),
    ""
)</f>
        <v/>
      </c>
      <c r="S799" s="385" t="str">
        <f>IFERROR(
    IF(
        OR(ISBLANK(N799), ISBLANK(O799)),
        "",
        MAX(
            1,
            IF(
                NETWORKDAYS(N799, O799, Holiday_Dates) &lt;= 0,
                1,
                NETWORKDAYS(N799, O799, Holiday_Dates) - IF(N799 = O799, 0, 1)
            )
        )
    ),
    ""
)</f>
        <v/>
      </c>
      <c r="T799" s="385"/>
      <c r="U799" s="385" t="s">
        <v>672</v>
      </c>
      <c r="V799" s="385"/>
      <c r="W799" s="385" t="s">
        <v>1436</v>
      </c>
      <c r="X799" s="1"/>
    </row>
    <row r="800" spans="1:24">
      <c r="A800" s="385" t="s">
        <v>49</v>
      </c>
      <c r="B800" s="385" t="s">
        <v>503</v>
      </c>
      <c r="C800" s="385" t="s">
        <v>2522</v>
      </c>
      <c r="D800" s="385" t="s">
        <v>88</v>
      </c>
      <c r="E800" s="385"/>
      <c r="F800" s="385"/>
      <c r="G800" s="385"/>
      <c r="H800" s="385">
        <v>2025</v>
      </c>
      <c r="I800" s="386">
        <v>45793</v>
      </c>
      <c r="J800" s="30" t="s">
        <v>4998</v>
      </c>
      <c r="K800" s="385"/>
      <c r="L800" s="385"/>
      <c r="M800" s="385"/>
      <c r="N800" s="385"/>
      <c r="O800" s="385"/>
      <c r="P800" s="385" t="str">
        <f>IFERROR(
    IF(
        OR(ISBLANK(I800), ISBLANK(L800)),
        "",
        MAX(
            1,
            IF(
                NETWORKDAYS(I800, L800, Holiday_Dates) &lt;= 0,
                1,
                NETWORKDAYS(I800, L800, Holiday_Dates) - IF(I800 = L800, 0, 1)
            )
        )
    ),
    ""
)</f>
        <v/>
      </c>
      <c r="Q800" s="385" t="str">
        <f>IF(
    OR(ISBLANK(L800), ISBLANK(M800)),
    "",
    MAX(
        1,
        IF(
            NETWORKDAYS(L800, M800, Holiday_Dates) &lt;= 0,
            1,
            NETWORKDAYS(L800, M800, Holiday_Dates) - IF(L800 = M800, 0, 1)
        )
    )
)</f>
        <v/>
      </c>
      <c r="R800" s="385" t="str">
        <f>IFERROR(
    IF(
        OR(ISBLANK(N800), AND(ISBLANK(L800), ISBLANK(M800))),
        "",
        MAX(
            1,
            IF(
                NETWORKDAYS(IF(NOT(ISBLANK(M800)), M800, L800), N800, Holiday_Dates) &lt;= 0,
                1,
                NETWORKDAYS(IF(NOT(ISBLANK(M800)), M800, L800), N800, Holiday_Dates)
                - IF(IF(NOT(ISBLANK(M800)), M800, L800) = N800, 0, 1)
            )
        )
    ),
    ""
)</f>
        <v/>
      </c>
      <c r="S800" s="385" t="str">
        <f>IFERROR(
    IF(
        OR(ISBLANK(N800), ISBLANK(O800)),
        "",
        MAX(
            1,
            IF(
                NETWORKDAYS(N800, O800, Holiday_Dates) &lt;= 0,
                1,
                NETWORKDAYS(N800, O800, Holiday_Dates) - IF(N800 = O800, 0, 1)
            )
        )
    ),
    ""
)</f>
        <v/>
      </c>
      <c r="T800" s="385"/>
      <c r="U800" s="385" t="s">
        <v>672</v>
      </c>
      <c r="V800" s="385" t="s">
        <v>1676</v>
      </c>
      <c r="W800" s="385" t="s">
        <v>1436</v>
      </c>
      <c r="X800" s="1"/>
    </row>
    <row r="801" spans="1:24">
      <c r="A801" s="385" t="s">
        <v>49</v>
      </c>
      <c r="B801" s="385" t="s">
        <v>503</v>
      </c>
      <c r="C801" s="385" t="s">
        <v>2523</v>
      </c>
      <c r="D801" s="385" t="s">
        <v>88</v>
      </c>
      <c r="E801" s="385"/>
      <c r="F801" s="385"/>
      <c r="G801" s="385"/>
      <c r="H801" s="385">
        <v>2025</v>
      </c>
      <c r="I801" s="386">
        <v>45793</v>
      </c>
      <c r="J801" s="30" t="s">
        <v>4999</v>
      </c>
      <c r="K801" s="385"/>
      <c r="L801" s="385"/>
      <c r="M801" s="385"/>
      <c r="N801" s="385"/>
      <c r="O801" s="385"/>
      <c r="P801" s="385" t="str">
        <f>IFERROR(
    IF(
        OR(ISBLANK(I801), ISBLANK(L801)),
        "",
        MAX(
            1,
            IF(
                NETWORKDAYS(I801, L801, Holiday_Dates) &lt;= 0,
                1,
                NETWORKDAYS(I801, L801, Holiday_Dates) - IF(I801 = L801, 0, 1)
            )
        )
    ),
    ""
)</f>
        <v/>
      </c>
      <c r="Q801" s="385" t="str">
        <f>IF(
    OR(ISBLANK(L801), ISBLANK(M801)),
    "",
    MAX(
        1,
        IF(
            NETWORKDAYS(L801, M801, Holiday_Dates) &lt;= 0,
            1,
            NETWORKDAYS(L801, M801, Holiday_Dates) - IF(L801 = M801, 0, 1)
        )
    )
)</f>
        <v/>
      </c>
      <c r="R801" s="385" t="str">
        <f>IFERROR(
    IF(
        OR(ISBLANK(N801), AND(ISBLANK(L801), ISBLANK(M801))),
        "",
        MAX(
            1,
            IF(
                NETWORKDAYS(IF(NOT(ISBLANK(M801)), M801, L801), N801, Holiday_Dates) &lt;= 0,
                1,
                NETWORKDAYS(IF(NOT(ISBLANK(M801)), M801, L801), N801, Holiday_Dates)
                - IF(IF(NOT(ISBLANK(M801)), M801, L801) = N801, 0, 1)
            )
        )
    ),
    ""
)</f>
        <v/>
      </c>
      <c r="S801" s="385" t="str">
        <f>IFERROR(
    IF(
        OR(ISBLANK(N801), ISBLANK(O801)),
        "",
        MAX(
            1,
            IF(
                NETWORKDAYS(N801, O801, Holiday_Dates) &lt;= 0,
                1,
                NETWORKDAYS(N801, O801, Holiday_Dates) - IF(N801 = O801, 0, 1)
            )
        )
    ),
    ""
)</f>
        <v/>
      </c>
      <c r="T801" s="385"/>
      <c r="U801" s="385" t="s">
        <v>672</v>
      </c>
      <c r="V801" s="385" t="s">
        <v>1676</v>
      </c>
      <c r="W801" s="385" t="s">
        <v>1436</v>
      </c>
      <c r="X801" s="1"/>
    </row>
    <row r="802" spans="1:24">
      <c r="A802" s="385" t="s">
        <v>49</v>
      </c>
      <c r="B802" s="385" t="s">
        <v>503</v>
      </c>
      <c r="C802" s="385" t="s">
        <v>2524</v>
      </c>
      <c r="D802" s="385" t="s">
        <v>88</v>
      </c>
      <c r="E802" s="385"/>
      <c r="F802" s="385"/>
      <c r="G802" s="385"/>
      <c r="H802" s="385">
        <v>2025</v>
      </c>
      <c r="I802" s="386">
        <v>45793</v>
      </c>
      <c r="J802" s="30" t="s">
        <v>5000</v>
      </c>
      <c r="K802" s="385"/>
      <c r="L802" s="385"/>
      <c r="M802" s="385"/>
      <c r="N802" s="385"/>
      <c r="O802" s="385"/>
      <c r="P802" s="385" t="str">
        <f>IFERROR(
    IF(
        OR(ISBLANK(I802), ISBLANK(L802)),
        "",
        MAX(
            1,
            IF(
                NETWORKDAYS(I802, L802, Holiday_Dates) &lt;= 0,
                1,
                NETWORKDAYS(I802, L802, Holiday_Dates) - IF(I802 = L802, 0, 1)
            )
        )
    ),
    ""
)</f>
        <v/>
      </c>
      <c r="Q802" s="385" t="str">
        <f>IF(
    OR(ISBLANK(L802), ISBLANK(M802)),
    "",
    MAX(
        1,
        IF(
            NETWORKDAYS(L802, M802, Holiday_Dates) &lt;= 0,
            1,
            NETWORKDAYS(L802, M802, Holiday_Dates) - IF(L802 = M802, 0, 1)
        )
    )
)</f>
        <v/>
      </c>
      <c r="R802" s="385" t="str">
        <f>IFERROR(
    IF(
        OR(ISBLANK(N802), AND(ISBLANK(L802), ISBLANK(M802))),
        "",
        MAX(
            1,
            IF(
                NETWORKDAYS(IF(NOT(ISBLANK(M802)), M802, L802), N802, Holiday_Dates) &lt;= 0,
                1,
                NETWORKDAYS(IF(NOT(ISBLANK(M802)), M802, L802), N802, Holiday_Dates)
                - IF(IF(NOT(ISBLANK(M802)), M802, L802) = N802, 0, 1)
            )
        )
    ),
    ""
)</f>
        <v/>
      </c>
      <c r="S802" s="385" t="str">
        <f>IFERROR(
    IF(
        OR(ISBLANK(N802), ISBLANK(O802)),
        "",
        MAX(
            1,
            IF(
                NETWORKDAYS(N802, O802, Holiday_Dates) &lt;= 0,
                1,
                NETWORKDAYS(N802, O802, Holiday_Dates) - IF(N802 = O802, 0, 1)
            )
        )
    ),
    ""
)</f>
        <v/>
      </c>
      <c r="T802" s="385"/>
      <c r="U802" s="385" t="s">
        <v>672</v>
      </c>
      <c r="V802" s="385" t="s">
        <v>1676</v>
      </c>
      <c r="W802" s="385" t="s">
        <v>1436</v>
      </c>
      <c r="X802" s="1"/>
    </row>
    <row r="803" spans="1:24">
      <c r="A803" s="385" t="s">
        <v>49</v>
      </c>
      <c r="B803" s="385" t="s">
        <v>503</v>
      </c>
      <c r="C803" s="385" t="s">
        <v>2525</v>
      </c>
      <c r="D803" s="385" t="s">
        <v>88</v>
      </c>
      <c r="E803" s="385"/>
      <c r="F803" s="385"/>
      <c r="G803" s="385"/>
      <c r="H803" s="385">
        <v>2025</v>
      </c>
      <c r="I803" s="386">
        <v>45848</v>
      </c>
      <c r="J803" s="30" t="s">
        <v>5001</v>
      </c>
      <c r="K803" s="385"/>
      <c r="L803" s="385"/>
      <c r="M803" s="385"/>
      <c r="N803" s="385"/>
      <c r="O803" s="385"/>
      <c r="P803" s="385" t="str">
        <f>IFERROR(
    IF(
        OR(ISBLANK(I803), ISBLANK(L803)),
        "",
        MAX(
            1,
            IF(
                NETWORKDAYS(I803, L803, Holiday_Dates) &lt;= 0,
                1,
                NETWORKDAYS(I803, L803, Holiday_Dates) - IF(I803 = L803, 0, 1)
            )
        )
    ),
    ""
)</f>
        <v/>
      </c>
      <c r="Q803" s="385" t="str">
        <f>IF(
    OR(ISBLANK(L803), ISBLANK(M803)),
    "",
    MAX(
        1,
        IF(
            NETWORKDAYS(L803, M803, Holiday_Dates) &lt;= 0,
            1,
            NETWORKDAYS(L803, M803, Holiday_Dates) - IF(L803 = M803, 0, 1)
        )
    )
)</f>
        <v/>
      </c>
      <c r="R803" s="385" t="str">
        <f>IFERROR(
    IF(
        OR(ISBLANK(N803), AND(ISBLANK(L803), ISBLANK(M803))),
        "",
        MAX(
            1,
            IF(
                NETWORKDAYS(IF(NOT(ISBLANK(M803)), M803, L803), N803, Holiday_Dates) &lt;= 0,
                1,
                NETWORKDAYS(IF(NOT(ISBLANK(M803)), M803, L803), N803, Holiday_Dates)
                - IF(IF(NOT(ISBLANK(M803)), M803, L803) = N803, 0, 1)
            )
        )
    ),
    ""
)</f>
        <v/>
      </c>
      <c r="S803" s="385" t="str">
        <f>IFERROR(
    IF(
        OR(ISBLANK(N803), ISBLANK(O803)),
        "",
        MAX(
            1,
            IF(
                NETWORKDAYS(N803, O803, Holiday_Dates) &lt;= 0,
                1,
                NETWORKDAYS(N803, O803, Holiday_Dates) - IF(N803 = O803, 0, 1)
            )
        )
    ),
    ""
)</f>
        <v/>
      </c>
      <c r="T803" s="385"/>
      <c r="U803" s="385" t="s">
        <v>672</v>
      </c>
      <c r="V803" s="385" t="s">
        <v>1676</v>
      </c>
      <c r="W803" s="385" t="s">
        <v>1436</v>
      </c>
      <c r="X803" s="1"/>
    </row>
    <row r="804" spans="1:24">
      <c r="A804" s="385" t="s">
        <v>49</v>
      </c>
      <c r="B804" s="385" t="s">
        <v>503</v>
      </c>
      <c r="C804" s="385" t="s">
        <v>2526</v>
      </c>
      <c r="D804" s="385" t="s">
        <v>88</v>
      </c>
      <c r="E804" s="385"/>
      <c r="F804" s="385"/>
      <c r="G804" s="385"/>
      <c r="H804" s="385">
        <v>2025</v>
      </c>
      <c r="I804" s="386">
        <v>45854</v>
      </c>
      <c r="J804" s="30" t="s">
        <v>5002</v>
      </c>
      <c r="K804" s="385"/>
      <c r="L804" s="385"/>
      <c r="M804" s="385"/>
      <c r="N804" s="385"/>
      <c r="O804" s="385"/>
      <c r="P804" s="385" t="str">
        <f>IFERROR(
    IF(
        OR(ISBLANK(I804), ISBLANK(L804)),
        "",
        MAX(
            1,
            IF(
                NETWORKDAYS(I804, L804, Holiday_Dates) &lt;= 0,
                1,
                NETWORKDAYS(I804, L804, Holiday_Dates) - IF(I804 = L804, 0, 1)
            )
        )
    ),
    ""
)</f>
        <v/>
      </c>
      <c r="Q804" s="385" t="str">
        <f>IF(
    OR(ISBLANK(L804), ISBLANK(M804)),
    "",
    MAX(
        1,
        IF(
            NETWORKDAYS(L804, M804, Holiday_Dates) &lt;= 0,
            1,
            NETWORKDAYS(L804, M804, Holiday_Dates) - IF(L804 = M804, 0, 1)
        )
    )
)</f>
        <v/>
      </c>
      <c r="R804" s="385" t="str">
        <f>IFERROR(
    IF(
        OR(ISBLANK(N804), AND(ISBLANK(L804), ISBLANK(M804))),
        "",
        MAX(
            1,
            IF(
                NETWORKDAYS(IF(NOT(ISBLANK(M804)), M804, L804), N804, Holiday_Dates) &lt;= 0,
                1,
                NETWORKDAYS(IF(NOT(ISBLANK(M804)), M804, L804), N804, Holiday_Dates)
                - IF(IF(NOT(ISBLANK(M804)), M804, L804) = N804, 0, 1)
            )
        )
    ),
    ""
)</f>
        <v/>
      </c>
      <c r="S804" s="385" t="str">
        <f>IFERROR(
    IF(
        OR(ISBLANK(N804), ISBLANK(O804)),
        "",
        MAX(
            1,
            IF(
                NETWORKDAYS(N804, O804, Holiday_Dates) &lt;= 0,
                1,
                NETWORKDAYS(N804, O804, Holiday_Dates) - IF(N804 = O804, 0, 1)
            )
        )
    ),
    ""
)</f>
        <v/>
      </c>
      <c r="T804" s="385"/>
      <c r="U804" s="385" t="s">
        <v>672</v>
      </c>
      <c r="V804" s="385" t="s">
        <v>1676</v>
      </c>
      <c r="W804" s="385" t="s">
        <v>1436</v>
      </c>
      <c r="X804" s="1"/>
    </row>
    <row r="805" spans="1:24">
      <c r="A805" s="385" t="s">
        <v>51</v>
      </c>
      <c r="B805" s="385" t="s">
        <v>312</v>
      </c>
      <c r="C805" s="385" t="s">
        <v>3741</v>
      </c>
      <c r="D805" s="385" t="s">
        <v>88</v>
      </c>
      <c r="E805" s="385" t="s">
        <v>142</v>
      </c>
      <c r="F805" s="385"/>
      <c r="G805" s="385" t="s">
        <v>239</v>
      </c>
      <c r="H805" s="385">
        <v>2026</v>
      </c>
      <c r="I805" s="386">
        <v>46056</v>
      </c>
      <c r="J805" s="30" t="s">
        <v>5003</v>
      </c>
      <c r="K805" s="385" t="s">
        <v>62</v>
      </c>
      <c r="L805" s="386">
        <v>46066</v>
      </c>
      <c r="M805" s="385"/>
      <c r="N805" s="386">
        <v>46069</v>
      </c>
      <c r="O805" s="386">
        <v>46069</v>
      </c>
      <c r="P805" s="385">
        <f>IFERROR(
    IF(
        OR(ISBLANK(I805), ISBLANK(L805)),
        "",
        MAX(
            1,
            IF(
                NETWORKDAYS(I805, L805, Holiday_Dates) &lt;= 0,
                1,
                NETWORKDAYS(I805, L805, Holiday_Dates) - IF(I805 = L805, 0, 1)
            )
        )
    ),
    ""
)</f>
        <v>8</v>
      </c>
      <c r="Q805" s="385" t="str">
        <f>IF(
    OR(ISBLANK(L805), ISBLANK(M805)),
    "",
    MAX(
        1,
        IF(
            NETWORKDAYS(L805, M805, Holiday_Dates) &lt;= 0,
            1,
            NETWORKDAYS(L805, M805, Holiday_Dates) - IF(L805 = M805, 0, 1)
        )
    )
)</f>
        <v/>
      </c>
      <c r="R805" s="385">
        <f>IFERROR(
    IF(
        OR(ISBLANK(N805), AND(ISBLANK(L805), ISBLANK(M805))),
        "",
        MAX(
            1,
            IF(
                NETWORKDAYS(IF(NOT(ISBLANK(M805)), M805, L805), N805, Holiday_Dates) &lt;= 0,
                1,
                NETWORKDAYS(IF(NOT(ISBLANK(M805)), M805, L805), N805, Holiday_Dates)
                - IF(IF(NOT(ISBLANK(M805)), M805, L805) = N805, 0, 1)
            )
        )
    ),
    ""
)</f>
        <v>1</v>
      </c>
      <c r="S805" s="385">
        <f>IFERROR(
    IF(
        OR(ISBLANK(N805), ISBLANK(O805)),
        "",
        MAX(
            1,
            IF(
                NETWORKDAYS(N805, O805, Holiday_Dates) &lt;= 0,
                1,
                NETWORKDAYS(N805, O805, Holiday_Dates) - IF(N805 = O805, 0, 1)
            )
        )
    ),
    ""
)</f>
        <v>1</v>
      </c>
      <c r="T805" s="385" t="s">
        <v>929</v>
      </c>
      <c r="U805" s="385" t="s">
        <v>4</v>
      </c>
      <c r="V805" s="385" t="s">
        <v>108</v>
      </c>
      <c r="W805" s="385" t="s">
        <v>4710</v>
      </c>
      <c r="X805" s="1"/>
    </row>
    <row r="806" spans="1:24">
      <c r="A806" s="385" t="s">
        <v>49</v>
      </c>
      <c r="B806" s="385" t="s">
        <v>503</v>
      </c>
      <c r="C806" s="385" t="s">
        <v>2528</v>
      </c>
      <c r="D806" s="385" t="s">
        <v>88</v>
      </c>
      <c r="E806" s="385"/>
      <c r="F806" s="385"/>
      <c r="G806" s="385"/>
      <c r="H806" s="385">
        <v>2025</v>
      </c>
      <c r="I806" s="386">
        <v>45910</v>
      </c>
      <c r="J806" s="30" t="s">
        <v>5004</v>
      </c>
      <c r="K806" s="385"/>
      <c r="L806" s="385"/>
      <c r="M806" s="385"/>
      <c r="N806" s="385"/>
      <c r="O806" s="385"/>
      <c r="P806" s="385" t="str">
        <f>IFERROR(
    IF(
        OR(ISBLANK(I806), ISBLANK(L806)),
        "",
        MAX(
            1,
            IF(
                NETWORKDAYS(I806, L806, Holiday_Dates) &lt;= 0,
                1,
                NETWORKDAYS(I806, L806, Holiday_Dates) - IF(I806 = L806, 0, 1)
            )
        )
    ),
    ""
)</f>
        <v/>
      </c>
      <c r="Q806" s="385" t="str">
        <f>IF(
    OR(ISBLANK(L806), ISBLANK(M806)),
    "",
    MAX(
        1,
        IF(
            NETWORKDAYS(L806, M806, Holiday_Dates) &lt;= 0,
            1,
            NETWORKDAYS(L806, M806, Holiday_Dates) - IF(L806 = M806, 0, 1)
        )
    )
)</f>
        <v/>
      </c>
      <c r="R806" s="385" t="str">
        <f>IFERROR(
    IF(
        OR(ISBLANK(N806), AND(ISBLANK(L806), ISBLANK(M806))),
        "",
        MAX(
            1,
            IF(
                NETWORKDAYS(IF(NOT(ISBLANK(M806)), M806, L806), N806, Holiday_Dates) &lt;= 0,
                1,
                NETWORKDAYS(IF(NOT(ISBLANK(M806)), M806, L806), N806, Holiday_Dates)
                - IF(IF(NOT(ISBLANK(M806)), M806, L806) = N806, 0, 1)
            )
        )
    ),
    ""
)</f>
        <v/>
      </c>
      <c r="S806" s="385" t="str">
        <f>IFERROR(
    IF(
        OR(ISBLANK(N806), ISBLANK(O806)),
        "",
        MAX(
            1,
            IF(
                NETWORKDAYS(N806, O806, Holiday_Dates) &lt;= 0,
                1,
                NETWORKDAYS(N806, O806, Holiday_Dates) - IF(N806 = O806, 0, 1)
            )
        )
    ),
    ""
)</f>
        <v/>
      </c>
      <c r="T806" s="385"/>
      <c r="U806" s="385" t="s">
        <v>672</v>
      </c>
      <c r="V806" s="385" t="s">
        <v>101</v>
      </c>
      <c r="W806" s="385" t="s">
        <v>1436</v>
      </c>
      <c r="X806" s="1"/>
    </row>
    <row r="807" spans="1:24">
      <c r="A807" s="385" t="s">
        <v>49</v>
      </c>
      <c r="B807" s="385" t="s">
        <v>503</v>
      </c>
      <c r="C807" s="385" t="s">
        <v>2529</v>
      </c>
      <c r="D807" s="385" t="s">
        <v>88</v>
      </c>
      <c r="E807" s="385"/>
      <c r="F807" s="385"/>
      <c r="G807" s="385"/>
      <c r="H807" s="385">
        <v>2025</v>
      </c>
      <c r="I807" s="386">
        <v>45910</v>
      </c>
      <c r="J807" s="30" t="s">
        <v>5005</v>
      </c>
      <c r="K807" s="385"/>
      <c r="L807" s="385"/>
      <c r="M807" s="385"/>
      <c r="N807" s="385"/>
      <c r="O807" s="385"/>
      <c r="P807" s="385" t="str">
        <f>IFERROR(
    IF(
        OR(ISBLANK(I807), ISBLANK(L807)),
        "",
        MAX(
            1,
            IF(
                NETWORKDAYS(I807, L807, Holiday_Dates) &lt;= 0,
                1,
                NETWORKDAYS(I807, L807, Holiday_Dates) - IF(I807 = L807, 0, 1)
            )
        )
    ),
    ""
)</f>
        <v/>
      </c>
      <c r="Q807" s="385" t="str">
        <f>IF(
    OR(ISBLANK(L807), ISBLANK(M807)),
    "",
    MAX(
        1,
        IF(
            NETWORKDAYS(L807, M807, Holiday_Dates) &lt;= 0,
            1,
            NETWORKDAYS(L807, M807, Holiday_Dates) - IF(L807 = M807, 0, 1)
        )
    )
)</f>
        <v/>
      </c>
      <c r="R807" s="385" t="str">
        <f>IFERROR(
    IF(
        OR(ISBLANK(N807), AND(ISBLANK(L807), ISBLANK(M807))),
        "",
        MAX(
            1,
            IF(
                NETWORKDAYS(IF(NOT(ISBLANK(M807)), M807, L807), N807, Holiday_Dates) &lt;= 0,
                1,
                NETWORKDAYS(IF(NOT(ISBLANK(M807)), M807, L807), N807, Holiday_Dates)
                - IF(IF(NOT(ISBLANK(M807)), M807, L807) = N807, 0, 1)
            )
        )
    ),
    ""
)</f>
        <v/>
      </c>
      <c r="S807" s="385" t="str">
        <f>IFERROR(
    IF(
        OR(ISBLANK(N807), ISBLANK(O807)),
        "",
        MAX(
            1,
            IF(
                NETWORKDAYS(N807, O807, Holiday_Dates) &lt;= 0,
                1,
                NETWORKDAYS(N807, O807, Holiday_Dates) - IF(N807 = O807, 0, 1)
            )
        )
    ),
    ""
)</f>
        <v/>
      </c>
      <c r="T807" s="385"/>
      <c r="U807" s="385" t="s">
        <v>672</v>
      </c>
      <c r="V807" s="385" t="s">
        <v>1676</v>
      </c>
      <c r="W807" s="385" t="s">
        <v>1436</v>
      </c>
      <c r="X807" s="1"/>
    </row>
    <row r="808" spans="1:24">
      <c r="A808" s="385" t="s">
        <v>49</v>
      </c>
      <c r="B808" s="385" t="s">
        <v>503</v>
      </c>
      <c r="C808" s="385" t="s">
        <v>1039</v>
      </c>
      <c r="D808" s="385" t="s">
        <v>88</v>
      </c>
      <c r="E808" s="385"/>
      <c r="F808" s="385"/>
      <c r="G808" s="385"/>
      <c r="H808" s="385">
        <v>2025</v>
      </c>
      <c r="I808" s="386">
        <v>45793</v>
      </c>
      <c r="J808" s="30" t="s">
        <v>5006</v>
      </c>
      <c r="K808" s="385"/>
      <c r="L808" s="385"/>
      <c r="M808" s="385"/>
      <c r="N808" s="385"/>
      <c r="O808" s="385"/>
      <c r="P808" s="385" t="str">
        <f>IFERROR(
    IF(
        OR(ISBLANK(I808), ISBLANK(L808)),
        "",
        MAX(
            1,
            IF(
                NETWORKDAYS(I808, L808, Holiday_Dates) &lt;= 0,
                1,
                NETWORKDAYS(I808, L808, Holiday_Dates) - IF(I808 = L808, 0, 1)
            )
        )
    ),
    ""
)</f>
        <v/>
      </c>
      <c r="Q808" s="385" t="str">
        <f>IF(
    OR(ISBLANK(L808), ISBLANK(M808)),
    "",
    MAX(
        1,
        IF(
            NETWORKDAYS(L808, M808, Holiday_Dates) &lt;= 0,
            1,
            NETWORKDAYS(L808, M808, Holiday_Dates) - IF(L808 = M808, 0, 1)
        )
    )
)</f>
        <v/>
      </c>
      <c r="R808" s="385" t="str">
        <f>IFERROR(
    IF(
        OR(ISBLANK(N808), AND(ISBLANK(L808), ISBLANK(M808))),
        "",
        MAX(
            1,
            IF(
                NETWORKDAYS(IF(NOT(ISBLANK(M808)), M808, L808), N808, Holiday_Dates) &lt;= 0,
                1,
                NETWORKDAYS(IF(NOT(ISBLANK(M808)), M808, L808), N808, Holiday_Dates)
                - IF(IF(NOT(ISBLANK(M808)), M808, L808) = N808, 0, 1)
            )
        )
    ),
    ""
)</f>
        <v/>
      </c>
      <c r="S808" s="385" t="str">
        <f>IFERROR(
    IF(
        OR(ISBLANK(N808), ISBLANK(O808)),
        "",
        MAX(
            1,
            IF(
                NETWORKDAYS(N808, O808, Holiday_Dates) &lt;= 0,
                1,
                NETWORKDAYS(N808, O808, Holiday_Dates) - IF(N808 = O808, 0, 1)
            )
        )
    ),
    ""
)</f>
        <v/>
      </c>
      <c r="T808" s="385"/>
      <c r="U808" s="385" t="s">
        <v>4</v>
      </c>
      <c r="V808" s="385" t="s">
        <v>1676</v>
      </c>
      <c r="W808" s="385" t="s">
        <v>1436</v>
      </c>
      <c r="X808" s="1"/>
    </row>
    <row r="809" spans="1:24">
      <c r="A809" s="385" t="s">
        <v>49</v>
      </c>
      <c r="B809" s="385" t="s">
        <v>503</v>
      </c>
      <c r="C809" s="385" t="s">
        <v>2530</v>
      </c>
      <c r="D809" s="385" t="s">
        <v>88</v>
      </c>
      <c r="E809" s="385"/>
      <c r="F809" s="385"/>
      <c r="G809" s="385"/>
      <c r="H809" s="385">
        <v>2025</v>
      </c>
      <c r="I809" s="386">
        <v>45910</v>
      </c>
      <c r="J809" s="30" t="s">
        <v>5007</v>
      </c>
      <c r="K809" s="385"/>
      <c r="L809" s="385"/>
      <c r="M809" s="385"/>
      <c r="N809" s="385"/>
      <c r="O809" s="385"/>
      <c r="P809" s="385" t="str">
        <f>IFERROR(
    IF(
        OR(ISBLANK(I809), ISBLANK(L809)),
        "",
        MAX(
            1,
            IF(
                NETWORKDAYS(I809, L809, Holiday_Dates) &lt;= 0,
                1,
                NETWORKDAYS(I809, L809, Holiday_Dates) - IF(I809 = L809, 0, 1)
            )
        )
    ),
    ""
)</f>
        <v/>
      </c>
      <c r="Q809" s="385" t="str">
        <f>IF(
    OR(ISBLANK(L809), ISBLANK(M809)),
    "",
    MAX(
        1,
        IF(
            NETWORKDAYS(L809, M809, Holiday_Dates) &lt;= 0,
            1,
            NETWORKDAYS(L809, M809, Holiday_Dates) - IF(L809 = M809, 0, 1)
        )
    )
)</f>
        <v/>
      </c>
      <c r="R809" s="385" t="str">
        <f>IFERROR(
    IF(
        OR(ISBLANK(N809), AND(ISBLANK(L809), ISBLANK(M809))),
        "",
        MAX(
            1,
            IF(
                NETWORKDAYS(IF(NOT(ISBLANK(M809)), M809, L809), N809, Holiday_Dates) &lt;= 0,
                1,
                NETWORKDAYS(IF(NOT(ISBLANK(M809)), M809, L809), N809, Holiday_Dates)
                - IF(IF(NOT(ISBLANK(M809)), M809, L809) = N809, 0, 1)
            )
        )
    ),
    ""
)</f>
        <v/>
      </c>
      <c r="S809" s="385" t="str">
        <f>IFERROR(
    IF(
        OR(ISBLANK(N809), ISBLANK(O809)),
        "",
        MAX(
            1,
            IF(
                NETWORKDAYS(N809, O809, Holiday_Dates) &lt;= 0,
                1,
                NETWORKDAYS(N809, O809, Holiday_Dates) - IF(N809 = O809, 0, 1)
            )
        )
    ),
    ""
)</f>
        <v/>
      </c>
      <c r="T809" s="385"/>
      <c r="U809" s="385" t="s">
        <v>672</v>
      </c>
      <c r="V809" s="385" t="s">
        <v>1676</v>
      </c>
      <c r="W809" s="385" t="s">
        <v>1436</v>
      </c>
      <c r="X809" s="1"/>
    </row>
    <row r="810" spans="1:24">
      <c r="A810" s="385" t="s">
        <v>49</v>
      </c>
      <c r="B810" s="385" t="s">
        <v>503</v>
      </c>
      <c r="C810" s="385" t="s">
        <v>2531</v>
      </c>
      <c r="D810" s="385" t="s">
        <v>88</v>
      </c>
      <c r="E810" s="385"/>
      <c r="F810" s="385"/>
      <c r="G810" s="385"/>
      <c r="H810" s="385">
        <v>2025</v>
      </c>
      <c r="I810" s="386">
        <v>45847</v>
      </c>
      <c r="J810" s="30" t="s">
        <v>5008</v>
      </c>
      <c r="K810" s="385"/>
      <c r="L810" s="385"/>
      <c r="M810" s="385"/>
      <c r="N810" s="385"/>
      <c r="O810" s="385"/>
      <c r="P810" s="385" t="str">
        <f>IFERROR(
    IF(
        OR(ISBLANK(I810), ISBLANK(L810)),
        "",
        MAX(
            1,
            IF(
                NETWORKDAYS(I810, L810, Holiday_Dates) &lt;= 0,
                1,
                NETWORKDAYS(I810, L810, Holiday_Dates) - IF(I810 = L810, 0, 1)
            )
        )
    ),
    ""
)</f>
        <v/>
      </c>
      <c r="Q810" s="385" t="str">
        <f>IF(
    OR(ISBLANK(L810), ISBLANK(M810)),
    "",
    MAX(
        1,
        IF(
            NETWORKDAYS(L810, M810, Holiday_Dates) &lt;= 0,
            1,
            NETWORKDAYS(L810, M810, Holiday_Dates) - IF(L810 = M810, 0, 1)
        )
    )
)</f>
        <v/>
      </c>
      <c r="R810" s="385" t="str">
        <f>IFERROR(
    IF(
        OR(ISBLANK(N810), AND(ISBLANK(L810), ISBLANK(M810))),
        "",
        MAX(
            1,
            IF(
                NETWORKDAYS(IF(NOT(ISBLANK(M810)), M810, L810), N810, Holiday_Dates) &lt;= 0,
                1,
                NETWORKDAYS(IF(NOT(ISBLANK(M810)), M810, L810), N810, Holiday_Dates)
                - IF(IF(NOT(ISBLANK(M810)), M810, L810) = N810, 0, 1)
            )
        )
    ),
    ""
)</f>
        <v/>
      </c>
      <c r="S810" s="385" t="str">
        <f>IFERROR(
    IF(
        OR(ISBLANK(N810), ISBLANK(O810)),
        "",
        MAX(
            1,
            IF(
                NETWORKDAYS(N810, O810, Holiday_Dates) &lt;= 0,
                1,
                NETWORKDAYS(N810, O810, Holiday_Dates) - IF(N810 = O810, 0, 1)
            )
        )
    ),
    ""
)</f>
        <v/>
      </c>
      <c r="T810" s="385"/>
      <c r="U810" s="385" t="s">
        <v>4</v>
      </c>
      <c r="V810" s="385" t="s">
        <v>101</v>
      </c>
      <c r="W810" s="385" t="s">
        <v>1436</v>
      </c>
      <c r="X810" s="1"/>
    </row>
    <row r="811" spans="1:24">
      <c r="A811" s="385" t="s">
        <v>49</v>
      </c>
      <c r="B811" s="385" t="s">
        <v>503</v>
      </c>
      <c r="C811" s="385" t="s">
        <v>2532</v>
      </c>
      <c r="D811" s="385" t="s">
        <v>88</v>
      </c>
      <c r="E811" s="385"/>
      <c r="F811" s="385"/>
      <c r="G811" s="385"/>
      <c r="H811" s="385">
        <v>2025</v>
      </c>
      <c r="I811" s="386">
        <v>45876</v>
      </c>
      <c r="J811" s="30" t="s">
        <v>5009</v>
      </c>
      <c r="K811" s="385"/>
      <c r="L811" s="385"/>
      <c r="M811" s="385"/>
      <c r="N811" s="385"/>
      <c r="O811" s="385"/>
      <c r="P811" s="385" t="str">
        <f>IFERROR(
    IF(
        OR(ISBLANK(I811), ISBLANK(L811)),
        "",
        MAX(
            1,
            IF(
                NETWORKDAYS(I811, L811, Holiday_Dates) &lt;= 0,
                1,
                NETWORKDAYS(I811, L811, Holiday_Dates) - IF(I811 = L811, 0, 1)
            )
        )
    ),
    ""
)</f>
        <v/>
      </c>
      <c r="Q811" s="385" t="str">
        <f>IF(
    OR(ISBLANK(L811), ISBLANK(M811)),
    "",
    MAX(
        1,
        IF(
            NETWORKDAYS(L811, M811, Holiday_Dates) &lt;= 0,
            1,
            NETWORKDAYS(L811, M811, Holiday_Dates) - IF(L811 = M811, 0, 1)
        )
    )
)</f>
        <v/>
      </c>
      <c r="R811" s="385" t="str">
        <f>IFERROR(
    IF(
        OR(ISBLANK(N811), AND(ISBLANK(L811), ISBLANK(M811))),
        "",
        MAX(
            1,
            IF(
                NETWORKDAYS(IF(NOT(ISBLANK(M811)), M811, L811), N811, Holiday_Dates) &lt;= 0,
                1,
                NETWORKDAYS(IF(NOT(ISBLANK(M811)), M811, L811), N811, Holiday_Dates)
                - IF(IF(NOT(ISBLANK(M811)), M811, L811) = N811, 0, 1)
            )
        )
    ),
    ""
)</f>
        <v/>
      </c>
      <c r="S811" s="385" t="str">
        <f>IFERROR(
    IF(
        OR(ISBLANK(N811), ISBLANK(O811)),
        "",
        MAX(
            1,
            IF(
                NETWORKDAYS(N811, O811, Holiday_Dates) &lt;= 0,
                1,
                NETWORKDAYS(N811, O811, Holiday_Dates) - IF(N811 = O811, 0, 1)
            )
        )
    ),
    ""
)</f>
        <v/>
      </c>
      <c r="T811" s="385"/>
      <c r="U811" s="385" t="s">
        <v>672</v>
      </c>
      <c r="V811" s="385" t="s">
        <v>1676</v>
      </c>
      <c r="W811" s="385" t="s">
        <v>1436</v>
      </c>
      <c r="X811" s="1"/>
    </row>
    <row r="812" spans="1:24">
      <c r="A812" s="385" t="s">
        <v>49</v>
      </c>
      <c r="B812" s="385" t="s">
        <v>503</v>
      </c>
      <c r="C812" s="385" t="s">
        <v>926</v>
      </c>
      <c r="D812" s="385" t="s">
        <v>88</v>
      </c>
      <c r="E812" s="385"/>
      <c r="F812" s="385"/>
      <c r="G812" s="385"/>
      <c r="H812" s="385">
        <v>2024</v>
      </c>
      <c r="I812" s="386">
        <v>45427</v>
      </c>
      <c r="J812" s="30"/>
      <c r="K812" s="385"/>
      <c r="L812" s="385"/>
      <c r="M812" s="385"/>
      <c r="N812" s="385"/>
      <c r="O812" s="385"/>
      <c r="P812" s="385" t="str">
        <f>IFERROR(
    IF(
        OR(ISBLANK(I812), ISBLANK(L812)),
        "",
        MAX(
            1,
            IF(
                NETWORKDAYS(I812, L812, Holiday_Dates) &lt;= 0,
                1,
                NETWORKDAYS(I812, L812, Holiday_Dates) - IF(I812 = L812, 0, 1)
            )
        )
    ),
    ""
)</f>
        <v/>
      </c>
      <c r="Q812" s="385" t="str">
        <f>IF(
    OR(ISBLANK(L812), ISBLANK(M812)),
    "",
    MAX(
        1,
        IF(
            NETWORKDAYS(L812, M812, Holiday_Dates) &lt;= 0,
            1,
            NETWORKDAYS(L812, M812, Holiday_Dates) - IF(L812 = M812, 0, 1)
        )
    )
)</f>
        <v/>
      </c>
      <c r="R812" s="385" t="str">
        <f>IFERROR(
    IF(
        OR(ISBLANK(N812), AND(ISBLANK(L812), ISBLANK(M812))),
        "",
        MAX(
            1,
            IF(
                NETWORKDAYS(IF(NOT(ISBLANK(M812)), M812, L812), N812, Holiday_Dates) &lt;= 0,
                1,
                NETWORKDAYS(IF(NOT(ISBLANK(M812)), M812, L812), N812, Holiday_Dates)
                - IF(IF(NOT(ISBLANK(M812)), M812, L812) = N812, 0, 1)
            )
        )
    ),
    ""
)</f>
        <v/>
      </c>
      <c r="S812" s="385" t="str">
        <f>IFERROR(
    IF(
        OR(ISBLANK(N812), ISBLANK(O812)),
        "",
        MAX(
            1,
            IF(
                NETWORKDAYS(N812, O812, Holiday_Dates) &lt;= 0,
                1,
                NETWORKDAYS(N812, O812, Holiday_Dates) - IF(N812 = O812, 0, 1)
            )
        )
    ),
    ""
)</f>
        <v/>
      </c>
      <c r="T812" s="385"/>
      <c r="U812" s="385" t="s">
        <v>672</v>
      </c>
      <c r="V812" s="385"/>
      <c r="W812" s="385" t="s">
        <v>1436</v>
      </c>
      <c r="X812" s="1"/>
    </row>
    <row r="813" spans="1:24">
      <c r="A813" s="385" t="s">
        <v>49</v>
      </c>
      <c r="B813" s="385" t="s">
        <v>503</v>
      </c>
      <c r="C813" s="385" t="s">
        <v>2534</v>
      </c>
      <c r="D813" s="385" t="s">
        <v>88</v>
      </c>
      <c r="E813" s="385"/>
      <c r="F813" s="385"/>
      <c r="G813" s="385"/>
      <c r="H813" s="385">
        <v>2025</v>
      </c>
      <c r="I813" s="386">
        <v>45910</v>
      </c>
      <c r="J813" s="30" t="s">
        <v>5010</v>
      </c>
      <c r="K813" s="385"/>
      <c r="L813" s="385"/>
      <c r="M813" s="385"/>
      <c r="N813" s="385"/>
      <c r="O813" s="385"/>
      <c r="P813" s="385" t="str">
        <f>IFERROR(
    IF(
        OR(ISBLANK(I813), ISBLANK(L813)),
        "",
        MAX(
            1,
            IF(
                NETWORKDAYS(I813, L813, Holiday_Dates) &lt;= 0,
                1,
                NETWORKDAYS(I813, L813, Holiday_Dates) - IF(I813 = L813, 0, 1)
            )
        )
    ),
    ""
)</f>
        <v/>
      </c>
      <c r="Q813" s="385" t="str">
        <f>IF(
    OR(ISBLANK(L813), ISBLANK(M813)),
    "",
    MAX(
        1,
        IF(
            NETWORKDAYS(L813, M813, Holiday_Dates) &lt;= 0,
            1,
            NETWORKDAYS(L813, M813, Holiday_Dates) - IF(L813 = M813, 0, 1)
        )
    )
)</f>
        <v/>
      </c>
      <c r="R813" s="385" t="str">
        <f>IFERROR(
    IF(
        OR(ISBLANK(N813), AND(ISBLANK(L813), ISBLANK(M813))),
        "",
        MAX(
            1,
            IF(
                NETWORKDAYS(IF(NOT(ISBLANK(M813)), M813, L813), N813, Holiday_Dates) &lt;= 0,
                1,
                NETWORKDAYS(IF(NOT(ISBLANK(M813)), M813, L813), N813, Holiday_Dates)
                - IF(IF(NOT(ISBLANK(M813)), M813, L813) = N813, 0, 1)
            )
        )
    ),
    ""
)</f>
        <v/>
      </c>
      <c r="S813" s="385" t="str">
        <f>IFERROR(
    IF(
        OR(ISBLANK(N813), ISBLANK(O813)),
        "",
        MAX(
            1,
            IF(
                NETWORKDAYS(N813, O813, Holiday_Dates) &lt;= 0,
                1,
                NETWORKDAYS(N813, O813, Holiday_Dates) - IF(N813 = O813, 0, 1)
            )
        )
    ),
    ""
)</f>
        <v/>
      </c>
      <c r="T813" s="385"/>
      <c r="U813" s="385" t="s">
        <v>672</v>
      </c>
      <c r="V813" s="385" t="s">
        <v>1676</v>
      </c>
      <c r="W813" s="385" t="s">
        <v>1436</v>
      </c>
      <c r="X813" s="1"/>
    </row>
    <row r="814" spans="1:24">
      <c r="A814" s="385" t="s">
        <v>49</v>
      </c>
      <c r="B814" s="385" t="s">
        <v>503</v>
      </c>
      <c r="C814" s="385" t="s">
        <v>2236</v>
      </c>
      <c r="D814" s="385" t="s">
        <v>88</v>
      </c>
      <c r="E814" s="385"/>
      <c r="F814" s="385"/>
      <c r="G814" s="385"/>
      <c r="H814" s="385">
        <v>2025</v>
      </c>
      <c r="I814" s="386">
        <v>45757</v>
      </c>
      <c r="J814" s="30" t="s">
        <v>5011</v>
      </c>
      <c r="K814" s="385"/>
      <c r="L814" s="385"/>
      <c r="M814" s="385"/>
      <c r="N814" s="385"/>
      <c r="O814" s="385"/>
      <c r="P814" s="385" t="str">
        <f>IFERROR(
    IF(
        OR(ISBLANK(I814), ISBLANK(L814)),
        "",
        MAX(
            1,
            IF(
                NETWORKDAYS(I814, L814, Holiday_Dates) &lt;= 0,
                1,
                NETWORKDAYS(I814, L814, Holiday_Dates) - IF(I814 = L814, 0, 1)
            )
        )
    ),
    ""
)</f>
        <v/>
      </c>
      <c r="Q814" s="385" t="str">
        <f>IF(
    OR(ISBLANK(L814), ISBLANK(M814)),
    "",
    MAX(
        1,
        IF(
            NETWORKDAYS(L814, M814, Holiday_Dates) &lt;= 0,
            1,
            NETWORKDAYS(L814, M814, Holiday_Dates) - IF(L814 = M814, 0, 1)
        )
    )
)</f>
        <v/>
      </c>
      <c r="R814" s="385" t="str">
        <f>IFERROR(
    IF(
        OR(ISBLANK(N814), AND(ISBLANK(L814), ISBLANK(M814))),
        "",
        MAX(
            1,
            IF(
                NETWORKDAYS(IF(NOT(ISBLANK(M814)), M814, L814), N814, Holiday_Dates) &lt;= 0,
                1,
                NETWORKDAYS(IF(NOT(ISBLANK(M814)), M814, L814), N814, Holiday_Dates)
                - IF(IF(NOT(ISBLANK(M814)), M814, L814) = N814, 0, 1)
            )
        )
    ),
    ""
)</f>
        <v/>
      </c>
      <c r="S814" s="385" t="str">
        <f>IFERROR(
    IF(
        OR(ISBLANK(N814), ISBLANK(O814)),
        "",
        MAX(
            1,
            IF(
                NETWORKDAYS(N814, O814, Holiday_Dates) &lt;= 0,
                1,
                NETWORKDAYS(N814, O814, Holiday_Dates) - IF(N814 = O814, 0, 1)
            )
        )
    ),
    ""
)</f>
        <v/>
      </c>
      <c r="T814" s="385"/>
      <c r="U814" s="385" t="s">
        <v>672</v>
      </c>
      <c r="V814" s="385" t="s">
        <v>101</v>
      </c>
      <c r="W814" s="385" t="s">
        <v>1436</v>
      </c>
      <c r="X814" s="1"/>
    </row>
    <row r="815" spans="1:24">
      <c r="A815" s="385" t="s">
        <v>49</v>
      </c>
      <c r="B815" s="385" t="s">
        <v>503</v>
      </c>
      <c r="C815" s="385" t="s">
        <v>2260</v>
      </c>
      <c r="D815" s="385" t="s">
        <v>88</v>
      </c>
      <c r="E815" s="385"/>
      <c r="F815" s="385"/>
      <c r="G815" s="385"/>
      <c r="H815" s="385">
        <v>2025</v>
      </c>
      <c r="I815" s="386">
        <v>45757</v>
      </c>
      <c r="J815" s="30" t="s">
        <v>5012</v>
      </c>
      <c r="K815" s="385"/>
      <c r="L815" s="385"/>
      <c r="M815" s="385"/>
      <c r="N815" s="385"/>
      <c r="O815" s="385"/>
      <c r="P815" s="385" t="str">
        <f>IFERROR(
    IF(
        OR(ISBLANK(I815), ISBLANK(L815)),
        "",
        MAX(
            1,
            IF(
                NETWORKDAYS(I815, L815, Holiday_Dates) &lt;= 0,
                1,
                NETWORKDAYS(I815, L815, Holiday_Dates) - IF(I815 = L815, 0, 1)
            )
        )
    ),
    ""
)</f>
        <v/>
      </c>
      <c r="Q815" s="385" t="str">
        <f>IF(
    OR(ISBLANK(L815), ISBLANK(M815)),
    "",
    MAX(
        1,
        IF(
            NETWORKDAYS(L815, M815, Holiday_Dates) &lt;= 0,
            1,
            NETWORKDAYS(L815, M815, Holiday_Dates) - IF(L815 = M815, 0, 1)
        )
    )
)</f>
        <v/>
      </c>
      <c r="R815" s="385" t="str">
        <f>IFERROR(
    IF(
        OR(ISBLANK(N815), AND(ISBLANK(L815), ISBLANK(M815))),
        "",
        MAX(
            1,
            IF(
                NETWORKDAYS(IF(NOT(ISBLANK(M815)), M815, L815), N815, Holiday_Dates) &lt;= 0,
                1,
                NETWORKDAYS(IF(NOT(ISBLANK(M815)), M815, L815), N815, Holiday_Dates)
                - IF(IF(NOT(ISBLANK(M815)), M815, L815) = N815, 0, 1)
            )
        )
    ),
    ""
)</f>
        <v/>
      </c>
      <c r="S815" s="385" t="str">
        <f>IFERROR(
    IF(
        OR(ISBLANK(N815), ISBLANK(O815)),
        "",
        MAX(
            1,
            IF(
                NETWORKDAYS(N815, O815, Holiday_Dates) &lt;= 0,
                1,
                NETWORKDAYS(N815, O815, Holiday_Dates) - IF(N815 = O815, 0, 1)
            )
        )
    ),
    ""
)</f>
        <v/>
      </c>
      <c r="T815" s="385"/>
      <c r="U815" s="385" t="s">
        <v>672</v>
      </c>
      <c r="V815" s="385" t="s">
        <v>1676</v>
      </c>
      <c r="W815" s="385" t="s">
        <v>1436</v>
      </c>
      <c r="X815" s="1"/>
    </row>
    <row r="816" spans="1:24">
      <c r="A816" s="385" t="s">
        <v>49</v>
      </c>
      <c r="B816" s="385" t="s">
        <v>503</v>
      </c>
      <c r="C816" s="385" t="s">
        <v>682</v>
      </c>
      <c r="D816" s="385" t="s">
        <v>88</v>
      </c>
      <c r="E816" s="385"/>
      <c r="F816" s="385"/>
      <c r="G816" s="385"/>
      <c r="H816" s="385">
        <v>2025</v>
      </c>
      <c r="I816" s="386">
        <v>45757</v>
      </c>
      <c r="J816" s="30" t="s">
        <v>5013</v>
      </c>
      <c r="K816" s="385"/>
      <c r="L816" s="385"/>
      <c r="M816" s="385"/>
      <c r="N816" s="385"/>
      <c r="O816" s="385"/>
      <c r="P816" s="385" t="str">
        <f>IFERROR(
    IF(
        OR(ISBLANK(I816), ISBLANK(L816)),
        "",
        MAX(
            1,
            IF(
                NETWORKDAYS(I816, L816, Holiday_Dates) &lt;= 0,
                1,
                NETWORKDAYS(I816, L816, Holiday_Dates) - IF(I816 = L816, 0, 1)
            )
        )
    ),
    ""
)</f>
        <v/>
      </c>
      <c r="Q816" s="385" t="str">
        <f>IF(
    OR(ISBLANK(L816), ISBLANK(M816)),
    "",
    MAX(
        1,
        IF(
            NETWORKDAYS(L816, M816, Holiday_Dates) &lt;= 0,
            1,
            NETWORKDAYS(L816, M816, Holiday_Dates) - IF(L816 = M816, 0, 1)
        )
    )
)</f>
        <v/>
      </c>
      <c r="R816" s="385" t="str">
        <f>IFERROR(
    IF(
        OR(ISBLANK(N816), AND(ISBLANK(L816), ISBLANK(M816))),
        "",
        MAX(
            1,
            IF(
                NETWORKDAYS(IF(NOT(ISBLANK(M816)), M816, L816), N816, Holiday_Dates) &lt;= 0,
                1,
                NETWORKDAYS(IF(NOT(ISBLANK(M816)), M816, L816), N816, Holiday_Dates)
                - IF(IF(NOT(ISBLANK(M816)), M816, L816) = N816, 0, 1)
            )
        )
    ),
    ""
)</f>
        <v/>
      </c>
      <c r="S816" s="385" t="str">
        <f>IFERROR(
    IF(
        OR(ISBLANK(N816), ISBLANK(O816)),
        "",
        MAX(
            1,
            IF(
                NETWORKDAYS(N816, O816, Holiday_Dates) &lt;= 0,
                1,
                NETWORKDAYS(N816, O816, Holiday_Dates) - IF(N816 = O816, 0, 1)
            )
        )
    ),
    ""
)</f>
        <v/>
      </c>
      <c r="T816" s="385"/>
      <c r="U816" s="385" t="s">
        <v>672</v>
      </c>
      <c r="V816" s="385" t="s">
        <v>1676</v>
      </c>
      <c r="W816" s="385" t="s">
        <v>1436</v>
      </c>
      <c r="X816" s="1"/>
    </row>
    <row r="817" spans="1:24">
      <c r="A817" s="385" t="s">
        <v>49</v>
      </c>
      <c r="B817" s="385" t="s">
        <v>503</v>
      </c>
      <c r="C817" s="385" t="s">
        <v>664</v>
      </c>
      <c r="D817" s="385" t="s">
        <v>88</v>
      </c>
      <c r="E817" s="385"/>
      <c r="F817" s="385"/>
      <c r="G817" s="385"/>
      <c r="H817" s="385">
        <v>2025</v>
      </c>
      <c r="I817" s="386">
        <v>45757</v>
      </c>
      <c r="J817" s="30" t="s">
        <v>5014</v>
      </c>
      <c r="K817" s="385"/>
      <c r="L817" s="385"/>
      <c r="M817" s="385"/>
      <c r="N817" s="385"/>
      <c r="O817" s="385"/>
      <c r="P817" s="385" t="str">
        <f>IFERROR(
    IF(
        OR(ISBLANK(I817), ISBLANK(L817)),
        "",
        MAX(
            1,
            IF(
                NETWORKDAYS(I817, L817, Holiday_Dates) &lt;= 0,
                1,
                NETWORKDAYS(I817, L817, Holiday_Dates) - IF(I817 = L817, 0, 1)
            )
        )
    ),
    ""
)</f>
        <v/>
      </c>
      <c r="Q817" s="385" t="str">
        <f>IF(
    OR(ISBLANK(L817), ISBLANK(M817)),
    "",
    MAX(
        1,
        IF(
            NETWORKDAYS(L817, M817, Holiday_Dates) &lt;= 0,
            1,
            NETWORKDAYS(L817, M817, Holiday_Dates) - IF(L817 = M817, 0, 1)
        )
    )
)</f>
        <v/>
      </c>
      <c r="R817" s="385" t="str">
        <f>IFERROR(
    IF(
        OR(ISBLANK(N817), AND(ISBLANK(L817), ISBLANK(M817))),
        "",
        MAX(
            1,
            IF(
                NETWORKDAYS(IF(NOT(ISBLANK(M817)), M817, L817), N817, Holiday_Dates) &lt;= 0,
                1,
                NETWORKDAYS(IF(NOT(ISBLANK(M817)), M817, L817), N817, Holiday_Dates)
                - IF(IF(NOT(ISBLANK(M817)), M817, L817) = N817, 0, 1)
            )
        )
    ),
    ""
)</f>
        <v/>
      </c>
      <c r="S817" s="385" t="str">
        <f>IFERROR(
    IF(
        OR(ISBLANK(N817), ISBLANK(O817)),
        "",
        MAX(
            1,
            IF(
                NETWORKDAYS(N817, O817, Holiday_Dates) &lt;= 0,
                1,
                NETWORKDAYS(N817, O817, Holiday_Dates) - IF(N817 = O817, 0, 1)
            )
        )
    ),
    ""
)</f>
        <v/>
      </c>
      <c r="T817" s="385"/>
      <c r="U817" s="385" t="s">
        <v>4</v>
      </c>
      <c r="V817" s="385" t="s">
        <v>101</v>
      </c>
      <c r="W817" s="385" t="s">
        <v>1436</v>
      </c>
      <c r="X817" s="1"/>
    </row>
    <row r="818" spans="1:24">
      <c r="A818" s="385" t="s">
        <v>49</v>
      </c>
      <c r="B818" s="385" t="s">
        <v>503</v>
      </c>
      <c r="C818" s="385" t="s">
        <v>2535</v>
      </c>
      <c r="D818" s="385" t="s">
        <v>88</v>
      </c>
      <c r="E818" s="385"/>
      <c r="F818" s="385"/>
      <c r="G818" s="385"/>
      <c r="H818" s="385">
        <v>2025</v>
      </c>
      <c r="I818" s="386">
        <v>45876</v>
      </c>
      <c r="J818" s="30" t="s">
        <v>5015</v>
      </c>
      <c r="K818" s="385"/>
      <c r="L818" s="385"/>
      <c r="M818" s="385"/>
      <c r="N818" s="385"/>
      <c r="O818" s="385"/>
      <c r="P818" s="385" t="str">
        <f>IFERROR(
    IF(
        OR(ISBLANK(I818), ISBLANK(L818)),
        "",
        MAX(
            1,
            IF(
                NETWORKDAYS(I818, L818, Holiday_Dates) &lt;= 0,
                1,
                NETWORKDAYS(I818, L818, Holiday_Dates) - IF(I818 = L818, 0, 1)
            )
        )
    ),
    ""
)</f>
        <v/>
      </c>
      <c r="Q818" s="385" t="str">
        <f>IF(
    OR(ISBLANK(L818), ISBLANK(M818)),
    "",
    MAX(
        1,
        IF(
            NETWORKDAYS(L818, M818, Holiday_Dates) &lt;= 0,
            1,
            NETWORKDAYS(L818, M818, Holiday_Dates) - IF(L818 = M818, 0, 1)
        )
    )
)</f>
        <v/>
      </c>
      <c r="R818" s="385" t="str">
        <f>IFERROR(
    IF(
        OR(ISBLANK(N818), AND(ISBLANK(L818), ISBLANK(M818))),
        "",
        MAX(
            1,
            IF(
                NETWORKDAYS(IF(NOT(ISBLANK(M818)), M818, L818), N818, Holiday_Dates) &lt;= 0,
                1,
                NETWORKDAYS(IF(NOT(ISBLANK(M818)), M818, L818), N818, Holiday_Dates)
                - IF(IF(NOT(ISBLANK(M818)), M818, L818) = N818, 0, 1)
            )
        )
    ),
    ""
)</f>
        <v/>
      </c>
      <c r="S818" s="385" t="str">
        <f>IFERROR(
    IF(
        OR(ISBLANK(N818), ISBLANK(O818)),
        "",
        MAX(
            1,
            IF(
                NETWORKDAYS(N818, O818, Holiday_Dates) &lt;= 0,
                1,
                NETWORKDAYS(N818, O818, Holiday_Dates) - IF(N818 = O818, 0, 1)
            )
        )
    ),
    ""
)</f>
        <v/>
      </c>
      <c r="T818" s="385"/>
      <c r="U818" s="385" t="s">
        <v>672</v>
      </c>
      <c r="V818" s="385" t="s">
        <v>1676</v>
      </c>
      <c r="W818" s="385" t="s">
        <v>1436</v>
      </c>
      <c r="X818" s="1"/>
    </row>
    <row r="819" spans="1:24">
      <c r="A819" s="385" t="s">
        <v>51</v>
      </c>
      <c r="B819" s="385" t="s">
        <v>312</v>
      </c>
      <c r="C819" s="385" t="s">
        <v>3742</v>
      </c>
      <c r="D819" s="385" t="s">
        <v>88</v>
      </c>
      <c r="E819" s="385" t="s">
        <v>142</v>
      </c>
      <c r="F819" s="385"/>
      <c r="G819" s="385" t="s">
        <v>239</v>
      </c>
      <c r="H819" s="385">
        <v>2026</v>
      </c>
      <c r="I819" s="386">
        <v>46056</v>
      </c>
      <c r="J819" s="30" t="s">
        <v>5016</v>
      </c>
      <c r="K819" s="385" t="s">
        <v>62</v>
      </c>
      <c r="L819" s="386">
        <v>46066</v>
      </c>
      <c r="M819" s="385"/>
      <c r="N819" s="386">
        <v>46069</v>
      </c>
      <c r="O819" s="386">
        <v>46069</v>
      </c>
      <c r="P819" s="385">
        <f>IFERROR(
    IF(
        OR(ISBLANK(I819), ISBLANK(L819)),
        "",
        MAX(
            1,
            IF(
                NETWORKDAYS(I819, L819, Holiday_Dates) &lt;= 0,
                1,
                NETWORKDAYS(I819, L819, Holiday_Dates) - IF(I819 = L819, 0, 1)
            )
        )
    ),
    ""
)</f>
        <v>8</v>
      </c>
      <c r="Q819" s="385" t="str">
        <f>IF(
    OR(ISBLANK(L819), ISBLANK(M819)),
    "",
    MAX(
        1,
        IF(
            NETWORKDAYS(L819, M819, Holiday_Dates) &lt;= 0,
            1,
            NETWORKDAYS(L819, M819, Holiday_Dates) - IF(L819 = M819, 0, 1)
        )
    )
)</f>
        <v/>
      </c>
      <c r="R819" s="385">
        <f>IFERROR(
    IF(
        OR(ISBLANK(N819), AND(ISBLANK(L819), ISBLANK(M819))),
        "",
        MAX(
            1,
            IF(
                NETWORKDAYS(IF(NOT(ISBLANK(M819)), M819, L819), N819, Holiday_Dates) &lt;= 0,
                1,
                NETWORKDAYS(IF(NOT(ISBLANK(M819)), M819, L819), N819, Holiday_Dates)
                - IF(IF(NOT(ISBLANK(M819)), M819, L819) = N819, 0, 1)
            )
        )
    ),
    ""
)</f>
        <v>1</v>
      </c>
      <c r="S819" s="385">
        <f>IFERROR(
    IF(
        OR(ISBLANK(N819), ISBLANK(O819)),
        "",
        MAX(
            1,
            IF(
                NETWORKDAYS(N819, O819, Holiday_Dates) &lt;= 0,
                1,
                NETWORKDAYS(N819, O819, Holiday_Dates) - IF(N819 = O819, 0, 1)
            )
        )
    ),
    ""
)</f>
        <v>1</v>
      </c>
      <c r="T819" s="385" t="s">
        <v>929</v>
      </c>
      <c r="U819" s="385" t="s">
        <v>672</v>
      </c>
      <c r="V819" s="385" t="s">
        <v>101</v>
      </c>
      <c r="W819" s="385" t="s">
        <v>4710</v>
      </c>
      <c r="X819" s="1"/>
    </row>
    <row r="820" spans="1:24">
      <c r="A820" s="385" t="s">
        <v>51</v>
      </c>
      <c r="B820" s="385" t="s">
        <v>312</v>
      </c>
      <c r="C820" s="385" t="s">
        <v>3748</v>
      </c>
      <c r="D820" s="385" t="s">
        <v>88</v>
      </c>
      <c r="E820" s="385" t="s">
        <v>142</v>
      </c>
      <c r="F820" s="385"/>
      <c r="G820" s="385" t="s">
        <v>239</v>
      </c>
      <c r="H820" s="385">
        <v>2026</v>
      </c>
      <c r="I820" s="386">
        <v>46056</v>
      </c>
      <c r="J820" s="30" t="s">
        <v>5017</v>
      </c>
      <c r="K820" s="385" t="s">
        <v>62</v>
      </c>
      <c r="L820" s="386">
        <v>46066</v>
      </c>
      <c r="M820" s="385"/>
      <c r="N820" s="386">
        <v>46069</v>
      </c>
      <c r="O820" s="386">
        <v>46069</v>
      </c>
      <c r="P820" s="385">
        <f>IFERROR(
    IF(
        OR(ISBLANK(I820), ISBLANK(L820)),
        "",
        MAX(
            1,
            IF(
                NETWORKDAYS(I820, L820, Holiday_Dates) &lt;= 0,
                1,
                NETWORKDAYS(I820, L820, Holiday_Dates) - IF(I820 = L820, 0, 1)
            )
        )
    ),
    ""
)</f>
        <v>8</v>
      </c>
      <c r="Q820" s="385" t="str">
        <f>IF(
    OR(ISBLANK(L820), ISBLANK(M820)),
    "",
    MAX(
        1,
        IF(
            NETWORKDAYS(L820, M820, Holiday_Dates) &lt;= 0,
            1,
            NETWORKDAYS(L820, M820, Holiday_Dates) - IF(L820 = M820, 0, 1)
        )
    )
)</f>
        <v/>
      </c>
      <c r="R820" s="385">
        <f>IFERROR(
    IF(
        OR(ISBLANK(N820), AND(ISBLANK(L820), ISBLANK(M820))),
        "",
        MAX(
            1,
            IF(
                NETWORKDAYS(IF(NOT(ISBLANK(M820)), M820, L820), N820, Holiday_Dates) &lt;= 0,
                1,
                NETWORKDAYS(IF(NOT(ISBLANK(M820)), M820, L820), N820, Holiday_Dates)
                - IF(IF(NOT(ISBLANK(M820)), M820, L820) = N820, 0, 1)
            )
        )
    ),
    ""
)</f>
        <v>1</v>
      </c>
      <c r="S820" s="385">
        <f>IFERROR(
    IF(
        OR(ISBLANK(N820), ISBLANK(O820)),
        "",
        MAX(
            1,
            IF(
                NETWORKDAYS(N820, O820, Holiday_Dates) &lt;= 0,
                1,
                NETWORKDAYS(N820, O820, Holiday_Dates) - IF(N820 = O820, 0, 1)
            )
        )
    ),
    ""
)</f>
        <v>1</v>
      </c>
      <c r="T820" s="385" t="s">
        <v>929</v>
      </c>
      <c r="U820" s="385" t="s">
        <v>672</v>
      </c>
      <c r="V820" s="385" t="s">
        <v>101</v>
      </c>
      <c r="W820" s="385" t="s">
        <v>4710</v>
      </c>
      <c r="X820" s="1"/>
    </row>
    <row r="821" spans="1:24">
      <c r="A821" s="385" t="s">
        <v>49</v>
      </c>
      <c r="B821" s="385" t="s">
        <v>439</v>
      </c>
      <c r="C821" s="385" t="s">
        <v>2537</v>
      </c>
      <c r="D821" s="385" t="s">
        <v>88</v>
      </c>
      <c r="E821" s="385"/>
      <c r="F821" s="385"/>
      <c r="G821" s="385"/>
      <c r="H821" s="385">
        <v>2024</v>
      </c>
      <c r="I821" s="386">
        <v>45428</v>
      </c>
      <c r="J821" s="30"/>
      <c r="K821" s="385"/>
      <c r="L821" s="385"/>
      <c r="M821" s="385"/>
      <c r="N821" s="385"/>
      <c r="O821" s="385"/>
      <c r="P821" s="385" t="str">
        <f>IFERROR(
    IF(
        OR(ISBLANK(I821), ISBLANK(L821)),
        "",
        MAX(
            1,
            IF(
                NETWORKDAYS(I821, L821, Holiday_Dates) &lt;= 0,
                1,
                NETWORKDAYS(I821, L821, Holiday_Dates) - IF(I821 = L821, 0, 1)
            )
        )
    ),
    ""
)</f>
        <v/>
      </c>
      <c r="Q821" s="385" t="str">
        <f>IF(
    OR(ISBLANK(L821), ISBLANK(M821)),
    "",
    MAX(
        1,
        IF(
            NETWORKDAYS(L821, M821, Holiday_Dates) &lt;= 0,
            1,
            NETWORKDAYS(L821, M821, Holiday_Dates) - IF(L821 = M821, 0, 1)
        )
    )
)</f>
        <v/>
      </c>
      <c r="R821" s="385" t="str">
        <f>IFERROR(
    IF(
        OR(ISBLANK(N821), AND(ISBLANK(L821), ISBLANK(M821))),
        "",
        MAX(
            1,
            IF(
                NETWORKDAYS(IF(NOT(ISBLANK(M821)), M821, L821), N821, Holiday_Dates) &lt;= 0,
                1,
                NETWORKDAYS(IF(NOT(ISBLANK(M821)), M821, L821), N821, Holiday_Dates)
                - IF(IF(NOT(ISBLANK(M821)), M821, L821) = N821, 0, 1)
            )
        )
    ),
    ""
)</f>
        <v/>
      </c>
      <c r="S821" s="385" t="str">
        <f>IFERROR(
    IF(
        OR(ISBLANK(N821), ISBLANK(O821)),
        "",
        MAX(
            1,
            IF(
                NETWORKDAYS(N821, O821, Holiday_Dates) &lt;= 0,
                1,
                NETWORKDAYS(N821, O821, Holiday_Dates) - IF(N821 = O821, 0, 1)
            )
        )
    ),
    ""
)</f>
        <v/>
      </c>
      <c r="T821" s="385"/>
      <c r="U821" s="385" t="s">
        <v>672</v>
      </c>
      <c r="V821" s="385"/>
      <c r="W821" s="385" t="s">
        <v>1436</v>
      </c>
      <c r="X821" s="1"/>
    </row>
    <row r="822" spans="1:24">
      <c r="A822" s="385" t="s">
        <v>51</v>
      </c>
      <c r="B822" s="385" t="s">
        <v>312</v>
      </c>
      <c r="C822" s="385" t="s">
        <v>3751</v>
      </c>
      <c r="D822" s="385" t="s">
        <v>88</v>
      </c>
      <c r="E822" s="385" t="s">
        <v>142</v>
      </c>
      <c r="F822" s="385"/>
      <c r="G822" s="385" t="s">
        <v>239</v>
      </c>
      <c r="H822" s="385">
        <v>2026</v>
      </c>
      <c r="I822" s="386">
        <v>46055</v>
      </c>
      <c r="J822" s="30" t="s">
        <v>5018</v>
      </c>
      <c r="K822" s="385" t="s">
        <v>62</v>
      </c>
      <c r="L822" s="386">
        <v>46066</v>
      </c>
      <c r="M822" s="385"/>
      <c r="N822" s="386">
        <v>46069</v>
      </c>
      <c r="O822" s="386">
        <v>46069</v>
      </c>
      <c r="P822" s="385">
        <f>IFERROR(
    IF(
        OR(ISBLANK(I822), ISBLANK(L822)),
        "",
        MAX(
            1,
            IF(
                NETWORKDAYS(I822, L822, Holiday_Dates) &lt;= 0,
                1,
                NETWORKDAYS(I822, L822, Holiday_Dates) - IF(I822 = L822, 0, 1)
            )
        )
    ),
    ""
)</f>
        <v>9</v>
      </c>
      <c r="Q822" s="385" t="str">
        <f>IF(
    OR(ISBLANK(L822), ISBLANK(M822)),
    "",
    MAX(
        1,
        IF(
            NETWORKDAYS(L822, M822, Holiday_Dates) &lt;= 0,
            1,
            NETWORKDAYS(L822, M822, Holiday_Dates) - IF(L822 = M822, 0, 1)
        )
    )
)</f>
        <v/>
      </c>
      <c r="R822" s="385">
        <f>IFERROR(
    IF(
        OR(ISBLANK(N822), AND(ISBLANK(L822), ISBLANK(M822))),
        "",
        MAX(
            1,
            IF(
                NETWORKDAYS(IF(NOT(ISBLANK(M822)), M822, L822), N822, Holiday_Dates) &lt;= 0,
                1,
                NETWORKDAYS(IF(NOT(ISBLANK(M822)), M822, L822), N822, Holiday_Dates)
                - IF(IF(NOT(ISBLANK(M822)), M822, L822) = N822, 0, 1)
            )
        )
    ),
    ""
)</f>
        <v>1</v>
      </c>
      <c r="S822" s="385">
        <f>IFERROR(
    IF(
        OR(ISBLANK(N822), ISBLANK(O822)),
        "",
        MAX(
            1,
            IF(
                NETWORKDAYS(N822, O822, Holiday_Dates) &lt;= 0,
                1,
                NETWORKDAYS(N822, O822, Holiday_Dates) - IF(N822 = O822, 0, 1)
            )
        )
    ),
    ""
)</f>
        <v>1</v>
      </c>
      <c r="T822" s="385" t="s">
        <v>929</v>
      </c>
      <c r="U822" s="385" t="s">
        <v>672</v>
      </c>
      <c r="V822" s="385" t="s">
        <v>101</v>
      </c>
      <c r="W822" s="385" t="s">
        <v>4710</v>
      </c>
      <c r="X822" s="1"/>
    </row>
    <row r="823" spans="1:24">
      <c r="A823" s="385" t="s">
        <v>49</v>
      </c>
      <c r="B823" s="385" t="s">
        <v>439</v>
      </c>
      <c r="C823" s="385" t="s">
        <v>2539</v>
      </c>
      <c r="D823" s="385" t="s">
        <v>88</v>
      </c>
      <c r="E823" s="385"/>
      <c r="F823" s="385"/>
      <c r="G823" s="385"/>
      <c r="H823" s="385">
        <v>2024</v>
      </c>
      <c r="I823" s="386">
        <v>45483</v>
      </c>
      <c r="J823" s="30"/>
      <c r="K823" s="385"/>
      <c r="L823" s="385"/>
      <c r="M823" s="385"/>
      <c r="N823" s="385"/>
      <c r="O823" s="385"/>
      <c r="P823" s="385" t="str">
        <f>IFERROR(
    IF(
        OR(ISBLANK(I823), ISBLANK(L823)),
        "",
        MAX(
            1,
            IF(
                NETWORKDAYS(I823, L823, Holiday_Dates) &lt;= 0,
                1,
                NETWORKDAYS(I823, L823, Holiday_Dates) - IF(I823 = L823, 0, 1)
            )
        )
    ),
    ""
)</f>
        <v/>
      </c>
      <c r="Q823" s="385" t="str">
        <f>IF(
    OR(ISBLANK(L823), ISBLANK(M823)),
    "",
    MAX(
        1,
        IF(
            NETWORKDAYS(L823, M823, Holiday_Dates) &lt;= 0,
            1,
            NETWORKDAYS(L823, M823, Holiday_Dates) - IF(L823 = M823, 0, 1)
        )
    )
)</f>
        <v/>
      </c>
      <c r="R823" s="385" t="str">
        <f>IFERROR(
    IF(
        OR(ISBLANK(N823), AND(ISBLANK(L823), ISBLANK(M823))),
        "",
        MAX(
            1,
            IF(
                NETWORKDAYS(IF(NOT(ISBLANK(M823)), M823, L823), N823, Holiday_Dates) &lt;= 0,
                1,
                NETWORKDAYS(IF(NOT(ISBLANK(M823)), M823, L823), N823, Holiday_Dates)
                - IF(IF(NOT(ISBLANK(M823)), M823, L823) = N823, 0, 1)
            )
        )
    ),
    ""
)</f>
        <v/>
      </c>
      <c r="S823" s="385" t="str">
        <f>IFERROR(
    IF(
        OR(ISBLANK(N823), ISBLANK(O823)),
        "",
        MAX(
            1,
            IF(
                NETWORKDAYS(N823, O823, Holiday_Dates) &lt;= 0,
                1,
                NETWORKDAYS(N823, O823, Holiday_Dates) - IF(N823 = O823, 0, 1)
            )
        )
    ),
    ""
)</f>
        <v/>
      </c>
      <c r="T823" s="385"/>
      <c r="U823" s="385" t="s">
        <v>4</v>
      </c>
      <c r="V823" s="385" t="s">
        <v>101</v>
      </c>
      <c r="W823" s="385" t="s">
        <v>1436</v>
      </c>
      <c r="X823" s="1"/>
    </row>
    <row r="824" spans="1:24">
      <c r="A824" s="385" t="s">
        <v>52</v>
      </c>
      <c r="B824" s="385" t="s">
        <v>460</v>
      </c>
      <c r="C824" s="385" t="s">
        <v>3963</v>
      </c>
      <c r="D824" s="385" t="s">
        <v>88</v>
      </c>
      <c r="E824" s="385" t="s">
        <v>39</v>
      </c>
      <c r="F824" s="385"/>
      <c r="G824" s="385" t="s">
        <v>28</v>
      </c>
      <c r="H824" s="385">
        <v>2026</v>
      </c>
      <c r="I824" s="588">
        <v>46071</v>
      </c>
      <c r="J824" s="30" t="s">
        <v>5019</v>
      </c>
      <c r="K824" s="385" t="s">
        <v>62</v>
      </c>
      <c r="L824" s="588">
        <v>46071</v>
      </c>
      <c r="M824" s="385"/>
      <c r="N824" s="588">
        <v>46072</v>
      </c>
      <c r="O824" s="588">
        <v>46072</v>
      </c>
      <c r="P824" s="385">
        <f>IFERROR(
    IF(
        OR(ISBLANK(I824), ISBLANK(L824)),
        "",
        MAX(
            1,
            IF(
                NETWORKDAYS(I824, L824, Holiday_Dates) &lt;= 0,
                1,
                NETWORKDAYS(I824, L824, Holiday_Dates) - IF(I824 = L824, 0, 1)
            )
        )
    ),
    ""
)</f>
        <v>1</v>
      </c>
      <c r="Q824" s="385" t="str">
        <f>IF(
    OR(ISBLANK(L824), ISBLANK(M824)),
    "",
    MAX(
        1,
        IF(
            NETWORKDAYS(L824, M824, Holiday_Dates) &lt;= 0,
            1,
            NETWORKDAYS(L824, M824, Holiday_Dates) - IF(L824 = M824, 0, 1)
        )
    )
)</f>
        <v/>
      </c>
      <c r="R824" s="385">
        <f>IFERROR(
    IF(
        OR(ISBLANK(N824), AND(ISBLANK(L824), ISBLANK(M824))),
        "",
        MAX(
            1,
            IF(
                NETWORKDAYS(IF(NOT(ISBLANK(M824)), M824, L824), N824, Holiday_Dates) &lt;= 0,
                1,
                NETWORKDAYS(IF(NOT(ISBLANK(M824)), M824, L824), N824, Holiday_Dates)
                - IF(IF(NOT(ISBLANK(M824)), M824, L824) = N824, 0, 1)
            )
        )
    ),
    ""
)</f>
        <v>1</v>
      </c>
      <c r="S824" s="385">
        <f>IFERROR(
    IF(
        OR(ISBLANK(N824), ISBLANK(O824)),
        "",
        MAX(
            1,
            IF(
                NETWORKDAYS(N824, O824, Holiday_Dates) &lt;= 0,
                1,
                NETWORKDAYS(N824, O824, Holiday_Dates) - IF(N824 = O824, 0, 1)
            )
        )
    ),
    ""
)</f>
        <v>1</v>
      </c>
      <c r="T824" s="385" t="s">
        <v>929</v>
      </c>
      <c r="U824" s="385" t="s">
        <v>4708</v>
      </c>
      <c r="V824" s="385" t="s">
        <v>4709</v>
      </c>
      <c r="W824" s="385" t="s">
        <v>4710</v>
      </c>
      <c r="X824" s="1"/>
    </row>
    <row r="825" spans="1:24">
      <c r="A825" s="385" t="s">
        <v>52</v>
      </c>
      <c r="B825" s="385" t="s">
        <v>460</v>
      </c>
      <c r="C825" s="385" t="s">
        <v>2347</v>
      </c>
      <c r="D825" s="385" t="s">
        <v>88</v>
      </c>
      <c r="E825" s="385" t="s">
        <v>39</v>
      </c>
      <c r="F825" s="385"/>
      <c r="G825" s="385" t="s">
        <v>28</v>
      </c>
      <c r="H825" s="385">
        <v>2026</v>
      </c>
      <c r="I825" s="588">
        <v>46071</v>
      </c>
      <c r="J825" s="30" t="s">
        <v>5020</v>
      </c>
      <c r="K825" s="385" t="s">
        <v>62</v>
      </c>
      <c r="L825" s="588">
        <v>46071</v>
      </c>
      <c r="M825" s="385"/>
      <c r="N825" s="588">
        <v>46072</v>
      </c>
      <c r="O825" s="588">
        <v>46072</v>
      </c>
      <c r="P825" s="385">
        <f>IFERROR(
    IF(
        OR(ISBLANK(I825), ISBLANK(L825)),
        "",
        MAX(
            1,
            IF(
                NETWORKDAYS(I825, L825, Holiday_Dates) &lt;= 0,
                1,
                NETWORKDAYS(I825, L825, Holiday_Dates) - IF(I825 = L825, 0, 1)
            )
        )
    ),
    ""
)</f>
        <v>1</v>
      </c>
      <c r="Q825" s="385" t="str">
        <f>IF(
    OR(ISBLANK(L825), ISBLANK(M825)),
    "",
    MAX(
        1,
        IF(
            NETWORKDAYS(L825, M825, Holiday_Dates) &lt;= 0,
            1,
            NETWORKDAYS(L825, M825, Holiday_Dates) - IF(L825 = M825, 0, 1)
        )
    )
)</f>
        <v/>
      </c>
      <c r="R825" s="385">
        <f>IFERROR(
    IF(
        OR(ISBLANK(N825), AND(ISBLANK(L825), ISBLANK(M825))),
        "",
        MAX(
            1,
            IF(
                NETWORKDAYS(IF(NOT(ISBLANK(M825)), M825, L825), N825, Holiday_Dates) &lt;= 0,
                1,
                NETWORKDAYS(IF(NOT(ISBLANK(M825)), M825, L825), N825, Holiday_Dates)
                - IF(IF(NOT(ISBLANK(M825)), M825, L825) = N825, 0, 1)
            )
        )
    ),
    ""
)</f>
        <v>1</v>
      </c>
      <c r="S825" s="385">
        <f>IFERROR(
    IF(
        OR(ISBLANK(N825), ISBLANK(O825)),
        "",
        MAX(
            1,
            IF(
                NETWORKDAYS(N825, O825, Holiday_Dates) &lt;= 0,
                1,
                NETWORKDAYS(N825, O825, Holiday_Dates) - IF(N825 = O825, 0, 1)
            )
        )
    ),
    ""
)</f>
        <v>1</v>
      </c>
      <c r="T825" s="385" t="s">
        <v>929</v>
      </c>
      <c r="U825" s="385" t="s">
        <v>672</v>
      </c>
      <c r="V825" s="385" t="s">
        <v>101</v>
      </c>
      <c r="W825" s="385" t="s">
        <v>4710</v>
      </c>
      <c r="X825" s="1"/>
    </row>
    <row r="826" spans="1:24">
      <c r="A826" s="385" t="s">
        <v>52</v>
      </c>
      <c r="B826" s="385" t="s">
        <v>463</v>
      </c>
      <c r="C826" s="385" t="s">
        <v>427</v>
      </c>
      <c r="D826" s="385" t="s">
        <v>89</v>
      </c>
      <c r="E826" s="385" t="s">
        <v>37</v>
      </c>
      <c r="F826" s="385"/>
      <c r="G826" s="385" t="s">
        <v>28</v>
      </c>
      <c r="H826" s="385">
        <v>2026</v>
      </c>
      <c r="I826" s="588">
        <v>46065</v>
      </c>
      <c r="J826" s="30" t="s">
        <v>5021</v>
      </c>
      <c r="K826" s="385" t="s">
        <v>62</v>
      </c>
      <c r="L826" s="588">
        <v>46065</v>
      </c>
      <c r="M826" s="385"/>
      <c r="N826" s="588">
        <v>46069</v>
      </c>
      <c r="O826" s="386">
        <v>46069</v>
      </c>
      <c r="P826" s="385">
        <f>IFERROR(
    IF(
        OR(ISBLANK(I826), ISBLANK(L826)),
        "",
        MAX(
            1,
            IF(
                NETWORKDAYS(I826, L826, Holiday_Dates) &lt;= 0,
                1,
                NETWORKDAYS(I826, L826, Holiday_Dates) - IF(I826 = L826, 0, 1)
            )
        )
    ),
    ""
)</f>
        <v>1</v>
      </c>
      <c r="Q826" s="385" t="str">
        <f>IF(
    OR(ISBLANK(L826), ISBLANK(M826)),
    "",
    MAX(
        1,
        IF(
            NETWORKDAYS(L826, M826, Holiday_Dates) &lt;= 0,
            1,
            NETWORKDAYS(L826, M826, Holiday_Dates) - IF(L826 = M826, 0, 1)
        )
    )
)</f>
        <v/>
      </c>
      <c r="R826" s="385">
        <f>IFERROR(
    IF(
        OR(ISBLANK(N826), AND(ISBLANK(L826), ISBLANK(M826))),
        "",
        MAX(
            1,
            IF(
                NETWORKDAYS(IF(NOT(ISBLANK(M826)), M826, L826), N826, Holiday_Dates) &lt;= 0,
                1,
                NETWORKDAYS(IF(NOT(ISBLANK(M826)), M826, L826), N826, Holiday_Dates)
                - IF(IF(NOT(ISBLANK(M826)), M826, L826) = N826, 0, 1)
            )
        )
    ),
    ""
)</f>
        <v>2</v>
      </c>
      <c r="S826" s="385">
        <f>IFERROR(
    IF(
        OR(ISBLANK(N826), ISBLANK(O826)),
        "",
        MAX(
            1,
            IF(
                NETWORKDAYS(N826, O826, Holiday_Dates) &lt;= 0,
                1,
                NETWORKDAYS(N826, O826, Holiday_Dates) - IF(N826 = O826, 0, 1)
            )
        )
    ),
    ""
)</f>
        <v>1</v>
      </c>
      <c r="T826" s="385" t="s">
        <v>929</v>
      </c>
      <c r="U826" s="385" t="s">
        <v>4708</v>
      </c>
      <c r="V826" s="385" t="s">
        <v>4709</v>
      </c>
      <c r="W826" s="385" t="s">
        <v>4710</v>
      </c>
      <c r="X826" s="1"/>
    </row>
    <row r="827" spans="1:24">
      <c r="A827" s="385" t="s">
        <v>52</v>
      </c>
      <c r="B827" s="385" t="s">
        <v>463</v>
      </c>
      <c r="C827" s="385" t="s">
        <v>4051</v>
      </c>
      <c r="D827" s="385" t="s">
        <v>89</v>
      </c>
      <c r="E827" s="385" t="s">
        <v>37</v>
      </c>
      <c r="F827" s="385"/>
      <c r="G827" s="385" t="s">
        <v>28</v>
      </c>
      <c r="H827" s="385">
        <v>2026</v>
      </c>
      <c r="I827" s="588">
        <v>46063</v>
      </c>
      <c r="J827" s="30" t="s">
        <v>5022</v>
      </c>
      <c r="K827" s="385" t="s">
        <v>62</v>
      </c>
      <c r="L827" s="588">
        <v>46064</v>
      </c>
      <c r="M827" s="385"/>
      <c r="N827" s="588">
        <v>46069</v>
      </c>
      <c r="O827" s="386">
        <v>46069</v>
      </c>
      <c r="P827" s="385">
        <f>IFERROR(
    IF(
        OR(ISBLANK(I827), ISBLANK(L827)),
        "",
        MAX(
            1,
            IF(
                NETWORKDAYS(I827, L827, Holiday_Dates) &lt;= 0,
                1,
                NETWORKDAYS(I827, L827, Holiday_Dates) - IF(I827 = L827, 0, 1)
            )
        )
    ),
    ""
)</f>
        <v>1</v>
      </c>
      <c r="Q827" s="385" t="str">
        <f>IF(
    OR(ISBLANK(L827), ISBLANK(M827)),
    "",
    MAX(
        1,
        IF(
            NETWORKDAYS(L827, M827, Holiday_Dates) &lt;= 0,
            1,
            NETWORKDAYS(L827, M827, Holiday_Dates) - IF(L827 = M827, 0, 1)
        )
    )
)</f>
        <v/>
      </c>
      <c r="R827" s="385">
        <f>IFERROR(
    IF(
        OR(ISBLANK(N827), AND(ISBLANK(L827), ISBLANK(M827))),
        "",
        MAX(
            1,
            IF(
                NETWORKDAYS(IF(NOT(ISBLANK(M827)), M827, L827), N827, Holiday_Dates) &lt;= 0,
                1,
                NETWORKDAYS(IF(NOT(ISBLANK(M827)), M827, L827), N827, Holiday_Dates)
                - IF(IF(NOT(ISBLANK(M827)), M827, L827) = N827, 0, 1)
            )
        )
    ),
    ""
)</f>
        <v>3</v>
      </c>
      <c r="S827" s="385">
        <f>IFERROR(
    IF(
        OR(ISBLANK(N827), ISBLANK(O827)),
        "",
        MAX(
            1,
            IF(
                NETWORKDAYS(N827, O827, Holiday_Dates) &lt;= 0,
                1,
                NETWORKDAYS(N827, O827, Holiday_Dates) - IF(N827 = O827, 0, 1)
            )
        )
    ),
    ""
)</f>
        <v>1</v>
      </c>
      <c r="T827" s="385" t="s">
        <v>929</v>
      </c>
      <c r="U827" s="385" t="s">
        <v>4</v>
      </c>
      <c r="V827" s="385" t="s">
        <v>685</v>
      </c>
      <c r="W827" s="385" t="s">
        <v>4710</v>
      </c>
      <c r="X827" s="1"/>
    </row>
    <row r="828" spans="1:24">
      <c r="A828" s="385" t="s">
        <v>52</v>
      </c>
      <c r="B828" s="385" t="s">
        <v>463</v>
      </c>
      <c r="C828" s="385" t="s">
        <v>1057</v>
      </c>
      <c r="D828" s="385" t="s">
        <v>89</v>
      </c>
      <c r="E828" s="385" t="s">
        <v>37</v>
      </c>
      <c r="F828" s="385"/>
      <c r="G828" s="385" t="s">
        <v>28</v>
      </c>
      <c r="H828" s="385">
        <v>2026</v>
      </c>
      <c r="I828" s="386">
        <v>46042</v>
      </c>
      <c r="J828" s="529" t="s">
        <v>5023</v>
      </c>
      <c r="K828" s="385" t="s">
        <v>62</v>
      </c>
      <c r="L828" s="386">
        <v>46044</v>
      </c>
      <c r="M828" s="385"/>
      <c r="N828" s="386">
        <v>46055</v>
      </c>
      <c r="O828" s="386">
        <v>46055</v>
      </c>
      <c r="P828" s="385">
        <f>IFERROR(
    IF(
        OR(ISBLANK(I828), ISBLANK(L828)),
        "",
        MAX(
            1,
            IF(
                NETWORKDAYS(I828, L828, Holiday_Dates) &lt;= 0,
                1,
                NETWORKDAYS(I828, L828, Holiday_Dates) - IF(I828 = L828, 0, 1)
            )
        )
    ),
    ""
)</f>
        <v>2</v>
      </c>
      <c r="Q828" s="385" t="str">
        <f>IF(
    OR(ISBLANK(L828), ISBLANK(M828)),
    "",
    MAX(
        1,
        IF(
            NETWORKDAYS(L828, M828, Holiday_Dates) &lt;= 0,
            1,
            NETWORKDAYS(L828, M828, Holiday_Dates) - IF(L828 = M828, 0, 1)
        )
    )
)</f>
        <v/>
      </c>
      <c r="R828" s="385">
        <f>IFERROR(
    IF(
        OR(ISBLANK(N828), AND(ISBLANK(L828), ISBLANK(M828))),
        "",
        MAX(
            1,
            IF(
                NETWORKDAYS(IF(NOT(ISBLANK(M828)), M828, L828), N828, Holiday_Dates) &lt;= 0,
                1,
                NETWORKDAYS(IF(NOT(ISBLANK(M828)), M828, L828), N828, Holiday_Dates)
                - IF(IF(NOT(ISBLANK(M828)), M828, L828) = N828, 0, 1)
            )
        )
    ),
    ""
)</f>
        <v>7</v>
      </c>
      <c r="S828" s="385">
        <f>IFERROR(
    IF(
        OR(ISBLANK(N828), ISBLANK(O828)),
        "",
        MAX(
            1,
            IF(
                NETWORKDAYS(N828, O828, Holiday_Dates) &lt;= 0,
                1,
                NETWORKDAYS(N828, O828, Holiday_Dates) - IF(N828 = O828, 0, 1)
            )
        )
    ),
    ""
)</f>
        <v>1</v>
      </c>
      <c r="T828" s="385" t="s">
        <v>929</v>
      </c>
      <c r="U828" s="385" t="s">
        <v>672</v>
      </c>
      <c r="V828" s="385" t="s">
        <v>685</v>
      </c>
      <c r="W828" s="385" t="s">
        <v>4710</v>
      </c>
      <c r="X828" s="1"/>
    </row>
    <row r="829" spans="1:24">
      <c r="A829" s="385" t="s">
        <v>52</v>
      </c>
      <c r="B829" s="385" t="s">
        <v>463</v>
      </c>
      <c r="C829" s="385" t="s">
        <v>4054</v>
      </c>
      <c r="D829" s="385" t="s">
        <v>89</v>
      </c>
      <c r="E829" s="385" t="s">
        <v>37</v>
      </c>
      <c r="F829" s="385"/>
      <c r="G829" s="385" t="s">
        <v>28</v>
      </c>
      <c r="H829" s="385">
        <v>2026</v>
      </c>
      <c r="I829" s="386">
        <v>46043</v>
      </c>
      <c r="J829" s="529" t="s">
        <v>5024</v>
      </c>
      <c r="K829" s="385" t="s">
        <v>62</v>
      </c>
      <c r="L829" s="386">
        <v>46044</v>
      </c>
      <c r="M829" s="385"/>
      <c r="N829" s="386">
        <v>46055</v>
      </c>
      <c r="O829" s="386">
        <v>46055</v>
      </c>
      <c r="P829" s="385">
        <f>IFERROR(
    IF(
        OR(ISBLANK(I829), ISBLANK(L829)),
        "",
        MAX(
            1,
            IF(
                NETWORKDAYS(I829, L829, Holiday_Dates) &lt;= 0,
                1,
                NETWORKDAYS(I829, L829, Holiday_Dates) - IF(I829 = L829, 0, 1)
            )
        )
    ),
    ""
)</f>
        <v>1</v>
      </c>
      <c r="Q829" s="385" t="str">
        <f>IF(
    OR(ISBLANK(L829), ISBLANK(M829)),
    "",
    MAX(
        1,
        IF(
            NETWORKDAYS(L829, M829, Holiday_Dates) &lt;= 0,
            1,
            NETWORKDAYS(L829, M829, Holiday_Dates) - IF(L829 = M829, 0, 1)
        )
    )
)</f>
        <v/>
      </c>
      <c r="R829" s="385">
        <f>IFERROR(
    IF(
        OR(ISBLANK(N829), AND(ISBLANK(L829), ISBLANK(M829))),
        "",
        MAX(
            1,
            IF(
                NETWORKDAYS(IF(NOT(ISBLANK(M829)), M829, L829), N829, Holiday_Dates) &lt;= 0,
                1,
                NETWORKDAYS(IF(NOT(ISBLANK(M829)), M829, L829), N829, Holiday_Dates)
                - IF(IF(NOT(ISBLANK(M829)), M829, L829) = N829, 0, 1)
            )
        )
    ),
    ""
)</f>
        <v>7</v>
      </c>
      <c r="S829" s="385">
        <f>IFERROR(
    IF(
        OR(ISBLANK(N829), ISBLANK(O829)),
        "",
        MAX(
            1,
            IF(
                NETWORKDAYS(N829, O829, Holiday_Dates) &lt;= 0,
                1,
                NETWORKDAYS(N829, O829, Holiday_Dates) - IF(N829 = O829, 0, 1)
            )
        )
    ),
    ""
)</f>
        <v>1</v>
      </c>
      <c r="T829" s="385" t="s">
        <v>929</v>
      </c>
      <c r="U829" s="385" t="s">
        <v>672</v>
      </c>
      <c r="V829" s="385" t="s">
        <v>685</v>
      </c>
      <c r="W829" s="385" t="s">
        <v>4710</v>
      </c>
      <c r="X829" s="1"/>
    </row>
    <row r="830" spans="1:24">
      <c r="A830" s="385" t="s">
        <v>52</v>
      </c>
      <c r="B830" s="385" t="s">
        <v>463</v>
      </c>
      <c r="C830" s="385" t="s">
        <v>4055</v>
      </c>
      <c r="D830" s="385" t="s">
        <v>89</v>
      </c>
      <c r="E830" s="385" t="s">
        <v>37</v>
      </c>
      <c r="F830" s="385"/>
      <c r="G830" s="385" t="s">
        <v>28</v>
      </c>
      <c r="H830" s="385">
        <v>2026</v>
      </c>
      <c r="I830" s="588">
        <v>46063</v>
      </c>
      <c r="J830" s="30" t="s">
        <v>5025</v>
      </c>
      <c r="K830" s="385" t="s">
        <v>62</v>
      </c>
      <c r="L830" s="588">
        <v>46064</v>
      </c>
      <c r="M830" s="385"/>
      <c r="N830" s="588">
        <v>46069</v>
      </c>
      <c r="O830" s="386">
        <v>46069</v>
      </c>
      <c r="P830" s="385">
        <f>IFERROR(
    IF(
        OR(ISBLANK(I830), ISBLANK(L830)),
        "",
        MAX(
            1,
            IF(
                NETWORKDAYS(I830, L830, Holiday_Dates) &lt;= 0,
                1,
                NETWORKDAYS(I830, L830, Holiday_Dates) - IF(I830 = L830, 0, 1)
            )
        )
    ),
    ""
)</f>
        <v>1</v>
      </c>
      <c r="Q830" s="385" t="str">
        <f>IF(
    OR(ISBLANK(L830), ISBLANK(M830)),
    "",
    MAX(
        1,
        IF(
            NETWORKDAYS(L830, M830, Holiday_Dates) &lt;= 0,
            1,
            NETWORKDAYS(L830, M830, Holiday_Dates) - IF(L830 = M830, 0, 1)
        )
    )
)</f>
        <v/>
      </c>
      <c r="R830" s="385">
        <f>IFERROR(
    IF(
        OR(ISBLANK(N830), AND(ISBLANK(L830), ISBLANK(M830))),
        "",
        MAX(
            1,
            IF(
                NETWORKDAYS(IF(NOT(ISBLANK(M830)), M830, L830), N830, Holiday_Dates) &lt;= 0,
                1,
                NETWORKDAYS(IF(NOT(ISBLANK(M830)), M830, L830), N830, Holiday_Dates)
                - IF(IF(NOT(ISBLANK(M830)), M830, L830) = N830, 0, 1)
            )
        )
    ),
    ""
)</f>
        <v>3</v>
      </c>
      <c r="S830" s="385">
        <f>IFERROR(
    IF(
        OR(ISBLANK(N830), ISBLANK(O830)),
        "",
        MAX(
            1,
            IF(
                NETWORKDAYS(N830, O830, Holiday_Dates) &lt;= 0,
                1,
                NETWORKDAYS(N830, O830, Holiday_Dates) - IF(N830 = O830, 0, 1)
            )
        )
    ),
    ""
)</f>
        <v>1</v>
      </c>
      <c r="T830" s="385" t="s">
        <v>929</v>
      </c>
      <c r="U830" s="385" t="s">
        <v>4</v>
      </c>
      <c r="V830" s="385" t="s">
        <v>685</v>
      </c>
      <c r="W830" s="385" t="s">
        <v>4710</v>
      </c>
      <c r="X830" s="1"/>
    </row>
    <row r="831" spans="1:24">
      <c r="A831" s="385" t="s">
        <v>52</v>
      </c>
      <c r="B831" s="385" t="s">
        <v>424</v>
      </c>
      <c r="C831" s="385" t="s">
        <v>4137</v>
      </c>
      <c r="D831" s="385" t="s">
        <v>89</v>
      </c>
      <c r="E831" s="385" t="s">
        <v>37</v>
      </c>
      <c r="F831" s="385"/>
      <c r="G831" s="385" t="s">
        <v>28</v>
      </c>
      <c r="H831" s="385">
        <v>2026</v>
      </c>
      <c r="I831" s="386">
        <v>46044</v>
      </c>
      <c r="J831" s="529" t="s">
        <v>5026</v>
      </c>
      <c r="K831" s="385" t="s">
        <v>62</v>
      </c>
      <c r="L831" s="386">
        <v>46044</v>
      </c>
      <c r="M831" s="385"/>
      <c r="N831" s="386">
        <v>46055</v>
      </c>
      <c r="O831" s="386">
        <v>46055</v>
      </c>
      <c r="P831" s="385">
        <f>IFERROR(
    IF(
        OR(ISBLANK(I831), ISBLANK(L831)),
        "",
        MAX(
            1,
            IF(
                NETWORKDAYS(I831, L831, Holiday_Dates) &lt;= 0,
                1,
                NETWORKDAYS(I831, L831, Holiday_Dates) - IF(I831 = L831, 0, 1)
            )
        )
    ),
    ""
)</f>
        <v>1</v>
      </c>
      <c r="Q831" s="385" t="str">
        <f>IF(
    OR(ISBLANK(L831), ISBLANK(M831)),
    "",
    MAX(
        1,
        IF(
            NETWORKDAYS(L831, M831, Holiday_Dates) &lt;= 0,
            1,
            NETWORKDAYS(L831, M831, Holiday_Dates) - IF(L831 = M831, 0, 1)
        )
    )
)</f>
        <v/>
      </c>
      <c r="R831" s="385">
        <f>IFERROR(
    IF(
        OR(ISBLANK(N831), AND(ISBLANK(L831), ISBLANK(M831))),
        "",
        MAX(
            1,
            IF(
                NETWORKDAYS(IF(NOT(ISBLANK(M831)), M831, L831), N831, Holiday_Dates) &lt;= 0,
                1,
                NETWORKDAYS(IF(NOT(ISBLANK(M831)), M831, L831), N831, Holiday_Dates)
                - IF(IF(NOT(ISBLANK(M831)), M831, L831) = N831, 0, 1)
            )
        )
    ),
    ""
)</f>
        <v>7</v>
      </c>
      <c r="S831" s="385">
        <f>IFERROR(
    IF(
        OR(ISBLANK(N831), ISBLANK(O831)),
        "",
        MAX(
            1,
            IF(
                NETWORKDAYS(N831, O831, Holiday_Dates) &lt;= 0,
                1,
                NETWORKDAYS(N831, O831, Holiday_Dates) - IF(N831 = O831, 0, 1)
            )
        )
    ),
    ""
)</f>
        <v>1</v>
      </c>
      <c r="T831" s="385" t="s">
        <v>929</v>
      </c>
      <c r="U831" s="385" t="s">
        <v>672</v>
      </c>
      <c r="V831" s="385" t="s">
        <v>685</v>
      </c>
      <c r="W831" s="385" t="s">
        <v>4710</v>
      </c>
      <c r="X831" s="1"/>
    </row>
    <row r="832" spans="1:24">
      <c r="A832" s="385" t="s">
        <v>52</v>
      </c>
      <c r="B832" s="385" t="s">
        <v>424</v>
      </c>
      <c r="C832" s="385" t="s">
        <v>4138</v>
      </c>
      <c r="D832" s="385" t="s">
        <v>89</v>
      </c>
      <c r="E832" s="385" t="s">
        <v>37</v>
      </c>
      <c r="F832" s="385"/>
      <c r="G832" s="385" t="s">
        <v>28</v>
      </c>
      <c r="H832" s="385">
        <v>2026</v>
      </c>
      <c r="I832" s="386">
        <v>46044</v>
      </c>
      <c r="J832" s="529" t="s">
        <v>5027</v>
      </c>
      <c r="K832" s="385" t="s">
        <v>62</v>
      </c>
      <c r="L832" s="386">
        <v>46044</v>
      </c>
      <c r="M832" s="385"/>
      <c r="N832" s="386">
        <v>46055</v>
      </c>
      <c r="O832" s="386">
        <v>46055</v>
      </c>
      <c r="P832" s="385">
        <f>IFERROR(
    IF(
        OR(ISBLANK(I832), ISBLANK(L832)),
        "",
        MAX(
            1,
            IF(
                NETWORKDAYS(I832, L832, Holiday_Dates) &lt;= 0,
                1,
                NETWORKDAYS(I832, L832, Holiday_Dates) - IF(I832 = L832, 0, 1)
            )
        )
    ),
    ""
)</f>
        <v>1</v>
      </c>
      <c r="Q832" s="385" t="str">
        <f>IF(
    OR(ISBLANK(L832), ISBLANK(M832)),
    "",
    MAX(
        1,
        IF(
            NETWORKDAYS(L832, M832, Holiday_Dates) &lt;= 0,
            1,
            NETWORKDAYS(L832, M832, Holiday_Dates) - IF(L832 = M832, 0, 1)
        )
    )
)</f>
        <v/>
      </c>
      <c r="R832" s="385">
        <f>IFERROR(
    IF(
        OR(ISBLANK(N832), AND(ISBLANK(L832), ISBLANK(M832))),
        "",
        MAX(
            1,
            IF(
                NETWORKDAYS(IF(NOT(ISBLANK(M832)), M832, L832), N832, Holiday_Dates) &lt;= 0,
                1,
                NETWORKDAYS(IF(NOT(ISBLANK(M832)), M832, L832), N832, Holiday_Dates)
                - IF(IF(NOT(ISBLANK(M832)), M832, L832) = N832, 0, 1)
            )
        )
    ),
    ""
)</f>
        <v>7</v>
      </c>
      <c r="S832" s="385">
        <f>IFERROR(
    IF(
        OR(ISBLANK(N832), ISBLANK(O832)),
        "",
        MAX(
            1,
            IF(
                NETWORKDAYS(N832, O832, Holiday_Dates) &lt;= 0,
                1,
                NETWORKDAYS(N832, O832, Holiday_Dates) - IF(N832 = O832, 0, 1)
            )
        )
    ),
    ""
)</f>
        <v>1</v>
      </c>
      <c r="T832" s="385" t="s">
        <v>929</v>
      </c>
      <c r="U832" s="385" t="s">
        <v>672</v>
      </c>
      <c r="V832" s="385" t="s">
        <v>685</v>
      </c>
      <c r="W832" s="385" t="s">
        <v>4710</v>
      </c>
      <c r="X832" s="1"/>
    </row>
    <row r="833" spans="1:24">
      <c r="A833" s="385" t="s">
        <v>52</v>
      </c>
      <c r="B833" s="385" t="s">
        <v>424</v>
      </c>
      <c r="C833" s="385" t="s">
        <v>4139</v>
      </c>
      <c r="D833" s="385" t="s">
        <v>89</v>
      </c>
      <c r="E833" s="385" t="s">
        <v>37</v>
      </c>
      <c r="F833" s="385"/>
      <c r="G833" s="385" t="s">
        <v>28</v>
      </c>
      <c r="H833" s="385">
        <v>2026</v>
      </c>
      <c r="I833" s="386">
        <v>46042</v>
      </c>
      <c r="J833" s="529" t="s">
        <v>5028</v>
      </c>
      <c r="K833" s="385" t="s">
        <v>62</v>
      </c>
      <c r="L833" s="386">
        <v>46044</v>
      </c>
      <c r="M833" s="385"/>
      <c r="N833" s="386">
        <v>46055</v>
      </c>
      <c r="O833" s="386">
        <v>46055</v>
      </c>
      <c r="P833" s="385">
        <f>IFERROR(
    IF(
        OR(ISBLANK(I833), ISBLANK(L833)),
        "",
        MAX(
            1,
            IF(
                NETWORKDAYS(I833, L833, Holiday_Dates) &lt;= 0,
                1,
                NETWORKDAYS(I833, L833, Holiday_Dates) - IF(I833 = L833, 0, 1)
            )
        )
    ),
    ""
)</f>
        <v>2</v>
      </c>
      <c r="Q833" s="385" t="str">
        <f>IF(
    OR(ISBLANK(L833), ISBLANK(M833)),
    "",
    MAX(
        1,
        IF(
            NETWORKDAYS(L833, M833, Holiday_Dates) &lt;= 0,
            1,
            NETWORKDAYS(L833, M833, Holiday_Dates) - IF(L833 = M833, 0, 1)
        )
    )
)</f>
        <v/>
      </c>
      <c r="R833" s="385">
        <f>IFERROR(
    IF(
        OR(ISBLANK(N833), AND(ISBLANK(L833), ISBLANK(M833))),
        "",
        MAX(
            1,
            IF(
                NETWORKDAYS(IF(NOT(ISBLANK(M833)), M833, L833), N833, Holiday_Dates) &lt;= 0,
                1,
                NETWORKDAYS(IF(NOT(ISBLANK(M833)), M833, L833), N833, Holiday_Dates)
                - IF(IF(NOT(ISBLANK(M833)), M833, L833) = N833, 0, 1)
            )
        )
    ),
    ""
)</f>
        <v>7</v>
      </c>
      <c r="S833" s="385">
        <f>IFERROR(
    IF(
        OR(ISBLANK(N833), ISBLANK(O833)),
        "",
        MAX(
            1,
            IF(
                NETWORKDAYS(N833, O833, Holiday_Dates) &lt;= 0,
                1,
                NETWORKDAYS(N833, O833, Holiday_Dates) - IF(N833 = O833, 0, 1)
            )
        )
    ),
    ""
)</f>
        <v>1</v>
      </c>
      <c r="T833" s="385" t="s">
        <v>929</v>
      </c>
      <c r="U833" s="385" t="s">
        <v>672</v>
      </c>
      <c r="V833" s="385" t="s">
        <v>685</v>
      </c>
      <c r="W833" s="385" t="s">
        <v>4710</v>
      </c>
      <c r="X833" s="1"/>
    </row>
    <row r="834" spans="1:24">
      <c r="A834" s="385" t="s">
        <v>49</v>
      </c>
      <c r="B834" s="385" t="s">
        <v>439</v>
      </c>
      <c r="C834" s="385" t="s">
        <v>2551</v>
      </c>
      <c r="D834" s="385" t="s">
        <v>88</v>
      </c>
      <c r="E834" s="385"/>
      <c r="F834" s="385"/>
      <c r="G834" s="385"/>
      <c r="H834" s="385">
        <v>2024</v>
      </c>
      <c r="I834" s="386">
        <v>45540</v>
      </c>
      <c r="J834" s="30"/>
      <c r="K834" s="385"/>
      <c r="L834" s="385"/>
      <c r="M834" s="385"/>
      <c r="N834" s="385"/>
      <c r="O834" s="385"/>
      <c r="P834" s="385" t="str">
        <f>IFERROR(
    IF(
        OR(ISBLANK(I834), ISBLANK(L834)),
        "",
        MAX(
            1,
            IF(
                NETWORKDAYS(I834, L834, Holiday_Dates) &lt;= 0,
                1,
                NETWORKDAYS(I834, L834, Holiday_Dates) - IF(I834 = L834, 0, 1)
            )
        )
    ),
    ""
)</f>
        <v/>
      </c>
      <c r="Q834" s="385" t="str">
        <f>IF(
    OR(ISBLANK(L834), ISBLANK(M834)),
    "",
    MAX(
        1,
        IF(
            NETWORKDAYS(L834, M834, Holiday_Dates) &lt;= 0,
            1,
            NETWORKDAYS(L834, M834, Holiday_Dates) - IF(L834 = M834, 0, 1)
        )
    )
)</f>
        <v/>
      </c>
      <c r="R834" s="385" t="str">
        <f>IFERROR(
    IF(
        OR(ISBLANK(N834), AND(ISBLANK(L834), ISBLANK(M834))),
        "",
        MAX(
            1,
            IF(
                NETWORKDAYS(IF(NOT(ISBLANK(M834)), M834, L834), N834, Holiday_Dates) &lt;= 0,
                1,
                NETWORKDAYS(IF(NOT(ISBLANK(M834)), M834, L834), N834, Holiday_Dates)
                - IF(IF(NOT(ISBLANK(M834)), M834, L834) = N834, 0, 1)
            )
        )
    ),
    ""
)</f>
        <v/>
      </c>
      <c r="S834" s="385" t="str">
        <f>IFERROR(
    IF(
        OR(ISBLANK(N834), ISBLANK(O834)),
        "",
        MAX(
            1,
            IF(
                NETWORKDAYS(N834, O834, Holiday_Dates) &lt;= 0,
                1,
                NETWORKDAYS(N834, O834, Holiday_Dates) - IF(N834 = O834, 0, 1)
            )
        )
    ),
    ""
)</f>
        <v/>
      </c>
      <c r="T834" s="385"/>
      <c r="U834" s="385" t="s">
        <v>672</v>
      </c>
      <c r="V834" s="385"/>
      <c r="W834" s="385" t="s">
        <v>1436</v>
      </c>
      <c r="X834" s="1"/>
    </row>
    <row r="835" spans="1:24">
      <c r="A835" s="385" t="s">
        <v>49</v>
      </c>
      <c r="B835" s="385" t="s">
        <v>439</v>
      </c>
      <c r="C835" s="385" t="s">
        <v>2553</v>
      </c>
      <c r="D835" s="385" t="s">
        <v>88</v>
      </c>
      <c r="E835" s="385"/>
      <c r="F835" s="385"/>
      <c r="G835" s="385"/>
      <c r="H835" s="385">
        <v>2024</v>
      </c>
      <c r="I835" s="386">
        <v>45518</v>
      </c>
      <c r="J835" s="30"/>
      <c r="K835" s="385"/>
      <c r="L835" s="385"/>
      <c r="M835" s="385"/>
      <c r="N835" s="385"/>
      <c r="O835" s="385"/>
      <c r="P835" s="385" t="str">
        <f>IFERROR(
    IF(
        OR(ISBLANK(I835), ISBLANK(L835)),
        "",
        MAX(
            1,
            IF(
                NETWORKDAYS(I835, L835, Holiday_Dates) &lt;= 0,
                1,
                NETWORKDAYS(I835, L835, Holiday_Dates) - IF(I835 = L835, 0, 1)
            )
        )
    ),
    ""
)</f>
        <v/>
      </c>
      <c r="Q835" s="385" t="str">
        <f>IF(
    OR(ISBLANK(L835), ISBLANK(M835)),
    "",
    MAX(
        1,
        IF(
            NETWORKDAYS(L835, M835, Holiday_Dates) &lt;= 0,
            1,
            NETWORKDAYS(L835, M835, Holiday_Dates) - IF(L835 = M835, 0, 1)
        )
    )
)</f>
        <v/>
      </c>
      <c r="R835" s="385" t="str">
        <f>IFERROR(
    IF(
        OR(ISBLANK(N835), AND(ISBLANK(L835), ISBLANK(M835))),
        "",
        MAX(
            1,
            IF(
                NETWORKDAYS(IF(NOT(ISBLANK(M835)), M835, L835), N835, Holiday_Dates) &lt;= 0,
                1,
                NETWORKDAYS(IF(NOT(ISBLANK(M835)), M835, L835), N835, Holiday_Dates)
                - IF(IF(NOT(ISBLANK(M835)), M835, L835) = N835, 0, 1)
            )
        )
    ),
    ""
)</f>
        <v/>
      </c>
      <c r="S835" s="385" t="str">
        <f>IFERROR(
    IF(
        OR(ISBLANK(N835), ISBLANK(O835)),
        "",
        MAX(
            1,
            IF(
                NETWORKDAYS(N835, O835, Holiday_Dates) &lt;= 0,
                1,
                NETWORKDAYS(N835, O835, Holiday_Dates) - IF(N835 = O835, 0, 1)
            )
        )
    ),
    ""
)</f>
        <v/>
      </c>
      <c r="T835" s="385"/>
      <c r="U835" s="385" t="s">
        <v>672</v>
      </c>
      <c r="V835" s="385"/>
      <c r="W835" s="385" t="s">
        <v>1436</v>
      </c>
      <c r="X835" s="1"/>
    </row>
    <row r="836" spans="1:24">
      <c r="A836" s="385" t="s">
        <v>49</v>
      </c>
      <c r="B836" s="385" t="s">
        <v>439</v>
      </c>
      <c r="C836" s="385" t="s">
        <v>2555</v>
      </c>
      <c r="D836" s="385" t="s">
        <v>88</v>
      </c>
      <c r="E836" s="385"/>
      <c r="F836" s="385"/>
      <c r="G836" s="385"/>
      <c r="H836" s="385">
        <v>2024</v>
      </c>
      <c r="I836" s="386">
        <v>45540</v>
      </c>
      <c r="J836" s="30"/>
      <c r="K836" s="385"/>
      <c r="L836" s="385"/>
      <c r="M836" s="385"/>
      <c r="N836" s="385"/>
      <c r="O836" s="385"/>
      <c r="P836" s="385" t="str">
        <f>IFERROR(
    IF(
        OR(ISBLANK(I836), ISBLANK(L836)),
        "",
        MAX(
            1,
            IF(
                NETWORKDAYS(I836, L836, Holiday_Dates) &lt;= 0,
                1,
                NETWORKDAYS(I836, L836, Holiday_Dates) - IF(I836 = L836, 0, 1)
            )
        )
    ),
    ""
)</f>
        <v/>
      </c>
      <c r="Q836" s="385" t="str">
        <f>IF(
    OR(ISBLANK(L836), ISBLANK(M836)),
    "",
    MAX(
        1,
        IF(
            NETWORKDAYS(L836, M836, Holiday_Dates) &lt;= 0,
            1,
            NETWORKDAYS(L836, M836, Holiday_Dates) - IF(L836 = M836, 0, 1)
        )
    )
)</f>
        <v/>
      </c>
      <c r="R836" s="385" t="str">
        <f>IFERROR(
    IF(
        OR(ISBLANK(N836), AND(ISBLANK(L836), ISBLANK(M836))),
        "",
        MAX(
            1,
            IF(
                NETWORKDAYS(IF(NOT(ISBLANK(M836)), M836, L836), N836, Holiday_Dates) &lt;= 0,
                1,
                NETWORKDAYS(IF(NOT(ISBLANK(M836)), M836, L836), N836, Holiday_Dates)
                - IF(IF(NOT(ISBLANK(M836)), M836, L836) = N836, 0, 1)
            )
        )
    ),
    ""
)</f>
        <v/>
      </c>
      <c r="S836" s="385" t="str">
        <f>IFERROR(
    IF(
        OR(ISBLANK(N836), ISBLANK(O836)),
        "",
        MAX(
            1,
            IF(
                NETWORKDAYS(N836, O836, Holiday_Dates) &lt;= 0,
                1,
                NETWORKDAYS(N836, O836, Holiday_Dates) - IF(N836 = O836, 0, 1)
            )
        )
    ),
    ""
)</f>
        <v/>
      </c>
      <c r="T836" s="385"/>
      <c r="U836" s="385" t="s">
        <v>672</v>
      </c>
      <c r="V836" s="385"/>
      <c r="W836" s="385" t="s">
        <v>1436</v>
      </c>
      <c r="X836" s="1"/>
    </row>
    <row r="837" spans="1:24">
      <c r="A837" s="385" t="s">
        <v>52</v>
      </c>
      <c r="B837" s="385" t="s">
        <v>424</v>
      </c>
      <c r="C837" s="385" t="s">
        <v>1006</v>
      </c>
      <c r="D837" s="385" t="s">
        <v>89</v>
      </c>
      <c r="E837" s="385" t="s">
        <v>37</v>
      </c>
      <c r="F837" s="385"/>
      <c r="G837" s="385" t="s">
        <v>28</v>
      </c>
      <c r="H837" s="385">
        <v>2026</v>
      </c>
      <c r="I837" s="588">
        <v>46065</v>
      </c>
      <c r="J837" s="30" t="s">
        <v>5029</v>
      </c>
      <c r="K837" s="385" t="s">
        <v>62</v>
      </c>
      <c r="L837" s="588">
        <v>46065</v>
      </c>
      <c r="M837" s="385"/>
      <c r="N837" s="588">
        <v>46069</v>
      </c>
      <c r="O837" s="386">
        <v>46069</v>
      </c>
      <c r="P837" s="385">
        <f>IFERROR(
    IF(
        OR(ISBLANK(I837), ISBLANK(L837)),
        "",
        MAX(
            1,
            IF(
                NETWORKDAYS(I837, L837, Holiday_Dates) &lt;= 0,
                1,
                NETWORKDAYS(I837, L837, Holiday_Dates) - IF(I837 = L837, 0, 1)
            )
        )
    ),
    ""
)</f>
        <v>1</v>
      </c>
      <c r="Q837" s="385" t="str">
        <f>IF(
    OR(ISBLANK(L837), ISBLANK(M837)),
    "",
    MAX(
        1,
        IF(
            NETWORKDAYS(L837, M837, Holiday_Dates) &lt;= 0,
            1,
            NETWORKDAYS(L837, M837, Holiday_Dates) - IF(L837 = M837, 0, 1)
        )
    )
)</f>
        <v/>
      </c>
      <c r="R837" s="385">
        <f>IFERROR(
    IF(
        OR(ISBLANK(N837), AND(ISBLANK(L837), ISBLANK(M837))),
        "",
        MAX(
            1,
            IF(
                NETWORKDAYS(IF(NOT(ISBLANK(M837)), M837, L837), N837, Holiday_Dates) &lt;= 0,
                1,
                NETWORKDAYS(IF(NOT(ISBLANK(M837)), M837, L837), N837, Holiday_Dates)
                - IF(IF(NOT(ISBLANK(M837)), M837, L837) = N837, 0, 1)
            )
        )
    ),
    ""
)</f>
        <v>2</v>
      </c>
      <c r="S837" s="385">
        <f>IFERROR(
    IF(
        OR(ISBLANK(N837), ISBLANK(O837)),
        "",
        MAX(
            1,
            IF(
                NETWORKDAYS(N837, O837, Holiday_Dates) &lt;= 0,
                1,
                NETWORKDAYS(N837, O837, Holiday_Dates) - IF(N837 = O837, 0, 1)
            )
        )
    ),
    ""
)</f>
        <v>1</v>
      </c>
      <c r="T837" s="385" t="s">
        <v>929</v>
      </c>
      <c r="U837" s="385" t="s">
        <v>672</v>
      </c>
      <c r="V837" s="385" t="s">
        <v>685</v>
      </c>
      <c r="W837" s="385" t="s">
        <v>4710</v>
      </c>
      <c r="X837" s="1"/>
    </row>
    <row r="838" spans="1:24">
      <c r="A838" s="385" t="s">
        <v>52</v>
      </c>
      <c r="B838" s="385" t="s">
        <v>424</v>
      </c>
      <c r="C838" s="385" t="s">
        <v>4140</v>
      </c>
      <c r="D838" s="385" t="s">
        <v>89</v>
      </c>
      <c r="E838" s="385" t="s">
        <v>37</v>
      </c>
      <c r="F838" s="385"/>
      <c r="G838" s="385" t="s">
        <v>28</v>
      </c>
      <c r="H838" s="385">
        <v>2026</v>
      </c>
      <c r="I838" s="588">
        <v>46064</v>
      </c>
      <c r="J838" s="30" t="s">
        <v>5030</v>
      </c>
      <c r="K838" s="385" t="s">
        <v>62</v>
      </c>
      <c r="L838" s="588">
        <v>46064</v>
      </c>
      <c r="M838" s="385"/>
      <c r="N838" s="588">
        <v>46069</v>
      </c>
      <c r="O838" s="386">
        <v>46069</v>
      </c>
      <c r="P838" s="385">
        <f>IFERROR(
    IF(
        OR(ISBLANK(I838), ISBLANK(L838)),
        "",
        MAX(
            1,
            IF(
                NETWORKDAYS(I838, L838, Holiday_Dates) &lt;= 0,
                1,
                NETWORKDAYS(I838, L838, Holiday_Dates) - IF(I838 = L838, 0, 1)
            )
        )
    ),
    ""
)</f>
        <v>1</v>
      </c>
      <c r="Q838" s="385" t="str">
        <f>IF(
    OR(ISBLANK(L838), ISBLANK(M838)),
    "",
    MAX(
        1,
        IF(
            NETWORKDAYS(L838, M838, Holiday_Dates) &lt;= 0,
            1,
            NETWORKDAYS(L838, M838, Holiday_Dates) - IF(L838 = M838, 0, 1)
        )
    )
)</f>
        <v/>
      </c>
      <c r="R838" s="385">
        <f>IFERROR(
    IF(
        OR(ISBLANK(N838), AND(ISBLANK(L838), ISBLANK(M838))),
        "",
        MAX(
            1,
            IF(
                NETWORKDAYS(IF(NOT(ISBLANK(M838)), M838, L838), N838, Holiday_Dates) &lt;= 0,
                1,
                NETWORKDAYS(IF(NOT(ISBLANK(M838)), M838, L838), N838, Holiday_Dates)
                - IF(IF(NOT(ISBLANK(M838)), M838, L838) = N838, 0, 1)
            )
        )
    ),
    ""
)</f>
        <v>3</v>
      </c>
      <c r="S838" s="385">
        <f>IFERROR(
    IF(
        OR(ISBLANK(N838), ISBLANK(O838)),
        "",
        MAX(
            1,
            IF(
                NETWORKDAYS(N838, O838, Holiday_Dates) &lt;= 0,
                1,
                NETWORKDAYS(N838, O838, Holiday_Dates) - IF(N838 = O838, 0, 1)
            )
        )
    ),
    ""
)</f>
        <v>1</v>
      </c>
      <c r="T838" s="385" t="s">
        <v>929</v>
      </c>
      <c r="U838" s="385" t="s">
        <v>672</v>
      </c>
      <c r="V838" s="385" t="s">
        <v>685</v>
      </c>
      <c r="W838" s="385" t="s">
        <v>4710</v>
      </c>
      <c r="X838" s="1"/>
    </row>
    <row r="839" spans="1:24">
      <c r="A839" s="385" t="s">
        <v>52</v>
      </c>
      <c r="B839" s="385" t="s">
        <v>424</v>
      </c>
      <c r="C839" s="385" t="s">
        <v>950</v>
      </c>
      <c r="D839" s="385" t="s">
        <v>89</v>
      </c>
      <c r="E839" s="385" t="s">
        <v>37</v>
      </c>
      <c r="F839" s="385"/>
      <c r="G839" s="385" t="s">
        <v>28</v>
      </c>
      <c r="H839" s="385">
        <v>2026</v>
      </c>
      <c r="I839" s="588">
        <v>46064</v>
      </c>
      <c r="J839" s="30" t="s">
        <v>5031</v>
      </c>
      <c r="K839" s="385" t="s">
        <v>62</v>
      </c>
      <c r="L839" s="588">
        <v>46064</v>
      </c>
      <c r="M839" s="385"/>
      <c r="N839" s="588">
        <v>46069</v>
      </c>
      <c r="O839" s="386">
        <v>46069</v>
      </c>
      <c r="P839" s="385">
        <f>IFERROR(
    IF(
        OR(ISBLANK(I839), ISBLANK(L839)),
        "",
        MAX(
            1,
            IF(
                NETWORKDAYS(I839, L839, Holiday_Dates) &lt;= 0,
                1,
                NETWORKDAYS(I839, L839, Holiday_Dates) - IF(I839 = L839, 0, 1)
            )
        )
    ),
    ""
)</f>
        <v>1</v>
      </c>
      <c r="Q839" s="385" t="str">
        <f>IF(
    OR(ISBLANK(L839), ISBLANK(M839)),
    "",
    MAX(
        1,
        IF(
            NETWORKDAYS(L839, M839, Holiday_Dates) &lt;= 0,
            1,
            NETWORKDAYS(L839, M839, Holiday_Dates) - IF(L839 = M839, 0, 1)
        )
    )
)</f>
        <v/>
      </c>
      <c r="R839" s="385">
        <f>IFERROR(
    IF(
        OR(ISBLANK(N839), AND(ISBLANK(L839), ISBLANK(M839))),
        "",
        MAX(
            1,
            IF(
                NETWORKDAYS(IF(NOT(ISBLANK(M839)), M839, L839), N839, Holiday_Dates) &lt;= 0,
                1,
                NETWORKDAYS(IF(NOT(ISBLANK(M839)), M839, L839), N839, Holiday_Dates)
                - IF(IF(NOT(ISBLANK(M839)), M839, L839) = N839, 0, 1)
            )
        )
    ),
    ""
)</f>
        <v>3</v>
      </c>
      <c r="S839" s="385">
        <f>IFERROR(
    IF(
        OR(ISBLANK(N839), ISBLANK(O839)),
        "",
        MAX(
            1,
            IF(
                NETWORKDAYS(N839, O839, Holiday_Dates) &lt;= 0,
                1,
                NETWORKDAYS(N839, O839, Holiday_Dates) - IF(N839 = O839, 0, 1)
            )
        )
    ),
    ""
)</f>
        <v>1</v>
      </c>
      <c r="T839" s="385" t="s">
        <v>929</v>
      </c>
      <c r="U839" s="385" t="s">
        <v>672</v>
      </c>
      <c r="V839" s="385" t="s">
        <v>685</v>
      </c>
      <c r="W839" s="385" t="s">
        <v>4710</v>
      </c>
      <c r="X839" s="1"/>
    </row>
    <row r="840" spans="1:24">
      <c r="A840" s="385" t="s">
        <v>52</v>
      </c>
      <c r="B840" s="385" t="s">
        <v>424</v>
      </c>
      <c r="C840" s="385" t="s">
        <v>4147</v>
      </c>
      <c r="D840" s="385" t="s">
        <v>89</v>
      </c>
      <c r="E840" s="385" t="s">
        <v>37</v>
      </c>
      <c r="F840" s="385"/>
      <c r="G840" s="385" t="s">
        <v>28</v>
      </c>
      <c r="H840" s="385">
        <v>2026</v>
      </c>
      <c r="I840" s="588">
        <v>46065</v>
      </c>
      <c r="J840" s="30" t="s">
        <v>5032</v>
      </c>
      <c r="K840" s="385" t="s">
        <v>62</v>
      </c>
      <c r="L840" s="588">
        <v>46065</v>
      </c>
      <c r="M840" s="385"/>
      <c r="N840" s="588">
        <v>46069</v>
      </c>
      <c r="O840" s="386">
        <v>46069</v>
      </c>
      <c r="P840" s="385">
        <f>IFERROR(
    IF(
        OR(ISBLANK(I840), ISBLANK(L840)),
        "",
        MAX(
            1,
            IF(
                NETWORKDAYS(I840, L840, Holiday_Dates) &lt;= 0,
                1,
                NETWORKDAYS(I840, L840, Holiday_Dates) - IF(I840 = L840, 0, 1)
            )
        )
    ),
    ""
)</f>
        <v>1</v>
      </c>
      <c r="Q840" s="385" t="str">
        <f>IF(
    OR(ISBLANK(L840), ISBLANK(M840)),
    "",
    MAX(
        1,
        IF(
            NETWORKDAYS(L840, M840, Holiday_Dates) &lt;= 0,
            1,
            NETWORKDAYS(L840, M840, Holiday_Dates) - IF(L840 = M840, 0, 1)
        )
    )
)</f>
        <v/>
      </c>
      <c r="R840" s="385">
        <f>IFERROR(
    IF(
        OR(ISBLANK(N840), AND(ISBLANK(L840), ISBLANK(M840))),
        "",
        MAX(
            1,
            IF(
                NETWORKDAYS(IF(NOT(ISBLANK(M840)), M840, L840), N840, Holiday_Dates) &lt;= 0,
                1,
                NETWORKDAYS(IF(NOT(ISBLANK(M840)), M840, L840), N840, Holiday_Dates)
                - IF(IF(NOT(ISBLANK(M840)), M840, L840) = N840, 0, 1)
            )
        )
    ),
    ""
)</f>
        <v>2</v>
      </c>
      <c r="S840" s="385">
        <f>IFERROR(
    IF(
        OR(ISBLANK(N840), ISBLANK(O840)),
        "",
        MAX(
            1,
            IF(
                NETWORKDAYS(N840, O840, Holiday_Dates) &lt;= 0,
                1,
                NETWORKDAYS(N840, O840, Holiday_Dates) - IF(N840 = O840, 0, 1)
            )
        )
    ),
    ""
)</f>
        <v>1</v>
      </c>
      <c r="T840" s="385" t="s">
        <v>929</v>
      </c>
      <c r="U840" s="385" t="s">
        <v>672</v>
      </c>
      <c r="V840" s="385" t="s">
        <v>685</v>
      </c>
      <c r="W840" s="385" t="s">
        <v>4710</v>
      </c>
      <c r="X840" s="1"/>
    </row>
    <row r="841" spans="1:24">
      <c r="A841" s="385" t="s">
        <v>52</v>
      </c>
      <c r="B841" s="385" t="s">
        <v>454</v>
      </c>
      <c r="C841" s="385" t="s">
        <v>3453</v>
      </c>
      <c r="D841" s="385" t="s">
        <v>89</v>
      </c>
      <c r="E841" s="385" t="s">
        <v>37</v>
      </c>
      <c r="F841" s="385"/>
      <c r="G841" s="385" t="s">
        <v>28</v>
      </c>
      <c r="H841" s="385">
        <v>2026</v>
      </c>
      <c r="I841" s="386">
        <v>46051</v>
      </c>
      <c r="J841" s="529" t="s">
        <v>5033</v>
      </c>
      <c r="K841" s="385" t="s">
        <v>62</v>
      </c>
      <c r="L841" s="386">
        <v>46059</v>
      </c>
      <c r="M841" s="385"/>
      <c r="N841" s="386">
        <v>46062</v>
      </c>
      <c r="O841" s="386">
        <v>46062</v>
      </c>
      <c r="P841" s="385">
        <f>IFERROR(
    IF(
        OR(ISBLANK(I841), ISBLANK(L841)),
        "",
        MAX(
            1,
            IF(
                NETWORKDAYS(I841, L841, Holiday_Dates) &lt;= 0,
                1,
                NETWORKDAYS(I841, L841, Holiday_Dates) - IF(I841 = L841, 0, 1)
            )
        )
    ),
    ""
)</f>
        <v>6</v>
      </c>
      <c r="Q841" s="385" t="str">
        <f>IF(
    OR(ISBLANK(L841), ISBLANK(M841)),
    "",
    MAX(
        1,
        IF(
            NETWORKDAYS(L841, M841, Holiday_Dates) &lt;= 0,
            1,
            NETWORKDAYS(L841, M841, Holiday_Dates) - IF(L841 = M841, 0, 1)
        )
    )
)</f>
        <v/>
      </c>
      <c r="R841" s="385">
        <f>IFERROR(
    IF(
        OR(ISBLANK(N841), AND(ISBLANK(L841), ISBLANK(M841))),
        "",
        MAX(
            1,
            IF(
                NETWORKDAYS(IF(NOT(ISBLANK(M841)), M841, L841), N841, Holiday_Dates) &lt;= 0,
                1,
                NETWORKDAYS(IF(NOT(ISBLANK(M841)), M841, L841), N841, Holiday_Dates)
                - IF(IF(NOT(ISBLANK(M841)), M841, L841) = N841, 0, 1)
            )
        )
    ),
    ""
)</f>
        <v>1</v>
      </c>
      <c r="S841" s="385">
        <f>IFERROR(
    IF(
        OR(ISBLANK(N841), ISBLANK(O841)),
        "",
        MAX(
            1,
            IF(
                NETWORKDAYS(N841, O841, Holiday_Dates) &lt;= 0,
                1,
                NETWORKDAYS(N841, O841, Holiday_Dates) - IF(N841 = O841, 0, 1)
            )
        )
    ),
    ""
)</f>
        <v>1</v>
      </c>
      <c r="T841" s="385" t="s">
        <v>929</v>
      </c>
      <c r="U841" s="385" t="s">
        <v>672</v>
      </c>
      <c r="V841" s="385" t="s">
        <v>685</v>
      </c>
      <c r="W841" s="385" t="s">
        <v>4710</v>
      </c>
      <c r="X841" s="1"/>
    </row>
    <row r="842" spans="1:24">
      <c r="A842" s="385" t="s">
        <v>52</v>
      </c>
      <c r="B842" s="385" t="s">
        <v>454</v>
      </c>
      <c r="C842" s="385" t="s">
        <v>1036</v>
      </c>
      <c r="D842" s="385" t="s">
        <v>89</v>
      </c>
      <c r="E842" s="385" t="s">
        <v>37</v>
      </c>
      <c r="F842" s="385"/>
      <c r="G842" s="385" t="s">
        <v>28</v>
      </c>
      <c r="H842" s="385">
        <v>2026</v>
      </c>
      <c r="I842" s="386">
        <v>46049</v>
      </c>
      <c r="J842" s="529" t="s">
        <v>5034</v>
      </c>
      <c r="K842" s="385" t="s">
        <v>62</v>
      </c>
      <c r="L842" s="386">
        <v>46052</v>
      </c>
      <c r="M842" s="385"/>
      <c r="N842" s="386">
        <v>46055</v>
      </c>
      <c r="O842" s="386">
        <v>46055</v>
      </c>
      <c r="P842" s="385">
        <f>IFERROR(
    IF(
        OR(ISBLANK(I842), ISBLANK(L842)),
        "",
        MAX(
            1,
            IF(
                NETWORKDAYS(I842, L842, Holiday_Dates) &lt;= 0,
                1,
                NETWORKDAYS(I842, L842, Holiday_Dates) - IF(I842 = L842, 0, 1)
            )
        )
    ),
    ""
)</f>
        <v>3</v>
      </c>
      <c r="Q842" s="385" t="str">
        <f>IF(
    OR(ISBLANK(L842), ISBLANK(M842)),
    "",
    MAX(
        1,
        IF(
            NETWORKDAYS(L842, M842, Holiday_Dates) &lt;= 0,
            1,
            NETWORKDAYS(L842, M842, Holiday_Dates) - IF(L842 = M842, 0, 1)
        )
    )
)</f>
        <v/>
      </c>
      <c r="R842" s="385">
        <f>IFERROR(
    IF(
        OR(ISBLANK(N842), AND(ISBLANK(L842), ISBLANK(M842))),
        "",
        MAX(
            1,
            IF(
                NETWORKDAYS(IF(NOT(ISBLANK(M842)), M842, L842), N842, Holiday_Dates) &lt;= 0,
                1,
                NETWORKDAYS(IF(NOT(ISBLANK(M842)), M842, L842), N842, Holiday_Dates)
                - IF(IF(NOT(ISBLANK(M842)), M842, L842) = N842, 0, 1)
            )
        )
    ),
    ""
)</f>
        <v>1</v>
      </c>
      <c r="S842" s="385">
        <f>IFERROR(
    IF(
        OR(ISBLANK(N842), ISBLANK(O842)),
        "",
        MAX(
            1,
            IF(
                NETWORKDAYS(N842, O842, Holiday_Dates) &lt;= 0,
                1,
                NETWORKDAYS(N842, O842, Holiday_Dates) - IF(N842 = O842, 0, 1)
            )
        )
    ),
    ""
)</f>
        <v>1</v>
      </c>
      <c r="T842" s="385" t="s">
        <v>929</v>
      </c>
      <c r="U842" s="385" t="s">
        <v>672</v>
      </c>
      <c r="V842" s="385" t="s">
        <v>685</v>
      </c>
      <c r="W842" s="385" t="s">
        <v>4710</v>
      </c>
      <c r="X842" s="1"/>
    </row>
    <row r="843" spans="1:24">
      <c r="A843" s="385" t="s">
        <v>52</v>
      </c>
      <c r="B843" s="385" t="s">
        <v>454</v>
      </c>
      <c r="C843" s="385" t="s">
        <v>4172</v>
      </c>
      <c r="D843" s="385" t="s">
        <v>89</v>
      </c>
      <c r="E843" s="385" t="s">
        <v>37</v>
      </c>
      <c r="F843" s="385"/>
      <c r="G843" s="385" t="s">
        <v>28</v>
      </c>
      <c r="H843" s="385">
        <v>2026</v>
      </c>
      <c r="I843" s="386">
        <v>46049</v>
      </c>
      <c r="J843" s="529" t="s">
        <v>5035</v>
      </c>
      <c r="K843" s="385" t="s">
        <v>62</v>
      </c>
      <c r="L843" s="386">
        <v>46052</v>
      </c>
      <c r="M843" s="1"/>
      <c r="N843" s="386">
        <v>46055</v>
      </c>
      <c r="O843" s="386">
        <v>46055</v>
      </c>
      <c r="P843" s="1"/>
      <c r="Q843" s="1"/>
      <c r="R843" s="1"/>
      <c r="S843" s="385">
        <f>IFERROR(
    IF(
        OR(ISBLANK(N843), ISBLANK(O843)),
        "",
        MAX(
            1,
            IF(
                NETWORKDAYS(N843, O843, Holiday_Dates) &lt;= 0,
                1,
                NETWORKDAYS(N843, O843, Holiday_Dates) - IF(N843 = O843, 0, 1)
            )
        )
    ),
    ""
)</f>
        <v>1</v>
      </c>
      <c r="T843" s="385" t="s">
        <v>929</v>
      </c>
      <c r="U843" s="385" t="s">
        <v>672</v>
      </c>
      <c r="V843" s="385" t="s">
        <v>685</v>
      </c>
      <c r="W843" s="385" t="s">
        <v>4710</v>
      </c>
      <c r="X843" s="1"/>
    </row>
    <row r="844" spans="1:24">
      <c r="A844" s="385" t="s">
        <v>52</v>
      </c>
      <c r="B844" s="385" t="s">
        <v>4231</v>
      </c>
      <c r="C844" s="385" t="s">
        <v>4236</v>
      </c>
      <c r="D844" s="385" t="s">
        <v>88</v>
      </c>
      <c r="E844" s="385" t="s">
        <v>37</v>
      </c>
      <c r="F844" s="385"/>
      <c r="G844" s="385" t="s">
        <v>28</v>
      </c>
      <c r="H844" s="385">
        <v>2026</v>
      </c>
      <c r="I844" s="386">
        <v>46050</v>
      </c>
      <c r="J844" s="529" t="s">
        <v>5036</v>
      </c>
      <c r="K844" s="385" t="s">
        <v>62</v>
      </c>
      <c r="L844" s="386">
        <v>46052</v>
      </c>
      <c r="M844" s="386"/>
      <c r="N844" s="386">
        <v>46055</v>
      </c>
      <c r="O844" s="386">
        <v>46055</v>
      </c>
      <c r="P844" s="385">
        <f>IFERROR(
    IF(
        OR(ISBLANK(I844), ISBLANK(L844)),
        "",
        MAX(
            1,
            IF(
                NETWORKDAYS(I844, L844, Holiday_Dates) &lt;= 0,
                1,
                NETWORKDAYS(I844, L844, Holiday_Dates) - IF(I844 = L844, 0, 1)
            )
        )
    ),
    ""
)</f>
        <v>2</v>
      </c>
      <c r="Q844" s="385" t="str">
        <f>IF(
    OR(ISBLANK(L844), ISBLANK(M844)),
    "",
    MAX(
        1,
        IF(
            NETWORKDAYS(L844, M844, Holiday_Dates) &lt;= 0,
            1,
            NETWORKDAYS(L844, M844, Holiday_Dates) - IF(L844 = M844, 0, 1)
        )
    )
)</f>
        <v/>
      </c>
      <c r="R844" s="385">
        <f>IFERROR(
    IF(
        OR(ISBLANK(N844), AND(ISBLANK(L844), ISBLANK(M844))),
        "",
        MAX(
            1,
            IF(
                NETWORKDAYS(IF(NOT(ISBLANK(M844)), M844, L844), N844, Holiday_Dates) &lt;= 0,
                1,
                NETWORKDAYS(IF(NOT(ISBLANK(M844)), M844, L844), N844, Holiday_Dates)
                - IF(IF(NOT(ISBLANK(M844)), M844, L844) = N844, 0, 1)
            )
        )
    ),
    ""
)</f>
        <v>1</v>
      </c>
      <c r="S844" s="385">
        <f>IFERROR(
    IF(
        OR(ISBLANK(N844), ISBLANK(O844)),
        "",
        MAX(
            1,
            IF(
                NETWORKDAYS(N844, O844, Holiday_Dates) &lt;= 0,
                1,
                NETWORKDAYS(N844, O844, Holiday_Dates) - IF(N844 = O844, 0, 1)
            )
        )
    ),
    ""
)</f>
        <v>1</v>
      </c>
      <c r="T844" s="385" t="s">
        <v>929</v>
      </c>
      <c r="U844" s="385" t="s">
        <v>4708</v>
      </c>
      <c r="V844" s="385" t="s">
        <v>4709</v>
      </c>
      <c r="W844" s="385" t="s">
        <v>4710</v>
      </c>
      <c r="X844" s="1"/>
    </row>
    <row r="845" spans="1:24">
      <c r="A845" s="385" t="s">
        <v>52</v>
      </c>
      <c r="B845" s="385" t="s">
        <v>4231</v>
      </c>
      <c r="C845" s="385" t="s">
        <v>4237</v>
      </c>
      <c r="D845" s="385" t="s">
        <v>88</v>
      </c>
      <c r="E845" s="385" t="s">
        <v>37</v>
      </c>
      <c r="F845" s="385"/>
      <c r="G845" s="385" t="s">
        <v>28</v>
      </c>
      <c r="H845" s="385">
        <v>2026</v>
      </c>
      <c r="I845" s="386">
        <v>46050</v>
      </c>
      <c r="J845" s="529" t="s">
        <v>5037</v>
      </c>
      <c r="K845" s="385" t="s">
        <v>62</v>
      </c>
      <c r="L845" s="386">
        <v>46052</v>
      </c>
      <c r="M845" s="385"/>
      <c r="N845" s="386">
        <v>46055</v>
      </c>
      <c r="O845" s="386">
        <v>46055</v>
      </c>
      <c r="P845" s="385">
        <f>IFERROR(
    IF(
        OR(ISBLANK(I845), ISBLANK(L845)),
        "",
        MAX(
            1,
            IF(
                NETWORKDAYS(I845, L845, Holiday_Dates) &lt;= 0,
                1,
                NETWORKDAYS(I845, L845, Holiday_Dates) - IF(I845 = L845, 0, 1)
            )
        )
    ),
    ""
)</f>
        <v>2</v>
      </c>
      <c r="Q845" s="385" t="str">
        <f>IF(
    OR(ISBLANK(L845), ISBLANK(M845)),
    "",
    MAX(
        1,
        IF(
            NETWORKDAYS(L845, M845, Holiday_Dates) &lt;= 0,
            1,
            NETWORKDAYS(L845, M845, Holiday_Dates) - IF(L845 = M845, 0, 1)
        )
    )
)</f>
        <v/>
      </c>
      <c r="R845" s="385">
        <f>IFERROR(
    IF(
        OR(ISBLANK(N845), AND(ISBLANK(L845), ISBLANK(M845))),
        "",
        MAX(
            1,
            IF(
                NETWORKDAYS(IF(NOT(ISBLANK(M845)), M845, L845), N845, Holiday_Dates) &lt;= 0,
                1,
                NETWORKDAYS(IF(NOT(ISBLANK(M845)), M845, L845), N845, Holiday_Dates)
                - IF(IF(NOT(ISBLANK(M845)), M845, L845) = N845, 0, 1)
            )
        )
    ),
    ""
)</f>
        <v>1</v>
      </c>
      <c r="S845" s="385">
        <f>IFERROR(
    IF(
        OR(ISBLANK(N845), ISBLANK(O845)),
        "",
        MAX(
            1,
            IF(
                NETWORKDAYS(N845, O845, Holiday_Dates) &lt;= 0,
                1,
                NETWORKDAYS(N845, O845, Holiday_Dates) - IF(N845 = O845, 0, 1)
            )
        )
    ),
    ""
)</f>
        <v>1</v>
      </c>
      <c r="T845" s="385" t="s">
        <v>929</v>
      </c>
      <c r="U845" s="385" t="s">
        <v>4708</v>
      </c>
      <c r="V845" s="385" t="s">
        <v>4709</v>
      </c>
      <c r="W845" s="385" t="s">
        <v>4710</v>
      </c>
      <c r="X845" s="1"/>
    </row>
    <row r="846" spans="1:24">
      <c r="A846" s="385" t="s">
        <v>52</v>
      </c>
      <c r="B846" s="385" t="s">
        <v>4231</v>
      </c>
      <c r="C846" s="385" t="s">
        <v>4238</v>
      </c>
      <c r="D846" s="385" t="s">
        <v>88</v>
      </c>
      <c r="E846" s="385" t="s">
        <v>37</v>
      </c>
      <c r="F846" s="385"/>
      <c r="G846" s="385" t="s">
        <v>28</v>
      </c>
      <c r="H846" s="385">
        <v>2026</v>
      </c>
      <c r="I846" s="386">
        <v>46058</v>
      </c>
      <c r="J846" s="529" t="s">
        <v>5038</v>
      </c>
      <c r="K846" s="385" t="s">
        <v>62</v>
      </c>
      <c r="L846" s="386">
        <v>46058</v>
      </c>
      <c r="M846" s="385"/>
      <c r="N846" s="386">
        <v>46062</v>
      </c>
      <c r="O846" s="386">
        <v>46062</v>
      </c>
      <c r="P846" s="385">
        <f>IFERROR(
    IF(
        OR(ISBLANK(I846), ISBLANK(L846)),
        "",
        MAX(
            1,
            IF(
                NETWORKDAYS(I846, L846, Holiday_Dates) &lt;= 0,
                1,
                NETWORKDAYS(I846, L846, Holiday_Dates) - IF(I846 = L846, 0, 1)
            )
        )
    ),
    ""
)</f>
        <v>1</v>
      </c>
      <c r="Q846" s="385" t="str">
        <f>IF(
    OR(ISBLANK(L846), ISBLANK(M846)),
    "",
    MAX(
        1,
        IF(
            NETWORKDAYS(L846, M846, Holiday_Dates) &lt;= 0,
            1,
            NETWORKDAYS(L846, M846, Holiday_Dates) - IF(L846 = M846, 0, 1)
        )
    )
)</f>
        <v/>
      </c>
      <c r="R846" s="385">
        <f>IFERROR(
    IF(
        OR(ISBLANK(N846), AND(ISBLANK(L846), ISBLANK(M846))),
        "",
        MAX(
            1,
            IF(
                NETWORKDAYS(IF(NOT(ISBLANK(M846)), M846, L846), N846, Holiday_Dates) &lt;= 0,
                1,
                NETWORKDAYS(IF(NOT(ISBLANK(M846)), M846, L846), N846, Holiday_Dates)
                - IF(IF(NOT(ISBLANK(M846)), M846, L846) = N846, 0, 1)
            )
        )
    ),
    ""
)</f>
        <v>2</v>
      </c>
      <c r="S846" s="385">
        <f>IFERROR(
    IF(
        OR(ISBLANK(N846), ISBLANK(O846)),
        "",
        MAX(
            1,
            IF(
                NETWORKDAYS(N846, O846, Holiday_Dates) &lt;= 0,
                1,
                NETWORKDAYS(N846, O846, Holiday_Dates) - IF(N846 = O846, 0, 1)
            )
        )
    ),
    ""
)</f>
        <v>1</v>
      </c>
      <c r="T846" s="385" t="s">
        <v>929</v>
      </c>
      <c r="U846" s="385" t="s">
        <v>4708</v>
      </c>
      <c r="V846" s="385" t="s">
        <v>4709</v>
      </c>
      <c r="W846" s="385" t="s">
        <v>4710</v>
      </c>
      <c r="X846" s="1"/>
    </row>
    <row r="847" spans="1:24">
      <c r="A847" s="385" t="s">
        <v>52</v>
      </c>
      <c r="B847" s="385" t="s">
        <v>4231</v>
      </c>
      <c r="C847" s="385" t="s">
        <v>926</v>
      </c>
      <c r="D847" s="385" t="s">
        <v>88</v>
      </c>
      <c r="E847" s="385" t="s">
        <v>37</v>
      </c>
      <c r="F847" s="385"/>
      <c r="G847" s="385" t="s">
        <v>28</v>
      </c>
      <c r="H847" s="385">
        <v>2026</v>
      </c>
      <c r="I847" s="588">
        <v>46057</v>
      </c>
      <c r="J847" s="30" t="s">
        <v>5039</v>
      </c>
      <c r="K847" s="385" t="s">
        <v>62</v>
      </c>
      <c r="L847" s="588">
        <v>46059</v>
      </c>
      <c r="M847" s="385"/>
      <c r="N847" s="589">
        <v>46069</v>
      </c>
      <c r="O847" s="589">
        <v>46069</v>
      </c>
      <c r="P847" s="385">
        <f>IFERROR(
    IF(
        OR(ISBLANK(I847), ISBLANK(L847)),
        "",
        MAX(
            1,
            IF(
                NETWORKDAYS(I847, L847, Holiday_Dates) &lt;= 0,
                1,
                NETWORKDAYS(I847, L847, Holiday_Dates) - IF(I847 = L847, 0, 1)
            )
        )
    ),
    ""
)</f>
        <v>2</v>
      </c>
      <c r="Q847" s="385" t="str">
        <f>IF(
    OR(ISBLANK(L847), ISBLANK(M847)),
    "",
    MAX(
        1,
        IF(
            NETWORKDAYS(L847, M847, Holiday_Dates) &lt;= 0,
            1,
            NETWORKDAYS(L847, M847, Holiday_Dates) - IF(L847 = M847, 0, 1)
        )
    )
)</f>
        <v/>
      </c>
      <c r="R847" s="385">
        <f>IFERROR(
    IF(
        OR(ISBLANK(N847), AND(ISBLANK(L847), ISBLANK(M847))),
        "",
        MAX(
            1,
            IF(
                NETWORKDAYS(IF(NOT(ISBLANK(M847)), M847, L847), N847, Holiday_Dates) &lt;= 0,
                1,
                NETWORKDAYS(IF(NOT(ISBLANK(M847)), M847, L847), N847, Holiday_Dates)
                - IF(IF(NOT(ISBLANK(M847)), M847, L847) = N847, 0, 1)
            )
        )
    ),
    ""
)</f>
        <v>6</v>
      </c>
      <c r="S847" s="385">
        <f>IFERROR(
    IF(
        OR(ISBLANK(N847), ISBLANK(O847)),
        "",
        MAX(
            1,
            IF(
                NETWORKDAYS(N847, O847, Holiday_Dates) &lt;= 0,
                1,
                NETWORKDAYS(N847, O847, Holiday_Dates) - IF(N847 = O847, 0, 1)
            )
        )
    ),
    ""
)</f>
        <v>1</v>
      </c>
      <c r="T847" s="385" t="s">
        <v>929</v>
      </c>
      <c r="U847" s="385" t="s">
        <v>4708</v>
      </c>
      <c r="V847" s="385" t="s">
        <v>4709</v>
      </c>
      <c r="W847" s="385" t="s">
        <v>4710</v>
      </c>
      <c r="X847" s="1"/>
    </row>
    <row r="848" spans="1:24">
      <c r="A848" s="385" t="s">
        <v>52</v>
      </c>
      <c r="B848" s="385" t="s">
        <v>4231</v>
      </c>
      <c r="C848" s="385" t="s">
        <v>4268</v>
      </c>
      <c r="D848" s="385" t="s">
        <v>88</v>
      </c>
      <c r="E848" s="385" t="s">
        <v>37</v>
      </c>
      <c r="F848" s="385"/>
      <c r="G848" s="385" t="s">
        <v>28</v>
      </c>
      <c r="H848" s="385">
        <v>2026</v>
      </c>
      <c r="I848" s="588">
        <v>46057</v>
      </c>
      <c r="J848" s="30" t="s">
        <v>5040</v>
      </c>
      <c r="K848" s="385" t="s">
        <v>62</v>
      </c>
      <c r="L848" s="588">
        <v>46059</v>
      </c>
      <c r="M848" s="385"/>
      <c r="N848" s="589">
        <v>46069</v>
      </c>
      <c r="O848" s="589">
        <v>46069</v>
      </c>
      <c r="P848" s="385">
        <f>IFERROR(
    IF(
        OR(ISBLANK(I848), ISBLANK(L848)),
        "",
        MAX(
            1,
            IF(
                NETWORKDAYS(I848, L848, Holiday_Dates) &lt;= 0,
                1,
                NETWORKDAYS(I848, L848, Holiday_Dates) - IF(I848 = L848, 0, 1)
            )
        )
    ),
    ""
)</f>
        <v>2</v>
      </c>
      <c r="Q848" s="385" t="str">
        <f>IF(
    OR(ISBLANK(L848), ISBLANK(M848)),
    "",
    MAX(
        1,
        IF(
            NETWORKDAYS(L848, M848, Holiday_Dates) &lt;= 0,
            1,
            NETWORKDAYS(L848, M848, Holiday_Dates) - IF(L848 = M848, 0, 1)
        )
    )
)</f>
        <v/>
      </c>
      <c r="R848" s="385">
        <f>IFERROR(
    IF(
        OR(ISBLANK(N848), AND(ISBLANK(L848), ISBLANK(M848))),
        "",
        MAX(
            1,
            IF(
                NETWORKDAYS(IF(NOT(ISBLANK(M848)), M848, L848), N848, Holiday_Dates) &lt;= 0,
                1,
                NETWORKDAYS(IF(NOT(ISBLANK(M848)), M848, L848), N848, Holiday_Dates)
                - IF(IF(NOT(ISBLANK(M848)), M848, L848) = N848, 0, 1)
            )
        )
    ),
    ""
)</f>
        <v>6</v>
      </c>
      <c r="S848" s="385">
        <f>IFERROR(
    IF(
        OR(ISBLANK(N848), ISBLANK(O848)),
        "",
        MAX(
            1,
            IF(
                NETWORKDAYS(N848, O848, Holiday_Dates) &lt;= 0,
                1,
                NETWORKDAYS(N848, O848, Holiday_Dates) - IF(N848 = O848, 0, 1)
            )
        )
    ),
    ""
)</f>
        <v>1</v>
      </c>
      <c r="T848" s="385" t="s">
        <v>929</v>
      </c>
      <c r="U848" s="385" t="s">
        <v>4708</v>
      </c>
      <c r="V848" s="385" t="s">
        <v>4709</v>
      </c>
      <c r="W848" s="385" t="s">
        <v>4710</v>
      </c>
      <c r="X848" s="1"/>
    </row>
    <row r="849" spans="1:24">
      <c r="A849" s="385" t="s">
        <v>52</v>
      </c>
      <c r="B849" s="385" t="s">
        <v>4231</v>
      </c>
      <c r="C849" s="385" t="s">
        <v>4269</v>
      </c>
      <c r="D849" s="385" t="s">
        <v>88</v>
      </c>
      <c r="E849" s="385" t="s">
        <v>37</v>
      </c>
      <c r="F849" s="385"/>
      <c r="G849" s="385" t="s">
        <v>28</v>
      </c>
      <c r="H849" s="385">
        <v>2026</v>
      </c>
      <c r="I849" s="386">
        <v>46051</v>
      </c>
      <c r="J849" s="529" t="s">
        <v>5041</v>
      </c>
      <c r="K849" s="385" t="s">
        <v>62</v>
      </c>
      <c r="L849" s="386">
        <v>46052</v>
      </c>
      <c r="M849" s="385"/>
      <c r="N849" s="386">
        <v>46055</v>
      </c>
      <c r="O849" s="386">
        <v>46055</v>
      </c>
      <c r="P849" s="385">
        <f>IFERROR(
    IF(
        OR(ISBLANK(I849), ISBLANK(L849)),
        "",
        MAX(
            1,
            IF(
                NETWORKDAYS(I849, L849, Holiday_Dates) &lt;= 0,
                1,
                NETWORKDAYS(I849, L849, Holiday_Dates) - IF(I849 = L849, 0, 1)
            )
        )
    ),
    ""
)</f>
        <v>1</v>
      </c>
      <c r="Q849" s="385" t="str">
        <f>IF(
    OR(ISBLANK(L849), ISBLANK(M849)),
    "",
    MAX(
        1,
        IF(
            NETWORKDAYS(L849, M849, Holiday_Dates) &lt;= 0,
            1,
            NETWORKDAYS(L849, M849, Holiday_Dates) - IF(L849 = M849, 0, 1)
        )
    )
)</f>
        <v/>
      </c>
      <c r="R849" s="385">
        <f>IFERROR(
    IF(
        OR(ISBLANK(N849), AND(ISBLANK(L849), ISBLANK(M849))),
        "",
        MAX(
            1,
            IF(
                NETWORKDAYS(IF(NOT(ISBLANK(M849)), M849, L849), N849, Holiday_Dates) &lt;= 0,
                1,
                NETWORKDAYS(IF(NOT(ISBLANK(M849)), M849, L849), N849, Holiday_Dates)
                - IF(IF(NOT(ISBLANK(M849)), M849, L849) = N849, 0, 1)
            )
        )
    ),
    ""
)</f>
        <v>1</v>
      </c>
      <c r="S849" s="385">
        <f>IFERROR(
    IF(
        OR(ISBLANK(N849), ISBLANK(O849)),
        "",
        MAX(
            1,
            IF(
                NETWORKDAYS(N849, O849, Holiday_Dates) &lt;= 0,
                1,
                NETWORKDAYS(N849, O849, Holiday_Dates) - IF(N849 = O849, 0, 1)
            )
        )
    ),
    ""
)</f>
        <v>1</v>
      </c>
      <c r="T849" s="385" t="s">
        <v>929</v>
      </c>
      <c r="U849" s="385" t="s">
        <v>4708</v>
      </c>
      <c r="V849" s="385" t="s">
        <v>4709</v>
      </c>
      <c r="W849" s="385" t="s">
        <v>4710</v>
      </c>
      <c r="X849" s="1"/>
    </row>
    <row r="850" spans="1:24">
      <c r="A850" s="385" t="s">
        <v>53</v>
      </c>
      <c r="B850" s="385" t="s">
        <v>456</v>
      </c>
      <c r="C850" s="385" t="s">
        <v>4420</v>
      </c>
      <c r="D850" s="385" t="s">
        <v>89</v>
      </c>
      <c r="E850" s="385" t="s">
        <v>42</v>
      </c>
      <c r="F850" s="385"/>
      <c r="G850" s="385" t="s">
        <v>133</v>
      </c>
      <c r="H850" s="385">
        <v>2026</v>
      </c>
      <c r="I850" s="386">
        <v>46069</v>
      </c>
      <c r="J850" s="30" t="s">
        <v>5042</v>
      </c>
      <c r="K850" s="385" t="s">
        <v>62</v>
      </c>
      <c r="L850" s="386">
        <v>46069</v>
      </c>
      <c r="M850" s="385"/>
      <c r="N850" s="386">
        <v>46070</v>
      </c>
      <c r="O850" s="386">
        <v>46070</v>
      </c>
      <c r="P850" s="385">
        <f>IFERROR(
    IF(
        OR(ISBLANK(I850), ISBLANK(L850)),
        "",
        MAX(
            1,
            IF(
                NETWORKDAYS(I850, L850, Holiday_Dates) &lt;= 0,
                1,
                NETWORKDAYS(I850, L850, Holiday_Dates) - IF(I850 = L850, 0, 1)
            )
        )
    ),
    ""
)</f>
        <v>1</v>
      </c>
      <c r="Q850" s="385" t="str">
        <f>IF(
    OR(ISBLANK(L850), ISBLANK(M850)),
    "",
    MAX(
        1,
        IF(
            NETWORKDAYS(L850, M850, Holiday_Dates) &lt;= 0,
            1,
            NETWORKDAYS(L850, M850, Holiday_Dates) - IF(L850 = M850, 0, 1)
        )
    )
)</f>
        <v/>
      </c>
      <c r="R850" s="385">
        <f>IFERROR(
    IF(
        OR(ISBLANK(N850), AND(ISBLANK(L850), ISBLANK(M850))),
        "",
        MAX(
            1,
            IF(
                NETWORKDAYS(IF(NOT(ISBLANK(M850)), M850, L850), N850, Holiday_Dates) &lt;= 0,
                1,
                NETWORKDAYS(IF(NOT(ISBLANK(M850)), M850, L850), N850, Holiday_Dates)
                - IF(IF(NOT(ISBLANK(M850)), M850, L850) = N850, 0, 1)
            )
        )
    ),
    ""
)</f>
        <v>1</v>
      </c>
      <c r="S850" s="385">
        <f>IFERROR(
    IF(
        OR(ISBLANK(N850), ISBLANK(O850)),
        "",
        MAX(
            1,
            IF(
                NETWORKDAYS(N850, O850, Holiday_Dates) &lt;= 0,
                1,
                NETWORKDAYS(N850, O850, Holiday_Dates) - IF(N850 = O850, 0, 1)
            )
        )
    ),
    ""
)</f>
        <v>1</v>
      </c>
      <c r="T850" s="385" t="s">
        <v>929</v>
      </c>
      <c r="U850" s="385" t="s">
        <v>672</v>
      </c>
      <c r="V850" s="385" t="s">
        <v>685</v>
      </c>
      <c r="W850" s="385" t="s">
        <v>4710</v>
      </c>
      <c r="X850" s="1"/>
    </row>
    <row r="851" spans="1:24">
      <c r="A851" s="385" t="s">
        <v>49</v>
      </c>
      <c r="B851" s="385" t="s">
        <v>439</v>
      </c>
      <c r="C851" s="385" t="s">
        <v>2567</v>
      </c>
      <c r="D851" s="385" t="s">
        <v>88</v>
      </c>
      <c r="E851" s="385"/>
      <c r="F851" s="385"/>
      <c r="G851" s="385"/>
      <c r="H851" s="385">
        <v>2024</v>
      </c>
      <c r="I851" s="386">
        <v>45483</v>
      </c>
      <c r="J851" s="30"/>
      <c r="K851" s="385"/>
      <c r="L851" s="385"/>
      <c r="M851" s="385"/>
      <c r="N851" s="385"/>
      <c r="O851" s="385"/>
      <c r="P851" s="385" t="str">
        <f>IFERROR(
    IF(
        OR(ISBLANK(I851), ISBLANK(L851)),
        "",
        MAX(
            1,
            IF(
                NETWORKDAYS(I851, L851, Holiday_Dates) &lt;= 0,
                1,
                NETWORKDAYS(I851, L851, Holiday_Dates) - IF(I851 = L851, 0, 1)
            )
        )
    ),
    ""
)</f>
        <v/>
      </c>
      <c r="Q851" s="385" t="str">
        <f>IF(
    OR(ISBLANK(L851), ISBLANK(M851)),
    "",
    MAX(
        1,
        IF(
            NETWORKDAYS(L851, M851, Holiday_Dates) &lt;= 0,
            1,
            NETWORKDAYS(L851, M851, Holiday_Dates) - IF(L851 = M851, 0, 1)
        )
    )
)</f>
        <v/>
      </c>
      <c r="R851" s="385" t="str">
        <f>IFERROR(
    IF(
        OR(ISBLANK(N851), AND(ISBLANK(L851), ISBLANK(M851))),
        "",
        MAX(
            1,
            IF(
                NETWORKDAYS(IF(NOT(ISBLANK(M851)), M851, L851), N851, Holiday_Dates) &lt;= 0,
                1,
                NETWORKDAYS(IF(NOT(ISBLANK(M851)), M851, L851), N851, Holiday_Dates)
                - IF(IF(NOT(ISBLANK(M851)), M851, L851) = N851, 0, 1)
            )
        )
    ),
    ""
)</f>
        <v/>
      </c>
      <c r="S851" s="385" t="str">
        <f>IFERROR(
    IF(
        OR(ISBLANK(N851), ISBLANK(O851)),
        "",
        MAX(
            1,
            IF(
                NETWORKDAYS(N851, O851, Holiday_Dates) &lt;= 0,
                1,
                NETWORKDAYS(N851, O851, Holiday_Dates) - IF(N851 = O851, 0, 1)
            )
        )
    ),
    ""
)</f>
        <v/>
      </c>
      <c r="T851" s="385"/>
      <c r="U851" s="385" t="s">
        <v>4</v>
      </c>
      <c r="V851" s="385" t="s">
        <v>101</v>
      </c>
      <c r="W851" s="385" t="s">
        <v>1436</v>
      </c>
      <c r="X851" s="1"/>
    </row>
    <row r="852" spans="1:24">
      <c r="A852" s="599" t="s">
        <v>65</v>
      </c>
      <c r="B852" s="599" t="s">
        <v>511</v>
      </c>
      <c r="C852" s="599" t="s">
        <v>1330</v>
      </c>
      <c r="D852" s="599" t="s">
        <v>88</v>
      </c>
      <c r="E852" s="599" t="s">
        <v>29</v>
      </c>
      <c r="F852" s="385"/>
      <c r="G852" s="385" t="s">
        <v>130</v>
      </c>
      <c r="H852" s="597">
        <v>2026</v>
      </c>
      <c r="I852" s="456">
        <v>46065</v>
      </c>
      <c r="J852" s="30" t="s">
        <v>5043</v>
      </c>
      <c r="K852" s="385" t="s">
        <v>62</v>
      </c>
      <c r="L852" s="456">
        <v>46068</v>
      </c>
      <c r="M852" s="385"/>
      <c r="N852" s="456">
        <v>46071</v>
      </c>
      <c r="O852" s="456">
        <v>46071</v>
      </c>
      <c r="P852" s="385">
        <f>IFERROR(
    IF(
        OR(ISBLANK(I852), ISBLANK(L852)),
        "",
        MAX(
            1,
            IF(
                NETWORKDAYS(I852, L852, Holiday_Dates) &lt;= 0,
                1,
                NETWORKDAYS(I852, L852, Holiday_Dates) - IF(I852 = L852, 0, 1)
            )
        )
    ),
    ""
)</f>
        <v>1</v>
      </c>
      <c r="Q852" s="385" t="str">
        <f>IF(
    OR(ISBLANK(L852), ISBLANK(M852)),
    "",
    MAX(
        1,
        IF(
            NETWORKDAYS(L852, M852, Holiday_Dates) &lt;= 0,
            1,
            NETWORKDAYS(L852, M852, Holiday_Dates) - IF(L852 = M852, 0, 1)
        )
    )
)</f>
        <v/>
      </c>
      <c r="R852" s="385">
        <f>IFERROR(
    IF(
        OR(ISBLANK(N852), AND(ISBLANK(L852), ISBLANK(M852))),
        "",
        MAX(
            1,
            IF(
                NETWORKDAYS(IF(NOT(ISBLANK(M852)), M852, L852), N852, Holiday_Dates) &lt;= 0,
                1,
                NETWORKDAYS(IF(NOT(ISBLANK(M852)), M852, L852), N852, Holiday_Dates)
                - IF(IF(NOT(ISBLANK(M852)), M852, L852) = N852, 0, 1)
            )
        )
    ),
    ""
)</f>
        <v>2</v>
      </c>
      <c r="S852" s="385">
        <f>IFERROR(
    IF(
        OR(ISBLANK(N852), ISBLANK(O852)),
        "",
        MAX(
            1,
            IF(
                NETWORKDAYS(N852, O852, Holiday_Dates) &lt;= 0,
                1,
                NETWORKDAYS(N852, O852, Holiday_Dates) - IF(N852 = O852, 0, 1)
            )
        )
    ),
    ""
)</f>
        <v>1</v>
      </c>
      <c r="T852" s="385" t="s">
        <v>929</v>
      </c>
      <c r="U852" s="385" t="s">
        <v>672</v>
      </c>
      <c r="V852" s="385" t="s">
        <v>685</v>
      </c>
      <c r="W852" s="385" t="s">
        <v>4710</v>
      </c>
      <c r="X852" s="1"/>
    </row>
    <row r="853" spans="1:24">
      <c r="A853" s="385" t="s">
        <v>65</v>
      </c>
      <c r="B853" s="385" t="s">
        <v>409</v>
      </c>
      <c r="C853" s="385" t="s">
        <v>2904</v>
      </c>
      <c r="D853" s="385" t="s">
        <v>88</v>
      </c>
      <c r="E853" s="400" t="s">
        <v>29</v>
      </c>
      <c r="F853" s="400"/>
      <c r="G853" s="385" t="s">
        <v>130</v>
      </c>
      <c r="H853" s="385">
        <v>2026</v>
      </c>
      <c r="I853" s="456">
        <v>46041</v>
      </c>
      <c r="J853" s="30" t="s">
        <v>5044</v>
      </c>
      <c r="K853" s="385" t="s">
        <v>62</v>
      </c>
      <c r="L853" s="456">
        <v>46041</v>
      </c>
      <c r="M853" s="456"/>
      <c r="N853" s="456">
        <v>46043</v>
      </c>
      <c r="O853" s="456">
        <v>46043</v>
      </c>
      <c r="P853" s="385">
        <f>IFERROR(
    IF(
        OR(ISBLANK(I853), ISBLANK(L853)),
        "",
        MAX(
            1,
            IF(
                NETWORKDAYS(I853, L853, Holiday_Dates) &lt;= 0,
                1,
                NETWORKDAYS(I853, L853, Holiday_Dates) - IF(I853 = L853, 0, 1)
            )
        )
    ),
    ""
)</f>
        <v>1</v>
      </c>
      <c r="Q853" s="385" t="str">
        <f>IF(
    OR(ISBLANK(L853), ISBLANK(M853)),
    "",
    MAX(
        1,
        IF(
            NETWORKDAYS(L853, M853, Holiday_Dates) &lt;= 0,
            1,
            NETWORKDAYS(L853, M853, Holiday_Dates) - IF(L853 = M853, 0, 1)
        )
    )
)</f>
        <v/>
      </c>
      <c r="R853" s="385">
        <f>IFERROR(
    IF(
        OR(ISBLANK(N853), AND(ISBLANK(L853), ISBLANK(M853))),
        "",
        MAX(
            1,
            IF(
                NETWORKDAYS(IF(NOT(ISBLANK(M853)), M853, L853), N853, Holiday_Dates) &lt;= 0,
                1,
                NETWORKDAYS(IF(NOT(ISBLANK(M853)), M853, L853), N853, Holiday_Dates)
                - IF(IF(NOT(ISBLANK(M853)), M853, L853) = N853, 0, 1)
            )
        )
    ),
    ""
)</f>
        <v>2</v>
      </c>
      <c r="S853" s="385">
        <f>IFERROR(
    IF(
        OR(ISBLANK(N853), ISBLANK(O853)),
        "",
        MAX(
            1,
            IF(
                NETWORKDAYS(N853, O853, Holiday_Dates) &lt;= 0,
                1,
                NETWORKDAYS(N853, O853, Holiday_Dates) - IF(N853 = O853, 0, 1)
            )
        )
    ),
    ""
)</f>
        <v>1</v>
      </c>
      <c r="T853" s="385" t="s">
        <v>929</v>
      </c>
      <c r="U853" s="385" t="s">
        <v>672</v>
      </c>
      <c r="V853" s="385" t="s">
        <v>101</v>
      </c>
      <c r="W853" s="385" t="s">
        <v>4710</v>
      </c>
      <c r="X853" s="1"/>
    </row>
    <row r="854" spans="1:24">
      <c r="A854" s="385" t="s">
        <v>49</v>
      </c>
      <c r="B854" s="385" t="s">
        <v>492</v>
      </c>
      <c r="C854" s="385" t="s">
        <v>440</v>
      </c>
      <c r="D854" s="385" t="s">
        <v>88</v>
      </c>
      <c r="E854" s="385" t="s">
        <v>344</v>
      </c>
      <c r="F854" s="385"/>
      <c r="G854" s="385" t="s">
        <v>128</v>
      </c>
      <c r="H854" s="385"/>
      <c r="I854" s="385"/>
      <c r="J854" s="30"/>
      <c r="K854" s="388" t="s">
        <v>45</v>
      </c>
      <c r="L854" s="385"/>
      <c r="M854" s="385"/>
      <c r="N854" s="385"/>
      <c r="O854" s="385"/>
      <c r="P854" s="385" t="str">
        <f>IFERROR(
    IF(
        OR(ISBLANK(I854), ISBLANK(L854)),
        "",
        MAX(
            1,
            IF(
                NETWORKDAYS(I854, L854, Holiday_Dates) &lt;= 0,
                1,
                NETWORKDAYS(I854, L854, Holiday_Dates) - IF(I854 = L854, 0, 1)
            )
        )
    ),
    ""
)</f>
        <v/>
      </c>
      <c r="Q854" s="385" t="str">
        <f>IF(
    OR(ISBLANK(L854), ISBLANK(M854)),
    "",
    MAX(
        1,
        IF(
            NETWORKDAYS(L854, M854, Holiday_Dates) &lt;= 0,
            1,
            NETWORKDAYS(L854, M854, Holiday_Dates) - IF(L854 = M854, 0, 1)
        )
    )
)</f>
        <v/>
      </c>
      <c r="R854" s="385" t="str">
        <f>IFERROR(
    IF(
        OR(ISBLANK(N854), AND(ISBLANK(L854), ISBLANK(M854))),
        "",
        MAX(
            1,
            IF(
                NETWORKDAYS(IF(NOT(ISBLANK(M854)), M854, L854), N854, Holiday_Dates) &lt;= 0,
                1,
                NETWORKDAYS(IF(NOT(ISBLANK(M854)), M854, L854), N854, Holiday_Dates)
                - IF(IF(NOT(ISBLANK(M854)), M854, L854) = N854, 0, 1)
            )
        )
    ),
    ""
)</f>
        <v/>
      </c>
      <c r="S854" s="385" t="str">
        <f>IFERROR(
    IF(
        OR(ISBLANK(N854), ISBLANK(O854)),
        "",
        MAX(
            1,
            IF(
                NETWORKDAYS(N854, O854, Holiday_Dates) &lt;= 0,
                1,
                NETWORKDAYS(N854, O854, Holiday_Dates) - IF(N854 = O854, 0, 1)
            )
        )
    ),
    ""
)</f>
        <v/>
      </c>
      <c r="T854" s="385"/>
      <c r="U854" s="385"/>
      <c r="V854" s="385"/>
      <c r="W854" s="385" t="s">
        <v>4710</v>
      </c>
      <c r="X854" s="1"/>
    </row>
    <row r="855" spans="1:24">
      <c r="A855" s="385" t="s">
        <v>49</v>
      </c>
      <c r="B855" s="385" t="s">
        <v>492</v>
      </c>
      <c r="C855" s="385" t="s">
        <v>1656</v>
      </c>
      <c r="D855" s="385" t="s">
        <v>88</v>
      </c>
      <c r="E855" s="385" t="s">
        <v>344</v>
      </c>
      <c r="F855" s="385"/>
      <c r="G855" s="385" t="s">
        <v>128</v>
      </c>
      <c r="H855" s="385"/>
      <c r="I855" s="385"/>
      <c r="J855" s="30"/>
      <c r="K855" s="388" t="s">
        <v>45</v>
      </c>
      <c r="L855" s="385"/>
      <c r="M855" s="385"/>
      <c r="N855" s="385"/>
      <c r="O855" s="385"/>
      <c r="P855" s="385" t="str">
        <f>IFERROR(
    IF(
        OR(ISBLANK(I855), ISBLANK(L855)),
        "",
        MAX(
            1,
            IF(
                NETWORKDAYS(I855, L855, Holiday_Dates) &lt;= 0,
                1,
                NETWORKDAYS(I855, L855, Holiday_Dates) - IF(I855 = L855, 0, 1)
            )
        )
    ),
    ""
)</f>
        <v/>
      </c>
      <c r="Q855" s="385" t="str">
        <f>IF(
    OR(ISBLANK(L855), ISBLANK(M855)),
    "",
    MAX(
        1,
        IF(
            NETWORKDAYS(L855, M855, Holiday_Dates) &lt;= 0,
            1,
            NETWORKDAYS(L855, M855, Holiday_Dates) - IF(L855 = M855, 0, 1)
        )
    )
)</f>
        <v/>
      </c>
      <c r="R855" s="385" t="str">
        <f>IFERROR(
    IF(
        OR(ISBLANK(N855), AND(ISBLANK(L855), ISBLANK(M855))),
        "",
        MAX(
            1,
            IF(
                NETWORKDAYS(IF(NOT(ISBLANK(M855)), M855, L855), N855, Holiday_Dates) &lt;= 0,
                1,
                NETWORKDAYS(IF(NOT(ISBLANK(M855)), M855, L855), N855, Holiday_Dates)
                - IF(IF(NOT(ISBLANK(M855)), M855, L855) = N855, 0, 1)
            )
        )
    ),
    ""
)</f>
        <v/>
      </c>
      <c r="S855" s="385" t="str">
        <f>IFERROR(
    IF(
        OR(ISBLANK(N855), ISBLANK(O855)),
        "",
        MAX(
            1,
            IF(
                NETWORKDAYS(N855, O855, Holiday_Dates) &lt;= 0,
                1,
                NETWORKDAYS(N855, O855, Holiday_Dates) - IF(N855 = O855, 0, 1)
            )
        )
    ),
    ""
)</f>
        <v/>
      </c>
      <c r="T855" s="385"/>
      <c r="U855" s="385"/>
      <c r="V855" s="385"/>
      <c r="W855" s="385" t="s">
        <v>4710</v>
      </c>
      <c r="X855" s="1"/>
    </row>
    <row r="856" spans="1:24">
      <c r="A856" s="385" t="s">
        <v>49</v>
      </c>
      <c r="B856" s="385" t="s">
        <v>440</v>
      </c>
      <c r="C856" s="385" t="s">
        <v>985</v>
      </c>
      <c r="D856" s="385" t="s">
        <v>88</v>
      </c>
      <c r="E856" s="385"/>
      <c r="F856" s="385"/>
      <c r="G856" s="385"/>
      <c r="H856" s="385">
        <v>2024</v>
      </c>
      <c r="I856" s="386">
        <v>45602</v>
      </c>
      <c r="J856" s="30"/>
      <c r="K856" s="385"/>
      <c r="L856" s="385"/>
      <c r="M856" s="385"/>
      <c r="N856" s="385"/>
      <c r="O856" s="385"/>
      <c r="P856" s="385" t="str">
        <f>IFERROR(
    IF(
        OR(ISBLANK(I856), ISBLANK(L856)),
        "",
        MAX(
            1,
            IF(
                NETWORKDAYS(I856, L856, Holiday_Dates) &lt;= 0,
                1,
                NETWORKDAYS(I856, L856, Holiday_Dates) - IF(I856 = L856, 0, 1)
            )
        )
    ),
    ""
)</f>
        <v/>
      </c>
      <c r="Q856" s="385" t="str">
        <f>IF(
    OR(ISBLANK(L856), ISBLANK(M856)),
    "",
    MAX(
        1,
        IF(
            NETWORKDAYS(L856, M856, Holiday_Dates) &lt;= 0,
            1,
            NETWORKDAYS(L856, M856, Holiday_Dates) - IF(L856 = M856, 0, 1)
        )
    )
)</f>
        <v/>
      </c>
      <c r="R856" s="385" t="str">
        <f>IFERROR(
    IF(
        OR(ISBLANK(N856), AND(ISBLANK(L856), ISBLANK(M856))),
        "",
        MAX(
            1,
            IF(
                NETWORKDAYS(IF(NOT(ISBLANK(M856)), M856, L856), N856, Holiday_Dates) &lt;= 0,
                1,
                NETWORKDAYS(IF(NOT(ISBLANK(M856)), M856, L856), N856, Holiday_Dates)
                - IF(IF(NOT(ISBLANK(M856)), M856, L856) = N856, 0, 1)
            )
        )
    ),
    ""
)</f>
        <v/>
      </c>
      <c r="S856" s="385" t="str">
        <f>IFERROR(
    IF(
        OR(ISBLANK(N856), ISBLANK(O856)),
        "",
        MAX(
            1,
            IF(
                NETWORKDAYS(N856, O856, Holiday_Dates) &lt;= 0,
                1,
                NETWORKDAYS(N856, O856, Holiday_Dates) - IF(N856 = O856, 0, 1)
            )
        )
    ),
    ""
)</f>
        <v/>
      </c>
      <c r="T856" s="385"/>
      <c r="U856" s="385" t="s">
        <v>4</v>
      </c>
      <c r="V856" s="385" t="s">
        <v>101</v>
      </c>
      <c r="W856" s="385" t="s">
        <v>1436</v>
      </c>
      <c r="X856" s="1"/>
    </row>
    <row r="857" spans="1:24">
      <c r="A857" s="385" t="s">
        <v>49</v>
      </c>
      <c r="B857" s="385" t="s">
        <v>2417</v>
      </c>
      <c r="C857" s="385" t="s">
        <v>675</v>
      </c>
      <c r="D857" s="385" t="s">
        <v>88</v>
      </c>
      <c r="E857" s="385" t="s">
        <v>136</v>
      </c>
      <c r="F857" s="385"/>
      <c r="G857" s="385" t="s">
        <v>128</v>
      </c>
      <c r="H857" s="385"/>
      <c r="I857" s="385"/>
      <c r="J857" s="30"/>
      <c r="K857" s="388" t="s">
        <v>45</v>
      </c>
      <c r="L857" s="385"/>
      <c r="M857" s="385"/>
      <c r="N857" s="385"/>
      <c r="O857" s="385"/>
      <c r="P857" s="385" t="str">
        <f>IFERROR(
    IF(
        OR(ISBLANK(I857), ISBLANK(L857)),
        "",
        MAX(
            1,
            IF(
                NETWORKDAYS(I857, L857, Holiday_Dates) &lt;= 0,
                1,
                NETWORKDAYS(I857, L857, Holiday_Dates) - IF(I857 = L857, 0, 1)
            )
        )
    ),
    ""
)</f>
        <v/>
      </c>
      <c r="Q857" s="385" t="str">
        <f>IF(
    OR(ISBLANK(L857), ISBLANK(M857)),
    "",
    MAX(
        1,
        IF(
            NETWORKDAYS(L857, M857, Holiday_Dates) &lt;= 0,
            1,
            NETWORKDAYS(L857, M857, Holiday_Dates) - IF(L857 = M857, 0, 1)
        )
    )
)</f>
        <v/>
      </c>
      <c r="R857" s="385" t="str">
        <f>IFERROR(
    IF(
        OR(ISBLANK(N857), AND(ISBLANK(L857), ISBLANK(M857))),
        "",
        MAX(
            1,
            IF(
                NETWORKDAYS(IF(NOT(ISBLANK(M857)), M857, L857), N857, Holiday_Dates) &lt;= 0,
                1,
                NETWORKDAYS(IF(NOT(ISBLANK(M857)), M857, L857), N857, Holiday_Dates)
                - IF(IF(NOT(ISBLANK(M857)), M857, L857) = N857, 0, 1)
            )
        )
    ),
    ""
)</f>
        <v/>
      </c>
      <c r="S857" s="385" t="str">
        <f>IFERROR(
    IF(
        OR(ISBLANK(N857), ISBLANK(O857)),
        "",
        MAX(
            1,
            IF(
                NETWORKDAYS(N857, O857, Holiday_Dates) &lt;= 0,
                1,
                NETWORKDAYS(N857, O857, Holiday_Dates) - IF(N857 = O857, 0, 1)
            )
        )
    ),
    ""
)</f>
        <v/>
      </c>
      <c r="T857" s="385"/>
      <c r="U857" s="385"/>
      <c r="V857" s="385"/>
      <c r="W857" s="385" t="s">
        <v>4710</v>
      </c>
      <c r="X857" s="1"/>
    </row>
    <row r="858" spans="1:24">
      <c r="A858" s="385" t="s">
        <v>49</v>
      </c>
      <c r="B858" s="385" t="s">
        <v>2573</v>
      </c>
      <c r="C858" s="385" t="s">
        <v>2585</v>
      </c>
      <c r="D858" s="385" t="s">
        <v>88</v>
      </c>
      <c r="E858" s="385" t="s">
        <v>136</v>
      </c>
      <c r="F858" s="385"/>
      <c r="G858" s="385" t="s">
        <v>128</v>
      </c>
      <c r="H858" s="385"/>
      <c r="I858" s="385"/>
      <c r="J858" s="30"/>
      <c r="K858" s="388" t="s">
        <v>45</v>
      </c>
      <c r="L858" s="385"/>
      <c r="M858" s="385"/>
      <c r="N858" s="385"/>
      <c r="O858" s="385"/>
      <c r="P858" s="385" t="str">
        <f>IFERROR(
    IF(
        OR(ISBLANK(I858), ISBLANK(L858)),
        "",
        MAX(
            1,
            IF(
                NETWORKDAYS(I858, L858, Holiday_Dates) &lt;= 0,
                1,
                NETWORKDAYS(I858, L858, Holiday_Dates) - IF(I858 = L858, 0, 1)
            )
        )
    ),
    ""
)</f>
        <v/>
      </c>
      <c r="Q858" s="385" t="str">
        <f>IF(
    OR(ISBLANK(L858), ISBLANK(M858)),
    "",
    MAX(
        1,
        IF(
            NETWORKDAYS(L858, M858, Holiday_Dates) &lt;= 0,
            1,
            NETWORKDAYS(L858, M858, Holiday_Dates) - IF(L858 = M858, 0, 1)
        )
    )
)</f>
        <v/>
      </c>
      <c r="R858" s="385" t="str">
        <f>IFERROR(
    IF(
        OR(ISBLANK(N858), AND(ISBLANK(L858), ISBLANK(M858))),
        "",
        MAX(
            1,
            IF(
                NETWORKDAYS(IF(NOT(ISBLANK(M858)), M858, L858), N858, Holiday_Dates) &lt;= 0,
                1,
                NETWORKDAYS(IF(NOT(ISBLANK(M858)), M858, L858), N858, Holiday_Dates)
                - IF(IF(NOT(ISBLANK(M858)), M858, L858) = N858, 0, 1)
            )
        )
    ),
    ""
)</f>
        <v/>
      </c>
      <c r="S858" s="385" t="str">
        <f>IFERROR(
    IF(
        OR(ISBLANK(N858), ISBLANK(O858)),
        "",
        MAX(
            1,
            IF(
                NETWORKDAYS(N858, O858, Holiday_Dates) &lt;= 0,
                1,
                NETWORKDAYS(N858, O858, Holiday_Dates) - IF(N858 = O858, 0, 1)
            )
        )
    ),
    ""
)</f>
        <v/>
      </c>
      <c r="T858" s="385"/>
      <c r="U858" s="385"/>
      <c r="V858" s="385"/>
      <c r="W858" s="385" t="s">
        <v>4710</v>
      </c>
      <c r="X858" s="1"/>
    </row>
    <row r="859" spans="1:24">
      <c r="A859" s="385" t="s">
        <v>49</v>
      </c>
      <c r="B859" s="385" t="s">
        <v>440</v>
      </c>
      <c r="C859" s="385" t="s">
        <v>730</v>
      </c>
      <c r="D859" s="385" t="s">
        <v>88</v>
      </c>
      <c r="E859" s="385"/>
      <c r="F859" s="385"/>
      <c r="G859" s="385"/>
      <c r="H859" s="385">
        <v>2024</v>
      </c>
      <c r="I859" s="386">
        <v>45601</v>
      </c>
      <c r="J859" s="30"/>
      <c r="K859" s="385"/>
      <c r="L859" s="385"/>
      <c r="M859" s="385"/>
      <c r="N859" s="385"/>
      <c r="O859" s="385"/>
      <c r="P859" s="385" t="str">
        <f>IFERROR(
    IF(
        OR(ISBLANK(I859), ISBLANK(L859)),
        "",
        MAX(
            1,
            IF(
                NETWORKDAYS(I859, L859, Holiday_Dates) &lt;= 0,
                1,
                NETWORKDAYS(I859, L859, Holiday_Dates) - IF(I859 = L859, 0, 1)
            )
        )
    ),
    ""
)</f>
        <v/>
      </c>
      <c r="Q859" s="385" t="str">
        <f>IF(
    OR(ISBLANK(L859), ISBLANK(M859)),
    "",
    MAX(
        1,
        IF(
            NETWORKDAYS(L859, M859, Holiday_Dates) &lt;= 0,
            1,
            NETWORKDAYS(L859, M859, Holiday_Dates) - IF(L859 = M859, 0, 1)
        )
    )
)</f>
        <v/>
      </c>
      <c r="R859" s="385" t="str">
        <f>IFERROR(
    IF(
        OR(ISBLANK(N859), AND(ISBLANK(L859), ISBLANK(M859))),
        "",
        MAX(
            1,
            IF(
                NETWORKDAYS(IF(NOT(ISBLANK(M859)), M859, L859), N859, Holiday_Dates) &lt;= 0,
                1,
                NETWORKDAYS(IF(NOT(ISBLANK(M859)), M859, L859), N859, Holiday_Dates)
                - IF(IF(NOT(ISBLANK(M859)), M859, L859) = N859, 0, 1)
            )
        )
    ),
    ""
)</f>
        <v/>
      </c>
      <c r="S859" s="385" t="str">
        <f>IFERROR(
    IF(
        OR(ISBLANK(N859), ISBLANK(O859)),
        "",
        MAX(
            1,
            IF(
                NETWORKDAYS(N859, O859, Holiday_Dates) &lt;= 0,
                1,
                NETWORKDAYS(N859, O859, Holiday_Dates) - IF(N859 = O859, 0, 1)
            )
        )
    ),
    ""
)</f>
        <v/>
      </c>
      <c r="T859" s="385"/>
      <c r="U859" s="385" t="s">
        <v>4</v>
      </c>
      <c r="V859" s="385" t="s">
        <v>101</v>
      </c>
      <c r="W859" s="385" t="s">
        <v>1436</v>
      </c>
      <c r="X859" s="1"/>
    </row>
    <row r="860" spans="1:24">
      <c r="A860" s="385" t="s">
        <v>49</v>
      </c>
      <c r="B860" s="385" t="s">
        <v>2573</v>
      </c>
      <c r="C860" s="385" t="s">
        <v>2587</v>
      </c>
      <c r="D860" s="385" t="s">
        <v>88</v>
      </c>
      <c r="E860" s="385" t="s">
        <v>136</v>
      </c>
      <c r="F860" s="385"/>
      <c r="G860" s="385" t="s">
        <v>128</v>
      </c>
      <c r="H860" s="385"/>
      <c r="I860" s="385"/>
      <c r="J860" s="30"/>
      <c r="K860" s="388" t="s">
        <v>45</v>
      </c>
      <c r="L860" s="385"/>
      <c r="M860" s="385"/>
      <c r="N860" s="385"/>
      <c r="O860" s="385"/>
      <c r="P860" s="385" t="str">
        <f>IFERROR(
    IF(
        OR(ISBLANK(I860), ISBLANK(L860)),
        "",
        MAX(
            1,
            IF(
                NETWORKDAYS(I860, L860, Holiday_Dates) &lt;= 0,
                1,
                NETWORKDAYS(I860, L860, Holiday_Dates) - IF(I860 = L860, 0, 1)
            )
        )
    ),
    ""
)</f>
        <v/>
      </c>
      <c r="Q860" s="385" t="str">
        <f>IF(
    OR(ISBLANK(L860), ISBLANK(M860)),
    "",
    MAX(
        1,
        IF(
            NETWORKDAYS(L860, M860, Holiday_Dates) &lt;= 0,
            1,
            NETWORKDAYS(L860, M860, Holiday_Dates) - IF(L860 = M860, 0, 1)
        )
    )
)</f>
        <v/>
      </c>
      <c r="R860" s="385" t="str">
        <f>IFERROR(
    IF(
        OR(ISBLANK(N860), AND(ISBLANK(L860), ISBLANK(M860))),
        "",
        MAX(
            1,
            IF(
                NETWORKDAYS(IF(NOT(ISBLANK(M860)), M860, L860), N860, Holiday_Dates) &lt;= 0,
                1,
                NETWORKDAYS(IF(NOT(ISBLANK(M860)), M860, L860), N860, Holiday_Dates)
                - IF(IF(NOT(ISBLANK(M860)), M860, L860) = N860, 0, 1)
            )
        )
    ),
    ""
)</f>
        <v/>
      </c>
      <c r="S860" s="385" t="str">
        <f>IFERROR(
    IF(
        OR(ISBLANK(N860), ISBLANK(O860)),
        "",
        MAX(
            1,
            IF(
                NETWORKDAYS(N860, O860, Holiday_Dates) &lt;= 0,
                1,
                NETWORKDAYS(N860, O860, Holiday_Dates) - IF(N860 = O860, 0, 1)
            )
        )
    ),
    ""
)</f>
        <v/>
      </c>
      <c r="T860" s="385"/>
      <c r="U860" s="385"/>
      <c r="V860" s="385"/>
      <c r="W860" s="385" t="s">
        <v>4710</v>
      </c>
      <c r="X860" s="1"/>
    </row>
    <row r="861" spans="1:24">
      <c r="A861" s="385" t="s">
        <v>49</v>
      </c>
      <c r="B861" s="385" t="s">
        <v>2573</v>
      </c>
      <c r="C861" s="385" t="s">
        <v>2582</v>
      </c>
      <c r="D861" s="385" t="s">
        <v>88</v>
      </c>
      <c r="E861" s="385" t="s">
        <v>136</v>
      </c>
      <c r="F861" s="385"/>
      <c r="G861" s="385" t="s">
        <v>128</v>
      </c>
      <c r="H861" s="385"/>
      <c r="I861" s="385"/>
      <c r="J861" s="30"/>
      <c r="K861" s="388" t="s">
        <v>45</v>
      </c>
      <c r="L861" s="385"/>
      <c r="M861" s="385"/>
      <c r="N861" s="385"/>
      <c r="O861" s="385"/>
      <c r="P861" s="385" t="str">
        <f>IFERROR(
    IF(
        OR(ISBLANK(I861), ISBLANK(L861)),
        "",
        MAX(
            1,
            IF(
                NETWORKDAYS(I861, L861, Holiday_Dates) &lt;= 0,
                1,
                NETWORKDAYS(I861, L861, Holiday_Dates) - IF(I861 = L861, 0, 1)
            )
        )
    ),
    ""
)</f>
        <v/>
      </c>
      <c r="Q861" s="385" t="str">
        <f>IF(
    OR(ISBLANK(L861), ISBLANK(M861)),
    "",
    MAX(
        1,
        IF(
            NETWORKDAYS(L861, M861, Holiday_Dates) &lt;= 0,
            1,
            NETWORKDAYS(L861, M861, Holiday_Dates) - IF(L861 = M861, 0, 1)
        )
    )
)</f>
        <v/>
      </c>
      <c r="R861" s="385" t="str">
        <f>IFERROR(
    IF(
        OR(ISBLANK(N861), AND(ISBLANK(L861), ISBLANK(M861))),
        "",
        MAX(
            1,
            IF(
                NETWORKDAYS(IF(NOT(ISBLANK(M861)), M861, L861), N861, Holiday_Dates) &lt;= 0,
                1,
                NETWORKDAYS(IF(NOT(ISBLANK(M861)), M861, L861), N861, Holiday_Dates)
                - IF(IF(NOT(ISBLANK(M861)), M861, L861) = N861, 0, 1)
            )
        )
    ),
    ""
)</f>
        <v/>
      </c>
      <c r="S861" s="385" t="str">
        <f>IFERROR(
    IF(
        OR(ISBLANK(N861), ISBLANK(O861)),
        "",
        MAX(
            1,
            IF(
                NETWORKDAYS(N861, O861, Holiday_Dates) &lt;= 0,
                1,
                NETWORKDAYS(N861, O861, Holiday_Dates) - IF(N861 = O861, 0, 1)
            )
        )
    ),
    ""
)</f>
        <v/>
      </c>
      <c r="T861" s="385"/>
      <c r="U861" s="385"/>
      <c r="V861" s="385"/>
      <c r="W861" s="385" t="s">
        <v>4710</v>
      </c>
      <c r="X861" s="1"/>
    </row>
    <row r="862" spans="1:24">
      <c r="A862" s="385" t="s">
        <v>49</v>
      </c>
      <c r="B862" s="385" t="s">
        <v>2573</v>
      </c>
      <c r="C862" s="385" t="s">
        <v>2584</v>
      </c>
      <c r="D862" s="385" t="s">
        <v>88</v>
      </c>
      <c r="E862" s="385" t="s">
        <v>136</v>
      </c>
      <c r="F862" s="385"/>
      <c r="G862" s="385" t="s">
        <v>128</v>
      </c>
      <c r="H862" s="385"/>
      <c r="I862" s="385"/>
      <c r="J862" s="30"/>
      <c r="K862" s="388" t="s">
        <v>45</v>
      </c>
      <c r="L862" s="385"/>
      <c r="M862" s="385"/>
      <c r="N862" s="385"/>
      <c r="O862" s="385"/>
      <c r="P862" s="385" t="str">
        <f>IFERROR(
    IF(
        OR(ISBLANK(I862), ISBLANK(L862)),
        "",
        MAX(
            1,
            IF(
                NETWORKDAYS(I862, L862, Holiday_Dates) &lt;= 0,
                1,
                NETWORKDAYS(I862, L862, Holiday_Dates) - IF(I862 = L862, 0, 1)
            )
        )
    ),
    ""
)</f>
        <v/>
      </c>
      <c r="Q862" s="385" t="str">
        <f>IF(
    OR(ISBLANK(L862), ISBLANK(M862)),
    "",
    MAX(
        1,
        IF(
            NETWORKDAYS(L862, M862, Holiday_Dates) &lt;= 0,
            1,
            NETWORKDAYS(L862, M862, Holiday_Dates) - IF(L862 = M862, 0, 1)
        )
    )
)</f>
        <v/>
      </c>
      <c r="R862" s="385" t="str">
        <f>IFERROR(
    IF(
        OR(ISBLANK(N862), AND(ISBLANK(L862), ISBLANK(M862))),
        "",
        MAX(
            1,
            IF(
                NETWORKDAYS(IF(NOT(ISBLANK(M862)), M862, L862), N862, Holiday_Dates) &lt;= 0,
                1,
                NETWORKDAYS(IF(NOT(ISBLANK(M862)), M862, L862), N862, Holiday_Dates)
                - IF(IF(NOT(ISBLANK(M862)), M862, L862) = N862, 0, 1)
            )
        )
    ),
    ""
)</f>
        <v/>
      </c>
      <c r="S862" s="385" t="str">
        <f>IFERROR(
    IF(
        OR(ISBLANK(N862), ISBLANK(O862)),
        "",
        MAX(
            1,
            IF(
                NETWORKDAYS(N862, O862, Holiday_Dates) &lt;= 0,
                1,
                NETWORKDAYS(N862, O862, Holiday_Dates) - IF(N862 = O862, 0, 1)
            )
        )
    ),
    ""
)</f>
        <v/>
      </c>
      <c r="T862" s="385"/>
      <c r="U862" s="385"/>
      <c r="V862" s="385"/>
      <c r="W862" s="385" t="s">
        <v>4710</v>
      </c>
      <c r="X862" s="1"/>
    </row>
    <row r="863" spans="1:24">
      <c r="A863" s="385" t="s">
        <v>49</v>
      </c>
      <c r="B863" s="385" t="s">
        <v>2573</v>
      </c>
      <c r="C863" s="597" t="s">
        <v>2590</v>
      </c>
      <c r="D863" s="385" t="s">
        <v>88</v>
      </c>
      <c r="E863" s="385" t="s">
        <v>136</v>
      </c>
      <c r="F863" s="385"/>
      <c r="G863" s="385" t="s">
        <v>128</v>
      </c>
      <c r="H863" s="385"/>
      <c r="I863" s="385"/>
      <c r="J863" s="30"/>
      <c r="K863" s="388" t="s">
        <v>45</v>
      </c>
      <c r="L863" s="385"/>
      <c r="M863" s="385"/>
      <c r="N863" s="385"/>
      <c r="O863" s="385"/>
      <c r="P863" s="385" t="str">
        <f>IFERROR(
    IF(
        OR(ISBLANK(I863), ISBLANK(L863)),
        "",
        MAX(
            1,
            IF(
                NETWORKDAYS(I863, L863, Holiday_Dates) &lt;= 0,
                1,
                NETWORKDAYS(I863, L863, Holiday_Dates) - IF(I863 = L863, 0, 1)
            )
        )
    ),
    ""
)</f>
        <v/>
      </c>
      <c r="Q863" s="385" t="str">
        <f>IF(
    OR(ISBLANK(L863), ISBLANK(M863)),
    "",
    MAX(
        1,
        IF(
            NETWORKDAYS(L863, M863, Holiday_Dates) &lt;= 0,
            1,
            NETWORKDAYS(L863, M863, Holiday_Dates) - IF(L863 = M863, 0, 1)
        )
    )
)</f>
        <v/>
      </c>
      <c r="R863" s="385" t="str">
        <f>IFERROR(
    IF(
        OR(ISBLANK(N863), AND(ISBLANK(L863), ISBLANK(M863))),
        "",
        MAX(
            1,
            IF(
                NETWORKDAYS(IF(NOT(ISBLANK(M863)), M863, L863), N863, Holiday_Dates) &lt;= 0,
                1,
                NETWORKDAYS(IF(NOT(ISBLANK(M863)), M863, L863), N863, Holiday_Dates)
                - IF(IF(NOT(ISBLANK(M863)), M863, L863) = N863, 0, 1)
            )
        )
    ),
    ""
)</f>
        <v/>
      </c>
      <c r="S863" s="385" t="str">
        <f>IFERROR(
    IF(
        OR(ISBLANK(N863), ISBLANK(O863)),
        "",
        MAX(
            1,
            IF(
                NETWORKDAYS(N863, O863, Holiday_Dates) &lt;= 0,
                1,
                NETWORKDAYS(N863, O863, Holiday_Dates) - IF(N863 = O863, 0, 1)
            )
        )
    ),
    ""
)</f>
        <v/>
      </c>
      <c r="T863" s="385"/>
      <c r="U863" s="385"/>
      <c r="V863" s="385"/>
      <c r="W863" s="385" t="s">
        <v>4710</v>
      </c>
      <c r="X863" s="1"/>
    </row>
    <row r="864" spans="1:24">
      <c r="A864" s="385" t="s">
        <v>49</v>
      </c>
      <c r="B864" s="385" t="s">
        <v>2722</v>
      </c>
      <c r="C864" s="597" t="s">
        <v>2727</v>
      </c>
      <c r="D864" s="385" t="s">
        <v>88</v>
      </c>
      <c r="E864" s="385" t="s">
        <v>377</v>
      </c>
      <c r="F864" s="385"/>
      <c r="G864" s="385" t="s">
        <v>128</v>
      </c>
      <c r="H864" s="385"/>
      <c r="I864" s="385"/>
      <c r="J864" s="30"/>
      <c r="K864" s="388" t="s">
        <v>45</v>
      </c>
      <c r="L864" s="385"/>
      <c r="M864" s="385"/>
      <c r="N864" s="385"/>
      <c r="O864" s="385"/>
      <c r="P864" s="385" t="str">
        <f>IFERROR(
    IF(
        OR(ISBLANK(I864), ISBLANK(L864)),
        "",
        MAX(
            1,
            IF(
                NETWORKDAYS(I864, L864, Holiday_Dates) &lt;= 0,
                1,
                NETWORKDAYS(I864, L864, Holiday_Dates) - IF(I864 = L864, 0, 1)
            )
        )
    ),
    ""
)</f>
        <v/>
      </c>
      <c r="Q864" s="385" t="str">
        <f>IF(
    OR(ISBLANK(L864), ISBLANK(M864)),
    "",
    MAX(
        1,
        IF(
            NETWORKDAYS(L864, M864, Holiday_Dates) &lt;= 0,
            1,
            NETWORKDAYS(L864, M864, Holiday_Dates) - IF(L864 = M864, 0, 1)
        )
    )
)</f>
        <v/>
      </c>
      <c r="R864" s="385" t="str">
        <f>IFERROR(
    IF(
        OR(ISBLANK(N864), AND(ISBLANK(L864), ISBLANK(M864))),
        "",
        MAX(
            1,
            IF(
                NETWORKDAYS(IF(NOT(ISBLANK(M864)), M864, L864), N864, Holiday_Dates) &lt;= 0,
                1,
                NETWORKDAYS(IF(NOT(ISBLANK(M864)), M864, L864), N864, Holiday_Dates)
                - IF(IF(NOT(ISBLANK(M864)), M864, L864) = N864, 0, 1)
            )
        )
    ),
    ""
)</f>
        <v/>
      </c>
      <c r="S864" s="385" t="str">
        <f>IFERROR(
    IF(
        OR(ISBLANK(N864), ISBLANK(O864)),
        "",
        MAX(
            1,
            IF(
                NETWORKDAYS(N864, O864, Holiday_Dates) &lt;= 0,
                1,
                NETWORKDAYS(N864, O864, Holiday_Dates) - IF(N864 = O864, 0, 1)
            )
        )
    ),
    ""
)</f>
        <v/>
      </c>
      <c r="T864" s="385"/>
      <c r="U864" s="385"/>
      <c r="V864" s="385"/>
      <c r="W864" s="385" t="s">
        <v>4710</v>
      </c>
      <c r="X864" s="1"/>
    </row>
    <row r="865" spans="1:24">
      <c r="A865" s="385" t="s">
        <v>49</v>
      </c>
      <c r="B865" s="385" t="s">
        <v>342</v>
      </c>
      <c r="C865" s="597" t="s">
        <v>2340</v>
      </c>
      <c r="D865" s="385" t="s">
        <v>88</v>
      </c>
      <c r="E865" s="385" t="s">
        <v>344</v>
      </c>
      <c r="F865" s="385"/>
      <c r="G865" s="385" t="s">
        <v>128</v>
      </c>
      <c r="H865" s="385">
        <v>2026</v>
      </c>
      <c r="I865" s="386">
        <v>46085</v>
      </c>
      <c r="J865" s="30" t="s">
        <v>5045</v>
      </c>
      <c r="K865" s="388" t="s">
        <v>45</v>
      </c>
      <c r="L865" s="386">
        <v>46085</v>
      </c>
      <c r="M865" s="386">
        <v>46088</v>
      </c>
      <c r="N865" s="385"/>
      <c r="O865" s="385"/>
      <c r="P865" s="385">
        <f>IFERROR(
    IF(
        OR(ISBLANK(I865), ISBLANK(L865)),
        "",
        MAX(
            1,
            IF(
                NETWORKDAYS(I865, L865, Holiday_Dates) &lt;= 0,
                1,
                NETWORKDAYS(I865, L865, Holiday_Dates) - IF(I865 = L865, 0, 1)
            )
        )
    ),
    ""
)</f>
        <v>1</v>
      </c>
      <c r="Q865" s="385">
        <f>IF(
    OR(ISBLANK(L865), ISBLANK(M865)),
    "",
    MAX(
        1,
        IF(
            NETWORKDAYS(L865, M865, Holiday_Dates) &lt;= 0,
            1,
            NETWORKDAYS(L865, M865, Holiday_Dates) - IF(L865 = M865, 0, 1)
        )
    )
)</f>
        <v>2</v>
      </c>
      <c r="R865" s="385" t="str">
        <f>IFERROR(
    IF(
        OR(ISBLANK(N865), AND(ISBLANK(L865), ISBLANK(M865))),
        "",
        MAX(
            1,
            IF(
                NETWORKDAYS(IF(NOT(ISBLANK(M865)), M865, L865), N865, Holiday_Dates) &lt;= 0,
                1,
                NETWORKDAYS(IF(NOT(ISBLANK(M865)), M865, L865), N865, Holiday_Dates)
                - IF(IF(NOT(ISBLANK(M865)), M865, L865) = N865, 0, 1)
            )
        )
    ),
    ""
)</f>
        <v/>
      </c>
      <c r="S865" s="385" t="str">
        <f>IFERROR(
    IF(
        OR(ISBLANK(N865), ISBLANK(O865)),
        "",
        MAX(
            1,
            IF(
                NETWORKDAYS(N865, O865, Holiday_Dates) &lt;= 0,
                1,
                NETWORKDAYS(N865, O865, Holiday_Dates) - IF(N865 = O865, 0, 1)
            )
        )
    ),
    ""
)</f>
        <v/>
      </c>
      <c r="T865" s="385"/>
      <c r="U865" s="385" t="s">
        <v>5046</v>
      </c>
      <c r="V865" s="385" t="s">
        <v>101</v>
      </c>
      <c r="W865" s="385" t="s">
        <v>4710</v>
      </c>
      <c r="X865" s="1"/>
    </row>
    <row r="866" spans="1:24">
      <c r="A866" s="385" t="s">
        <v>49</v>
      </c>
      <c r="B866" s="385" t="s">
        <v>342</v>
      </c>
      <c r="C866" s="597" t="s">
        <v>520</v>
      </c>
      <c r="D866" s="385" t="s">
        <v>88</v>
      </c>
      <c r="E866" s="385" t="s">
        <v>344</v>
      </c>
      <c r="F866" s="385"/>
      <c r="G866" s="385" t="s">
        <v>128</v>
      </c>
      <c r="H866" s="385">
        <v>2026</v>
      </c>
      <c r="I866" s="386">
        <v>46085</v>
      </c>
      <c r="J866" s="30" t="s">
        <v>5047</v>
      </c>
      <c r="K866" s="388" t="s">
        <v>45</v>
      </c>
      <c r="L866" s="386">
        <v>46088</v>
      </c>
      <c r="M866" s="385"/>
      <c r="N866" s="385"/>
      <c r="O866" s="385"/>
      <c r="P866" s="385">
        <f>IFERROR(
    IF(
        OR(ISBLANK(I866), ISBLANK(L866)),
        "",
        MAX(
            1,
            IF(
                NETWORKDAYS(I866, L866, Holiday_Dates) &lt;= 0,
                1,
                NETWORKDAYS(I866, L866, Holiday_Dates) - IF(I866 = L866, 0, 1)
            )
        )
    ),
    ""
)</f>
        <v>2</v>
      </c>
      <c r="Q866" s="385" t="str">
        <f>IF(
    OR(ISBLANK(L866), ISBLANK(M866)),
    "",
    MAX(
        1,
        IF(
            NETWORKDAYS(L866, M866, Holiday_Dates) &lt;= 0,
            1,
            NETWORKDAYS(L866, M866, Holiday_Dates) - IF(L866 = M866, 0, 1)
        )
    )
)</f>
        <v/>
      </c>
      <c r="R866" s="385" t="str">
        <f>IFERROR(
    IF(
        OR(ISBLANK(N866), AND(ISBLANK(L866), ISBLANK(M866))),
        "",
        MAX(
            1,
            IF(
                NETWORKDAYS(IF(NOT(ISBLANK(M866)), M866, L866), N866, Holiday_Dates) &lt;= 0,
                1,
                NETWORKDAYS(IF(NOT(ISBLANK(M866)), M866, L866), N866, Holiday_Dates)
                - IF(IF(NOT(ISBLANK(M866)), M866, L866) = N866, 0, 1)
            )
        )
    ),
    ""
)</f>
        <v/>
      </c>
      <c r="S866" s="385" t="str">
        <f>IFERROR(
    IF(
        OR(ISBLANK(N866), ISBLANK(O866)),
        "",
        MAX(
            1,
            IF(
                NETWORKDAYS(N866, O866, Holiday_Dates) &lt;= 0,
                1,
                NETWORKDAYS(N866, O866, Holiday_Dates) - IF(N866 = O866, 0, 1)
            )
        )
    ),
    ""
)</f>
        <v/>
      </c>
      <c r="T866" s="385"/>
      <c r="U866" s="385" t="s">
        <v>4708</v>
      </c>
      <c r="V866" s="385"/>
      <c r="W866" s="385" t="s">
        <v>4710</v>
      </c>
      <c r="X866" s="1"/>
    </row>
    <row r="867" spans="1:24">
      <c r="A867" s="385" t="s">
        <v>49</v>
      </c>
      <c r="B867" s="385" t="s">
        <v>342</v>
      </c>
      <c r="C867" s="597" t="s">
        <v>427</v>
      </c>
      <c r="D867" s="385" t="s">
        <v>88</v>
      </c>
      <c r="E867" s="385" t="s">
        <v>344</v>
      </c>
      <c r="F867" s="385"/>
      <c r="G867" s="385" t="s">
        <v>128</v>
      </c>
      <c r="H867" s="385">
        <v>2026</v>
      </c>
      <c r="I867" s="386">
        <v>46085</v>
      </c>
      <c r="J867" s="30" t="s">
        <v>5048</v>
      </c>
      <c r="K867" s="388" t="s">
        <v>45</v>
      </c>
      <c r="L867" s="386">
        <v>46088</v>
      </c>
      <c r="M867" s="385"/>
      <c r="N867" s="385"/>
      <c r="O867" s="385"/>
      <c r="P867" s="385">
        <f>IFERROR(
    IF(
        OR(ISBLANK(I867), ISBLANK(L867)),
        "",
        MAX(
            1,
            IF(
                NETWORKDAYS(I867, L867, Holiday_Dates) &lt;= 0,
                1,
                NETWORKDAYS(I867, L867, Holiday_Dates) - IF(I867 = L867, 0, 1)
            )
        )
    ),
    ""
)</f>
        <v>2</v>
      </c>
      <c r="Q867" s="385" t="str">
        <f>IF(
    OR(ISBLANK(L867), ISBLANK(M867)),
    "",
    MAX(
        1,
        IF(
            NETWORKDAYS(L867, M867, Holiday_Dates) &lt;= 0,
            1,
            NETWORKDAYS(L867, M867, Holiday_Dates) - IF(L867 = M867, 0, 1)
        )
    )
)</f>
        <v/>
      </c>
      <c r="R867" s="385" t="str">
        <f>IFERROR(
    IF(
        OR(ISBLANK(N867), AND(ISBLANK(L867), ISBLANK(M867))),
        "",
        MAX(
            1,
            IF(
                NETWORKDAYS(IF(NOT(ISBLANK(M867)), M867, L867), N867, Holiday_Dates) &lt;= 0,
                1,
                NETWORKDAYS(IF(NOT(ISBLANK(M867)), M867, L867), N867, Holiday_Dates)
                - IF(IF(NOT(ISBLANK(M867)), M867, L867) = N867, 0, 1)
            )
        )
    ),
    ""
)</f>
        <v/>
      </c>
      <c r="S867" s="385" t="str">
        <f>IFERROR(
    IF(
        OR(ISBLANK(N867), ISBLANK(O867)),
        "",
        MAX(
            1,
            IF(
                NETWORKDAYS(N867, O867, Holiday_Dates) &lt;= 0,
                1,
                NETWORKDAYS(N867, O867, Holiday_Dates) - IF(N867 = O867, 0, 1)
            )
        )
    ),
    ""
)</f>
        <v/>
      </c>
      <c r="T867" s="385"/>
      <c r="U867" s="385" t="s">
        <v>5046</v>
      </c>
      <c r="V867" s="385" t="s">
        <v>5049</v>
      </c>
      <c r="W867" s="385" t="s">
        <v>4710</v>
      </c>
      <c r="X867" s="1"/>
    </row>
    <row r="868" spans="1:24">
      <c r="A868" s="385" t="s">
        <v>49</v>
      </c>
      <c r="B868" s="385" t="s">
        <v>440</v>
      </c>
      <c r="C868" s="385" t="s">
        <v>2643</v>
      </c>
      <c r="D868" s="385" t="s">
        <v>88</v>
      </c>
      <c r="E868" s="385"/>
      <c r="F868" s="385"/>
      <c r="G868" s="385"/>
      <c r="H868" s="385">
        <v>2024</v>
      </c>
      <c r="I868" s="386">
        <v>45601</v>
      </c>
      <c r="J868" s="30"/>
      <c r="K868" s="385"/>
      <c r="L868" s="385"/>
      <c r="M868" s="385"/>
      <c r="N868" s="385"/>
      <c r="O868" s="385"/>
      <c r="P868" s="385" t="str">
        <f>IFERROR(
    IF(
        OR(ISBLANK(I868), ISBLANK(L868)),
        "",
        MAX(
            1,
            IF(
                NETWORKDAYS(I868, L868, Holiday_Dates) &lt;= 0,
                1,
                NETWORKDAYS(I868, L868, Holiday_Dates) - IF(I868 = L868, 0, 1)
            )
        )
    ),
    ""
)</f>
        <v/>
      </c>
      <c r="Q868" s="385" t="str">
        <f>IF(
    OR(ISBLANK(L868), ISBLANK(M868)),
    "",
    MAX(
        1,
        IF(
            NETWORKDAYS(L868, M868, Holiday_Dates) &lt;= 0,
            1,
            NETWORKDAYS(L868, M868, Holiday_Dates) - IF(L868 = M868, 0, 1)
        )
    )
)</f>
        <v/>
      </c>
      <c r="R868" s="385" t="str">
        <f>IFERROR(
    IF(
        OR(ISBLANK(N868), AND(ISBLANK(L868), ISBLANK(M868))),
        "",
        MAX(
            1,
            IF(
                NETWORKDAYS(IF(NOT(ISBLANK(M868)), M868, L868), N868, Holiday_Dates) &lt;= 0,
                1,
                NETWORKDAYS(IF(NOT(ISBLANK(M868)), M868, L868), N868, Holiday_Dates)
                - IF(IF(NOT(ISBLANK(M868)), M868, L868) = N868, 0, 1)
            )
        )
    ),
    ""
)</f>
        <v/>
      </c>
      <c r="S868" s="385" t="str">
        <f>IFERROR(
    IF(
        OR(ISBLANK(N868), ISBLANK(O868)),
        "",
        MAX(
            1,
            IF(
                NETWORKDAYS(N868, O868, Holiday_Dates) &lt;= 0,
                1,
                NETWORKDAYS(N868, O868, Holiday_Dates) - IF(N868 = O868, 0, 1)
            )
        )
    ),
    ""
)</f>
        <v/>
      </c>
      <c r="T868" s="385"/>
      <c r="U868" s="385" t="s">
        <v>4</v>
      </c>
      <c r="V868" s="385" t="s">
        <v>108</v>
      </c>
      <c r="W868" s="385" t="s">
        <v>1436</v>
      </c>
      <c r="X868" s="1"/>
    </row>
    <row r="869" spans="1:24">
      <c r="A869" s="385" t="s">
        <v>49</v>
      </c>
      <c r="B869" s="385" t="s">
        <v>342</v>
      </c>
      <c r="C869" s="597" t="s">
        <v>764</v>
      </c>
      <c r="D869" s="385" t="s">
        <v>88</v>
      </c>
      <c r="E869" s="385" t="s">
        <v>344</v>
      </c>
      <c r="F869" s="385"/>
      <c r="G869" s="385" t="s">
        <v>128</v>
      </c>
      <c r="H869" s="385">
        <v>2026</v>
      </c>
      <c r="I869" s="386">
        <v>46085</v>
      </c>
      <c r="J869" s="30" t="s">
        <v>5050</v>
      </c>
      <c r="K869" s="388" t="s">
        <v>45</v>
      </c>
      <c r="L869" s="386">
        <v>46088</v>
      </c>
      <c r="M869" s="385"/>
      <c r="N869" s="385"/>
      <c r="O869" s="385"/>
      <c r="P869" s="385">
        <f>IFERROR(
    IF(
        OR(ISBLANK(I869), ISBLANK(L869)),
        "",
        MAX(
            1,
            IF(
                NETWORKDAYS(I869, L869, Holiday_Dates) &lt;= 0,
                1,
                NETWORKDAYS(I869, L869, Holiday_Dates) - IF(I869 = L869, 0, 1)
            )
        )
    ),
    ""
)</f>
        <v>2</v>
      </c>
      <c r="Q869" s="385" t="str">
        <f>IF(
    OR(ISBLANK(L869), ISBLANK(M869)),
    "",
    MAX(
        1,
        IF(
            NETWORKDAYS(L869, M869, Holiday_Dates) &lt;= 0,
            1,
            NETWORKDAYS(L869, M869, Holiday_Dates) - IF(L869 = M869, 0, 1)
        )
    )
)</f>
        <v/>
      </c>
      <c r="R869" s="385" t="str">
        <f>IFERROR(
    IF(
        OR(ISBLANK(N869), AND(ISBLANK(L869), ISBLANK(M869))),
        "",
        MAX(
            1,
            IF(
                NETWORKDAYS(IF(NOT(ISBLANK(M869)), M869, L869), N869, Holiday_Dates) &lt;= 0,
                1,
                NETWORKDAYS(IF(NOT(ISBLANK(M869)), M869, L869), N869, Holiday_Dates)
                - IF(IF(NOT(ISBLANK(M869)), M869, L869) = N869, 0, 1)
            )
        )
    ),
    ""
)</f>
        <v/>
      </c>
      <c r="S869" s="385" t="str">
        <f>IFERROR(
    IF(
        OR(ISBLANK(N869), ISBLANK(O869)),
        "",
        MAX(
            1,
            IF(
                NETWORKDAYS(N869, O869, Holiday_Dates) &lt;= 0,
                1,
                NETWORKDAYS(N869, O869, Holiday_Dates) - IF(N869 = O869, 0, 1)
            )
        )
    ),
    ""
)</f>
        <v/>
      </c>
      <c r="T869" s="385"/>
      <c r="U869" s="385" t="s">
        <v>4708</v>
      </c>
      <c r="V869" s="385"/>
      <c r="W869" s="385" t="s">
        <v>4710</v>
      </c>
      <c r="X869" s="1"/>
    </row>
    <row r="870" spans="1:24">
      <c r="A870" s="385" t="s">
        <v>49</v>
      </c>
      <c r="B870" s="385" t="s">
        <v>440</v>
      </c>
      <c r="C870" s="385" t="s">
        <v>2645</v>
      </c>
      <c r="D870" s="385" t="s">
        <v>88</v>
      </c>
      <c r="E870" s="385"/>
      <c r="F870" s="385"/>
      <c r="G870" s="385"/>
      <c r="H870" s="385">
        <v>2024</v>
      </c>
      <c r="I870" s="386">
        <v>45602</v>
      </c>
      <c r="J870" s="30"/>
      <c r="K870" s="385"/>
      <c r="L870" s="385"/>
      <c r="M870" s="385"/>
      <c r="N870" s="385"/>
      <c r="O870" s="385"/>
      <c r="P870" s="385" t="str">
        <f>IFERROR(
    IF(
        OR(ISBLANK(I870), ISBLANK(L870)),
        "",
        MAX(
            1,
            IF(
                NETWORKDAYS(I870, L870, Holiday_Dates) &lt;= 0,
                1,
                NETWORKDAYS(I870, L870, Holiday_Dates) - IF(I870 = L870, 0, 1)
            )
        )
    ),
    ""
)</f>
        <v/>
      </c>
      <c r="Q870" s="385" t="str">
        <f>IF(
    OR(ISBLANK(L870), ISBLANK(M870)),
    "",
    MAX(
        1,
        IF(
            NETWORKDAYS(L870, M870, Holiday_Dates) &lt;= 0,
            1,
            NETWORKDAYS(L870, M870, Holiday_Dates) - IF(L870 = M870, 0, 1)
        )
    )
)</f>
        <v/>
      </c>
      <c r="R870" s="385" t="str">
        <f>IFERROR(
    IF(
        OR(ISBLANK(N870), AND(ISBLANK(L870), ISBLANK(M870))),
        "",
        MAX(
            1,
            IF(
                NETWORKDAYS(IF(NOT(ISBLANK(M870)), M870, L870), N870, Holiday_Dates) &lt;= 0,
                1,
                NETWORKDAYS(IF(NOT(ISBLANK(M870)), M870, L870), N870, Holiday_Dates)
                - IF(IF(NOT(ISBLANK(M870)), M870, L870) = N870, 0, 1)
            )
        )
    ),
    ""
)</f>
        <v/>
      </c>
      <c r="S870" s="385" t="str">
        <f>IFERROR(
    IF(
        OR(ISBLANK(N870), ISBLANK(O870)),
        "",
        MAX(
            1,
            IF(
                NETWORKDAYS(N870, O870, Holiday_Dates) &lt;= 0,
                1,
                NETWORKDAYS(N870, O870, Holiday_Dates) - IF(N870 = O870, 0, 1)
            )
        )
    ),
    ""
)</f>
        <v/>
      </c>
      <c r="T870" s="385"/>
      <c r="U870" s="385" t="s">
        <v>4</v>
      </c>
      <c r="V870" s="385" t="s">
        <v>101</v>
      </c>
      <c r="W870" s="385" t="s">
        <v>1436</v>
      </c>
      <c r="X870" s="1"/>
    </row>
    <row r="871" spans="1:24">
      <c r="A871" s="385" t="s">
        <v>49</v>
      </c>
      <c r="B871" s="385" t="s">
        <v>342</v>
      </c>
      <c r="C871" s="597" t="s">
        <v>2349</v>
      </c>
      <c r="D871" s="385" t="s">
        <v>88</v>
      </c>
      <c r="E871" s="385" t="s">
        <v>344</v>
      </c>
      <c r="F871" s="385"/>
      <c r="G871" s="385" t="s">
        <v>128</v>
      </c>
      <c r="H871" s="385">
        <v>2026</v>
      </c>
      <c r="I871" s="386">
        <v>46084</v>
      </c>
      <c r="J871" s="30" t="s">
        <v>5051</v>
      </c>
      <c r="K871" s="388" t="s">
        <v>45</v>
      </c>
      <c r="L871" s="386">
        <v>46088</v>
      </c>
      <c r="M871" s="385"/>
      <c r="N871" s="385"/>
      <c r="O871" s="385"/>
      <c r="P871" s="385">
        <f>IFERROR(
    IF(
        OR(ISBLANK(I871), ISBLANK(L871)),
        "",
        MAX(
            1,
            IF(
                NETWORKDAYS(I871, L871, Holiday_Dates) &lt;= 0,
                1,
                NETWORKDAYS(I871, L871, Holiday_Dates) - IF(I871 = L871, 0, 1)
            )
        )
    ),
    ""
)</f>
        <v>3</v>
      </c>
      <c r="Q871" s="385" t="str">
        <f>IF(
    OR(ISBLANK(L871), ISBLANK(M871)),
    "",
    MAX(
        1,
        IF(
            NETWORKDAYS(L871, M871, Holiday_Dates) &lt;= 0,
            1,
            NETWORKDAYS(L871, M871, Holiday_Dates) - IF(L871 = M871, 0, 1)
        )
    )
)</f>
        <v/>
      </c>
      <c r="R871" s="385" t="str">
        <f>IFERROR(
    IF(
        OR(ISBLANK(N871), AND(ISBLANK(L871), ISBLANK(M871))),
        "",
        MAX(
            1,
            IF(
                NETWORKDAYS(IF(NOT(ISBLANK(M871)), M871, L871), N871, Holiday_Dates) &lt;= 0,
                1,
                NETWORKDAYS(IF(NOT(ISBLANK(M871)), M871, L871), N871, Holiday_Dates)
                - IF(IF(NOT(ISBLANK(M871)), M871, L871) = N871, 0, 1)
            )
        )
    ),
    ""
)</f>
        <v/>
      </c>
      <c r="S871" s="385" t="str">
        <f>IFERROR(
    IF(
        OR(ISBLANK(N871), ISBLANK(O871)),
        "",
        MAX(
            1,
            IF(
                NETWORKDAYS(N871, O871, Holiday_Dates) &lt;= 0,
                1,
                NETWORKDAYS(N871, O871, Holiday_Dates) - IF(N871 = O871, 0, 1)
            )
        )
    ),
    ""
)</f>
        <v/>
      </c>
      <c r="T871" s="385"/>
      <c r="U871" s="385" t="s">
        <v>4708</v>
      </c>
      <c r="V871" s="385"/>
      <c r="W871" s="385" t="s">
        <v>4710</v>
      </c>
      <c r="X871" s="1"/>
    </row>
    <row r="872" spans="1:24">
      <c r="A872" s="385" t="s">
        <v>49</v>
      </c>
      <c r="B872" s="385" t="s">
        <v>342</v>
      </c>
      <c r="C872" s="597" t="s">
        <v>440</v>
      </c>
      <c r="D872" s="385" t="s">
        <v>88</v>
      </c>
      <c r="E872" s="385" t="s">
        <v>344</v>
      </c>
      <c r="F872" s="385"/>
      <c r="G872" s="385" t="s">
        <v>128</v>
      </c>
      <c r="H872" s="385">
        <v>2026</v>
      </c>
      <c r="I872" s="386">
        <v>46085</v>
      </c>
      <c r="J872" s="30" t="s">
        <v>5052</v>
      </c>
      <c r="K872" s="388" t="s">
        <v>45</v>
      </c>
      <c r="L872" s="385"/>
      <c r="M872" s="385"/>
      <c r="N872" s="385"/>
      <c r="O872" s="385"/>
      <c r="P872" s="385" t="str">
        <f>IFERROR(
    IF(
        OR(ISBLANK(I872), ISBLANK(L872)),
        "",
        MAX(
            1,
            IF(
                NETWORKDAYS(I872, L872, Holiday_Dates) &lt;= 0,
                1,
                NETWORKDAYS(I872, L872, Holiday_Dates) - IF(I872 = L872, 0, 1)
            )
        )
    ),
    ""
)</f>
        <v/>
      </c>
      <c r="Q872" s="385" t="str">
        <f>IF(
    OR(ISBLANK(L872), ISBLANK(M872)),
    "",
    MAX(
        1,
        IF(
            NETWORKDAYS(L872, M872, Holiday_Dates) &lt;= 0,
            1,
            NETWORKDAYS(L872, M872, Holiday_Dates) - IF(L872 = M872, 0, 1)
        )
    )
)</f>
        <v/>
      </c>
      <c r="R872" s="385" t="str">
        <f>IFERROR(
    IF(
        OR(ISBLANK(N872), AND(ISBLANK(L872), ISBLANK(M872))),
        "",
        MAX(
            1,
            IF(
                NETWORKDAYS(IF(NOT(ISBLANK(M872)), M872, L872), N872, Holiday_Dates) &lt;= 0,
                1,
                NETWORKDAYS(IF(NOT(ISBLANK(M872)), M872, L872), N872, Holiday_Dates)
                - IF(IF(NOT(ISBLANK(M872)), M872, L872) = N872, 0, 1)
            )
        )
    ),
    ""
)</f>
        <v/>
      </c>
      <c r="S872" s="385" t="str">
        <f>IFERROR(
    IF(
        OR(ISBLANK(N872), ISBLANK(O872)),
        "",
        MAX(
            1,
            IF(
                NETWORKDAYS(N872, O872, Holiday_Dates) &lt;= 0,
                1,
                NETWORKDAYS(N872, O872, Holiday_Dates) - IF(N872 = O872, 0, 1)
            )
        )
    ),
    ""
)</f>
        <v/>
      </c>
      <c r="T872" s="385"/>
      <c r="U872" s="385" t="s">
        <v>5046</v>
      </c>
      <c r="V872" s="385" t="s">
        <v>101</v>
      </c>
      <c r="W872" s="385" t="s">
        <v>4710</v>
      </c>
      <c r="X872" s="1"/>
    </row>
    <row r="873" spans="1:24">
      <c r="A873" s="385" t="s">
        <v>49</v>
      </c>
      <c r="B873" s="385" t="s">
        <v>223</v>
      </c>
      <c r="C873" s="597" t="s">
        <v>2405</v>
      </c>
      <c r="D873" s="385" t="s">
        <v>88</v>
      </c>
      <c r="E873" s="385" t="s">
        <v>136</v>
      </c>
      <c r="F873" s="385"/>
      <c r="G873" s="385" t="s">
        <v>128</v>
      </c>
      <c r="H873" s="385"/>
      <c r="I873" s="385"/>
      <c r="J873" s="30"/>
      <c r="K873" s="388" t="s">
        <v>45</v>
      </c>
      <c r="L873" s="385"/>
      <c r="M873" s="385"/>
      <c r="N873" s="385"/>
      <c r="O873" s="385"/>
      <c r="P873" s="385" t="str">
        <f>IFERROR(
    IF(
        OR(ISBLANK(I873), ISBLANK(L873)),
        "",
        MAX(
            1,
            IF(
                NETWORKDAYS(I873, L873, Holiday_Dates) &lt;= 0,
                1,
                NETWORKDAYS(I873, L873, Holiday_Dates) - IF(I873 = L873, 0, 1)
            )
        )
    ),
    ""
)</f>
        <v/>
      </c>
      <c r="Q873" s="385" t="str">
        <f>IF(
    OR(ISBLANK(L873), ISBLANK(M873)),
    "",
    MAX(
        1,
        IF(
            NETWORKDAYS(L873, M873, Holiday_Dates) &lt;= 0,
            1,
            NETWORKDAYS(L873, M873, Holiday_Dates) - IF(L873 = M873, 0, 1)
        )
    )
)</f>
        <v/>
      </c>
      <c r="R873" s="385" t="str">
        <f>IFERROR(
    IF(
        OR(ISBLANK(N873), AND(ISBLANK(L873), ISBLANK(M873))),
        "",
        MAX(
            1,
            IF(
                NETWORKDAYS(IF(NOT(ISBLANK(M873)), M873, L873), N873, Holiday_Dates) &lt;= 0,
                1,
                NETWORKDAYS(IF(NOT(ISBLANK(M873)), M873, L873), N873, Holiday_Dates)
                - IF(IF(NOT(ISBLANK(M873)), M873, L873) = N873, 0, 1)
            )
        )
    ),
    ""
)</f>
        <v/>
      </c>
      <c r="S873" s="385" t="str">
        <f>IFERROR(
    IF(
        OR(ISBLANK(N873), ISBLANK(O873)),
        "",
        MAX(
            1,
            IF(
                NETWORKDAYS(N873, O873, Holiday_Dates) &lt;= 0,
                1,
                NETWORKDAYS(N873, O873, Holiday_Dates) - IF(N873 = O873, 0, 1)
            )
        )
    ),
    ""
)</f>
        <v/>
      </c>
      <c r="T873" s="385"/>
      <c r="U873" s="385"/>
      <c r="V873" s="385"/>
      <c r="W873" s="385" t="s">
        <v>4710</v>
      </c>
      <c r="X873" s="1"/>
    </row>
    <row r="874" spans="1:24">
      <c r="A874" s="385" t="s">
        <v>49</v>
      </c>
      <c r="B874" s="385" t="s">
        <v>223</v>
      </c>
      <c r="C874" s="597" t="s">
        <v>2407</v>
      </c>
      <c r="D874" s="385" t="s">
        <v>88</v>
      </c>
      <c r="E874" s="385" t="s">
        <v>136</v>
      </c>
      <c r="F874" s="385"/>
      <c r="G874" s="385" t="s">
        <v>128</v>
      </c>
      <c r="H874" s="385"/>
      <c r="I874" s="385"/>
      <c r="J874" s="30"/>
      <c r="K874" s="388" t="s">
        <v>45</v>
      </c>
      <c r="L874" s="385"/>
      <c r="M874" s="385"/>
      <c r="N874" s="385"/>
      <c r="O874" s="385"/>
      <c r="P874" s="385" t="str">
        <f>IFERROR(
    IF(
        OR(ISBLANK(I874), ISBLANK(L874)),
        "",
        MAX(
            1,
            IF(
                NETWORKDAYS(I874, L874, Holiday_Dates) &lt;= 0,
                1,
                NETWORKDAYS(I874, L874, Holiday_Dates) - IF(I874 = L874, 0, 1)
            )
        )
    ),
    ""
)</f>
        <v/>
      </c>
      <c r="Q874" s="385" t="str">
        <f>IF(
    OR(ISBLANK(L874), ISBLANK(M874)),
    "",
    MAX(
        1,
        IF(
            NETWORKDAYS(L874, M874, Holiday_Dates) &lt;= 0,
            1,
            NETWORKDAYS(L874, M874, Holiday_Dates) - IF(L874 = M874, 0, 1)
        )
    )
)</f>
        <v/>
      </c>
      <c r="R874" s="385" t="str">
        <f>IFERROR(
    IF(
        OR(ISBLANK(N874), AND(ISBLANK(L874), ISBLANK(M874))),
        "",
        MAX(
            1,
            IF(
                NETWORKDAYS(IF(NOT(ISBLANK(M874)), M874, L874), N874, Holiday_Dates) &lt;= 0,
                1,
                NETWORKDAYS(IF(NOT(ISBLANK(M874)), M874, L874), N874, Holiday_Dates)
                - IF(IF(NOT(ISBLANK(M874)), M874, L874) = N874, 0, 1)
            )
        )
    ),
    ""
)</f>
        <v/>
      </c>
      <c r="S874" s="385" t="str">
        <f>IFERROR(
    IF(
        OR(ISBLANK(N874), ISBLANK(O874)),
        "",
        MAX(
            1,
            IF(
                NETWORKDAYS(N874, O874, Holiday_Dates) &lt;= 0,
                1,
                NETWORKDAYS(N874, O874, Holiday_Dates) - IF(N874 = O874, 0, 1)
            )
        )
    ),
    ""
)</f>
        <v/>
      </c>
      <c r="T874" s="385"/>
      <c r="U874" s="385"/>
      <c r="V874" s="385"/>
      <c r="W874" s="385" t="s">
        <v>4710</v>
      </c>
      <c r="X874" s="1"/>
    </row>
    <row r="875" spans="1:24">
      <c r="A875" s="385" t="s">
        <v>49</v>
      </c>
      <c r="B875" s="385" t="s">
        <v>223</v>
      </c>
      <c r="C875" s="597" t="s">
        <v>2412</v>
      </c>
      <c r="D875" s="385" t="s">
        <v>88</v>
      </c>
      <c r="E875" s="385" t="s">
        <v>136</v>
      </c>
      <c r="F875" s="385"/>
      <c r="G875" s="385" t="s">
        <v>128</v>
      </c>
      <c r="H875" s="385"/>
      <c r="I875" s="385"/>
      <c r="J875" s="30"/>
      <c r="K875" s="388" t="s">
        <v>45</v>
      </c>
      <c r="L875" s="385"/>
      <c r="M875" s="385"/>
      <c r="N875" s="385"/>
      <c r="O875" s="385"/>
      <c r="P875" s="385" t="str">
        <f>IFERROR(
    IF(
        OR(ISBLANK(I875), ISBLANK(L875)),
        "",
        MAX(
            1,
            IF(
                NETWORKDAYS(I875, L875, Holiday_Dates) &lt;= 0,
                1,
                NETWORKDAYS(I875, L875, Holiday_Dates) - IF(I875 = L875, 0, 1)
            )
        )
    ),
    ""
)</f>
        <v/>
      </c>
      <c r="Q875" s="385" t="str">
        <f>IF(
    OR(ISBLANK(L875), ISBLANK(M875)),
    "",
    MAX(
        1,
        IF(
            NETWORKDAYS(L875, M875, Holiday_Dates) &lt;= 0,
            1,
            NETWORKDAYS(L875, M875, Holiday_Dates) - IF(L875 = M875, 0, 1)
        )
    )
)</f>
        <v/>
      </c>
      <c r="R875" s="385" t="str">
        <f>IFERROR(
    IF(
        OR(ISBLANK(N875), AND(ISBLANK(L875), ISBLANK(M875))),
        "",
        MAX(
            1,
            IF(
                NETWORKDAYS(IF(NOT(ISBLANK(M875)), M875, L875), N875, Holiday_Dates) &lt;= 0,
                1,
                NETWORKDAYS(IF(NOT(ISBLANK(M875)), M875, L875), N875, Holiday_Dates)
                - IF(IF(NOT(ISBLANK(M875)), M875, L875) = N875, 0, 1)
            )
        )
    ),
    ""
)</f>
        <v/>
      </c>
      <c r="S875" s="385" t="str">
        <f>IFERROR(
    IF(
        OR(ISBLANK(N875), ISBLANK(O875)),
        "",
        MAX(
            1,
            IF(
                NETWORKDAYS(N875, O875, Holiday_Dates) &lt;= 0,
                1,
                NETWORKDAYS(N875, O875, Holiday_Dates) - IF(N875 = O875, 0, 1)
            )
        )
    ),
    ""
)</f>
        <v/>
      </c>
      <c r="T875" s="385"/>
      <c r="U875" s="385"/>
      <c r="V875" s="385"/>
      <c r="W875" s="385" t="s">
        <v>4710</v>
      </c>
      <c r="X875" s="1"/>
    </row>
    <row r="876" spans="1:24">
      <c r="A876" s="385" t="s">
        <v>49</v>
      </c>
      <c r="B876" s="385" t="s">
        <v>434</v>
      </c>
      <c r="C876" s="597" t="s">
        <v>2459</v>
      </c>
      <c r="D876" s="385" t="s">
        <v>88</v>
      </c>
      <c r="E876" s="385" t="s">
        <v>136</v>
      </c>
      <c r="F876" s="385"/>
      <c r="G876" s="385" t="s">
        <v>128</v>
      </c>
      <c r="H876" s="385"/>
      <c r="I876" s="385"/>
      <c r="J876" s="30"/>
      <c r="K876" s="388" t="s">
        <v>45</v>
      </c>
      <c r="L876" s="385"/>
      <c r="M876" s="385"/>
      <c r="N876" s="385"/>
      <c r="O876" s="385"/>
      <c r="P876" s="385" t="str">
        <f>IFERROR(
    IF(
        OR(ISBLANK(I876), ISBLANK(L876)),
        "",
        MAX(
            1,
            IF(
                NETWORKDAYS(I876, L876, Holiday_Dates) &lt;= 0,
                1,
                NETWORKDAYS(I876, L876, Holiday_Dates) - IF(I876 = L876, 0, 1)
            )
        )
    ),
    ""
)</f>
        <v/>
      </c>
      <c r="Q876" s="385" t="str">
        <f>IF(
    OR(ISBLANK(L876), ISBLANK(M876)),
    "",
    MAX(
        1,
        IF(
            NETWORKDAYS(L876, M876, Holiday_Dates) &lt;= 0,
            1,
            NETWORKDAYS(L876, M876, Holiday_Dates) - IF(L876 = M876, 0, 1)
        )
    )
)</f>
        <v/>
      </c>
      <c r="R876" s="385" t="str">
        <f>IFERROR(
    IF(
        OR(ISBLANK(N876), AND(ISBLANK(L876), ISBLANK(M876))),
        "",
        MAX(
            1,
            IF(
                NETWORKDAYS(IF(NOT(ISBLANK(M876)), M876, L876), N876, Holiday_Dates) &lt;= 0,
                1,
                NETWORKDAYS(IF(NOT(ISBLANK(M876)), M876, L876), N876, Holiday_Dates)
                - IF(IF(NOT(ISBLANK(M876)), M876, L876) = N876, 0, 1)
            )
        )
    ),
    ""
)</f>
        <v/>
      </c>
      <c r="S876" s="385" t="str">
        <f>IFERROR(
    IF(
        OR(ISBLANK(N876), ISBLANK(O876)),
        "",
        MAX(
            1,
            IF(
                NETWORKDAYS(N876, O876, Holiday_Dates) &lt;= 0,
                1,
                NETWORKDAYS(N876, O876, Holiday_Dates) - IF(N876 = O876, 0, 1)
            )
        )
    ),
    ""
)</f>
        <v/>
      </c>
      <c r="T876" s="385"/>
      <c r="U876" s="385"/>
      <c r="V876" s="385"/>
      <c r="W876" s="385" t="s">
        <v>4710</v>
      </c>
      <c r="X876" s="1"/>
    </row>
    <row r="877" spans="1:24">
      <c r="A877" s="385" t="s">
        <v>49</v>
      </c>
      <c r="B877" s="385" t="s">
        <v>434</v>
      </c>
      <c r="C877" s="597" t="s">
        <v>2454</v>
      </c>
      <c r="D877" s="385" t="s">
        <v>88</v>
      </c>
      <c r="E877" s="385" t="s">
        <v>136</v>
      </c>
      <c r="F877" s="385"/>
      <c r="G877" s="385" t="s">
        <v>128</v>
      </c>
      <c r="H877" s="385"/>
      <c r="I877" s="385"/>
      <c r="J877" s="30"/>
      <c r="K877" s="388" t="s">
        <v>45</v>
      </c>
      <c r="L877" s="385"/>
      <c r="M877" s="385"/>
      <c r="N877" s="385"/>
      <c r="O877" s="385"/>
      <c r="P877" s="385" t="str">
        <f>IFERROR(
    IF(
        OR(ISBLANK(I877), ISBLANK(L877)),
        "",
        MAX(
            1,
            IF(
                NETWORKDAYS(I877, L877, Holiday_Dates) &lt;= 0,
                1,
                NETWORKDAYS(I877, L877, Holiday_Dates) - IF(I877 = L877, 0, 1)
            )
        )
    ),
    ""
)</f>
        <v/>
      </c>
      <c r="Q877" s="385" t="str">
        <f>IF(
    OR(ISBLANK(L877), ISBLANK(M877)),
    "",
    MAX(
        1,
        IF(
            NETWORKDAYS(L877, M877, Holiday_Dates) &lt;= 0,
            1,
            NETWORKDAYS(L877, M877, Holiday_Dates) - IF(L877 = M877, 0, 1)
        )
    )
)</f>
        <v/>
      </c>
      <c r="R877" s="385" t="str">
        <f>IFERROR(
    IF(
        OR(ISBLANK(N877), AND(ISBLANK(L877), ISBLANK(M877))),
        "",
        MAX(
            1,
            IF(
                NETWORKDAYS(IF(NOT(ISBLANK(M877)), M877, L877), N877, Holiday_Dates) &lt;= 0,
                1,
                NETWORKDAYS(IF(NOT(ISBLANK(M877)), M877, L877), N877, Holiday_Dates)
                - IF(IF(NOT(ISBLANK(M877)), M877, L877) = N877, 0, 1)
            )
        )
    ),
    ""
)</f>
        <v/>
      </c>
      <c r="S877" s="385" t="str">
        <f>IFERROR(
    IF(
        OR(ISBLANK(N877), ISBLANK(O877)),
        "",
        MAX(
            1,
            IF(
                NETWORKDAYS(N877, O877, Holiday_Dates) &lt;= 0,
                1,
                NETWORKDAYS(N877, O877, Holiday_Dates) - IF(N877 = O877, 0, 1)
            )
        )
    ),
    ""
)</f>
        <v/>
      </c>
      <c r="T877" s="385"/>
      <c r="U877" s="385"/>
      <c r="V877" s="385"/>
      <c r="W877" s="385" t="s">
        <v>4710</v>
      </c>
      <c r="X877" s="1"/>
    </row>
    <row r="878" spans="1:24">
      <c r="A878" s="385" t="s">
        <v>49</v>
      </c>
      <c r="B878" s="385" t="s">
        <v>501</v>
      </c>
      <c r="C878" s="597" t="s">
        <v>554</v>
      </c>
      <c r="D878" s="385" t="s">
        <v>88</v>
      </c>
      <c r="E878" s="385" t="s">
        <v>344</v>
      </c>
      <c r="F878" s="385"/>
      <c r="G878" s="385" t="s">
        <v>128</v>
      </c>
      <c r="H878" s="385">
        <v>2026</v>
      </c>
      <c r="I878" s="615">
        <v>46065</v>
      </c>
      <c r="J878" s="614" t="s">
        <v>5053</v>
      </c>
      <c r="K878" s="388" t="s">
        <v>45</v>
      </c>
      <c r="L878" s="615">
        <v>46067</v>
      </c>
      <c r="M878" s="385"/>
      <c r="N878" s="615">
        <v>46069</v>
      </c>
      <c r="O878" s="615">
        <v>46069</v>
      </c>
      <c r="P878" s="385">
        <f>IFERROR(
    IF(
        OR(ISBLANK(I878), ISBLANK(L878)),
        "",
        MAX(
            1,
            IF(
                NETWORKDAYS(I878, L878, Holiday_Dates) &lt;= 0,
                1,
                NETWORKDAYS(I878, L878, Holiday_Dates) - IF(I878 = L878, 0, 1)
            )
        )
    ),
    ""
)</f>
        <v>1</v>
      </c>
      <c r="Q878" s="385" t="str">
        <f>IF(
    OR(ISBLANK(L878), ISBLANK(M878)),
    "",
    MAX(
        1,
        IF(
            NETWORKDAYS(L878, M878, Holiday_Dates) &lt;= 0,
            1,
            NETWORKDAYS(L878, M878, Holiday_Dates) - IF(L878 = M878, 0, 1)
        )
    )
)</f>
        <v/>
      </c>
      <c r="R878" s="385">
        <f>IFERROR(
    IF(
        OR(ISBLANK(N878), AND(ISBLANK(L878), ISBLANK(M878))),
        "",
        MAX(
            1,
            IF(
                NETWORKDAYS(IF(NOT(ISBLANK(M878)), M878, L878), N878, Holiday_Dates) &lt;= 0,
                1,
                NETWORKDAYS(IF(NOT(ISBLANK(M878)), M878, L878), N878, Holiday_Dates)
                - IF(IF(NOT(ISBLANK(M878)), M878, L878) = N878, 0, 1)
            )
        )
    ),
    ""
)</f>
        <v>1</v>
      </c>
      <c r="S878" s="385">
        <f>IFERROR(
    IF(
        OR(ISBLANK(N878), ISBLANK(O878)),
        "",
        MAX(
            1,
            IF(
                NETWORKDAYS(N878, O878, Holiday_Dates) &lt;= 0,
                1,
                NETWORKDAYS(N878, O878, Holiday_Dates) - IF(N878 = O878, 0, 1)
            )
        )
    ),
    ""
)</f>
        <v>1</v>
      </c>
      <c r="T878" s="385"/>
      <c r="U878" s="385" t="s">
        <v>5046</v>
      </c>
      <c r="V878" s="385" t="s">
        <v>685</v>
      </c>
      <c r="W878" s="385" t="s">
        <v>4710</v>
      </c>
      <c r="X878" s="1"/>
    </row>
    <row r="879" spans="1:24">
      <c r="A879" s="385" t="s">
        <v>49</v>
      </c>
      <c r="B879" s="385" t="s">
        <v>284</v>
      </c>
      <c r="C879" s="597" t="s">
        <v>777</v>
      </c>
      <c r="D879" s="385" t="s">
        <v>88</v>
      </c>
      <c r="E879" s="385" t="s">
        <v>135</v>
      </c>
      <c r="F879" s="385"/>
      <c r="G879" s="385" t="s">
        <v>128</v>
      </c>
      <c r="H879" s="385"/>
      <c r="I879" s="385"/>
      <c r="J879" s="30"/>
      <c r="K879" s="388" t="s">
        <v>45</v>
      </c>
      <c r="L879" s="385"/>
      <c r="M879" s="385"/>
      <c r="N879" s="385"/>
      <c r="O879" s="385"/>
      <c r="P879" s="385" t="str">
        <f>IFERROR(
    IF(
        OR(ISBLANK(I879), ISBLANK(L879)),
        "",
        MAX(
            1,
            IF(
                NETWORKDAYS(I879, L879, Holiday_Dates) &lt;= 0,
                1,
                NETWORKDAYS(I879, L879, Holiday_Dates) - IF(I879 = L879, 0, 1)
            )
        )
    ),
    ""
)</f>
        <v/>
      </c>
      <c r="Q879" s="385" t="str">
        <f>IF(
    OR(ISBLANK(L879), ISBLANK(M879)),
    "",
    MAX(
        1,
        IF(
            NETWORKDAYS(L879, M879, Holiday_Dates) &lt;= 0,
            1,
            NETWORKDAYS(L879, M879, Holiday_Dates) - IF(L879 = M879, 0, 1)
        )
    )
)</f>
        <v/>
      </c>
      <c r="R879" s="385" t="str">
        <f>IFERROR(
    IF(
        OR(ISBLANK(N879), AND(ISBLANK(L879), ISBLANK(M879))),
        "",
        MAX(
            1,
            IF(
                NETWORKDAYS(IF(NOT(ISBLANK(M879)), M879, L879), N879, Holiday_Dates) &lt;= 0,
                1,
                NETWORKDAYS(IF(NOT(ISBLANK(M879)), M879, L879), N879, Holiday_Dates)
                - IF(IF(NOT(ISBLANK(M879)), M879, L879) = N879, 0, 1)
            )
        )
    ),
    ""
)</f>
        <v/>
      </c>
      <c r="S879" s="385" t="str">
        <f>IFERROR(
    IF(
        OR(ISBLANK(N879), ISBLANK(O879)),
        "",
        MAX(
            1,
            IF(
                NETWORKDAYS(N879, O879, Holiday_Dates) &lt;= 0,
                1,
                NETWORKDAYS(N879, O879, Holiday_Dates) - IF(N879 = O879, 0, 1)
            )
        )
    ),
    ""
)</f>
        <v/>
      </c>
      <c r="T879" s="385"/>
      <c r="U879" s="385"/>
      <c r="V879" s="385"/>
      <c r="W879" s="385" t="s">
        <v>4710</v>
      </c>
      <c r="X879" s="1"/>
    </row>
    <row r="880" spans="1:24">
      <c r="A880" s="385" t="s">
        <v>49</v>
      </c>
      <c r="B880" s="385" t="s">
        <v>503</v>
      </c>
      <c r="C880" s="597" t="s">
        <v>2527</v>
      </c>
      <c r="D880" s="385" t="s">
        <v>88</v>
      </c>
      <c r="E880" s="385" t="s">
        <v>135</v>
      </c>
      <c r="F880" s="385"/>
      <c r="G880" s="385" t="s">
        <v>128</v>
      </c>
      <c r="H880" s="385"/>
      <c r="I880" s="385"/>
      <c r="J880" s="30"/>
      <c r="K880" s="388" t="s">
        <v>45</v>
      </c>
      <c r="L880" s="385"/>
      <c r="M880" s="385"/>
      <c r="N880" s="385"/>
      <c r="O880" s="385"/>
      <c r="P880" s="385" t="str">
        <f>IFERROR(
    IF(
        OR(ISBLANK(I880), ISBLANK(L880)),
        "",
        MAX(
            1,
            IF(
                NETWORKDAYS(I880, L880, Holiday_Dates) &lt;= 0,
                1,
                NETWORKDAYS(I880, L880, Holiday_Dates) - IF(I880 = L880, 0, 1)
            )
        )
    ),
    ""
)</f>
        <v/>
      </c>
      <c r="Q880" s="385" t="str">
        <f>IF(
    OR(ISBLANK(L880), ISBLANK(M880)),
    "",
    MAX(
        1,
        IF(
            NETWORKDAYS(L880, M880, Holiday_Dates) &lt;= 0,
            1,
            NETWORKDAYS(L880, M880, Holiday_Dates) - IF(L880 = M880, 0, 1)
        )
    )
)</f>
        <v/>
      </c>
      <c r="R880" s="385" t="str">
        <f>IFERROR(
    IF(
        OR(ISBLANK(N880), AND(ISBLANK(L880), ISBLANK(M880))),
        "",
        MAX(
            1,
            IF(
                NETWORKDAYS(IF(NOT(ISBLANK(M880)), M880, L880), N880, Holiday_Dates) &lt;= 0,
                1,
                NETWORKDAYS(IF(NOT(ISBLANK(M880)), M880, L880), N880, Holiday_Dates)
                - IF(IF(NOT(ISBLANK(M880)), M880, L880) = N880, 0, 1)
            )
        )
    ),
    ""
)</f>
        <v/>
      </c>
      <c r="S880" s="385" t="str">
        <f>IFERROR(
    IF(
        OR(ISBLANK(N880), ISBLANK(O880)),
        "",
        MAX(
            1,
            IF(
                NETWORKDAYS(N880, O880, Holiday_Dates) &lt;= 0,
                1,
                NETWORKDAYS(N880, O880, Holiday_Dates) - IF(N880 = O880, 0, 1)
            )
        )
    ),
    ""
)</f>
        <v/>
      </c>
      <c r="T880" s="385"/>
      <c r="U880" s="385"/>
      <c r="V880" s="385"/>
      <c r="W880" s="385" t="s">
        <v>4710</v>
      </c>
      <c r="X880" s="1"/>
    </row>
    <row r="881" spans="1:26">
      <c r="A881" s="385" t="s">
        <v>49</v>
      </c>
      <c r="B881" s="385" t="s">
        <v>1309</v>
      </c>
      <c r="C881" s="385" t="s">
        <v>2704</v>
      </c>
      <c r="D881" s="385" t="s">
        <v>88</v>
      </c>
      <c r="E881" s="385" t="s">
        <v>136</v>
      </c>
      <c r="F881" s="385"/>
      <c r="G881" s="385" t="s">
        <v>128</v>
      </c>
      <c r="H881" s="385"/>
      <c r="I881" s="385"/>
      <c r="J881" s="30"/>
      <c r="K881" s="388" t="s">
        <v>45</v>
      </c>
      <c r="L881" s="385"/>
      <c r="M881" s="385"/>
      <c r="N881" s="385"/>
      <c r="O881" s="385"/>
      <c r="P881" s="385" t="str">
        <f>IFERROR(
    IF(
        OR(ISBLANK(I881), ISBLANK(L881)),
        "",
        MAX(
            1,
            IF(
                NETWORKDAYS(I881, L881, Holiday_Dates) &lt;= 0,
                1,
                NETWORKDAYS(I881, L881, Holiday_Dates) - IF(I881 = L881, 0, 1)
            )
        )
    ),
    ""
)</f>
        <v/>
      </c>
      <c r="Q881" s="385" t="str">
        <f>IF(
    OR(ISBLANK(L881), ISBLANK(M881)),
    "",
    MAX(
        1,
        IF(
            NETWORKDAYS(L881, M881, Holiday_Dates) &lt;= 0,
            1,
            NETWORKDAYS(L881, M881, Holiday_Dates) - IF(L881 = M881, 0, 1)
        )
    )
)</f>
        <v/>
      </c>
      <c r="R881" s="385" t="str">
        <f>IFERROR(
    IF(
        OR(ISBLANK(N881), AND(ISBLANK(L881), ISBLANK(M881))),
        "",
        MAX(
            1,
            IF(
                NETWORKDAYS(IF(NOT(ISBLANK(M881)), M881, L881), N881, Holiday_Dates) &lt;= 0,
                1,
                NETWORKDAYS(IF(NOT(ISBLANK(M881)), M881, L881), N881, Holiday_Dates)
                - IF(IF(NOT(ISBLANK(M881)), M881, L881) = N881, 0, 1)
            )
        )
    ),
    ""
)</f>
        <v/>
      </c>
      <c r="S881" s="385" t="str">
        <f>IFERROR(
    IF(
        OR(ISBLANK(N881), ISBLANK(O881)),
        "",
        MAX(
            1,
            IF(
                NETWORKDAYS(N881, O881, Holiday_Dates) &lt;= 0,
                1,
                NETWORKDAYS(N881, O881, Holiday_Dates) - IF(N881 = O881, 0, 1)
            )
        )
    ),
    ""
)</f>
        <v/>
      </c>
      <c r="T881" s="385"/>
      <c r="U881" s="385"/>
      <c r="V881" s="385"/>
      <c r="W881" s="385" t="s">
        <v>4710</v>
      </c>
      <c r="X881" s="1"/>
    </row>
    <row r="882" spans="1:26">
      <c r="A882" s="385" t="s">
        <v>49</v>
      </c>
      <c r="B882" s="385" t="s">
        <v>1309</v>
      </c>
      <c r="C882" s="385" t="s">
        <v>2710</v>
      </c>
      <c r="D882" s="385" t="s">
        <v>88</v>
      </c>
      <c r="E882" s="385" t="s">
        <v>136</v>
      </c>
      <c r="F882" s="385"/>
      <c r="G882" s="385" t="s">
        <v>128</v>
      </c>
      <c r="H882" s="385"/>
      <c r="I882" s="385"/>
      <c r="J882" s="30"/>
      <c r="K882" s="388" t="s">
        <v>45</v>
      </c>
      <c r="L882" s="385"/>
      <c r="M882" s="385"/>
      <c r="N882" s="385"/>
      <c r="O882" s="385"/>
      <c r="P882" s="385" t="str">
        <f>IFERROR(
    IF(
        OR(ISBLANK(I882), ISBLANK(L882)),
        "",
        MAX(
            1,
            IF(
                NETWORKDAYS(I882, L882, Holiday_Dates) &lt;= 0,
                1,
                NETWORKDAYS(I882, L882, Holiday_Dates) - IF(I882 = L882, 0, 1)
            )
        )
    ),
    ""
)</f>
        <v/>
      </c>
      <c r="Q882" s="385" t="str">
        <f>IF(
    OR(ISBLANK(L882), ISBLANK(M882)),
    "",
    MAX(
        1,
        IF(
            NETWORKDAYS(L882, M882, Holiday_Dates) &lt;= 0,
            1,
            NETWORKDAYS(L882, M882, Holiday_Dates) - IF(L882 = M882, 0, 1)
        )
    )
)</f>
        <v/>
      </c>
      <c r="R882" s="385" t="str">
        <f>IFERROR(
    IF(
        OR(ISBLANK(N882), AND(ISBLANK(L882), ISBLANK(M882))),
        "",
        MAX(
            1,
            IF(
                NETWORKDAYS(IF(NOT(ISBLANK(M882)), M882, L882), N882, Holiday_Dates) &lt;= 0,
                1,
                NETWORKDAYS(IF(NOT(ISBLANK(M882)), M882, L882), N882, Holiday_Dates)
                - IF(IF(NOT(ISBLANK(M882)), M882, L882) = N882, 0, 1)
            )
        )
    ),
    ""
)</f>
        <v/>
      </c>
      <c r="S882" s="385" t="str">
        <f>IFERROR(
    IF(
        OR(ISBLANK(N882), ISBLANK(O882)),
        "",
        MAX(
            1,
            IF(
                NETWORKDAYS(N882, O882, Holiday_Dates) &lt;= 0,
                1,
                NETWORKDAYS(N882, O882, Holiday_Dates) - IF(N882 = O882, 0, 1)
            )
        )
    ),
    ""
)</f>
        <v/>
      </c>
      <c r="T882" s="385"/>
      <c r="U882" s="385"/>
      <c r="V882" s="385"/>
      <c r="W882" s="385" t="s">
        <v>4710</v>
      </c>
      <c r="X882" s="1"/>
    </row>
    <row r="883" spans="1:26">
      <c r="A883" s="385" t="s">
        <v>49</v>
      </c>
      <c r="B883" s="385" t="s">
        <v>1309</v>
      </c>
      <c r="C883" s="385" t="s">
        <v>2711</v>
      </c>
      <c r="D883" s="385" t="s">
        <v>88</v>
      </c>
      <c r="E883" s="385" t="s">
        <v>136</v>
      </c>
      <c r="F883" s="385"/>
      <c r="G883" s="385" t="s">
        <v>128</v>
      </c>
      <c r="H883" s="385"/>
      <c r="I883" s="385"/>
      <c r="J883" s="30"/>
      <c r="K883" s="388" t="s">
        <v>45</v>
      </c>
      <c r="L883" s="385"/>
      <c r="M883" s="385"/>
      <c r="N883" s="385"/>
      <c r="O883" s="385"/>
      <c r="P883" s="385" t="str">
        <f>IFERROR(
    IF(
        OR(ISBLANK(I883), ISBLANK(L883)),
        "",
        MAX(
            1,
            IF(
                NETWORKDAYS(I883, L883, Holiday_Dates) &lt;= 0,
                1,
                NETWORKDAYS(I883, L883, Holiday_Dates) - IF(I883 = L883, 0, 1)
            )
        )
    ),
    ""
)</f>
        <v/>
      </c>
      <c r="Q883" s="385" t="str">
        <f>IF(
    OR(ISBLANK(L883), ISBLANK(M883)),
    "",
    MAX(
        1,
        IF(
            NETWORKDAYS(L883, M883, Holiday_Dates) &lt;= 0,
            1,
            NETWORKDAYS(L883, M883, Holiday_Dates) - IF(L883 = M883, 0, 1)
        )
    )
)</f>
        <v/>
      </c>
      <c r="R883" s="385" t="str">
        <f>IFERROR(
    IF(
        OR(ISBLANK(N883), AND(ISBLANK(L883), ISBLANK(M883))),
        "",
        MAX(
            1,
            IF(
                NETWORKDAYS(IF(NOT(ISBLANK(M883)), M883, L883), N883, Holiday_Dates) &lt;= 0,
                1,
                NETWORKDAYS(IF(NOT(ISBLANK(M883)), M883, L883), N883, Holiday_Dates)
                - IF(IF(NOT(ISBLANK(M883)), M883, L883) = N883, 0, 1)
            )
        )
    ),
    ""
)</f>
        <v/>
      </c>
      <c r="S883" s="385" t="str">
        <f>IFERROR(
    IF(
        OR(ISBLANK(N883), ISBLANK(O883)),
        "",
        MAX(
            1,
            IF(
                NETWORKDAYS(N883, O883, Holiday_Dates) &lt;= 0,
                1,
                NETWORKDAYS(N883, O883, Holiday_Dates) - IF(N883 = O883, 0, 1)
            )
        )
    ),
    ""
)</f>
        <v/>
      </c>
      <c r="T883" s="385"/>
      <c r="U883" s="385"/>
      <c r="V883" s="385"/>
      <c r="W883" s="385" t="s">
        <v>4710</v>
      </c>
      <c r="X883" s="1"/>
    </row>
    <row r="884" spans="1:26">
      <c r="A884" s="385" t="s">
        <v>49</v>
      </c>
      <c r="B884" s="385" t="s">
        <v>1309</v>
      </c>
      <c r="C884" s="385" t="s">
        <v>2714</v>
      </c>
      <c r="D884" s="385" t="s">
        <v>88</v>
      </c>
      <c r="E884" s="385" t="s">
        <v>136</v>
      </c>
      <c r="F884" s="385"/>
      <c r="G884" s="385" t="s">
        <v>128</v>
      </c>
      <c r="H884" s="385"/>
      <c r="I884" s="385"/>
      <c r="J884" s="30"/>
      <c r="K884" s="388" t="s">
        <v>45</v>
      </c>
      <c r="L884" s="385"/>
      <c r="M884" s="385"/>
      <c r="N884" s="385"/>
      <c r="O884" s="385"/>
      <c r="P884" s="385" t="str">
        <f>IFERROR(
    IF(
        OR(ISBLANK(I884), ISBLANK(L884)),
        "",
        MAX(
            1,
            IF(
                NETWORKDAYS(I884, L884, Holiday_Dates) &lt;= 0,
                1,
                NETWORKDAYS(I884, L884, Holiday_Dates) - IF(I884 = L884, 0, 1)
            )
        )
    ),
    ""
)</f>
        <v/>
      </c>
      <c r="Q884" s="385" t="str">
        <f>IF(
    OR(ISBLANK(L884), ISBLANK(M884)),
    "",
    MAX(
        1,
        IF(
            NETWORKDAYS(L884, M884, Holiday_Dates) &lt;= 0,
            1,
            NETWORKDAYS(L884, M884, Holiday_Dates) - IF(L884 = M884, 0, 1)
        )
    )
)</f>
        <v/>
      </c>
      <c r="R884" s="385" t="str">
        <f>IFERROR(
    IF(
        OR(ISBLANK(N884), AND(ISBLANK(L884), ISBLANK(M884))),
        "",
        MAX(
            1,
            IF(
                NETWORKDAYS(IF(NOT(ISBLANK(M884)), M884, L884), N884, Holiday_Dates) &lt;= 0,
                1,
                NETWORKDAYS(IF(NOT(ISBLANK(M884)), M884, L884), N884, Holiday_Dates)
                - IF(IF(NOT(ISBLANK(M884)), M884, L884) = N884, 0, 1)
            )
        )
    ),
    ""
)</f>
        <v/>
      </c>
      <c r="S884" s="385" t="str">
        <f>IFERROR(
    IF(
        OR(ISBLANK(N884), ISBLANK(O884)),
        "",
        MAX(
            1,
            IF(
                NETWORKDAYS(N884, O884, Holiday_Dates) &lt;= 0,
                1,
                NETWORKDAYS(N884, O884, Holiday_Dates) - IF(N884 = O884, 0, 1)
            )
        )
    ),
    ""
)</f>
        <v/>
      </c>
      <c r="T884" s="385"/>
      <c r="U884" s="385"/>
      <c r="V884" s="385"/>
      <c r="W884" s="385" t="s">
        <v>4710</v>
      </c>
      <c r="X884" s="1"/>
    </row>
    <row r="885" spans="1:26">
      <c r="A885" s="385" t="s">
        <v>49</v>
      </c>
      <c r="B885" s="385" t="s">
        <v>440</v>
      </c>
      <c r="C885" s="385" t="s">
        <v>926</v>
      </c>
      <c r="D885" s="385" t="s">
        <v>88</v>
      </c>
      <c r="E885" s="385"/>
      <c r="F885" s="385"/>
      <c r="G885" s="385"/>
      <c r="H885" s="385">
        <v>2024</v>
      </c>
      <c r="I885" s="386">
        <v>45539</v>
      </c>
      <c r="J885" s="30"/>
      <c r="K885" s="385"/>
      <c r="L885" s="385"/>
      <c r="M885" s="385"/>
      <c r="N885" s="385"/>
      <c r="O885" s="385"/>
      <c r="P885" s="385" t="str">
        <f>IFERROR(
    IF(
        OR(ISBLANK(I885), ISBLANK(L885)),
        "",
        MAX(
            1,
            IF(
                NETWORKDAYS(I885, L885, Holiday_Dates) &lt;= 0,
                1,
                NETWORKDAYS(I885, L885, Holiday_Dates) - IF(I885 = L885, 0, 1)
            )
        )
    ),
    ""
)</f>
        <v/>
      </c>
      <c r="Q885" s="385" t="str">
        <f>IF(
    OR(ISBLANK(L885), ISBLANK(M885)),
    "",
    MAX(
        1,
        IF(
            NETWORKDAYS(L885, M885, Holiday_Dates) &lt;= 0,
            1,
            NETWORKDAYS(L885, M885, Holiday_Dates) - IF(L885 = M885, 0, 1)
        )
    )
)</f>
        <v/>
      </c>
      <c r="R885" s="385" t="str">
        <f>IFERROR(
    IF(
        OR(ISBLANK(N885), AND(ISBLANK(L885), ISBLANK(M885))),
        "",
        MAX(
            1,
            IF(
                NETWORKDAYS(IF(NOT(ISBLANK(M885)), M885, L885), N885, Holiday_Dates) &lt;= 0,
                1,
                NETWORKDAYS(IF(NOT(ISBLANK(M885)), M885, L885), N885, Holiday_Dates)
                - IF(IF(NOT(ISBLANK(M885)), M885, L885) = N885, 0, 1)
            )
        )
    ),
    ""
)</f>
        <v/>
      </c>
      <c r="S885" s="385" t="str">
        <f>IFERROR(
    IF(
        OR(ISBLANK(N885), ISBLANK(O885)),
        "",
        MAX(
            1,
            IF(
                NETWORKDAYS(N885, O885, Holiday_Dates) &lt;= 0,
                1,
                NETWORKDAYS(N885, O885, Holiday_Dates) - IF(N885 = O885, 0, 1)
            )
        )
    ),
    ""
)</f>
        <v/>
      </c>
      <c r="T885" s="385"/>
      <c r="U885" s="385" t="s">
        <v>672</v>
      </c>
      <c r="V885" s="385"/>
      <c r="W885" s="385" t="s">
        <v>1436</v>
      </c>
      <c r="X885" s="1"/>
    </row>
    <row r="886" spans="1:26">
      <c r="A886" s="385" t="s">
        <v>49</v>
      </c>
      <c r="B886" s="385" t="s">
        <v>1309</v>
      </c>
      <c r="C886" s="385" t="s">
        <v>926</v>
      </c>
      <c r="D886" s="385" t="s">
        <v>88</v>
      </c>
      <c r="E886" s="385" t="s">
        <v>136</v>
      </c>
      <c r="F886" s="385"/>
      <c r="G886" s="385" t="s">
        <v>128</v>
      </c>
      <c r="H886" s="385"/>
      <c r="I886" s="385"/>
      <c r="J886" s="30"/>
      <c r="K886" s="388" t="s">
        <v>45</v>
      </c>
      <c r="L886" s="385"/>
      <c r="M886" s="385"/>
      <c r="N886" s="385"/>
      <c r="O886" s="385"/>
      <c r="P886" s="385" t="str">
        <f>IFERROR(
    IF(
        OR(ISBLANK(I886), ISBLANK(L886)),
        "",
        MAX(
            1,
            IF(
                NETWORKDAYS(I886, L886, Holiday_Dates) &lt;= 0,
                1,
                NETWORKDAYS(I886, L886, Holiday_Dates) - IF(I886 = L886, 0, 1)
            )
        )
    ),
    ""
)</f>
        <v/>
      </c>
      <c r="Q886" s="385" t="str">
        <f>IF(
    OR(ISBLANK(L886), ISBLANK(M886)),
    "",
    MAX(
        1,
        IF(
            NETWORKDAYS(L886, M886, Holiday_Dates) &lt;= 0,
            1,
            NETWORKDAYS(L886, M886, Holiday_Dates) - IF(L886 = M886, 0, 1)
        )
    )
)</f>
        <v/>
      </c>
      <c r="R886" s="385" t="str">
        <f>IFERROR(
    IF(
        OR(ISBLANK(N886), AND(ISBLANK(L886), ISBLANK(M886))),
        "",
        MAX(
            1,
            IF(
                NETWORKDAYS(IF(NOT(ISBLANK(M886)), M886, L886), N886, Holiday_Dates) &lt;= 0,
                1,
                NETWORKDAYS(IF(NOT(ISBLANK(M886)), M886, L886), N886, Holiday_Dates)
                - IF(IF(NOT(ISBLANK(M886)), M886, L886) = N886, 0, 1)
            )
        )
    ),
    ""
)</f>
        <v/>
      </c>
      <c r="S886" s="385" t="str">
        <f>IFERROR(
    IF(
        OR(ISBLANK(N886), ISBLANK(O886)),
        "",
        MAX(
            1,
            IF(
                NETWORKDAYS(N886, O886, Holiday_Dates) &lt;= 0,
                1,
                NETWORKDAYS(N886, O886, Holiday_Dates) - IF(N886 = O886, 0, 1)
            )
        )
    ),
    ""
)</f>
        <v/>
      </c>
      <c r="T886" s="385"/>
      <c r="U886" s="385"/>
      <c r="V886" s="385"/>
      <c r="W886" s="385" t="s">
        <v>4710</v>
      </c>
      <c r="X886" s="1"/>
    </row>
    <row r="887" spans="1:26">
      <c r="A887" s="385" t="s">
        <v>65</v>
      </c>
      <c r="B887" s="385" t="s">
        <v>1314</v>
      </c>
      <c r="C887" s="385" t="s">
        <v>2832</v>
      </c>
      <c r="D887" s="385" t="s">
        <v>88</v>
      </c>
      <c r="E887" s="385" t="s">
        <v>141</v>
      </c>
      <c r="F887" s="385"/>
      <c r="G887" s="385" t="s">
        <v>130</v>
      </c>
      <c r="H887" s="385">
        <v>2026</v>
      </c>
      <c r="I887" s="386">
        <v>46078</v>
      </c>
      <c r="J887" s="30" t="s">
        <v>5054</v>
      </c>
      <c r="K887" s="388" t="s">
        <v>45</v>
      </c>
      <c r="L887" s="386">
        <v>46085</v>
      </c>
      <c r="M887" s="385"/>
      <c r="N887" s="386">
        <v>46086</v>
      </c>
      <c r="O887" s="386">
        <v>46090</v>
      </c>
      <c r="P887" s="385">
        <f>IFERROR(
    IF(
        OR(ISBLANK(I887), ISBLANK(L887)),
        "",
        MAX(
            1,
            IF(
                NETWORKDAYS(I887, L887, Holiday_Dates) &lt;= 0,
                1,
                NETWORKDAYS(I887, L887, Holiday_Dates) - IF(I887 = L887, 0, 1)
            )
        )
    ),
    ""
)</f>
        <v>5</v>
      </c>
      <c r="Q887" s="385" t="str">
        <f>IF(
    OR(ISBLANK(L887), ISBLANK(M887)),
    "",
    MAX(
        1,
        IF(
            NETWORKDAYS(L887, M887, Holiday_Dates) &lt;= 0,
            1,
            NETWORKDAYS(L887, M887, Holiday_Dates) - IF(L887 = M887, 0, 1)
        )
    )
)</f>
        <v/>
      </c>
      <c r="R887" s="385">
        <f>IFERROR(
    IF(
        OR(ISBLANK(N887), AND(ISBLANK(L887), ISBLANK(M887))),
        "",
        MAX(
            1,
            IF(
                NETWORKDAYS(IF(NOT(ISBLANK(M887)), M887, L887), N887, Holiday_Dates) &lt;= 0,
                1,
                NETWORKDAYS(IF(NOT(ISBLANK(M887)), M887, L887), N887, Holiday_Dates)
                - IF(IF(NOT(ISBLANK(M887)), M887, L887) = N887, 0, 1)
            )
        )
    ),
    ""
)</f>
        <v>1</v>
      </c>
      <c r="S887" s="385">
        <f>IFERROR(
    IF(
        OR(ISBLANK(N887), ISBLANK(O887)),
        "",
        MAX(
            1,
            IF(
                NETWORKDAYS(N887, O887, Holiday_Dates) &lt;= 0,
                1,
                NETWORKDAYS(N887, O887, Holiday_Dates) - IF(N887 = O887, 0, 1)
            )
        )
    ),
    ""
)</f>
        <v>2</v>
      </c>
      <c r="T887" s="385" t="s">
        <v>929</v>
      </c>
      <c r="U887" s="385" t="s">
        <v>672</v>
      </c>
      <c r="V887" s="385" t="s">
        <v>685</v>
      </c>
      <c r="W887" s="385" t="s">
        <v>4710</v>
      </c>
      <c r="X887" s="1"/>
    </row>
    <row r="888" spans="1:26">
      <c r="A888" s="385" t="s">
        <v>49</v>
      </c>
      <c r="B888" s="385" t="s">
        <v>440</v>
      </c>
      <c r="C888" s="385" t="s">
        <v>2660</v>
      </c>
      <c r="D888" s="385" t="s">
        <v>88</v>
      </c>
      <c r="E888" s="385"/>
      <c r="F888" s="385"/>
      <c r="G888" s="385"/>
      <c r="H888" s="385">
        <v>2024</v>
      </c>
      <c r="I888" s="386">
        <v>45601</v>
      </c>
      <c r="J888" s="30"/>
      <c r="K888" s="385"/>
      <c r="L888" s="385"/>
      <c r="M888" s="385"/>
      <c r="N888" s="385"/>
      <c r="O888" s="385"/>
      <c r="P888" s="385" t="str">
        <f>IFERROR(
    IF(
        OR(ISBLANK(I888), ISBLANK(L888)),
        "",
        MAX(
            1,
            IF(
                NETWORKDAYS(I888, L888, Holiday_Dates) &lt;= 0,
                1,
                NETWORKDAYS(I888, L888, Holiday_Dates) - IF(I888 = L888, 0, 1)
            )
        )
    ),
    ""
)</f>
        <v/>
      </c>
      <c r="Q888" s="385" t="str">
        <f>IF(
    OR(ISBLANK(L888), ISBLANK(M888)),
    "",
    MAX(
        1,
        IF(
            NETWORKDAYS(L888, M888, Holiday_Dates) &lt;= 0,
            1,
            NETWORKDAYS(L888, M888, Holiday_Dates) - IF(L888 = M888, 0, 1)
        )
    )
)</f>
        <v/>
      </c>
      <c r="R888" s="385" t="str">
        <f>IFERROR(
    IF(
        OR(ISBLANK(N888), AND(ISBLANK(L888), ISBLANK(M888))),
        "",
        MAX(
            1,
            IF(
                NETWORKDAYS(IF(NOT(ISBLANK(M888)), M888, L888), N888, Holiday_Dates) &lt;= 0,
                1,
                NETWORKDAYS(IF(NOT(ISBLANK(M888)), M888, L888), N888, Holiday_Dates)
                - IF(IF(NOT(ISBLANK(M888)), M888, L888) = N888, 0, 1)
            )
        )
    ),
    ""
)</f>
        <v/>
      </c>
      <c r="S888" s="385" t="str">
        <f>IFERROR(
    IF(
        OR(ISBLANK(N888), ISBLANK(O888)),
        "",
        MAX(
            1,
            IF(
                NETWORKDAYS(N888, O888, Holiday_Dates) &lt;= 0,
                1,
                NETWORKDAYS(N888, O888, Holiday_Dates) - IF(N888 = O888, 0, 1)
            )
        )
    ),
    ""
)</f>
        <v/>
      </c>
      <c r="T888" s="385"/>
      <c r="U888" s="385" t="s">
        <v>4</v>
      </c>
      <c r="V888" s="385" t="s">
        <v>101</v>
      </c>
      <c r="W888" s="385" t="s">
        <v>1436</v>
      </c>
      <c r="X888" s="1"/>
    </row>
    <row r="889" spans="1:26">
      <c r="A889" s="385" t="s">
        <v>65</v>
      </c>
      <c r="B889" s="385" t="s">
        <v>1314</v>
      </c>
      <c r="C889" s="385" t="s">
        <v>2833</v>
      </c>
      <c r="D889" s="385" t="s">
        <v>88</v>
      </c>
      <c r="E889" s="385" t="s">
        <v>141</v>
      </c>
      <c r="F889" s="385"/>
      <c r="G889" s="385" t="s">
        <v>130</v>
      </c>
      <c r="H889" s="385">
        <v>2026</v>
      </c>
      <c r="I889" s="386">
        <v>374796</v>
      </c>
      <c r="J889" s="30" t="s">
        <v>5055</v>
      </c>
      <c r="K889" s="388" t="s">
        <v>45</v>
      </c>
      <c r="L889" s="386">
        <v>46086</v>
      </c>
      <c r="M889" s="385"/>
      <c r="N889" s="386">
        <v>46087</v>
      </c>
      <c r="O889" s="386">
        <v>46090</v>
      </c>
      <c r="P889" s="385">
        <f>IFERROR(
    IF(
        OR(ISBLANK(I889), ISBLANK(L889)),
        "",
        MAX(
            1,
            IF(
                NETWORKDAYS(I889, L889, Holiday_Dates) &lt;= 0,
                1,
                NETWORKDAYS(I889, L889, Holiday_Dates) - IF(I889 = L889, 0, 1)
            )
        )
    ),
    ""
)</f>
        <v>1</v>
      </c>
      <c r="Q889" s="385" t="str">
        <f>IF(
    OR(ISBLANK(L889), ISBLANK(M889)),
    "",
    MAX(
        1,
        IF(
            NETWORKDAYS(L889, M889, Holiday_Dates) &lt;= 0,
            1,
            NETWORKDAYS(L889, M889, Holiday_Dates) - IF(L889 = M889, 0, 1)
        )
    )
)</f>
        <v/>
      </c>
      <c r="R889" s="385">
        <f>IFERROR(
    IF(
        OR(ISBLANK(N889), AND(ISBLANK(L889), ISBLANK(M889))),
        "",
        MAX(
            1,
            IF(
                NETWORKDAYS(IF(NOT(ISBLANK(M889)), M889, L889), N889, Holiday_Dates) &lt;= 0,
                1,
                NETWORKDAYS(IF(NOT(ISBLANK(M889)), M889, L889), N889, Holiday_Dates)
                - IF(IF(NOT(ISBLANK(M889)), M889, L889) = N889, 0, 1)
            )
        )
    ),
    ""
)</f>
        <v>1</v>
      </c>
      <c r="S889" s="385">
        <f>IFERROR(
    IF(
        OR(ISBLANK(N889), ISBLANK(O889)),
        "",
        MAX(
            1,
            IF(
                NETWORKDAYS(N889, O889, Holiday_Dates) &lt;= 0,
                1,
                NETWORKDAYS(N889, O889, Holiday_Dates) - IF(N889 = O889, 0, 1)
            )
        )
    ),
    ""
)</f>
        <v>1</v>
      </c>
      <c r="T889" s="385" t="s">
        <v>929</v>
      </c>
      <c r="U889" s="385" t="s">
        <v>5046</v>
      </c>
      <c r="V889" s="385" t="s">
        <v>685</v>
      </c>
      <c r="W889" s="385" t="s">
        <v>4710</v>
      </c>
      <c r="X889" s="1"/>
    </row>
    <row r="890" spans="1:26">
      <c r="A890" s="385" t="s">
        <v>65</v>
      </c>
      <c r="B890" s="385" t="s">
        <v>1314</v>
      </c>
      <c r="C890" s="385" t="s">
        <v>2834</v>
      </c>
      <c r="D890" s="385" t="s">
        <v>88</v>
      </c>
      <c r="E890" s="385" t="s">
        <v>141</v>
      </c>
      <c r="F890" s="385"/>
      <c r="G890" s="385" t="s">
        <v>130</v>
      </c>
      <c r="H890" s="385">
        <v>2026</v>
      </c>
      <c r="I890" s="386">
        <v>46078</v>
      </c>
      <c r="J890" s="30" t="s">
        <v>5056</v>
      </c>
      <c r="K890" s="388" t="s">
        <v>45</v>
      </c>
      <c r="L890" s="386">
        <v>46085</v>
      </c>
      <c r="M890" s="385"/>
      <c r="N890" s="386">
        <v>46086</v>
      </c>
      <c r="O890" s="386">
        <v>46090</v>
      </c>
      <c r="P890" s="385">
        <f>IFERROR(
    IF(
        OR(ISBLANK(I890), ISBLANK(L890)),
        "",
        MAX(
            1,
            IF(
                NETWORKDAYS(I890, L890, Holiday_Dates) &lt;= 0,
                1,
                NETWORKDAYS(I890, L890, Holiday_Dates) - IF(I890 = L890, 0, 1)
            )
        )
    ),
    ""
)</f>
        <v>5</v>
      </c>
      <c r="Q890" s="385" t="str">
        <f>IF(
    OR(ISBLANK(L890), ISBLANK(M890)),
    "",
    MAX(
        1,
        IF(
            NETWORKDAYS(L890, M890, Holiday_Dates) &lt;= 0,
            1,
            NETWORKDAYS(L890, M890, Holiday_Dates) - IF(L890 = M890, 0, 1)
        )
    )
)</f>
        <v/>
      </c>
      <c r="R890" s="385">
        <f>IFERROR(
    IF(
        OR(ISBLANK(N890), AND(ISBLANK(L890), ISBLANK(M890))),
        "",
        MAX(
            1,
            IF(
                NETWORKDAYS(IF(NOT(ISBLANK(M890)), M890, L890), N890, Holiday_Dates) &lt;= 0,
                1,
                NETWORKDAYS(IF(NOT(ISBLANK(M890)), M890, L890), N890, Holiday_Dates)
                - IF(IF(NOT(ISBLANK(M890)), M890, L890) = N890, 0, 1)
            )
        )
    ),
    ""
)</f>
        <v>1</v>
      </c>
      <c r="S890" s="385">
        <f>IFERROR(
    IF(
        OR(ISBLANK(N890), ISBLANK(O890)),
        "",
        MAX(
            1,
            IF(
                NETWORKDAYS(N890, O890, Holiday_Dates) &lt;= 0,
                1,
                NETWORKDAYS(N890, O890, Holiday_Dates) - IF(N890 = O890, 0, 1)
            )
        )
    ),
    ""
)</f>
        <v>2</v>
      </c>
      <c r="T890" s="385" t="s">
        <v>929</v>
      </c>
      <c r="U890" s="385" t="s">
        <v>672</v>
      </c>
      <c r="V890" s="385" t="s">
        <v>685</v>
      </c>
      <c r="W890" s="385" t="s">
        <v>4710</v>
      </c>
      <c r="X890" s="1"/>
      <c r="Z890" s="662"/>
    </row>
    <row r="891" spans="1:26">
      <c r="A891" s="385" t="s">
        <v>65</v>
      </c>
      <c r="B891" s="385" t="s">
        <v>1314</v>
      </c>
      <c r="C891" s="385" t="s">
        <v>2836</v>
      </c>
      <c r="D891" s="385" t="s">
        <v>88</v>
      </c>
      <c r="E891" s="385" t="s">
        <v>141</v>
      </c>
      <c r="F891" s="385"/>
      <c r="G891" s="385" t="s">
        <v>130</v>
      </c>
      <c r="H891" s="385">
        <v>2026</v>
      </c>
      <c r="I891" s="386">
        <v>46078</v>
      </c>
      <c r="J891" s="30" t="s">
        <v>5057</v>
      </c>
      <c r="K891" s="388" t="s">
        <v>45</v>
      </c>
      <c r="L891" s="386">
        <v>46085</v>
      </c>
      <c r="M891" s="385"/>
      <c r="N891" s="386">
        <v>46087</v>
      </c>
      <c r="O891" s="386">
        <v>46090</v>
      </c>
      <c r="P891" s="385">
        <f>IFERROR(
    IF(
        OR(ISBLANK(I891), ISBLANK(L891)),
        "",
        MAX(
            1,
            IF(
                NETWORKDAYS(I891, L891, Holiday_Dates) &lt;= 0,
                1,
                NETWORKDAYS(I891, L891, Holiday_Dates) - IF(I891 = L891, 0, 1)
            )
        )
    ),
    ""
)</f>
        <v>5</v>
      </c>
      <c r="Q891" s="385" t="str">
        <f>IF(
    OR(ISBLANK(L891), ISBLANK(M891)),
    "",
    MAX(
        1,
        IF(
            NETWORKDAYS(L891, M891, Holiday_Dates) &lt;= 0,
            1,
            NETWORKDAYS(L891, M891, Holiday_Dates) - IF(L891 = M891, 0, 1)
        )
    )
)</f>
        <v/>
      </c>
      <c r="R891" s="385">
        <f>IFERROR(
    IF(
        OR(ISBLANK(N891), AND(ISBLANK(L891), ISBLANK(M891))),
        "",
        MAX(
            1,
            IF(
                NETWORKDAYS(IF(NOT(ISBLANK(M891)), M891, L891), N891, Holiday_Dates) &lt;= 0,
                1,
                NETWORKDAYS(IF(NOT(ISBLANK(M891)), M891, L891), N891, Holiday_Dates)
                - IF(IF(NOT(ISBLANK(M891)), M891, L891) = N891, 0, 1)
            )
        )
    ),
    ""
)</f>
        <v>2</v>
      </c>
      <c r="S891" s="385">
        <f>IFERROR(
    IF(
        OR(ISBLANK(N891), ISBLANK(O891)),
        "",
        MAX(
            1,
            IF(
                NETWORKDAYS(N891, O891, Holiday_Dates) &lt;= 0,
                1,
                NETWORKDAYS(N891, O891, Holiday_Dates) - IF(N891 = O891, 0, 1)
            )
        )
    ),
    ""
)</f>
        <v>1</v>
      </c>
      <c r="T891" s="385" t="s">
        <v>929</v>
      </c>
      <c r="U891" s="385" t="s">
        <v>672</v>
      </c>
      <c r="V891" s="385" t="s">
        <v>685</v>
      </c>
      <c r="W891" s="385" t="s">
        <v>4710</v>
      </c>
      <c r="X891" s="1"/>
    </row>
    <row r="892" spans="1:26">
      <c r="A892" s="385" t="s">
        <v>49</v>
      </c>
      <c r="B892" s="385" t="s">
        <v>440</v>
      </c>
      <c r="C892" s="385" t="s">
        <v>427</v>
      </c>
      <c r="D892" s="385" t="s">
        <v>88</v>
      </c>
      <c r="E892" s="385"/>
      <c r="F892" s="385"/>
      <c r="G892" s="385"/>
      <c r="H892" s="385">
        <v>2024</v>
      </c>
      <c r="I892" s="386">
        <v>45539</v>
      </c>
      <c r="J892" s="30"/>
      <c r="K892" s="385"/>
      <c r="L892" s="385"/>
      <c r="M892" s="385"/>
      <c r="N892" s="385"/>
      <c r="O892" s="385"/>
      <c r="P892" s="385" t="str">
        <f>IFERROR(
    IF(
        OR(ISBLANK(I892), ISBLANK(L892)),
        "",
        MAX(
            1,
            IF(
                NETWORKDAYS(I892, L892, Holiday_Dates) &lt;= 0,
                1,
                NETWORKDAYS(I892, L892, Holiday_Dates) - IF(I892 = L892, 0, 1)
            )
        )
    ),
    ""
)</f>
        <v/>
      </c>
      <c r="Q892" s="385" t="str">
        <f>IF(
    OR(ISBLANK(L892), ISBLANK(M892)),
    "",
    MAX(
        1,
        IF(
            NETWORKDAYS(L892, M892, Holiday_Dates) &lt;= 0,
            1,
            NETWORKDAYS(L892, M892, Holiday_Dates) - IF(L892 = M892, 0, 1)
        )
    )
)</f>
        <v/>
      </c>
      <c r="R892" s="385" t="str">
        <f>IFERROR(
    IF(
        OR(ISBLANK(N892), AND(ISBLANK(L892), ISBLANK(M892))),
        "",
        MAX(
            1,
            IF(
                NETWORKDAYS(IF(NOT(ISBLANK(M892)), M892, L892), N892, Holiday_Dates) &lt;= 0,
                1,
                NETWORKDAYS(IF(NOT(ISBLANK(M892)), M892, L892), N892, Holiday_Dates)
                - IF(IF(NOT(ISBLANK(M892)), M892, L892) = N892, 0, 1)
            )
        )
    ),
    ""
)</f>
        <v/>
      </c>
      <c r="S892" s="385" t="str">
        <f>IFERROR(
    IF(
        OR(ISBLANK(N892), ISBLANK(O892)),
        "",
        MAX(
            1,
            IF(
                NETWORKDAYS(N892, O892, Holiday_Dates) &lt;= 0,
                1,
                NETWORKDAYS(N892, O892, Holiday_Dates) - IF(N892 = O892, 0, 1)
            )
        )
    ),
    ""
)</f>
        <v/>
      </c>
      <c r="T892" s="385"/>
      <c r="U892" s="385" t="s">
        <v>672</v>
      </c>
      <c r="V892" s="385"/>
      <c r="W892" s="385" t="s">
        <v>1436</v>
      </c>
      <c r="X892" s="1"/>
    </row>
    <row r="893" spans="1:26">
      <c r="A893" s="385" t="s">
        <v>65</v>
      </c>
      <c r="B893" s="385" t="s">
        <v>516</v>
      </c>
      <c r="C893" s="385" t="s">
        <v>603</v>
      </c>
      <c r="D893" s="385" t="s">
        <v>89</v>
      </c>
      <c r="E893" s="385" t="s">
        <v>29</v>
      </c>
      <c r="F893" s="597"/>
      <c r="G893" s="597" t="s">
        <v>130</v>
      </c>
      <c r="H893" s="597">
        <v>2026</v>
      </c>
      <c r="I893" s="657">
        <v>46084</v>
      </c>
      <c r="J893" s="598" t="s">
        <v>5058</v>
      </c>
      <c r="K893" s="388" t="s">
        <v>45</v>
      </c>
      <c r="L893" s="386">
        <v>46088</v>
      </c>
      <c r="M893" s="385"/>
      <c r="N893" s="386">
        <v>46091</v>
      </c>
      <c r="O893" s="386">
        <v>46093</v>
      </c>
      <c r="P893" s="385">
        <f>IFERROR(
    IF(
        OR(ISBLANK(I893), ISBLANK(L893)),
        "",
        MAX(
            1,
            IF(
                NETWORKDAYS(I893, L893, Holiday_Dates) &lt;= 0,
                1,
                NETWORKDAYS(I893, L893, Holiday_Dates) - IF(I893 = L893, 0, 1)
            )
        )
    ),
    ""
)</f>
        <v>3</v>
      </c>
      <c r="Q893" s="385" t="str">
        <f>IF(
    OR(ISBLANK(L893), ISBLANK(M893)),
    "",
    MAX(
        1,
        IF(
            NETWORKDAYS(L893, M893, Holiday_Dates) &lt;= 0,
            1,
            NETWORKDAYS(L893, M893, Holiday_Dates) - IF(L893 = M893, 0, 1)
        )
    )
)</f>
        <v/>
      </c>
      <c r="R893" s="385">
        <f>IFERROR(
    IF(
        OR(ISBLANK(N893), AND(ISBLANK(L893), ISBLANK(M893))),
        "",
        MAX(
            1,
            IF(
                NETWORKDAYS(IF(NOT(ISBLANK(M893)), M893, L893), N893, Holiday_Dates) &lt;= 0,
                1,
                NETWORKDAYS(IF(NOT(ISBLANK(M893)), M893, L893), N893, Holiday_Dates)
                - IF(IF(NOT(ISBLANK(M893)), M893, L893) = N893, 0, 1)
            )
        )
    ),
    ""
)</f>
        <v>1</v>
      </c>
      <c r="S893" s="385">
        <f>IFERROR(
    IF(
        OR(ISBLANK(N893), ISBLANK(O893)),
        "",
        MAX(
            1,
            IF(
                NETWORKDAYS(N893, O893, Holiday_Dates) &lt;= 0,
                1,
                NETWORKDAYS(N893, O893, Holiday_Dates) - IF(N893 = O893, 0, 1)
            )
        )
    ),
    ""
)</f>
        <v>2</v>
      </c>
      <c r="T893" s="385" t="s">
        <v>929</v>
      </c>
      <c r="U893" s="385" t="s">
        <v>672</v>
      </c>
      <c r="V893" s="385" t="s">
        <v>685</v>
      </c>
      <c r="W893" s="385" t="s">
        <v>4710</v>
      </c>
      <c r="X893" s="1"/>
    </row>
    <row r="894" spans="1:26">
      <c r="A894" s="385" t="s">
        <v>65</v>
      </c>
      <c r="B894" s="385" t="s">
        <v>516</v>
      </c>
      <c r="C894" s="385" t="s">
        <v>3201</v>
      </c>
      <c r="D894" s="385" t="s">
        <v>89</v>
      </c>
      <c r="E894" s="385" t="s">
        <v>29</v>
      </c>
      <c r="F894" s="597"/>
      <c r="G894" s="597" t="s">
        <v>130</v>
      </c>
      <c r="H894" s="597">
        <v>2026</v>
      </c>
      <c r="I894" s="657">
        <v>46084</v>
      </c>
      <c r="J894" s="598" t="s">
        <v>5059</v>
      </c>
      <c r="K894" s="388" t="s">
        <v>45</v>
      </c>
      <c r="L894" s="386">
        <v>46088</v>
      </c>
      <c r="M894" s="385"/>
      <c r="N894" s="386">
        <v>46091</v>
      </c>
      <c r="O894" s="386">
        <v>46093</v>
      </c>
      <c r="P894" s="385">
        <f>IFERROR(
    IF(
        OR(ISBLANK(I894), ISBLANK(L894)),
        "",
        MAX(
            1,
            IF(
                NETWORKDAYS(I894, L894, Holiday_Dates) &lt;= 0,
                1,
                NETWORKDAYS(I894, L894, Holiday_Dates) - IF(I894 = L894, 0, 1)
            )
        )
    ),
    ""
)</f>
        <v>3</v>
      </c>
      <c r="Q894" s="385" t="str">
        <f>IF(
    OR(ISBLANK(L894), ISBLANK(M894)),
    "",
    MAX(
        1,
        IF(
            NETWORKDAYS(L894, M894, Holiday_Dates) &lt;= 0,
            1,
            NETWORKDAYS(L894, M894, Holiday_Dates) - IF(L894 = M894, 0, 1)
        )
    )
)</f>
        <v/>
      </c>
      <c r="R894" s="385">
        <f>IFERROR(
    IF(
        OR(ISBLANK(N894), AND(ISBLANK(L894), ISBLANK(M894))),
        "",
        MAX(
            1,
            IF(
                NETWORKDAYS(IF(NOT(ISBLANK(M894)), M894, L894), N894, Holiday_Dates) &lt;= 0,
                1,
                NETWORKDAYS(IF(NOT(ISBLANK(M894)), M894, L894), N894, Holiday_Dates)
                - IF(IF(NOT(ISBLANK(M894)), M894, L894) = N894, 0, 1)
            )
        )
    ),
    ""
)</f>
        <v>1</v>
      </c>
      <c r="S894" s="385">
        <f>IFERROR(
    IF(
        OR(ISBLANK(N894), ISBLANK(O894)),
        "",
        MAX(
            1,
            IF(
                NETWORKDAYS(N894, O894, Holiday_Dates) &lt;= 0,
                1,
                NETWORKDAYS(N894, O894, Holiday_Dates) - IF(N894 = O894, 0, 1)
            )
        )
    ),
    ""
)</f>
        <v>2</v>
      </c>
      <c r="T894" s="385" t="s">
        <v>929</v>
      </c>
      <c r="U894" s="385" t="s">
        <v>672</v>
      </c>
      <c r="V894" s="385" t="s">
        <v>685</v>
      </c>
      <c r="W894" s="385" t="s">
        <v>4710</v>
      </c>
      <c r="X894" s="1"/>
    </row>
    <row r="895" spans="1:26">
      <c r="A895" s="385" t="s">
        <v>65</v>
      </c>
      <c r="B895" s="385" t="s">
        <v>386</v>
      </c>
      <c r="C895" s="385" t="s">
        <v>2777</v>
      </c>
      <c r="D895" s="385" t="s">
        <v>88</v>
      </c>
      <c r="E895" s="385" t="s">
        <v>141</v>
      </c>
      <c r="F895" s="385"/>
      <c r="G895" s="385" t="s">
        <v>130</v>
      </c>
      <c r="H895" s="385"/>
      <c r="I895" s="385"/>
      <c r="J895" s="30"/>
      <c r="K895" s="388" t="s">
        <v>45</v>
      </c>
      <c r="L895" s="385"/>
      <c r="M895" s="385"/>
      <c r="N895" s="385"/>
      <c r="O895" s="385"/>
      <c r="P895" s="385" t="str">
        <f>IFERROR(
    IF(
        OR(ISBLANK(I895), ISBLANK(L895)),
        "",
        MAX(
            1,
            IF(
                NETWORKDAYS(I895, L895, Holiday_Dates) &lt;= 0,
                1,
                NETWORKDAYS(I895, L895, Holiday_Dates) - IF(I895 = L895, 0, 1)
            )
        )
    ),
    ""
)</f>
        <v/>
      </c>
      <c r="Q895" s="385" t="str">
        <f>IF(
    OR(ISBLANK(L895), ISBLANK(M895)),
    "",
    MAX(
        1,
        IF(
            NETWORKDAYS(L895, M895, Holiday_Dates) &lt;= 0,
            1,
            NETWORKDAYS(L895, M895, Holiday_Dates) - IF(L895 = M895, 0, 1)
        )
    )
)</f>
        <v/>
      </c>
      <c r="R895" s="385" t="str">
        <f>IFERROR(
    IF(
        OR(ISBLANK(N895), AND(ISBLANK(L895), ISBLANK(M895))),
        "",
        MAX(
            1,
            IF(
                NETWORKDAYS(IF(NOT(ISBLANK(M895)), M895, L895), N895, Holiday_Dates) &lt;= 0,
                1,
                NETWORKDAYS(IF(NOT(ISBLANK(M895)), M895, L895), N895, Holiday_Dates)
                - IF(IF(NOT(ISBLANK(M895)), M895, L895) = N895, 0, 1)
            )
        )
    ),
    ""
)</f>
        <v/>
      </c>
      <c r="S895" s="385" t="str">
        <f>IFERROR(
    IF(
        OR(ISBLANK(N895), ISBLANK(O895)),
        "",
        MAX(
            1,
            IF(
                NETWORKDAYS(N895, O895, Holiday_Dates) &lt;= 0,
                1,
                NETWORKDAYS(N895, O895, Holiday_Dates) - IF(N895 = O895, 0, 1)
            )
        )
    ),
    ""
)</f>
        <v/>
      </c>
      <c r="T895" s="385"/>
      <c r="U895" s="385"/>
      <c r="V895" s="385"/>
      <c r="W895" s="385" t="s">
        <v>4710</v>
      </c>
      <c r="X895" s="1"/>
    </row>
    <row r="896" spans="1:26">
      <c r="A896" s="385" t="s">
        <v>65</v>
      </c>
      <c r="B896" s="385" t="s">
        <v>386</v>
      </c>
      <c r="C896" s="385" t="s">
        <v>2948</v>
      </c>
      <c r="D896" s="385" t="s">
        <v>88</v>
      </c>
      <c r="E896" s="385" t="s">
        <v>141</v>
      </c>
      <c r="F896" s="385"/>
      <c r="G896" s="385" t="s">
        <v>130</v>
      </c>
      <c r="H896" s="385"/>
      <c r="I896" s="385"/>
      <c r="J896" s="30"/>
      <c r="K896" s="388" t="s">
        <v>45</v>
      </c>
      <c r="L896" s="385"/>
      <c r="M896" s="385"/>
      <c r="N896" s="385"/>
      <c r="O896" s="385"/>
      <c r="P896" s="385" t="str">
        <f>IFERROR(
    IF(
        OR(ISBLANK(I896), ISBLANK(L896)),
        "",
        MAX(
            1,
            IF(
                NETWORKDAYS(I896, L896, Holiday_Dates) &lt;= 0,
                1,
                NETWORKDAYS(I896, L896, Holiday_Dates) - IF(I896 = L896, 0, 1)
            )
        )
    ),
    ""
)</f>
        <v/>
      </c>
      <c r="Q896" s="385" t="str">
        <f>IF(
    OR(ISBLANK(L896), ISBLANK(M896)),
    "",
    MAX(
        1,
        IF(
            NETWORKDAYS(L896, M896, Holiday_Dates) &lt;= 0,
            1,
            NETWORKDAYS(L896, M896, Holiday_Dates) - IF(L896 = M896, 0, 1)
        )
    )
)</f>
        <v/>
      </c>
      <c r="R896" s="385" t="str">
        <f>IFERROR(
    IF(
        OR(ISBLANK(N896), AND(ISBLANK(L896), ISBLANK(M896))),
        "",
        MAX(
            1,
            IF(
                NETWORKDAYS(IF(NOT(ISBLANK(M896)), M896, L896), N896, Holiday_Dates) &lt;= 0,
                1,
                NETWORKDAYS(IF(NOT(ISBLANK(M896)), M896, L896), N896, Holiday_Dates)
                - IF(IF(NOT(ISBLANK(M896)), M896, L896) = N896, 0, 1)
            )
        )
    ),
    ""
)</f>
        <v/>
      </c>
      <c r="S896" s="385" t="str">
        <f>IFERROR(
    IF(
        OR(ISBLANK(N896), ISBLANK(O896)),
        "",
        MAX(
            1,
            IF(
                NETWORKDAYS(N896, O896, Holiday_Dates) &lt;= 0,
                1,
                NETWORKDAYS(N896, O896, Holiday_Dates) - IF(N896 = O896, 0, 1)
            )
        )
    ),
    ""
)</f>
        <v/>
      </c>
      <c r="T896" s="385"/>
      <c r="U896" s="385"/>
      <c r="V896" s="385"/>
      <c r="W896" s="385" t="s">
        <v>4710</v>
      </c>
      <c r="X896" s="1"/>
    </row>
    <row r="897" spans="1:24">
      <c r="A897" s="385" t="s">
        <v>65</v>
      </c>
      <c r="B897" s="385" t="s">
        <v>386</v>
      </c>
      <c r="C897" s="385" t="s">
        <v>2750</v>
      </c>
      <c r="D897" s="385" t="s">
        <v>88</v>
      </c>
      <c r="E897" s="385" t="s">
        <v>141</v>
      </c>
      <c r="F897" s="385"/>
      <c r="G897" s="385" t="s">
        <v>130</v>
      </c>
      <c r="H897" s="385"/>
      <c r="I897" s="385"/>
      <c r="J897" s="30"/>
      <c r="K897" s="388" t="s">
        <v>45</v>
      </c>
      <c r="L897" s="385"/>
      <c r="M897" s="385"/>
      <c r="N897" s="385"/>
      <c r="O897" s="385"/>
      <c r="P897" s="385" t="str">
        <f>IFERROR(
    IF(
        OR(ISBLANK(I897), ISBLANK(L897)),
        "",
        MAX(
            1,
            IF(
                NETWORKDAYS(I897, L897, Holiday_Dates) &lt;= 0,
                1,
                NETWORKDAYS(I897, L897, Holiday_Dates) - IF(I897 = L897, 0, 1)
            )
        )
    ),
    ""
)</f>
        <v/>
      </c>
      <c r="Q897" s="385" t="str">
        <f>IF(
    OR(ISBLANK(L897), ISBLANK(M897)),
    "",
    MAX(
        1,
        IF(
            NETWORKDAYS(L897, M897, Holiday_Dates) &lt;= 0,
            1,
            NETWORKDAYS(L897, M897, Holiday_Dates) - IF(L897 = M897, 0, 1)
        )
    )
)</f>
        <v/>
      </c>
      <c r="R897" s="385" t="str">
        <f>IFERROR(
    IF(
        OR(ISBLANK(N897), AND(ISBLANK(L897), ISBLANK(M897))),
        "",
        MAX(
            1,
            IF(
                NETWORKDAYS(IF(NOT(ISBLANK(M897)), M897, L897), N897, Holiday_Dates) &lt;= 0,
                1,
                NETWORKDAYS(IF(NOT(ISBLANK(M897)), M897, L897), N897, Holiday_Dates)
                - IF(IF(NOT(ISBLANK(M897)), M897, L897) = N897, 0, 1)
            )
        )
    ),
    ""
)</f>
        <v/>
      </c>
      <c r="S897" s="385" t="str">
        <f>IFERROR(
    IF(
        OR(ISBLANK(N897), ISBLANK(O897)),
        "",
        MAX(
            1,
            IF(
                NETWORKDAYS(N897, O897, Holiday_Dates) &lt;= 0,
                1,
                NETWORKDAYS(N897, O897, Holiday_Dates) - IF(N897 = O897, 0, 1)
            )
        )
    ),
    ""
)</f>
        <v/>
      </c>
      <c r="T897" s="385"/>
      <c r="U897" s="385"/>
      <c r="V897" s="385"/>
      <c r="W897" s="385" t="s">
        <v>4710</v>
      </c>
      <c r="X897" s="1"/>
    </row>
    <row r="898" spans="1:24">
      <c r="A898" s="385" t="s">
        <v>65</v>
      </c>
      <c r="B898" s="385" t="s">
        <v>386</v>
      </c>
      <c r="C898" s="385" t="s">
        <v>2949</v>
      </c>
      <c r="D898" s="385" t="s">
        <v>88</v>
      </c>
      <c r="E898" s="385" t="s">
        <v>141</v>
      </c>
      <c r="F898" s="385"/>
      <c r="G898" s="385" t="s">
        <v>130</v>
      </c>
      <c r="H898" s="385"/>
      <c r="I898" s="385"/>
      <c r="J898" s="30"/>
      <c r="K898" s="388" t="s">
        <v>45</v>
      </c>
      <c r="L898" s="385"/>
      <c r="M898" s="385"/>
      <c r="N898" s="385"/>
      <c r="O898" s="385"/>
      <c r="P898" s="385" t="str">
        <f>IFERROR(
    IF(
        OR(ISBLANK(I898), ISBLANK(L898)),
        "",
        MAX(
            1,
            IF(
                NETWORKDAYS(I898, L898, Holiday_Dates) &lt;= 0,
                1,
                NETWORKDAYS(I898, L898, Holiday_Dates) - IF(I898 = L898, 0, 1)
            )
        )
    ),
    ""
)</f>
        <v/>
      </c>
      <c r="Q898" s="385" t="str">
        <f>IF(
    OR(ISBLANK(L898), ISBLANK(M898)),
    "",
    MAX(
        1,
        IF(
            NETWORKDAYS(L898, M898, Holiday_Dates) &lt;= 0,
            1,
            NETWORKDAYS(L898, M898, Holiday_Dates) - IF(L898 = M898, 0, 1)
        )
    )
)</f>
        <v/>
      </c>
      <c r="R898" s="385" t="str">
        <f>IFERROR(
    IF(
        OR(ISBLANK(N898), AND(ISBLANK(L898), ISBLANK(M898))),
        "",
        MAX(
            1,
            IF(
                NETWORKDAYS(IF(NOT(ISBLANK(M898)), M898, L898), N898, Holiday_Dates) &lt;= 0,
                1,
                NETWORKDAYS(IF(NOT(ISBLANK(M898)), M898, L898), N898, Holiday_Dates)
                - IF(IF(NOT(ISBLANK(M898)), M898, L898) = N898, 0, 1)
            )
        )
    ),
    ""
)</f>
        <v/>
      </c>
      <c r="S898" s="385" t="str">
        <f>IFERROR(
    IF(
        OR(ISBLANK(N898), ISBLANK(O898)),
        "",
        MAX(
            1,
            IF(
                NETWORKDAYS(N898, O898, Holiday_Dates) &lt;= 0,
                1,
                NETWORKDAYS(N898, O898, Holiday_Dates) - IF(N898 = O898, 0, 1)
            )
        )
    ),
    ""
)</f>
        <v/>
      </c>
      <c r="T898" s="385"/>
      <c r="U898" s="385"/>
      <c r="V898" s="385"/>
      <c r="W898" s="385" t="s">
        <v>4710</v>
      </c>
      <c r="X898" s="1"/>
    </row>
    <row r="899" spans="1:24">
      <c r="A899" s="385" t="s">
        <v>65</v>
      </c>
      <c r="B899" s="385" t="s">
        <v>386</v>
      </c>
      <c r="C899" s="385" t="s">
        <v>2950</v>
      </c>
      <c r="D899" s="385" t="s">
        <v>88</v>
      </c>
      <c r="E899" s="385" t="s">
        <v>141</v>
      </c>
      <c r="F899" s="385"/>
      <c r="G899" s="385" t="s">
        <v>130</v>
      </c>
      <c r="H899" s="385"/>
      <c r="I899" s="385"/>
      <c r="J899" s="30"/>
      <c r="K899" s="388" t="s">
        <v>45</v>
      </c>
      <c r="L899" s="385"/>
      <c r="M899" s="385"/>
      <c r="N899" s="385"/>
      <c r="O899" s="385"/>
      <c r="P899" s="385" t="str">
        <f>IFERROR(
    IF(
        OR(ISBLANK(I899), ISBLANK(L899)),
        "",
        MAX(
            1,
            IF(
                NETWORKDAYS(I899, L899, Holiday_Dates) &lt;= 0,
                1,
                NETWORKDAYS(I899, L899, Holiday_Dates) - IF(I899 = L899, 0, 1)
            )
        )
    ),
    ""
)</f>
        <v/>
      </c>
      <c r="Q899" s="385" t="str">
        <f>IF(
    OR(ISBLANK(L899), ISBLANK(M899)),
    "",
    MAX(
        1,
        IF(
            NETWORKDAYS(L899, M899, Holiday_Dates) &lt;= 0,
            1,
            NETWORKDAYS(L899, M899, Holiday_Dates) - IF(L899 = M899, 0, 1)
        )
    )
)</f>
        <v/>
      </c>
      <c r="R899" s="385" t="str">
        <f>IFERROR(
    IF(
        OR(ISBLANK(N899), AND(ISBLANK(L899), ISBLANK(M899))),
        "",
        MAX(
            1,
            IF(
                NETWORKDAYS(IF(NOT(ISBLANK(M899)), M899, L899), N899, Holiday_Dates) &lt;= 0,
                1,
                NETWORKDAYS(IF(NOT(ISBLANK(M899)), M899, L899), N899, Holiday_Dates)
                - IF(IF(NOT(ISBLANK(M899)), M899, L899) = N899, 0, 1)
            )
        )
    ),
    ""
)</f>
        <v/>
      </c>
      <c r="S899" s="385" t="str">
        <f>IFERROR(
    IF(
        OR(ISBLANK(N899), ISBLANK(O899)),
        "",
        MAX(
            1,
            IF(
                NETWORKDAYS(N899, O899, Holiday_Dates) &lt;= 0,
                1,
                NETWORKDAYS(N899, O899, Holiday_Dates) - IF(N899 = O899, 0, 1)
            )
        )
    ),
    ""
)</f>
        <v/>
      </c>
      <c r="T899" s="385"/>
      <c r="U899" s="385"/>
      <c r="V899" s="385"/>
      <c r="W899" s="385" t="s">
        <v>4710</v>
      </c>
      <c r="X899" s="1"/>
    </row>
    <row r="900" spans="1:24">
      <c r="A900" s="385" t="s">
        <v>65</v>
      </c>
      <c r="B900" s="385" t="s">
        <v>2984</v>
      </c>
      <c r="C900" s="385" t="s">
        <v>2988</v>
      </c>
      <c r="D900" s="385" t="s">
        <v>88</v>
      </c>
      <c r="E900" s="385" t="s">
        <v>26</v>
      </c>
      <c r="F900" s="385"/>
      <c r="G900" s="385" t="s">
        <v>130</v>
      </c>
      <c r="H900" s="385"/>
      <c r="I900" s="385"/>
      <c r="J900" s="30"/>
      <c r="K900" s="388" t="s">
        <v>45</v>
      </c>
      <c r="L900" s="385"/>
      <c r="M900" s="385"/>
      <c r="N900" s="385"/>
      <c r="O900" s="385"/>
      <c r="P900" s="385" t="str">
        <f>IFERROR(
    IF(
        OR(ISBLANK(I900), ISBLANK(L900)),
        "",
        MAX(
            1,
            IF(
                NETWORKDAYS(I900, L900, Holiday_Dates) &lt;= 0,
                1,
                NETWORKDAYS(I900, L900, Holiday_Dates) - IF(I900 = L900, 0, 1)
            )
        )
    ),
    ""
)</f>
        <v/>
      </c>
      <c r="Q900" s="385" t="str">
        <f>IF(
    OR(ISBLANK(L900), ISBLANK(M900)),
    "",
    MAX(
        1,
        IF(
            NETWORKDAYS(L900, M900, Holiday_Dates) &lt;= 0,
            1,
            NETWORKDAYS(L900, M900, Holiday_Dates) - IF(L900 = M900, 0, 1)
        )
    )
)</f>
        <v/>
      </c>
      <c r="R900" s="385" t="str">
        <f>IFERROR(
    IF(
        OR(ISBLANK(N900), AND(ISBLANK(L900), ISBLANK(M900))),
        "",
        MAX(
            1,
            IF(
                NETWORKDAYS(IF(NOT(ISBLANK(M900)), M900, L900), N900, Holiday_Dates) &lt;= 0,
                1,
                NETWORKDAYS(IF(NOT(ISBLANK(M900)), M900, L900), N900, Holiday_Dates)
                - IF(IF(NOT(ISBLANK(M900)), M900, L900) = N900, 0, 1)
            )
        )
    ),
    ""
)</f>
        <v/>
      </c>
      <c r="S900" s="385" t="str">
        <f>IFERROR(
    IF(
        OR(ISBLANK(N900), ISBLANK(O900)),
        "",
        MAX(
            1,
            IF(
                NETWORKDAYS(N900, O900, Holiday_Dates) &lt;= 0,
                1,
                NETWORKDAYS(N900, O900, Holiday_Dates) - IF(N900 = O900, 0, 1)
            )
        )
    ),
    ""
)</f>
        <v/>
      </c>
      <c r="T900" s="385"/>
      <c r="U900" s="385"/>
      <c r="V900" s="385"/>
      <c r="W900" s="385" t="s">
        <v>4710</v>
      </c>
      <c r="X900" s="1"/>
    </row>
    <row r="901" spans="1:24">
      <c r="A901" s="385" t="s">
        <v>65</v>
      </c>
      <c r="B901" s="385" t="s">
        <v>2984</v>
      </c>
      <c r="C901" s="385" t="s">
        <v>2989</v>
      </c>
      <c r="D901" s="385" t="s">
        <v>88</v>
      </c>
      <c r="E901" s="385" t="s">
        <v>26</v>
      </c>
      <c r="F901" s="385"/>
      <c r="G901" s="385" t="s">
        <v>130</v>
      </c>
      <c r="H901" s="385"/>
      <c r="I901" s="385"/>
      <c r="J901" s="30"/>
      <c r="K901" s="388" t="s">
        <v>45</v>
      </c>
      <c r="L901" s="385"/>
      <c r="M901" s="385"/>
      <c r="N901" s="385"/>
      <c r="O901" s="385"/>
      <c r="P901" s="385" t="str">
        <f>IFERROR(
    IF(
        OR(ISBLANK(I901), ISBLANK(L901)),
        "",
        MAX(
            1,
            IF(
                NETWORKDAYS(I901, L901, Holiday_Dates) &lt;= 0,
                1,
                NETWORKDAYS(I901, L901, Holiday_Dates) - IF(I901 = L901, 0, 1)
            )
        )
    ),
    ""
)</f>
        <v/>
      </c>
      <c r="Q901" s="385" t="str">
        <f>IF(
    OR(ISBLANK(L901), ISBLANK(M901)),
    "",
    MAX(
        1,
        IF(
            NETWORKDAYS(L901, M901, Holiday_Dates) &lt;= 0,
            1,
            NETWORKDAYS(L901, M901, Holiday_Dates) - IF(L901 = M901, 0, 1)
        )
    )
)</f>
        <v/>
      </c>
      <c r="R901" s="385" t="str">
        <f>IFERROR(
    IF(
        OR(ISBLANK(N901), AND(ISBLANK(L901), ISBLANK(M901))),
        "",
        MAX(
            1,
            IF(
                NETWORKDAYS(IF(NOT(ISBLANK(M901)), M901, L901), N901, Holiday_Dates) &lt;= 0,
                1,
                NETWORKDAYS(IF(NOT(ISBLANK(M901)), M901, L901), N901, Holiday_Dates)
                - IF(IF(NOT(ISBLANK(M901)), M901, L901) = N901, 0, 1)
            )
        )
    ),
    ""
)</f>
        <v/>
      </c>
      <c r="S901" s="385" t="str">
        <f>IFERROR(
    IF(
        OR(ISBLANK(N901), ISBLANK(O901)),
        "",
        MAX(
            1,
            IF(
                NETWORKDAYS(N901, O901, Holiday_Dates) &lt;= 0,
                1,
                NETWORKDAYS(N901, O901, Holiday_Dates) - IF(N901 = O901, 0, 1)
            )
        )
    ),
    ""
)</f>
        <v/>
      </c>
      <c r="T901" s="385"/>
      <c r="U901" s="385"/>
      <c r="V901" s="385"/>
      <c r="W901" s="385" t="s">
        <v>4710</v>
      </c>
      <c r="X901" s="1"/>
    </row>
    <row r="902" spans="1:24">
      <c r="A902" s="385" t="s">
        <v>65</v>
      </c>
      <c r="B902" s="385" t="s">
        <v>2984</v>
      </c>
      <c r="C902" s="385" t="s">
        <v>2990</v>
      </c>
      <c r="D902" s="385" t="s">
        <v>88</v>
      </c>
      <c r="E902" s="385" t="s">
        <v>26</v>
      </c>
      <c r="F902" s="385"/>
      <c r="G902" s="385" t="s">
        <v>130</v>
      </c>
      <c r="H902" s="385"/>
      <c r="I902" s="385"/>
      <c r="J902" s="30"/>
      <c r="K902" s="388" t="s">
        <v>45</v>
      </c>
      <c r="L902" s="385"/>
      <c r="M902" s="385"/>
      <c r="N902" s="385"/>
      <c r="O902" s="385"/>
      <c r="P902" s="385" t="str">
        <f>IFERROR(
    IF(
        OR(ISBLANK(I902), ISBLANK(L902)),
        "",
        MAX(
            1,
            IF(
                NETWORKDAYS(I902, L902, Holiday_Dates) &lt;= 0,
                1,
                NETWORKDAYS(I902, L902, Holiday_Dates) - IF(I902 = L902, 0, 1)
            )
        )
    ),
    ""
)</f>
        <v/>
      </c>
      <c r="Q902" s="385" t="str">
        <f>IF(
    OR(ISBLANK(L902), ISBLANK(M902)),
    "",
    MAX(
        1,
        IF(
            NETWORKDAYS(L902, M902, Holiday_Dates) &lt;= 0,
            1,
            NETWORKDAYS(L902, M902, Holiday_Dates) - IF(L902 = M902, 0, 1)
        )
    )
)</f>
        <v/>
      </c>
      <c r="R902" s="385" t="str">
        <f>IFERROR(
    IF(
        OR(ISBLANK(N902), AND(ISBLANK(L902), ISBLANK(M902))),
        "",
        MAX(
            1,
            IF(
                NETWORKDAYS(IF(NOT(ISBLANK(M902)), M902, L902), N902, Holiday_Dates) &lt;= 0,
                1,
                NETWORKDAYS(IF(NOT(ISBLANK(M902)), M902, L902), N902, Holiday_Dates)
                - IF(IF(NOT(ISBLANK(M902)), M902, L902) = N902, 0, 1)
            )
        )
    ),
    ""
)</f>
        <v/>
      </c>
      <c r="S902" s="385" t="str">
        <f>IFERROR(
    IF(
        OR(ISBLANK(N902), ISBLANK(O902)),
        "",
        MAX(
            1,
            IF(
                NETWORKDAYS(N902, O902, Holiday_Dates) &lt;= 0,
                1,
                NETWORKDAYS(N902, O902, Holiday_Dates) - IF(N902 = O902, 0, 1)
            )
        )
    ),
    ""
)</f>
        <v/>
      </c>
      <c r="T902" s="385"/>
      <c r="U902" s="385"/>
      <c r="V902" s="385"/>
      <c r="W902" s="385" t="s">
        <v>4710</v>
      </c>
      <c r="X902" s="1"/>
    </row>
    <row r="903" spans="1:24">
      <c r="A903" s="385" t="s">
        <v>65</v>
      </c>
      <c r="B903" s="385" t="s">
        <v>2984</v>
      </c>
      <c r="C903" s="385" t="s">
        <v>2991</v>
      </c>
      <c r="D903" s="385" t="s">
        <v>88</v>
      </c>
      <c r="E903" s="385" t="s">
        <v>26</v>
      </c>
      <c r="F903" s="385"/>
      <c r="G903" s="385" t="s">
        <v>130</v>
      </c>
      <c r="H903" s="385"/>
      <c r="I903" s="385"/>
      <c r="J903" s="30"/>
      <c r="K903" s="388" t="s">
        <v>45</v>
      </c>
      <c r="L903" s="385"/>
      <c r="M903" s="385"/>
      <c r="N903" s="385"/>
      <c r="O903" s="385"/>
      <c r="P903" s="385" t="str">
        <f>IFERROR(
    IF(
        OR(ISBLANK(I903), ISBLANK(L903)),
        "",
        MAX(
            1,
            IF(
                NETWORKDAYS(I903, L903, Holiday_Dates) &lt;= 0,
                1,
                NETWORKDAYS(I903, L903, Holiday_Dates) - IF(I903 = L903, 0, 1)
            )
        )
    ),
    ""
)</f>
        <v/>
      </c>
      <c r="Q903" s="385" t="str">
        <f>IF(
    OR(ISBLANK(L903), ISBLANK(M903)),
    "",
    MAX(
        1,
        IF(
            NETWORKDAYS(L903, M903, Holiday_Dates) &lt;= 0,
            1,
            NETWORKDAYS(L903, M903, Holiday_Dates) - IF(L903 = M903, 0, 1)
        )
    )
)</f>
        <v/>
      </c>
      <c r="R903" s="385" t="str">
        <f>IFERROR(
    IF(
        OR(ISBLANK(N903), AND(ISBLANK(L903), ISBLANK(M903))),
        "",
        MAX(
            1,
            IF(
                NETWORKDAYS(IF(NOT(ISBLANK(M903)), M903, L903), N903, Holiday_Dates) &lt;= 0,
                1,
                NETWORKDAYS(IF(NOT(ISBLANK(M903)), M903, L903), N903, Holiday_Dates)
                - IF(IF(NOT(ISBLANK(M903)), M903, L903) = N903, 0, 1)
            )
        )
    ),
    ""
)</f>
        <v/>
      </c>
      <c r="S903" s="385" t="str">
        <f>IFERROR(
    IF(
        OR(ISBLANK(N903), ISBLANK(O903)),
        "",
        MAX(
            1,
            IF(
                NETWORKDAYS(N903, O903, Holiday_Dates) &lt;= 0,
                1,
                NETWORKDAYS(N903, O903, Holiday_Dates) - IF(N903 = O903, 0, 1)
            )
        )
    ),
    ""
)</f>
        <v/>
      </c>
      <c r="T903" s="385"/>
      <c r="U903" s="385"/>
      <c r="V903" s="385"/>
      <c r="W903" s="385" t="s">
        <v>4710</v>
      </c>
      <c r="X903" s="1"/>
    </row>
    <row r="904" spans="1:24">
      <c r="A904" s="385" t="s">
        <v>49</v>
      </c>
      <c r="B904" s="385" t="s">
        <v>378</v>
      </c>
      <c r="C904" s="385" t="s">
        <v>2673</v>
      </c>
      <c r="D904" s="385" t="s">
        <v>88</v>
      </c>
      <c r="E904" s="385"/>
      <c r="F904" s="385"/>
      <c r="G904" s="385"/>
      <c r="H904" s="385">
        <v>2025</v>
      </c>
      <c r="I904" s="386">
        <v>45943</v>
      </c>
      <c r="J904" s="30" t="s">
        <v>5060</v>
      </c>
      <c r="K904" s="385"/>
      <c r="L904" s="385"/>
      <c r="M904" s="385"/>
      <c r="N904" s="385"/>
      <c r="O904" s="385"/>
      <c r="P904" s="385" t="str">
        <f>IFERROR(
    IF(
        OR(ISBLANK(I904), ISBLANK(L904)),
        "",
        MAX(
            1,
            IF(
                NETWORKDAYS(I904, L904, Holiday_Dates) &lt;= 0,
                1,
                NETWORKDAYS(I904, L904, Holiday_Dates) - IF(I904 = L904, 0, 1)
            )
        )
    ),
    ""
)</f>
        <v/>
      </c>
      <c r="Q904" s="385" t="str">
        <f>IF(
    OR(ISBLANK(L904), ISBLANK(M904)),
    "",
    MAX(
        1,
        IF(
            NETWORKDAYS(L904, M904, Holiday_Dates) &lt;= 0,
            1,
            NETWORKDAYS(L904, M904, Holiday_Dates) - IF(L904 = M904, 0, 1)
        )
    )
)</f>
        <v/>
      </c>
      <c r="R904" s="385" t="str">
        <f>IFERROR(
    IF(
        OR(ISBLANK(N904), AND(ISBLANK(L904), ISBLANK(M904))),
        "",
        MAX(
            1,
            IF(
                NETWORKDAYS(IF(NOT(ISBLANK(M904)), M904, L904), N904, Holiday_Dates) &lt;= 0,
                1,
                NETWORKDAYS(IF(NOT(ISBLANK(M904)), M904, L904), N904, Holiday_Dates)
                - IF(IF(NOT(ISBLANK(M904)), M904, L904) = N904, 0, 1)
            )
        )
    ),
    ""
)</f>
        <v/>
      </c>
      <c r="S904" s="385" t="str">
        <f>IFERROR(
    IF(
        OR(ISBLANK(N904), ISBLANK(O904)),
        "",
        MAX(
            1,
            IF(
                NETWORKDAYS(N904, O904, Holiday_Dates) &lt;= 0,
                1,
                NETWORKDAYS(N904, O904, Holiday_Dates) - IF(N904 = O904, 0, 1)
            )
        )
    ),
    ""
)</f>
        <v/>
      </c>
      <c r="T904" s="385"/>
      <c r="U904" s="385" t="s">
        <v>672</v>
      </c>
      <c r="V904" s="385" t="s">
        <v>1676</v>
      </c>
      <c r="W904" s="385" t="s">
        <v>1436</v>
      </c>
      <c r="X904" s="1"/>
    </row>
    <row r="905" spans="1:24">
      <c r="A905" s="385" t="s">
        <v>49</v>
      </c>
      <c r="B905" s="385" t="s">
        <v>378</v>
      </c>
      <c r="C905" s="385" t="s">
        <v>2672</v>
      </c>
      <c r="D905" s="385" t="s">
        <v>88</v>
      </c>
      <c r="E905" s="385"/>
      <c r="F905" s="385"/>
      <c r="G905" s="385"/>
      <c r="H905" s="385">
        <v>2025</v>
      </c>
      <c r="I905" s="386">
        <v>45943</v>
      </c>
      <c r="J905" s="30" t="s">
        <v>5061</v>
      </c>
      <c r="K905" s="385"/>
      <c r="L905" s="385"/>
      <c r="M905" s="385"/>
      <c r="N905" s="385"/>
      <c r="O905" s="385"/>
      <c r="P905" s="385" t="str">
        <f>IFERROR(
    IF(
        OR(ISBLANK(I905), ISBLANK(L905)),
        "",
        MAX(
            1,
            IF(
                NETWORKDAYS(I905, L905, Holiday_Dates) &lt;= 0,
                1,
                NETWORKDAYS(I905, L905, Holiday_Dates) - IF(I905 = L905, 0, 1)
            )
        )
    ),
    ""
)</f>
        <v/>
      </c>
      <c r="Q905" s="385" t="str">
        <f>IF(
    OR(ISBLANK(L905), ISBLANK(M905)),
    "",
    MAX(
        1,
        IF(
            NETWORKDAYS(L905, M905, Holiday_Dates) &lt;= 0,
            1,
            NETWORKDAYS(L905, M905, Holiday_Dates) - IF(L905 = M905, 0, 1)
        )
    )
)</f>
        <v/>
      </c>
      <c r="R905" s="385" t="str">
        <f>IFERROR(
    IF(
        OR(ISBLANK(N905), AND(ISBLANK(L905), ISBLANK(M905))),
        "",
        MAX(
            1,
            IF(
                NETWORKDAYS(IF(NOT(ISBLANK(M905)), M905, L905), N905, Holiday_Dates) &lt;= 0,
                1,
                NETWORKDAYS(IF(NOT(ISBLANK(M905)), M905, L905), N905, Holiday_Dates)
                - IF(IF(NOT(ISBLANK(M905)), M905, L905) = N905, 0, 1)
            )
        )
    ),
    ""
)</f>
        <v/>
      </c>
      <c r="S905" s="385" t="str">
        <f>IFERROR(
    IF(
        OR(ISBLANK(N905), ISBLANK(O905)),
        "",
        MAX(
            1,
            IF(
                NETWORKDAYS(N905, O905, Holiday_Dates) &lt;= 0,
                1,
                NETWORKDAYS(N905, O905, Holiday_Dates) - IF(N905 = O905, 0, 1)
            )
        )
    ),
    ""
)</f>
        <v/>
      </c>
      <c r="T905" s="385"/>
      <c r="U905" s="385" t="s">
        <v>672</v>
      </c>
      <c r="V905" s="385" t="s">
        <v>1676</v>
      </c>
      <c r="W905" s="385" t="s">
        <v>1436</v>
      </c>
      <c r="X905" s="1"/>
    </row>
    <row r="906" spans="1:24">
      <c r="A906" s="385" t="s">
        <v>65</v>
      </c>
      <c r="B906" s="385" t="s">
        <v>2984</v>
      </c>
      <c r="C906" s="385" t="s">
        <v>2992</v>
      </c>
      <c r="D906" s="385" t="s">
        <v>88</v>
      </c>
      <c r="E906" s="385" t="s">
        <v>26</v>
      </c>
      <c r="F906" s="385"/>
      <c r="G906" s="385" t="s">
        <v>130</v>
      </c>
      <c r="H906" s="385"/>
      <c r="I906" s="385"/>
      <c r="J906" s="30"/>
      <c r="K906" s="388" t="s">
        <v>45</v>
      </c>
      <c r="L906" s="385"/>
      <c r="M906" s="385"/>
      <c r="N906" s="385"/>
      <c r="O906" s="385"/>
      <c r="P906" s="385" t="str">
        <f>IFERROR(
    IF(
        OR(ISBLANK(I906), ISBLANK(L906)),
        "",
        MAX(
            1,
            IF(
                NETWORKDAYS(I906, L906, Holiday_Dates) &lt;= 0,
                1,
                NETWORKDAYS(I906, L906, Holiday_Dates) - IF(I906 = L906, 0, 1)
            )
        )
    ),
    ""
)</f>
        <v/>
      </c>
      <c r="Q906" s="385" t="str">
        <f>IF(
    OR(ISBLANK(L906), ISBLANK(M906)),
    "",
    MAX(
        1,
        IF(
            NETWORKDAYS(L906, M906, Holiday_Dates) &lt;= 0,
            1,
            NETWORKDAYS(L906, M906, Holiday_Dates) - IF(L906 = M906, 0, 1)
        )
    )
)</f>
        <v/>
      </c>
      <c r="R906" s="385" t="str">
        <f>IFERROR(
    IF(
        OR(ISBLANK(N906), AND(ISBLANK(L906), ISBLANK(M906))),
        "",
        MAX(
            1,
            IF(
                NETWORKDAYS(IF(NOT(ISBLANK(M906)), M906, L906), N906, Holiday_Dates) &lt;= 0,
                1,
                NETWORKDAYS(IF(NOT(ISBLANK(M906)), M906, L906), N906, Holiday_Dates)
                - IF(IF(NOT(ISBLANK(M906)), M906, L906) = N906, 0, 1)
            )
        )
    ),
    ""
)</f>
        <v/>
      </c>
      <c r="S906" s="385" t="str">
        <f>IFERROR(
    IF(
        OR(ISBLANK(N906), ISBLANK(O906)),
        "",
        MAX(
            1,
            IF(
                NETWORKDAYS(N906, O906, Holiday_Dates) &lt;= 0,
                1,
                NETWORKDAYS(N906, O906, Holiday_Dates) - IF(N906 = O906, 0, 1)
            )
        )
    ),
    ""
)</f>
        <v/>
      </c>
      <c r="T906" s="385"/>
      <c r="U906" s="385"/>
      <c r="V906" s="385"/>
      <c r="W906" s="385" t="s">
        <v>4710</v>
      </c>
      <c r="X906" s="1"/>
    </row>
    <row r="907" spans="1:24">
      <c r="A907" s="385" t="s">
        <v>49</v>
      </c>
      <c r="B907" s="385" t="s">
        <v>378</v>
      </c>
      <c r="C907" s="385" t="s">
        <v>2679</v>
      </c>
      <c r="D907" s="385" t="s">
        <v>88</v>
      </c>
      <c r="E907" s="385"/>
      <c r="F907" s="385"/>
      <c r="G907" s="385"/>
      <c r="H907" s="385">
        <v>2025</v>
      </c>
      <c r="I907" s="386">
        <v>45937</v>
      </c>
      <c r="J907" s="30" t="s">
        <v>5062</v>
      </c>
      <c r="K907" s="385"/>
      <c r="L907" s="385"/>
      <c r="M907" s="385"/>
      <c r="N907" s="385"/>
      <c r="O907" s="385"/>
      <c r="P907" s="385" t="str">
        <f>IFERROR(
    IF(
        OR(ISBLANK(I907), ISBLANK(L907)),
        "",
        MAX(
            1,
            IF(
                NETWORKDAYS(I907, L907, Holiday_Dates) &lt;= 0,
                1,
                NETWORKDAYS(I907, L907, Holiday_Dates) - IF(I907 = L907, 0, 1)
            )
        )
    ),
    ""
)</f>
        <v/>
      </c>
      <c r="Q907" s="385" t="str">
        <f>IF(
    OR(ISBLANK(L907), ISBLANK(M907)),
    "",
    MAX(
        1,
        IF(
            NETWORKDAYS(L907, M907, Holiday_Dates) &lt;= 0,
            1,
            NETWORKDAYS(L907, M907, Holiday_Dates) - IF(L907 = M907, 0, 1)
        )
    )
)</f>
        <v/>
      </c>
      <c r="R907" s="385" t="str">
        <f>IFERROR(
    IF(
        OR(ISBLANK(N907), AND(ISBLANK(L907), ISBLANK(M907))),
        "",
        MAX(
            1,
            IF(
                NETWORKDAYS(IF(NOT(ISBLANK(M907)), M907, L907), N907, Holiday_Dates) &lt;= 0,
                1,
                NETWORKDAYS(IF(NOT(ISBLANK(M907)), M907, L907), N907, Holiday_Dates)
                - IF(IF(NOT(ISBLANK(M907)), M907, L907) = N907, 0, 1)
            )
        )
    ),
    ""
)</f>
        <v/>
      </c>
      <c r="S907" s="385" t="str">
        <f>IFERROR(
    IF(
        OR(ISBLANK(N907), ISBLANK(O907)),
        "",
        MAX(
            1,
            IF(
                NETWORKDAYS(N907, O907, Holiday_Dates) &lt;= 0,
                1,
                NETWORKDAYS(N907, O907, Holiday_Dates) - IF(N907 = O907, 0, 1)
            )
        )
    ),
    ""
)</f>
        <v/>
      </c>
      <c r="T907" s="385"/>
      <c r="U907" s="385" t="s">
        <v>672</v>
      </c>
      <c r="V907" s="385" t="s">
        <v>1676</v>
      </c>
      <c r="W907" s="385" t="s">
        <v>1436</v>
      </c>
      <c r="X907" s="1"/>
    </row>
    <row r="908" spans="1:24">
      <c r="A908" s="385" t="s">
        <v>49</v>
      </c>
      <c r="B908" s="385" t="s">
        <v>378</v>
      </c>
      <c r="C908" s="385" t="s">
        <v>2674</v>
      </c>
      <c r="D908" s="385" t="s">
        <v>88</v>
      </c>
      <c r="E908" s="385"/>
      <c r="F908" s="385"/>
      <c r="G908" s="385"/>
      <c r="H908" s="385">
        <v>2025</v>
      </c>
      <c r="I908" s="386">
        <v>45943</v>
      </c>
      <c r="J908" s="30" t="s">
        <v>5063</v>
      </c>
      <c r="K908" s="385"/>
      <c r="L908" s="385"/>
      <c r="M908" s="385"/>
      <c r="N908" s="385"/>
      <c r="O908" s="385"/>
      <c r="P908" s="385" t="str">
        <f>IFERROR(
    IF(
        OR(ISBLANK(I908), ISBLANK(L908)),
        "",
        MAX(
            1,
            IF(
                NETWORKDAYS(I908, L908, Holiday_Dates) &lt;= 0,
                1,
                NETWORKDAYS(I908, L908, Holiday_Dates) - IF(I908 = L908, 0, 1)
            )
        )
    ),
    ""
)</f>
        <v/>
      </c>
      <c r="Q908" s="385" t="str">
        <f>IF(
    OR(ISBLANK(L908), ISBLANK(M908)),
    "",
    MAX(
        1,
        IF(
            NETWORKDAYS(L908, M908, Holiday_Dates) &lt;= 0,
            1,
            NETWORKDAYS(L908, M908, Holiday_Dates) - IF(L908 = M908, 0, 1)
        )
    )
)</f>
        <v/>
      </c>
      <c r="R908" s="385" t="str">
        <f>IFERROR(
    IF(
        OR(ISBLANK(N908), AND(ISBLANK(L908), ISBLANK(M908))),
        "",
        MAX(
            1,
            IF(
                NETWORKDAYS(IF(NOT(ISBLANK(M908)), M908, L908), N908, Holiday_Dates) &lt;= 0,
                1,
                NETWORKDAYS(IF(NOT(ISBLANK(M908)), M908, L908), N908, Holiday_Dates)
                - IF(IF(NOT(ISBLANK(M908)), M908, L908) = N908, 0, 1)
            )
        )
    ),
    ""
)</f>
        <v/>
      </c>
      <c r="S908" s="385" t="str">
        <f>IFERROR(
    IF(
        OR(ISBLANK(N908), ISBLANK(O908)),
        "",
        MAX(
            1,
            IF(
                NETWORKDAYS(N908, O908, Holiday_Dates) &lt;= 0,
                1,
                NETWORKDAYS(N908, O908, Holiday_Dates) - IF(N908 = O908, 0, 1)
            )
        )
    ),
    ""
)</f>
        <v/>
      </c>
      <c r="T908" s="385"/>
      <c r="U908" s="385" t="s">
        <v>672</v>
      </c>
      <c r="V908" s="385" t="s">
        <v>1676</v>
      </c>
      <c r="W908" s="385" t="s">
        <v>1436</v>
      </c>
      <c r="X908" s="1"/>
    </row>
    <row r="909" spans="1:24">
      <c r="A909" s="385" t="s">
        <v>49</v>
      </c>
      <c r="B909" s="385" t="s">
        <v>378</v>
      </c>
      <c r="C909" s="385" t="s">
        <v>2675</v>
      </c>
      <c r="D909" s="385" t="s">
        <v>88</v>
      </c>
      <c r="E909" s="385"/>
      <c r="F909" s="385"/>
      <c r="G909" s="385"/>
      <c r="H909" s="385">
        <v>2025</v>
      </c>
      <c r="I909" s="386">
        <v>45943</v>
      </c>
      <c r="J909" s="30" t="s">
        <v>5064</v>
      </c>
      <c r="K909" s="385"/>
      <c r="L909" s="385"/>
      <c r="M909" s="385"/>
      <c r="N909" s="385"/>
      <c r="O909" s="385"/>
      <c r="P909" s="385" t="str">
        <f>IFERROR(
    IF(
        OR(ISBLANK(I909), ISBLANK(L909)),
        "",
        MAX(
            1,
            IF(
                NETWORKDAYS(I909, L909, Holiday_Dates) &lt;= 0,
                1,
                NETWORKDAYS(I909, L909, Holiday_Dates) - IF(I909 = L909, 0, 1)
            )
        )
    ),
    ""
)</f>
        <v/>
      </c>
      <c r="Q909" s="385" t="str">
        <f>IF(
    OR(ISBLANK(L909), ISBLANK(M909)),
    "",
    MAX(
        1,
        IF(
            NETWORKDAYS(L909, M909, Holiday_Dates) &lt;= 0,
            1,
            NETWORKDAYS(L909, M909, Holiday_Dates) - IF(L909 = M909, 0, 1)
        )
    )
)</f>
        <v/>
      </c>
      <c r="R909" s="385" t="str">
        <f>IFERROR(
    IF(
        OR(ISBLANK(N909), AND(ISBLANK(L909), ISBLANK(M909))),
        "",
        MAX(
            1,
            IF(
                NETWORKDAYS(IF(NOT(ISBLANK(M909)), M909, L909), N909, Holiday_Dates) &lt;= 0,
                1,
                NETWORKDAYS(IF(NOT(ISBLANK(M909)), M909, L909), N909, Holiday_Dates)
                - IF(IF(NOT(ISBLANK(M909)), M909, L909) = N909, 0, 1)
            )
        )
    ),
    ""
)</f>
        <v/>
      </c>
      <c r="S909" s="385" t="str">
        <f>IFERROR(
    IF(
        OR(ISBLANK(N909), ISBLANK(O909)),
        "",
        MAX(
            1,
            IF(
                NETWORKDAYS(N909, O909, Holiday_Dates) &lt;= 0,
                1,
                NETWORKDAYS(N909, O909, Holiday_Dates) - IF(N909 = O909, 0, 1)
            )
        )
    ),
    ""
)</f>
        <v/>
      </c>
      <c r="T909" s="385"/>
      <c r="U909" s="385" t="s">
        <v>672</v>
      </c>
      <c r="V909" s="385" t="s">
        <v>1676</v>
      </c>
      <c r="W909" s="385" t="s">
        <v>1436</v>
      </c>
      <c r="X909" s="1"/>
    </row>
    <row r="910" spans="1:24">
      <c r="A910" s="385" t="s">
        <v>49</v>
      </c>
      <c r="B910" s="385" t="s">
        <v>378</v>
      </c>
      <c r="C910" s="385" t="s">
        <v>2676</v>
      </c>
      <c r="D910" s="385" t="s">
        <v>88</v>
      </c>
      <c r="E910" s="385"/>
      <c r="F910" s="385"/>
      <c r="G910" s="385"/>
      <c r="H910" s="385">
        <v>2025</v>
      </c>
      <c r="I910" s="386">
        <v>45943</v>
      </c>
      <c r="J910" s="30" t="s">
        <v>5065</v>
      </c>
      <c r="K910" s="385"/>
      <c r="L910" s="385"/>
      <c r="M910" s="385"/>
      <c r="N910" s="385"/>
      <c r="O910" s="385"/>
      <c r="P910" s="385" t="str">
        <f>IFERROR(
    IF(
        OR(ISBLANK(I910), ISBLANK(L910)),
        "",
        MAX(
            1,
            IF(
                NETWORKDAYS(I910, L910, Holiday_Dates) &lt;= 0,
                1,
                NETWORKDAYS(I910, L910, Holiday_Dates) - IF(I910 = L910, 0, 1)
            )
        )
    ),
    ""
)</f>
        <v/>
      </c>
      <c r="Q910" s="385" t="str">
        <f>IF(
    OR(ISBLANK(L910), ISBLANK(M910)),
    "",
    MAX(
        1,
        IF(
            NETWORKDAYS(L910, M910, Holiday_Dates) &lt;= 0,
            1,
            NETWORKDAYS(L910, M910, Holiday_Dates) - IF(L910 = M910, 0, 1)
        )
    )
)</f>
        <v/>
      </c>
      <c r="R910" s="385" t="str">
        <f>IFERROR(
    IF(
        OR(ISBLANK(N910), AND(ISBLANK(L910), ISBLANK(M910))),
        "",
        MAX(
            1,
            IF(
                NETWORKDAYS(IF(NOT(ISBLANK(M910)), M910, L910), N910, Holiday_Dates) &lt;= 0,
                1,
                NETWORKDAYS(IF(NOT(ISBLANK(M910)), M910, L910), N910, Holiday_Dates)
                - IF(IF(NOT(ISBLANK(M910)), M910, L910) = N910, 0, 1)
            )
        )
    ),
    ""
)</f>
        <v/>
      </c>
      <c r="S910" s="385" t="str">
        <f>IFERROR(
    IF(
        OR(ISBLANK(N910), ISBLANK(O910)),
        "",
        MAX(
            1,
            IF(
                NETWORKDAYS(N910, O910, Holiday_Dates) &lt;= 0,
                1,
                NETWORKDAYS(N910, O910, Holiday_Dates) - IF(N910 = O910, 0, 1)
            )
        )
    ),
    ""
)</f>
        <v/>
      </c>
      <c r="T910" s="385"/>
      <c r="U910" s="385" t="s">
        <v>672</v>
      </c>
      <c r="V910" s="385" t="s">
        <v>1676</v>
      </c>
      <c r="W910" s="385" t="s">
        <v>1436</v>
      </c>
      <c r="X910" s="1"/>
    </row>
    <row r="911" spans="1:24">
      <c r="A911" s="385" t="s">
        <v>65</v>
      </c>
      <c r="B911" s="385" t="s">
        <v>509</v>
      </c>
      <c r="C911" s="385" t="s">
        <v>3009</v>
      </c>
      <c r="D911" s="385" t="s">
        <v>88</v>
      </c>
      <c r="E911" s="385" t="s">
        <v>141</v>
      </c>
      <c r="F911" s="385"/>
      <c r="G911" s="385" t="s">
        <v>130</v>
      </c>
      <c r="H911" s="385"/>
      <c r="I911" s="385"/>
      <c r="J911" s="30"/>
      <c r="K911" s="388" t="s">
        <v>45</v>
      </c>
      <c r="L911" s="385"/>
      <c r="M911" s="385"/>
      <c r="N911" s="385"/>
      <c r="O911" s="385"/>
      <c r="P911" s="385" t="str">
        <f>IFERROR(
    IF(
        OR(ISBLANK(I911), ISBLANK(L911)),
        "",
        MAX(
            1,
            IF(
                NETWORKDAYS(I911, L911, Holiday_Dates) &lt;= 0,
                1,
                NETWORKDAYS(I911, L911, Holiday_Dates) - IF(I911 = L911, 0, 1)
            )
        )
    ),
    ""
)</f>
        <v/>
      </c>
      <c r="Q911" s="385" t="str">
        <f>IF(
    OR(ISBLANK(L911), ISBLANK(M911)),
    "",
    MAX(
        1,
        IF(
            NETWORKDAYS(L911, M911, Holiday_Dates) &lt;= 0,
            1,
            NETWORKDAYS(L911, M911, Holiday_Dates) - IF(L911 = M911, 0, 1)
        )
    )
)</f>
        <v/>
      </c>
      <c r="R911" s="385" t="str">
        <f>IFERROR(
    IF(
        OR(ISBLANK(N911), AND(ISBLANK(L911), ISBLANK(M911))),
        "",
        MAX(
            1,
            IF(
                NETWORKDAYS(IF(NOT(ISBLANK(M911)), M911, L911), N911, Holiday_Dates) &lt;= 0,
                1,
                NETWORKDAYS(IF(NOT(ISBLANK(M911)), M911, L911), N911, Holiday_Dates)
                - IF(IF(NOT(ISBLANK(M911)), M911, L911) = N911, 0, 1)
            )
        )
    ),
    ""
)</f>
        <v/>
      </c>
      <c r="S911" s="385" t="str">
        <f>IFERROR(
    IF(
        OR(ISBLANK(N911), ISBLANK(O911)),
        "",
        MAX(
            1,
            IF(
                NETWORKDAYS(N911, O911, Holiday_Dates) &lt;= 0,
                1,
                NETWORKDAYS(N911, O911, Holiday_Dates) - IF(N911 = O911, 0, 1)
            )
        )
    ),
    ""
)</f>
        <v/>
      </c>
      <c r="T911" s="385"/>
      <c r="U911" s="385"/>
      <c r="V911" s="385"/>
      <c r="W911" s="385" t="s">
        <v>4710</v>
      </c>
      <c r="X911" s="1"/>
    </row>
    <row r="912" spans="1:24">
      <c r="A912" s="385" t="s">
        <v>49</v>
      </c>
      <c r="B912" s="385" t="s">
        <v>378</v>
      </c>
      <c r="C912" s="385" t="s">
        <v>2678</v>
      </c>
      <c r="D912" s="385" t="s">
        <v>88</v>
      </c>
      <c r="E912" s="385"/>
      <c r="F912" s="385"/>
      <c r="G912" s="385"/>
      <c r="H912" s="385">
        <v>2025</v>
      </c>
      <c r="I912" s="386">
        <v>45943</v>
      </c>
      <c r="J912" s="30" t="s">
        <v>5066</v>
      </c>
      <c r="K912" s="385"/>
      <c r="L912" s="385"/>
      <c r="M912" s="385"/>
      <c r="N912" s="385"/>
      <c r="O912" s="385"/>
      <c r="P912" s="385" t="str">
        <f>IFERROR(
    IF(
        OR(ISBLANK(I912), ISBLANK(L912)),
        "",
        MAX(
            1,
            IF(
                NETWORKDAYS(I912, L912, Holiday_Dates) &lt;= 0,
                1,
                NETWORKDAYS(I912, L912, Holiday_Dates) - IF(I912 = L912, 0, 1)
            )
        )
    ),
    ""
)</f>
        <v/>
      </c>
      <c r="Q912" s="385" t="str">
        <f>IF(
    OR(ISBLANK(L912), ISBLANK(M912)),
    "",
    MAX(
        1,
        IF(
            NETWORKDAYS(L912, M912, Holiday_Dates) &lt;= 0,
            1,
            NETWORKDAYS(L912, M912, Holiday_Dates) - IF(L912 = M912, 0, 1)
        )
    )
)</f>
        <v/>
      </c>
      <c r="R912" s="385" t="str">
        <f>IFERROR(
    IF(
        OR(ISBLANK(N912), AND(ISBLANK(L912), ISBLANK(M912))),
        "",
        MAX(
            1,
            IF(
                NETWORKDAYS(IF(NOT(ISBLANK(M912)), M912, L912), N912, Holiday_Dates) &lt;= 0,
                1,
                NETWORKDAYS(IF(NOT(ISBLANK(M912)), M912, L912), N912, Holiday_Dates)
                - IF(IF(NOT(ISBLANK(M912)), M912, L912) = N912, 0, 1)
            )
        )
    ),
    ""
)</f>
        <v/>
      </c>
      <c r="S912" s="385" t="str">
        <f>IFERROR(
    IF(
        OR(ISBLANK(N912), ISBLANK(O912)),
        "",
        MAX(
            1,
            IF(
                NETWORKDAYS(N912, O912, Holiday_Dates) &lt;= 0,
                1,
                NETWORKDAYS(N912, O912, Holiday_Dates) - IF(N912 = O912, 0, 1)
            )
        )
    ),
    ""
)</f>
        <v/>
      </c>
      <c r="T912" s="385"/>
      <c r="U912" s="385" t="s">
        <v>672</v>
      </c>
      <c r="V912" s="385" t="s">
        <v>1676</v>
      </c>
      <c r="W912" s="385" t="s">
        <v>1436</v>
      </c>
      <c r="X912" s="1"/>
    </row>
    <row r="913" spans="1:24">
      <c r="A913" s="385" t="s">
        <v>49</v>
      </c>
      <c r="B913" s="385" t="s">
        <v>378</v>
      </c>
      <c r="C913" s="385" t="s">
        <v>2680</v>
      </c>
      <c r="D913" s="385" t="s">
        <v>88</v>
      </c>
      <c r="E913" s="385"/>
      <c r="F913" s="385"/>
      <c r="G913" s="385"/>
      <c r="H913" s="385">
        <v>2025</v>
      </c>
      <c r="I913" s="386">
        <v>45943</v>
      </c>
      <c r="J913" s="30" t="s">
        <v>5067</v>
      </c>
      <c r="K913" s="385"/>
      <c r="L913" s="385"/>
      <c r="M913" s="385"/>
      <c r="N913" s="385"/>
      <c r="O913" s="385"/>
      <c r="P913" s="385" t="str">
        <f>IFERROR(
    IF(
        OR(ISBLANK(I913), ISBLANK(L913)),
        "",
        MAX(
            1,
            IF(
                NETWORKDAYS(I913, L913, Holiday_Dates) &lt;= 0,
                1,
                NETWORKDAYS(I913, L913, Holiday_Dates) - IF(I913 = L913, 0, 1)
            )
        )
    ),
    ""
)</f>
        <v/>
      </c>
      <c r="Q913" s="385" t="str">
        <f>IF(
    OR(ISBLANK(L913), ISBLANK(M913)),
    "",
    MAX(
        1,
        IF(
            NETWORKDAYS(L913, M913, Holiday_Dates) &lt;= 0,
            1,
            NETWORKDAYS(L913, M913, Holiday_Dates) - IF(L913 = M913, 0, 1)
        )
    )
)</f>
        <v/>
      </c>
      <c r="R913" s="385" t="str">
        <f>IFERROR(
    IF(
        OR(ISBLANK(N913), AND(ISBLANK(L913), ISBLANK(M913))),
        "",
        MAX(
            1,
            IF(
                NETWORKDAYS(IF(NOT(ISBLANK(M913)), M913, L913), N913, Holiday_Dates) &lt;= 0,
                1,
                NETWORKDAYS(IF(NOT(ISBLANK(M913)), M913, L913), N913, Holiday_Dates)
                - IF(IF(NOT(ISBLANK(M913)), M913, L913) = N913, 0, 1)
            )
        )
    ),
    ""
)</f>
        <v/>
      </c>
      <c r="S913" s="385" t="str">
        <f>IFERROR(
    IF(
        OR(ISBLANK(N913), ISBLANK(O913)),
        "",
        MAX(
            1,
            IF(
                NETWORKDAYS(N913, O913, Holiday_Dates) &lt;= 0,
                1,
                NETWORKDAYS(N913, O913, Holiday_Dates) - IF(N913 = O913, 0, 1)
            )
        )
    ),
    ""
)</f>
        <v/>
      </c>
      <c r="T913" s="385"/>
      <c r="U913" s="385" t="s">
        <v>672</v>
      </c>
      <c r="V913" s="385" t="s">
        <v>1676</v>
      </c>
      <c r="W913" s="385" t="s">
        <v>1436</v>
      </c>
      <c r="X913" s="1"/>
    </row>
    <row r="914" spans="1:24">
      <c r="A914" s="385" t="s">
        <v>65</v>
      </c>
      <c r="B914" s="385" t="s">
        <v>509</v>
      </c>
      <c r="C914" s="385" t="s">
        <v>250</v>
      </c>
      <c r="D914" s="385" t="s">
        <v>88</v>
      </c>
      <c r="E914" s="385" t="s">
        <v>141</v>
      </c>
      <c r="F914" s="385"/>
      <c r="G914" s="385" t="s">
        <v>130</v>
      </c>
      <c r="H914" s="597">
        <v>2026</v>
      </c>
      <c r="I914" s="386">
        <v>46077</v>
      </c>
      <c r="J914" s="30" t="s">
        <v>5068</v>
      </c>
      <c r="K914" s="388" t="s">
        <v>45</v>
      </c>
      <c r="L914" s="386">
        <v>46082</v>
      </c>
      <c r="M914" s="385"/>
      <c r="N914" s="386">
        <v>46082</v>
      </c>
      <c r="O914" s="386">
        <v>46085</v>
      </c>
      <c r="P914" s="385">
        <f>IFERROR(
    IF(
        OR(ISBLANK(I914), ISBLANK(L914)),
        "",
        MAX(
            1,
            IF(
                NETWORKDAYS(I914, L914, Holiday_Dates) &lt;= 0,
                1,
                NETWORKDAYS(I914, L914, Holiday_Dates) - IF(I914 = L914, 0, 1)
            )
        )
    ),
    ""
)</f>
        <v>3</v>
      </c>
      <c r="Q914" s="385" t="str">
        <f>IF(
    OR(ISBLANK(L914), ISBLANK(M914)),
    "",
    MAX(
        1,
        IF(
            NETWORKDAYS(L914, M914, Holiday_Dates) &lt;= 0,
            1,
            NETWORKDAYS(L914, M914, Holiday_Dates) - IF(L914 = M914, 0, 1)
        )
    )
)</f>
        <v/>
      </c>
      <c r="R914" s="385">
        <f>IFERROR(
    IF(
        OR(ISBLANK(N914), AND(ISBLANK(L914), ISBLANK(M914))),
        "",
        MAX(
            1,
            IF(
                NETWORKDAYS(IF(NOT(ISBLANK(M914)), M914, L914), N914, Holiday_Dates) &lt;= 0,
                1,
                NETWORKDAYS(IF(NOT(ISBLANK(M914)), M914, L914), N914, Holiday_Dates)
                - IF(IF(NOT(ISBLANK(M914)), M914, L914) = N914, 0, 1)
            )
        )
    ),
    ""
)</f>
        <v>1</v>
      </c>
      <c r="S914" s="385">
        <f>IFERROR(
    IF(
        OR(ISBLANK(N914), ISBLANK(O914)),
        "",
        MAX(
            1,
            IF(
                NETWORKDAYS(N914, O914, Holiday_Dates) &lt;= 0,
                1,
                NETWORKDAYS(N914, O914, Holiday_Dates) - IF(N914 = O914, 0, 1)
            )
        )
    ),
    ""
)</f>
        <v>2</v>
      </c>
      <c r="T914" s="385" t="s">
        <v>929</v>
      </c>
      <c r="U914" s="385" t="s">
        <v>5046</v>
      </c>
      <c r="V914" s="385" t="s">
        <v>685</v>
      </c>
      <c r="W914" s="385" t="s">
        <v>4710</v>
      </c>
      <c r="X914" s="1"/>
    </row>
    <row r="915" spans="1:24">
      <c r="A915" s="385" t="s">
        <v>65</v>
      </c>
      <c r="B915" s="385" t="s">
        <v>509</v>
      </c>
      <c r="C915" s="385" t="s">
        <v>3010</v>
      </c>
      <c r="D915" s="385" t="s">
        <v>88</v>
      </c>
      <c r="E915" s="385" t="s">
        <v>141</v>
      </c>
      <c r="F915" s="385"/>
      <c r="G915" s="385" t="s">
        <v>130</v>
      </c>
      <c r="H915" s="385"/>
      <c r="I915" s="385"/>
      <c r="J915" s="30"/>
      <c r="K915" s="388" t="s">
        <v>45</v>
      </c>
      <c r="L915" s="385"/>
      <c r="M915" s="385"/>
      <c r="N915" s="385"/>
      <c r="O915" s="385"/>
      <c r="P915" s="385" t="str">
        <f>IFERROR(
    IF(
        OR(ISBLANK(I915), ISBLANK(L915)),
        "",
        MAX(
            1,
            IF(
                NETWORKDAYS(I915, L915, Holiday_Dates) &lt;= 0,
                1,
                NETWORKDAYS(I915, L915, Holiday_Dates) - IF(I915 = L915, 0, 1)
            )
        )
    ),
    ""
)</f>
        <v/>
      </c>
      <c r="Q915" s="385" t="str">
        <f>IF(
    OR(ISBLANK(L915), ISBLANK(M915)),
    "",
    MAX(
        1,
        IF(
            NETWORKDAYS(L915, M915, Holiday_Dates) &lt;= 0,
            1,
            NETWORKDAYS(L915, M915, Holiday_Dates) - IF(L915 = M915, 0, 1)
        )
    )
)</f>
        <v/>
      </c>
      <c r="R915" s="385" t="str">
        <f>IFERROR(
    IF(
        OR(ISBLANK(N915), AND(ISBLANK(L915), ISBLANK(M915))),
        "",
        MAX(
            1,
            IF(
                NETWORKDAYS(IF(NOT(ISBLANK(M915)), M915, L915), N915, Holiday_Dates) &lt;= 0,
                1,
                NETWORKDAYS(IF(NOT(ISBLANK(M915)), M915, L915), N915, Holiday_Dates)
                - IF(IF(NOT(ISBLANK(M915)), M915, L915) = N915, 0, 1)
            )
        )
    ),
    ""
)</f>
        <v/>
      </c>
      <c r="S915" s="385" t="str">
        <f>IFERROR(
    IF(
        OR(ISBLANK(N915), ISBLANK(O915)),
        "",
        MAX(
            1,
            IF(
                NETWORKDAYS(N915, O915, Holiday_Dates) &lt;= 0,
                1,
                NETWORKDAYS(N915, O915, Holiday_Dates) - IF(N915 = O915, 0, 1)
            )
        )
    ),
    ""
)</f>
        <v/>
      </c>
      <c r="T915" s="385"/>
      <c r="U915" s="385"/>
      <c r="V915" s="385"/>
      <c r="W915" s="385" t="s">
        <v>4710</v>
      </c>
      <c r="X915" s="1"/>
    </row>
    <row r="916" spans="1:24">
      <c r="A916" s="385" t="s">
        <v>65</v>
      </c>
      <c r="B916" s="385" t="s">
        <v>509</v>
      </c>
      <c r="C916" s="385" t="s">
        <v>3011</v>
      </c>
      <c r="D916" s="385" t="s">
        <v>88</v>
      </c>
      <c r="E916" s="385" t="s">
        <v>141</v>
      </c>
      <c r="F916" s="385"/>
      <c r="G916" s="385" t="s">
        <v>130</v>
      </c>
      <c r="H916" s="597">
        <v>2026</v>
      </c>
      <c r="I916" s="386">
        <v>46077</v>
      </c>
      <c r="J916" s="30" t="s">
        <v>5069</v>
      </c>
      <c r="K916" s="388" t="s">
        <v>45</v>
      </c>
      <c r="L916" s="386">
        <v>46082</v>
      </c>
      <c r="M916" s="385"/>
      <c r="N916" s="386">
        <v>46082</v>
      </c>
      <c r="O916" s="386">
        <v>46085</v>
      </c>
      <c r="P916" s="385">
        <f>IFERROR(
    IF(
        OR(ISBLANK(I916), ISBLANK(L916)),
        "",
        MAX(
            1,
            IF(
                NETWORKDAYS(I916, L916, Holiday_Dates) &lt;= 0,
                1,
                NETWORKDAYS(I916, L916, Holiday_Dates) - IF(I916 = L916, 0, 1)
            )
        )
    ),
    ""
)</f>
        <v>3</v>
      </c>
      <c r="Q916" s="385" t="str">
        <f>IF(
    OR(ISBLANK(L916), ISBLANK(M916)),
    "",
    MAX(
        1,
        IF(
            NETWORKDAYS(L916, M916, Holiday_Dates) &lt;= 0,
            1,
            NETWORKDAYS(L916, M916, Holiday_Dates) - IF(L916 = M916, 0, 1)
        )
    )
)</f>
        <v/>
      </c>
      <c r="R916" s="385">
        <f>IFERROR(
    IF(
        OR(ISBLANK(N916), AND(ISBLANK(L916), ISBLANK(M916))),
        "",
        MAX(
            1,
            IF(
                NETWORKDAYS(IF(NOT(ISBLANK(M916)), M916, L916), N916, Holiday_Dates) &lt;= 0,
                1,
                NETWORKDAYS(IF(NOT(ISBLANK(M916)), M916, L916), N916, Holiday_Dates)
                - IF(IF(NOT(ISBLANK(M916)), M916, L916) = N916, 0, 1)
            )
        )
    ),
    ""
)</f>
        <v>1</v>
      </c>
      <c r="S916" s="385">
        <f>IFERROR(
    IF(
        OR(ISBLANK(N916), ISBLANK(O916)),
        "",
        MAX(
            1,
            IF(
                NETWORKDAYS(N916, O916, Holiday_Dates) &lt;= 0,
                1,
                NETWORKDAYS(N916, O916, Holiday_Dates) - IF(N916 = O916, 0, 1)
            )
        )
    ),
    ""
)</f>
        <v>2</v>
      </c>
      <c r="T916" s="385" t="s">
        <v>929</v>
      </c>
      <c r="U916" s="385" t="s">
        <v>4</v>
      </c>
      <c r="V916" s="385" t="s">
        <v>685</v>
      </c>
      <c r="W916" s="385" t="s">
        <v>4710</v>
      </c>
      <c r="X916" s="1"/>
    </row>
    <row r="917" spans="1:24">
      <c r="A917" s="385" t="s">
        <v>65</v>
      </c>
      <c r="B917" s="385" t="s">
        <v>509</v>
      </c>
      <c r="C917" s="385" t="s">
        <v>3018</v>
      </c>
      <c r="D917" s="385" t="s">
        <v>88</v>
      </c>
      <c r="E917" s="385" t="s">
        <v>141</v>
      </c>
      <c r="F917" s="385"/>
      <c r="G917" s="385" t="s">
        <v>130</v>
      </c>
      <c r="H917" s="385"/>
      <c r="I917" s="385"/>
      <c r="J917" s="30"/>
      <c r="K917" s="388" t="s">
        <v>45</v>
      </c>
      <c r="L917" s="385"/>
      <c r="M917" s="385"/>
      <c r="N917" s="385"/>
      <c r="O917" s="385"/>
      <c r="P917" s="385" t="str">
        <f>IFERROR(
    IF(
        OR(ISBLANK(I917), ISBLANK(L917)),
        "",
        MAX(
            1,
            IF(
                NETWORKDAYS(I917, L917, Holiday_Dates) &lt;= 0,
                1,
                NETWORKDAYS(I917, L917, Holiday_Dates) - IF(I917 = L917, 0, 1)
            )
        )
    ),
    ""
)</f>
        <v/>
      </c>
      <c r="Q917" s="385" t="str">
        <f>IF(
    OR(ISBLANK(L917), ISBLANK(M917)),
    "",
    MAX(
        1,
        IF(
            NETWORKDAYS(L917, M917, Holiday_Dates) &lt;= 0,
            1,
            NETWORKDAYS(L917, M917, Holiday_Dates) - IF(L917 = M917, 0, 1)
        )
    )
)</f>
        <v/>
      </c>
      <c r="R917" s="385" t="str">
        <f>IFERROR(
    IF(
        OR(ISBLANK(N917), AND(ISBLANK(L917), ISBLANK(M917))),
        "",
        MAX(
            1,
            IF(
                NETWORKDAYS(IF(NOT(ISBLANK(M917)), M917, L917), N917, Holiday_Dates) &lt;= 0,
                1,
                NETWORKDAYS(IF(NOT(ISBLANK(M917)), M917, L917), N917, Holiday_Dates)
                - IF(IF(NOT(ISBLANK(M917)), M917, L917) = N917, 0, 1)
            )
        )
    ),
    ""
)</f>
        <v/>
      </c>
      <c r="S917" s="385" t="str">
        <f>IFERROR(
    IF(
        OR(ISBLANK(N917), ISBLANK(O917)),
        "",
        MAX(
            1,
            IF(
                NETWORKDAYS(N917, O917, Holiday_Dates) &lt;= 0,
                1,
                NETWORKDAYS(N917, O917, Holiday_Dates) - IF(N917 = O917, 0, 1)
            )
        )
    ),
    ""
)</f>
        <v/>
      </c>
      <c r="T917" s="385"/>
      <c r="U917" s="385"/>
      <c r="V917" s="385"/>
      <c r="W917" s="385" t="s">
        <v>4710</v>
      </c>
      <c r="X917" s="1"/>
    </row>
    <row r="918" spans="1:24">
      <c r="A918" s="385" t="s">
        <v>65</v>
      </c>
      <c r="B918" s="385" t="s">
        <v>509</v>
      </c>
      <c r="C918" s="385" t="s">
        <v>3012</v>
      </c>
      <c r="D918" s="385" t="s">
        <v>88</v>
      </c>
      <c r="E918" s="385" t="s">
        <v>141</v>
      </c>
      <c r="F918" s="385"/>
      <c r="G918" s="385" t="s">
        <v>130</v>
      </c>
      <c r="H918" s="385"/>
      <c r="I918" s="385"/>
      <c r="J918" s="30"/>
      <c r="K918" s="388" t="s">
        <v>45</v>
      </c>
      <c r="L918" s="385"/>
      <c r="M918" s="385"/>
      <c r="N918" s="385"/>
      <c r="O918" s="385"/>
      <c r="P918" s="385" t="str">
        <f>IFERROR(
    IF(
        OR(ISBLANK(I918), ISBLANK(L918)),
        "",
        MAX(
            1,
            IF(
                NETWORKDAYS(I918, L918, Holiday_Dates) &lt;= 0,
                1,
                NETWORKDAYS(I918, L918, Holiday_Dates) - IF(I918 = L918, 0, 1)
            )
        )
    ),
    ""
)</f>
        <v/>
      </c>
      <c r="Q918" s="385" t="str">
        <f>IF(
    OR(ISBLANK(L918), ISBLANK(M918)),
    "",
    MAX(
        1,
        IF(
            NETWORKDAYS(L918, M918, Holiday_Dates) &lt;= 0,
            1,
            NETWORKDAYS(L918, M918, Holiday_Dates) - IF(L918 = M918, 0, 1)
        )
    )
)</f>
        <v/>
      </c>
      <c r="R918" s="385" t="str">
        <f>IFERROR(
    IF(
        OR(ISBLANK(N918), AND(ISBLANK(L918), ISBLANK(M918))),
        "",
        MAX(
            1,
            IF(
                NETWORKDAYS(IF(NOT(ISBLANK(M918)), M918, L918), N918, Holiday_Dates) &lt;= 0,
                1,
                NETWORKDAYS(IF(NOT(ISBLANK(M918)), M918, L918), N918, Holiday_Dates)
                - IF(IF(NOT(ISBLANK(M918)), M918, L918) = N918, 0, 1)
            )
        )
    ),
    ""
)</f>
        <v/>
      </c>
      <c r="S918" s="385" t="str">
        <f>IFERROR(
    IF(
        OR(ISBLANK(N918), ISBLANK(O918)),
        "",
        MAX(
            1,
            IF(
                NETWORKDAYS(N918, O918, Holiday_Dates) &lt;= 0,
                1,
                NETWORKDAYS(N918, O918, Holiday_Dates) - IF(N918 = O918, 0, 1)
            )
        )
    ),
    ""
)</f>
        <v/>
      </c>
      <c r="T918" s="385"/>
      <c r="U918" s="385"/>
      <c r="V918" s="385"/>
      <c r="W918" s="385" t="s">
        <v>4710</v>
      </c>
      <c r="X918" s="1"/>
    </row>
    <row r="919" spans="1:24">
      <c r="A919" s="385" t="s">
        <v>65</v>
      </c>
      <c r="B919" s="385" t="s">
        <v>511</v>
      </c>
      <c r="C919" s="385" t="s">
        <v>3064</v>
      </c>
      <c r="D919" s="385" t="s">
        <v>88</v>
      </c>
      <c r="E919" s="385" t="s">
        <v>29</v>
      </c>
      <c r="F919" s="385"/>
      <c r="G919" s="385" t="s">
        <v>130</v>
      </c>
      <c r="H919" s="385"/>
      <c r="I919" s="385"/>
      <c r="J919" s="30"/>
      <c r="K919" s="388" t="s">
        <v>45</v>
      </c>
      <c r="L919" s="385"/>
      <c r="M919" s="385"/>
      <c r="N919" s="385"/>
      <c r="O919" s="385"/>
      <c r="P919" s="385" t="str">
        <f>IFERROR(
    IF(
        OR(ISBLANK(I919), ISBLANK(L919)),
        "",
        MAX(
            1,
            IF(
                NETWORKDAYS(I919, L919, Holiday_Dates) &lt;= 0,
                1,
                NETWORKDAYS(I919, L919, Holiday_Dates) - IF(I919 = L919, 0, 1)
            )
        )
    ),
    ""
)</f>
        <v/>
      </c>
      <c r="Q919" s="385" t="str">
        <f>IF(
    OR(ISBLANK(L919), ISBLANK(M919)),
    "",
    MAX(
        1,
        IF(
            NETWORKDAYS(L919, M919, Holiday_Dates) &lt;= 0,
            1,
            NETWORKDAYS(L919, M919, Holiday_Dates) - IF(L919 = M919, 0, 1)
        )
    )
)</f>
        <v/>
      </c>
      <c r="R919" s="385" t="str">
        <f>IFERROR(
    IF(
        OR(ISBLANK(N919), AND(ISBLANK(L919), ISBLANK(M919))),
        "",
        MAX(
            1,
            IF(
                NETWORKDAYS(IF(NOT(ISBLANK(M919)), M919, L919), N919, Holiday_Dates) &lt;= 0,
                1,
                NETWORKDAYS(IF(NOT(ISBLANK(M919)), M919, L919), N919, Holiday_Dates)
                - IF(IF(NOT(ISBLANK(M919)), M919, L919) = N919, 0, 1)
            )
        )
    ),
    ""
)</f>
        <v/>
      </c>
      <c r="S919" s="385" t="str">
        <f>IFERROR(
    IF(
        OR(ISBLANK(N919), ISBLANK(O919)),
        "",
        MAX(
            1,
            IF(
                NETWORKDAYS(N919, O919, Holiday_Dates) &lt;= 0,
                1,
                NETWORKDAYS(N919, O919, Holiday_Dates) - IF(N919 = O919, 0, 1)
            )
        )
    ),
    ""
)</f>
        <v/>
      </c>
      <c r="T919" s="385"/>
      <c r="U919" s="385"/>
      <c r="V919" s="385"/>
      <c r="W919" s="385" t="s">
        <v>4710</v>
      </c>
      <c r="X919" s="1"/>
    </row>
    <row r="920" spans="1:24">
      <c r="A920" s="385" t="s">
        <v>49</v>
      </c>
      <c r="B920" s="385" t="s">
        <v>378</v>
      </c>
      <c r="C920" s="385" t="s">
        <v>2685</v>
      </c>
      <c r="D920" s="385" t="s">
        <v>88</v>
      </c>
      <c r="E920" s="385"/>
      <c r="F920" s="385"/>
      <c r="G920" s="385"/>
      <c r="H920" s="385">
        <v>2024</v>
      </c>
      <c r="I920" s="387">
        <v>45812</v>
      </c>
      <c r="J920" s="30"/>
      <c r="K920" s="385"/>
      <c r="L920" s="385"/>
      <c r="M920" s="385"/>
      <c r="N920" s="385"/>
      <c r="O920" s="385"/>
      <c r="P920" s="385" t="str">
        <f>IFERROR(
    IF(
        OR(ISBLANK(I920), ISBLANK(L920)),
        "",
        MAX(
            1,
            IF(
                NETWORKDAYS(I920, L920, Holiday_Dates) &lt;= 0,
                1,
                NETWORKDAYS(I920, L920, Holiday_Dates) - IF(I920 = L920, 0, 1)
            )
        )
    ),
    ""
)</f>
        <v/>
      </c>
      <c r="Q920" s="385" t="str">
        <f>IF(
    OR(ISBLANK(L920), ISBLANK(M920)),
    "",
    MAX(
        1,
        IF(
            NETWORKDAYS(L920, M920, Holiday_Dates) &lt;= 0,
            1,
            NETWORKDAYS(L920, M920, Holiday_Dates) - IF(L920 = M920, 0, 1)
        )
    )
)</f>
        <v/>
      </c>
      <c r="R920" s="385" t="str">
        <f>IFERROR(
    IF(
        OR(ISBLANK(N920), AND(ISBLANK(L920), ISBLANK(M920))),
        "",
        MAX(
            1,
            IF(
                NETWORKDAYS(IF(NOT(ISBLANK(M920)), M920, L920), N920, Holiday_Dates) &lt;= 0,
                1,
                NETWORKDAYS(IF(NOT(ISBLANK(M920)), M920, L920), N920, Holiday_Dates)
                - IF(IF(NOT(ISBLANK(M920)), M920, L920) = N920, 0, 1)
            )
        )
    ),
    ""
)</f>
        <v/>
      </c>
      <c r="S920" s="385" t="str">
        <f>IFERROR(
    IF(
        OR(ISBLANK(N920), ISBLANK(O920)),
        "",
        MAX(
            1,
            IF(
                NETWORKDAYS(N920, O920, Holiday_Dates) &lt;= 0,
                1,
                NETWORKDAYS(N920, O920, Holiday_Dates) - IF(N920 = O920, 0, 1)
            )
        )
    ),
    ""
)</f>
        <v/>
      </c>
      <c r="T920" s="385"/>
      <c r="U920" s="385" t="s">
        <v>672</v>
      </c>
      <c r="V920" s="385"/>
      <c r="W920" s="385" t="s">
        <v>1436</v>
      </c>
      <c r="X920" s="1"/>
    </row>
    <row r="921" spans="1:24">
      <c r="A921" s="385" t="s">
        <v>65</v>
      </c>
      <c r="B921" s="385" t="s">
        <v>511</v>
      </c>
      <c r="C921" s="385" t="s">
        <v>3019</v>
      </c>
      <c r="D921" s="385" t="s">
        <v>88</v>
      </c>
      <c r="E921" s="385" t="s">
        <v>29</v>
      </c>
      <c r="F921" s="597"/>
      <c r="G921" s="597" t="s">
        <v>130</v>
      </c>
      <c r="H921" s="597">
        <v>2026</v>
      </c>
      <c r="I921" s="657">
        <v>46079</v>
      </c>
      <c r="J921" s="598" t="s">
        <v>5070</v>
      </c>
      <c r="K921" s="388" t="s">
        <v>45</v>
      </c>
      <c r="L921" s="386">
        <v>46083</v>
      </c>
      <c r="M921" s="385"/>
      <c r="N921" s="386">
        <v>46084</v>
      </c>
      <c r="O921" s="386">
        <v>46085</v>
      </c>
      <c r="P921" s="385">
        <f>IFERROR(
    IF(
        OR(ISBLANK(I921), ISBLANK(L921)),
        "",
        MAX(
            1,
            IF(
                NETWORKDAYS(I921, L921, Holiday_Dates) &lt;= 0,
                1,
                NETWORKDAYS(I921, L921, Holiday_Dates) - IF(I921 = L921, 0, 1)
            )
        )
    ),
    ""
)</f>
        <v>2</v>
      </c>
      <c r="Q921" s="385" t="str">
        <f>IF(
    OR(ISBLANK(L921), ISBLANK(M921)),
    "",
    MAX(
        1,
        IF(
            NETWORKDAYS(L921, M921, Holiday_Dates) &lt;= 0,
            1,
            NETWORKDAYS(L921, M921, Holiday_Dates) - IF(L921 = M921, 0, 1)
        )
    )
)</f>
        <v/>
      </c>
      <c r="R921" s="385">
        <f>IFERROR(
    IF(
        OR(ISBLANK(N921), AND(ISBLANK(L921), ISBLANK(M921))),
        "",
        MAX(
            1,
            IF(
                NETWORKDAYS(IF(NOT(ISBLANK(M921)), M921, L921), N921, Holiday_Dates) &lt;= 0,
                1,
                NETWORKDAYS(IF(NOT(ISBLANK(M921)), M921, L921), N921, Holiday_Dates)
                - IF(IF(NOT(ISBLANK(M921)), M921, L921) = N921, 0, 1)
            )
        )
    ),
    ""
)</f>
        <v>1</v>
      </c>
      <c r="S921" s="385">
        <f>IFERROR(
    IF(
        OR(ISBLANK(N921), ISBLANK(O921)),
        "",
        MAX(
            1,
            IF(
                NETWORKDAYS(N921, O921, Holiday_Dates) &lt;= 0,
                1,
                NETWORKDAYS(N921, O921, Holiday_Dates) - IF(N921 = O921, 0, 1)
            )
        )
    ),
    ""
)</f>
        <v>1</v>
      </c>
      <c r="T921" s="385" t="s">
        <v>929</v>
      </c>
      <c r="U921" s="385" t="s">
        <v>672</v>
      </c>
      <c r="V921" s="385" t="s">
        <v>685</v>
      </c>
      <c r="W921" s="385" t="s">
        <v>4710</v>
      </c>
      <c r="X921" s="1"/>
    </row>
    <row r="922" spans="1:24">
      <c r="A922" s="385" t="s">
        <v>65</v>
      </c>
      <c r="B922" s="385" t="s">
        <v>511</v>
      </c>
      <c r="C922" s="385" t="s">
        <v>3022</v>
      </c>
      <c r="D922" s="385" t="s">
        <v>88</v>
      </c>
      <c r="E922" s="385" t="s">
        <v>29</v>
      </c>
      <c r="F922" s="597"/>
      <c r="G922" s="597" t="s">
        <v>130</v>
      </c>
      <c r="H922" s="597"/>
      <c r="I922" s="597"/>
      <c r="J922" s="598"/>
      <c r="K922" s="388" t="s">
        <v>45</v>
      </c>
      <c r="L922" s="385"/>
      <c r="M922" s="385"/>
      <c r="N922" s="385"/>
      <c r="O922" s="385"/>
      <c r="P922" s="385" t="str">
        <f>IFERROR(
    IF(
        OR(ISBLANK(I922), ISBLANK(L922)),
        "",
        MAX(
            1,
            IF(
                NETWORKDAYS(I922, L922, Holiday_Dates) &lt;= 0,
                1,
                NETWORKDAYS(I922, L922, Holiday_Dates) - IF(I922 = L922, 0, 1)
            )
        )
    ),
    ""
)</f>
        <v/>
      </c>
      <c r="Q922" s="385" t="str">
        <f>IF(
    OR(ISBLANK(L922), ISBLANK(M922)),
    "",
    MAX(
        1,
        IF(
            NETWORKDAYS(L922, M922, Holiday_Dates) &lt;= 0,
            1,
            NETWORKDAYS(L922, M922, Holiday_Dates) - IF(L922 = M922, 0, 1)
        )
    )
)</f>
        <v/>
      </c>
      <c r="R922" s="385" t="str">
        <f>IFERROR(
    IF(
        OR(ISBLANK(N922), AND(ISBLANK(L922), ISBLANK(M922))),
        "",
        MAX(
            1,
            IF(
                NETWORKDAYS(IF(NOT(ISBLANK(M922)), M922, L922), N922, Holiday_Dates) &lt;= 0,
                1,
                NETWORKDAYS(IF(NOT(ISBLANK(M922)), M922, L922), N922, Holiday_Dates)
                - IF(IF(NOT(ISBLANK(M922)), M922, L922) = N922, 0, 1)
            )
        )
    ),
    ""
)</f>
        <v/>
      </c>
      <c r="S922" s="385" t="str">
        <f>IFERROR(
    IF(
        OR(ISBLANK(N922), ISBLANK(O922)),
        "",
        MAX(
            1,
            IF(
                NETWORKDAYS(N922, O922, Holiday_Dates) &lt;= 0,
                1,
                NETWORKDAYS(N922, O922, Holiday_Dates) - IF(N922 = O922, 0, 1)
            )
        )
    ),
    ""
)</f>
        <v/>
      </c>
      <c r="T922" s="385"/>
      <c r="U922" s="385"/>
      <c r="V922" s="385"/>
      <c r="W922" s="385" t="s">
        <v>4710</v>
      </c>
      <c r="X922" s="1"/>
    </row>
    <row r="923" spans="1:24">
      <c r="A923" s="385" t="s">
        <v>65</v>
      </c>
      <c r="B923" s="385" t="s">
        <v>511</v>
      </c>
      <c r="C923" s="385" t="s">
        <v>3024</v>
      </c>
      <c r="D923" s="385" t="s">
        <v>88</v>
      </c>
      <c r="E923" s="385" t="s">
        <v>29</v>
      </c>
      <c r="F923" s="597"/>
      <c r="G923" s="597" t="s">
        <v>130</v>
      </c>
      <c r="H923" s="597">
        <v>2026</v>
      </c>
      <c r="I923" s="657">
        <v>46079</v>
      </c>
      <c r="J923" s="598" t="s">
        <v>5071</v>
      </c>
      <c r="K923" s="388" t="s">
        <v>45</v>
      </c>
      <c r="L923" s="386">
        <v>46083</v>
      </c>
      <c r="M923" s="385"/>
      <c r="N923" s="386">
        <v>46084</v>
      </c>
      <c r="O923" s="386">
        <v>46085</v>
      </c>
      <c r="P923" s="385">
        <f>IFERROR(
    IF(
        OR(ISBLANK(I923), ISBLANK(L923)),
        "",
        MAX(
            1,
            IF(
                NETWORKDAYS(I923, L923, Holiday_Dates) &lt;= 0,
                1,
                NETWORKDAYS(I923, L923, Holiday_Dates) - IF(I923 = L923, 0, 1)
            )
        )
    ),
    ""
)</f>
        <v>2</v>
      </c>
      <c r="Q923" s="385" t="str">
        <f>IF(
    OR(ISBLANK(L923), ISBLANK(M923)),
    "",
    MAX(
        1,
        IF(
            NETWORKDAYS(L923, M923, Holiday_Dates) &lt;= 0,
            1,
            NETWORKDAYS(L923, M923, Holiday_Dates) - IF(L923 = M923, 0, 1)
        )
    )
)</f>
        <v/>
      </c>
      <c r="R923" s="385">
        <f>IFERROR(
    IF(
        OR(ISBLANK(N923), AND(ISBLANK(L923), ISBLANK(M923))),
        "",
        MAX(
            1,
            IF(
                NETWORKDAYS(IF(NOT(ISBLANK(M923)), M923, L923), N923, Holiday_Dates) &lt;= 0,
                1,
                NETWORKDAYS(IF(NOT(ISBLANK(M923)), M923, L923), N923, Holiday_Dates)
                - IF(IF(NOT(ISBLANK(M923)), M923, L923) = N923, 0, 1)
            )
        )
    ),
    ""
)</f>
        <v>1</v>
      </c>
      <c r="S923" s="385">
        <f>IFERROR(
    IF(
        OR(ISBLANK(N923), ISBLANK(O923)),
        "",
        MAX(
            1,
            IF(
                NETWORKDAYS(N923, O923, Holiday_Dates) &lt;= 0,
                1,
                NETWORKDAYS(N923, O923, Holiday_Dates) - IF(N923 = O923, 0, 1)
            )
        )
    ),
    ""
)</f>
        <v>1</v>
      </c>
      <c r="T923" s="385" t="s">
        <v>929</v>
      </c>
      <c r="U923" s="385" t="s">
        <v>672</v>
      </c>
      <c r="V923" s="385" t="s">
        <v>685</v>
      </c>
      <c r="W923" s="385" t="s">
        <v>4710</v>
      </c>
      <c r="X923" s="1"/>
    </row>
    <row r="924" spans="1:24">
      <c r="A924" s="385" t="s">
        <v>65</v>
      </c>
      <c r="B924" s="385" t="s">
        <v>511</v>
      </c>
      <c r="C924" s="385" t="s">
        <v>3025</v>
      </c>
      <c r="D924" s="385" t="s">
        <v>88</v>
      </c>
      <c r="E924" s="385" t="s">
        <v>29</v>
      </c>
      <c r="F924" s="597"/>
      <c r="G924" s="597" t="s">
        <v>130</v>
      </c>
      <c r="H924" s="597">
        <v>2026</v>
      </c>
      <c r="I924" s="657">
        <v>46079</v>
      </c>
      <c r="J924" s="598" t="s">
        <v>5072</v>
      </c>
      <c r="K924" s="388" t="s">
        <v>45</v>
      </c>
      <c r="L924" s="386">
        <v>46083</v>
      </c>
      <c r="M924" s="385"/>
      <c r="N924" s="386">
        <v>46084</v>
      </c>
      <c r="O924" s="386">
        <v>46085</v>
      </c>
      <c r="P924" s="385">
        <f>IFERROR(
    IF(
        OR(ISBLANK(I924), ISBLANK(L924)),
        "",
        MAX(
            1,
            IF(
                NETWORKDAYS(I924, L924, Holiday_Dates) &lt;= 0,
                1,
                NETWORKDAYS(I924, L924, Holiday_Dates) - IF(I924 = L924, 0, 1)
            )
        )
    ),
    ""
)</f>
        <v>2</v>
      </c>
      <c r="Q924" s="385" t="str">
        <f>IF(
    OR(ISBLANK(L924), ISBLANK(M924)),
    "",
    MAX(
        1,
        IF(
            NETWORKDAYS(L924, M924, Holiday_Dates) &lt;= 0,
            1,
            NETWORKDAYS(L924, M924, Holiday_Dates) - IF(L924 = M924, 0, 1)
        )
    )
)</f>
        <v/>
      </c>
      <c r="R924" s="385">
        <f>IFERROR(
    IF(
        OR(ISBLANK(N924), AND(ISBLANK(L924), ISBLANK(M924))),
        "",
        MAX(
            1,
            IF(
                NETWORKDAYS(IF(NOT(ISBLANK(M924)), M924, L924), N924, Holiday_Dates) &lt;= 0,
                1,
                NETWORKDAYS(IF(NOT(ISBLANK(M924)), M924, L924), N924, Holiday_Dates)
                - IF(IF(NOT(ISBLANK(M924)), M924, L924) = N924, 0, 1)
            )
        )
    ),
    ""
)</f>
        <v>1</v>
      </c>
      <c r="S924" s="385">
        <f>IFERROR(
    IF(
        OR(ISBLANK(N924), ISBLANK(O924)),
        "",
        MAX(
            1,
            IF(
                NETWORKDAYS(N924, O924, Holiday_Dates) &lt;= 0,
                1,
                NETWORKDAYS(N924, O924, Holiday_Dates) - IF(N924 = O924, 0, 1)
            )
        )
    ),
    ""
)</f>
        <v>1</v>
      </c>
      <c r="T924" s="385" t="s">
        <v>929</v>
      </c>
      <c r="U924" s="385" t="s">
        <v>672</v>
      </c>
      <c r="V924" s="385" t="s">
        <v>685</v>
      </c>
      <c r="W924" s="385" t="s">
        <v>4710</v>
      </c>
      <c r="X924" s="1"/>
    </row>
    <row r="925" spans="1:24">
      <c r="A925" s="385" t="s">
        <v>65</v>
      </c>
      <c r="B925" s="385" t="s">
        <v>511</v>
      </c>
      <c r="C925" s="385" t="s">
        <v>3028</v>
      </c>
      <c r="D925" s="385" t="s">
        <v>88</v>
      </c>
      <c r="E925" s="385" t="s">
        <v>29</v>
      </c>
      <c r="F925" s="597"/>
      <c r="G925" s="597" t="s">
        <v>130</v>
      </c>
      <c r="H925" s="597">
        <v>2026</v>
      </c>
      <c r="I925" s="657">
        <v>46079</v>
      </c>
      <c r="J925" s="598" t="s">
        <v>5073</v>
      </c>
      <c r="K925" s="388" t="s">
        <v>45</v>
      </c>
      <c r="L925" s="386">
        <v>46083</v>
      </c>
      <c r="M925" s="385"/>
      <c r="N925" s="386">
        <v>46084</v>
      </c>
      <c r="O925" s="386">
        <v>46085</v>
      </c>
      <c r="P925" s="385">
        <f>IFERROR(
    IF(
        OR(ISBLANK(I925), ISBLANK(L925)),
        "",
        MAX(
            1,
            IF(
                NETWORKDAYS(I925, L925, Holiday_Dates) &lt;= 0,
                1,
                NETWORKDAYS(I925, L925, Holiday_Dates) - IF(I925 = L925, 0, 1)
            )
        )
    ),
    ""
)</f>
        <v>2</v>
      </c>
      <c r="Q925" s="385" t="str">
        <f>IF(
    OR(ISBLANK(L925), ISBLANK(M925)),
    "",
    MAX(
        1,
        IF(
            NETWORKDAYS(L925, M925, Holiday_Dates) &lt;= 0,
            1,
            NETWORKDAYS(L925, M925, Holiday_Dates) - IF(L925 = M925, 0, 1)
        )
    )
)</f>
        <v/>
      </c>
      <c r="R925" s="385">
        <f>IFERROR(
    IF(
        OR(ISBLANK(N925), AND(ISBLANK(L925), ISBLANK(M925))),
        "",
        MAX(
            1,
            IF(
                NETWORKDAYS(IF(NOT(ISBLANK(M925)), M925, L925), N925, Holiday_Dates) &lt;= 0,
                1,
                NETWORKDAYS(IF(NOT(ISBLANK(M925)), M925, L925), N925, Holiday_Dates)
                - IF(IF(NOT(ISBLANK(M925)), M925, L925) = N925, 0, 1)
            )
        )
    ),
    ""
)</f>
        <v>1</v>
      </c>
      <c r="S925" s="385">
        <f>IFERROR(
    IF(
        OR(ISBLANK(N925), ISBLANK(O925)),
        "",
        MAX(
            1,
            IF(
                NETWORKDAYS(N925, O925, Holiday_Dates) &lt;= 0,
                1,
                NETWORKDAYS(N925, O925, Holiday_Dates) - IF(N925 = O925, 0, 1)
            )
        )
    ),
    ""
)</f>
        <v>1</v>
      </c>
      <c r="T925" s="385" t="s">
        <v>929</v>
      </c>
      <c r="U925" s="385" t="s">
        <v>672</v>
      </c>
      <c r="V925" s="385" t="s">
        <v>685</v>
      </c>
      <c r="W925" s="385" t="s">
        <v>4710</v>
      </c>
      <c r="X925" s="1"/>
    </row>
    <row r="926" spans="1:24">
      <c r="A926" s="385" t="s">
        <v>65</v>
      </c>
      <c r="B926" s="385" t="s">
        <v>347</v>
      </c>
      <c r="C926" s="385" t="s">
        <v>3108</v>
      </c>
      <c r="D926" s="385" t="s">
        <v>88</v>
      </c>
      <c r="E926" s="385" t="s">
        <v>141</v>
      </c>
      <c r="F926" s="385"/>
      <c r="G926" s="385" t="s">
        <v>130</v>
      </c>
      <c r="H926" s="385"/>
      <c r="I926" s="385"/>
      <c r="J926" s="30"/>
      <c r="K926" s="388" t="s">
        <v>45</v>
      </c>
      <c r="L926" s="385"/>
      <c r="M926" s="385"/>
      <c r="N926" s="385"/>
      <c r="O926" s="385"/>
      <c r="P926" s="385" t="str">
        <f>IFERROR(
    IF(
        OR(ISBLANK(I926), ISBLANK(L926)),
        "",
        MAX(
            1,
            IF(
                NETWORKDAYS(I926, L926, Holiday_Dates) &lt;= 0,
                1,
                NETWORKDAYS(I926, L926, Holiday_Dates) - IF(I926 = L926, 0, 1)
            )
        )
    ),
    ""
)</f>
        <v/>
      </c>
      <c r="Q926" s="385" t="str">
        <f>IF(
    OR(ISBLANK(L926), ISBLANK(M926)),
    "",
    MAX(
        1,
        IF(
            NETWORKDAYS(L926, M926, Holiday_Dates) &lt;= 0,
            1,
            NETWORKDAYS(L926, M926, Holiday_Dates) - IF(L926 = M926, 0, 1)
        )
    )
)</f>
        <v/>
      </c>
      <c r="R926" s="385" t="str">
        <f>IFERROR(
    IF(
        OR(ISBLANK(N926), AND(ISBLANK(L926), ISBLANK(M926))),
        "",
        MAX(
            1,
            IF(
                NETWORKDAYS(IF(NOT(ISBLANK(M926)), M926, L926), N926, Holiday_Dates) &lt;= 0,
                1,
                NETWORKDAYS(IF(NOT(ISBLANK(M926)), M926, L926), N926, Holiday_Dates)
                - IF(IF(NOT(ISBLANK(M926)), M926, L926) = N926, 0, 1)
            )
        )
    ),
    ""
)</f>
        <v/>
      </c>
      <c r="S926" s="385" t="str">
        <f>IFERROR(
    IF(
        OR(ISBLANK(N926), ISBLANK(O926)),
        "",
        MAX(
            1,
            IF(
                NETWORKDAYS(N926, O926, Holiday_Dates) &lt;= 0,
                1,
                NETWORKDAYS(N926, O926, Holiday_Dates) - IF(N926 = O926, 0, 1)
            )
        )
    ),
    ""
)</f>
        <v/>
      </c>
      <c r="T926" s="385"/>
      <c r="U926" s="385"/>
      <c r="V926" s="385"/>
      <c r="W926" s="385" t="s">
        <v>4710</v>
      </c>
      <c r="X926" s="1"/>
    </row>
    <row r="927" spans="1:24">
      <c r="A927" s="385" t="s">
        <v>65</v>
      </c>
      <c r="B927" s="385" t="s">
        <v>347</v>
      </c>
      <c r="C927" s="385" t="s">
        <v>550</v>
      </c>
      <c r="D927" s="385" t="s">
        <v>88</v>
      </c>
      <c r="E927" s="385" t="s">
        <v>141</v>
      </c>
      <c r="F927" s="385"/>
      <c r="G927" s="385" t="s">
        <v>130</v>
      </c>
      <c r="H927" s="385">
        <v>2026</v>
      </c>
      <c r="I927" s="386">
        <v>46092</v>
      </c>
      <c r="J927" s="30" t="s">
        <v>5074</v>
      </c>
      <c r="K927" s="388" t="s">
        <v>45</v>
      </c>
      <c r="L927" s="386">
        <v>46092</v>
      </c>
      <c r="M927" s="385"/>
      <c r="N927" s="386">
        <v>46097</v>
      </c>
      <c r="O927" s="385"/>
      <c r="P927" s="385">
        <f>IFERROR(
    IF(
        OR(ISBLANK(I927), ISBLANK(L927)),
        "",
        MAX(
            1,
            IF(
                NETWORKDAYS(I927, L927, Holiday_Dates) &lt;= 0,
                1,
                NETWORKDAYS(I927, L927, Holiday_Dates) - IF(I927 = L927, 0, 1)
            )
        )
    ),
    ""
)</f>
        <v>1</v>
      </c>
      <c r="Q927" s="385" t="str">
        <f>IF(
    OR(ISBLANK(L927), ISBLANK(M927)),
    "",
    MAX(
        1,
        IF(
            NETWORKDAYS(L927, M927, Holiday_Dates) &lt;= 0,
            1,
            NETWORKDAYS(L927, M927, Holiday_Dates) - IF(L927 = M927, 0, 1)
        )
    )
)</f>
        <v/>
      </c>
      <c r="R927" s="385">
        <f>IFERROR(
    IF(
        OR(ISBLANK(N927), AND(ISBLANK(L927), ISBLANK(M927))),
        "",
        MAX(
            1,
            IF(
                NETWORKDAYS(IF(NOT(ISBLANK(M927)), M927, L927), N927, Holiday_Dates) &lt;= 0,
                1,
                NETWORKDAYS(IF(NOT(ISBLANK(M927)), M927, L927), N927, Holiday_Dates)
                - IF(IF(NOT(ISBLANK(M927)), M927, L927) = N927, 0, 1)
            )
        )
    ),
    ""
)</f>
        <v>3</v>
      </c>
      <c r="S927" s="385" t="str">
        <f>IFERROR(
    IF(
        OR(ISBLANK(N927), ISBLANK(O927)),
        "",
        MAX(
            1,
            IF(
                NETWORKDAYS(N927, O927, Holiday_Dates) &lt;= 0,
                1,
                NETWORKDAYS(N927, O927, Holiday_Dates) - IF(N927 = O927, 0, 1)
            )
        )
    ),
    ""
)</f>
        <v/>
      </c>
      <c r="T927" s="385"/>
      <c r="U927" s="385"/>
      <c r="V927" s="385"/>
      <c r="W927" s="385" t="s">
        <v>4710</v>
      </c>
      <c r="X927" s="1"/>
    </row>
    <row r="928" spans="1:24">
      <c r="A928" s="385" t="s">
        <v>65</v>
      </c>
      <c r="B928" s="385" t="s">
        <v>347</v>
      </c>
      <c r="C928" s="385" t="s">
        <v>3110</v>
      </c>
      <c r="D928" s="385" t="s">
        <v>88</v>
      </c>
      <c r="E928" s="385" t="s">
        <v>141</v>
      </c>
      <c r="F928" s="385"/>
      <c r="G928" s="385" t="s">
        <v>130</v>
      </c>
      <c r="H928" s="385"/>
      <c r="I928" s="385"/>
      <c r="J928" s="30"/>
      <c r="K928" s="388" t="s">
        <v>45</v>
      </c>
      <c r="L928" s="385"/>
      <c r="M928" s="385"/>
      <c r="N928" s="385"/>
      <c r="O928" s="385"/>
      <c r="P928" s="385" t="str">
        <f>IFERROR(
    IF(
        OR(ISBLANK(I928), ISBLANK(L928)),
        "",
        MAX(
            1,
            IF(
                NETWORKDAYS(I928, L928, Holiday_Dates) &lt;= 0,
                1,
                NETWORKDAYS(I928, L928, Holiday_Dates) - IF(I928 = L928, 0, 1)
            )
        )
    ),
    ""
)</f>
        <v/>
      </c>
      <c r="Q928" s="385" t="str">
        <f>IF(
    OR(ISBLANK(L928), ISBLANK(M928)),
    "",
    MAX(
        1,
        IF(
            NETWORKDAYS(L928, M928, Holiday_Dates) &lt;= 0,
            1,
            NETWORKDAYS(L928, M928, Holiday_Dates) - IF(L928 = M928, 0, 1)
        )
    )
)</f>
        <v/>
      </c>
      <c r="R928" s="385" t="str">
        <f>IFERROR(
    IF(
        OR(ISBLANK(N928), AND(ISBLANK(L928), ISBLANK(M928))),
        "",
        MAX(
            1,
            IF(
                NETWORKDAYS(IF(NOT(ISBLANK(M928)), M928, L928), N928, Holiday_Dates) &lt;= 0,
                1,
                NETWORKDAYS(IF(NOT(ISBLANK(M928)), M928, L928), N928, Holiday_Dates)
                - IF(IF(NOT(ISBLANK(M928)), M928, L928) = N928, 0, 1)
            )
        )
    ),
    ""
)</f>
        <v/>
      </c>
      <c r="S928" s="385" t="str">
        <f>IFERROR(
    IF(
        OR(ISBLANK(N928), ISBLANK(O928)),
        "",
        MAX(
            1,
            IF(
                NETWORKDAYS(N928, O928, Holiday_Dates) &lt;= 0,
                1,
                NETWORKDAYS(N928, O928, Holiday_Dates) - IF(N928 = O928, 0, 1)
            )
        )
    ),
    ""
)</f>
        <v/>
      </c>
      <c r="T928" s="385"/>
      <c r="U928" s="385"/>
      <c r="V928" s="385"/>
      <c r="W928" s="385" t="s">
        <v>4710</v>
      </c>
      <c r="X928" s="1"/>
    </row>
    <row r="929" spans="1:24">
      <c r="A929" s="385" t="s">
        <v>65</v>
      </c>
      <c r="B929" s="385" t="s">
        <v>347</v>
      </c>
      <c r="C929" s="385" t="s">
        <v>520</v>
      </c>
      <c r="D929" s="385" t="s">
        <v>88</v>
      </c>
      <c r="E929" s="385" t="s">
        <v>141</v>
      </c>
      <c r="F929" s="385"/>
      <c r="G929" s="385" t="s">
        <v>130</v>
      </c>
      <c r="H929" s="385"/>
      <c r="I929" s="385"/>
      <c r="J929" s="30"/>
      <c r="K929" s="388" t="s">
        <v>45</v>
      </c>
      <c r="L929" s="385"/>
      <c r="M929" s="385"/>
      <c r="N929" s="385"/>
      <c r="O929" s="385"/>
      <c r="P929" s="385" t="str">
        <f>IFERROR(
    IF(
        OR(ISBLANK(I929), ISBLANK(L929)),
        "",
        MAX(
            1,
            IF(
                NETWORKDAYS(I929, L929, Holiday_Dates) &lt;= 0,
                1,
                NETWORKDAYS(I929, L929, Holiday_Dates) - IF(I929 = L929, 0, 1)
            )
        )
    ),
    ""
)</f>
        <v/>
      </c>
      <c r="Q929" s="385" t="str">
        <f>IF(
    OR(ISBLANK(L929), ISBLANK(M929)),
    "",
    MAX(
        1,
        IF(
            NETWORKDAYS(L929, M929, Holiday_Dates) &lt;= 0,
            1,
            NETWORKDAYS(L929, M929, Holiday_Dates) - IF(L929 = M929, 0, 1)
        )
    )
)</f>
        <v/>
      </c>
      <c r="R929" s="385" t="str">
        <f>IFERROR(
    IF(
        OR(ISBLANK(N929), AND(ISBLANK(L929), ISBLANK(M929))),
        "",
        MAX(
            1,
            IF(
                NETWORKDAYS(IF(NOT(ISBLANK(M929)), M929, L929), N929, Holiday_Dates) &lt;= 0,
                1,
                NETWORKDAYS(IF(NOT(ISBLANK(M929)), M929, L929), N929, Holiday_Dates)
                - IF(IF(NOT(ISBLANK(M929)), M929, L929) = N929, 0, 1)
            )
        )
    ),
    ""
)</f>
        <v/>
      </c>
      <c r="S929" s="385" t="str">
        <f>IFERROR(
    IF(
        OR(ISBLANK(N929), ISBLANK(O929)),
        "",
        MAX(
            1,
            IF(
                NETWORKDAYS(N929, O929, Holiday_Dates) &lt;= 0,
                1,
                NETWORKDAYS(N929, O929, Holiday_Dates) - IF(N929 = O929, 0, 1)
            )
        )
    ),
    ""
)</f>
        <v/>
      </c>
      <c r="T929" s="385"/>
      <c r="U929" s="385"/>
      <c r="V929" s="385"/>
      <c r="W929" s="385" t="s">
        <v>4710</v>
      </c>
      <c r="X929" s="1"/>
    </row>
    <row r="930" spans="1:24">
      <c r="A930" s="385" t="s">
        <v>49</v>
      </c>
      <c r="B930" s="385" t="s">
        <v>378</v>
      </c>
      <c r="C930" s="385" t="s">
        <v>2692</v>
      </c>
      <c r="D930" s="385" t="s">
        <v>88</v>
      </c>
      <c r="E930" s="385"/>
      <c r="F930" s="385"/>
      <c r="G930" s="385"/>
      <c r="H930" s="385">
        <v>2024</v>
      </c>
      <c r="I930" s="386">
        <v>45447</v>
      </c>
      <c r="J930" s="30"/>
      <c r="K930" s="385"/>
      <c r="L930" s="385"/>
      <c r="M930" s="385"/>
      <c r="N930" s="385"/>
      <c r="O930" s="385"/>
      <c r="P930" s="385" t="str">
        <f>IFERROR(
    IF(
        OR(ISBLANK(I930), ISBLANK(L930)),
        "",
        MAX(
            1,
            IF(
                NETWORKDAYS(I930, L930, Holiday_Dates) &lt;= 0,
                1,
                NETWORKDAYS(I930, L930, Holiday_Dates) - IF(I930 = L930, 0, 1)
            )
        )
    ),
    ""
)</f>
        <v/>
      </c>
      <c r="Q930" s="385" t="str">
        <f>IF(
    OR(ISBLANK(L930), ISBLANK(M930)),
    "",
    MAX(
        1,
        IF(
            NETWORKDAYS(L930, M930, Holiday_Dates) &lt;= 0,
            1,
            NETWORKDAYS(L930, M930, Holiday_Dates) - IF(L930 = M930, 0, 1)
        )
    )
)</f>
        <v/>
      </c>
      <c r="R930" s="385" t="str">
        <f>IFERROR(
    IF(
        OR(ISBLANK(N930), AND(ISBLANK(L930), ISBLANK(M930))),
        "",
        MAX(
            1,
            IF(
                NETWORKDAYS(IF(NOT(ISBLANK(M930)), M930, L930), N930, Holiday_Dates) &lt;= 0,
                1,
                NETWORKDAYS(IF(NOT(ISBLANK(M930)), M930, L930), N930, Holiday_Dates)
                - IF(IF(NOT(ISBLANK(M930)), M930, L930) = N930, 0, 1)
            )
        )
    ),
    ""
)</f>
        <v/>
      </c>
      <c r="S930" s="385" t="str">
        <f>IFERROR(
    IF(
        OR(ISBLANK(N930), ISBLANK(O930)),
        "",
        MAX(
            1,
            IF(
                NETWORKDAYS(N930, O930, Holiday_Dates) &lt;= 0,
                1,
                NETWORKDAYS(N930, O930, Holiday_Dates) - IF(N930 = O930, 0, 1)
            )
        )
    ),
    ""
)</f>
        <v/>
      </c>
      <c r="T930" s="385"/>
      <c r="U930" s="385" t="s">
        <v>672</v>
      </c>
      <c r="V930" s="385"/>
      <c r="W930" s="385" t="s">
        <v>1436</v>
      </c>
      <c r="X930" s="1"/>
    </row>
    <row r="931" spans="1:24">
      <c r="A931" s="385" t="s">
        <v>65</v>
      </c>
      <c r="B931" s="385" t="s">
        <v>347</v>
      </c>
      <c r="C931" s="385" t="s">
        <v>764</v>
      </c>
      <c r="D931" s="385" t="s">
        <v>88</v>
      </c>
      <c r="E931" s="385" t="s">
        <v>141</v>
      </c>
      <c r="F931" s="385"/>
      <c r="G931" s="385" t="s">
        <v>130</v>
      </c>
      <c r="H931" s="385"/>
      <c r="I931" s="385"/>
      <c r="J931" s="30"/>
      <c r="K931" s="388" t="s">
        <v>45</v>
      </c>
      <c r="L931" s="385"/>
      <c r="M931" s="385"/>
      <c r="N931" s="385"/>
      <c r="O931" s="385"/>
      <c r="P931" s="385" t="str">
        <f>IFERROR(
    IF(
        OR(ISBLANK(I931), ISBLANK(L931)),
        "",
        MAX(
            1,
            IF(
                NETWORKDAYS(I931, L931, Holiday_Dates) &lt;= 0,
                1,
                NETWORKDAYS(I931, L931, Holiday_Dates) - IF(I931 = L931, 0, 1)
            )
        )
    ),
    ""
)</f>
        <v/>
      </c>
      <c r="Q931" s="385" t="str">
        <f>IF(
    OR(ISBLANK(L931), ISBLANK(M931)),
    "",
    MAX(
        1,
        IF(
            NETWORKDAYS(L931, M931, Holiday_Dates) &lt;= 0,
            1,
            NETWORKDAYS(L931, M931, Holiday_Dates) - IF(L931 = M931, 0, 1)
        )
    )
)</f>
        <v/>
      </c>
      <c r="R931" s="385" t="str">
        <f>IFERROR(
    IF(
        OR(ISBLANK(N931), AND(ISBLANK(L931), ISBLANK(M931))),
        "",
        MAX(
            1,
            IF(
                NETWORKDAYS(IF(NOT(ISBLANK(M931)), M931, L931), N931, Holiday_Dates) &lt;= 0,
                1,
                NETWORKDAYS(IF(NOT(ISBLANK(M931)), M931, L931), N931, Holiday_Dates)
                - IF(IF(NOT(ISBLANK(M931)), M931, L931) = N931, 0, 1)
            )
        )
    ),
    ""
)</f>
        <v/>
      </c>
      <c r="S931" s="385" t="str">
        <f>IFERROR(
    IF(
        OR(ISBLANK(N931), ISBLANK(O931)),
        "",
        MAX(
            1,
            IF(
                NETWORKDAYS(N931, O931, Holiday_Dates) &lt;= 0,
                1,
                NETWORKDAYS(N931, O931, Holiday_Dates) - IF(N931 = O931, 0, 1)
            )
        )
    ),
    ""
)</f>
        <v/>
      </c>
      <c r="T931" s="385"/>
      <c r="U931" s="385"/>
      <c r="V931" s="385"/>
      <c r="W931" s="385" t="s">
        <v>4710</v>
      </c>
      <c r="X931" s="1"/>
    </row>
    <row r="932" spans="1:24">
      <c r="A932" s="385" t="s">
        <v>65</v>
      </c>
      <c r="B932" s="385" t="s">
        <v>512</v>
      </c>
      <c r="C932" s="385" t="s">
        <v>1889</v>
      </c>
      <c r="D932" s="385" t="s">
        <v>88</v>
      </c>
      <c r="E932" s="385" t="s">
        <v>140</v>
      </c>
      <c r="F932" s="385"/>
      <c r="G932" s="385" t="s">
        <v>130</v>
      </c>
      <c r="H932" s="385">
        <v>2026</v>
      </c>
      <c r="I932" s="386">
        <v>46078</v>
      </c>
      <c r="J932" s="30" t="s">
        <v>5075</v>
      </c>
      <c r="K932" s="388" t="s">
        <v>45</v>
      </c>
      <c r="L932" s="386">
        <v>46079</v>
      </c>
      <c r="M932" s="385"/>
      <c r="N932" s="386">
        <v>46081</v>
      </c>
      <c r="O932" s="386">
        <v>46083</v>
      </c>
      <c r="P932" s="385">
        <f>IFERROR(
    IF(
        OR(ISBLANK(I932), ISBLANK(L932)),
        "",
        MAX(
            1,
            IF(
                NETWORKDAYS(I932, L932, Holiday_Dates) &lt;= 0,
                1,
                NETWORKDAYS(I932, L932, Holiday_Dates) - IF(I932 = L932, 0, 1)
            )
        )
    ),
    ""
)</f>
        <v>1</v>
      </c>
      <c r="Q932" s="385" t="str">
        <f>IF(
    OR(ISBLANK(L932), ISBLANK(M932)),
    "",
    MAX(
        1,
        IF(
            NETWORKDAYS(L932, M932, Holiday_Dates) &lt;= 0,
            1,
            NETWORKDAYS(L932, M932, Holiday_Dates) - IF(L932 = M932, 0, 1)
        )
    )
)</f>
        <v/>
      </c>
      <c r="R932" s="385">
        <f>IFERROR(
    IF(
        OR(ISBLANK(N932), AND(ISBLANK(L932), ISBLANK(M932))),
        "",
        MAX(
            1,
            IF(
                NETWORKDAYS(IF(NOT(ISBLANK(M932)), M932, L932), N932, Holiday_Dates) &lt;= 0,
                1,
                NETWORKDAYS(IF(NOT(ISBLANK(M932)), M932, L932), N932, Holiday_Dates)
                - IF(IF(NOT(ISBLANK(M932)), M932, L932) = N932, 0, 1)
            )
        )
    ),
    ""
)</f>
        <v>1</v>
      </c>
      <c r="S932" s="385">
        <f>IFERROR(
    IF(
        OR(ISBLANK(N932), ISBLANK(O932)),
        "",
        MAX(
            1,
            IF(
                NETWORKDAYS(N932, O932, Holiday_Dates) &lt;= 0,
                1,
                NETWORKDAYS(N932, O932, Holiday_Dates) - IF(N932 = O932, 0, 1)
            )
        )
    ),
    ""
)</f>
        <v>1</v>
      </c>
      <c r="T932" s="385" t="s">
        <v>929</v>
      </c>
      <c r="U932" s="385" t="s">
        <v>672</v>
      </c>
      <c r="V932" s="385" t="s">
        <v>685</v>
      </c>
      <c r="W932" s="385" t="s">
        <v>4710</v>
      </c>
      <c r="X932" s="1"/>
    </row>
    <row r="933" spans="1:24">
      <c r="A933" s="385" t="s">
        <v>65</v>
      </c>
      <c r="B933" s="385" t="s">
        <v>512</v>
      </c>
      <c r="C933" s="385" t="s">
        <v>3114</v>
      </c>
      <c r="D933" s="385" t="s">
        <v>88</v>
      </c>
      <c r="E933" s="385" t="s">
        <v>140</v>
      </c>
      <c r="F933" s="385"/>
      <c r="G933" s="385" t="s">
        <v>130</v>
      </c>
      <c r="H933" s="385">
        <v>2026</v>
      </c>
      <c r="I933" s="386">
        <v>46078</v>
      </c>
      <c r="J933" s="30" t="s">
        <v>5076</v>
      </c>
      <c r="K933" s="388" t="s">
        <v>45</v>
      </c>
      <c r="L933" s="386">
        <v>46079</v>
      </c>
      <c r="M933" s="385"/>
      <c r="N933" s="386">
        <v>46081</v>
      </c>
      <c r="O933" s="386">
        <v>46083</v>
      </c>
      <c r="P933" s="385">
        <f>IFERROR(
    IF(
        OR(ISBLANK(I933), ISBLANK(L933)),
        "",
        MAX(
            1,
            IF(
                NETWORKDAYS(I933, L933, Holiday_Dates) &lt;= 0,
                1,
                NETWORKDAYS(I933, L933, Holiday_Dates) - IF(I933 = L933, 0, 1)
            )
        )
    ),
    ""
)</f>
        <v>1</v>
      </c>
      <c r="Q933" s="385" t="str">
        <f>IF(
    OR(ISBLANK(L933), ISBLANK(M933)),
    "",
    MAX(
        1,
        IF(
            NETWORKDAYS(L933, M933, Holiday_Dates) &lt;= 0,
            1,
            NETWORKDAYS(L933, M933, Holiday_Dates) - IF(L933 = M933, 0, 1)
        )
    )
)</f>
        <v/>
      </c>
      <c r="R933" s="385">
        <f>IFERROR(
    IF(
        OR(ISBLANK(N933), AND(ISBLANK(L933), ISBLANK(M933))),
        "",
        MAX(
            1,
            IF(
                NETWORKDAYS(IF(NOT(ISBLANK(M933)), M933, L933), N933, Holiday_Dates) &lt;= 0,
                1,
                NETWORKDAYS(IF(NOT(ISBLANK(M933)), M933, L933), N933, Holiday_Dates)
                - IF(IF(NOT(ISBLANK(M933)), M933, L933) = N933, 0, 1)
            )
        )
    ),
    ""
)</f>
        <v>1</v>
      </c>
      <c r="S933" s="385">
        <f>IFERROR(
    IF(
        OR(ISBLANK(N933), ISBLANK(O933)),
        "",
        MAX(
            1,
            IF(
                NETWORKDAYS(N933, O933, Holiday_Dates) &lt;= 0,
                1,
                NETWORKDAYS(N933, O933, Holiday_Dates) - IF(N933 = O933, 0, 1)
            )
        )
    ),
    ""
)</f>
        <v>1</v>
      </c>
      <c r="T933" s="385" t="s">
        <v>929</v>
      </c>
      <c r="U933" s="385" t="s">
        <v>672</v>
      </c>
      <c r="V933" s="385" t="s">
        <v>101</v>
      </c>
      <c r="W933" s="385" t="s">
        <v>4710</v>
      </c>
      <c r="X933" s="1"/>
    </row>
    <row r="934" spans="1:24">
      <c r="A934" s="385" t="s">
        <v>65</v>
      </c>
      <c r="B934" s="385" t="s">
        <v>512</v>
      </c>
      <c r="C934" s="385" t="s">
        <v>3115</v>
      </c>
      <c r="D934" s="385" t="s">
        <v>88</v>
      </c>
      <c r="E934" s="385" t="s">
        <v>140</v>
      </c>
      <c r="F934" s="385"/>
      <c r="G934" s="385" t="s">
        <v>130</v>
      </c>
      <c r="H934" s="385">
        <v>2026</v>
      </c>
      <c r="I934" s="386">
        <v>46078</v>
      </c>
      <c r="J934" s="30" t="s">
        <v>5077</v>
      </c>
      <c r="K934" s="388" t="s">
        <v>45</v>
      </c>
      <c r="L934" s="386">
        <v>46079</v>
      </c>
      <c r="M934" s="385"/>
      <c r="N934" s="386">
        <v>46081</v>
      </c>
      <c r="O934" s="386">
        <v>46083</v>
      </c>
      <c r="P934" s="385">
        <f>IFERROR(
    IF(
        OR(ISBLANK(I934), ISBLANK(L934)),
        "",
        MAX(
            1,
            IF(
                NETWORKDAYS(I934, L934, Holiday_Dates) &lt;= 0,
                1,
                NETWORKDAYS(I934, L934, Holiday_Dates) - IF(I934 = L934, 0, 1)
            )
        )
    ),
    ""
)</f>
        <v>1</v>
      </c>
      <c r="Q934" s="385" t="str">
        <f>IF(
    OR(ISBLANK(L934), ISBLANK(M934)),
    "",
    MAX(
        1,
        IF(
            NETWORKDAYS(L934, M934, Holiday_Dates) &lt;= 0,
            1,
            NETWORKDAYS(L934, M934, Holiday_Dates) - IF(L934 = M934, 0, 1)
        )
    )
)</f>
        <v/>
      </c>
      <c r="R934" s="385">
        <f>IFERROR(
    IF(
        OR(ISBLANK(N934), AND(ISBLANK(L934), ISBLANK(M934))),
        "",
        MAX(
            1,
            IF(
                NETWORKDAYS(IF(NOT(ISBLANK(M934)), M934, L934), N934, Holiday_Dates) &lt;= 0,
                1,
                NETWORKDAYS(IF(NOT(ISBLANK(M934)), M934, L934), N934, Holiday_Dates)
                - IF(IF(NOT(ISBLANK(M934)), M934, L934) = N934, 0, 1)
            )
        )
    ),
    ""
)</f>
        <v>1</v>
      </c>
      <c r="S934" s="385">
        <f>IFERROR(
    IF(
        OR(ISBLANK(N934), ISBLANK(O934)),
        "",
        MAX(
            1,
            IF(
                NETWORKDAYS(N934, O934, Holiday_Dates) &lt;= 0,
                1,
                NETWORKDAYS(N934, O934, Holiday_Dates) - IF(N934 = O934, 0, 1)
            )
        )
    ),
    ""
)</f>
        <v>1</v>
      </c>
      <c r="T934" s="385" t="s">
        <v>929</v>
      </c>
      <c r="U934" s="385" t="s">
        <v>672</v>
      </c>
      <c r="V934" s="385" t="s">
        <v>685</v>
      </c>
      <c r="W934" s="385" t="s">
        <v>4710</v>
      </c>
      <c r="X934" s="1"/>
    </row>
    <row r="935" spans="1:24">
      <c r="A935" s="385" t="s">
        <v>49</v>
      </c>
      <c r="B935" s="385" t="s">
        <v>378</v>
      </c>
      <c r="C935" s="385" t="s">
        <v>2695</v>
      </c>
      <c r="D935" s="385" t="s">
        <v>88</v>
      </c>
      <c r="E935" s="385"/>
      <c r="F935" s="385"/>
      <c r="G935" s="385"/>
      <c r="H935" s="385">
        <v>2024</v>
      </c>
      <c r="I935" s="386">
        <v>45447</v>
      </c>
      <c r="J935" s="30"/>
      <c r="K935" s="385"/>
      <c r="L935" s="385"/>
      <c r="M935" s="385"/>
      <c r="N935" s="385"/>
      <c r="O935" s="385"/>
      <c r="P935" s="385" t="str">
        <f>IFERROR(
    IF(
        OR(ISBLANK(I935), ISBLANK(L935)),
        "",
        MAX(
            1,
            IF(
                NETWORKDAYS(I935, L935, Holiday_Dates) &lt;= 0,
                1,
                NETWORKDAYS(I935, L935, Holiday_Dates) - IF(I935 = L935, 0, 1)
            )
        )
    ),
    ""
)</f>
        <v/>
      </c>
      <c r="Q935" s="385" t="str">
        <f>IF(
    OR(ISBLANK(L935), ISBLANK(M935)),
    "",
    MAX(
        1,
        IF(
            NETWORKDAYS(L935, M935, Holiday_Dates) &lt;= 0,
            1,
            NETWORKDAYS(L935, M935, Holiday_Dates) - IF(L935 = M935, 0, 1)
        )
    )
)</f>
        <v/>
      </c>
      <c r="R935" s="385" t="str">
        <f>IFERROR(
    IF(
        OR(ISBLANK(N935), AND(ISBLANK(L935), ISBLANK(M935))),
        "",
        MAX(
            1,
            IF(
                NETWORKDAYS(IF(NOT(ISBLANK(M935)), M935, L935), N935, Holiday_Dates) &lt;= 0,
                1,
                NETWORKDAYS(IF(NOT(ISBLANK(M935)), M935, L935), N935, Holiday_Dates)
                - IF(IF(NOT(ISBLANK(M935)), M935, L935) = N935, 0, 1)
            )
        )
    ),
    ""
)</f>
        <v/>
      </c>
      <c r="S935" s="385" t="str">
        <f>IFERROR(
    IF(
        OR(ISBLANK(N935), ISBLANK(O935)),
        "",
        MAX(
            1,
            IF(
                NETWORKDAYS(N935, O935, Holiday_Dates) &lt;= 0,
                1,
                NETWORKDAYS(N935, O935, Holiday_Dates) - IF(N935 = O935, 0, 1)
            )
        )
    ),
    ""
)</f>
        <v/>
      </c>
      <c r="T935" s="385"/>
      <c r="U935" s="385" t="s">
        <v>672</v>
      </c>
      <c r="V935" s="385"/>
      <c r="W935" s="385" t="s">
        <v>1436</v>
      </c>
      <c r="X935" s="1"/>
    </row>
    <row r="936" spans="1:24">
      <c r="A936" s="385" t="s">
        <v>65</v>
      </c>
      <c r="B936" s="385" t="s">
        <v>512</v>
      </c>
      <c r="C936" s="385" t="s">
        <v>3116</v>
      </c>
      <c r="D936" s="385" t="s">
        <v>88</v>
      </c>
      <c r="E936" s="385" t="s">
        <v>140</v>
      </c>
      <c r="F936" s="385"/>
      <c r="G936" s="385" t="s">
        <v>130</v>
      </c>
      <c r="H936" s="385">
        <v>2026</v>
      </c>
      <c r="I936" s="386">
        <v>46078</v>
      </c>
      <c r="J936" s="30" t="s">
        <v>5078</v>
      </c>
      <c r="K936" s="388" t="s">
        <v>45</v>
      </c>
      <c r="L936" s="386">
        <v>46079</v>
      </c>
      <c r="M936" s="385"/>
      <c r="N936" s="386">
        <v>46081</v>
      </c>
      <c r="O936" s="386">
        <v>46083</v>
      </c>
      <c r="P936" s="385">
        <f>IFERROR(
    IF(
        OR(ISBLANK(I936), ISBLANK(L936)),
        "",
        MAX(
            1,
            IF(
                NETWORKDAYS(I936, L936, Holiday_Dates) &lt;= 0,
                1,
                NETWORKDAYS(I936, L936, Holiday_Dates) - IF(I936 = L936, 0, 1)
            )
        )
    ),
    ""
)</f>
        <v>1</v>
      </c>
      <c r="Q936" s="385" t="str">
        <f>IF(
    OR(ISBLANK(L936), ISBLANK(M936)),
    "",
    MAX(
        1,
        IF(
            NETWORKDAYS(L936, M936, Holiday_Dates) &lt;= 0,
            1,
            NETWORKDAYS(L936, M936, Holiday_Dates) - IF(L936 = M936, 0, 1)
        )
    )
)</f>
        <v/>
      </c>
      <c r="R936" s="385">
        <f>IFERROR(
    IF(
        OR(ISBLANK(N936), AND(ISBLANK(L936), ISBLANK(M936))),
        "",
        MAX(
            1,
            IF(
                NETWORKDAYS(IF(NOT(ISBLANK(M936)), M936, L936), N936, Holiday_Dates) &lt;= 0,
                1,
                NETWORKDAYS(IF(NOT(ISBLANK(M936)), M936, L936), N936, Holiday_Dates)
                - IF(IF(NOT(ISBLANK(M936)), M936, L936) = N936, 0, 1)
            )
        )
    ),
    ""
)</f>
        <v>1</v>
      </c>
      <c r="S936" s="385">
        <f>IFERROR(
    IF(
        OR(ISBLANK(N936), ISBLANK(O936)),
        "",
        MAX(
            1,
            IF(
                NETWORKDAYS(N936, O936, Holiday_Dates) &lt;= 0,
                1,
                NETWORKDAYS(N936, O936, Holiday_Dates) - IF(N936 = O936, 0, 1)
            )
        )
    ),
    ""
)</f>
        <v>1</v>
      </c>
      <c r="T936" s="385" t="s">
        <v>929</v>
      </c>
      <c r="U936" s="385" t="s">
        <v>672</v>
      </c>
      <c r="V936" s="385" t="s">
        <v>685</v>
      </c>
      <c r="W936" s="385" t="s">
        <v>4710</v>
      </c>
      <c r="X936" s="1"/>
    </row>
    <row r="937" spans="1:24">
      <c r="A937" s="385" t="s">
        <v>65</v>
      </c>
      <c r="B937" s="385" t="s">
        <v>512</v>
      </c>
      <c r="C937" s="385" t="s">
        <v>427</v>
      </c>
      <c r="D937" s="385" t="s">
        <v>88</v>
      </c>
      <c r="E937" s="385" t="s">
        <v>140</v>
      </c>
      <c r="F937" s="385"/>
      <c r="G937" s="385" t="s">
        <v>130</v>
      </c>
      <c r="H937" s="385">
        <v>2026</v>
      </c>
      <c r="I937" s="386">
        <v>46085</v>
      </c>
      <c r="J937" s="30" t="s">
        <v>5079</v>
      </c>
      <c r="K937" s="388" t="s">
        <v>45</v>
      </c>
      <c r="L937" s="386">
        <v>46086</v>
      </c>
      <c r="M937" s="385"/>
      <c r="N937" s="386">
        <v>46087</v>
      </c>
      <c r="O937" s="386">
        <v>46090</v>
      </c>
      <c r="P937" s="385">
        <f>IFERROR(
    IF(
        OR(ISBLANK(I937), ISBLANK(L937)),
        "",
        MAX(
            1,
            IF(
                NETWORKDAYS(I937, L937, Holiday_Dates) &lt;= 0,
                1,
                NETWORKDAYS(I937, L937, Holiday_Dates) - IF(I937 = L937, 0, 1)
            )
        )
    ),
    ""
)</f>
        <v>1</v>
      </c>
      <c r="Q937" s="385" t="str">
        <f>IF(
    OR(ISBLANK(L937), ISBLANK(M937)),
    "",
    MAX(
        1,
        IF(
            NETWORKDAYS(L937, M937, Holiday_Dates) &lt;= 0,
            1,
            NETWORKDAYS(L937, M937, Holiday_Dates) - IF(L937 = M937, 0, 1)
        )
    )
)</f>
        <v/>
      </c>
      <c r="R937" s="385">
        <f>IFERROR(
    IF(
        OR(ISBLANK(N937), AND(ISBLANK(L937), ISBLANK(M937))),
        "",
        MAX(
            1,
            IF(
                NETWORKDAYS(IF(NOT(ISBLANK(M937)), M937, L937), N937, Holiday_Dates) &lt;= 0,
                1,
                NETWORKDAYS(IF(NOT(ISBLANK(M937)), M937, L937), N937, Holiday_Dates)
                - IF(IF(NOT(ISBLANK(M937)), M937, L937) = N937, 0, 1)
            )
        )
    ),
    ""
)</f>
        <v>1</v>
      </c>
      <c r="S937" s="385">
        <f>IFERROR(
    IF(
        OR(ISBLANK(N937), ISBLANK(O937)),
        "",
        MAX(
            1,
            IF(
                NETWORKDAYS(N937, O937, Holiday_Dates) &lt;= 0,
                1,
                NETWORKDAYS(N937, O937, Holiday_Dates) - IF(N937 = O937, 0, 1)
            )
        )
    ),
    ""
)</f>
        <v>1</v>
      </c>
      <c r="T937" s="385" t="s">
        <v>929</v>
      </c>
      <c r="U937" s="385" t="s">
        <v>672</v>
      </c>
      <c r="V937" s="385" t="s">
        <v>4782</v>
      </c>
      <c r="W937" s="385" t="s">
        <v>4710</v>
      </c>
      <c r="X937" s="1"/>
    </row>
    <row r="938" spans="1:24">
      <c r="A938" s="385" t="s">
        <v>65</v>
      </c>
      <c r="B938" s="385" t="s">
        <v>512</v>
      </c>
      <c r="C938" s="385" t="s">
        <v>380</v>
      </c>
      <c r="D938" s="385" t="s">
        <v>88</v>
      </c>
      <c r="E938" s="385" t="s">
        <v>140</v>
      </c>
      <c r="F938" s="385"/>
      <c r="G938" s="385" t="s">
        <v>130</v>
      </c>
      <c r="H938" s="385">
        <v>2026</v>
      </c>
      <c r="I938" s="386">
        <v>46085</v>
      </c>
      <c r="J938" s="30" t="s">
        <v>5080</v>
      </c>
      <c r="K938" s="388" t="s">
        <v>45</v>
      </c>
      <c r="L938" s="386">
        <v>46086</v>
      </c>
      <c r="M938" s="385"/>
      <c r="N938" s="386">
        <v>46087</v>
      </c>
      <c r="O938" s="386">
        <v>46090</v>
      </c>
      <c r="P938" s="385">
        <f>IFERROR(
    IF(
        OR(ISBLANK(I938), ISBLANK(L938)),
        "",
        MAX(
            1,
            IF(
                NETWORKDAYS(I938, L938, Holiday_Dates) &lt;= 0,
                1,
                NETWORKDAYS(I938, L938, Holiday_Dates) - IF(I938 = L938, 0, 1)
            )
        )
    ),
    ""
)</f>
        <v>1</v>
      </c>
      <c r="Q938" s="385" t="str">
        <f>IF(
    OR(ISBLANK(L938), ISBLANK(M938)),
    "",
    MAX(
        1,
        IF(
            NETWORKDAYS(L938, M938, Holiday_Dates) &lt;= 0,
            1,
            NETWORKDAYS(L938, M938, Holiday_Dates) - IF(L938 = M938, 0, 1)
        )
    )
)</f>
        <v/>
      </c>
      <c r="R938" s="385">
        <f>IFERROR(
    IF(
        OR(ISBLANK(N938), AND(ISBLANK(L938), ISBLANK(M938))),
        "",
        MAX(
            1,
            IF(
                NETWORKDAYS(IF(NOT(ISBLANK(M938)), M938, L938), N938, Holiday_Dates) &lt;= 0,
                1,
                NETWORKDAYS(IF(NOT(ISBLANK(M938)), M938, L938), N938, Holiday_Dates)
                - IF(IF(NOT(ISBLANK(M938)), M938, L938) = N938, 0, 1)
            )
        )
    ),
    ""
)</f>
        <v>1</v>
      </c>
      <c r="S938" s="385">
        <f>IFERROR(
    IF(
        OR(ISBLANK(N938), ISBLANK(O938)),
        "",
        MAX(
            1,
            IF(
                NETWORKDAYS(N938, O938, Holiday_Dates) &lt;= 0,
                1,
                NETWORKDAYS(N938, O938, Holiday_Dates) - IF(N938 = O938, 0, 1)
            )
        )
    ),
    ""
)</f>
        <v>1</v>
      </c>
      <c r="T938" s="385" t="s">
        <v>929</v>
      </c>
      <c r="U938" s="385" t="s">
        <v>672</v>
      </c>
      <c r="V938" s="385" t="s">
        <v>685</v>
      </c>
      <c r="W938" s="385" t="s">
        <v>4710</v>
      </c>
      <c r="X938" s="1"/>
    </row>
    <row r="939" spans="1:24">
      <c r="A939" s="385" t="s">
        <v>49</v>
      </c>
      <c r="B939" s="385" t="s">
        <v>1309</v>
      </c>
      <c r="C939" s="385" t="s">
        <v>2700</v>
      </c>
      <c r="D939" s="385" t="s">
        <v>88</v>
      </c>
      <c r="E939" s="385"/>
      <c r="F939" s="385"/>
      <c r="G939" s="385"/>
      <c r="H939" s="385">
        <v>2024</v>
      </c>
      <c r="I939" s="386">
        <v>45545</v>
      </c>
      <c r="J939" s="30"/>
      <c r="K939" s="385"/>
      <c r="L939" s="385"/>
      <c r="M939" s="385"/>
      <c r="N939" s="385"/>
      <c r="O939" s="385"/>
      <c r="P939" s="385" t="str">
        <f>IFERROR(
    IF(
        OR(ISBLANK(I939), ISBLANK(L939)),
        "",
        MAX(
            1,
            IF(
                NETWORKDAYS(I939, L939, Holiday_Dates) &lt;= 0,
                1,
                NETWORKDAYS(I939, L939, Holiday_Dates) - IF(I939 = L939, 0, 1)
            )
        )
    ),
    ""
)</f>
        <v/>
      </c>
      <c r="Q939" s="385" t="str">
        <f>IF(
    OR(ISBLANK(L939), ISBLANK(M939)),
    "",
    MAX(
        1,
        IF(
            NETWORKDAYS(L939, M939, Holiday_Dates) &lt;= 0,
            1,
            NETWORKDAYS(L939, M939, Holiday_Dates) - IF(L939 = M939, 0, 1)
        )
    )
)</f>
        <v/>
      </c>
      <c r="R939" s="385" t="str">
        <f>IFERROR(
    IF(
        OR(ISBLANK(N939), AND(ISBLANK(L939), ISBLANK(M939))),
        "",
        MAX(
            1,
            IF(
                NETWORKDAYS(IF(NOT(ISBLANK(M939)), M939, L939), N939, Holiday_Dates) &lt;= 0,
                1,
                NETWORKDAYS(IF(NOT(ISBLANK(M939)), M939, L939), N939, Holiday_Dates)
                - IF(IF(NOT(ISBLANK(M939)), M939, L939) = N939, 0, 1)
            )
        )
    ),
    ""
)</f>
        <v/>
      </c>
      <c r="S939" s="385" t="str">
        <f>IFERROR(
    IF(
        OR(ISBLANK(N939), ISBLANK(O939)),
        "",
        MAX(
            1,
            IF(
                NETWORKDAYS(N939, O939, Holiday_Dates) &lt;= 0,
                1,
                NETWORKDAYS(N939, O939, Holiday_Dates) - IF(N939 = O939, 0, 1)
            )
        )
    ),
    ""
)</f>
        <v/>
      </c>
      <c r="T939" s="385"/>
      <c r="U939" s="385" t="s">
        <v>672</v>
      </c>
      <c r="V939" s="385" t="s">
        <v>101</v>
      </c>
      <c r="W939" s="385" t="s">
        <v>1436</v>
      </c>
      <c r="X939" s="1"/>
    </row>
    <row r="940" spans="1:24">
      <c r="A940" s="385" t="s">
        <v>49</v>
      </c>
      <c r="B940" s="385" t="s">
        <v>1309</v>
      </c>
      <c r="C940" s="385" t="s">
        <v>1557</v>
      </c>
      <c r="D940" s="385" t="s">
        <v>88</v>
      </c>
      <c r="E940" s="385"/>
      <c r="F940" s="385"/>
      <c r="G940" s="385"/>
      <c r="H940" s="385">
        <v>2025</v>
      </c>
      <c r="I940" s="386">
        <v>45883</v>
      </c>
      <c r="J940" s="30" t="s">
        <v>5081</v>
      </c>
      <c r="K940" s="385"/>
      <c r="L940" s="385"/>
      <c r="M940" s="385"/>
      <c r="N940" s="385"/>
      <c r="O940" s="385"/>
      <c r="P940" s="385" t="str">
        <f>IFERROR(
    IF(
        OR(ISBLANK(I940), ISBLANK(L940)),
        "",
        MAX(
            1,
            IF(
                NETWORKDAYS(I940, L940, Holiday_Dates) &lt;= 0,
                1,
                NETWORKDAYS(I940, L940, Holiday_Dates) - IF(I940 = L940, 0, 1)
            )
        )
    ),
    ""
)</f>
        <v/>
      </c>
      <c r="Q940" s="385" t="str">
        <f>IF(
    OR(ISBLANK(L940), ISBLANK(M940)),
    "",
    MAX(
        1,
        IF(
            NETWORKDAYS(L940, M940, Holiday_Dates) &lt;= 0,
            1,
            NETWORKDAYS(L940, M940, Holiday_Dates) - IF(L940 = M940, 0, 1)
        )
    )
)</f>
        <v/>
      </c>
      <c r="R940" s="385" t="str">
        <f>IFERROR(
    IF(
        OR(ISBLANK(N940), AND(ISBLANK(L940), ISBLANK(M940))),
        "",
        MAX(
            1,
            IF(
                NETWORKDAYS(IF(NOT(ISBLANK(M940)), M940, L940), N940, Holiday_Dates) &lt;= 0,
                1,
                NETWORKDAYS(IF(NOT(ISBLANK(M940)), M940, L940), N940, Holiday_Dates)
                - IF(IF(NOT(ISBLANK(M940)), M940, L940) = N940, 0, 1)
            )
        )
    ),
    ""
)</f>
        <v/>
      </c>
      <c r="S940" s="385" t="str">
        <f>IFERROR(
    IF(
        OR(ISBLANK(N940), ISBLANK(O940)),
        "",
        MAX(
            1,
            IF(
                NETWORKDAYS(N940, O940, Holiday_Dates) &lt;= 0,
                1,
                NETWORKDAYS(N940, O940, Holiday_Dates) - IF(N940 = O940, 0, 1)
            )
        )
    ),
    ""
)</f>
        <v/>
      </c>
      <c r="T940" s="385"/>
      <c r="U940" s="385" t="s">
        <v>672</v>
      </c>
      <c r="V940" s="385" t="s">
        <v>101</v>
      </c>
      <c r="W940" s="385" t="s">
        <v>1436</v>
      </c>
      <c r="X940" s="1"/>
    </row>
    <row r="941" spans="1:24">
      <c r="A941" s="385" t="s">
        <v>49</v>
      </c>
      <c r="B941" s="385" t="s">
        <v>1309</v>
      </c>
      <c r="C941" s="385" t="s">
        <v>2702</v>
      </c>
      <c r="D941" s="385" t="s">
        <v>88</v>
      </c>
      <c r="E941" s="385"/>
      <c r="F941" s="385"/>
      <c r="G941" s="385"/>
      <c r="H941" s="385">
        <v>2024</v>
      </c>
      <c r="I941" s="386">
        <v>45545</v>
      </c>
      <c r="J941" s="30"/>
      <c r="K941" s="385"/>
      <c r="L941" s="385"/>
      <c r="M941" s="385"/>
      <c r="N941" s="385"/>
      <c r="O941" s="385"/>
      <c r="P941" s="385" t="str">
        <f>IFERROR(
    IF(
        OR(ISBLANK(I941), ISBLANK(L941)),
        "",
        MAX(
            1,
            IF(
                NETWORKDAYS(I941, L941, Holiday_Dates) &lt;= 0,
                1,
                NETWORKDAYS(I941, L941, Holiday_Dates) - IF(I941 = L941, 0, 1)
            )
        )
    ),
    ""
)</f>
        <v/>
      </c>
      <c r="Q941" s="385" t="str">
        <f>IF(
    OR(ISBLANK(L941), ISBLANK(M941)),
    "",
    MAX(
        1,
        IF(
            NETWORKDAYS(L941, M941, Holiday_Dates) &lt;= 0,
            1,
            NETWORKDAYS(L941, M941, Holiday_Dates) - IF(L941 = M941, 0, 1)
        )
    )
)</f>
        <v/>
      </c>
      <c r="R941" s="385" t="str">
        <f>IFERROR(
    IF(
        OR(ISBLANK(N941), AND(ISBLANK(L941), ISBLANK(M941))),
        "",
        MAX(
            1,
            IF(
                NETWORKDAYS(IF(NOT(ISBLANK(M941)), M941, L941), N941, Holiday_Dates) &lt;= 0,
                1,
                NETWORKDAYS(IF(NOT(ISBLANK(M941)), M941, L941), N941, Holiday_Dates)
                - IF(IF(NOT(ISBLANK(M941)), M941, L941) = N941, 0, 1)
            )
        )
    ),
    ""
)</f>
        <v/>
      </c>
      <c r="S941" s="385" t="str">
        <f>IFERROR(
    IF(
        OR(ISBLANK(N941), ISBLANK(O941)),
        "",
        MAX(
            1,
            IF(
                NETWORKDAYS(N941, O941, Holiday_Dates) &lt;= 0,
                1,
                NETWORKDAYS(N941, O941, Holiday_Dates) - IF(N941 = O941, 0, 1)
            )
        )
    ),
    ""
)</f>
        <v/>
      </c>
      <c r="T941" s="385"/>
      <c r="U941" s="385" t="s">
        <v>4</v>
      </c>
      <c r="V941" s="385" t="s">
        <v>101</v>
      </c>
      <c r="W941" s="385" t="s">
        <v>1436</v>
      </c>
      <c r="X941" s="1"/>
    </row>
    <row r="942" spans="1:24">
      <c r="A942" s="385" t="s">
        <v>65</v>
      </c>
      <c r="B942" s="385" t="s">
        <v>514</v>
      </c>
      <c r="C942" s="385" t="s">
        <v>3118</v>
      </c>
      <c r="D942" s="385" t="s">
        <v>88</v>
      </c>
      <c r="E942" s="385" t="s">
        <v>26</v>
      </c>
      <c r="F942" s="385"/>
      <c r="G942" s="385" t="s">
        <v>130</v>
      </c>
      <c r="H942" s="385">
        <v>2026</v>
      </c>
      <c r="I942" s="385"/>
      <c r="J942" s="30" t="s">
        <v>5082</v>
      </c>
      <c r="K942" s="388" t="s">
        <v>45</v>
      </c>
      <c r="L942" s="385"/>
      <c r="M942" s="385"/>
      <c r="N942" s="385"/>
      <c r="O942" s="385"/>
      <c r="P942" s="385" t="str">
        <f>IFERROR(
    IF(
        OR(ISBLANK(I942), ISBLANK(L942)),
        "",
        MAX(
            1,
            IF(
                NETWORKDAYS(I942, L942, Holiday_Dates) &lt;= 0,
                1,
                NETWORKDAYS(I942, L942, Holiday_Dates) - IF(I942 = L942, 0, 1)
            )
        )
    ),
    ""
)</f>
        <v/>
      </c>
      <c r="Q942" s="385" t="str">
        <f>IF(
    OR(ISBLANK(L942), ISBLANK(M942)),
    "",
    MAX(
        1,
        IF(
            NETWORKDAYS(L942, M942, Holiday_Dates) &lt;= 0,
            1,
            NETWORKDAYS(L942, M942, Holiday_Dates) - IF(L942 = M942, 0, 1)
        )
    )
)</f>
        <v/>
      </c>
      <c r="R942" s="385" t="str">
        <f>IFERROR(
    IF(
        OR(ISBLANK(N942), AND(ISBLANK(L942), ISBLANK(M942))),
        "",
        MAX(
            1,
            IF(
                NETWORKDAYS(IF(NOT(ISBLANK(M942)), M942, L942), N942, Holiday_Dates) &lt;= 0,
                1,
                NETWORKDAYS(IF(NOT(ISBLANK(M942)), M942, L942), N942, Holiday_Dates)
                - IF(IF(NOT(ISBLANK(M942)), M942, L942) = N942, 0, 1)
            )
        )
    ),
    ""
)</f>
        <v/>
      </c>
      <c r="S942" s="385" t="str">
        <f>IFERROR(
    IF(
        OR(ISBLANK(N942), ISBLANK(O942)),
        "",
        MAX(
            1,
            IF(
                NETWORKDAYS(N942, O942, Holiday_Dates) &lt;= 0,
                1,
                NETWORKDAYS(N942, O942, Holiday_Dates) - IF(N942 = O942, 0, 1)
            )
        )
    ),
    ""
)</f>
        <v/>
      </c>
      <c r="T942" s="385"/>
      <c r="U942" s="385"/>
      <c r="V942" s="385"/>
      <c r="W942" s="385" t="s">
        <v>4710</v>
      </c>
      <c r="X942" s="1"/>
    </row>
    <row r="943" spans="1:24">
      <c r="A943" s="385" t="s">
        <v>49</v>
      </c>
      <c r="B943" s="385" t="s">
        <v>1309</v>
      </c>
      <c r="C943" s="385" t="s">
        <v>2371</v>
      </c>
      <c r="D943" s="385" t="s">
        <v>88</v>
      </c>
      <c r="E943" s="385"/>
      <c r="F943" s="385"/>
      <c r="G943" s="385"/>
      <c r="H943" s="385">
        <v>2025</v>
      </c>
      <c r="I943" s="386">
        <v>45693</v>
      </c>
      <c r="J943" s="30" t="s">
        <v>5083</v>
      </c>
      <c r="K943" s="385"/>
      <c r="L943" s="385"/>
      <c r="M943" s="385"/>
      <c r="N943" s="385"/>
      <c r="O943" s="385"/>
      <c r="P943" s="385" t="str">
        <f>IFERROR(
    IF(
        OR(ISBLANK(I943), ISBLANK(L943)),
        "",
        MAX(
            1,
            IF(
                NETWORKDAYS(I943, L943, Holiday_Dates) &lt;= 0,
                1,
                NETWORKDAYS(I943, L943, Holiday_Dates) - IF(I943 = L943, 0, 1)
            )
        )
    ),
    ""
)</f>
        <v/>
      </c>
      <c r="Q943" s="385" t="str">
        <f>IF(
    OR(ISBLANK(L943), ISBLANK(M943)),
    "",
    MAX(
        1,
        IF(
            NETWORKDAYS(L943, M943, Holiday_Dates) &lt;= 0,
            1,
            NETWORKDAYS(L943, M943, Holiday_Dates) - IF(L943 = M943, 0, 1)
        )
    )
)</f>
        <v/>
      </c>
      <c r="R943" s="385" t="str">
        <f>IFERROR(
    IF(
        OR(ISBLANK(N943), AND(ISBLANK(L943), ISBLANK(M943))),
        "",
        MAX(
            1,
            IF(
                NETWORKDAYS(IF(NOT(ISBLANK(M943)), M943, L943), N943, Holiday_Dates) &lt;= 0,
                1,
                NETWORKDAYS(IF(NOT(ISBLANK(M943)), M943, L943), N943, Holiday_Dates)
                - IF(IF(NOT(ISBLANK(M943)), M943, L943) = N943, 0, 1)
            )
        )
    ),
    ""
)</f>
        <v/>
      </c>
      <c r="S943" s="385" t="str">
        <f>IFERROR(
    IF(
        OR(ISBLANK(N943), ISBLANK(O943)),
        "",
        MAX(
            1,
            IF(
                NETWORKDAYS(N943, O943, Holiday_Dates) &lt;= 0,
                1,
                NETWORKDAYS(N943, O943, Holiday_Dates) - IF(N943 = O943, 0, 1)
            )
        )
    ),
    ""
)</f>
        <v/>
      </c>
      <c r="T943" s="385"/>
      <c r="U943" s="385" t="s">
        <v>4</v>
      </c>
      <c r="V943" s="385" t="s">
        <v>101</v>
      </c>
      <c r="W943" s="385" t="s">
        <v>1436</v>
      </c>
      <c r="X943" s="1"/>
    </row>
    <row r="944" spans="1:24">
      <c r="A944" s="385" t="s">
        <v>49</v>
      </c>
      <c r="B944" s="385" t="s">
        <v>1309</v>
      </c>
      <c r="C944" s="385" t="s">
        <v>2705</v>
      </c>
      <c r="D944" s="385" t="s">
        <v>88</v>
      </c>
      <c r="E944" s="385"/>
      <c r="F944" s="385"/>
      <c r="G944" s="385"/>
      <c r="H944" s="385">
        <v>2025</v>
      </c>
      <c r="I944" s="386">
        <v>45693</v>
      </c>
      <c r="J944" s="30" t="s">
        <v>5084</v>
      </c>
      <c r="K944" s="385"/>
      <c r="L944" s="385"/>
      <c r="M944" s="385"/>
      <c r="N944" s="385"/>
      <c r="O944" s="385"/>
      <c r="P944" s="385" t="str">
        <f>IFERROR(
    IF(
        OR(ISBLANK(I944), ISBLANK(L944)),
        "",
        MAX(
            1,
            IF(
                NETWORKDAYS(I944, L944, Holiday_Dates) &lt;= 0,
                1,
                NETWORKDAYS(I944, L944, Holiday_Dates) - IF(I944 = L944, 0, 1)
            )
        )
    ),
    ""
)</f>
        <v/>
      </c>
      <c r="Q944" s="385" t="str">
        <f>IF(
    OR(ISBLANK(L944), ISBLANK(M944)),
    "",
    MAX(
        1,
        IF(
            NETWORKDAYS(L944, M944, Holiday_Dates) &lt;= 0,
            1,
            NETWORKDAYS(L944, M944, Holiday_Dates) - IF(L944 = M944, 0, 1)
        )
    )
)</f>
        <v/>
      </c>
      <c r="R944" s="385" t="str">
        <f>IFERROR(
    IF(
        OR(ISBLANK(N944), AND(ISBLANK(L944), ISBLANK(M944))),
        "",
        MAX(
            1,
            IF(
                NETWORKDAYS(IF(NOT(ISBLANK(M944)), M944, L944), N944, Holiday_Dates) &lt;= 0,
                1,
                NETWORKDAYS(IF(NOT(ISBLANK(M944)), M944, L944), N944, Holiday_Dates)
                - IF(IF(NOT(ISBLANK(M944)), M944, L944) = N944, 0, 1)
            )
        )
    ),
    ""
)</f>
        <v/>
      </c>
      <c r="S944" s="385" t="str">
        <f>IFERROR(
    IF(
        OR(ISBLANK(N944), ISBLANK(O944)),
        "",
        MAX(
            1,
            IF(
                NETWORKDAYS(N944, O944, Holiday_Dates) &lt;= 0,
                1,
                NETWORKDAYS(N944, O944, Holiday_Dates) - IF(N944 = O944, 0, 1)
            )
        )
    ),
    ""
)</f>
        <v/>
      </c>
      <c r="T944" s="385"/>
      <c r="U944" s="385" t="s">
        <v>672</v>
      </c>
      <c r="V944" s="385" t="s">
        <v>101</v>
      </c>
      <c r="W944" s="385" t="s">
        <v>1436</v>
      </c>
      <c r="X944" s="1"/>
    </row>
    <row r="945" spans="1:24">
      <c r="A945" s="385" t="s">
        <v>49</v>
      </c>
      <c r="B945" s="385" t="s">
        <v>1309</v>
      </c>
      <c r="C945" s="385" t="s">
        <v>2706</v>
      </c>
      <c r="D945" s="385" t="s">
        <v>88</v>
      </c>
      <c r="E945" s="385"/>
      <c r="F945" s="385"/>
      <c r="G945" s="385"/>
      <c r="H945" s="385">
        <v>2024</v>
      </c>
      <c r="I945" s="386">
        <v>45545</v>
      </c>
      <c r="J945" s="30"/>
      <c r="K945" s="385"/>
      <c r="L945" s="385"/>
      <c r="M945" s="385"/>
      <c r="N945" s="385"/>
      <c r="O945" s="385"/>
      <c r="P945" s="385" t="str">
        <f>IFERROR(
    IF(
        OR(ISBLANK(I945), ISBLANK(L945)),
        "",
        MAX(
            1,
            IF(
                NETWORKDAYS(I945, L945, Holiday_Dates) &lt;= 0,
                1,
                NETWORKDAYS(I945, L945, Holiday_Dates) - IF(I945 = L945, 0, 1)
            )
        )
    ),
    ""
)</f>
        <v/>
      </c>
      <c r="Q945" s="385" t="str">
        <f>IF(
    OR(ISBLANK(L945), ISBLANK(M945)),
    "",
    MAX(
        1,
        IF(
            NETWORKDAYS(L945, M945, Holiday_Dates) &lt;= 0,
            1,
            NETWORKDAYS(L945, M945, Holiday_Dates) - IF(L945 = M945, 0, 1)
        )
    )
)</f>
        <v/>
      </c>
      <c r="R945" s="385" t="str">
        <f>IFERROR(
    IF(
        OR(ISBLANK(N945), AND(ISBLANK(L945), ISBLANK(M945))),
        "",
        MAX(
            1,
            IF(
                NETWORKDAYS(IF(NOT(ISBLANK(M945)), M945, L945), N945, Holiday_Dates) &lt;= 0,
                1,
                NETWORKDAYS(IF(NOT(ISBLANK(M945)), M945, L945), N945, Holiday_Dates)
                - IF(IF(NOT(ISBLANK(M945)), M945, L945) = N945, 0, 1)
            )
        )
    ),
    ""
)</f>
        <v/>
      </c>
      <c r="S945" s="385" t="str">
        <f>IFERROR(
    IF(
        OR(ISBLANK(N945), ISBLANK(O945)),
        "",
        MAX(
            1,
            IF(
                NETWORKDAYS(N945, O945, Holiday_Dates) &lt;= 0,
                1,
                NETWORKDAYS(N945, O945, Holiday_Dates) - IF(N945 = O945, 0, 1)
            )
        )
    ),
    ""
)</f>
        <v/>
      </c>
      <c r="T945" s="385"/>
      <c r="U945" s="385" t="s">
        <v>672</v>
      </c>
      <c r="V945" s="385"/>
      <c r="W945" s="385" t="s">
        <v>1436</v>
      </c>
      <c r="X945" s="1"/>
    </row>
    <row r="946" spans="1:24">
      <c r="A946" s="385" t="s">
        <v>49</v>
      </c>
      <c r="B946" s="385" t="s">
        <v>1309</v>
      </c>
      <c r="C946" s="385" t="s">
        <v>2708</v>
      </c>
      <c r="D946" s="385" t="s">
        <v>88</v>
      </c>
      <c r="E946" s="385"/>
      <c r="F946" s="385"/>
      <c r="G946" s="385"/>
      <c r="H946" s="385">
        <v>2024</v>
      </c>
      <c r="I946" s="386">
        <v>45545</v>
      </c>
      <c r="J946" s="30"/>
      <c r="K946" s="385"/>
      <c r="L946" s="385"/>
      <c r="M946" s="385"/>
      <c r="N946" s="385"/>
      <c r="O946" s="385"/>
      <c r="P946" s="385" t="str">
        <f>IFERROR(
    IF(
        OR(ISBLANK(I946), ISBLANK(L946)),
        "",
        MAX(
            1,
            IF(
                NETWORKDAYS(I946, L946, Holiday_Dates) &lt;= 0,
                1,
                NETWORKDAYS(I946, L946, Holiday_Dates) - IF(I946 = L946, 0, 1)
            )
        )
    ),
    ""
)</f>
        <v/>
      </c>
      <c r="Q946" s="385" t="str">
        <f>IF(
    OR(ISBLANK(L946), ISBLANK(M946)),
    "",
    MAX(
        1,
        IF(
            NETWORKDAYS(L946, M946, Holiday_Dates) &lt;= 0,
            1,
            NETWORKDAYS(L946, M946, Holiday_Dates) - IF(L946 = M946, 0, 1)
        )
    )
)</f>
        <v/>
      </c>
      <c r="R946" s="385" t="str">
        <f>IFERROR(
    IF(
        OR(ISBLANK(N946), AND(ISBLANK(L946), ISBLANK(M946))),
        "",
        MAX(
            1,
            IF(
                NETWORKDAYS(IF(NOT(ISBLANK(M946)), M946, L946), N946, Holiday_Dates) &lt;= 0,
                1,
                NETWORKDAYS(IF(NOT(ISBLANK(M946)), M946, L946), N946, Holiday_Dates)
                - IF(IF(NOT(ISBLANK(M946)), M946, L946) = N946, 0, 1)
            )
        )
    ),
    ""
)</f>
        <v/>
      </c>
      <c r="S946" s="385" t="str">
        <f>IFERROR(
    IF(
        OR(ISBLANK(N946), ISBLANK(O946)),
        "",
        MAX(
            1,
            IF(
                NETWORKDAYS(N946, O946, Holiday_Dates) &lt;= 0,
                1,
                NETWORKDAYS(N946, O946, Holiday_Dates) - IF(N946 = O946, 0, 1)
            )
        )
    ),
    ""
)</f>
        <v/>
      </c>
      <c r="T946" s="385"/>
      <c r="U946" s="385" t="s">
        <v>672</v>
      </c>
      <c r="V946" s="385" t="s">
        <v>101</v>
      </c>
      <c r="W946" s="385" t="s">
        <v>1436</v>
      </c>
      <c r="X946" s="1"/>
    </row>
    <row r="947" spans="1:24">
      <c r="A947" s="385" t="s">
        <v>65</v>
      </c>
      <c r="B947" s="385" t="s">
        <v>514</v>
      </c>
      <c r="C947" s="385" t="s">
        <v>3127</v>
      </c>
      <c r="D947" s="385" t="s">
        <v>88</v>
      </c>
      <c r="E947" s="385" t="s">
        <v>26</v>
      </c>
      <c r="F947" s="385"/>
      <c r="G947" s="385" t="s">
        <v>130</v>
      </c>
      <c r="H947" s="385">
        <v>2026</v>
      </c>
      <c r="I947" s="385"/>
      <c r="J947" s="30" t="s">
        <v>5085</v>
      </c>
      <c r="K947" s="388" t="s">
        <v>45</v>
      </c>
      <c r="L947" s="385"/>
      <c r="M947" s="385"/>
      <c r="N947" s="385"/>
      <c r="O947" s="385"/>
      <c r="P947" s="385" t="str">
        <f>IFERROR(
    IF(
        OR(ISBLANK(I947), ISBLANK(L947)),
        "",
        MAX(
            1,
            IF(
                NETWORKDAYS(I947, L947, Holiday_Dates) &lt;= 0,
                1,
                NETWORKDAYS(I947, L947, Holiday_Dates) - IF(I947 = L947, 0, 1)
            )
        )
    ),
    ""
)</f>
        <v/>
      </c>
      <c r="Q947" s="385" t="str">
        <f>IF(
    OR(ISBLANK(L947), ISBLANK(M947)),
    "",
    MAX(
        1,
        IF(
            NETWORKDAYS(L947, M947, Holiday_Dates) &lt;= 0,
            1,
            NETWORKDAYS(L947, M947, Holiday_Dates) - IF(L947 = M947, 0, 1)
        )
    )
)</f>
        <v/>
      </c>
      <c r="R947" s="385" t="str">
        <f>IFERROR(
    IF(
        OR(ISBLANK(N947), AND(ISBLANK(L947), ISBLANK(M947))),
        "",
        MAX(
            1,
            IF(
                NETWORKDAYS(IF(NOT(ISBLANK(M947)), M947, L947), N947, Holiday_Dates) &lt;= 0,
                1,
                NETWORKDAYS(IF(NOT(ISBLANK(M947)), M947, L947), N947, Holiday_Dates)
                - IF(IF(NOT(ISBLANK(M947)), M947, L947) = N947, 0, 1)
            )
        )
    ),
    ""
)</f>
        <v/>
      </c>
      <c r="S947" s="385" t="str">
        <f>IFERROR(
    IF(
        OR(ISBLANK(N947), ISBLANK(O947)),
        "",
        MAX(
            1,
            IF(
                NETWORKDAYS(N947, O947, Holiday_Dates) &lt;= 0,
                1,
                NETWORKDAYS(N947, O947, Holiday_Dates) - IF(N947 = O947, 0, 1)
            )
        )
    ),
    ""
)</f>
        <v/>
      </c>
      <c r="T947" s="385"/>
      <c r="U947" s="385"/>
      <c r="V947" s="385"/>
      <c r="W947" s="385" t="s">
        <v>4710</v>
      </c>
      <c r="X947" s="1"/>
    </row>
    <row r="948" spans="1:24">
      <c r="A948" s="385" t="s">
        <v>65</v>
      </c>
      <c r="B948" s="385" t="s">
        <v>516</v>
      </c>
      <c r="C948" s="385" t="s">
        <v>3204</v>
      </c>
      <c r="D948" s="385" t="s">
        <v>89</v>
      </c>
      <c r="E948" s="385" t="s">
        <v>29</v>
      </c>
      <c r="F948" s="597"/>
      <c r="G948" s="597" t="s">
        <v>130</v>
      </c>
      <c r="H948" s="597">
        <v>2026</v>
      </c>
      <c r="I948" s="657">
        <v>46084</v>
      </c>
      <c r="J948" s="598" t="s">
        <v>5086</v>
      </c>
      <c r="K948" s="388" t="s">
        <v>45</v>
      </c>
      <c r="L948" s="386">
        <v>46088</v>
      </c>
      <c r="M948" s="385"/>
      <c r="N948" s="386">
        <v>46091</v>
      </c>
      <c r="O948" s="386">
        <v>46093</v>
      </c>
      <c r="P948" s="385">
        <f>IFERROR(
    IF(
        OR(ISBLANK(I948), ISBLANK(L948)),
        "",
        MAX(
            1,
            IF(
                NETWORKDAYS(I948, L948, Holiday_Dates) &lt;= 0,
                1,
                NETWORKDAYS(I948, L948, Holiday_Dates) - IF(I948 = L948, 0, 1)
            )
        )
    ),
    ""
)</f>
        <v>3</v>
      </c>
      <c r="Q948" s="385" t="str">
        <f>IF(
    OR(ISBLANK(L948), ISBLANK(M948)),
    "",
    MAX(
        1,
        IF(
            NETWORKDAYS(L948, M948, Holiday_Dates) &lt;= 0,
            1,
            NETWORKDAYS(L948, M948, Holiday_Dates) - IF(L948 = M948, 0, 1)
        )
    )
)</f>
        <v/>
      </c>
      <c r="R948" s="385">
        <f>IFERROR(
    IF(
        OR(ISBLANK(N948), AND(ISBLANK(L948), ISBLANK(M948))),
        "",
        MAX(
            1,
            IF(
                NETWORKDAYS(IF(NOT(ISBLANK(M948)), M948, L948), N948, Holiday_Dates) &lt;= 0,
                1,
                NETWORKDAYS(IF(NOT(ISBLANK(M948)), M948, L948), N948, Holiday_Dates)
                - IF(IF(NOT(ISBLANK(M948)), M948, L948) = N948, 0, 1)
            )
        )
    ),
    ""
)</f>
        <v>1</v>
      </c>
      <c r="S948" s="385">
        <f>IFERROR(
    IF(
        OR(ISBLANK(N948), ISBLANK(O948)),
        "",
        MAX(
            1,
            IF(
                NETWORKDAYS(N948, O948, Holiday_Dates) &lt;= 0,
                1,
                NETWORKDAYS(N948, O948, Holiday_Dates) - IF(N948 = O948, 0, 1)
            )
        )
    ),
    ""
)</f>
        <v>2</v>
      </c>
      <c r="T948" s="385"/>
      <c r="U948" s="385" t="s">
        <v>672</v>
      </c>
      <c r="V948" s="385" t="s">
        <v>685</v>
      </c>
      <c r="W948" s="385" t="s">
        <v>4710</v>
      </c>
      <c r="X948" s="1"/>
    </row>
    <row r="949" spans="1:24">
      <c r="A949" s="385" t="s">
        <v>49</v>
      </c>
      <c r="B949" s="385" t="s">
        <v>1309</v>
      </c>
      <c r="C949" s="385" t="s">
        <v>2712</v>
      </c>
      <c r="D949" s="385" t="s">
        <v>88</v>
      </c>
      <c r="E949" s="385"/>
      <c r="F949" s="385"/>
      <c r="G949" s="385"/>
      <c r="H949" s="385">
        <v>2024</v>
      </c>
      <c r="I949" s="386">
        <v>45482</v>
      </c>
      <c r="J949" s="30"/>
      <c r="K949" s="385"/>
      <c r="L949" s="385"/>
      <c r="M949" s="385"/>
      <c r="N949" s="385"/>
      <c r="O949" s="385"/>
      <c r="P949" s="385" t="str">
        <f>IFERROR(
    IF(
        OR(ISBLANK(I949), ISBLANK(L949)),
        "",
        MAX(
            1,
            IF(
                NETWORKDAYS(I949, L949, Holiday_Dates) &lt;= 0,
                1,
                NETWORKDAYS(I949, L949, Holiday_Dates) - IF(I949 = L949, 0, 1)
            )
        )
    ),
    ""
)</f>
        <v/>
      </c>
      <c r="Q949" s="385" t="str">
        <f>IF(
    OR(ISBLANK(L949), ISBLANK(M949)),
    "",
    MAX(
        1,
        IF(
            NETWORKDAYS(L949, M949, Holiday_Dates) &lt;= 0,
            1,
            NETWORKDAYS(L949, M949, Holiday_Dates) - IF(L949 = M949, 0, 1)
        )
    )
)</f>
        <v/>
      </c>
      <c r="R949" s="385" t="str">
        <f>IFERROR(
    IF(
        OR(ISBLANK(N949), AND(ISBLANK(L949), ISBLANK(M949))),
        "",
        MAX(
            1,
            IF(
                NETWORKDAYS(IF(NOT(ISBLANK(M949)), M949, L949), N949, Holiday_Dates) &lt;= 0,
                1,
                NETWORKDAYS(IF(NOT(ISBLANK(M949)), M949, L949), N949, Holiday_Dates)
                - IF(IF(NOT(ISBLANK(M949)), M949, L949) = N949, 0, 1)
            )
        )
    ),
    ""
)</f>
        <v/>
      </c>
      <c r="S949" s="385" t="str">
        <f>IFERROR(
    IF(
        OR(ISBLANK(N949), ISBLANK(O949)),
        "",
        MAX(
            1,
            IF(
                NETWORKDAYS(N949, O949, Holiday_Dates) &lt;= 0,
                1,
                NETWORKDAYS(N949, O949, Holiday_Dates) - IF(N949 = O949, 0, 1)
            )
        )
    ),
    ""
)</f>
        <v/>
      </c>
      <c r="T949" s="385"/>
      <c r="U949" s="385" t="s">
        <v>4</v>
      </c>
      <c r="V949" s="385" t="s">
        <v>101</v>
      </c>
      <c r="W949" s="385" t="s">
        <v>1436</v>
      </c>
      <c r="X949" s="1"/>
    </row>
    <row r="950" spans="1:24">
      <c r="A950" s="385" t="s">
        <v>65</v>
      </c>
      <c r="B950" s="385" t="s">
        <v>516</v>
      </c>
      <c r="C950" s="385" t="s">
        <v>3205</v>
      </c>
      <c r="D950" s="385" t="s">
        <v>89</v>
      </c>
      <c r="E950" s="385" t="s">
        <v>29</v>
      </c>
      <c r="F950" s="597"/>
      <c r="G950" s="597" t="s">
        <v>130</v>
      </c>
      <c r="H950" s="597">
        <v>2026</v>
      </c>
      <c r="I950" s="657">
        <v>46084</v>
      </c>
      <c r="J950" s="598" t="s">
        <v>5087</v>
      </c>
      <c r="K950" s="388" t="s">
        <v>45</v>
      </c>
      <c r="L950" s="386">
        <v>46088</v>
      </c>
      <c r="M950" s="385"/>
      <c r="N950" s="386">
        <v>46091</v>
      </c>
      <c r="O950" s="386">
        <v>46093</v>
      </c>
      <c r="P950" s="385">
        <f>IFERROR(
    IF(
        OR(ISBLANK(I950), ISBLANK(L950)),
        "",
        MAX(
            1,
            IF(
                NETWORKDAYS(I950, L950, Holiday_Dates) &lt;= 0,
                1,
                NETWORKDAYS(I950, L950, Holiday_Dates) - IF(I950 = L950, 0, 1)
            )
        )
    ),
    ""
)</f>
        <v>3</v>
      </c>
      <c r="Q950" s="385" t="str">
        <f>IF(
    OR(ISBLANK(L950), ISBLANK(M950)),
    "",
    MAX(
        1,
        IF(
            NETWORKDAYS(L950, M950, Holiday_Dates) &lt;= 0,
            1,
            NETWORKDAYS(L950, M950, Holiday_Dates) - IF(L950 = M950, 0, 1)
        )
    )
)</f>
        <v/>
      </c>
      <c r="R950" s="385">
        <f>IFERROR(
    IF(
        OR(ISBLANK(N950), AND(ISBLANK(L950), ISBLANK(M950))),
        "",
        MAX(
            1,
            IF(
                NETWORKDAYS(IF(NOT(ISBLANK(M950)), M950, L950), N950, Holiday_Dates) &lt;= 0,
                1,
                NETWORKDAYS(IF(NOT(ISBLANK(M950)), M950, L950), N950, Holiday_Dates)
                - IF(IF(NOT(ISBLANK(M950)), M950, L950) = N950, 0, 1)
            )
        )
    ),
    ""
)</f>
        <v>1</v>
      </c>
      <c r="S950" s="385">
        <f>IFERROR(
    IF(
        OR(ISBLANK(N950), ISBLANK(O950)),
        "",
        MAX(
            1,
            IF(
                NETWORKDAYS(N950, O950, Holiday_Dates) &lt;= 0,
                1,
                NETWORKDAYS(N950, O950, Holiday_Dates) - IF(N950 = O950, 0, 1)
            )
        )
    ),
    ""
)</f>
        <v>2</v>
      </c>
      <c r="T950" s="385" t="s">
        <v>929</v>
      </c>
      <c r="U950" s="385" t="s">
        <v>672</v>
      </c>
      <c r="V950" s="385" t="s">
        <v>685</v>
      </c>
      <c r="W950" s="385" t="s">
        <v>4710</v>
      </c>
      <c r="X950" s="1"/>
    </row>
    <row r="951" spans="1:24">
      <c r="A951" s="385" t="s">
        <v>49</v>
      </c>
      <c r="B951" s="385" t="s">
        <v>1309</v>
      </c>
      <c r="C951" s="385" t="s">
        <v>783</v>
      </c>
      <c r="D951" s="385" t="s">
        <v>88</v>
      </c>
      <c r="E951" s="385"/>
      <c r="F951" s="385"/>
      <c r="G951" s="385"/>
      <c r="H951" s="385">
        <v>2025</v>
      </c>
      <c r="I951" s="386">
        <v>45883</v>
      </c>
      <c r="J951" s="30" t="s">
        <v>5088</v>
      </c>
      <c r="K951" s="385"/>
      <c r="L951" s="385"/>
      <c r="M951" s="385"/>
      <c r="N951" s="385"/>
      <c r="O951" s="385"/>
      <c r="P951" s="385" t="str">
        <f>IFERROR(
    IF(
        OR(ISBLANK(I951), ISBLANK(L951)),
        "",
        MAX(
            1,
            IF(
                NETWORKDAYS(I951, L951, Holiday_Dates) &lt;= 0,
                1,
                NETWORKDAYS(I951, L951, Holiday_Dates) - IF(I951 = L951, 0, 1)
            )
        )
    ),
    ""
)</f>
        <v/>
      </c>
      <c r="Q951" s="385" t="str">
        <f>IF(
    OR(ISBLANK(L951), ISBLANK(M951)),
    "",
    MAX(
        1,
        IF(
            NETWORKDAYS(L951, M951, Holiday_Dates) &lt;= 0,
            1,
            NETWORKDAYS(L951, M951, Holiday_Dates) - IF(L951 = M951, 0, 1)
        )
    )
)</f>
        <v/>
      </c>
      <c r="R951" s="385" t="str">
        <f>IFERROR(
    IF(
        OR(ISBLANK(N951), AND(ISBLANK(L951), ISBLANK(M951))),
        "",
        MAX(
            1,
            IF(
                NETWORKDAYS(IF(NOT(ISBLANK(M951)), M951, L951), N951, Holiday_Dates) &lt;= 0,
                1,
                NETWORKDAYS(IF(NOT(ISBLANK(M951)), M951, L951), N951, Holiday_Dates)
                - IF(IF(NOT(ISBLANK(M951)), M951, L951) = N951, 0, 1)
            )
        )
    ),
    ""
)</f>
        <v/>
      </c>
      <c r="S951" s="385" t="str">
        <f>IFERROR(
    IF(
        OR(ISBLANK(N951), ISBLANK(O951)),
        "",
        MAX(
            1,
            IF(
                NETWORKDAYS(N951, O951, Holiday_Dates) &lt;= 0,
                1,
                NETWORKDAYS(N951, O951, Holiday_Dates) - IF(N951 = O951, 0, 1)
            )
        )
    ),
    ""
)</f>
        <v/>
      </c>
      <c r="T951" s="385"/>
      <c r="U951" s="385" t="s">
        <v>672</v>
      </c>
      <c r="V951" s="385" t="s">
        <v>101</v>
      </c>
      <c r="W951" s="385" t="s">
        <v>1436</v>
      </c>
      <c r="X951" s="1"/>
    </row>
    <row r="952" spans="1:24">
      <c r="A952" s="385" t="s">
        <v>65</v>
      </c>
      <c r="B952" s="385" t="s">
        <v>516</v>
      </c>
      <c r="C952" s="385" t="s">
        <v>3206</v>
      </c>
      <c r="D952" s="385" t="s">
        <v>89</v>
      </c>
      <c r="E952" s="385" t="s">
        <v>29</v>
      </c>
      <c r="F952" s="597"/>
      <c r="G952" s="597" t="s">
        <v>130</v>
      </c>
      <c r="H952" s="597"/>
      <c r="I952" s="597"/>
      <c r="J952" s="598"/>
      <c r="K952" s="388" t="s">
        <v>45</v>
      </c>
      <c r="L952" s="385"/>
      <c r="M952" s="385"/>
      <c r="N952" s="385"/>
      <c r="O952" s="385"/>
      <c r="P952" s="385" t="str">
        <f>IFERROR(
    IF(
        OR(ISBLANK(I952), ISBLANK(L952)),
        "",
        MAX(
            1,
            IF(
                NETWORKDAYS(I952, L952, Holiday_Dates) &lt;= 0,
                1,
                NETWORKDAYS(I952, L952, Holiday_Dates) - IF(I952 = L952, 0, 1)
            )
        )
    ),
    ""
)</f>
        <v/>
      </c>
      <c r="Q952" s="385" t="str">
        <f>IF(
    OR(ISBLANK(L952), ISBLANK(M952)),
    "",
    MAX(
        1,
        IF(
            NETWORKDAYS(L952, M952, Holiday_Dates) &lt;= 0,
            1,
            NETWORKDAYS(L952, M952, Holiday_Dates) - IF(L952 = M952, 0, 1)
        )
    )
)</f>
        <v/>
      </c>
      <c r="R952" s="385" t="str">
        <f>IFERROR(
    IF(
        OR(ISBLANK(N952), AND(ISBLANK(L952), ISBLANK(M952))),
        "",
        MAX(
            1,
            IF(
                NETWORKDAYS(IF(NOT(ISBLANK(M952)), M952, L952), N952, Holiday_Dates) &lt;= 0,
                1,
                NETWORKDAYS(IF(NOT(ISBLANK(M952)), M952, L952), N952, Holiday_Dates)
                - IF(IF(NOT(ISBLANK(M952)), M952, L952) = N952, 0, 1)
            )
        )
    ),
    ""
)</f>
        <v/>
      </c>
      <c r="S952" s="385" t="str">
        <f>IFERROR(
    IF(
        OR(ISBLANK(N952), ISBLANK(O952)),
        "",
        MAX(
            1,
            IF(
                NETWORKDAYS(N952, O952, Holiday_Dates) &lt;= 0,
                1,
                NETWORKDAYS(N952, O952, Holiday_Dates) - IF(N952 = O952, 0, 1)
            )
        )
    ),
    ""
)</f>
        <v/>
      </c>
      <c r="T952" s="385"/>
      <c r="U952" s="385"/>
      <c r="V952" s="385"/>
      <c r="W952" s="385" t="s">
        <v>4710</v>
      </c>
      <c r="X952" s="1"/>
    </row>
    <row r="953" spans="1:24">
      <c r="A953" s="385" t="s">
        <v>65</v>
      </c>
      <c r="B953" s="385" t="s">
        <v>516</v>
      </c>
      <c r="C953" s="385" t="s">
        <v>3207</v>
      </c>
      <c r="D953" s="385" t="s">
        <v>89</v>
      </c>
      <c r="E953" s="385" t="s">
        <v>29</v>
      </c>
      <c r="F953" s="597"/>
      <c r="G953" s="597" t="s">
        <v>130</v>
      </c>
      <c r="H953" s="597">
        <v>2026</v>
      </c>
      <c r="I953" s="657">
        <v>46084</v>
      </c>
      <c r="J953" s="598" t="s">
        <v>5089</v>
      </c>
      <c r="K953" s="388" t="s">
        <v>45</v>
      </c>
      <c r="L953" s="386">
        <v>46088</v>
      </c>
      <c r="M953" s="385"/>
      <c r="N953" s="386">
        <v>46091</v>
      </c>
      <c r="O953" s="386">
        <v>46093</v>
      </c>
      <c r="P953" s="385">
        <f>IFERROR(
    IF(
        OR(ISBLANK(I953), ISBLANK(L953)),
        "",
        MAX(
            1,
            IF(
                NETWORKDAYS(I953, L953, Holiday_Dates) &lt;= 0,
                1,
                NETWORKDAYS(I953, L953, Holiday_Dates) - IF(I953 = L953, 0, 1)
            )
        )
    ),
    ""
)</f>
        <v>3</v>
      </c>
      <c r="Q953" s="385" t="str">
        <f>IF(
    OR(ISBLANK(L953), ISBLANK(M953)),
    "",
    MAX(
        1,
        IF(
            NETWORKDAYS(L953, M953, Holiday_Dates) &lt;= 0,
            1,
            NETWORKDAYS(L953, M953, Holiday_Dates) - IF(L953 = M953, 0, 1)
        )
    )
)</f>
        <v/>
      </c>
      <c r="R953" s="385">
        <f>IFERROR(
    IF(
        OR(ISBLANK(N953), AND(ISBLANK(L953), ISBLANK(M953))),
        "",
        MAX(
            1,
            IF(
                NETWORKDAYS(IF(NOT(ISBLANK(M953)), M953, L953), N953, Holiday_Dates) &lt;= 0,
                1,
                NETWORKDAYS(IF(NOT(ISBLANK(M953)), M953, L953), N953, Holiday_Dates)
                - IF(IF(NOT(ISBLANK(M953)), M953, L953) = N953, 0, 1)
            )
        )
    ),
    ""
)</f>
        <v>1</v>
      </c>
      <c r="S953" s="385" t="s">
        <v>672</v>
      </c>
      <c r="T953" s="385" t="s">
        <v>929</v>
      </c>
      <c r="U953" s="385" t="s">
        <v>672</v>
      </c>
      <c r="V953" s="385" t="s">
        <v>685</v>
      </c>
      <c r="W953" s="385" t="s">
        <v>4710</v>
      </c>
      <c r="X953" s="1"/>
    </row>
    <row r="954" spans="1:24">
      <c r="A954" s="385" t="s">
        <v>49</v>
      </c>
      <c r="B954" s="385" t="s">
        <v>1309</v>
      </c>
      <c r="C954" s="385" t="s">
        <v>2390</v>
      </c>
      <c r="D954" s="385" t="s">
        <v>88</v>
      </c>
      <c r="E954" s="385"/>
      <c r="F954" s="385"/>
      <c r="G954" s="385"/>
      <c r="H954" s="385">
        <v>2024</v>
      </c>
      <c r="I954" s="386">
        <v>45482</v>
      </c>
      <c r="J954" s="30"/>
      <c r="K954" s="385"/>
      <c r="L954" s="385"/>
      <c r="M954" s="385"/>
      <c r="N954" s="385"/>
      <c r="O954" s="385"/>
      <c r="P954" s="385" t="str">
        <f>IFERROR(
    IF(
        OR(ISBLANK(I954), ISBLANK(L954)),
        "",
        MAX(
            1,
            IF(
                NETWORKDAYS(I954, L954, Holiday_Dates) &lt;= 0,
                1,
                NETWORKDAYS(I954, L954, Holiday_Dates) - IF(I954 = L954, 0, 1)
            )
        )
    ),
    ""
)</f>
        <v/>
      </c>
      <c r="Q954" s="385" t="str">
        <f>IF(
    OR(ISBLANK(L954), ISBLANK(M954)),
    "",
    MAX(
        1,
        IF(
            NETWORKDAYS(L954, M954, Holiday_Dates) &lt;= 0,
            1,
            NETWORKDAYS(L954, M954, Holiday_Dates) - IF(L954 = M954, 0, 1)
        )
    )
)</f>
        <v/>
      </c>
      <c r="R954" s="385" t="str">
        <f>IFERROR(
    IF(
        OR(ISBLANK(N954), AND(ISBLANK(L954), ISBLANK(M954))),
        "",
        MAX(
            1,
            IF(
                NETWORKDAYS(IF(NOT(ISBLANK(M954)), M954, L954), N954, Holiday_Dates) &lt;= 0,
                1,
                NETWORKDAYS(IF(NOT(ISBLANK(M954)), M954, L954), N954, Holiday_Dates)
                - IF(IF(NOT(ISBLANK(M954)), M954, L954) = N954, 0, 1)
            )
        )
    ),
    ""
)</f>
        <v/>
      </c>
      <c r="S954" s="385" t="str">
        <f>IFERROR(
    IF(
        OR(ISBLANK(N954), ISBLANK(O954)),
        "",
        MAX(
            1,
            IF(
                NETWORKDAYS(N954, O954, Holiday_Dates) &lt;= 0,
                1,
                NETWORKDAYS(N954, O954, Holiday_Dates) - IF(N954 = O954, 0, 1)
            )
        )
    ),
    ""
)</f>
        <v/>
      </c>
      <c r="T954" s="385"/>
      <c r="U954" s="385" t="s">
        <v>4</v>
      </c>
      <c r="V954" s="385" t="s">
        <v>101</v>
      </c>
      <c r="W954" s="385" t="s">
        <v>1436</v>
      </c>
      <c r="X954" s="1"/>
    </row>
    <row r="955" spans="1:24">
      <c r="A955" s="385" t="s">
        <v>65</v>
      </c>
      <c r="B955" s="385" t="s">
        <v>516</v>
      </c>
      <c r="C955" s="385" t="s">
        <v>3208</v>
      </c>
      <c r="D955" s="385" t="s">
        <v>89</v>
      </c>
      <c r="E955" s="385" t="s">
        <v>29</v>
      </c>
      <c r="F955" s="385"/>
      <c r="G955" s="385" t="s">
        <v>130</v>
      </c>
      <c r="H955" s="597">
        <v>2026</v>
      </c>
      <c r="I955" s="657">
        <v>46084</v>
      </c>
      <c r="J955" s="30" t="s">
        <v>5090</v>
      </c>
      <c r="K955" s="388" t="s">
        <v>45</v>
      </c>
      <c r="L955" s="386">
        <v>46088</v>
      </c>
      <c r="M955" s="385"/>
      <c r="N955" s="386">
        <v>46091</v>
      </c>
      <c r="O955" s="386">
        <v>46093</v>
      </c>
      <c r="P955" s="385">
        <f>IFERROR(
    IF(
        OR(ISBLANK(I955), ISBLANK(L955)),
        "",
        MAX(
            1,
            IF(
                NETWORKDAYS(I955, L955, Holiday_Dates) &lt;= 0,
                1,
                NETWORKDAYS(I955, L955, Holiday_Dates) - IF(I955 = L955, 0, 1)
            )
        )
    ),
    ""
)</f>
        <v>3</v>
      </c>
      <c r="Q955" s="385" t="str">
        <f>IF(
    OR(ISBLANK(L955), ISBLANK(M955)),
    "",
    MAX(
        1,
        IF(
            NETWORKDAYS(L955, M955, Holiday_Dates) &lt;= 0,
            1,
            NETWORKDAYS(L955, M955, Holiday_Dates) - IF(L955 = M955, 0, 1)
        )
    )
)</f>
        <v/>
      </c>
      <c r="R955" s="385">
        <f>IFERROR(
    IF(
        OR(ISBLANK(N955), AND(ISBLANK(L955), ISBLANK(M955))),
        "",
        MAX(
            1,
            IF(
                NETWORKDAYS(IF(NOT(ISBLANK(M955)), M955, L955), N955, Holiday_Dates) &lt;= 0,
                1,
                NETWORKDAYS(IF(NOT(ISBLANK(M955)), M955, L955), N955, Holiday_Dates)
                - IF(IF(NOT(ISBLANK(M955)), M955, L955) = N955, 0, 1)
            )
        )
    ),
    ""
)</f>
        <v>1</v>
      </c>
      <c r="S955" s="385" t="s">
        <v>672</v>
      </c>
      <c r="T955" s="385"/>
      <c r="U955" s="385" t="s">
        <v>672</v>
      </c>
      <c r="V955" s="385" t="s">
        <v>685</v>
      </c>
      <c r="W955" s="385" t="s">
        <v>4710</v>
      </c>
      <c r="X955" s="1"/>
    </row>
    <row r="956" spans="1:24">
      <c r="A956" s="385" t="s">
        <v>49</v>
      </c>
      <c r="B956" s="385" t="s">
        <v>1309</v>
      </c>
      <c r="C956" s="385" t="s">
        <v>653</v>
      </c>
      <c r="D956" s="385" t="s">
        <v>88</v>
      </c>
      <c r="E956" s="385"/>
      <c r="F956" s="385"/>
      <c r="G956" s="385"/>
      <c r="H956" s="385">
        <v>2025</v>
      </c>
      <c r="I956" s="386">
        <v>45883</v>
      </c>
      <c r="J956" s="30" t="s">
        <v>5091</v>
      </c>
      <c r="K956" s="385"/>
      <c r="L956" s="385"/>
      <c r="M956" s="385"/>
      <c r="N956" s="385"/>
      <c r="O956" s="385"/>
      <c r="P956" s="385" t="str">
        <f>IFERROR(
    IF(
        OR(ISBLANK(I956), ISBLANK(L956)),
        "",
        MAX(
            1,
            IF(
                NETWORKDAYS(I956, L956, Holiday_Dates) &lt;= 0,
                1,
                NETWORKDAYS(I956, L956, Holiday_Dates) - IF(I956 = L956, 0, 1)
            )
        )
    ),
    ""
)</f>
        <v/>
      </c>
      <c r="Q956" s="385" t="str">
        <f>IF(
    OR(ISBLANK(L956), ISBLANK(M956)),
    "",
    MAX(
        1,
        IF(
            NETWORKDAYS(L956, M956, Holiday_Dates) &lt;= 0,
            1,
            NETWORKDAYS(L956, M956, Holiday_Dates) - IF(L956 = M956, 0, 1)
        )
    )
)</f>
        <v/>
      </c>
      <c r="R956" s="385" t="str">
        <f>IFERROR(
    IF(
        OR(ISBLANK(N956), AND(ISBLANK(L956), ISBLANK(M956))),
        "",
        MAX(
            1,
            IF(
                NETWORKDAYS(IF(NOT(ISBLANK(M956)), M956, L956), N956, Holiday_Dates) &lt;= 0,
                1,
                NETWORKDAYS(IF(NOT(ISBLANK(M956)), M956, L956), N956, Holiday_Dates)
                - IF(IF(NOT(ISBLANK(M956)), M956, L956) = N956, 0, 1)
            )
        )
    ),
    ""
)</f>
        <v/>
      </c>
      <c r="S956" s="385" t="str">
        <f>IFERROR(
    IF(
        OR(ISBLANK(N956), ISBLANK(O956)),
        "",
        MAX(
            1,
            IF(
                NETWORKDAYS(N956, O956, Holiday_Dates) &lt;= 0,
                1,
                NETWORKDAYS(N956, O956, Holiday_Dates) - IF(N956 = O956, 0, 1)
            )
        )
    ),
    ""
)</f>
        <v/>
      </c>
      <c r="T956" s="385"/>
      <c r="U956" s="385" t="s">
        <v>672</v>
      </c>
      <c r="V956" s="385" t="s">
        <v>101</v>
      </c>
      <c r="W956" s="385" t="s">
        <v>1436</v>
      </c>
      <c r="X956" s="1"/>
    </row>
    <row r="957" spans="1:24">
      <c r="A957" s="385" t="s">
        <v>65</v>
      </c>
      <c r="B957" s="385" t="s">
        <v>516</v>
      </c>
      <c r="C957" s="385" t="s">
        <v>3209</v>
      </c>
      <c r="D957" s="385" t="s">
        <v>89</v>
      </c>
      <c r="E957" s="385" t="s">
        <v>29</v>
      </c>
      <c r="F957" s="385"/>
      <c r="G957" s="385" t="s">
        <v>130</v>
      </c>
      <c r="H957" s="597">
        <v>2026</v>
      </c>
      <c r="I957" s="657">
        <v>46084</v>
      </c>
      <c r="J957" s="30" t="s">
        <v>5092</v>
      </c>
      <c r="K957" s="388" t="s">
        <v>45</v>
      </c>
      <c r="L957" s="386">
        <v>46088</v>
      </c>
      <c r="M957" s="385"/>
      <c r="N957" s="386">
        <v>46091</v>
      </c>
      <c r="O957" s="386">
        <v>46093</v>
      </c>
      <c r="P957" s="385">
        <f>IFERROR(
    IF(
        OR(ISBLANK(I957), ISBLANK(L957)),
        "",
        MAX(
            1,
            IF(
                NETWORKDAYS(I957, L957, Holiday_Dates) &lt;= 0,
                1,
                NETWORKDAYS(I957, L957, Holiday_Dates) - IF(I957 = L957, 0, 1)
            )
        )
    ),
    ""
)</f>
        <v>3</v>
      </c>
      <c r="Q957" s="385" t="str">
        <f>IF(
    OR(ISBLANK(L957), ISBLANK(M957)),
    "",
    MAX(
        1,
        IF(
            NETWORKDAYS(L957, M957, Holiday_Dates) &lt;= 0,
            1,
            NETWORKDAYS(L957, M957, Holiday_Dates) - IF(L957 = M957, 0, 1)
        )
    )
)</f>
        <v/>
      </c>
      <c r="R957" s="385">
        <f>IFERROR(
    IF(
        OR(ISBLANK(N957), AND(ISBLANK(L957), ISBLANK(M957))),
        "",
        MAX(
            1,
            IF(
                NETWORKDAYS(IF(NOT(ISBLANK(M957)), M957, L957), N957, Holiday_Dates) &lt;= 0,
                1,
                NETWORKDAYS(IF(NOT(ISBLANK(M957)), M957, L957), N957, Holiday_Dates)
                - IF(IF(NOT(ISBLANK(M957)), M957, L957) = N957, 0, 1)
            )
        )
    ),
    ""
)</f>
        <v>1</v>
      </c>
      <c r="S957" s="385" t="s">
        <v>672</v>
      </c>
      <c r="T957" s="385"/>
      <c r="U957" s="385" t="s">
        <v>672</v>
      </c>
      <c r="V957" s="385" t="s">
        <v>685</v>
      </c>
      <c r="W957" s="385" t="s">
        <v>4710</v>
      </c>
      <c r="X957" s="1"/>
    </row>
    <row r="958" spans="1:24">
      <c r="A958" s="385" t="s">
        <v>65</v>
      </c>
      <c r="B958" s="385" t="s">
        <v>516</v>
      </c>
      <c r="C958" s="385" t="s">
        <v>3203</v>
      </c>
      <c r="D958" s="385" t="s">
        <v>89</v>
      </c>
      <c r="E958" s="385" t="s">
        <v>29</v>
      </c>
      <c r="F958" s="385"/>
      <c r="G958" s="385" t="s">
        <v>130</v>
      </c>
      <c r="H958" s="597">
        <v>2026</v>
      </c>
      <c r="I958" s="657">
        <v>46084</v>
      </c>
      <c r="J958" s="30" t="s">
        <v>5093</v>
      </c>
      <c r="K958" s="388" t="s">
        <v>45</v>
      </c>
      <c r="L958" s="386">
        <v>46088</v>
      </c>
      <c r="M958" s="385"/>
      <c r="N958" s="386">
        <v>46091</v>
      </c>
      <c r="O958" s="386">
        <v>46093</v>
      </c>
      <c r="P958" s="385">
        <f>IFERROR(
    IF(
        OR(ISBLANK(I958), ISBLANK(L958)),
        "",
        MAX(
            1,
            IF(
                NETWORKDAYS(I958, L958, Holiday_Dates) &lt;= 0,
                1,
                NETWORKDAYS(I958, L958, Holiday_Dates) - IF(I958 = L958, 0, 1)
            )
        )
    ),
    ""
)</f>
        <v>3</v>
      </c>
      <c r="Q958" s="385" t="str">
        <f>IF(
    OR(ISBLANK(L958), ISBLANK(M958)),
    "",
    MAX(
        1,
        IF(
            NETWORKDAYS(L958, M958, Holiday_Dates) &lt;= 0,
            1,
            NETWORKDAYS(L958, M958, Holiday_Dates) - IF(L958 = M958, 0, 1)
        )
    )
)</f>
        <v/>
      </c>
      <c r="R958" s="385">
        <f>IFERROR(
    IF(
        OR(ISBLANK(N958), AND(ISBLANK(L958), ISBLANK(M958))),
        "",
        MAX(
            1,
            IF(
                NETWORKDAYS(IF(NOT(ISBLANK(M958)), M958, L958), N958, Holiday_Dates) &lt;= 0,
                1,
                NETWORKDAYS(IF(NOT(ISBLANK(M958)), M958, L958), N958, Holiday_Dates)
                - IF(IF(NOT(ISBLANK(M958)), M958, L958) = N958, 0, 1)
            )
        )
    ),
    ""
)</f>
        <v>1</v>
      </c>
      <c r="S958" s="385" t="s">
        <v>672</v>
      </c>
      <c r="T958" s="385"/>
      <c r="U958" s="385" t="s">
        <v>672</v>
      </c>
      <c r="V958" s="385"/>
      <c r="W958" s="385" t="s">
        <v>4710</v>
      </c>
      <c r="X958" s="1"/>
    </row>
    <row r="959" spans="1:24">
      <c r="A959" s="385" t="s">
        <v>52</v>
      </c>
      <c r="B959" s="385" t="s">
        <v>368</v>
      </c>
      <c r="C959" s="385" t="s">
        <v>3884</v>
      </c>
      <c r="D959" s="385" t="s">
        <v>89</v>
      </c>
      <c r="E959" s="385" t="s">
        <v>38</v>
      </c>
      <c r="F959" s="385"/>
      <c r="G959" s="385" t="s">
        <v>28</v>
      </c>
      <c r="H959" s="385">
        <v>2026</v>
      </c>
      <c r="I959" s="588">
        <v>46077</v>
      </c>
      <c r="J959" s="30" t="s">
        <v>5094</v>
      </c>
      <c r="K959" s="388" t="s">
        <v>45</v>
      </c>
      <c r="L959" s="588">
        <v>46078</v>
      </c>
      <c r="M959" s="385"/>
      <c r="N959" s="588">
        <v>46090</v>
      </c>
      <c r="O959" s="588">
        <v>46090</v>
      </c>
      <c r="P959" s="385">
        <f>IFERROR(
    IF(
        OR(ISBLANK(I959), ISBLANK(L959)),
        "",
        MAX(
            1,
            IF(
                NETWORKDAYS(I959, L959, Holiday_Dates) &lt;= 0,
                1,
                NETWORKDAYS(I959, L959, Holiday_Dates) - IF(I959 = L959, 0, 1)
            )
        )
    ),
    ""
)</f>
        <v>1</v>
      </c>
      <c r="Q959" s="385" t="str">
        <f>IF(
    OR(ISBLANK(L959), ISBLANK(M959)),
    "",
    MAX(
        1,
        IF(
            NETWORKDAYS(L959, M959, Holiday_Dates) &lt;= 0,
            1,
            NETWORKDAYS(L959, M959, Holiday_Dates) - IF(L959 = M959, 0, 1)
        )
    )
)</f>
        <v/>
      </c>
      <c r="R959" s="385">
        <f>IFERROR(
    IF(
        OR(ISBLANK(N959), AND(ISBLANK(L959), ISBLANK(M959))),
        "",
        MAX(
            1,
            IF(
                NETWORKDAYS(IF(NOT(ISBLANK(M959)), M959, L959), N959, Holiday_Dates) &lt;= 0,
                1,
                NETWORKDAYS(IF(NOT(ISBLANK(M959)), M959, L959), N959, Holiday_Dates)
                - IF(IF(NOT(ISBLANK(M959)), M959, L959) = N959, 0, 1)
            )
        )
    ),
    ""
)</f>
        <v>8</v>
      </c>
      <c r="S959" s="385">
        <f>IFERROR(
    IF(
        OR(ISBLANK(N959), ISBLANK(O959)),
        "",
        MAX(
            1,
            IF(
                NETWORKDAYS(N959, O959, Holiday_Dates) &lt;= 0,
                1,
                NETWORKDAYS(N959, O959, Holiday_Dates) - IF(N959 = O959, 0, 1)
            )
        )
    ),
    ""
)</f>
        <v>1</v>
      </c>
      <c r="T959" s="385" t="s">
        <v>929</v>
      </c>
      <c r="U959" s="385" t="s">
        <v>672</v>
      </c>
      <c r="V959" s="385" t="s">
        <v>101</v>
      </c>
      <c r="W959" s="385" t="s">
        <v>4710</v>
      </c>
      <c r="X959" s="1"/>
    </row>
    <row r="960" spans="1:24">
      <c r="A960" s="385" t="s">
        <v>52</v>
      </c>
      <c r="B960" s="385" t="s">
        <v>368</v>
      </c>
      <c r="C960" s="385" t="s">
        <v>3885</v>
      </c>
      <c r="D960" s="385" t="s">
        <v>89</v>
      </c>
      <c r="E960" s="385" t="s">
        <v>38</v>
      </c>
      <c r="F960" s="385"/>
      <c r="G960" s="385" t="s">
        <v>28</v>
      </c>
      <c r="H960" s="385">
        <v>2026</v>
      </c>
      <c r="I960" s="588">
        <v>46084</v>
      </c>
      <c r="J960" s="30" t="s">
        <v>5095</v>
      </c>
      <c r="K960" s="388" t="s">
        <v>45</v>
      </c>
      <c r="L960" s="588">
        <v>46085</v>
      </c>
      <c r="M960" s="385"/>
      <c r="N960" s="588">
        <v>46090</v>
      </c>
      <c r="O960" s="588">
        <v>46090</v>
      </c>
      <c r="P960" s="385">
        <f>IFERROR(
    IF(
        OR(ISBLANK(I960), ISBLANK(L960)),
        "",
        MAX(
            1,
            IF(
                NETWORKDAYS(I960, L960, Holiday_Dates) &lt;= 0,
                1,
                NETWORKDAYS(I960, L960, Holiday_Dates) - IF(I960 = L960, 0, 1)
            )
        )
    ),
    ""
)</f>
        <v>1</v>
      </c>
      <c r="Q960" s="385" t="str">
        <f>IF(
    OR(ISBLANK(L960), ISBLANK(M960)),
    "",
    MAX(
        1,
        IF(
            NETWORKDAYS(L960, M960, Holiday_Dates) &lt;= 0,
            1,
            NETWORKDAYS(L960, M960, Holiday_Dates) - IF(L960 = M960, 0, 1)
        )
    )
)</f>
        <v/>
      </c>
      <c r="R960" s="385">
        <f>IFERROR(
    IF(
        OR(ISBLANK(N960), AND(ISBLANK(L960), ISBLANK(M960))),
        "",
        MAX(
            1,
            IF(
                NETWORKDAYS(IF(NOT(ISBLANK(M960)), M960, L960), N960, Holiday_Dates) &lt;= 0,
                1,
                NETWORKDAYS(IF(NOT(ISBLANK(M960)), M960, L960), N960, Holiday_Dates)
                - IF(IF(NOT(ISBLANK(M960)), M960, L960) = N960, 0, 1)
            )
        )
    ),
    ""
)</f>
        <v>3</v>
      </c>
      <c r="S960" s="385">
        <f>IFERROR(
    IF(
        OR(ISBLANK(N960), ISBLANK(O960)),
        "",
        MAX(
            1,
            IF(
                NETWORKDAYS(N960, O960, Holiday_Dates) &lt;= 0,
                1,
                NETWORKDAYS(N960, O960, Holiday_Dates) - IF(N960 = O960, 0, 1)
            )
        )
    ),
    ""
)</f>
        <v>1</v>
      </c>
      <c r="T960" s="385" t="s">
        <v>929</v>
      </c>
      <c r="U960" s="385" t="s">
        <v>672</v>
      </c>
      <c r="V960" s="385" t="s">
        <v>101</v>
      </c>
      <c r="W960" s="385" t="s">
        <v>4710</v>
      </c>
      <c r="X960" s="1"/>
    </row>
    <row r="961" spans="1:24">
      <c r="A961" s="385" t="s">
        <v>65</v>
      </c>
      <c r="B961" s="385" t="s">
        <v>518</v>
      </c>
      <c r="C961" s="385" t="s">
        <v>3013</v>
      </c>
      <c r="D961" s="385" t="s">
        <v>88</v>
      </c>
      <c r="E961" s="385" t="s">
        <v>26</v>
      </c>
      <c r="F961" s="385"/>
      <c r="G961" s="385" t="s">
        <v>130</v>
      </c>
      <c r="H961" s="385"/>
      <c r="I961" s="385"/>
      <c r="J961" s="30"/>
      <c r="K961" s="388" t="s">
        <v>45</v>
      </c>
      <c r="L961" s="385"/>
      <c r="M961" s="385"/>
      <c r="N961" s="385"/>
      <c r="O961" s="385"/>
      <c r="P961" s="385" t="str">
        <f>IFERROR(
    IF(
        OR(ISBLANK(I961), ISBLANK(L961)),
        "",
        MAX(
            1,
            IF(
                NETWORKDAYS(I961, L961, Holiday_Dates) &lt;= 0,
                1,
                NETWORKDAYS(I961, L961, Holiday_Dates) - IF(I961 = L961, 0, 1)
            )
        )
    ),
    ""
)</f>
        <v/>
      </c>
      <c r="Q961" s="385" t="str">
        <f>IF(
    OR(ISBLANK(L961), ISBLANK(M961)),
    "",
    MAX(
        1,
        IF(
            NETWORKDAYS(L961, M961, Holiday_Dates) &lt;= 0,
            1,
            NETWORKDAYS(L961, M961, Holiday_Dates) - IF(L961 = M961, 0, 1)
        )
    )
)</f>
        <v/>
      </c>
      <c r="R961" s="385" t="str">
        <f>IFERROR(
    IF(
        OR(ISBLANK(N961), AND(ISBLANK(L961), ISBLANK(M961))),
        "",
        MAX(
            1,
            IF(
                NETWORKDAYS(IF(NOT(ISBLANK(M961)), M961, L961), N961, Holiday_Dates) &lt;= 0,
                1,
                NETWORKDAYS(IF(NOT(ISBLANK(M961)), M961, L961), N961, Holiday_Dates)
                - IF(IF(NOT(ISBLANK(M961)), M961, L961) = N961, 0, 1)
            )
        )
    ),
    ""
)</f>
        <v/>
      </c>
      <c r="S961" s="385" t="str">
        <f>IFERROR(
    IF(
        OR(ISBLANK(N961), ISBLANK(O961)),
        "",
        MAX(
            1,
            IF(
                NETWORKDAYS(N961, O961, Holiday_Dates) &lt;= 0,
                1,
                NETWORKDAYS(N961, O961, Holiday_Dates) - IF(N961 = O961, 0, 1)
            )
        )
    ),
    ""
)</f>
        <v/>
      </c>
      <c r="T961" s="385"/>
      <c r="U961" s="385"/>
      <c r="V961" s="385"/>
      <c r="W961" s="385" t="s">
        <v>4710</v>
      </c>
      <c r="X961" s="1"/>
    </row>
    <row r="962" spans="1:24">
      <c r="A962" s="385" t="s">
        <v>65</v>
      </c>
      <c r="B962" s="385" t="s">
        <v>518</v>
      </c>
      <c r="C962" s="385" t="s">
        <v>2692</v>
      </c>
      <c r="D962" s="385" t="s">
        <v>88</v>
      </c>
      <c r="E962" s="385" t="s">
        <v>26</v>
      </c>
      <c r="F962" s="385"/>
      <c r="G962" s="385" t="s">
        <v>130</v>
      </c>
      <c r="H962" s="385"/>
      <c r="I962" s="385"/>
      <c r="J962" s="30"/>
      <c r="K962" s="388" t="s">
        <v>45</v>
      </c>
      <c r="L962" s="385"/>
      <c r="M962" s="385"/>
      <c r="N962" s="385"/>
      <c r="O962" s="385"/>
      <c r="P962" s="385" t="str">
        <f>IFERROR(
    IF(
        OR(ISBLANK(I962), ISBLANK(L962)),
        "",
        MAX(
            1,
            IF(
                NETWORKDAYS(I962, L962, Holiday_Dates) &lt;= 0,
                1,
                NETWORKDAYS(I962, L962, Holiday_Dates) - IF(I962 = L962, 0, 1)
            )
        )
    ),
    ""
)</f>
        <v/>
      </c>
      <c r="Q962" s="385" t="str">
        <f>IF(
    OR(ISBLANK(L962), ISBLANK(M962)),
    "",
    MAX(
        1,
        IF(
            NETWORKDAYS(L962, M962, Holiday_Dates) &lt;= 0,
            1,
            NETWORKDAYS(L962, M962, Holiday_Dates) - IF(L962 = M962, 0, 1)
        )
    )
)</f>
        <v/>
      </c>
      <c r="R962" s="385" t="str">
        <f>IFERROR(
    IF(
        OR(ISBLANK(N962), AND(ISBLANK(L962), ISBLANK(M962))),
        "",
        MAX(
            1,
            IF(
                NETWORKDAYS(IF(NOT(ISBLANK(M962)), M962, L962), N962, Holiday_Dates) &lt;= 0,
                1,
                NETWORKDAYS(IF(NOT(ISBLANK(M962)), M962, L962), N962, Holiday_Dates)
                - IF(IF(NOT(ISBLANK(M962)), M962, L962) = N962, 0, 1)
            )
        )
    ),
    ""
)</f>
        <v/>
      </c>
      <c r="S962" s="385" t="str">
        <f>IFERROR(
    IF(
        OR(ISBLANK(N962), ISBLANK(O962)),
        "",
        MAX(
            1,
            IF(
                NETWORKDAYS(N962, O962, Holiday_Dates) &lt;= 0,
                1,
                NETWORKDAYS(N962, O962, Holiday_Dates) - IF(N962 = O962, 0, 1)
            )
        )
    ),
    ""
)</f>
        <v/>
      </c>
      <c r="T962" s="385"/>
      <c r="U962" s="385"/>
      <c r="V962" s="385"/>
      <c r="W962" s="385" t="s">
        <v>4710</v>
      </c>
      <c r="X962" s="1"/>
    </row>
    <row r="963" spans="1:24">
      <c r="A963" s="385" t="s">
        <v>65</v>
      </c>
      <c r="B963" s="385" t="s">
        <v>383</v>
      </c>
      <c r="C963" s="385" t="s">
        <v>2730</v>
      </c>
      <c r="D963" s="385" t="s">
        <v>88</v>
      </c>
      <c r="E963" s="385"/>
      <c r="F963" s="385"/>
      <c r="G963" s="385"/>
      <c r="H963" s="385">
        <v>2025</v>
      </c>
      <c r="I963" s="386">
        <v>45707</v>
      </c>
      <c r="J963" s="30" t="s">
        <v>5096</v>
      </c>
      <c r="K963" s="385"/>
      <c r="L963" s="385"/>
      <c r="M963" s="385"/>
      <c r="N963" s="385"/>
      <c r="O963" s="385"/>
      <c r="P963" s="385" t="str">
        <f>IFERROR(
    IF(
        OR(ISBLANK(I963), ISBLANK(L963)),
        "",
        MAX(
            1,
            IF(
                NETWORKDAYS(I963, L963, Holiday_Dates) &lt;= 0,
                1,
                NETWORKDAYS(I963, L963, Holiday_Dates) - IF(I963 = L963, 0, 1)
            )
        )
    ),
    ""
)</f>
        <v/>
      </c>
      <c r="Q963" s="385" t="str">
        <f>IF(
    OR(ISBLANK(L963), ISBLANK(M963)),
    "",
    MAX(
        1,
        IF(
            NETWORKDAYS(L963, M963, Holiday_Dates) &lt;= 0,
            1,
            NETWORKDAYS(L963, M963, Holiday_Dates) - IF(L963 = M963, 0, 1)
        )
    )
)</f>
        <v/>
      </c>
      <c r="R963" s="385" t="str">
        <f>IFERROR(
    IF(
        OR(ISBLANK(N963), AND(ISBLANK(L963), ISBLANK(M963))),
        "",
        MAX(
            1,
            IF(
                NETWORKDAYS(IF(NOT(ISBLANK(M963)), M963, L963), N963, Holiday_Dates) &lt;= 0,
                1,
                NETWORKDAYS(IF(NOT(ISBLANK(M963)), M963, L963), N963, Holiday_Dates)
                - IF(IF(NOT(ISBLANK(M963)), M963, L963) = N963, 0, 1)
            )
        )
    ),
    ""
)</f>
        <v/>
      </c>
      <c r="S963" s="385" t="str">
        <f>IFERROR(
    IF(
        OR(ISBLANK(N963), ISBLANK(O963)),
        "",
        MAX(
            1,
            IF(
                NETWORKDAYS(N963, O963, Holiday_Dates) &lt;= 0,
                1,
                NETWORKDAYS(N963, O963, Holiday_Dates) - IF(N963 = O963, 0, 1)
            )
        )
    ),
    ""
)</f>
        <v/>
      </c>
      <c r="T963" s="385"/>
      <c r="U963" s="385" t="s">
        <v>672</v>
      </c>
      <c r="V963" s="385" t="s">
        <v>101</v>
      </c>
      <c r="W963" s="385" t="s">
        <v>1436</v>
      </c>
      <c r="X963" s="1"/>
    </row>
    <row r="964" spans="1:24">
      <c r="A964" s="385" t="s">
        <v>65</v>
      </c>
      <c r="B964" s="385" t="s">
        <v>383</v>
      </c>
      <c r="C964" s="385" t="s">
        <v>2731</v>
      </c>
      <c r="D964" s="385" t="s">
        <v>88</v>
      </c>
      <c r="E964" s="385"/>
      <c r="F964" s="385"/>
      <c r="G964" s="385"/>
      <c r="H964" s="385">
        <v>2025</v>
      </c>
      <c r="I964" s="386">
        <v>45707</v>
      </c>
      <c r="J964" s="30" t="s">
        <v>5097</v>
      </c>
      <c r="K964" s="385"/>
      <c r="L964" s="385"/>
      <c r="M964" s="385"/>
      <c r="N964" s="385"/>
      <c r="O964" s="385"/>
      <c r="P964" s="385" t="str">
        <f>IFERROR(
    IF(
        OR(ISBLANK(I964), ISBLANK(L964)),
        "",
        MAX(
            1,
            IF(
                NETWORKDAYS(I964, L964, Holiday_Dates) &lt;= 0,
                1,
                NETWORKDAYS(I964, L964, Holiday_Dates) - IF(I964 = L964, 0, 1)
            )
        )
    ),
    ""
)</f>
        <v/>
      </c>
      <c r="Q964" s="385" t="str">
        <f>IF(
    OR(ISBLANK(L964), ISBLANK(M964)),
    "",
    MAX(
        1,
        IF(
            NETWORKDAYS(L964, M964, Holiday_Dates) &lt;= 0,
            1,
            NETWORKDAYS(L964, M964, Holiday_Dates) - IF(L964 = M964, 0, 1)
        )
    )
)</f>
        <v/>
      </c>
      <c r="R964" s="385" t="str">
        <f>IFERROR(
    IF(
        OR(ISBLANK(N964), AND(ISBLANK(L964), ISBLANK(M964))),
        "",
        MAX(
            1,
            IF(
                NETWORKDAYS(IF(NOT(ISBLANK(M964)), M964, L964), N964, Holiday_Dates) &lt;= 0,
                1,
                NETWORKDAYS(IF(NOT(ISBLANK(M964)), M964, L964), N964, Holiday_Dates)
                - IF(IF(NOT(ISBLANK(M964)), M964, L964) = N964, 0, 1)
            )
        )
    ),
    ""
)</f>
        <v/>
      </c>
      <c r="S964" s="385" t="str">
        <f>IFERROR(
    IF(
        OR(ISBLANK(N964), ISBLANK(O964)),
        "",
        MAX(
            1,
            IF(
                NETWORKDAYS(N964, O964, Holiday_Dates) &lt;= 0,
                1,
                NETWORKDAYS(N964, O964, Holiday_Dates) - IF(N964 = O964, 0, 1)
            )
        )
    ),
    ""
)</f>
        <v/>
      </c>
      <c r="T964" s="385"/>
      <c r="U964" s="385" t="s">
        <v>672</v>
      </c>
      <c r="V964" s="385" t="s">
        <v>101</v>
      </c>
      <c r="W964" s="385" t="s">
        <v>1436</v>
      </c>
      <c r="X964" s="1"/>
    </row>
    <row r="965" spans="1:24">
      <c r="A965" s="385" t="s">
        <v>65</v>
      </c>
      <c r="B965" s="385" t="s">
        <v>518</v>
      </c>
      <c r="C965" s="385" t="s">
        <v>764</v>
      </c>
      <c r="D965" s="385" t="s">
        <v>88</v>
      </c>
      <c r="E965" s="385" t="s">
        <v>26</v>
      </c>
      <c r="F965" s="385"/>
      <c r="G965" s="385" t="s">
        <v>130</v>
      </c>
      <c r="H965" s="385"/>
      <c r="I965" s="385"/>
      <c r="J965" s="30"/>
      <c r="K965" s="388" t="s">
        <v>45</v>
      </c>
      <c r="L965" s="385"/>
      <c r="M965" s="385"/>
      <c r="N965" s="385"/>
      <c r="O965" s="385"/>
      <c r="P965" s="385" t="str">
        <f>IFERROR(
    IF(
        OR(ISBLANK(I965), ISBLANK(L965)),
        "",
        MAX(
            1,
            IF(
                NETWORKDAYS(I965, L965, Holiday_Dates) &lt;= 0,
                1,
                NETWORKDAYS(I965, L965, Holiday_Dates) - IF(I965 = L965, 0, 1)
            )
        )
    ),
    ""
)</f>
        <v/>
      </c>
      <c r="Q965" s="385" t="str">
        <f>IF(
    OR(ISBLANK(L965), ISBLANK(M965)),
    "",
    MAX(
        1,
        IF(
            NETWORKDAYS(L965, M965, Holiday_Dates) &lt;= 0,
            1,
            NETWORKDAYS(L965, M965, Holiday_Dates) - IF(L965 = M965, 0, 1)
        )
    )
)</f>
        <v/>
      </c>
      <c r="R965" s="385" t="str">
        <f>IFERROR(
    IF(
        OR(ISBLANK(N965), AND(ISBLANK(L965), ISBLANK(M965))),
        "",
        MAX(
            1,
            IF(
                NETWORKDAYS(IF(NOT(ISBLANK(M965)), M965, L965), N965, Holiday_Dates) &lt;= 0,
                1,
                NETWORKDAYS(IF(NOT(ISBLANK(M965)), M965, L965), N965, Holiday_Dates)
                - IF(IF(NOT(ISBLANK(M965)), M965, L965) = N965, 0, 1)
            )
        )
    ),
    ""
)</f>
        <v/>
      </c>
      <c r="S965" s="385" t="str">
        <f>IFERROR(
    IF(
        OR(ISBLANK(N965), ISBLANK(O965)),
        "",
        MAX(
            1,
            IF(
                NETWORKDAYS(N965, O965, Holiday_Dates) &lt;= 0,
                1,
                NETWORKDAYS(N965, O965, Holiday_Dates) - IF(N965 = O965, 0, 1)
            )
        )
    ),
    ""
)</f>
        <v/>
      </c>
      <c r="T965" s="385"/>
      <c r="U965" s="385"/>
      <c r="V965" s="385"/>
      <c r="W965" s="385" t="s">
        <v>4710</v>
      </c>
      <c r="X965" s="1"/>
    </row>
    <row r="966" spans="1:24">
      <c r="A966" s="385" t="s">
        <v>65</v>
      </c>
      <c r="B966" s="385" t="s">
        <v>383</v>
      </c>
      <c r="C966" s="385" t="s">
        <v>2733</v>
      </c>
      <c r="D966" s="385" t="s">
        <v>88</v>
      </c>
      <c r="E966" s="385"/>
      <c r="F966" s="385"/>
      <c r="G966" s="385"/>
      <c r="H966" s="385">
        <v>2025</v>
      </c>
      <c r="I966" s="386">
        <v>45918</v>
      </c>
      <c r="J966" s="30" t="s">
        <v>5098</v>
      </c>
      <c r="K966" s="385"/>
      <c r="L966" s="385"/>
      <c r="M966" s="385"/>
      <c r="N966" s="385"/>
      <c r="O966" s="385"/>
      <c r="P966" s="385" t="str">
        <f>IFERROR(
    IF(
        OR(ISBLANK(I966), ISBLANK(L966)),
        "",
        MAX(
            1,
            IF(
                NETWORKDAYS(I966, L966, Holiday_Dates) &lt;= 0,
                1,
                NETWORKDAYS(I966, L966, Holiday_Dates) - IF(I966 = L966, 0, 1)
            )
        )
    ),
    ""
)</f>
        <v/>
      </c>
      <c r="Q966" s="385" t="str">
        <f>IF(
    OR(ISBLANK(L966), ISBLANK(M966)),
    "",
    MAX(
        1,
        IF(
            NETWORKDAYS(L966, M966, Holiday_Dates) &lt;= 0,
            1,
            NETWORKDAYS(L966, M966, Holiday_Dates) - IF(L966 = M966, 0, 1)
        )
    )
)</f>
        <v/>
      </c>
      <c r="R966" s="385" t="str">
        <f>IFERROR(
    IF(
        OR(ISBLANK(N966), AND(ISBLANK(L966), ISBLANK(M966))),
        "",
        MAX(
            1,
            IF(
                NETWORKDAYS(IF(NOT(ISBLANK(M966)), M966, L966), N966, Holiday_Dates) &lt;= 0,
                1,
                NETWORKDAYS(IF(NOT(ISBLANK(M966)), M966, L966), N966, Holiday_Dates)
                - IF(IF(NOT(ISBLANK(M966)), M966, L966) = N966, 0, 1)
            )
        )
    ),
    ""
)</f>
        <v/>
      </c>
      <c r="S966" s="385" t="str">
        <f>IFERROR(
    IF(
        OR(ISBLANK(N966), ISBLANK(O966)),
        "",
        MAX(
            1,
            IF(
                NETWORKDAYS(N966, O966, Holiday_Dates) &lt;= 0,
                1,
                NETWORKDAYS(N966, O966, Holiday_Dates) - IF(N966 = O966, 0, 1)
            )
        )
    ),
    ""
)</f>
        <v/>
      </c>
      <c r="T966" s="385"/>
      <c r="U966" s="385" t="s">
        <v>672</v>
      </c>
      <c r="V966" s="385" t="s">
        <v>101</v>
      </c>
      <c r="W966" s="385" t="s">
        <v>1436</v>
      </c>
      <c r="X966" s="1"/>
    </row>
    <row r="967" spans="1:24">
      <c r="A967" s="385" t="s">
        <v>65</v>
      </c>
      <c r="B967" s="385" t="s">
        <v>383</v>
      </c>
      <c r="C967" s="385" t="s">
        <v>1850</v>
      </c>
      <c r="D967" s="385" t="s">
        <v>88</v>
      </c>
      <c r="E967" s="385"/>
      <c r="F967" s="385"/>
      <c r="G967" s="385"/>
      <c r="H967" s="385">
        <v>2025</v>
      </c>
      <c r="I967" s="386">
        <v>45800</v>
      </c>
      <c r="J967" s="30" t="s">
        <v>5099</v>
      </c>
      <c r="K967" s="385"/>
      <c r="L967" s="385"/>
      <c r="M967" s="385"/>
      <c r="N967" s="385"/>
      <c r="O967" s="385"/>
      <c r="P967" s="385" t="str">
        <f>IFERROR(
    IF(
        OR(ISBLANK(I967), ISBLANK(L967)),
        "",
        MAX(
            1,
            IF(
                NETWORKDAYS(I967, L967, Holiday_Dates) &lt;= 0,
                1,
                NETWORKDAYS(I967, L967, Holiday_Dates) - IF(I967 = L967, 0, 1)
            )
        )
    ),
    ""
)</f>
        <v/>
      </c>
      <c r="Q967" s="385" t="str">
        <f>IF(
    OR(ISBLANK(L967), ISBLANK(M967)),
    "",
    MAX(
        1,
        IF(
            NETWORKDAYS(L967, M967, Holiday_Dates) &lt;= 0,
            1,
            NETWORKDAYS(L967, M967, Holiday_Dates) - IF(L967 = M967, 0, 1)
        )
    )
)</f>
        <v/>
      </c>
      <c r="R967" s="385" t="str">
        <f>IFERROR(
    IF(
        OR(ISBLANK(N967), AND(ISBLANK(L967), ISBLANK(M967))),
        "",
        MAX(
            1,
            IF(
                NETWORKDAYS(IF(NOT(ISBLANK(M967)), M967, L967), N967, Holiday_Dates) &lt;= 0,
                1,
                NETWORKDAYS(IF(NOT(ISBLANK(M967)), M967, L967), N967, Holiday_Dates)
                - IF(IF(NOT(ISBLANK(M967)), M967, L967) = N967, 0, 1)
            )
        )
    ),
    ""
)</f>
        <v/>
      </c>
      <c r="S967" s="385" t="str">
        <f>IFERROR(
    IF(
        OR(ISBLANK(N967), ISBLANK(O967)),
        "",
        MAX(
            1,
            IF(
                NETWORKDAYS(N967, O967, Holiday_Dates) &lt;= 0,
                1,
                NETWORKDAYS(N967, O967, Holiday_Dates) - IF(N967 = O967, 0, 1)
            )
        )
    ),
    ""
)</f>
        <v/>
      </c>
      <c r="T967" s="385"/>
      <c r="U967" s="385" t="s">
        <v>672</v>
      </c>
      <c r="V967" s="385" t="s">
        <v>101</v>
      </c>
      <c r="W967" s="385" t="s">
        <v>1436</v>
      </c>
      <c r="X967" s="1"/>
    </row>
    <row r="968" spans="1:24">
      <c r="A968" s="385" t="s">
        <v>65</v>
      </c>
      <c r="B968" s="385" t="s">
        <v>383</v>
      </c>
      <c r="C968" s="385" t="s">
        <v>590</v>
      </c>
      <c r="D968" s="385" t="s">
        <v>88</v>
      </c>
      <c r="E968" s="385"/>
      <c r="F968" s="385"/>
      <c r="G968" s="385"/>
      <c r="H968" s="385">
        <v>2025</v>
      </c>
      <c r="I968" s="386">
        <v>45925</v>
      </c>
      <c r="J968" s="30" t="s">
        <v>5100</v>
      </c>
      <c r="K968" s="385"/>
      <c r="L968" s="385"/>
      <c r="M968" s="385"/>
      <c r="N968" s="385"/>
      <c r="O968" s="385"/>
      <c r="P968" s="385" t="str">
        <f>IFERROR(
    IF(
        OR(ISBLANK(I968), ISBLANK(L968)),
        "",
        MAX(
            1,
            IF(
                NETWORKDAYS(I968, L968, Holiday_Dates) &lt;= 0,
                1,
                NETWORKDAYS(I968, L968, Holiday_Dates) - IF(I968 = L968, 0, 1)
            )
        )
    ),
    ""
)</f>
        <v/>
      </c>
      <c r="Q968" s="385" t="str">
        <f>IF(
    OR(ISBLANK(L968), ISBLANK(M968)),
    "",
    MAX(
        1,
        IF(
            NETWORKDAYS(L968, M968, Holiday_Dates) &lt;= 0,
            1,
            NETWORKDAYS(L968, M968, Holiday_Dates) - IF(L968 = M968, 0, 1)
        )
    )
)</f>
        <v/>
      </c>
      <c r="R968" s="385" t="str">
        <f>IFERROR(
    IF(
        OR(ISBLANK(N968), AND(ISBLANK(L968), ISBLANK(M968))),
        "",
        MAX(
            1,
            IF(
                NETWORKDAYS(IF(NOT(ISBLANK(M968)), M968, L968), N968, Holiday_Dates) &lt;= 0,
                1,
                NETWORKDAYS(IF(NOT(ISBLANK(M968)), M968, L968), N968, Holiday_Dates)
                - IF(IF(NOT(ISBLANK(M968)), M968, L968) = N968, 0, 1)
            )
        )
    ),
    ""
)</f>
        <v/>
      </c>
      <c r="S968" s="385" t="str">
        <f>IFERROR(
    IF(
        OR(ISBLANK(N968), ISBLANK(O968)),
        "",
        MAX(
            1,
            IF(
                NETWORKDAYS(N968, O968, Holiday_Dates) &lt;= 0,
                1,
                NETWORKDAYS(N968, O968, Holiday_Dates) - IF(N968 = O968, 0, 1)
            )
        )
    ),
    ""
)</f>
        <v/>
      </c>
      <c r="T968" s="385"/>
      <c r="U968" s="385" t="s">
        <v>672</v>
      </c>
      <c r="V968" s="385" t="s">
        <v>101</v>
      </c>
      <c r="W968" s="385" t="s">
        <v>1436</v>
      </c>
      <c r="X968" s="1"/>
    </row>
    <row r="969" spans="1:24">
      <c r="A969" s="385" t="s">
        <v>65</v>
      </c>
      <c r="B969" s="385" t="s">
        <v>444</v>
      </c>
      <c r="C969" s="385" t="s">
        <v>3267</v>
      </c>
      <c r="D969" s="385" t="s">
        <v>88</v>
      </c>
      <c r="E969" s="385" t="s">
        <v>26</v>
      </c>
      <c r="F969" s="385"/>
      <c r="G969" s="385" t="s">
        <v>130</v>
      </c>
      <c r="H969" s="385"/>
      <c r="I969" s="385"/>
      <c r="J969" s="30"/>
      <c r="K969" s="388" t="s">
        <v>45</v>
      </c>
      <c r="L969" s="385"/>
      <c r="M969" s="385"/>
      <c r="N969" s="385"/>
      <c r="O969" s="385"/>
      <c r="P969" s="385" t="str">
        <f>IFERROR(
    IF(
        OR(ISBLANK(I969), ISBLANK(L969)),
        "",
        MAX(
            1,
            IF(
                NETWORKDAYS(I969, L969, Holiday_Dates) &lt;= 0,
                1,
                NETWORKDAYS(I969, L969, Holiday_Dates) - IF(I969 = L969, 0, 1)
            )
        )
    ),
    ""
)</f>
        <v/>
      </c>
      <c r="Q969" s="385" t="str">
        <f>IF(
    OR(ISBLANK(L969), ISBLANK(M969)),
    "",
    MAX(
        1,
        IF(
            NETWORKDAYS(L969, M969, Holiday_Dates) &lt;= 0,
            1,
            NETWORKDAYS(L969, M969, Holiday_Dates) - IF(L969 = M969, 0, 1)
        )
    )
)</f>
        <v/>
      </c>
      <c r="R969" s="385" t="str">
        <f>IFERROR(
    IF(
        OR(ISBLANK(N969), AND(ISBLANK(L969), ISBLANK(M969))),
        "",
        MAX(
            1,
            IF(
                NETWORKDAYS(IF(NOT(ISBLANK(M969)), M969, L969), N969, Holiday_Dates) &lt;= 0,
                1,
                NETWORKDAYS(IF(NOT(ISBLANK(M969)), M969, L969), N969, Holiday_Dates)
                - IF(IF(NOT(ISBLANK(M969)), M969, L969) = N969, 0, 1)
            )
        )
    ),
    ""
)</f>
        <v/>
      </c>
      <c r="S969" s="385" t="str">
        <f>IFERROR(
    IF(
        OR(ISBLANK(N969), ISBLANK(O969)),
        "",
        MAX(
            1,
            IF(
                NETWORKDAYS(N969, O969, Holiday_Dates) &lt;= 0,
                1,
                NETWORKDAYS(N969, O969, Holiday_Dates) - IF(N969 = O969, 0, 1)
            )
        )
    ),
    ""
)</f>
        <v/>
      </c>
      <c r="T969" s="385"/>
      <c r="U969" s="385"/>
      <c r="V969" s="385"/>
      <c r="W969" s="385" t="s">
        <v>4710</v>
      </c>
      <c r="X969" s="1"/>
    </row>
    <row r="970" spans="1:24">
      <c r="A970" s="385" t="s">
        <v>65</v>
      </c>
      <c r="B970" s="385" t="s">
        <v>444</v>
      </c>
      <c r="C970" s="385" t="s">
        <v>3265</v>
      </c>
      <c r="D970" s="385" t="s">
        <v>88</v>
      </c>
      <c r="E970" s="385" t="s">
        <v>26</v>
      </c>
      <c r="F970" s="385"/>
      <c r="G970" s="385" t="s">
        <v>130</v>
      </c>
      <c r="H970" s="385"/>
      <c r="I970" s="385"/>
      <c r="J970" s="30"/>
      <c r="K970" s="388" t="s">
        <v>45</v>
      </c>
      <c r="L970" s="385"/>
      <c r="M970" s="385"/>
      <c r="N970" s="385"/>
      <c r="O970" s="385"/>
      <c r="P970" s="385" t="str">
        <f>IFERROR(
    IF(
        OR(ISBLANK(I970), ISBLANK(L970)),
        "",
        MAX(
            1,
            IF(
                NETWORKDAYS(I970, L970, Holiday_Dates) &lt;= 0,
                1,
                NETWORKDAYS(I970, L970, Holiday_Dates) - IF(I970 = L970, 0, 1)
            )
        )
    ),
    ""
)</f>
        <v/>
      </c>
      <c r="Q970" s="385" t="str">
        <f>IF(
    OR(ISBLANK(L970), ISBLANK(M970)),
    "",
    MAX(
        1,
        IF(
            NETWORKDAYS(L970, M970, Holiday_Dates) &lt;= 0,
            1,
            NETWORKDAYS(L970, M970, Holiday_Dates) - IF(L970 = M970, 0, 1)
        )
    )
)</f>
        <v/>
      </c>
      <c r="R970" s="385" t="str">
        <f>IFERROR(
    IF(
        OR(ISBLANK(N970), AND(ISBLANK(L970), ISBLANK(M970))),
        "",
        MAX(
            1,
            IF(
                NETWORKDAYS(IF(NOT(ISBLANK(M970)), M970, L970), N970, Holiday_Dates) &lt;= 0,
                1,
                NETWORKDAYS(IF(NOT(ISBLANK(M970)), M970, L970), N970, Holiday_Dates)
                - IF(IF(NOT(ISBLANK(M970)), M970, L970) = N970, 0, 1)
            )
        )
    ),
    ""
)</f>
        <v/>
      </c>
      <c r="S970" s="385" t="str">
        <f>IFERROR(
    IF(
        OR(ISBLANK(N970), ISBLANK(O970)),
        "",
        MAX(
            1,
            IF(
                NETWORKDAYS(N970, O970, Holiday_Dates) &lt;= 0,
                1,
                NETWORKDAYS(N970, O970, Holiday_Dates) - IF(N970 = O970, 0, 1)
            )
        )
    ),
    ""
)</f>
        <v/>
      </c>
      <c r="T970" s="385"/>
      <c r="U970" s="385"/>
      <c r="V970" s="385"/>
      <c r="W970" s="385" t="s">
        <v>4710</v>
      </c>
      <c r="X970" s="1"/>
    </row>
    <row r="971" spans="1:24">
      <c r="A971" s="385" t="s">
        <v>65</v>
      </c>
      <c r="B971" s="385" t="s">
        <v>444</v>
      </c>
      <c r="C971" s="385" t="s">
        <v>3266</v>
      </c>
      <c r="D971" s="385" t="s">
        <v>88</v>
      </c>
      <c r="E971" s="385" t="s">
        <v>26</v>
      </c>
      <c r="F971" s="385"/>
      <c r="G971" s="385" t="s">
        <v>130</v>
      </c>
      <c r="H971" s="385"/>
      <c r="I971" s="385"/>
      <c r="J971" s="30"/>
      <c r="K971" s="388" t="s">
        <v>45</v>
      </c>
      <c r="L971" s="385"/>
      <c r="M971" s="385"/>
      <c r="N971" s="385"/>
      <c r="O971" s="385"/>
      <c r="P971" s="385" t="str">
        <f>IFERROR(
    IF(
        OR(ISBLANK(I971), ISBLANK(L971)),
        "",
        MAX(
            1,
            IF(
                NETWORKDAYS(I971, L971, Holiday_Dates) &lt;= 0,
                1,
                NETWORKDAYS(I971, L971, Holiday_Dates) - IF(I971 = L971, 0, 1)
            )
        )
    ),
    ""
)</f>
        <v/>
      </c>
      <c r="Q971" s="385" t="str">
        <f>IF(
    OR(ISBLANK(L971), ISBLANK(M971)),
    "",
    MAX(
        1,
        IF(
            NETWORKDAYS(L971, M971, Holiday_Dates) &lt;= 0,
            1,
            NETWORKDAYS(L971, M971, Holiday_Dates) - IF(L971 = M971, 0, 1)
        )
    )
)</f>
        <v/>
      </c>
      <c r="R971" s="385" t="str">
        <f>IFERROR(
    IF(
        OR(ISBLANK(N971), AND(ISBLANK(L971), ISBLANK(M971))),
        "",
        MAX(
            1,
            IF(
                NETWORKDAYS(IF(NOT(ISBLANK(M971)), M971, L971), N971, Holiday_Dates) &lt;= 0,
                1,
                NETWORKDAYS(IF(NOT(ISBLANK(M971)), M971, L971), N971, Holiday_Dates)
                - IF(IF(NOT(ISBLANK(M971)), M971, L971) = N971, 0, 1)
            )
        )
    ),
    ""
)</f>
        <v/>
      </c>
      <c r="S971" s="385" t="str">
        <f>IFERROR(
    IF(
        OR(ISBLANK(N971), ISBLANK(O971)),
        "",
        MAX(
            1,
            IF(
                NETWORKDAYS(N971, O971, Holiday_Dates) &lt;= 0,
                1,
                NETWORKDAYS(N971, O971, Holiday_Dates) - IF(N971 = O971, 0, 1)
            )
        )
    ),
    ""
)</f>
        <v/>
      </c>
      <c r="T971" s="385"/>
      <c r="U971" s="385"/>
      <c r="V971" s="385"/>
      <c r="W971" s="385" t="s">
        <v>4710</v>
      </c>
      <c r="X971" s="1"/>
    </row>
    <row r="972" spans="1:24">
      <c r="A972" s="385" t="s">
        <v>65</v>
      </c>
      <c r="B972" s="385" t="s">
        <v>444</v>
      </c>
      <c r="C972" s="385" t="s">
        <v>1059</v>
      </c>
      <c r="D972" s="385" t="s">
        <v>88</v>
      </c>
      <c r="E972" s="385" t="s">
        <v>26</v>
      </c>
      <c r="F972" s="385"/>
      <c r="G972" s="385" t="s">
        <v>130</v>
      </c>
      <c r="H972" s="385"/>
      <c r="I972" s="385"/>
      <c r="J972" s="30"/>
      <c r="K972" s="388" t="s">
        <v>45</v>
      </c>
      <c r="L972" s="385"/>
      <c r="M972" s="385"/>
      <c r="N972" s="385"/>
      <c r="O972" s="385"/>
      <c r="P972" s="385" t="str">
        <f>IFERROR(
    IF(
        OR(ISBLANK(I972), ISBLANK(L972)),
        "",
        MAX(
            1,
            IF(
                NETWORKDAYS(I972, L972, Holiday_Dates) &lt;= 0,
                1,
                NETWORKDAYS(I972, L972, Holiday_Dates) - IF(I972 = L972, 0, 1)
            )
        )
    ),
    ""
)</f>
        <v/>
      </c>
      <c r="Q972" s="385" t="str">
        <f>IF(
    OR(ISBLANK(L972), ISBLANK(M972)),
    "",
    MAX(
        1,
        IF(
            NETWORKDAYS(L972, M972, Holiday_Dates) &lt;= 0,
            1,
            NETWORKDAYS(L972, M972, Holiday_Dates) - IF(L972 = M972, 0, 1)
        )
    )
)</f>
        <v/>
      </c>
      <c r="R972" s="385" t="str">
        <f>IFERROR(
    IF(
        OR(ISBLANK(N972), AND(ISBLANK(L972), ISBLANK(M972))),
        "",
        MAX(
            1,
            IF(
                NETWORKDAYS(IF(NOT(ISBLANK(M972)), M972, L972), N972, Holiday_Dates) &lt;= 0,
                1,
                NETWORKDAYS(IF(NOT(ISBLANK(M972)), M972, L972), N972, Holiday_Dates)
                - IF(IF(NOT(ISBLANK(M972)), M972, L972) = N972, 0, 1)
            )
        )
    ),
    ""
)</f>
        <v/>
      </c>
      <c r="S972" s="385" t="str">
        <f>IFERROR(
    IF(
        OR(ISBLANK(N972), ISBLANK(O972)),
        "",
        MAX(
            1,
            IF(
                NETWORKDAYS(N972, O972, Holiday_Dates) &lt;= 0,
                1,
                NETWORKDAYS(N972, O972, Holiday_Dates) - IF(N972 = O972, 0, 1)
            )
        )
    ),
    ""
)</f>
        <v/>
      </c>
      <c r="T972" s="385"/>
      <c r="U972" s="385"/>
      <c r="V972" s="385"/>
      <c r="W972" s="385" t="s">
        <v>4710</v>
      </c>
      <c r="X972" s="1"/>
    </row>
    <row r="973" spans="1:24">
      <c r="A973" s="385" t="s">
        <v>51</v>
      </c>
      <c r="B973" s="385" t="s">
        <v>352</v>
      </c>
      <c r="C973" s="385" t="s">
        <v>3588</v>
      </c>
      <c r="D973" s="385" t="s">
        <v>88</v>
      </c>
      <c r="E973" s="385" t="s">
        <v>32</v>
      </c>
      <c r="F973" s="385"/>
      <c r="G973" s="385" t="s">
        <v>133</v>
      </c>
      <c r="H973" s="385">
        <v>2026</v>
      </c>
      <c r="I973" s="386">
        <v>46084</v>
      </c>
      <c r="J973" s="30" t="s">
        <v>5101</v>
      </c>
      <c r="K973" s="388" t="s">
        <v>45</v>
      </c>
      <c r="L973" s="386">
        <v>46088</v>
      </c>
      <c r="M973" s="385"/>
      <c r="N973" s="386">
        <v>46090</v>
      </c>
      <c r="O973" s="386">
        <v>46090</v>
      </c>
      <c r="P973" s="385">
        <f>IFERROR(
    IF(
        OR(ISBLANK(I973), ISBLANK(L973)),
        "",
        MAX(
            1,
            IF(
                NETWORKDAYS(I973, L973, Holiday_Dates) &lt;= 0,
                1,
                NETWORKDAYS(I973, L973, Holiday_Dates) - IF(I973 = L973, 0, 1)
            )
        )
    ),
    ""
)</f>
        <v>3</v>
      </c>
      <c r="Q973" s="385" t="str">
        <f>IF(
    OR(ISBLANK(L973), ISBLANK(M973)),
    "",
    MAX(
        1,
        IF(
            NETWORKDAYS(L973, M973, Holiday_Dates) &lt;= 0,
            1,
            NETWORKDAYS(L973, M973, Holiday_Dates) - IF(L973 = M973, 0, 1)
        )
    )
)</f>
        <v/>
      </c>
      <c r="R973" s="385">
        <f>IFERROR(
    IF(
        OR(ISBLANK(N973), AND(ISBLANK(L973), ISBLANK(M973))),
        "",
        MAX(
            1,
            IF(
                NETWORKDAYS(IF(NOT(ISBLANK(M973)), M973, L973), N973, Holiday_Dates) &lt;= 0,
                1,
                NETWORKDAYS(IF(NOT(ISBLANK(M973)), M973, L973), N973, Holiday_Dates)
                - IF(IF(NOT(ISBLANK(M973)), M973, L973) = N973, 0, 1)
            )
        )
    ),
    ""
)</f>
        <v>1</v>
      </c>
      <c r="S973" s="385">
        <f>IFERROR(
    IF(
        OR(ISBLANK(N973), ISBLANK(O973)),
        "",
        MAX(
            1,
            IF(
                NETWORKDAYS(N973, O973, Holiday_Dates) &lt;= 0,
                1,
                NETWORKDAYS(N973, O973, Holiday_Dates) - IF(N973 = O973, 0, 1)
            )
        )
    ),
    ""
)</f>
        <v>1</v>
      </c>
      <c r="T973" s="385" t="s">
        <v>929</v>
      </c>
      <c r="U973" s="385" t="s">
        <v>4708</v>
      </c>
      <c r="V973" s="385" t="s">
        <v>4782</v>
      </c>
      <c r="W973" s="385" t="s">
        <v>4710</v>
      </c>
      <c r="X973" s="1"/>
    </row>
    <row r="974" spans="1:24">
      <c r="A974" s="385" t="s">
        <v>65</v>
      </c>
      <c r="B974" s="385" t="s">
        <v>383</v>
      </c>
      <c r="C974" s="385" t="s">
        <v>1998</v>
      </c>
      <c r="D974" s="385" t="s">
        <v>88</v>
      </c>
      <c r="E974" s="385"/>
      <c r="F974" s="385"/>
      <c r="G974" s="385"/>
      <c r="H974" s="385">
        <v>2024</v>
      </c>
      <c r="I974" s="386">
        <v>45422</v>
      </c>
      <c r="J974" s="30"/>
      <c r="K974" s="385"/>
      <c r="L974" s="385"/>
      <c r="M974" s="385"/>
      <c r="N974" s="385"/>
      <c r="O974" s="385"/>
      <c r="P974" s="385" t="str">
        <f>IFERROR(
    IF(
        OR(ISBLANK(I974), ISBLANK(L974)),
        "",
        MAX(
            1,
            IF(
                NETWORKDAYS(I974, L974, Holiday_Dates) &lt;= 0,
                1,
                NETWORKDAYS(I974, L974, Holiday_Dates) - IF(I974 = L974, 0, 1)
            )
        )
    ),
    ""
)</f>
        <v/>
      </c>
      <c r="Q974" s="385" t="str">
        <f>IF(
    OR(ISBLANK(L974), ISBLANK(M974)),
    "",
    MAX(
        1,
        IF(
            NETWORKDAYS(L974, M974, Holiday_Dates) &lt;= 0,
            1,
            NETWORKDAYS(L974, M974, Holiday_Dates) - IF(L974 = M974, 0, 1)
        )
    )
)</f>
        <v/>
      </c>
      <c r="R974" s="385" t="str">
        <f>IFERROR(
    IF(
        OR(ISBLANK(N974), AND(ISBLANK(L974), ISBLANK(M974))),
        "",
        MAX(
            1,
            IF(
                NETWORKDAYS(IF(NOT(ISBLANK(M974)), M974, L974), N974, Holiday_Dates) &lt;= 0,
                1,
                NETWORKDAYS(IF(NOT(ISBLANK(M974)), M974, L974), N974, Holiday_Dates)
                - IF(IF(NOT(ISBLANK(M974)), M974, L974) = N974, 0, 1)
            )
        )
    ),
    ""
)</f>
        <v/>
      </c>
      <c r="S974" s="385" t="str">
        <f>IFERROR(
    IF(
        OR(ISBLANK(N974), ISBLANK(O974)),
        "",
        MAX(
            1,
            IF(
                NETWORKDAYS(N974, O974, Holiday_Dates) &lt;= 0,
                1,
                NETWORKDAYS(N974, O974, Holiday_Dates) - IF(N974 = O974, 0, 1)
            )
        )
    ),
    ""
)</f>
        <v/>
      </c>
      <c r="T974" s="385"/>
      <c r="U974" s="385" t="s">
        <v>672</v>
      </c>
      <c r="V974" s="385"/>
      <c r="W974" s="385" t="s">
        <v>1436</v>
      </c>
      <c r="X974" s="1"/>
    </row>
    <row r="975" spans="1:24">
      <c r="A975" s="385" t="s">
        <v>51</v>
      </c>
      <c r="B975" s="385" t="s">
        <v>352</v>
      </c>
      <c r="C975" s="385" t="s">
        <v>3589</v>
      </c>
      <c r="D975" s="385" t="s">
        <v>88</v>
      </c>
      <c r="E975" s="385" t="s">
        <v>32</v>
      </c>
      <c r="F975" s="385"/>
      <c r="G975" s="385" t="s">
        <v>133</v>
      </c>
      <c r="H975" s="385">
        <v>2026</v>
      </c>
      <c r="I975" s="386">
        <v>46084</v>
      </c>
      <c r="J975" s="30" t="s">
        <v>5102</v>
      </c>
      <c r="K975" s="388" t="s">
        <v>45</v>
      </c>
      <c r="L975" s="386">
        <v>46088</v>
      </c>
      <c r="M975" s="385"/>
      <c r="N975" s="386">
        <v>46090</v>
      </c>
      <c r="O975" s="386">
        <v>46090</v>
      </c>
      <c r="P975" s="385">
        <f>IFERROR(
    IF(
        OR(ISBLANK(I975), ISBLANK(L975)),
        "",
        MAX(
            1,
            IF(
                NETWORKDAYS(I975, L975, Holiday_Dates) &lt;= 0,
                1,
                NETWORKDAYS(I975, L975, Holiday_Dates) - IF(I975 = L975, 0, 1)
            )
        )
    ),
    ""
)</f>
        <v>3</v>
      </c>
      <c r="Q975" s="385" t="str">
        <f>IF(
    OR(ISBLANK(L975), ISBLANK(M975)),
    "",
    MAX(
        1,
        IF(
            NETWORKDAYS(L975, M975, Holiday_Dates) &lt;= 0,
            1,
            NETWORKDAYS(L975, M975, Holiday_Dates) - IF(L975 = M975, 0, 1)
        )
    )
)</f>
        <v/>
      </c>
      <c r="R975" s="385">
        <f>IFERROR(
    IF(
        OR(ISBLANK(N975), AND(ISBLANK(L975), ISBLANK(M975))),
        "",
        MAX(
            1,
            IF(
                NETWORKDAYS(IF(NOT(ISBLANK(M975)), M975, L975), N975, Holiday_Dates) &lt;= 0,
                1,
                NETWORKDAYS(IF(NOT(ISBLANK(M975)), M975, L975), N975, Holiday_Dates)
                - IF(IF(NOT(ISBLANK(M975)), M975, L975) = N975, 0, 1)
            )
        )
    ),
    ""
)</f>
        <v>1</v>
      </c>
      <c r="S975" s="385">
        <f>IFERROR(
    IF(
        OR(ISBLANK(N975), ISBLANK(O975)),
        "",
        MAX(
            1,
            IF(
                NETWORKDAYS(N975, O975, Holiday_Dates) &lt;= 0,
                1,
                NETWORKDAYS(N975, O975, Holiday_Dates) - IF(N975 = O975, 0, 1)
            )
        )
    ),
    ""
)</f>
        <v>1</v>
      </c>
      <c r="T975" s="385" t="s">
        <v>929</v>
      </c>
      <c r="U975" s="385" t="s">
        <v>5046</v>
      </c>
      <c r="V975" s="385" t="s">
        <v>4782</v>
      </c>
      <c r="W975" s="385" t="s">
        <v>4710</v>
      </c>
      <c r="X975" s="1"/>
    </row>
    <row r="976" spans="1:24">
      <c r="A976" s="385" t="s">
        <v>65</v>
      </c>
      <c r="B976" s="385" t="s">
        <v>383</v>
      </c>
      <c r="C976" s="385" t="s">
        <v>2741</v>
      </c>
      <c r="D976" s="385" t="s">
        <v>88</v>
      </c>
      <c r="E976" s="385"/>
      <c r="F976" s="385"/>
      <c r="G976" s="385"/>
      <c r="H976" s="385">
        <v>2025</v>
      </c>
      <c r="I976" s="386">
        <v>45925</v>
      </c>
      <c r="J976" s="30" t="s">
        <v>5103</v>
      </c>
      <c r="K976" s="385"/>
      <c r="L976" s="385"/>
      <c r="M976" s="385"/>
      <c r="N976" s="385"/>
      <c r="O976" s="385"/>
      <c r="P976" s="385" t="str">
        <f>IFERROR(
    IF(
        OR(ISBLANK(I976), ISBLANK(L976)),
        "",
        MAX(
            1,
            IF(
                NETWORKDAYS(I976, L976, Holiday_Dates) &lt;= 0,
                1,
                NETWORKDAYS(I976, L976, Holiday_Dates) - IF(I976 = L976, 0, 1)
            )
        )
    ),
    ""
)</f>
        <v/>
      </c>
      <c r="Q976" s="385" t="str">
        <f>IF(
    OR(ISBLANK(L976), ISBLANK(M976)),
    "",
    MAX(
        1,
        IF(
            NETWORKDAYS(L976, M976, Holiday_Dates) &lt;= 0,
            1,
            NETWORKDAYS(L976, M976, Holiday_Dates) - IF(L976 = M976, 0, 1)
        )
    )
)</f>
        <v/>
      </c>
      <c r="R976" s="385" t="str">
        <f>IFERROR(
    IF(
        OR(ISBLANK(N976), AND(ISBLANK(L976), ISBLANK(M976))),
        "",
        MAX(
            1,
            IF(
                NETWORKDAYS(IF(NOT(ISBLANK(M976)), M976, L976), N976, Holiday_Dates) &lt;= 0,
                1,
                NETWORKDAYS(IF(NOT(ISBLANK(M976)), M976, L976), N976, Holiday_Dates)
                - IF(IF(NOT(ISBLANK(M976)), M976, L976) = N976, 0, 1)
            )
        )
    ),
    ""
)</f>
        <v/>
      </c>
      <c r="S976" s="385" t="str">
        <f>IFERROR(
    IF(
        OR(ISBLANK(N976), ISBLANK(O976)),
        "",
        MAX(
            1,
            IF(
                NETWORKDAYS(N976, O976, Holiday_Dates) &lt;= 0,
                1,
                NETWORKDAYS(N976, O976, Holiday_Dates) - IF(N976 = O976, 0, 1)
            )
        )
    ),
    ""
)</f>
        <v/>
      </c>
      <c r="T976" s="385"/>
      <c r="U976" s="385" t="s">
        <v>672</v>
      </c>
      <c r="V976" s="385" t="s">
        <v>101</v>
      </c>
      <c r="W976" s="385" t="s">
        <v>1436</v>
      </c>
      <c r="X976" s="1"/>
    </row>
    <row r="977" spans="1:24">
      <c r="A977" s="385" t="s">
        <v>51</v>
      </c>
      <c r="B977" s="385" t="s">
        <v>352</v>
      </c>
      <c r="C977" s="385" t="s">
        <v>3600</v>
      </c>
      <c r="D977" s="385" t="s">
        <v>88</v>
      </c>
      <c r="E977" s="385" t="s">
        <v>32</v>
      </c>
      <c r="F977" s="385"/>
      <c r="G977" s="385" t="s">
        <v>133</v>
      </c>
      <c r="H977" s="385">
        <v>2026</v>
      </c>
      <c r="I977" s="386">
        <v>46084</v>
      </c>
      <c r="J977" s="30" t="s">
        <v>5104</v>
      </c>
      <c r="K977" s="388" t="s">
        <v>45</v>
      </c>
      <c r="L977" s="386">
        <v>46088</v>
      </c>
      <c r="M977" s="385"/>
      <c r="N977" s="386">
        <v>46090</v>
      </c>
      <c r="O977" s="386">
        <v>46090</v>
      </c>
      <c r="P977" s="385">
        <f>IFERROR(
    IF(
        OR(ISBLANK(I977), ISBLANK(L977)),
        "",
        MAX(
            1,
            IF(
                NETWORKDAYS(I977, L977, Holiday_Dates) &lt;= 0,
                1,
                NETWORKDAYS(I977, L977, Holiday_Dates) - IF(I977 = L977, 0, 1)
            )
        )
    ),
    ""
)</f>
        <v>3</v>
      </c>
      <c r="Q977" s="385" t="str">
        <f>IF(
    OR(ISBLANK(L977), ISBLANK(M977)),
    "",
    MAX(
        1,
        IF(
            NETWORKDAYS(L977, M977, Holiday_Dates) &lt;= 0,
            1,
            NETWORKDAYS(L977, M977, Holiday_Dates) - IF(L977 = M977, 0, 1)
        )
    )
)</f>
        <v/>
      </c>
      <c r="R977" s="385">
        <f>IFERROR(
    IF(
        OR(ISBLANK(N977), AND(ISBLANK(L977), ISBLANK(M977))),
        "",
        MAX(
            1,
            IF(
                NETWORKDAYS(IF(NOT(ISBLANK(M977)), M977, L977), N977, Holiday_Dates) &lt;= 0,
                1,
                NETWORKDAYS(IF(NOT(ISBLANK(M977)), M977, L977), N977, Holiday_Dates)
                - IF(IF(NOT(ISBLANK(M977)), M977, L977) = N977, 0, 1)
            )
        )
    ),
    ""
)</f>
        <v>1</v>
      </c>
      <c r="S977" s="385">
        <f>IFERROR(
    IF(
        OR(ISBLANK(N977), ISBLANK(O977)),
        "",
        MAX(
            1,
            IF(
                NETWORKDAYS(N977, O977, Holiday_Dates) &lt;= 0,
                1,
                NETWORKDAYS(N977, O977, Holiday_Dates) - IF(N977 = O977, 0, 1)
            )
        )
    ),
    ""
)</f>
        <v>1</v>
      </c>
      <c r="T977" s="385" t="s">
        <v>929</v>
      </c>
      <c r="U977" s="385" t="s">
        <v>4708</v>
      </c>
      <c r="V977" s="385" t="s">
        <v>4782</v>
      </c>
      <c r="W977" s="385" t="s">
        <v>4710</v>
      </c>
      <c r="X977" s="1"/>
    </row>
    <row r="978" spans="1:24">
      <c r="A978" s="385" t="s">
        <v>51</v>
      </c>
      <c r="B978" s="385" t="s">
        <v>352</v>
      </c>
      <c r="C978" s="385" t="s">
        <v>3603</v>
      </c>
      <c r="D978" s="385" t="s">
        <v>88</v>
      </c>
      <c r="E978" s="385" t="s">
        <v>32</v>
      </c>
      <c r="F978" s="385"/>
      <c r="G978" s="385" t="s">
        <v>133</v>
      </c>
      <c r="H978" s="385">
        <v>2026</v>
      </c>
      <c r="I978" s="386">
        <v>46084</v>
      </c>
      <c r="J978" s="30" t="s">
        <v>5105</v>
      </c>
      <c r="K978" s="388" t="s">
        <v>45</v>
      </c>
      <c r="L978" s="386">
        <v>46088</v>
      </c>
      <c r="M978" s="385"/>
      <c r="N978" s="386">
        <v>46090</v>
      </c>
      <c r="O978" s="386">
        <v>46090</v>
      </c>
      <c r="P978" s="385">
        <f>IFERROR(
    IF(
        OR(ISBLANK(I978), ISBLANK(L978)),
        "",
        MAX(
            1,
            IF(
                NETWORKDAYS(I978, L978, Holiday_Dates) &lt;= 0,
                1,
                NETWORKDAYS(I978, L978, Holiday_Dates) - IF(I978 = L978, 0, 1)
            )
        )
    ),
    ""
)</f>
        <v>3</v>
      </c>
      <c r="Q978" s="385" t="str">
        <f>IF(
    OR(ISBLANK(L978), ISBLANK(M978)),
    "",
    MAX(
        1,
        IF(
            NETWORKDAYS(L978, M978, Holiday_Dates) &lt;= 0,
            1,
            NETWORKDAYS(L978, M978, Holiday_Dates) - IF(L978 = M978, 0, 1)
        )
    )
)</f>
        <v/>
      </c>
      <c r="R978" s="385">
        <f>IFERROR(
    IF(
        OR(ISBLANK(N978), AND(ISBLANK(L978), ISBLANK(M978))),
        "",
        MAX(
            1,
            IF(
                NETWORKDAYS(IF(NOT(ISBLANK(M978)), M978, L978), N978, Holiday_Dates) &lt;= 0,
                1,
                NETWORKDAYS(IF(NOT(ISBLANK(M978)), M978, L978), N978, Holiday_Dates)
                - IF(IF(NOT(ISBLANK(M978)), M978, L978) = N978, 0, 1)
            )
        )
    ),
    ""
)</f>
        <v>1</v>
      </c>
      <c r="S978" s="385">
        <f>IFERROR(
    IF(
        OR(ISBLANK(N978), ISBLANK(O978)),
        "",
        MAX(
            1,
            IF(
                NETWORKDAYS(N978, O978, Holiday_Dates) &lt;= 0,
                1,
                NETWORKDAYS(N978, O978, Holiday_Dates) - IF(N978 = O978, 0, 1)
            )
        )
    ),
    ""
)</f>
        <v>1</v>
      </c>
      <c r="T978" s="385" t="s">
        <v>929</v>
      </c>
      <c r="U978" s="385" t="s">
        <v>4708</v>
      </c>
      <c r="V978" s="385" t="s">
        <v>4782</v>
      </c>
      <c r="W978" s="385" t="s">
        <v>4710</v>
      </c>
      <c r="X978" s="1"/>
    </row>
    <row r="979" spans="1:24">
      <c r="A979" s="385" t="s">
        <v>51</v>
      </c>
      <c r="B979" s="385" t="s">
        <v>352</v>
      </c>
      <c r="C979" s="385" t="s">
        <v>1793</v>
      </c>
      <c r="D979" s="385" t="s">
        <v>88</v>
      </c>
      <c r="E979" s="385" t="s">
        <v>32</v>
      </c>
      <c r="F979" s="385"/>
      <c r="G979" s="385" t="s">
        <v>133</v>
      </c>
      <c r="H979" s="385">
        <v>2026</v>
      </c>
      <c r="I979" s="386">
        <v>46084</v>
      </c>
      <c r="J979" s="30" t="s">
        <v>5106</v>
      </c>
      <c r="K979" s="388" t="s">
        <v>45</v>
      </c>
      <c r="L979" s="386">
        <v>46088</v>
      </c>
      <c r="M979" s="385"/>
      <c r="N979" s="386">
        <v>46090</v>
      </c>
      <c r="O979" s="386">
        <v>46090</v>
      </c>
      <c r="P979" s="385">
        <f>IFERROR(
    IF(
        OR(ISBLANK(I979), ISBLANK(L979)),
        "",
        MAX(
            1,
            IF(
                NETWORKDAYS(I979, L979, Holiday_Dates) &lt;= 0,
                1,
                NETWORKDAYS(I979, L979, Holiday_Dates) - IF(I979 = L979, 0, 1)
            )
        )
    ),
    ""
)</f>
        <v>3</v>
      </c>
      <c r="Q979" s="385" t="str">
        <f>IF(
    OR(ISBLANK(L979), ISBLANK(M979)),
    "",
    MAX(
        1,
        IF(
            NETWORKDAYS(L979, M979, Holiday_Dates) &lt;= 0,
            1,
            NETWORKDAYS(L979, M979, Holiday_Dates) - IF(L979 = M979, 0, 1)
        )
    )
)</f>
        <v/>
      </c>
      <c r="R979" s="385">
        <f>IFERROR(
    IF(
        OR(ISBLANK(N979), AND(ISBLANK(L979), ISBLANK(M979))),
        "",
        MAX(
            1,
            IF(
                NETWORKDAYS(IF(NOT(ISBLANK(M979)), M979, L979), N979, Holiday_Dates) &lt;= 0,
                1,
                NETWORKDAYS(IF(NOT(ISBLANK(M979)), M979, L979), N979, Holiday_Dates)
                - IF(IF(NOT(ISBLANK(M979)), M979, L979) = N979, 0, 1)
            )
        )
    ),
    ""
)</f>
        <v>1</v>
      </c>
      <c r="S979" s="385">
        <f>IFERROR(
    IF(
        OR(ISBLANK(N979), ISBLANK(O979)),
        "",
        MAX(
            1,
            IF(
                NETWORKDAYS(N979, O979, Holiday_Dates) &lt;= 0,
                1,
                NETWORKDAYS(N979, O979, Holiday_Dates) - IF(N979 = O979, 0, 1)
            )
        )
    ),
    ""
)</f>
        <v>1</v>
      </c>
      <c r="T979" s="385" t="s">
        <v>929</v>
      </c>
      <c r="U979" s="385" t="s">
        <v>672</v>
      </c>
      <c r="V979" s="385" t="s">
        <v>685</v>
      </c>
      <c r="W979" s="385" t="s">
        <v>4710</v>
      </c>
      <c r="X979" s="1"/>
    </row>
    <row r="980" spans="1:24">
      <c r="A980" s="385" t="s">
        <v>65</v>
      </c>
      <c r="B980" s="385" t="s">
        <v>383</v>
      </c>
      <c r="C980" s="385" t="s">
        <v>2744</v>
      </c>
      <c r="D980" s="385" t="s">
        <v>88</v>
      </c>
      <c r="E980" s="385"/>
      <c r="F980" s="385"/>
      <c r="G980" s="385"/>
      <c r="H980" s="385">
        <v>2025</v>
      </c>
      <c r="I980" s="386">
        <v>45883</v>
      </c>
      <c r="J980" s="30" t="s">
        <v>5107</v>
      </c>
      <c r="K980" s="385"/>
      <c r="L980" s="385"/>
      <c r="M980" s="385"/>
      <c r="N980" s="385"/>
      <c r="O980" s="385"/>
      <c r="P980" s="385" t="str">
        <f>IFERROR(
    IF(
        OR(ISBLANK(I980), ISBLANK(L980)),
        "",
        MAX(
            1,
            IF(
                NETWORKDAYS(I980, L980, Holiday_Dates) &lt;= 0,
                1,
                NETWORKDAYS(I980, L980, Holiday_Dates) - IF(I980 = L980, 0, 1)
            )
        )
    ),
    ""
)</f>
        <v/>
      </c>
      <c r="Q980" s="385" t="str">
        <f>IF(
    OR(ISBLANK(L980), ISBLANK(M980)),
    "",
    MAX(
        1,
        IF(
            NETWORKDAYS(L980, M980, Holiday_Dates) &lt;= 0,
            1,
            NETWORKDAYS(L980, M980, Holiday_Dates) - IF(L980 = M980, 0, 1)
        )
    )
)</f>
        <v/>
      </c>
      <c r="R980" s="385" t="str">
        <f>IFERROR(
    IF(
        OR(ISBLANK(N980), AND(ISBLANK(L980), ISBLANK(M980))),
        "",
        MAX(
            1,
            IF(
                NETWORKDAYS(IF(NOT(ISBLANK(M980)), M980, L980), N980, Holiday_Dates) &lt;= 0,
                1,
                NETWORKDAYS(IF(NOT(ISBLANK(M980)), M980, L980), N980, Holiday_Dates)
                - IF(IF(NOT(ISBLANK(M980)), M980, L980) = N980, 0, 1)
            )
        )
    ),
    ""
)</f>
        <v/>
      </c>
      <c r="S980" s="385" t="str">
        <f>IFERROR(
    IF(
        OR(ISBLANK(N980), ISBLANK(O980)),
        "",
        MAX(
            1,
            IF(
                NETWORKDAYS(N980, O980, Holiday_Dates) &lt;= 0,
                1,
                NETWORKDAYS(N980, O980, Holiday_Dates) - IF(N980 = O980, 0, 1)
            )
        )
    ),
    ""
)</f>
        <v/>
      </c>
      <c r="T980" s="385"/>
      <c r="U980" s="385" t="s">
        <v>672</v>
      </c>
      <c r="V980" s="385" t="s">
        <v>101</v>
      </c>
      <c r="W980" s="385" t="s">
        <v>1436</v>
      </c>
      <c r="X980" s="1"/>
    </row>
    <row r="981" spans="1:24">
      <c r="A981" s="385" t="s">
        <v>65</v>
      </c>
      <c r="B981" s="385" t="s">
        <v>383</v>
      </c>
      <c r="C981" s="385" t="s">
        <v>2745</v>
      </c>
      <c r="D981" s="385" t="s">
        <v>88</v>
      </c>
      <c r="E981" s="385"/>
      <c r="F981" s="385"/>
      <c r="G981" s="385"/>
      <c r="H981" s="385">
        <v>2025</v>
      </c>
      <c r="I981" s="386">
        <v>45918</v>
      </c>
      <c r="J981" s="30" t="s">
        <v>5108</v>
      </c>
      <c r="K981" s="385"/>
      <c r="L981" s="385"/>
      <c r="M981" s="385"/>
      <c r="N981" s="385"/>
      <c r="O981" s="385"/>
      <c r="P981" s="385" t="str">
        <f>IFERROR(
    IF(
        OR(ISBLANK(I981), ISBLANK(L981)),
        "",
        MAX(
            1,
            IF(
                NETWORKDAYS(I981, L981, Holiday_Dates) &lt;= 0,
                1,
                NETWORKDAYS(I981, L981, Holiday_Dates) - IF(I981 = L981, 0, 1)
            )
        )
    ),
    ""
)</f>
        <v/>
      </c>
      <c r="Q981" s="385" t="str">
        <f>IF(
    OR(ISBLANK(L981), ISBLANK(M981)),
    "",
    MAX(
        1,
        IF(
            NETWORKDAYS(L981, M981, Holiday_Dates) &lt;= 0,
            1,
            NETWORKDAYS(L981, M981, Holiday_Dates) - IF(L981 = M981, 0, 1)
        )
    )
)</f>
        <v/>
      </c>
      <c r="R981" s="385" t="str">
        <f>IFERROR(
    IF(
        OR(ISBLANK(N981), AND(ISBLANK(L981), ISBLANK(M981))),
        "",
        MAX(
            1,
            IF(
                NETWORKDAYS(IF(NOT(ISBLANK(M981)), M981, L981), N981, Holiday_Dates) &lt;= 0,
                1,
                NETWORKDAYS(IF(NOT(ISBLANK(M981)), M981, L981), N981, Holiday_Dates)
                - IF(IF(NOT(ISBLANK(M981)), M981, L981) = N981, 0, 1)
            )
        )
    ),
    ""
)</f>
        <v/>
      </c>
      <c r="S981" s="385" t="str">
        <f>IFERROR(
    IF(
        OR(ISBLANK(N981), ISBLANK(O981)),
        "",
        MAX(
            1,
            IF(
                NETWORKDAYS(N981, O981, Holiday_Dates) &lt;= 0,
                1,
                NETWORKDAYS(N981, O981, Holiday_Dates) - IF(N981 = O981, 0, 1)
            )
        )
    ),
    ""
)</f>
        <v/>
      </c>
      <c r="T981" s="385"/>
      <c r="U981" s="385" t="s">
        <v>672</v>
      </c>
      <c r="V981" s="385" t="s">
        <v>101</v>
      </c>
      <c r="W981" s="385" t="s">
        <v>1436</v>
      </c>
      <c r="X981" s="1"/>
    </row>
    <row r="982" spans="1:24">
      <c r="A982" s="385" t="s">
        <v>65</v>
      </c>
      <c r="B982" s="385" t="s">
        <v>383</v>
      </c>
      <c r="C982" s="385" t="s">
        <v>2345</v>
      </c>
      <c r="D982" s="385" t="s">
        <v>88</v>
      </c>
      <c r="E982" s="385"/>
      <c r="F982" s="385"/>
      <c r="G982" s="385"/>
      <c r="H982" s="385">
        <v>2025</v>
      </c>
      <c r="I982" s="386">
        <v>45925</v>
      </c>
      <c r="J982" s="30" t="s">
        <v>5109</v>
      </c>
      <c r="K982" s="385"/>
      <c r="L982" s="385"/>
      <c r="M982" s="385"/>
      <c r="N982" s="385"/>
      <c r="O982" s="385"/>
      <c r="P982" s="385" t="str">
        <f>IFERROR(
    IF(
        OR(ISBLANK(I982), ISBLANK(L982)),
        "",
        MAX(
            1,
            IF(
                NETWORKDAYS(I982, L982, Holiday_Dates) &lt;= 0,
                1,
                NETWORKDAYS(I982, L982, Holiday_Dates) - IF(I982 = L982, 0, 1)
            )
        )
    ),
    ""
)</f>
        <v/>
      </c>
      <c r="Q982" s="385" t="str">
        <f>IF(
    OR(ISBLANK(L982), ISBLANK(M982)),
    "",
    MAX(
        1,
        IF(
            NETWORKDAYS(L982, M982, Holiday_Dates) &lt;= 0,
            1,
            NETWORKDAYS(L982, M982, Holiday_Dates) - IF(L982 = M982, 0, 1)
        )
    )
)</f>
        <v/>
      </c>
      <c r="R982" s="385" t="str">
        <f>IFERROR(
    IF(
        OR(ISBLANK(N982), AND(ISBLANK(L982), ISBLANK(M982))),
        "",
        MAX(
            1,
            IF(
                NETWORKDAYS(IF(NOT(ISBLANK(M982)), M982, L982), N982, Holiday_Dates) &lt;= 0,
                1,
                NETWORKDAYS(IF(NOT(ISBLANK(M982)), M982, L982), N982, Holiday_Dates)
                - IF(IF(NOT(ISBLANK(M982)), M982, L982) = N982, 0, 1)
            )
        )
    ),
    ""
)</f>
        <v/>
      </c>
      <c r="S982" s="385" t="str">
        <f>IFERROR(
    IF(
        OR(ISBLANK(N982), ISBLANK(O982)),
        "",
        MAX(
            1,
            IF(
                NETWORKDAYS(N982, O982, Holiday_Dates) &lt;= 0,
                1,
                NETWORKDAYS(N982, O982, Holiday_Dates) - IF(N982 = O982, 0, 1)
            )
        )
    ),
    ""
)</f>
        <v/>
      </c>
      <c r="T982" s="385"/>
      <c r="U982" s="385" t="s">
        <v>672</v>
      </c>
      <c r="V982" s="385" t="s">
        <v>101</v>
      </c>
      <c r="W982" s="385" t="s">
        <v>1436</v>
      </c>
      <c r="X982" s="1"/>
    </row>
    <row r="983" spans="1:24">
      <c r="A983" s="385" t="s">
        <v>51</v>
      </c>
      <c r="B983" s="385" t="s">
        <v>448</v>
      </c>
      <c r="C983" s="385" t="s">
        <v>715</v>
      </c>
      <c r="D983" s="385" t="s">
        <v>88</v>
      </c>
      <c r="E983" s="385" t="s">
        <v>33</v>
      </c>
      <c r="F983" s="385"/>
      <c r="G983" s="385" t="s">
        <v>239</v>
      </c>
      <c r="H983" s="385"/>
      <c r="I983" s="385"/>
      <c r="J983" s="30"/>
      <c r="K983" s="388" t="s">
        <v>45</v>
      </c>
      <c r="L983" s="385"/>
      <c r="M983" s="385"/>
      <c r="N983" s="385"/>
      <c r="O983" s="385"/>
      <c r="P983" s="385" t="str">
        <f>IFERROR(
    IF(
        OR(ISBLANK(I983), ISBLANK(L983)),
        "",
        MAX(
            1,
            IF(
                NETWORKDAYS(I983, L983, Holiday_Dates) &lt;= 0,
                1,
                NETWORKDAYS(I983, L983, Holiday_Dates) - IF(I983 = L983, 0, 1)
            )
        )
    ),
    ""
)</f>
        <v/>
      </c>
      <c r="Q983" s="385" t="str">
        <f>IF(
    OR(ISBLANK(L983), ISBLANK(M983)),
    "",
    MAX(
        1,
        IF(
            NETWORKDAYS(L983, M983, Holiday_Dates) &lt;= 0,
            1,
            NETWORKDAYS(L983, M983, Holiday_Dates) - IF(L983 = M983, 0, 1)
        )
    )
)</f>
        <v/>
      </c>
      <c r="R983" s="385" t="str">
        <f>IFERROR(
    IF(
        OR(ISBLANK(N983), AND(ISBLANK(L983), ISBLANK(M983))),
        "",
        MAX(
            1,
            IF(
                NETWORKDAYS(IF(NOT(ISBLANK(M983)), M983, L983), N983, Holiday_Dates) &lt;= 0,
                1,
                NETWORKDAYS(IF(NOT(ISBLANK(M983)), M983, L983), N983, Holiday_Dates)
                - IF(IF(NOT(ISBLANK(M983)), M983, L983) = N983, 0, 1)
            )
        )
    ),
    ""
)</f>
        <v/>
      </c>
      <c r="S983" s="385" t="str">
        <f>IFERROR(
    IF(
        OR(ISBLANK(N983), ISBLANK(O983)),
        "",
        MAX(
            1,
            IF(
                NETWORKDAYS(N983, O983, Holiday_Dates) &lt;= 0,
                1,
                NETWORKDAYS(N983, O983, Holiday_Dates) - IF(N983 = O983, 0, 1)
            )
        )
    ),
    ""
)</f>
        <v/>
      </c>
      <c r="T983" s="385"/>
      <c r="U983" s="385"/>
      <c r="V983" s="385"/>
      <c r="W983" s="385" t="s">
        <v>4710</v>
      </c>
      <c r="X983" s="1"/>
    </row>
    <row r="984" spans="1:24">
      <c r="A984" s="385" t="s">
        <v>51</v>
      </c>
      <c r="B984" s="385" t="s">
        <v>448</v>
      </c>
      <c r="C984" s="385" t="s">
        <v>3633</v>
      </c>
      <c r="D984" s="385" t="s">
        <v>88</v>
      </c>
      <c r="E984" s="385" t="s">
        <v>33</v>
      </c>
      <c r="F984" s="385"/>
      <c r="G984" s="385" t="s">
        <v>239</v>
      </c>
      <c r="H984" s="385">
        <v>2026</v>
      </c>
      <c r="I984" s="386">
        <v>46086</v>
      </c>
      <c r="J984" s="30" t="s">
        <v>5110</v>
      </c>
      <c r="K984" s="388" t="s">
        <v>45</v>
      </c>
      <c r="L984" s="386">
        <v>46088</v>
      </c>
      <c r="M984" s="385"/>
      <c r="N984" s="386">
        <v>46090</v>
      </c>
      <c r="O984" s="386">
        <v>46090</v>
      </c>
      <c r="P984" s="385">
        <f>IFERROR(
    IF(
        OR(ISBLANK(I984), ISBLANK(L984)),
        "",
        MAX(
            1,
            IF(
                NETWORKDAYS(I984, L984, Holiday_Dates) &lt;= 0,
                1,
                NETWORKDAYS(I984, L984, Holiday_Dates) - IF(I984 = L984, 0, 1)
            )
        )
    ),
    ""
)</f>
        <v>1</v>
      </c>
      <c r="Q984" s="385" t="str">
        <f>IF(
    OR(ISBLANK(L984), ISBLANK(M984)),
    "",
    MAX(
        1,
        IF(
            NETWORKDAYS(L984, M984, Holiday_Dates) &lt;= 0,
            1,
            NETWORKDAYS(L984, M984, Holiday_Dates) - IF(L984 = M984, 0, 1)
        )
    )
)</f>
        <v/>
      </c>
      <c r="R984" s="385">
        <f>IFERROR(
    IF(
        OR(ISBLANK(N984), AND(ISBLANK(L984), ISBLANK(M984))),
        "",
        MAX(
            1,
            IF(
                NETWORKDAYS(IF(NOT(ISBLANK(M984)), M984, L984), N984, Holiday_Dates) &lt;= 0,
                1,
                NETWORKDAYS(IF(NOT(ISBLANK(M984)), M984, L984), N984, Holiday_Dates)
                - IF(IF(NOT(ISBLANK(M984)), M984, L984) = N984, 0, 1)
            )
        )
    ),
    ""
)</f>
        <v>1</v>
      </c>
      <c r="S984" s="385">
        <f>IFERROR(
    IF(
        OR(ISBLANK(N984), ISBLANK(O984)),
        "",
        MAX(
            1,
            IF(
                NETWORKDAYS(N984, O984, Holiday_Dates) &lt;= 0,
                1,
                NETWORKDAYS(N984, O984, Holiday_Dates) - IF(N984 = O984, 0, 1)
            )
        )
    ),
    ""
)</f>
        <v>1</v>
      </c>
      <c r="T984" s="385" t="s">
        <v>929</v>
      </c>
      <c r="U984" s="395" t="s">
        <v>4</v>
      </c>
      <c r="V984" s="385" t="s">
        <v>101</v>
      </c>
      <c r="W984" s="385" t="s">
        <v>4710</v>
      </c>
      <c r="X984" s="1"/>
    </row>
    <row r="985" spans="1:24">
      <c r="A985" s="385" t="s">
        <v>65</v>
      </c>
      <c r="B985" s="385" t="s">
        <v>383</v>
      </c>
      <c r="C985" s="385" t="s">
        <v>1658</v>
      </c>
      <c r="D985" s="385" t="s">
        <v>88</v>
      </c>
      <c r="E985" s="385"/>
      <c r="F985" s="385"/>
      <c r="G985" s="385"/>
      <c r="H985" s="385">
        <v>2025</v>
      </c>
      <c r="I985" s="386">
        <v>45883</v>
      </c>
      <c r="J985" s="30" t="s">
        <v>5111</v>
      </c>
      <c r="K985" s="385"/>
      <c r="L985" s="385"/>
      <c r="M985" s="385"/>
      <c r="N985" s="385"/>
      <c r="O985" s="385"/>
      <c r="P985" s="385" t="str">
        <f>IFERROR(
    IF(
        OR(ISBLANK(I985), ISBLANK(L985)),
        "",
        MAX(
            1,
            IF(
                NETWORKDAYS(I985, L985, Holiday_Dates) &lt;= 0,
                1,
                NETWORKDAYS(I985, L985, Holiday_Dates) - IF(I985 = L985, 0, 1)
            )
        )
    ),
    ""
)</f>
        <v/>
      </c>
      <c r="Q985" s="385" t="str">
        <f>IF(
    OR(ISBLANK(L985), ISBLANK(M985)),
    "",
    MAX(
        1,
        IF(
            NETWORKDAYS(L985, M985, Holiday_Dates) &lt;= 0,
            1,
            NETWORKDAYS(L985, M985, Holiday_Dates) - IF(L985 = M985, 0, 1)
        )
    )
)</f>
        <v/>
      </c>
      <c r="R985" s="385" t="str">
        <f>IFERROR(
    IF(
        OR(ISBLANK(N985), AND(ISBLANK(L985), ISBLANK(M985))),
        "",
        MAX(
            1,
            IF(
                NETWORKDAYS(IF(NOT(ISBLANK(M985)), M985, L985), N985, Holiday_Dates) &lt;= 0,
                1,
                NETWORKDAYS(IF(NOT(ISBLANK(M985)), M985, L985), N985, Holiday_Dates)
                - IF(IF(NOT(ISBLANK(M985)), M985, L985) = N985, 0, 1)
            )
        )
    ),
    ""
)</f>
        <v/>
      </c>
      <c r="S985" s="385" t="str">
        <f>IFERROR(
    IF(
        OR(ISBLANK(N985), ISBLANK(O985)),
        "",
        MAX(
            1,
            IF(
                NETWORKDAYS(N985, O985, Holiday_Dates) &lt;= 0,
                1,
                NETWORKDAYS(N985, O985, Holiday_Dates) - IF(N985 = O985, 0, 1)
            )
        )
    ),
    ""
)</f>
        <v/>
      </c>
      <c r="T985" s="385"/>
      <c r="U985" s="385" t="s">
        <v>672</v>
      </c>
      <c r="V985" s="385" t="s">
        <v>101</v>
      </c>
      <c r="W985" s="385" t="s">
        <v>1436</v>
      </c>
      <c r="X985" s="1"/>
    </row>
    <row r="986" spans="1:24">
      <c r="A986" s="385" t="s">
        <v>51</v>
      </c>
      <c r="B986" s="385" t="s">
        <v>448</v>
      </c>
      <c r="C986" s="385" t="s">
        <v>881</v>
      </c>
      <c r="D986" s="385" t="s">
        <v>88</v>
      </c>
      <c r="E986" s="385" t="s">
        <v>33</v>
      </c>
      <c r="F986" s="385"/>
      <c r="G986" s="385" t="s">
        <v>239</v>
      </c>
      <c r="H986" s="385"/>
      <c r="I986" s="385"/>
      <c r="J986" s="30"/>
      <c r="K986" s="388" t="s">
        <v>45</v>
      </c>
      <c r="L986" s="385"/>
      <c r="M986" s="385"/>
      <c r="N986" s="385"/>
      <c r="O986" s="385"/>
      <c r="P986" s="385" t="str">
        <f>IFERROR(
    IF(
        OR(ISBLANK(I986), ISBLANK(L986)),
        "",
        MAX(
            1,
            IF(
                NETWORKDAYS(I986, L986, Holiday_Dates) &lt;= 0,
                1,
                NETWORKDAYS(I986, L986, Holiday_Dates) - IF(I986 = L986, 0, 1)
            )
        )
    ),
    ""
)</f>
        <v/>
      </c>
      <c r="Q986" s="385" t="str">
        <f>IF(
    OR(ISBLANK(L986), ISBLANK(M986)),
    "",
    MAX(
        1,
        IF(
            NETWORKDAYS(L986, M986, Holiday_Dates) &lt;= 0,
            1,
            NETWORKDAYS(L986, M986, Holiday_Dates) - IF(L986 = M986, 0, 1)
        )
    )
)</f>
        <v/>
      </c>
      <c r="R986" s="385" t="str">
        <f>IFERROR(
    IF(
        OR(ISBLANK(N986), AND(ISBLANK(L986), ISBLANK(M986))),
        "",
        MAX(
            1,
            IF(
                NETWORKDAYS(IF(NOT(ISBLANK(M986)), M986, L986), N986, Holiday_Dates) &lt;= 0,
                1,
                NETWORKDAYS(IF(NOT(ISBLANK(M986)), M986, L986), N986, Holiday_Dates)
                - IF(IF(NOT(ISBLANK(M986)), M986, L986) = N986, 0, 1)
            )
        )
    ),
    ""
)</f>
        <v/>
      </c>
      <c r="S986" s="385" t="str">
        <f>IFERROR(
    IF(
        OR(ISBLANK(N986), ISBLANK(O986)),
        "",
        MAX(
            1,
            IF(
                NETWORKDAYS(N986, O986, Holiday_Dates) &lt;= 0,
                1,
                NETWORKDAYS(N986, O986, Holiday_Dates) - IF(N986 = O986, 0, 1)
            )
        )
    ),
    ""
)</f>
        <v/>
      </c>
      <c r="T986" s="385"/>
      <c r="U986" s="385"/>
      <c r="V986" s="385"/>
      <c r="W986" s="385" t="s">
        <v>4710</v>
      </c>
      <c r="X986" s="1"/>
    </row>
    <row r="987" spans="1:24">
      <c r="A987" s="385" t="s">
        <v>51</v>
      </c>
      <c r="B987" s="385" t="s">
        <v>448</v>
      </c>
      <c r="C987" s="385" t="s">
        <v>2234</v>
      </c>
      <c r="D987" s="385" t="s">
        <v>88</v>
      </c>
      <c r="E987" s="385" t="s">
        <v>33</v>
      </c>
      <c r="F987" s="385"/>
      <c r="G987" s="385" t="s">
        <v>239</v>
      </c>
      <c r="H987" s="385"/>
      <c r="I987" s="385"/>
      <c r="J987" s="30"/>
      <c r="K987" s="388" t="s">
        <v>45</v>
      </c>
      <c r="L987" s="385"/>
      <c r="M987" s="385"/>
      <c r="N987" s="385"/>
      <c r="O987" s="385"/>
      <c r="P987" s="385" t="str">
        <f>IFERROR(
    IF(
        OR(ISBLANK(I987), ISBLANK(L987)),
        "",
        MAX(
            1,
            IF(
                NETWORKDAYS(I987, L987, Holiday_Dates) &lt;= 0,
                1,
                NETWORKDAYS(I987, L987, Holiday_Dates) - IF(I987 = L987, 0, 1)
            )
        )
    ),
    ""
)</f>
        <v/>
      </c>
      <c r="Q987" s="385" t="str">
        <f>IF(
    OR(ISBLANK(L987), ISBLANK(M987)),
    "",
    MAX(
        1,
        IF(
            NETWORKDAYS(L987, M987, Holiday_Dates) &lt;= 0,
            1,
            NETWORKDAYS(L987, M987, Holiday_Dates) - IF(L987 = M987, 0, 1)
        )
    )
)</f>
        <v/>
      </c>
      <c r="R987" s="385" t="str">
        <f>IFERROR(
    IF(
        OR(ISBLANK(N987), AND(ISBLANK(L987), ISBLANK(M987))),
        "",
        MAX(
            1,
            IF(
                NETWORKDAYS(IF(NOT(ISBLANK(M987)), M987, L987), N987, Holiday_Dates) &lt;= 0,
                1,
                NETWORKDAYS(IF(NOT(ISBLANK(M987)), M987, L987), N987, Holiday_Dates)
                - IF(IF(NOT(ISBLANK(M987)), M987, L987) = N987, 0, 1)
            )
        )
    ),
    ""
)</f>
        <v/>
      </c>
      <c r="S987" s="385" t="str">
        <f>IFERROR(
    IF(
        OR(ISBLANK(N987), ISBLANK(O987)),
        "",
        MAX(
            1,
            IF(
                NETWORKDAYS(N987, O987, Holiday_Dates) &lt;= 0,
                1,
                NETWORKDAYS(N987, O987, Holiday_Dates) - IF(N987 = O987, 0, 1)
            )
        )
    ),
    ""
)</f>
        <v/>
      </c>
      <c r="T987" s="385"/>
      <c r="U987" s="385"/>
      <c r="V987" s="385"/>
      <c r="W987" s="385" t="s">
        <v>4710</v>
      </c>
      <c r="X987" s="1"/>
    </row>
    <row r="988" spans="1:24">
      <c r="A988" s="385" t="s">
        <v>51</v>
      </c>
      <c r="B988" s="385" t="s">
        <v>448</v>
      </c>
      <c r="C988" s="385" t="s">
        <v>2345</v>
      </c>
      <c r="D988" s="385" t="s">
        <v>88</v>
      </c>
      <c r="E988" s="385" t="s">
        <v>33</v>
      </c>
      <c r="F988" s="385"/>
      <c r="G988" s="385" t="s">
        <v>239</v>
      </c>
      <c r="H988" s="385"/>
      <c r="I988" s="385"/>
      <c r="J988" s="30"/>
      <c r="K988" s="388" t="s">
        <v>45</v>
      </c>
      <c r="L988" s="385"/>
      <c r="M988" s="385"/>
      <c r="N988" s="385"/>
      <c r="O988" s="385"/>
      <c r="P988" s="385" t="str">
        <f>IFERROR(
    IF(
        OR(ISBLANK(I988), ISBLANK(L988)),
        "",
        MAX(
            1,
            IF(
                NETWORKDAYS(I988, L988, Holiday_Dates) &lt;= 0,
                1,
                NETWORKDAYS(I988, L988, Holiday_Dates) - IF(I988 = L988, 0, 1)
            )
        )
    ),
    ""
)</f>
        <v/>
      </c>
      <c r="Q988" s="385" t="str">
        <f>IF(
    OR(ISBLANK(L988), ISBLANK(M988)),
    "",
    MAX(
        1,
        IF(
            NETWORKDAYS(L988, M988, Holiday_Dates) &lt;= 0,
            1,
            NETWORKDAYS(L988, M988, Holiday_Dates) - IF(L988 = M988, 0, 1)
        )
    )
)</f>
        <v/>
      </c>
      <c r="R988" s="385" t="str">
        <f>IFERROR(
    IF(
        OR(ISBLANK(N988), AND(ISBLANK(L988), ISBLANK(M988))),
        "",
        MAX(
            1,
            IF(
                NETWORKDAYS(IF(NOT(ISBLANK(M988)), M988, L988), N988, Holiday_Dates) &lt;= 0,
                1,
                NETWORKDAYS(IF(NOT(ISBLANK(M988)), M988, L988), N988, Holiday_Dates)
                - IF(IF(NOT(ISBLANK(M988)), M988, L988) = N988, 0, 1)
            )
        )
    ),
    ""
)</f>
        <v/>
      </c>
      <c r="S988" s="385" t="str">
        <f>IFERROR(
    IF(
        OR(ISBLANK(N988), ISBLANK(O988)),
        "",
        MAX(
            1,
            IF(
                NETWORKDAYS(N988, O988, Holiday_Dates) &lt;= 0,
                1,
                NETWORKDAYS(N988, O988, Holiday_Dates) - IF(N988 = O988, 0, 1)
            )
        )
    ),
    ""
)</f>
        <v/>
      </c>
      <c r="T988" s="385"/>
      <c r="U988" s="385"/>
      <c r="V988" s="385"/>
      <c r="W988" s="385" t="s">
        <v>4710</v>
      </c>
      <c r="X988" s="1"/>
    </row>
    <row r="989" spans="1:24">
      <c r="A989" s="385" t="s">
        <v>51</v>
      </c>
      <c r="B989" s="385" t="s">
        <v>354</v>
      </c>
      <c r="C989" s="385" t="s">
        <v>2282</v>
      </c>
      <c r="D989" s="385" t="s">
        <v>88</v>
      </c>
      <c r="E989" s="385" t="s">
        <v>145</v>
      </c>
      <c r="F989" s="385"/>
      <c r="G989" s="385" t="s">
        <v>133</v>
      </c>
      <c r="H989" s="385">
        <v>2026</v>
      </c>
      <c r="I989" s="386">
        <v>46085</v>
      </c>
      <c r="J989" s="30" t="s">
        <v>5112</v>
      </c>
      <c r="K989" s="388" t="s">
        <v>45</v>
      </c>
      <c r="L989" s="386">
        <v>46088</v>
      </c>
      <c r="M989" s="385"/>
      <c r="N989" s="386">
        <v>46091</v>
      </c>
      <c r="O989" s="386">
        <v>46093</v>
      </c>
      <c r="P989" s="385">
        <f>IFERROR(
    IF(
        OR(ISBLANK(I989), ISBLANK(L989)),
        "",
        MAX(
            1,
            IF(
                NETWORKDAYS(I989, L989, Holiday_Dates) &lt;= 0,
                1,
                NETWORKDAYS(I989, L989, Holiday_Dates) - IF(I989 = L989, 0, 1)
            )
        )
    ),
    ""
)</f>
        <v>2</v>
      </c>
      <c r="Q989" s="385" t="str">
        <f>IF(
    OR(ISBLANK(L989), ISBLANK(M989)),
    "",
    MAX(
        1,
        IF(
            NETWORKDAYS(L989, M989, Holiday_Dates) &lt;= 0,
            1,
            NETWORKDAYS(L989, M989, Holiday_Dates) - IF(L989 = M989, 0, 1)
        )
    )
)</f>
        <v/>
      </c>
      <c r="R989" s="385">
        <f>IFERROR(
    IF(
        OR(ISBLANK(N989), AND(ISBLANK(L989), ISBLANK(M989))),
        "",
        MAX(
            1,
            IF(
                NETWORKDAYS(IF(NOT(ISBLANK(M989)), M989, L989), N989, Holiday_Dates) &lt;= 0,
                1,
                NETWORKDAYS(IF(NOT(ISBLANK(M989)), M989, L989), N989, Holiday_Dates)
                - IF(IF(NOT(ISBLANK(M989)), M989, L989) = N989, 0, 1)
            )
        )
    ),
    ""
)</f>
        <v>1</v>
      </c>
      <c r="S989" s="385">
        <f>IFERROR(
    IF(
        OR(ISBLANK(N989), ISBLANK(O989)),
        "",
        MAX(
            1,
            IF(
                NETWORKDAYS(N989, O989, Holiday_Dates) &lt;= 0,
                1,
                NETWORKDAYS(N989, O989, Holiday_Dates) - IF(N989 = O989, 0, 1)
            )
        )
    ),
    ""
)</f>
        <v>2</v>
      </c>
      <c r="T989" s="385" t="s">
        <v>929</v>
      </c>
      <c r="U989" s="385" t="s">
        <v>4708</v>
      </c>
      <c r="V989" s="385" t="s">
        <v>4782</v>
      </c>
      <c r="W989" s="385" t="s">
        <v>4710</v>
      </c>
      <c r="X989" s="1"/>
    </row>
    <row r="990" spans="1:24">
      <c r="A990" s="385" t="s">
        <v>51</v>
      </c>
      <c r="B990" s="385" t="s">
        <v>354</v>
      </c>
      <c r="C990" s="385" t="s">
        <v>3655</v>
      </c>
      <c r="D990" s="385" t="s">
        <v>88</v>
      </c>
      <c r="E990" s="385" t="s">
        <v>145</v>
      </c>
      <c r="F990" s="385"/>
      <c r="G990" s="385" t="s">
        <v>133</v>
      </c>
      <c r="H990" s="385">
        <v>2026</v>
      </c>
      <c r="I990" s="386">
        <v>46084</v>
      </c>
      <c r="J990" s="30" t="s">
        <v>5113</v>
      </c>
      <c r="K990" s="388" t="s">
        <v>45</v>
      </c>
      <c r="L990" s="386">
        <v>46088</v>
      </c>
      <c r="M990" s="385"/>
      <c r="N990" s="386">
        <v>46091</v>
      </c>
      <c r="O990" s="386">
        <v>46093</v>
      </c>
      <c r="P990" s="385">
        <f>IFERROR(
    IF(
        OR(ISBLANK(I990), ISBLANK(L990)),
        "",
        MAX(
            1,
            IF(
                NETWORKDAYS(I990, L990, Holiday_Dates) &lt;= 0,
                1,
                NETWORKDAYS(I990, L990, Holiday_Dates) - IF(I990 = L990, 0, 1)
            )
        )
    ),
    ""
)</f>
        <v>3</v>
      </c>
      <c r="Q990" s="385" t="str">
        <f>IF(
    OR(ISBLANK(L990), ISBLANK(M990)),
    "",
    MAX(
        1,
        IF(
            NETWORKDAYS(L990, M990, Holiday_Dates) &lt;= 0,
            1,
            NETWORKDAYS(L990, M990, Holiday_Dates) - IF(L990 = M990, 0, 1)
        )
    )
)</f>
        <v/>
      </c>
      <c r="R990" s="385">
        <f>IFERROR(
    IF(
        OR(ISBLANK(N990), AND(ISBLANK(L990), ISBLANK(M990))),
        "",
        MAX(
            1,
            IF(
                NETWORKDAYS(IF(NOT(ISBLANK(M990)), M990, L990), N990, Holiday_Dates) &lt;= 0,
                1,
                NETWORKDAYS(IF(NOT(ISBLANK(M990)), M990, L990), N990, Holiday_Dates)
                - IF(IF(NOT(ISBLANK(M990)), M990, L990) = N990, 0, 1)
            )
        )
    ),
    ""
)</f>
        <v>1</v>
      </c>
      <c r="S990" s="385">
        <f>IFERROR(
    IF(
        OR(ISBLANK(N990), ISBLANK(O990)),
        "",
        MAX(
            1,
            IF(
                NETWORKDAYS(N990, O990, Holiday_Dates) &lt;= 0,
                1,
                NETWORKDAYS(N990, O990, Holiday_Dates) - IF(N990 = O990, 0, 1)
            )
        )
    ),
    ""
)</f>
        <v>2</v>
      </c>
      <c r="T990" s="385" t="s">
        <v>929</v>
      </c>
      <c r="U990" s="385" t="s">
        <v>4708</v>
      </c>
      <c r="V990" s="385" t="s">
        <v>4782</v>
      </c>
      <c r="W990" s="385" t="s">
        <v>4710</v>
      </c>
      <c r="X990" s="1"/>
    </row>
    <row r="991" spans="1:24">
      <c r="A991" s="385" t="s">
        <v>51</v>
      </c>
      <c r="B991" s="385" t="s">
        <v>532</v>
      </c>
      <c r="C991" s="385" t="s">
        <v>3657</v>
      </c>
      <c r="D991" s="385" t="s">
        <v>88</v>
      </c>
      <c r="E991" s="385" t="s">
        <v>145</v>
      </c>
      <c r="F991" s="385"/>
      <c r="G991" s="385" t="s">
        <v>133</v>
      </c>
      <c r="H991" s="385">
        <v>2026</v>
      </c>
      <c r="I991" s="386">
        <v>46091</v>
      </c>
      <c r="J991" s="30" t="s">
        <v>5114</v>
      </c>
      <c r="K991" s="388" t="s">
        <v>45</v>
      </c>
      <c r="L991" s="386">
        <v>46092</v>
      </c>
      <c r="M991" s="385"/>
      <c r="N991" s="386">
        <v>46092</v>
      </c>
      <c r="O991" s="386">
        <v>46093</v>
      </c>
      <c r="P991" s="385">
        <f>IFERROR(
    IF(
        OR(ISBLANK(I991), ISBLANK(L991)),
        "",
        MAX(
            1,
            IF(
                NETWORKDAYS(I991, L991, Holiday_Dates) &lt;= 0,
                1,
                NETWORKDAYS(I991, L991, Holiday_Dates) - IF(I991 = L991, 0, 1)
            )
        )
    ),
    ""
)</f>
        <v>1</v>
      </c>
      <c r="Q991" s="385" t="str">
        <f>IF(
    OR(ISBLANK(L991), ISBLANK(M991)),
    "",
    MAX(
        1,
        IF(
            NETWORKDAYS(L991, M991, Holiday_Dates) &lt;= 0,
            1,
            NETWORKDAYS(L991, M991, Holiday_Dates) - IF(L991 = M991, 0, 1)
        )
    )
)</f>
        <v/>
      </c>
      <c r="R991" s="385">
        <f>IFERROR(
    IF(
        OR(ISBLANK(N991), AND(ISBLANK(L991), ISBLANK(M991))),
        "",
        MAX(
            1,
            IF(
                NETWORKDAYS(IF(NOT(ISBLANK(M991)), M991, L991), N991, Holiday_Dates) &lt;= 0,
                1,
                NETWORKDAYS(IF(NOT(ISBLANK(M991)), M991, L991), N991, Holiday_Dates)
                - IF(IF(NOT(ISBLANK(M991)), M991, L991) = N991, 0, 1)
            )
        )
    ),
    ""
)</f>
        <v>1</v>
      </c>
      <c r="S991" s="385">
        <f>IFERROR(
    IF(
        OR(ISBLANK(N991), ISBLANK(O991)),
        "",
        MAX(
            1,
            IF(
                NETWORKDAYS(N991, O991, Holiday_Dates) &lt;= 0,
                1,
                NETWORKDAYS(N991, O991, Holiday_Dates) - IF(N991 = O991, 0, 1)
            )
        )
    ),
    ""
)</f>
        <v>1</v>
      </c>
      <c r="T991" s="385" t="s">
        <v>929</v>
      </c>
      <c r="U991" s="385" t="s">
        <v>5046</v>
      </c>
      <c r="V991" s="385" t="s">
        <v>4782</v>
      </c>
      <c r="W991" s="385" t="s">
        <v>4710</v>
      </c>
      <c r="X991" s="1"/>
    </row>
    <row r="992" spans="1:24">
      <c r="A992" s="385" t="s">
        <v>51</v>
      </c>
      <c r="B992" s="385" t="s">
        <v>532</v>
      </c>
      <c r="C992" s="385" t="s">
        <v>3659</v>
      </c>
      <c r="D992" s="385" t="s">
        <v>88</v>
      </c>
      <c r="E992" s="385" t="s">
        <v>145</v>
      </c>
      <c r="F992" s="385"/>
      <c r="G992" s="385" t="s">
        <v>133</v>
      </c>
      <c r="H992" s="385">
        <v>2026</v>
      </c>
      <c r="I992" s="386">
        <v>46091</v>
      </c>
      <c r="J992" s="30" t="s">
        <v>5115</v>
      </c>
      <c r="K992" s="388" t="s">
        <v>45</v>
      </c>
      <c r="L992" s="386">
        <v>46092</v>
      </c>
      <c r="M992" s="385"/>
      <c r="N992" s="386">
        <v>46092</v>
      </c>
      <c r="O992" s="386">
        <v>46093</v>
      </c>
      <c r="P992" s="385">
        <f>IFERROR(
    IF(
        OR(ISBLANK(I992), ISBLANK(L992)),
        "",
        MAX(
            1,
            IF(
                NETWORKDAYS(I992, L992, Holiday_Dates) &lt;= 0,
                1,
                NETWORKDAYS(I992, L992, Holiday_Dates) - IF(I992 = L992, 0, 1)
            )
        )
    ),
    ""
)</f>
        <v>1</v>
      </c>
      <c r="Q992" s="385" t="str">
        <f>IF(
    OR(ISBLANK(L992), ISBLANK(M992)),
    "",
    MAX(
        1,
        IF(
            NETWORKDAYS(L992, M992, Holiday_Dates) &lt;= 0,
            1,
            NETWORKDAYS(L992, M992, Holiday_Dates) - IF(L992 = M992, 0, 1)
        )
    )
)</f>
        <v/>
      </c>
      <c r="R992" s="385">
        <f>IFERROR(
    IF(
        OR(ISBLANK(N992), AND(ISBLANK(L992), ISBLANK(M992))),
        "",
        MAX(
            1,
            IF(
                NETWORKDAYS(IF(NOT(ISBLANK(M992)), M992, L992), N992, Holiday_Dates) &lt;= 0,
                1,
                NETWORKDAYS(IF(NOT(ISBLANK(M992)), M992, L992), N992, Holiday_Dates)
                - IF(IF(NOT(ISBLANK(M992)), M992, L992) = N992, 0, 1)
            )
        )
    ),
    ""
)</f>
        <v>1</v>
      </c>
      <c r="S992" s="385">
        <f>IFERROR(
    IF(
        OR(ISBLANK(N992), ISBLANK(O992)),
        "",
        MAX(
            1,
            IF(
                NETWORKDAYS(N992, O992, Holiday_Dates) &lt;= 0,
                1,
                NETWORKDAYS(N992, O992, Holiday_Dates) - IF(N992 = O992, 0, 1)
            )
        )
    ),
    ""
)</f>
        <v>1</v>
      </c>
      <c r="T992" s="385" t="s">
        <v>929</v>
      </c>
      <c r="U992" s="385" t="s">
        <v>4708</v>
      </c>
      <c r="V992" s="385" t="s">
        <v>4782</v>
      </c>
      <c r="W992" s="385" t="s">
        <v>4710</v>
      </c>
      <c r="X992" s="1"/>
    </row>
    <row r="993" spans="1:24">
      <c r="A993" s="385" t="s">
        <v>51</v>
      </c>
      <c r="B993" s="385" t="s">
        <v>532</v>
      </c>
      <c r="C993" s="385" t="s">
        <v>3658</v>
      </c>
      <c r="D993" s="385" t="s">
        <v>88</v>
      </c>
      <c r="E993" s="385" t="s">
        <v>145</v>
      </c>
      <c r="F993" s="385"/>
      <c r="G993" s="385" t="s">
        <v>133</v>
      </c>
      <c r="H993" s="385">
        <v>2026</v>
      </c>
      <c r="I993" s="386">
        <v>46091</v>
      </c>
      <c r="J993" s="30" t="s">
        <v>5116</v>
      </c>
      <c r="K993" s="388" t="s">
        <v>45</v>
      </c>
      <c r="L993" s="386">
        <v>46092</v>
      </c>
      <c r="M993" s="385"/>
      <c r="N993" s="386">
        <v>46092</v>
      </c>
      <c r="O993" s="386">
        <v>46093</v>
      </c>
      <c r="P993" s="385">
        <f>IFERROR(
    IF(
        OR(ISBLANK(I993), ISBLANK(L993)),
        "",
        MAX(
            1,
            IF(
                NETWORKDAYS(I993, L993, Holiday_Dates) &lt;= 0,
                1,
                NETWORKDAYS(I993, L993, Holiday_Dates) - IF(I993 = L993, 0, 1)
            )
        )
    ),
    ""
)</f>
        <v>1</v>
      </c>
      <c r="Q993" s="385" t="str">
        <f>IF(
    OR(ISBLANK(L993), ISBLANK(M993)),
    "",
    MAX(
        1,
        IF(
            NETWORKDAYS(L993, M993, Holiday_Dates) &lt;= 0,
            1,
            NETWORKDAYS(L993, M993, Holiday_Dates) - IF(L993 = M993, 0, 1)
        )
    )
)</f>
        <v/>
      </c>
      <c r="R993" s="385">
        <f>IFERROR(
    IF(
        OR(ISBLANK(N993), AND(ISBLANK(L993), ISBLANK(M993))),
        "",
        MAX(
            1,
            IF(
                NETWORKDAYS(IF(NOT(ISBLANK(M993)), M993, L993), N993, Holiday_Dates) &lt;= 0,
                1,
                NETWORKDAYS(IF(NOT(ISBLANK(M993)), M993, L993), N993, Holiday_Dates)
                - IF(IF(NOT(ISBLANK(M993)), M993, L993) = N993, 0, 1)
            )
        )
    ),
    ""
)</f>
        <v>1</v>
      </c>
      <c r="S993" s="385">
        <f>IFERROR(
    IF(
        OR(ISBLANK(N993), ISBLANK(O993)),
        "",
        MAX(
            1,
            IF(
                NETWORKDAYS(N993, O993, Holiday_Dates) &lt;= 0,
                1,
                NETWORKDAYS(N993, O993, Holiday_Dates) - IF(N993 = O993, 0, 1)
            )
        )
    ),
    ""
)</f>
        <v>1</v>
      </c>
      <c r="T993" s="385" t="s">
        <v>929</v>
      </c>
      <c r="U993" s="385" t="s">
        <v>4708</v>
      </c>
      <c r="V993" s="385" t="s">
        <v>4782</v>
      </c>
      <c r="W993" s="385" t="s">
        <v>4710</v>
      </c>
      <c r="X993" s="1"/>
    </row>
    <row r="994" spans="1:24" s="679" customFormat="1">
      <c r="A994" s="676" t="s">
        <v>65</v>
      </c>
      <c r="B994" s="676" t="s">
        <v>384</v>
      </c>
      <c r="C994" s="676" t="s">
        <v>2755</v>
      </c>
      <c r="D994" s="676" t="s">
        <v>88</v>
      </c>
      <c r="E994" s="676" t="s">
        <v>138</v>
      </c>
      <c r="F994" s="676"/>
      <c r="G994" s="676" t="s">
        <v>130</v>
      </c>
      <c r="H994" s="676">
        <v>2025</v>
      </c>
      <c r="I994" s="675">
        <v>45898</v>
      </c>
      <c r="J994" s="677" t="s">
        <v>5117</v>
      </c>
      <c r="K994" s="676" t="s">
        <v>45</v>
      </c>
      <c r="L994" s="675">
        <v>46084</v>
      </c>
      <c r="M994" s="676"/>
      <c r="N994" s="675">
        <v>46090</v>
      </c>
      <c r="O994" s="675">
        <v>46093</v>
      </c>
      <c r="P994" s="676">
        <f>IFERROR(
    IF(
        OR(ISBLANK(I994), ISBLANK(L994)),
        "",
        MAX(
            1,
            IF(
                NETWORKDAYS(I994, L994, Holiday_Dates) &lt;= 0,
                1,
                NETWORKDAYS(I994, L994, Holiday_Dates) - IF(I994 = L994, 0, 1)
            )
        )
    ),
    ""
)</f>
        <v>131</v>
      </c>
      <c r="Q994" s="676" t="str">
        <f>IF(
    OR(ISBLANK(L994), ISBLANK(M994)),
    "",
    MAX(
        1,
        IF(
            NETWORKDAYS(L994, M994, Holiday_Dates) &lt;= 0,
            1,
            NETWORKDAYS(L994, M994, Holiday_Dates) - IF(L994 = M994, 0, 1)
        )
    )
)</f>
        <v/>
      </c>
      <c r="R994" s="676">
        <f>IFERROR(
    IF(
        OR(ISBLANK(N994), AND(ISBLANK(L994), ISBLANK(M994))),
        "",
        MAX(
            1,
            IF(
                NETWORKDAYS(IF(NOT(ISBLANK(M994)), M994, L994), N994, Holiday_Dates) &lt;= 0,
                1,
                NETWORKDAYS(IF(NOT(ISBLANK(M994)), M994, L994), N994, Holiday_Dates)
                - IF(IF(NOT(ISBLANK(M994)), M994, L994) = N994, 0, 1)
            )
        )
    ),
    ""
)</f>
        <v>4</v>
      </c>
      <c r="S994" s="676">
        <f>IFERROR(
    IF(
        OR(ISBLANK(N994), ISBLANK(O994)),
        "",
        MAX(
            1,
            IF(
                NETWORKDAYS(N994, O994, Holiday_Dates) &lt;= 0,
                1,
                NETWORKDAYS(N994, O994, Holiday_Dates) - IF(N994 = O994, 0, 1)
            )
        )
    ),
    ""
)</f>
        <v>3</v>
      </c>
      <c r="T994" s="676" t="s">
        <v>929</v>
      </c>
      <c r="U994" s="676" t="s">
        <v>4</v>
      </c>
      <c r="V994" s="676" t="s">
        <v>101</v>
      </c>
      <c r="W994" s="385" t="s">
        <v>1436</v>
      </c>
      <c r="X994" s="678" t="s">
        <v>5118</v>
      </c>
    </row>
    <row r="995" spans="1:24">
      <c r="A995" s="385" t="s">
        <v>51</v>
      </c>
      <c r="B995" s="385" t="s">
        <v>532</v>
      </c>
      <c r="C995" s="385" t="s">
        <v>3664</v>
      </c>
      <c r="D995" s="385" t="s">
        <v>88</v>
      </c>
      <c r="E995" s="385" t="s">
        <v>145</v>
      </c>
      <c r="F995" s="385"/>
      <c r="G995" s="385" t="s">
        <v>133</v>
      </c>
      <c r="H995" s="385">
        <v>2026</v>
      </c>
      <c r="I995" s="386">
        <v>46093</v>
      </c>
      <c r="J995" s="30" t="s">
        <v>5119</v>
      </c>
      <c r="K995" s="388" t="s">
        <v>45</v>
      </c>
      <c r="L995" s="386">
        <v>46095</v>
      </c>
      <c r="M995" s="385"/>
      <c r="N995" s="386">
        <v>46097</v>
      </c>
      <c r="O995" s="385"/>
      <c r="P995" s="385">
        <f>IFERROR(
    IF(
        OR(ISBLANK(I995), ISBLANK(L995)),
        "",
        MAX(
            1,
            IF(
                NETWORKDAYS(I995, L995, Holiday_Dates) &lt;= 0,
                1,
                NETWORKDAYS(I995, L995, Holiday_Dates) - IF(I995 = L995, 0, 1)
            )
        )
    ),
    ""
)</f>
        <v>1</v>
      </c>
      <c r="Q995" s="385" t="str">
        <f>IF(
    OR(ISBLANK(L995), ISBLANK(M995)),
    "",
    MAX(
        1,
        IF(
            NETWORKDAYS(L995, M995, Holiday_Dates) &lt;= 0,
            1,
            NETWORKDAYS(L995, M995, Holiday_Dates) - IF(L995 = M995, 0, 1)
        )
    )
)</f>
        <v/>
      </c>
      <c r="R995" s="385">
        <f>IFERROR(
    IF(
        OR(ISBLANK(N995), AND(ISBLANK(L995), ISBLANK(M995))),
        "",
        MAX(
            1,
            IF(
                NETWORKDAYS(IF(NOT(ISBLANK(M995)), M995, L995), N995, Holiday_Dates) &lt;= 0,
                1,
                NETWORKDAYS(IF(NOT(ISBLANK(M995)), M995, L995), N995, Holiday_Dates)
                - IF(IF(NOT(ISBLANK(M995)), M995, L995) = N995, 0, 1)
            )
        )
    ),
    ""
)</f>
        <v>1</v>
      </c>
      <c r="S995" s="385" t="str">
        <f>IFERROR(
    IF(
        OR(ISBLANK(N995), ISBLANK(O995)),
        "",
        MAX(
            1,
            IF(
                NETWORKDAYS(N995, O995, Holiday_Dates) &lt;= 0,
                1,
                NETWORKDAYS(N995, O995, Holiday_Dates) - IF(N995 = O995, 0, 1)
            )
        )
    ),
    ""
)</f>
        <v/>
      </c>
      <c r="T995" s="385"/>
      <c r="U995" s="385" t="s">
        <v>4</v>
      </c>
      <c r="V995" s="385" t="s">
        <v>5120</v>
      </c>
      <c r="W995" s="385" t="s">
        <v>4710</v>
      </c>
      <c r="X995" s="1"/>
    </row>
    <row r="996" spans="1:24">
      <c r="A996" s="385" t="s">
        <v>51</v>
      </c>
      <c r="B996" s="385" t="s">
        <v>532</v>
      </c>
      <c r="C996" s="385" t="s">
        <v>3686</v>
      </c>
      <c r="D996" s="385" t="s">
        <v>88</v>
      </c>
      <c r="E996" s="385" t="s">
        <v>145</v>
      </c>
      <c r="F996" s="385"/>
      <c r="G996" s="385" t="s">
        <v>133</v>
      </c>
      <c r="H996" s="385">
        <v>2026</v>
      </c>
      <c r="I996" s="386">
        <v>46093</v>
      </c>
      <c r="J996" s="30" t="s">
        <v>5121</v>
      </c>
      <c r="K996" s="388" t="s">
        <v>45</v>
      </c>
      <c r="L996" s="386">
        <v>46095</v>
      </c>
      <c r="M996" s="385"/>
      <c r="N996" s="386">
        <v>46097</v>
      </c>
      <c r="O996" s="385"/>
      <c r="P996" s="385">
        <f>IFERROR(
    IF(
        OR(ISBLANK(I996), ISBLANK(L996)),
        "",
        MAX(
            1,
            IF(
                NETWORKDAYS(I996, L996, Holiday_Dates) &lt;= 0,
                1,
                NETWORKDAYS(I996, L996, Holiday_Dates) - IF(I996 = L996, 0, 1)
            )
        )
    ),
    ""
)</f>
        <v>1</v>
      </c>
      <c r="Q996" s="385" t="str">
        <f>IF(
    OR(ISBLANK(L996), ISBLANK(M996)),
    "",
    MAX(
        1,
        IF(
            NETWORKDAYS(L996, M996, Holiday_Dates) &lt;= 0,
            1,
            NETWORKDAYS(L996, M996, Holiday_Dates) - IF(L996 = M996, 0, 1)
        )
    )
)</f>
        <v/>
      </c>
      <c r="R996" s="385">
        <f>IFERROR(
    IF(
        OR(ISBLANK(N996), AND(ISBLANK(L996), ISBLANK(M996))),
        "",
        MAX(
            1,
            IF(
                NETWORKDAYS(IF(NOT(ISBLANK(M996)), M996, L996), N996, Holiday_Dates) &lt;= 0,
                1,
                NETWORKDAYS(IF(NOT(ISBLANK(M996)), M996, L996), N996, Holiday_Dates)
                - IF(IF(NOT(ISBLANK(M996)), M996, L996) = N996, 0, 1)
            )
        )
    ),
    ""
)</f>
        <v>1</v>
      </c>
      <c r="S996" s="385" t="str">
        <f>IFERROR(
    IF(
        OR(ISBLANK(N996), ISBLANK(O996)),
        "",
        MAX(
            1,
            IF(
                NETWORKDAYS(N996, O996, Holiday_Dates) &lt;= 0,
                1,
                NETWORKDAYS(N996, O996, Holiday_Dates) - IF(N996 = O996, 0, 1)
            )
        )
    ),
    ""
)</f>
        <v/>
      </c>
      <c r="T996" s="385"/>
      <c r="U996" s="385" t="s">
        <v>4852</v>
      </c>
      <c r="V996" s="385" t="s">
        <v>4782</v>
      </c>
      <c r="W996" s="385" t="s">
        <v>4710</v>
      </c>
      <c r="X996" s="1"/>
    </row>
    <row r="997" spans="1:24">
      <c r="A997" s="385" t="s">
        <v>51</v>
      </c>
      <c r="B997" s="385" t="s">
        <v>532</v>
      </c>
      <c r="C997" s="385" t="s">
        <v>3687</v>
      </c>
      <c r="D997" s="385" t="s">
        <v>88</v>
      </c>
      <c r="E997" s="385" t="s">
        <v>145</v>
      </c>
      <c r="F997" s="385"/>
      <c r="G997" s="385" t="s">
        <v>133</v>
      </c>
      <c r="H997" s="385"/>
      <c r="I997" s="385"/>
      <c r="J997" s="30"/>
      <c r="K997" s="388" t="s">
        <v>45</v>
      </c>
      <c r="L997" s="385"/>
      <c r="M997" s="385"/>
      <c r="N997" s="385"/>
      <c r="O997" s="385"/>
      <c r="P997" s="385" t="str">
        <f>IFERROR(
    IF(
        OR(ISBLANK(I997), ISBLANK(L997)),
        "",
        MAX(
            1,
            IF(
                NETWORKDAYS(I997, L997, Holiday_Dates) &lt;= 0,
                1,
                NETWORKDAYS(I997, L997, Holiday_Dates) - IF(I997 = L997, 0, 1)
            )
        )
    ),
    ""
)</f>
        <v/>
      </c>
      <c r="Q997" s="385" t="str">
        <f>IF(
    OR(ISBLANK(L997), ISBLANK(M997)),
    "",
    MAX(
        1,
        IF(
            NETWORKDAYS(L997, M997, Holiday_Dates) &lt;= 0,
            1,
            NETWORKDAYS(L997, M997, Holiday_Dates) - IF(L997 = M997, 0, 1)
        )
    )
)</f>
        <v/>
      </c>
      <c r="R997" s="385" t="str">
        <f>IFERROR(
    IF(
        OR(ISBLANK(N997), AND(ISBLANK(L997), ISBLANK(M997))),
        "",
        MAX(
            1,
            IF(
                NETWORKDAYS(IF(NOT(ISBLANK(M997)), M997, L997), N997, Holiday_Dates) &lt;= 0,
                1,
                NETWORKDAYS(IF(NOT(ISBLANK(M997)), M997, L997), N997, Holiday_Dates)
                - IF(IF(NOT(ISBLANK(M997)), M997, L997) = N997, 0, 1)
            )
        )
    ),
    ""
)</f>
        <v/>
      </c>
      <c r="S997" s="385" t="str">
        <f>IFERROR(
    IF(
        OR(ISBLANK(N997), ISBLANK(O997)),
        "",
        MAX(
            1,
            IF(
                NETWORKDAYS(N997, O997, Holiday_Dates) &lt;= 0,
                1,
                NETWORKDAYS(N997, O997, Holiday_Dates) - IF(N997 = O997, 0, 1)
            )
        )
    ),
    ""
)</f>
        <v/>
      </c>
      <c r="T997" s="385"/>
      <c r="U997" s="385"/>
      <c r="V997" s="385"/>
      <c r="W997" s="385" t="s">
        <v>4710</v>
      </c>
      <c r="X997" s="1"/>
    </row>
    <row r="998" spans="1:24">
      <c r="A998" s="385" t="s">
        <v>65</v>
      </c>
      <c r="B998" s="385" t="s">
        <v>384</v>
      </c>
      <c r="C998" s="385" t="s">
        <v>2758</v>
      </c>
      <c r="D998" s="385" t="s">
        <v>88</v>
      </c>
      <c r="E998" s="385"/>
      <c r="F998" s="385"/>
      <c r="G998" s="385"/>
      <c r="H998" s="385">
        <v>2025</v>
      </c>
      <c r="I998" s="386">
        <v>45688</v>
      </c>
      <c r="J998" s="30" t="s">
        <v>5122</v>
      </c>
      <c r="K998" s="385"/>
      <c r="L998" s="385"/>
      <c r="M998" s="385"/>
      <c r="N998" s="385"/>
      <c r="O998" s="385"/>
      <c r="P998" s="385" t="str">
        <f>IFERROR(
    IF(
        OR(ISBLANK(I998), ISBLANK(L998)),
        "",
        MAX(
            1,
            IF(
                NETWORKDAYS(I998, L998, Holiday_Dates) &lt;= 0,
                1,
                NETWORKDAYS(I998, L998, Holiday_Dates) - IF(I998 = L998, 0, 1)
            )
        )
    ),
    ""
)</f>
        <v/>
      </c>
      <c r="Q998" s="385" t="str">
        <f>IF(
    OR(ISBLANK(L998), ISBLANK(M998)),
    "",
    MAX(
        1,
        IF(
            NETWORKDAYS(L998, M998, Holiday_Dates) &lt;= 0,
            1,
            NETWORKDAYS(L998, M998, Holiday_Dates) - IF(L998 = M998, 0, 1)
        )
    )
)</f>
        <v/>
      </c>
      <c r="R998" s="385" t="str">
        <f>IFERROR(
    IF(
        OR(ISBLANK(N998), AND(ISBLANK(L998), ISBLANK(M998))),
        "",
        MAX(
            1,
            IF(
                NETWORKDAYS(IF(NOT(ISBLANK(M998)), M998, L998), N998, Holiday_Dates) &lt;= 0,
                1,
                NETWORKDAYS(IF(NOT(ISBLANK(M998)), M998, L998), N998, Holiday_Dates)
                - IF(IF(NOT(ISBLANK(M998)), M998, L998) = N998, 0, 1)
            )
        )
    ),
    ""
)</f>
        <v/>
      </c>
      <c r="S998" s="385" t="str">
        <f>IFERROR(
    IF(
        OR(ISBLANK(N998), ISBLANK(O998)),
        "",
        MAX(
            1,
            IF(
                NETWORKDAYS(N998, O998, Holiday_Dates) &lt;= 0,
                1,
                NETWORKDAYS(N998, O998, Holiday_Dates) - IF(N998 = O998, 0, 1)
            )
        )
    ),
    ""
)</f>
        <v/>
      </c>
      <c r="T998" s="385"/>
      <c r="U998" s="385" t="s">
        <v>672</v>
      </c>
      <c r="V998" s="385" t="s">
        <v>101</v>
      </c>
      <c r="W998" s="385" t="s">
        <v>1436</v>
      </c>
      <c r="X998" s="1"/>
    </row>
    <row r="999" spans="1:24">
      <c r="A999" s="385" t="s">
        <v>65</v>
      </c>
      <c r="B999" s="385" t="s">
        <v>384</v>
      </c>
      <c r="C999" s="385" t="s">
        <v>2759</v>
      </c>
      <c r="D999" s="385" t="s">
        <v>88</v>
      </c>
      <c r="E999" s="385"/>
      <c r="F999" s="385"/>
      <c r="G999" s="385"/>
      <c r="H999" s="385">
        <v>2025</v>
      </c>
      <c r="I999" s="386">
        <v>45898</v>
      </c>
      <c r="J999" s="30" t="s">
        <v>5123</v>
      </c>
      <c r="K999" s="385"/>
      <c r="L999" s="385"/>
      <c r="M999" s="385"/>
      <c r="N999" s="385"/>
      <c r="O999" s="385"/>
      <c r="P999" s="385" t="str">
        <f>IFERROR(
    IF(
        OR(ISBLANK(I999), ISBLANK(L999)),
        "",
        MAX(
            1,
            IF(
                NETWORKDAYS(I999, L999, Holiday_Dates) &lt;= 0,
                1,
                NETWORKDAYS(I999, L999, Holiday_Dates) - IF(I999 = L999, 0, 1)
            )
        )
    ),
    ""
)</f>
        <v/>
      </c>
      <c r="Q999" s="385" t="str">
        <f>IF(
    OR(ISBLANK(L999), ISBLANK(M999)),
    "",
    MAX(
        1,
        IF(
            NETWORKDAYS(L999, M999, Holiday_Dates) &lt;= 0,
            1,
            NETWORKDAYS(L999, M999, Holiday_Dates) - IF(L999 = M999, 0, 1)
        )
    )
)</f>
        <v/>
      </c>
      <c r="R999" s="385" t="str">
        <f>IFERROR(
    IF(
        OR(ISBLANK(N999), AND(ISBLANK(L999), ISBLANK(M999))),
        "",
        MAX(
            1,
            IF(
                NETWORKDAYS(IF(NOT(ISBLANK(M999)), M999, L999), N999, Holiday_Dates) &lt;= 0,
                1,
                NETWORKDAYS(IF(NOT(ISBLANK(M999)), M999, L999), N999, Holiday_Dates)
                - IF(IF(NOT(ISBLANK(M999)), M999, L999) = N999, 0, 1)
            )
        )
    ),
    ""
)</f>
        <v/>
      </c>
      <c r="S999" s="385" t="str">
        <f>IFERROR(
    IF(
        OR(ISBLANK(N999), ISBLANK(O999)),
        "",
        MAX(
            1,
            IF(
                NETWORKDAYS(N999, O999, Holiday_Dates) &lt;= 0,
                1,
                NETWORKDAYS(N999, O999, Holiday_Dates) - IF(N999 = O999, 0, 1)
            )
        )
    ),
    ""
)</f>
        <v/>
      </c>
      <c r="T999" s="385"/>
      <c r="U999" s="385" t="s">
        <v>4</v>
      </c>
      <c r="V999" s="385" t="s">
        <v>101</v>
      </c>
      <c r="W999" s="385" t="s">
        <v>1436</v>
      </c>
      <c r="X999" s="1"/>
    </row>
    <row r="1000" spans="1:24">
      <c r="A1000" s="385" t="s">
        <v>51</v>
      </c>
      <c r="B1000" s="385" t="s">
        <v>532</v>
      </c>
      <c r="C1000" s="385" t="s">
        <v>1020</v>
      </c>
      <c r="D1000" s="385" t="s">
        <v>88</v>
      </c>
      <c r="E1000" s="385" t="s">
        <v>145</v>
      </c>
      <c r="F1000" s="385"/>
      <c r="G1000" s="385" t="s">
        <v>133</v>
      </c>
      <c r="H1000" s="385">
        <v>2026</v>
      </c>
      <c r="I1000" s="386">
        <v>46091</v>
      </c>
      <c r="J1000" s="30" t="s">
        <v>5124</v>
      </c>
      <c r="K1000" s="388" t="s">
        <v>45</v>
      </c>
      <c r="L1000" s="386">
        <v>46095</v>
      </c>
      <c r="M1000" s="385"/>
      <c r="N1000" s="386">
        <v>46097</v>
      </c>
      <c r="O1000" s="385"/>
      <c r="P1000" s="385">
        <f>IFERROR(
    IF(
        OR(ISBLANK(I1000), ISBLANK(L1000)),
        "",
        MAX(
            1,
            IF(
                NETWORKDAYS(I1000, L1000, Holiday_Dates) &lt;= 0,
                1,
                NETWORKDAYS(I1000, L1000, Holiday_Dates) - IF(I1000 = L1000, 0, 1)
            )
        )
    ),
    ""
)</f>
        <v>3</v>
      </c>
      <c r="Q1000" s="385" t="str">
        <f>IF(
    OR(ISBLANK(L1000), ISBLANK(M1000)),
    "",
    MAX(
        1,
        IF(
            NETWORKDAYS(L1000, M1000, Holiday_Dates) &lt;= 0,
            1,
            NETWORKDAYS(L1000, M1000, Holiday_Dates) - IF(L1000 = M1000, 0, 1)
        )
    )
)</f>
        <v/>
      </c>
      <c r="R1000" s="385">
        <f>IFERROR(
    IF(
        OR(ISBLANK(N1000), AND(ISBLANK(L1000), ISBLANK(M1000))),
        "",
        MAX(
            1,
            IF(
                NETWORKDAYS(IF(NOT(ISBLANK(M1000)), M1000, L1000), N1000, Holiday_Dates) &lt;= 0,
                1,
                NETWORKDAYS(IF(NOT(ISBLANK(M1000)), M1000, L1000), N1000, Holiday_Dates)
                - IF(IF(NOT(ISBLANK(M1000)), M1000, L1000) = N1000, 0, 1)
            )
        )
    ),
    ""
)</f>
        <v>1</v>
      </c>
      <c r="S1000" s="385" t="str">
        <f>IFERROR(
    IF(
        OR(ISBLANK(N1000), ISBLANK(O1000)),
        "",
        MAX(
            1,
            IF(
                NETWORKDAYS(N1000, O1000, Holiday_Dates) &lt;= 0,
                1,
                NETWORKDAYS(N1000, O1000, Holiday_Dates) - IF(N1000 = O1000, 0, 1)
            )
        )
    ),
    ""
)</f>
        <v/>
      </c>
      <c r="T1000" s="385"/>
      <c r="U1000" s="385" t="s">
        <v>4</v>
      </c>
      <c r="V1000" s="385" t="s">
        <v>685</v>
      </c>
      <c r="W1000" s="385" t="s">
        <v>4710</v>
      </c>
      <c r="X1000" s="1"/>
    </row>
    <row r="1001" spans="1:24">
      <c r="A1001" s="385" t="s">
        <v>65</v>
      </c>
      <c r="B1001" s="385" t="s">
        <v>384</v>
      </c>
      <c r="C1001" s="385" t="s">
        <v>2761</v>
      </c>
      <c r="D1001" s="385" t="s">
        <v>88</v>
      </c>
      <c r="E1001" s="385"/>
      <c r="F1001" s="385"/>
      <c r="G1001" s="385"/>
      <c r="H1001" s="385">
        <v>2025</v>
      </c>
      <c r="I1001" s="386">
        <v>45687</v>
      </c>
      <c r="J1001" s="30" t="s">
        <v>5125</v>
      </c>
      <c r="K1001" s="385"/>
      <c r="L1001" s="385"/>
      <c r="M1001" s="385"/>
      <c r="N1001" s="385"/>
      <c r="O1001" s="385"/>
      <c r="P1001" s="385" t="str">
        <f>IFERROR(
    IF(
        OR(ISBLANK(I1001), ISBLANK(L1001)),
        "",
        MAX(
            1,
            IF(
                NETWORKDAYS(I1001, L1001, Holiday_Dates) &lt;= 0,
                1,
                NETWORKDAYS(I1001, L1001, Holiday_Dates) - IF(I1001 = L1001, 0, 1)
            )
        )
    ),
    ""
)</f>
        <v/>
      </c>
      <c r="Q1001" s="385" t="str">
        <f>IF(
    OR(ISBLANK(L1001), ISBLANK(M1001)),
    "",
    MAX(
        1,
        IF(
            NETWORKDAYS(L1001, M1001, Holiday_Dates) &lt;= 0,
            1,
            NETWORKDAYS(L1001, M1001, Holiday_Dates) - IF(L1001 = M1001, 0, 1)
        )
    )
)</f>
        <v/>
      </c>
      <c r="R1001" s="385" t="str">
        <f>IFERROR(
    IF(
        OR(ISBLANK(N1001), AND(ISBLANK(L1001), ISBLANK(M1001))),
        "",
        MAX(
            1,
            IF(
                NETWORKDAYS(IF(NOT(ISBLANK(M1001)), M1001, L1001), N1001, Holiday_Dates) &lt;= 0,
                1,
                NETWORKDAYS(IF(NOT(ISBLANK(M1001)), M1001, L1001), N1001, Holiday_Dates)
                - IF(IF(NOT(ISBLANK(M1001)), M1001, L1001) = N1001, 0, 1)
            )
        )
    ),
    ""
)</f>
        <v/>
      </c>
      <c r="S1001" s="385" t="str">
        <f>IFERROR(
    IF(
        OR(ISBLANK(N1001), ISBLANK(O1001)),
        "",
        MAX(
            1,
            IF(
                NETWORKDAYS(N1001, O1001, Holiday_Dates) &lt;= 0,
                1,
                NETWORKDAYS(N1001, O1001, Holiday_Dates) - IF(N1001 = O1001, 0, 1)
            )
        )
    ),
    ""
)</f>
        <v/>
      </c>
      <c r="T1001" s="385"/>
      <c r="U1001" s="385" t="s">
        <v>672</v>
      </c>
      <c r="V1001" s="385" t="s">
        <v>101</v>
      </c>
      <c r="W1001" s="385" t="s">
        <v>1436</v>
      </c>
      <c r="X1001" s="1"/>
    </row>
    <row r="1002" spans="1:24">
      <c r="A1002" s="385" t="s">
        <v>65</v>
      </c>
      <c r="B1002" s="385" t="s">
        <v>384</v>
      </c>
      <c r="C1002" s="385" t="s">
        <v>2762</v>
      </c>
      <c r="D1002" s="385" t="s">
        <v>88</v>
      </c>
      <c r="E1002" s="385"/>
      <c r="F1002" s="385"/>
      <c r="G1002" s="385"/>
      <c r="H1002" s="385">
        <v>2025</v>
      </c>
      <c r="I1002" s="386">
        <v>45687</v>
      </c>
      <c r="J1002" s="30" t="s">
        <v>5126</v>
      </c>
      <c r="K1002" s="385"/>
      <c r="L1002" s="385"/>
      <c r="M1002" s="385"/>
      <c r="N1002" s="385"/>
      <c r="O1002" s="385"/>
      <c r="P1002" s="385" t="str">
        <f>IFERROR(
    IF(
        OR(ISBLANK(I1002), ISBLANK(L1002)),
        "",
        MAX(
            1,
            IF(
                NETWORKDAYS(I1002, L1002, Holiday_Dates) &lt;= 0,
                1,
                NETWORKDAYS(I1002, L1002, Holiday_Dates) - IF(I1002 = L1002, 0, 1)
            )
        )
    ),
    ""
)</f>
        <v/>
      </c>
      <c r="Q1002" s="385" t="str">
        <f>IF(
    OR(ISBLANK(L1002), ISBLANK(M1002)),
    "",
    MAX(
        1,
        IF(
            NETWORKDAYS(L1002, M1002, Holiday_Dates) &lt;= 0,
            1,
            NETWORKDAYS(L1002, M1002, Holiday_Dates) - IF(L1002 = M1002, 0, 1)
        )
    )
)</f>
        <v/>
      </c>
      <c r="R1002" s="385" t="str">
        <f>IFERROR(
    IF(
        OR(ISBLANK(N1002), AND(ISBLANK(L1002), ISBLANK(M1002))),
        "",
        MAX(
            1,
            IF(
                NETWORKDAYS(IF(NOT(ISBLANK(M1002)), M1002, L1002), N1002, Holiday_Dates) &lt;= 0,
                1,
                NETWORKDAYS(IF(NOT(ISBLANK(M1002)), M1002, L1002), N1002, Holiday_Dates)
                - IF(IF(NOT(ISBLANK(M1002)), M1002, L1002) = N1002, 0, 1)
            )
        )
    ),
    ""
)</f>
        <v/>
      </c>
      <c r="S1002" s="385" t="str">
        <f>IFERROR(
    IF(
        OR(ISBLANK(N1002), ISBLANK(O1002)),
        "",
        MAX(
            1,
            IF(
                NETWORKDAYS(N1002, O1002, Holiday_Dates) &lt;= 0,
                1,
                NETWORKDAYS(N1002, O1002, Holiday_Dates) - IF(N1002 = O1002, 0, 1)
            )
        )
    ),
    ""
)</f>
        <v/>
      </c>
      <c r="T1002" s="385"/>
      <c r="U1002" s="385" t="s">
        <v>672</v>
      </c>
      <c r="V1002" s="385" t="s">
        <v>101</v>
      </c>
      <c r="W1002" s="385" t="s">
        <v>1436</v>
      </c>
      <c r="X1002" s="1"/>
    </row>
    <row r="1003" spans="1:24">
      <c r="A1003" s="385" t="s">
        <v>51</v>
      </c>
      <c r="B1003" s="385" t="s">
        <v>534</v>
      </c>
      <c r="C1003" s="385" t="s">
        <v>3691</v>
      </c>
      <c r="D1003" s="385" t="s">
        <v>88</v>
      </c>
      <c r="E1003" s="385" t="s">
        <v>32</v>
      </c>
      <c r="F1003" s="385"/>
      <c r="G1003" s="385" t="s">
        <v>133</v>
      </c>
      <c r="H1003" s="385">
        <v>2026</v>
      </c>
      <c r="I1003" s="386">
        <v>46093</v>
      </c>
      <c r="J1003" s="30" t="s">
        <v>5127</v>
      </c>
      <c r="K1003" s="388" t="s">
        <v>45</v>
      </c>
      <c r="L1003" s="386">
        <v>46094</v>
      </c>
      <c r="M1003" s="385"/>
      <c r="N1003" s="386">
        <v>46097</v>
      </c>
      <c r="O1003" s="385"/>
      <c r="P1003" s="385">
        <f>IFERROR(
    IF(
        OR(ISBLANK(I1003), ISBLANK(L1003)),
        "",
        MAX(
            1,
            IF(
                NETWORKDAYS(I1003, L1003, Holiday_Dates) &lt;= 0,
                1,
                NETWORKDAYS(I1003, L1003, Holiday_Dates) - IF(I1003 = L1003, 0, 1)
            )
        )
    ),
    ""
)</f>
        <v>1</v>
      </c>
      <c r="Q1003" s="385" t="str">
        <f>IF(
    OR(ISBLANK(L1003), ISBLANK(M1003)),
    "",
    MAX(
        1,
        IF(
            NETWORKDAYS(L1003, M1003, Holiday_Dates) &lt;= 0,
            1,
            NETWORKDAYS(L1003, M1003, Holiday_Dates) - IF(L1003 = M1003, 0, 1)
        )
    )
)</f>
        <v/>
      </c>
      <c r="R1003" s="385">
        <f>IFERROR(
    IF(
        OR(ISBLANK(N1003), AND(ISBLANK(L1003), ISBLANK(M1003))),
        "",
        MAX(
            1,
            IF(
                NETWORKDAYS(IF(NOT(ISBLANK(M1003)), M1003, L1003), N1003, Holiday_Dates) &lt;= 0,
                1,
                NETWORKDAYS(IF(NOT(ISBLANK(M1003)), M1003, L1003), N1003, Holiday_Dates)
                - IF(IF(NOT(ISBLANK(M1003)), M1003, L1003) = N1003, 0, 1)
            )
        )
    ),
    ""
)</f>
        <v>1</v>
      </c>
      <c r="S1003" s="385" t="str">
        <f>IFERROR(
    IF(
        OR(ISBLANK(N1003), ISBLANK(O1003)),
        "",
        MAX(
            1,
            IF(
                NETWORKDAYS(N1003, O1003, Holiday_Dates) &lt;= 0,
                1,
                NETWORKDAYS(N1003, O1003, Holiday_Dates) - IF(N1003 = O1003, 0, 1)
            )
        )
    ),
    ""
)</f>
        <v/>
      </c>
      <c r="T1003" s="385"/>
      <c r="U1003" s="385" t="s">
        <v>4708</v>
      </c>
      <c r="V1003" s="385" t="s">
        <v>4782</v>
      </c>
      <c r="W1003" s="385" t="s">
        <v>4710</v>
      </c>
      <c r="X1003" s="1"/>
    </row>
    <row r="1004" spans="1:24">
      <c r="A1004" s="385" t="s">
        <v>51</v>
      </c>
      <c r="B1004" s="385" t="s">
        <v>534</v>
      </c>
      <c r="C1004" s="385" t="s">
        <v>3693</v>
      </c>
      <c r="D1004" s="385" t="s">
        <v>88</v>
      </c>
      <c r="E1004" s="385" t="s">
        <v>32</v>
      </c>
      <c r="F1004" s="385"/>
      <c r="G1004" s="385" t="s">
        <v>133</v>
      </c>
      <c r="H1004" s="385">
        <v>2026</v>
      </c>
      <c r="I1004" s="386">
        <v>46093</v>
      </c>
      <c r="J1004" s="30" t="s">
        <v>5128</v>
      </c>
      <c r="K1004" s="388" t="s">
        <v>45</v>
      </c>
      <c r="L1004" s="386">
        <v>46094</v>
      </c>
      <c r="M1004" s="385"/>
      <c r="N1004" s="386">
        <v>46097</v>
      </c>
      <c r="O1004" s="386"/>
      <c r="P1004" s="385">
        <f>IFERROR(
    IF(
        OR(ISBLANK(I1004), ISBLANK(L1004)),
        "",
        MAX(
            1,
            IF(
                NETWORKDAYS(I1004, L1004, Holiday_Dates) &lt;= 0,
                1,
                NETWORKDAYS(I1004, L1004, Holiday_Dates) - IF(I1004 = L1004, 0, 1)
            )
        )
    ),
    ""
)</f>
        <v>1</v>
      </c>
      <c r="Q1004" s="385" t="str">
        <f>IF(
    OR(ISBLANK(L1004), ISBLANK(M1004)),
    "",
    MAX(
        1,
        IF(
            NETWORKDAYS(L1004, M1004, Holiday_Dates) &lt;= 0,
            1,
            NETWORKDAYS(L1004, M1004, Holiday_Dates) - IF(L1004 = M1004, 0, 1)
        )
    )
)</f>
        <v/>
      </c>
      <c r="R1004" s="385">
        <f>IFERROR(
    IF(
        OR(ISBLANK(N1004), AND(ISBLANK(L1004), ISBLANK(M1004))),
        "",
        MAX(
            1,
            IF(
                NETWORKDAYS(IF(NOT(ISBLANK(M1004)), M1004, L1004), N1004, Holiday_Dates) &lt;= 0,
                1,
                NETWORKDAYS(IF(NOT(ISBLANK(M1004)), M1004, L1004), N1004, Holiday_Dates)
                - IF(IF(NOT(ISBLANK(M1004)), M1004, L1004) = N1004, 0, 1)
            )
        )
    ),
    ""
)</f>
        <v>1</v>
      </c>
      <c r="S1004" s="385" t="str">
        <f>IFERROR(
    IF(
        OR(ISBLANK(N1004), ISBLANK(O1004)),
        "",
        MAX(
            1,
            IF(
                NETWORKDAYS(N1004, O1004, Holiday_Dates) &lt;= 0,
                1,
                NETWORKDAYS(N1004, O1004, Holiday_Dates) - IF(N1004 = O1004, 0, 1)
            )
        )
    ),
    ""
)</f>
        <v/>
      </c>
      <c r="T1004" s="385"/>
      <c r="U1004" s="385" t="s">
        <v>4708</v>
      </c>
      <c r="V1004" s="385" t="s">
        <v>4782</v>
      </c>
      <c r="W1004" s="385" t="s">
        <v>4710</v>
      </c>
      <c r="X1004" s="1"/>
    </row>
    <row r="1005" spans="1:24">
      <c r="A1005" s="385" t="s">
        <v>65</v>
      </c>
      <c r="B1005" s="385" t="s">
        <v>384</v>
      </c>
      <c r="C1005" s="385" t="s">
        <v>1041</v>
      </c>
      <c r="D1005" s="385" t="s">
        <v>88</v>
      </c>
      <c r="E1005" s="385"/>
      <c r="F1005" s="385"/>
      <c r="G1005" s="385"/>
      <c r="H1005" s="385">
        <v>2024</v>
      </c>
      <c r="I1005" s="386">
        <v>45546</v>
      </c>
      <c r="J1005" s="30"/>
      <c r="K1005" s="385"/>
      <c r="L1005" s="385"/>
      <c r="M1005" s="385"/>
      <c r="N1005" s="385"/>
      <c r="O1005" s="385"/>
      <c r="P1005" s="385" t="str">
        <f>IFERROR(
    IF(
        OR(ISBLANK(I1005), ISBLANK(L1005)),
        "",
        MAX(
            1,
            IF(
                NETWORKDAYS(I1005, L1005, Holiday_Dates) &lt;= 0,
                1,
                NETWORKDAYS(I1005, L1005, Holiday_Dates) - IF(I1005 = L1005, 0, 1)
            )
        )
    ),
    ""
)</f>
        <v/>
      </c>
      <c r="Q1005" s="385" t="str">
        <f>IF(
    OR(ISBLANK(L1005), ISBLANK(M1005)),
    "",
    MAX(
        1,
        IF(
            NETWORKDAYS(L1005, M1005, Holiday_Dates) &lt;= 0,
            1,
            NETWORKDAYS(L1005, M1005, Holiday_Dates) - IF(L1005 = M1005, 0, 1)
        )
    )
)</f>
        <v/>
      </c>
      <c r="R1005" s="385" t="str">
        <f>IFERROR(
    IF(
        OR(ISBLANK(N1005), AND(ISBLANK(L1005), ISBLANK(M1005))),
        "",
        MAX(
            1,
            IF(
                NETWORKDAYS(IF(NOT(ISBLANK(M1005)), M1005, L1005), N1005, Holiday_Dates) &lt;= 0,
                1,
                NETWORKDAYS(IF(NOT(ISBLANK(M1005)), M1005, L1005), N1005, Holiday_Dates)
                - IF(IF(NOT(ISBLANK(M1005)), M1005, L1005) = N1005, 0, 1)
            )
        )
    ),
    ""
)</f>
        <v/>
      </c>
      <c r="S1005" s="385" t="str">
        <f>IFERROR(
    IF(
        OR(ISBLANK(N1005), ISBLANK(O1005)),
        "",
        MAX(
            1,
            IF(
                NETWORKDAYS(N1005, O1005, Holiday_Dates) &lt;= 0,
                1,
                NETWORKDAYS(N1005, O1005, Holiday_Dates) - IF(N1005 = O1005, 0, 1)
            )
        )
    ),
    ""
)</f>
        <v/>
      </c>
      <c r="T1005" s="385"/>
      <c r="U1005" s="385" t="s">
        <v>4</v>
      </c>
      <c r="V1005" s="385" t="s">
        <v>101</v>
      </c>
      <c r="W1005" s="385" t="s">
        <v>1436</v>
      </c>
      <c r="X1005" s="1"/>
    </row>
    <row r="1006" spans="1:24">
      <c r="A1006" s="385" t="s">
        <v>65</v>
      </c>
      <c r="B1006" s="385" t="s">
        <v>384</v>
      </c>
      <c r="C1006" s="385" t="s">
        <v>1862</v>
      </c>
      <c r="D1006" s="385" t="s">
        <v>88</v>
      </c>
      <c r="E1006" s="385"/>
      <c r="F1006" s="385"/>
      <c r="G1006" s="385"/>
      <c r="H1006" s="385">
        <v>2025</v>
      </c>
      <c r="I1006" s="386">
        <v>45688</v>
      </c>
      <c r="J1006" s="30" t="s">
        <v>5129</v>
      </c>
      <c r="K1006" s="385"/>
      <c r="L1006" s="385"/>
      <c r="M1006" s="385"/>
      <c r="N1006" s="385"/>
      <c r="O1006" s="385"/>
      <c r="P1006" s="385" t="str">
        <f>IFERROR(
    IF(
        OR(ISBLANK(I1006), ISBLANK(L1006)),
        "",
        MAX(
            1,
            IF(
                NETWORKDAYS(I1006, L1006, Holiday_Dates) &lt;= 0,
                1,
                NETWORKDAYS(I1006, L1006, Holiday_Dates) - IF(I1006 = L1006, 0, 1)
            )
        )
    ),
    ""
)</f>
        <v/>
      </c>
      <c r="Q1006" s="385" t="str">
        <f>IF(
    OR(ISBLANK(L1006), ISBLANK(M1006)),
    "",
    MAX(
        1,
        IF(
            NETWORKDAYS(L1006, M1006, Holiday_Dates) &lt;= 0,
            1,
            NETWORKDAYS(L1006, M1006, Holiday_Dates) - IF(L1006 = M1006, 0, 1)
        )
    )
)</f>
        <v/>
      </c>
      <c r="R1006" s="385" t="str">
        <f>IFERROR(
    IF(
        OR(ISBLANK(N1006), AND(ISBLANK(L1006), ISBLANK(M1006))),
        "",
        MAX(
            1,
            IF(
                NETWORKDAYS(IF(NOT(ISBLANK(M1006)), M1006, L1006), N1006, Holiday_Dates) &lt;= 0,
                1,
                NETWORKDAYS(IF(NOT(ISBLANK(M1006)), M1006, L1006), N1006, Holiday_Dates)
                - IF(IF(NOT(ISBLANK(M1006)), M1006, L1006) = N1006, 0, 1)
            )
        )
    ),
    ""
)</f>
        <v/>
      </c>
      <c r="S1006" s="385" t="str">
        <f>IFERROR(
    IF(
        OR(ISBLANK(N1006), ISBLANK(O1006)),
        "",
        MAX(
            1,
            IF(
                NETWORKDAYS(N1006, O1006, Holiday_Dates) &lt;= 0,
                1,
                NETWORKDAYS(N1006, O1006, Holiday_Dates) - IF(N1006 = O1006, 0, 1)
            )
        )
    ),
    ""
)</f>
        <v/>
      </c>
      <c r="T1006" s="385"/>
      <c r="U1006" s="385" t="s">
        <v>4</v>
      </c>
      <c r="V1006" s="385" t="s">
        <v>101</v>
      </c>
      <c r="W1006" s="385" t="s">
        <v>1436</v>
      </c>
      <c r="X1006" s="1"/>
    </row>
    <row r="1007" spans="1:24">
      <c r="A1007" s="385" t="s">
        <v>65</v>
      </c>
      <c r="B1007" s="385" t="s">
        <v>384</v>
      </c>
      <c r="C1007" s="385" t="s">
        <v>2766</v>
      </c>
      <c r="D1007" s="385" t="s">
        <v>88</v>
      </c>
      <c r="E1007" s="385"/>
      <c r="F1007" s="385"/>
      <c r="G1007" s="385"/>
      <c r="H1007" s="385">
        <v>2025</v>
      </c>
      <c r="I1007" s="386">
        <v>45678</v>
      </c>
      <c r="J1007" s="30" t="s">
        <v>5130</v>
      </c>
      <c r="K1007" s="385"/>
      <c r="L1007" s="385"/>
      <c r="M1007" s="385"/>
      <c r="N1007" s="385"/>
      <c r="O1007" s="385"/>
      <c r="P1007" s="385" t="str">
        <f>IFERROR(
    IF(
        OR(ISBLANK(I1007), ISBLANK(L1007)),
        "",
        MAX(
            1,
            IF(
                NETWORKDAYS(I1007, L1007, Holiday_Dates) &lt;= 0,
                1,
                NETWORKDAYS(I1007, L1007, Holiday_Dates) - IF(I1007 = L1007, 0, 1)
            )
        )
    ),
    ""
)</f>
        <v/>
      </c>
      <c r="Q1007" s="385" t="str">
        <f>IF(
    OR(ISBLANK(L1007), ISBLANK(M1007)),
    "",
    MAX(
        1,
        IF(
            NETWORKDAYS(L1007, M1007, Holiday_Dates) &lt;= 0,
            1,
            NETWORKDAYS(L1007, M1007, Holiday_Dates) - IF(L1007 = M1007, 0, 1)
        )
    )
)</f>
        <v/>
      </c>
      <c r="R1007" s="385" t="str">
        <f>IFERROR(
    IF(
        OR(ISBLANK(N1007), AND(ISBLANK(L1007), ISBLANK(M1007))),
        "",
        MAX(
            1,
            IF(
                NETWORKDAYS(IF(NOT(ISBLANK(M1007)), M1007, L1007), N1007, Holiday_Dates) &lt;= 0,
                1,
                NETWORKDAYS(IF(NOT(ISBLANK(M1007)), M1007, L1007), N1007, Holiday_Dates)
                - IF(IF(NOT(ISBLANK(M1007)), M1007, L1007) = N1007, 0, 1)
            )
        )
    ),
    ""
)</f>
        <v/>
      </c>
      <c r="S1007" s="385" t="str">
        <f>IFERROR(
    IF(
        OR(ISBLANK(N1007), ISBLANK(O1007)),
        "",
        MAX(
            1,
            IF(
                NETWORKDAYS(N1007, O1007, Holiday_Dates) &lt;= 0,
                1,
                NETWORKDAYS(N1007, O1007, Holiday_Dates) - IF(N1007 = O1007, 0, 1)
            )
        )
    ),
    ""
)</f>
        <v/>
      </c>
      <c r="T1007" s="385"/>
      <c r="U1007" s="385" t="s">
        <v>672</v>
      </c>
      <c r="V1007" s="385" t="s">
        <v>101</v>
      </c>
      <c r="W1007" s="385" t="s">
        <v>1436</v>
      </c>
      <c r="X1007" s="1"/>
    </row>
    <row r="1008" spans="1:24">
      <c r="A1008" s="385" t="s">
        <v>51</v>
      </c>
      <c r="B1008" s="385" t="s">
        <v>534</v>
      </c>
      <c r="C1008" s="385" t="s">
        <v>2306</v>
      </c>
      <c r="D1008" s="385" t="s">
        <v>88</v>
      </c>
      <c r="E1008" s="385" t="s">
        <v>32</v>
      </c>
      <c r="F1008" s="385"/>
      <c r="G1008" s="385" t="s">
        <v>133</v>
      </c>
      <c r="H1008" s="385">
        <v>2026</v>
      </c>
      <c r="I1008" s="386">
        <v>46077</v>
      </c>
      <c r="J1008" s="30" t="s">
        <v>5131</v>
      </c>
      <c r="K1008" s="388" t="s">
        <v>45</v>
      </c>
      <c r="L1008" s="386">
        <v>46081</v>
      </c>
      <c r="M1008" s="385"/>
      <c r="N1008" s="386">
        <v>46083</v>
      </c>
      <c r="O1008" s="386">
        <v>46083</v>
      </c>
      <c r="P1008" s="385">
        <f>IFERROR(
    IF(
        OR(ISBLANK(I1008), ISBLANK(L1008)),
        "",
        MAX(
            1,
            IF(
                NETWORKDAYS(I1008, L1008, Holiday_Dates) &lt;= 0,
                1,
                NETWORKDAYS(I1008, L1008, Holiday_Dates) - IF(I1008 = L1008, 0, 1)
            )
        )
    ),
    ""
)</f>
        <v>3</v>
      </c>
      <c r="Q1008" s="385" t="str">
        <f>IF(
    OR(ISBLANK(L1008), ISBLANK(M1008)),
    "",
    MAX(
        1,
        IF(
            NETWORKDAYS(L1008, M1008, Holiday_Dates) &lt;= 0,
            1,
            NETWORKDAYS(L1008, M1008, Holiday_Dates) - IF(L1008 = M1008, 0, 1)
        )
    )
)</f>
        <v/>
      </c>
      <c r="R1008" s="385">
        <f>IFERROR(
    IF(
        OR(ISBLANK(N1008), AND(ISBLANK(L1008), ISBLANK(M1008))),
        "",
        MAX(
            1,
            IF(
                NETWORKDAYS(IF(NOT(ISBLANK(M1008)), M1008, L1008), N1008, Holiday_Dates) &lt;= 0,
                1,
                NETWORKDAYS(IF(NOT(ISBLANK(M1008)), M1008, L1008), N1008, Holiday_Dates)
                - IF(IF(NOT(ISBLANK(M1008)), M1008, L1008) = N1008, 0, 1)
            )
        )
    ),
    ""
)</f>
        <v>1</v>
      </c>
      <c r="S1008" s="385">
        <f>IFERROR(
    IF(
        OR(ISBLANK(N1008), ISBLANK(O1008)),
        "",
        MAX(
            1,
            IF(
                NETWORKDAYS(N1008, O1008, Holiday_Dates) &lt;= 0,
                1,
                NETWORKDAYS(N1008, O1008, Holiday_Dates) - IF(N1008 = O1008, 0, 1)
            )
        )
    ),
    ""
)</f>
        <v>1</v>
      </c>
      <c r="T1008" s="385" t="s">
        <v>929</v>
      </c>
      <c r="U1008" s="385" t="s">
        <v>4708</v>
      </c>
      <c r="V1008" s="385" t="s">
        <v>4782</v>
      </c>
      <c r="W1008" s="385" t="s">
        <v>4710</v>
      </c>
      <c r="X1008" s="1"/>
    </row>
    <row r="1009" spans="1:24">
      <c r="A1009" s="385" t="s">
        <v>65</v>
      </c>
      <c r="B1009" s="385" t="s">
        <v>384</v>
      </c>
      <c r="C1009" s="385" t="s">
        <v>2767</v>
      </c>
      <c r="D1009" s="385" t="s">
        <v>88</v>
      </c>
      <c r="E1009" s="385"/>
      <c r="F1009" s="385"/>
      <c r="G1009" s="385"/>
      <c r="H1009" s="385">
        <v>2024</v>
      </c>
      <c r="I1009" s="386">
        <v>45385</v>
      </c>
      <c r="J1009" s="30"/>
      <c r="K1009" s="385"/>
      <c r="L1009" s="385"/>
      <c r="M1009" s="385"/>
      <c r="N1009" s="385"/>
      <c r="O1009" s="385"/>
      <c r="P1009" s="385" t="str">
        <f>IFERROR(
    IF(
        OR(ISBLANK(I1009), ISBLANK(L1009)),
        "",
        MAX(
            1,
            IF(
                NETWORKDAYS(I1009, L1009, Holiday_Dates) &lt;= 0,
                1,
                NETWORKDAYS(I1009, L1009, Holiday_Dates) - IF(I1009 = L1009, 0, 1)
            )
        )
    ),
    ""
)</f>
        <v/>
      </c>
      <c r="Q1009" s="385" t="str">
        <f>IF(
    OR(ISBLANK(L1009), ISBLANK(M1009)),
    "",
    MAX(
        1,
        IF(
            NETWORKDAYS(L1009, M1009, Holiday_Dates) &lt;= 0,
            1,
            NETWORKDAYS(L1009, M1009, Holiday_Dates) - IF(L1009 = M1009, 0, 1)
        )
    )
)</f>
        <v/>
      </c>
      <c r="R1009" s="385" t="str">
        <f>IFERROR(
    IF(
        OR(ISBLANK(N1009), AND(ISBLANK(L1009), ISBLANK(M1009))),
        "",
        MAX(
            1,
            IF(
                NETWORKDAYS(IF(NOT(ISBLANK(M1009)), M1009, L1009), N1009, Holiday_Dates) &lt;= 0,
                1,
                NETWORKDAYS(IF(NOT(ISBLANK(M1009)), M1009, L1009), N1009, Holiday_Dates)
                - IF(IF(NOT(ISBLANK(M1009)), M1009, L1009) = N1009, 0, 1)
            )
        )
    ),
    ""
)</f>
        <v/>
      </c>
      <c r="S1009" s="385" t="str">
        <f>IFERROR(
    IF(
        OR(ISBLANK(N1009), ISBLANK(O1009)),
        "",
        MAX(
            1,
            IF(
                NETWORKDAYS(N1009, O1009, Holiday_Dates) &lt;= 0,
                1,
                NETWORKDAYS(N1009, O1009, Holiday_Dates) - IF(N1009 = O1009, 0, 1)
            )
        )
    ),
    ""
)</f>
        <v/>
      </c>
      <c r="T1009" s="385"/>
      <c r="U1009" s="385" t="s">
        <v>672</v>
      </c>
      <c r="V1009" s="385"/>
      <c r="W1009" s="385" t="s">
        <v>1436</v>
      </c>
      <c r="X1009" s="1"/>
    </row>
    <row r="1010" spans="1:24">
      <c r="A1010" s="385" t="s">
        <v>51</v>
      </c>
      <c r="B1010" s="385" t="s">
        <v>534</v>
      </c>
      <c r="C1010" s="385" t="s">
        <v>3694</v>
      </c>
      <c r="D1010" s="385" t="s">
        <v>88</v>
      </c>
      <c r="E1010" s="385" t="s">
        <v>32</v>
      </c>
      <c r="F1010" s="385"/>
      <c r="G1010" s="385" t="s">
        <v>133</v>
      </c>
      <c r="H1010" s="385">
        <v>2026</v>
      </c>
      <c r="I1010" s="386">
        <v>46085</v>
      </c>
      <c r="J1010" s="30" t="s">
        <v>5132</v>
      </c>
      <c r="K1010" s="388" t="s">
        <v>45</v>
      </c>
      <c r="L1010" s="386">
        <v>46088</v>
      </c>
      <c r="M1010" s="385"/>
      <c r="N1010" s="386">
        <v>46090</v>
      </c>
      <c r="O1010" s="386">
        <v>46090</v>
      </c>
      <c r="P1010" s="385">
        <f>IFERROR(
    IF(
        OR(ISBLANK(I1010), ISBLANK(L1010)),
        "",
        MAX(
            1,
            IF(
                NETWORKDAYS(I1010, L1010, Holiday_Dates) &lt;= 0,
                1,
                NETWORKDAYS(I1010, L1010, Holiday_Dates) - IF(I1010 = L1010, 0, 1)
            )
        )
    ),
    ""
)</f>
        <v>2</v>
      </c>
      <c r="Q1010" s="385" t="str">
        <f>IF(
    OR(ISBLANK(L1010), ISBLANK(M1010)),
    "",
    MAX(
        1,
        IF(
            NETWORKDAYS(L1010, M1010, Holiday_Dates) &lt;= 0,
            1,
            NETWORKDAYS(L1010, M1010, Holiday_Dates) - IF(L1010 = M1010, 0, 1)
        )
    )
)</f>
        <v/>
      </c>
      <c r="R1010" s="385">
        <f>IFERROR(
    IF(
        OR(ISBLANK(N1010), AND(ISBLANK(L1010), ISBLANK(M1010))),
        "",
        MAX(
            1,
            IF(
                NETWORKDAYS(IF(NOT(ISBLANK(M1010)), M1010, L1010), N1010, Holiday_Dates) &lt;= 0,
                1,
                NETWORKDAYS(IF(NOT(ISBLANK(M1010)), M1010, L1010), N1010, Holiday_Dates)
                - IF(IF(NOT(ISBLANK(M1010)), M1010, L1010) = N1010, 0, 1)
            )
        )
    ),
    ""
)</f>
        <v>1</v>
      </c>
      <c r="S1010" s="385">
        <f>IFERROR(
    IF(
        OR(ISBLANK(N1010), ISBLANK(O1010)),
        "",
        MAX(
            1,
            IF(
                NETWORKDAYS(N1010, O1010, Holiday_Dates) &lt;= 0,
                1,
                NETWORKDAYS(N1010, O1010, Holiday_Dates) - IF(N1010 = O1010, 0, 1)
            )
        )
    ),
    ""
)</f>
        <v>1</v>
      </c>
      <c r="T1010" s="385" t="s">
        <v>929</v>
      </c>
      <c r="U1010" s="385" t="s">
        <v>4708</v>
      </c>
      <c r="V1010" s="385" t="s">
        <v>4782</v>
      </c>
      <c r="W1010" s="385" t="s">
        <v>4710</v>
      </c>
      <c r="X1010" s="1"/>
    </row>
    <row r="1011" spans="1:24">
      <c r="A1011" s="385" t="s">
        <v>65</v>
      </c>
      <c r="B1011" s="385" t="s">
        <v>384</v>
      </c>
      <c r="C1011" s="385" t="s">
        <v>2770</v>
      </c>
      <c r="D1011" s="385" t="s">
        <v>88</v>
      </c>
      <c r="E1011" s="385"/>
      <c r="F1011" s="385"/>
      <c r="G1011" s="385"/>
      <c r="H1011" s="385">
        <v>2024</v>
      </c>
      <c r="I1011" s="386">
        <v>45596</v>
      </c>
      <c r="J1011" s="586"/>
      <c r="K1011" s="385"/>
      <c r="L1011" s="385"/>
      <c r="M1011" s="385"/>
      <c r="N1011" s="385"/>
      <c r="O1011" s="385"/>
      <c r="P1011" s="385" t="str">
        <f>IFERROR(
    IF(
        OR(ISBLANK(I1011), ISBLANK(L1011)),
        "",
        MAX(
            1,
            IF(
                NETWORKDAYS(I1011, L1011, Holiday_Dates) &lt;= 0,
                1,
                NETWORKDAYS(I1011, L1011, Holiday_Dates) - IF(I1011 = L1011, 0, 1)
            )
        )
    ),
    ""
)</f>
        <v/>
      </c>
      <c r="Q1011" s="385" t="str">
        <f>IF(
    OR(ISBLANK(L1011), ISBLANK(M1011)),
    "",
    MAX(
        1,
        IF(
            NETWORKDAYS(L1011, M1011, Holiday_Dates) &lt;= 0,
            1,
            NETWORKDAYS(L1011, M1011, Holiday_Dates) - IF(L1011 = M1011, 0, 1)
        )
    )
)</f>
        <v/>
      </c>
      <c r="R1011" s="385" t="str">
        <f>IFERROR(
    IF(
        OR(ISBLANK(N1011), AND(ISBLANK(L1011), ISBLANK(M1011))),
        "",
        MAX(
            1,
            IF(
                NETWORKDAYS(IF(NOT(ISBLANK(M1011)), M1011, L1011), N1011, Holiday_Dates) &lt;= 0,
                1,
                NETWORKDAYS(IF(NOT(ISBLANK(M1011)), M1011, L1011), N1011, Holiday_Dates)
                - IF(IF(NOT(ISBLANK(M1011)), M1011, L1011) = N1011, 0, 1)
            )
        )
    ),
    ""
)</f>
        <v/>
      </c>
      <c r="S1011" s="385" t="str">
        <f>IFERROR(
    IF(
        OR(ISBLANK(N1011), ISBLANK(O1011)),
        "",
        MAX(
            1,
            IF(
                NETWORKDAYS(N1011, O1011, Holiday_Dates) &lt;= 0,
                1,
                NETWORKDAYS(N1011, O1011, Holiday_Dates) - IF(N1011 = O1011, 0, 1)
            )
        )
    ),
    ""
)</f>
        <v/>
      </c>
      <c r="T1011" s="385"/>
      <c r="U1011" s="385" t="s">
        <v>4</v>
      </c>
      <c r="V1011" s="385" t="s">
        <v>101</v>
      </c>
      <c r="W1011" s="385" t="s">
        <v>1436</v>
      </c>
      <c r="X1011" s="1"/>
    </row>
    <row r="1012" spans="1:24">
      <c r="A1012" s="385" t="s">
        <v>65</v>
      </c>
      <c r="B1012" s="385" t="s">
        <v>384</v>
      </c>
      <c r="C1012" s="385" t="s">
        <v>2772</v>
      </c>
      <c r="D1012" s="385" t="s">
        <v>88</v>
      </c>
      <c r="E1012" s="385"/>
      <c r="F1012" s="385"/>
      <c r="G1012" s="385"/>
      <c r="H1012" s="385">
        <v>2025</v>
      </c>
      <c r="I1012" s="386">
        <v>45687</v>
      </c>
      <c r="J1012" s="30" t="s">
        <v>5133</v>
      </c>
      <c r="K1012" s="385"/>
      <c r="L1012" s="385"/>
      <c r="M1012" s="385"/>
      <c r="N1012" s="385"/>
      <c r="O1012" s="385"/>
      <c r="P1012" s="385" t="str">
        <f>IFERROR(
    IF(
        OR(ISBLANK(I1012), ISBLANK(L1012)),
        "",
        MAX(
            1,
            IF(
                NETWORKDAYS(I1012, L1012, Holiday_Dates) &lt;= 0,
                1,
                NETWORKDAYS(I1012, L1012, Holiday_Dates) - IF(I1012 = L1012, 0, 1)
            )
        )
    ),
    ""
)</f>
        <v/>
      </c>
      <c r="Q1012" s="385" t="str">
        <f>IF(
    OR(ISBLANK(L1012), ISBLANK(M1012)),
    "",
    MAX(
        1,
        IF(
            NETWORKDAYS(L1012, M1012, Holiday_Dates) &lt;= 0,
            1,
            NETWORKDAYS(L1012, M1012, Holiday_Dates) - IF(L1012 = M1012, 0, 1)
        )
    )
)</f>
        <v/>
      </c>
      <c r="R1012" s="385" t="str">
        <f>IFERROR(
    IF(
        OR(ISBLANK(N1012), AND(ISBLANK(L1012), ISBLANK(M1012))),
        "",
        MAX(
            1,
            IF(
                NETWORKDAYS(IF(NOT(ISBLANK(M1012)), M1012, L1012), N1012, Holiday_Dates) &lt;= 0,
                1,
                NETWORKDAYS(IF(NOT(ISBLANK(M1012)), M1012, L1012), N1012, Holiday_Dates)
                - IF(IF(NOT(ISBLANK(M1012)), M1012, L1012) = N1012, 0, 1)
            )
        )
    ),
    ""
)</f>
        <v/>
      </c>
      <c r="S1012" s="385" t="str">
        <f>IFERROR(
    IF(
        OR(ISBLANK(N1012), ISBLANK(O1012)),
        "",
        MAX(
            1,
            IF(
                NETWORKDAYS(N1012, O1012, Holiday_Dates) &lt;= 0,
                1,
                NETWORKDAYS(N1012, O1012, Holiday_Dates) - IF(N1012 = O1012, 0, 1)
            )
        )
    ),
    ""
)</f>
        <v/>
      </c>
      <c r="T1012" s="385"/>
      <c r="U1012" s="385" t="s">
        <v>672</v>
      </c>
      <c r="V1012" s="385" t="s">
        <v>101</v>
      </c>
      <c r="W1012" s="385" t="s">
        <v>1436</v>
      </c>
      <c r="X1012" s="1"/>
    </row>
    <row r="1013" spans="1:24">
      <c r="A1013" s="385" t="s">
        <v>51</v>
      </c>
      <c r="B1013" s="385" t="s">
        <v>534</v>
      </c>
      <c r="C1013" s="385" t="s">
        <v>950</v>
      </c>
      <c r="D1013" s="385" t="s">
        <v>88</v>
      </c>
      <c r="E1013" s="385" t="s">
        <v>32</v>
      </c>
      <c r="F1013" s="385"/>
      <c r="G1013" s="385" t="s">
        <v>133</v>
      </c>
      <c r="H1013" s="385">
        <v>2026</v>
      </c>
      <c r="I1013" s="386">
        <v>46080</v>
      </c>
      <c r="J1013" s="30" t="s">
        <v>5134</v>
      </c>
      <c r="K1013" s="388" t="s">
        <v>45</v>
      </c>
      <c r="L1013" s="386">
        <v>46081</v>
      </c>
      <c r="M1013" s="385"/>
      <c r="N1013" s="386">
        <v>46083</v>
      </c>
      <c r="O1013" s="386">
        <v>46083</v>
      </c>
      <c r="P1013" s="385">
        <f>IFERROR(
    IF(
        OR(ISBLANK(I1013), ISBLANK(L1013)),
        "",
        MAX(
            1,
            IF(
                NETWORKDAYS(I1013, L1013, Holiday_Dates) &lt;= 0,
                1,
                NETWORKDAYS(I1013, L1013, Holiday_Dates) - IF(I1013 = L1013, 0, 1)
            )
        )
    ),
    ""
)</f>
        <v>1</v>
      </c>
      <c r="Q1013" s="385" t="str">
        <f>IF(
    OR(ISBLANK(L1013), ISBLANK(M1013)),
    "",
    MAX(
        1,
        IF(
            NETWORKDAYS(L1013, M1013, Holiday_Dates) &lt;= 0,
            1,
            NETWORKDAYS(L1013, M1013, Holiday_Dates) - IF(L1013 = M1013, 0, 1)
        )
    )
)</f>
        <v/>
      </c>
      <c r="R1013" s="385">
        <f>IFERROR(
    IF(
        OR(ISBLANK(N1013), AND(ISBLANK(L1013), ISBLANK(M1013))),
        "",
        MAX(
            1,
            IF(
                NETWORKDAYS(IF(NOT(ISBLANK(M1013)), M1013, L1013), N1013, Holiday_Dates) &lt;= 0,
                1,
                NETWORKDAYS(IF(NOT(ISBLANK(M1013)), M1013, L1013), N1013, Holiday_Dates)
                - IF(IF(NOT(ISBLANK(M1013)), M1013, L1013) = N1013, 0, 1)
            )
        )
    ),
    ""
)</f>
        <v>1</v>
      </c>
      <c r="S1013" s="385">
        <f>IFERROR(
    IF(
        OR(ISBLANK(N1013), ISBLANK(O1013)),
        "",
        MAX(
            1,
            IF(
                NETWORKDAYS(N1013, O1013, Holiday_Dates) &lt;= 0,
                1,
                NETWORKDAYS(N1013, O1013, Holiday_Dates) - IF(N1013 = O1013, 0, 1)
            )
        )
    ),
    ""
)</f>
        <v>1</v>
      </c>
      <c r="T1013" s="385" t="s">
        <v>929</v>
      </c>
      <c r="U1013" s="385" t="s">
        <v>4708</v>
      </c>
      <c r="V1013" s="385" t="s">
        <v>4782</v>
      </c>
      <c r="W1013" s="385" t="s">
        <v>4710</v>
      </c>
      <c r="X1013" s="1"/>
    </row>
    <row r="1014" spans="1:24">
      <c r="A1014" s="385" t="s">
        <v>65</v>
      </c>
      <c r="B1014" s="385" t="s">
        <v>384</v>
      </c>
      <c r="C1014" s="385" t="s">
        <v>2774</v>
      </c>
      <c r="D1014" s="385" t="s">
        <v>88</v>
      </c>
      <c r="E1014" s="385"/>
      <c r="F1014" s="385"/>
      <c r="G1014" s="385"/>
      <c r="H1014" s="385">
        <v>2025</v>
      </c>
      <c r="I1014" s="386">
        <v>45687</v>
      </c>
      <c r="J1014" s="30" t="s">
        <v>5135</v>
      </c>
      <c r="K1014" s="385"/>
      <c r="L1014" s="385"/>
      <c r="M1014" s="385"/>
      <c r="N1014" s="385"/>
      <c r="O1014" s="385"/>
      <c r="P1014" s="385" t="str">
        <f>IFERROR(
    IF(
        OR(ISBLANK(I1014), ISBLANK(L1014)),
        "",
        MAX(
            1,
            IF(
                NETWORKDAYS(I1014, L1014, Holiday_Dates) &lt;= 0,
                1,
                NETWORKDAYS(I1014, L1014, Holiday_Dates) - IF(I1014 = L1014, 0, 1)
            )
        )
    ),
    ""
)</f>
        <v/>
      </c>
      <c r="Q1014" s="385" t="str">
        <f>IF(
    OR(ISBLANK(L1014), ISBLANK(M1014)),
    "",
    MAX(
        1,
        IF(
            NETWORKDAYS(L1014, M1014, Holiday_Dates) &lt;= 0,
            1,
            NETWORKDAYS(L1014, M1014, Holiday_Dates) - IF(L1014 = M1014, 0, 1)
        )
    )
)</f>
        <v/>
      </c>
      <c r="R1014" s="385" t="str">
        <f>IFERROR(
    IF(
        OR(ISBLANK(N1014), AND(ISBLANK(L1014), ISBLANK(M1014))),
        "",
        MAX(
            1,
            IF(
                NETWORKDAYS(IF(NOT(ISBLANK(M1014)), M1014, L1014), N1014, Holiday_Dates) &lt;= 0,
                1,
                NETWORKDAYS(IF(NOT(ISBLANK(M1014)), M1014, L1014), N1014, Holiday_Dates)
                - IF(IF(NOT(ISBLANK(M1014)), M1014, L1014) = N1014, 0, 1)
            )
        )
    ),
    ""
)</f>
        <v/>
      </c>
      <c r="S1014" s="385" t="str">
        <f>IFERROR(
    IF(
        OR(ISBLANK(N1014), ISBLANK(O1014)),
        "",
        MAX(
            1,
            IF(
                NETWORKDAYS(N1014, O1014, Holiday_Dates) &lt;= 0,
                1,
                NETWORKDAYS(N1014, O1014, Holiday_Dates) - IF(N1014 = O1014, 0, 1)
            )
        )
    ),
    ""
)</f>
        <v/>
      </c>
      <c r="T1014" s="385"/>
      <c r="U1014" s="385" t="s">
        <v>4</v>
      </c>
      <c r="V1014" s="385" t="s">
        <v>101</v>
      </c>
      <c r="W1014" s="385" t="s">
        <v>1436</v>
      </c>
      <c r="X1014" s="1"/>
    </row>
    <row r="1015" spans="1:24" ht="315">
      <c r="A1015" s="385" t="s">
        <v>51</v>
      </c>
      <c r="B1015" s="385" t="s">
        <v>416</v>
      </c>
      <c r="C1015" s="385" t="s">
        <v>3802</v>
      </c>
      <c r="D1015" s="385" t="s">
        <v>88</v>
      </c>
      <c r="E1015" s="385" t="s">
        <v>33</v>
      </c>
      <c r="F1015" s="385"/>
      <c r="G1015" s="385" t="s">
        <v>239</v>
      </c>
      <c r="H1015" s="385">
        <v>2026</v>
      </c>
      <c r="I1015" s="386">
        <v>46091</v>
      </c>
      <c r="J1015" s="30" t="s">
        <v>5136</v>
      </c>
      <c r="K1015" s="388" t="s">
        <v>45</v>
      </c>
      <c r="L1015" s="386">
        <v>46094</v>
      </c>
      <c r="M1015" s="385"/>
      <c r="N1015" s="386">
        <v>46097</v>
      </c>
      <c r="O1015" s="385"/>
      <c r="P1015" s="385">
        <f>IFERROR(
    IF(
        OR(ISBLANK(I1015), ISBLANK(L1015)),
        "",
        MAX(
            1,
            IF(
                NETWORKDAYS(I1015, L1015, Holiday_Dates) &lt;= 0,
                1,
                NETWORKDAYS(I1015, L1015, Holiday_Dates) - IF(I1015 = L1015, 0, 1)
            )
        )
    ),
    ""
)</f>
        <v>3</v>
      </c>
      <c r="Q1015" s="385" t="str">
        <f>IF(
    OR(ISBLANK(L1015), ISBLANK(M1015)),
    "",
    MAX(
        1,
        IF(
            NETWORKDAYS(L1015, M1015, Holiday_Dates) &lt;= 0,
            1,
            NETWORKDAYS(L1015, M1015, Holiday_Dates) - IF(L1015 = M1015, 0, 1)
        )
    )
)</f>
        <v/>
      </c>
      <c r="R1015" s="385">
        <f>IFERROR(
    IF(
        OR(ISBLANK(N1015), AND(ISBLANK(L1015), ISBLANK(M1015))),
        "",
        MAX(
            1,
            IF(
                NETWORKDAYS(IF(NOT(ISBLANK(M1015)), M1015, L1015), N1015, Holiday_Dates) &lt;= 0,
                1,
                NETWORKDAYS(IF(NOT(ISBLANK(M1015)), M1015, L1015), N1015, Holiday_Dates)
                - IF(IF(NOT(ISBLANK(M1015)), M1015, L1015) = N1015, 0, 1)
            )
        )
    ),
    ""
)</f>
        <v>1</v>
      </c>
      <c r="S1015" s="385" t="str">
        <f>IFERROR(
    IF(
        OR(ISBLANK(N1015), ISBLANK(O1015)),
        "",
        MAX(
            1,
            IF(
                NETWORKDAYS(N1015, O1015, Holiday_Dates) &lt;= 0,
                1,
                NETWORKDAYS(N1015, O1015, Holiday_Dates) - IF(N1015 = O1015, 0, 1)
            )
        )
    ),
    ""
)</f>
        <v/>
      </c>
      <c r="T1015" s="385"/>
      <c r="U1015" s="385" t="s">
        <v>672</v>
      </c>
      <c r="V1015" s="385" t="s">
        <v>101</v>
      </c>
      <c r="W1015" s="385" t="s">
        <v>4710</v>
      </c>
      <c r="X1015" s="284" t="s">
        <v>5137</v>
      </c>
    </row>
    <row r="1016" spans="1:24">
      <c r="A1016" s="385" t="s">
        <v>51</v>
      </c>
      <c r="B1016" s="385" t="s">
        <v>416</v>
      </c>
      <c r="C1016" s="385" t="s">
        <v>3386</v>
      </c>
      <c r="D1016" s="385" t="s">
        <v>88</v>
      </c>
      <c r="E1016" s="385" t="s">
        <v>33</v>
      </c>
      <c r="F1016" s="385"/>
      <c r="G1016" s="385" t="s">
        <v>239</v>
      </c>
      <c r="H1016" s="385"/>
      <c r="I1016" s="385"/>
      <c r="J1016" s="30"/>
      <c r="K1016" s="388" t="s">
        <v>45</v>
      </c>
      <c r="L1016" s="385"/>
      <c r="M1016" s="385"/>
      <c r="N1016" s="385"/>
      <c r="O1016" s="385"/>
      <c r="P1016" s="385" t="str">
        <f>IFERROR(
    IF(
        OR(ISBLANK(I1016), ISBLANK(L1016)),
        "",
        MAX(
            1,
            IF(
                NETWORKDAYS(I1016, L1016, Holiday_Dates) &lt;= 0,
                1,
                NETWORKDAYS(I1016, L1016, Holiday_Dates) - IF(I1016 = L1016, 0, 1)
            )
        )
    ),
    ""
)</f>
        <v/>
      </c>
      <c r="Q1016" s="385" t="str">
        <f>IF(
    OR(ISBLANK(L1016), ISBLANK(M1016)),
    "",
    MAX(
        1,
        IF(
            NETWORKDAYS(L1016, M1016, Holiday_Dates) &lt;= 0,
            1,
            NETWORKDAYS(L1016, M1016, Holiday_Dates) - IF(L1016 = M1016, 0, 1)
        )
    )
)</f>
        <v/>
      </c>
      <c r="R1016" s="385" t="str">
        <f>IFERROR(
    IF(
        OR(ISBLANK(N1016), AND(ISBLANK(L1016), ISBLANK(M1016))),
        "",
        MAX(
            1,
            IF(
                NETWORKDAYS(IF(NOT(ISBLANK(M1016)), M1016, L1016), N1016, Holiday_Dates) &lt;= 0,
                1,
                NETWORKDAYS(IF(NOT(ISBLANK(M1016)), M1016, L1016), N1016, Holiday_Dates)
                - IF(IF(NOT(ISBLANK(M1016)), M1016, L1016) = N1016, 0, 1)
            )
        )
    ),
    ""
)</f>
        <v/>
      </c>
      <c r="S1016" s="385" t="str">
        <f>IFERROR(
    IF(
        OR(ISBLANK(N1016), ISBLANK(O1016)),
        "",
        MAX(
            1,
            IF(
                NETWORKDAYS(N1016, O1016, Holiday_Dates) &lt;= 0,
                1,
                NETWORKDAYS(N1016, O1016, Holiday_Dates) - IF(N1016 = O1016, 0, 1)
            )
        )
    ),
    ""
)</f>
        <v/>
      </c>
      <c r="T1016" s="385"/>
      <c r="U1016" s="385"/>
      <c r="V1016" s="385"/>
      <c r="W1016" s="385" t="s">
        <v>4710</v>
      </c>
      <c r="X1016" s="1"/>
    </row>
    <row r="1017" spans="1:24">
      <c r="A1017" s="385" t="s">
        <v>65</v>
      </c>
      <c r="B1017" s="385" t="s">
        <v>1314</v>
      </c>
      <c r="C1017" s="385" t="s">
        <v>2861</v>
      </c>
      <c r="D1017" s="385" t="s">
        <v>88</v>
      </c>
      <c r="E1017" s="385"/>
      <c r="F1017" s="385"/>
      <c r="G1017" s="385"/>
      <c r="H1017" s="385">
        <v>2025</v>
      </c>
      <c r="I1017" s="386">
        <v>45938</v>
      </c>
      <c r="J1017" s="30" t="s">
        <v>5138</v>
      </c>
      <c r="K1017" s="385"/>
      <c r="L1017" s="385"/>
      <c r="M1017" s="385"/>
      <c r="N1017" s="385"/>
      <c r="O1017" s="385"/>
      <c r="P1017" s="385" t="str">
        <f>IFERROR(
    IF(
        OR(ISBLANK(I1017), ISBLANK(L1017)),
        "",
        MAX(
            1,
            IF(
                NETWORKDAYS(I1017, L1017, Holiday_Dates) &lt;= 0,
                1,
                NETWORKDAYS(I1017, L1017, Holiday_Dates) - IF(I1017 = L1017, 0, 1)
            )
        )
    ),
    ""
)</f>
        <v/>
      </c>
      <c r="Q1017" s="385" t="str">
        <f>IF(
    OR(ISBLANK(L1017), ISBLANK(M1017)),
    "",
    MAX(
        1,
        IF(
            NETWORKDAYS(L1017, M1017, Holiday_Dates) &lt;= 0,
            1,
            NETWORKDAYS(L1017, M1017, Holiday_Dates) - IF(L1017 = M1017, 0, 1)
        )
    )
)</f>
        <v/>
      </c>
      <c r="R1017" s="385" t="str">
        <f>IFERROR(
    IF(
        OR(ISBLANK(N1017), AND(ISBLANK(L1017), ISBLANK(M1017))),
        "",
        MAX(
            1,
            IF(
                NETWORKDAYS(IF(NOT(ISBLANK(M1017)), M1017, L1017), N1017, Holiday_Dates) &lt;= 0,
                1,
                NETWORKDAYS(IF(NOT(ISBLANK(M1017)), M1017, L1017), N1017, Holiday_Dates)
                - IF(IF(NOT(ISBLANK(M1017)), M1017, L1017) = N1017, 0, 1)
            )
        )
    ),
    ""
)</f>
        <v/>
      </c>
      <c r="S1017" s="385" t="str">
        <f>IFERROR(
    IF(
        OR(ISBLANK(N1017), ISBLANK(O1017)),
        "",
        MAX(
            1,
            IF(
                NETWORKDAYS(N1017, O1017, Holiday_Dates) &lt;= 0,
                1,
                NETWORKDAYS(N1017, O1017, Holiday_Dates) - IF(N1017 = O1017, 0, 1)
            )
        )
    ),
    ""
)</f>
        <v/>
      </c>
      <c r="T1017" s="385"/>
      <c r="U1017" s="385" t="s">
        <v>672</v>
      </c>
      <c r="V1017" s="385" t="s">
        <v>101</v>
      </c>
      <c r="W1017" s="385" t="s">
        <v>1436</v>
      </c>
      <c r="X1017" s="1"/>
    </row>
    <row r="1018" spans="1:24">
      <c r="A1018" s="385" t="s">
        <v>51</v>
      </c>
      <c r="B1018" s="385" t="s">
        <v>416</v>
      </c>
      <c r="C1018" s="385" t="s">
        <v>3818</v>
      </c>
      <c r="D1018" s="385" t="s">
        <v>88</v>
      </c>
      <c r="E1018" s="385" t="s">
        <v>33</v>
      </c>
      <c r="F1018" s="385"/>
      <c r="G1018" s="385" t="s">
        <v>239</v>
      </c>
      <c r="H1018" s="385"/>
      <c r="I1018" s="385"/>
      <c r="J1018" s="30"/>
      <c r="K1018" s="388" t="s">
        <v>45</v>
      </c>
      <c r="L1018" s="385"/>
      <c r="M1018" s="385"/>
      <c r="N1018" s="385"/>
      <c r="O1018" s="385"/>
      <c r="P1018" s="385" t="str">
        <f>IFERROR(
    IF(
        OR(ISBLANK(I1018), ISBLANK(L1018)),
        "",
        MAX(
            1,
            IF(
                NETWORKDAYS(I1018, L1018, Holiday_Dates) &lt;= 0,
                1,
                NETWORKDAYS(I1018, L1018, Holiday_Dates) - IF(I1018 = L1018, 0, 1)
            )
        )
    ),
    ""
)</f>
        <v/>
      </c>
      <c r="Q1018" s="385" t="str">
        <f>IF(
    OR(ISBLANK(L1018), ISBLANK(M1018)),
    "",
    MAX(
        1,
        IF(
            NETWORKDAYS(L1018, M1018, Holiday_Dates) &lt;= 0,
            1,
            NETWORKDAYS(L1018, M1018, Holiday_Dates) - IF(L1018 = M1018, 0, 1)
        )
    )
)</f>
        <v/>
      </c>
      <c r="R1018" s="385" t="str">
        <f>IFERROR(
    IF(
        OR(ISBLANK(N1018), AND(ISBLANK(L1018), ISBLANK(M1018))),
        "",
        MAX(
            1,
            IF(
                NETWORKDAYS(IF(NOT(ISBLANK(M1018)), M1018, L1018), N1018, Holiday_Dates) &lt;= 0,
                1,
                NETWORKDAYS(IF(NOT(ISBLANK(M1018)), M1018, L1018), N1018, Holiday_Dates)
                - IF(IF(NOT(ISBLANK(M1018)), M1018, L1018) = N1018, 0, 1)
            )
        )
    ),
    ""
)</f>
        <v/>
      </c>
      <c r="S1018" s="385" t="str">
        <f>IFERROR(
    IF(
        OR(ISBLANK(N1018), ISBLANK(O1018)),
        "",
        MAX(
            1,
            IF(
                NETWORKDAYS(N1018, O1018, Holiday_Dates) &lt;= 0,
                1,
                NETWORKDAYS(N1018, O1018, Holiday_Dates) - IF(N1018 = O1018, 0, 1)
            )
        )
    ),
    ""
)</f>
        <v/>
      </c>
      <c r="T1018" s="385"/>
      <c r="U1018" s="385"/>
      <c r="V1018" s="385"/>
      <c r="W1018" s="385" t="s">
        <v>4710</v>
      </c>
      <c r="X1018" s="1"/>
    </row>
    <row r="1019" spans="1:24">
      <c r="A1019" s="385" t="s">
        <v>51</v>
      </c>
      <c r="B1019" s="385" t="s">
        <v>416</v>
      </c>
      <c r="C1019" s="385" t="s">
        <v>3805</v>
      </c>
      <c r="D1019" s="385" t="s">
        <v>88</v>
      </c>
      <c r="E1019" s="385" t="s">
        <v>33</v>
      </c>
      <c r="F1019" s="385"/>
      <c r="G1019" s="385" t="s">
        <v>239</v>
      </c>
      <c r="H1019" s="385"/>
      <c r="I1019" s="385"/>
      <c r="J1019" s="30"/>
      <c r="K1019" s="388" t="s">
        <v>45</v>
      </c>
      <c r="L1019" s="385"/>
      <c r="M1019" s="385"/>
      <c r="N1019" s="385"/>
      <c r="O1019" s="385"/>
      <c r="P1019" s="385" t="str">
        <f>IFERROR(
    IF(
        OR(ISBLANK(I1019), ISBLANK(L1019)),
        "",
        MAX(
            1,
            IF(
                NETWORKDAYS(I1019, L1019, Holiday_Dates) &lt;= 0,
                1,
                NETWORKDAYS(I1019, L1019, Holiday_Dates) - IF(I1019 = L1019, 0, 1)
            )
        )
    ),
    ""
)</f>
        <v/>
      </c>
      <c r="Q1019" s="385" t="str">
        <f>IF(
    OR(ISBLANK(L1019), ISBLANK(M1019)),
    "",
    MAX(
        1,
        IF(
            NETWORKDAYS(L1019, M1019, Holiday_Dates) &lt;= 0,
            1,
            NETWORKDAYS(L1019, M1019, Holiday_Dates) - IF(L1019 = M1019, 0, 1)
        )
    )
)</f>
        <v/>
      </c>
      <c r="R1019" s="385" t="str">
        <f>IFERROR(
    IF(
        OR(ISBLANK(N1019), AND(ISBLANK(L1019), ISBLANK(M1019))),
        "",
        MAX(
            1,
            IF(
                NETWORKDAYS(IF(NOT(ISBLANK(M1019)), M1019, L1019), N1019, Holiday_Dates) &lt;= 0,
                1,
                NETWORKDAYS(IF(NOT(ISBLANK(M1019)), M1019, L1019), N1019, Holiday_Dates)
                - IF(IF(NOT(ISBLANK(M1019)), M1019, L1019) = N1019, 0, 1)
            )
        )
    ),
    ""
)</f>
        <v/>
      </c>
      <c r="S1019" s="385" t="str">
        <f>IFERROR(
    IF(
        OR(ISBLANK(N1019), ISBLANK(O1019)),
        "",
        MAX(
            1,
            IF(
                NETWORKDAYS(N1019, O1019, Holiday_Dates) &lt;= 0,
                1,
                NETWORKDAYS(N1019, O1019, Holiday_Dates) - IF(N1019 = O1019, 0, 1)
            )
        )
    ),
    ""
)</f>
        <v/>
      </c>
      <c r="T1019" s="385"/>
      <c r="U1019" s="385"/>
      <c r="V1019" s="385"/>
      <c r="W1019" s="385" t="s">
        <v>4710</v>
      </c>
      <c r="X1019" s="1"/>
    </row>
    <row r="1020" spans="1:24">
      <c r="A1020" s="385" t="s">
        <v>51</v>
      </c>
      <c r="B1020" s="385" t="s">
        <v>416</v>
      </c>
      <c r="C1020" s="385" t="s">
        <v>3809</v>
      </c>
      <c r="D1020" s="385" t="s">
        <v>88</v>
      </c>
      <c r="E1020" s="385" t="s">
        <v>33</v>
      </c>
      <c r="F1020" s="385"/>
      <c r="G1020" s="385" t="s">
        <v>239</v>
      </c>
      <c r="H1020" s="385"/>
      <c r="I1020" s="385"/>
      <c r="J1020" s="30"/>
      <c r="K1020" s="388" t="s">
        <v>45</v>
      </c>
      <c r="L1020" s="385"/>
      <c r="M1020" s="385"/>
      <c r="N1020" s="385"/>
      <c r="O1020" s="385"/>
      <c r="P1020" s="385" t="str">
        <f>IFERROR(
    IF(
        OR(ISBLANK(I1020), ISBLANK(L1020)),
        "",
        MAX(
            1,
            IF(
                NETWORKDAYS(I1020, L1020, Holiday_Dates) &lt;= 0,
                1,
                NETWORKDAYS(I1020, L1020, Holiday_Dates) - IF(I1020 = L1020, 0, 1)
            )
        )
    ),
    ""
)</f>
        <v/>
      </c>
      <c r="Q1020" s="385" t="str">
        <f>IF(
    OR(ISBLANK(L1020), ISBLANK(M1020)),
    "",
    MAX(
        1,
        IF(
            NETWORKDAYS(L1020, M1020, Holiday_Dates) &lt;= 0,
            1,
            NETWORKDAYS(L1020, M1020, Holiday_Dates) - IF(L1020 = M1020, 0, 1)
        )
    )
)</f>
        <v/>
      </c>
      <c r="R1020" s="385" t="str">
        <f>IFERROR(
    IF(
        OR(ISBLANK(N1020), AND(ISBLANK(L1020), ISBLANK(M1020))),
        "",
        MAX(
            1,
            IF(
                NETWORKDAYS(IF(NOT(ISBLANK(M1020)), M1020, L1020), N1020, Holiday_Dates) &lt;= 0,
                1,
                NETWORKDAYS(IF(NOT(ISBLANK(M1020)), M1020, L1020), N1020, Holiday_Dates)
                - IF(IF(NOT(ISBLANK(M1020)), M1020, L1020) = N1020, 0, 1)
            )
        )
    ),
    ""
)</f>
        <v/>
      </c>
      <c r="S1020" s="385" t="str">
        <f>IFERROR(
    IF(
        OR(ISBLANK(N1020), ISBLANK(O1020)),
        "",
        MAX(
            1,
            IF(
                NETWORKDAYS(N1020, O1020, Holiday_Dates) &lt;= 0,
                1,
                NETWORKDAYS(N1020, O1020, Holiday_Dates) - IF(N1020 = O1020, 0, 1)
            )
        )
    ),
    ""
)</f>
        <v/>
      </c>
      <c r="T1020" s="385"/>
      <c r="U1020" s="385"/>
      <c r="V1020" s="385"/>
      <c r="W1020" s="385" t="s">
        <v>4710</v>
      </c>
      <c r="X1020" s="1"/>
    </row>
    <row r="1021" spans="1:24">
      <c r="A1021" s="385" t="s">
        <v>51</v>
      </c>
      <c r="B1021" s="385" t="s">
        <v>1658</v>
      </c>
      <c r="C1021" s="385" t="s">
        <v>3856</v>
      </c>
      <c r="D1021" s="385" t="s">
        <v>88</v>
      </c>
      <c r="E1021" s="385" t="s">
        <v>33</v>
      </c>
      <c r="F1021" s="385"/>
      <c r="G1021" s="385" t="s">
        <v>239</v>
      </c>
      <c r="H1021" s="385">
        <v>2026</v>
      </c>
      <c r="I1021" s="386">
        <v>46085</v>
      </c>
      <c r="J1021" s="30" t="s">
        <v>5139</v>
      </c>
      <c r="K1021" s="388" t="s">
        <v>45</v>
      </c>
      <c r="L1021" s="386">
        <v>46088</v>
      </c>
      <c r="M1021" s="386"/>
      <c r="N1021" s="386">
        <v>46090</v>
      </c>
      <c r="O1021" s="386">
        <v>46090</v>
      </c>
      <c r="P1021" s="385">
        <f>IFERROR(
    IF(
        OR(ISBLANK(I1021), ISBLANK(L1021)),
        "",
        MAX(
            1,
            IF(
                NETWORKDAYS(I1021, L1021, Holiday_Dates) &lt;= 0,
                1,
                NETWORKDAYS(I1021, L1021, Holiday_Dates) - IF(I1021 = L1021, 0, 1)
            )
        )
    ),
    ""
)</f>
        <v>2</v>
      </c>
      <c r="Q1021" s="385" t="str">
        <f>IF(
    OR(ISBLANK(L1021), ISBLANK(M1021)),
    "",
    MAX(
        1,
        IF(
            NETWORKDAYS(L1021, M1021, Holiday_Dates) &lt;= 0,
            1,
            NETWORKDAYS(L1021, M1021, Holiday_Dates) - IF(L1021 = M1021, 0, 1)
        )
    )
)</f>
        <v/>
      </c>
      <c r="R1021" s="385">
        <f>IFERROR(
    IF(
        OR(ISBLANK(N1021), AND(ISBLANK(L1021), ISBLANK(M1021))),
        "",
        MAX(
            1,
            IF(
                NETWORKDAYS(IF(NOT(ISBLANK(M1021)), M1021, L1021), N1021, Holiday_Dates) &lt;= 0,
                1,
                NETWORKDAYS(IF(NOT(ISBLANK(M1021)), M1021, L1021), N1021, Holiday_Dates)
                - IF(IF(NOT(ISBLANK(M1021)), M1021, L1021) = N1021, 0, 1)
            )
        )
    ),
    ""
)</f>
        <v>1</v>
      </c>
      <c r="S1021" s="385">
        <f>IFERROR(
    IF(
        OR(ISBLANK(N1021), ISBLANK(O1021)),
        "",
        MAX(
            1,
            IF(
                NETWORKDAYS(N1021, O1021, Holiday_Dates) &lt;= 0,
                1,
                NETWORKDAYS(N1021, O1021, Holiday_Dates) - IF(N1021 = O1021, 0, 1)
            )
        )
    ),
    ""
)</f>
        <v>1</v>
      </c>
      <c r="T1021" s="385" t="s">
        <v>929</v>
      </c>
      <c r="U1021" s="385" t="s">
        <v>672</v>
      </c>
      <c r="V1021" s="385" t="s">
        <v>4782</v>
      </c>
      <c r="W1021" s="385" t="s">
        <v>4710</v>
      </c>
      <c r="X1021" s="1"/>
    </row>
    <row r="1022" spans="1:24">
      <c r="A1022" s="385" t="s">
        <v>51</v>
      </c>
      <c r="B1022" s="385" t="s">
        <v>1658</v>
      </c>
      <c r="C1022" s="385" t="s">
        <v>3651</v>
      </c>
      <c r="D1022" s="385" t="s">
        <v>88</v>
      </c>
      <c r="E1022" s="385" t="s">
        <v>33</v>
      </c>
      <c r="F1022" s="385"/>
      <c r="G1022" s="385" t="s">
        <v>239</v>
      </c>
      <c r="H1022" s="385">
        <v>2026</v>
      </c>
      <c r="I1022" s="386">
        <v>46085</v>
      </c>
      <c r="J1022" s="30" t="s">
        <v>5140</v>
      </c>
      <c r="K1022" s="388" t="s">
        <v>45</v>
      </c>
      <c r="L1022" s="386">
        <v>46088</v>
      </c>
      <c r="M1022" s="385"/>
      <c r="N1022" s="386">
        <v>46090</v>
      </c>
      <c r="O1022" s="386">
        <v>46090</v>
      </c>
      <c r="P1022" s="385">
        <f>IFERROR(
    IF(
        OR(ISBLANK(I1022), ISBLANK(L1022)),
        "",
        MAX(
            1,
            IF(
                NETWORKDAYS(I1022, L1022, Holiday_Dates) &lt;= 0,
                1,
                NETWORKDAYS(I1022, L1022, Holiday_Dates) - IF(I1022 = L1022, 0, 1)
            )
        )
    ),
    ""
)</f>
        <v>2</v>
      </c>
      <c r="Q1022" s="385" t="str">
        <f>IF(
    OR(ISBLANK(L1022), ISBLANK(M1022)),
    "",
    MAX(
        1,
        IF(
            NETWORKDAYS(L1022, M1022, Holiday_Dates) &lt;= 0,
            1,
            NETWORKDAYS(L1022, M1022, Holiday_Dates) - IF(L1022 = M1022, 0, 1)
        )
    )
)</f>
        <v/>
      </c>
      <c r="R1022" s="385">
        <f>IFERROR(
    IF(
        OR(ISBLANK(N1022), AND(ISBLANK(L1022), ISBLANK(M1022))),
        "",
        MAX(
            1,
            IF(
                NETWORKDAYS(IF(NOT(ISBLANK(M1022)), M1022, L1022), N1022, Holiday_Dates) &lt;= 0,
                1,
                NETWORKDAYS(IF(NOT(ISBLANK(M1022)), M1022, L1022), N1022, Holiday_Dates)
                - IF(IF(NOT(ISBLANK(M1022)), M1022, L1022) = N1022, 0, 1)
            )
        )
    ),
    ""
)</f>
        <v>1</v>
      </c>
      <c r="S1022" s="385">
        <f>IFERROR(
    IF(
        OR(ISBLANK(N1022), ISBLANK(O1022)),
        "",
        MAX(
            1,
            IF(
                NETWORKDAYS(N1022, O1022, Holiday_Dates) &lt;= 0,
                1,
                NETWORKDAYS(N1022, O1022, Holiday_Dates) - IF(N1022 = O1022, 0, 1)
            )
        )
    ),
    ""
)</f>
        <v>1</v>
      </c>
      <c r="T1022" s="385" t="s">
        <v>929</v>
      </c>
      <c r="U1022" s="385" t="s">
        <v>672</v>
      </c>
      <c r="V1022" s="385" t="s">
        <v>5120</v>
      </c>
      <c r="W1022" s="385" t="s">
        <v>4710</v>
      </c>
      <c r="X1022" s="1"/>
    </row>
    <row r="1023" spans="1:24">
      <c r="A1023" s="385" t="s">
        <v>51</v>
      </c>
      <c r="B1023" s="385" t="s">
        <v>1658</v>
      </c>
      <c r="C1023" s="385" t="s">
        <v>653</v>
      </c>
      <c r="D1023" s="385" t="s">
        <v>88</v>
      </c>
      <c r="E1023" s="385" t="s">
        <v>33</v>
      </c>
      <c r="F1023" s="385"/>
      <c r="G1023" s="385" t="s">
        <v>239</v>
      </c>
      <c r="H1023" s="385">
        <v>2026</v>
      </c>
      <c r="I1023" s="386">
        <v>46085</v>
      </c>
      <c r="J1023" s="30" t="s">
        <v>5141</v>
      </c>
      <c r="K1023" s="388" t="s">
        <v>45</v>
      </c>
      <c r="L1023" s="386">
        <v>46088</v>
      </c>
      <c r="M1023" s="385"/>
      <c r="N1023" s="386">
        <v>46090</v>
      </c>
      <c r="O1023" s="386">
        <v>46090</v>
      </c>
      <c r="P1023" s="385">
        <f>IFERROR(
    IF(
        OR(ISBLANK(I1023), ISBLANK(L1023)),
        "",
        MAX(
            1,
            IF(
                NETWORKDAYS(I1023, L1023, Holiday_Dates) &lt;= 0,
                1,
                NETWORKDAYS(I1023, L1023, Holiday_Dates) - IF(I1023 = L1023, 0, 1)
            )
        )
    ),
    ""
)</f>
        <v>2</v>
      </c>
      <c r="Q1023" s="385" t="str">
        <f>IF(
    OR(ISBLANK(L1023), ISBLANK(M1023)),
    "",
    MAX(
        1,
        IF(
            NETWORKDAYS(L1023, M1023, Holiday_Dates) &lt;= 0,
            1,
            NETWORKDAYS(L1023, M1023, Holiday_Dates) - IF(L1023 = M1023, 0, 1)
        )
    )
)</f>
        <v/>
      </c>
      <c r="R1023" s="385">
        <f>IFERROR(
    IF(
        OR(ISBLANK(N1023), AND(ISBLANK(L1023), ISBLANK(M1023))),
        "",
        MAX(
            1,
            IF(
                NETWORKDAYS(IF(NOT(ISBLANK(M1023)), M1023, L1023), N1023, Holiday_Dates) &lt;= 0,
                1,
                NETWORKDAYS(IF(NOT(ISBLANK(M1023)), M1023, L1023), N1023, Holiday_Dates)
                - IF(IF(NOT(ISBLANK(M1023)), M1023, L1023) = N1023, 0, 1)
            )
        )
    ),
    ""
)</f>
        <v>1</v>
      </c>
      <c r="S1023" s="385">
        <f>IFERROR(
    IF(
        OR(ISBLANK(N1023), ISBLANK(O1023)),
        "",
        MAX(
            1,
            IF(
                NETWORKDAYS(N1023, O1023, Holiday_Dates) &lt;= 0,
                1,
                NETWORKDAYS(N1023, O1023, Holiday_Dates) - IF(N1023 = O1023, 0, 1)
            )
        )
    ),
    ""
)</f>
        <v>1</v>
      </c>
      <c r="T1023" s="385" t="s">
        <v>929</v>
      </c>
      <c r="U1023" s="385" t="s">
        <v>672</v>
      </c>
      <c r="V1023" s="385" t="s">
        <v>5120</v>
      </c>
      <c r="W1023" s="385" t="s">
        <v>4710</v>
      </c>
      <c r="X1023" s="1"/>
    </row>
    <row r="1024" spans="1:24">
      <c r="A1024" s="385" t="s">
        <v>51</v>
      </c>
      <c r="B1024" s="385" t="s">
        <v>394</v>
      </c>
      <c r="C1024" s="385" t="s">
        <v>1658</v>
      </c>
      <c r="D1024" s="385" t="s">
        <v>88</v>
      </c>
      <c r="E1024" s="385" t="s">
        <v>145</v>
      </c>
      <c r="F1024" s="385"/>
      <c r="G1024" s="385" t="s">
        <v>133</v>
      </c>
      <c r="H1024" s="385">
        <v>2026</v>
      </c>
      <c r="I1024" s="386">
        <v>46084</v>
      </c>
      <c r="J1024" s="30" t="s">
        <v>5142</v>
      </c>
      <c r="K1024" s="388" t="s">
        <v>45</v>
      </c>
      <c r="L1024" s="386">
        <v>46088</v>
      </c>
      <c r="M1024" s="385"/>
      <c r="N1024" s="386">
        <v>46091</v>
      </c>
      <c r="O1024" s="386">
        <v>46093</v>
      </c>
      <c r="P1024" s="385">
        <f>IFERROR(
    IF(
        OR(ISBLANK(I1024), ISBLANK(L1024)),
        "",
        MAX(
            1,
            IF(
                NETWORKDAYS(I1024, L1024, Holiday_Dates) &lt;= 0,
                1,
                NETWORKDAYS(I1024, L1024, Holiday_Dates) - IF(I1024 = L1024, 0, 1)
            )
        )
    ),
    ""
)</f>
        <v>3</v>
      </c>
      <c r="Q1024" s="385" t="str">
        <f>IF(
    OR(ISBLANK(L1024), ISBLANK(M1024)),
    "",
    MAX(
        1,
        IF(
            NETWORKDAYS(L1024, M1024, Holiday_Dates) &lt;= 0,
            1,
            NETWORKDAYS(L1024, M1024, Holiday_Dates) - IF(L1024 = M1024, 0, 1)
        )
    )
)</f>
        <v/>
      </c>
      <c r="R1024" s="385">
        <f>IFERROR(
    IF(
        OR(ISBLANK(N1024), AND(ISBLANK(L1024), ISBLANK(M1024))),
        "",
        MAX(
            1,
            IF(
                NETWORKDAYS(IF(NOT(ISBLANK(M1024)), M1024, L1024), N1024, Holiday_Dates) &lt;= 0,
                1,
                NETWORKDAYS(IF(NOT(ISBLANK(M1024)), M1024, L1024), N1024, Holiday_Dates)
                - IF(IF(NOT(ISBLANK(M1024)), M1024, L1024) = N1024, 0, 1)
            )
        )
    ),
    ""
)</f>
        <v>1</v>
      </c>
      <c r="S1024" s="385">
        <f>IFERROR(
    IF(
        OR(ISBLANK(N1024), ISBLANK(O1024)),
        "",
        MAX(
            1,
            IF(
                NETWORKDAYS(N1024, O1024, Holiday_Dates) &lt;= 0,
                1,
                NETWORKDAYS(N1024, O1024, Holiday_Dates) - IF(N1024 = O1024, 0, 1)
            )
        )
    ),
    ""
)</f>
        <v>2</v>
      </c>
      <c r="T1024" s="385" t="s">
        <v>929</v>
      </c>
      <c r="U1024" s="385" t="s">
        <v>4708</v>
      </c>
      <c r="V1024" s="385" t="s">
        <v>4782</v>
      </c>
      <c r="W1024" s="385" t="s">
        <v>4710</v>
      </c>
      <c r="X1024" s="1"/>
    </row>
    <row r="1025" spans="1:24">
      <c r="A1025" s="385" t="s">
        <v>52</v>
      </c>
      <c r="B1025" s="385" t="s">
        <v>368</v>
      </c>
      <c r="C1025" s="385" t="s">
        <v>3888</v>
      </c>
      <c r="D1025" s="385" t="s">
        <v>89</v>
      </c>
      <c r="E1025" s="385" t="s">
        <v>38</v>
      </c>
      <c r="F1025" s="385"/>
      <c r="G1025" s="385" t="s">
        <v>28</v>
      </c>
      <c r="H1025" s="385">
        <v>2026</v>
      </c>
      <c r="I1025" s="588">
        <v>46084</v>
      </c>
      <c r="J1025" s="30" t="s">
        <v>5143</v>
      </c>
      <c r="K1025" s="388" t="s">
        <v>45</v>
      </c>
      <c r="L1025" s="588">
        <v>46085</v>
      </c>
      <c r="M1025" s="385"/>
      <c r="N1025" s="588">
        <v>46090</v>
      </c>
      <c r="O1025" s="588">
        <v>46090</v>
      </c>
      <c r="P1025" s="385">
        <f>IFERROR(
    IF(
        OR(ISBLANK(I1025), ISBLANK(L1025)),
        "",
        MAX(
            1,
            IF(
                NETWORKDAYS(I1025, L1025, Holiday_Dates) &lt;= 0,
                1,
                NETWORKDAYS(I1025, L1025, Holiday_Dates) - IF(I1025 = L1025, 0, 1)
            )
        )
    ),
    ""
)</f>
        <v>1</v>
      </c>
      <c r="Q1025" s="385" t="str">
        <f>IF(
    OR(ISBLANK(L1025), ISBLANK(M1025)),
    "",
    MAX(
        1,
        IF(
            NETWORKDAYS(L1025, M1025, Holiday_Dates) &lt;= 0,
            1,
            NETWORKDAYS(L1025, M1025, Holiday_Dates) - IF(L1025 = M1025, 0, 1)
        )
    )
)</f>
        <v/>
      </c>
      <c r="R1025" s="385">
        <f>IFERROR(
    IF(
        OR(ISBLANK(N1025), AND(ISBLANK(L1025), ISBLANK(M1025))),
        "",
        MAX(
            1,
            IF(
                NETWORKDAYS(IF(NOT(ISBLANK(M1025)), M1025, L1025), N1025, Holiday_Dates) &lt;= 0,
                1,
                NETWORKDAYS(IF(NOT(ISBLANK(M1025)), M1025, L1025), N1025, Holiday_Dates)
                - IF(IF(NOT(ISBLANK(M1025)), M1025, L1025) = N1025, 0, 1)
            )
        )
    ),
    ""
)</f>
        <v>3</v>
      </c>
      <c r="S1025" s="385">
        <f>IFERROR(
    IF(
        OR(ISBLANK(N1025), ISBLANK(O1025)),
        "",
        MAX(
            1,
            IF(
                NETWORKDAYS(N1025, O1025, Holiday_Dates) &lt;= 0,
                1,
                NETWORKDAYS(N1025, O1025, Holiday_Dates) - IF(N1025 = O1025, 0, 1)
            )
        )
    ),
    ""
)</f>
        <v>1</v>
      </c>
      <c r="T1025" s="385" t="s">
        <v>929</v>
      </c>
      <c r="U1025" s="385" t="s">
        <v>4708</v>
      </c>
      <c r="V1025" s="385" t="s">
        <v>4809</v>
      </c>
      <c r="W1025" s="385" t="s">
        <v>4710</v>
      </c>
      <c r="X1025" s="1"/>
    </row>
    <row r="1026" spans="1:24">
      <c r="A1026" s="385" t="s">
        <v>52</v>
      </c>
      <c r="B1026" s="385" t="s">
        <v>368</v>
      </c>
      <c r="C1026" s="385" t="s">
        <v>3897</v>
      </c>
      <c r="D1026" s="385" t="s">
        <v>89</v>
      </c>
      <c r="E1026" s="385" t="s">
        <v>38</v>
      </c>
      <c r="F1026" s="385"/>
      <c r="G1026" s="385" t="s">
        <v>28</v>
      </c>
      <c r="H1026" s="385">
        <v>2026</v>
      </c>
      <c r="I1026" s="588">
        <v>46084</v>
      </c>
      <c r="J1026" s="30" t="s">
        <v>5144</v>
      </c>
      <c r="K1026" s="388" t="s">
        <v>45</v>
      </c>
      <c r="L1026" s="588">
        <v>46085</v>
      </c>
      <c r="M1026" s="385"/>
      <c r="N1026" s="588">
        <v>46090</v>
      </c>
      <c r="O1026" s="588">
        <v>46090</v>
      </c>
      <c r="P1026" s="385">
        <f>IFERROR(
    IF(
        OR(ISBLANK(I1026), ISBLANK(L1026)),
        "",
        MAX(
            1,
            IF(
                NETWORKDAYS(I1026, L1026, Holiday_Dates) &lt;= 0,
                1,
                NETWORKDAYS(I1026, L1026, Holiday_Dates) - IF(I1026 = L1026, 0, 1)
            )
        )
    ),
    ""
)</f>
        <v>1</v>
      </c>
      <c r="Q1026" s="385" t="str">
        <f>IF(
    OR(ISBLANK(L1026), ISBLANK(M1026)),
    "",
    MAX(
        1,
        IF(
            NETWORKDAYS(L1026, M1026, Holiday_Dates) &lt;= 0,
            1,
            NETWORKDAYS(L1026, M1026, Holiday_Dates) - IF(L1026 = M1026, 0, 1)
        )
    )
)</f>
        <v/>
      </c>
      <c r="R1026" s="385">
        <f>IFERROR(
    IF(
        OR(ISBLANK(N1026), AND(ISBLANK(L1026), ISBLANK(M1026))),
        "",
        MAX(
            1,
            IF(
                NETWORKDAYS(IF(NOT(ISBLANK(M1026)), M1026, L1026), N1026, Holiday_Dates) &lt;= 0,
                1,
                NETWORKDAYS(IF(NOT(ISBLANK(M1026)), M1026, L1026), N1026, Holiday_Dates)
                - IF(IF(NOT(ISBLANK(M1026)), M1026, L1026) = N1026, 0, 1)
            )
        )
    ),
    ""
)</f>
        <v>3</v>
      </c>
      <c r="S1026" s="385">
        <f>IFERROR(
    IF(
        OR(ISBLANK(N1026), ISBLANK(O1026)),
        "",
        MAX(
            1,
            IF(
                NETWORKDAYS(N1026, O1026, Holiday_Dates) &lt;= 0,
                1,
                NETWORKDAYS(N1026, O1026, Holiday_Dates) - IF(N1026 = O1026, 0, 1)
            )
        )
    ),
    ""
)</f>
        <v>1</v>
      </c>
      <c r="T1026" s="385" t="s">
        <v>929</v>
      </c>
      <c r="U1026" s="385" t="s">
        <v>672</v>
      </c>
      <c r="V1026" s="385" t="s">
        <v>101</v>
      </c>
      <c r="W1026" s="385" t="s">
        <v>4710</v>
      </c>
      <c r="X1026" s="1"/>
    </row>
    <row r="1027" spans="1:24">
      <c r="A1027" s="385" t="s">
        <v>52</v>
      </c>
      <c r="B1027" s="385" t="s">
        <v>368</v>
      </c>
      <c r="C1027" s="385" t="s">
        <v>3900</v>
      </c>
      <c r="D1027" s="385" t="s">
        <v>89</v>
      </c>
      <c r="E1027" s="385" t="s">
        <v>38</v>
      </c>
      <c r="F1027" s="385"/>
      <c r="G1027" s="385" t="s">
        <v>28</v>
      </c>
      <c r="H1027" s="385">
        <v>2026</v>
      </c>
      <c r="I1027" s="588">
        <v>46077</v>
      </c>
      <c r="J1027" s="30" t="s">
        <v>5145</v>
      </c>
      <c r="K1027" s="388" t="s">
        <v>45</v>
      </c>
      <c r="L1027" s="588">
        <v>46078</v>
      </c>
      <c r="M1027" s="385"/>
      <c r="N1027" s="588">
        <v>46090</v>
      </c>
      <c r="O1027" s="588">
        <v>46090</v>
      </c>
      <c r="P1027" s="385">
        <f>IFERROR(
    IF(
        OR(ISBLANK(I1027), ISBLANK(L1027)),
        "",
        MAX(
            1,
            IF(
                NETWORKDAYS(I1027, L1027, Holiday_Dates) &lt;= 0,
                1,
                NETWORKDAYS(I1027, L1027, Holiday_Dates) - IF(I1027 = L1027, 0, 1)
            )
        )
    ),
    ""
)</f>
        <v>1</v>
      </c>
      <c r="Q1027" s="385" t="str">
        <f>IF(
    OR(ISBLANK(L1027), ISBLANK(M1027)),
    "",
    MAX(
        1,
        IF(
            NETWORKDAYS(L1027, M1027, Holiday_Dates) &lt;= 0,
            1,
            NETWORKDAYS(L1027, M1027, Holiday_Dates) - IF(L1027 = M1027, 0, 1)
        )
    )
)</f>
        <v/>
      </c>
      <c r="R1027" s="385">
        <f>IFERROR(
    IF(
        OR(ISBLANK(N1027), AND(ISBLANK(L1027), ISBLANK(M1027))),
        "",
        MAX(
            1,
            IF(
                NETWORKDAYS(IF(NOT(ISBLANK(M1027)), M1027, L1027), N1027, Holiday_Dates) &lt;= 0,
                1,
                NETWORKDAYS(IF(NOT(ISBLANK(M1027)), M1027, L1027), N1027, Holiday_Dates)
                - IF(IF(NOT(ISBLANK(M1027)), M1027, L1027) = N1027, 0, 1)
            )
        )
    ),
    ""
)</f>
        <v>8</v>
      </c>
      <c r="S1027" s="385">
        <f>IFERROR(
    IF(
        OR(ISBLANK(N1027), ISBLANK(O1027)),
        "",
        MAX(
            1,
            IF(
                NETWORKDAYS(N1027, O1027, Holiday_Dates) &lt;= 0,
                1,
                NETWORKDAYS(N1027, O1027, Holiday_Dates) - IF(N1027 = O1027, 0, 1)
            )
        )
    ),
    ""
)</f>
        <v>1</v>
      </c>
      <c r="T1027" s="385" t="s">
        <v>929</v>
      </c>
      <c r="U1027" s="385" t="s">
        <v>672</v>
      </c>
      <c r="V1027" s="385" t="s">
        <v>101</v>
      </c>
      <c r="W1027" s="385" t="s">
        <v>4710</v>
      </c>
      <c r="X1027" s="1"/>
    </row>
    <row r="1028" spans="1:24">
      <c r="A1028" s="385" t="s">
        <v>65</v>
      </c>
      <c r="B1028" s="385" t="s">
        <v>1314</v>
      </c>
      <c r="C1028" s="385" t="s">
        <v>2784</v>
      </c>
      <c r="D1028" s="385" t="s">
        <v>88</v>
      </c>
      <c r="E1028" s="385"/>
      <c r="F1028" s="385"/>
      <c r="G1028" s="385"/>
      <c r="H1028" s="385">
        <v>2024</v>
      </c>
      <c r="I1028" s="386">
        <v>45316</v>
      </c>
      <c r="J1028" s="30"/>
      <c r="K1028" s="385"/>
      <c r="L1028" s="385"/>
      <c r="M1028" s="385"/>
      <c r="N1028" s="385"/>
      <c r="O1028" s="385"/>
      <c r="P1028" s="385" t="str">
        <f>IFERROR(
    IF(
        OR(ISBLANK(I1028), ISBLANK(L1028)),
        "",
        MAX(
            1,
            IF(
                NETWORKDAYS(I1028, L1028, Holiday_Dates) &lt;= 0,
                1,
                NETWORKDAYS(I1028, L1028, Holiday_Dates) - IF(I1028 = L1028, 0, 1)
            )
        )
    ),
    ""
)</f>
        <v/>
      </c>
      <c r="Q1028" s="385" t="str">
        <f>IF(
    OR(ISBLANK(L1028), ISBLANK(M1028)),
    "",
    MAX(
        1,
        IF(
            NETWORKDAYS(L1028, M1028, Holiday_Dates) &lt;= 0,
            1,
            NETWORKDAYS(L1028, M1028, Holiday_Dates) - IF(L1028 = M1028, 0, 1)
        )
    )
)</f>
        <v/>
      </c>
      <c r="R1028" s="385" t="str">
        <f>IFERROR(
    IF(
        OR(ISBLANK(N1028), AND(ISBLANK(L1028), ISBLANK(M1028))),
        "",
        MAX(
            1,
            IF(
                NETWORKDAYS(IF(NOT(ISBLANK(M1028)), M1028, L1028), N1028, Holiday_Dates) &lt;= 0,
                1,
                NETWORKDAYS(IF(NOT(ISBLANK(M1028)), M1028, L1028), N1028, Holiday_Dates)
                - IF(IF(NOT(ISBLANK(M1028)), M1028, L1028) = N1028, 0, 1)
            )
        )
    ),
    ""
)</f>
        <v/>
      </c>
      <c r="S1028" s="385" t="str">
        <f>IFERROR(
    IF(
        OR(ISBLANK(N1028), ISBLANK(O1028)),
        "",
        MAX(
            1,
            IF(
                NETWORKDAYS(N1028, O1028, Holiday_Dates) &lt;= 0,
                1,
                NETWORKDAYS(N1028, O1028, Holiday_Dates) - IF(N1028 = O1028, 0, 1)
            )
        )
    ),
    ""
)</f>
        <v/>
      </c>
      <c r="T1028" s="385"/>
      <c r="U1028" s="385" t="s">
        <v>672</v>
      </c>
      <c r="V1028" s="385"/>
      <c r="W1028" s="385" t="s">
        <v>1436</v>
      </c>
      <c r="X1028" s="1"/>
    </row>
    <row r="1029" spans="1:24">
      <c r="A1029" s="385" t="s">
        <v>52</v>
      </c>
      <c r="B1029" s="385" t="s">
        <v>368</v>
      </c>
      <c r="C1029" s="385" t="s">
        <v>3906</v>
      </c>
      <c r="D1029" s="385" t="s">
        <v>89</v>
      </c>
      <c r="E1029" s="385" t="s">
        <v>38</v>
      </c>
      <c r="F1029" s="385"/>
      <c r="G1029" s="385" t="s">
        <v>28</v>
      </c>
      <c r="H1029" s="385">
        <v>2026</v>
      </c>
      <c r="I1029" s="588">
        <v>46077</v>
      </c>
      <c r="J1029" s="30" t="s">
        <v>5146</v>
      </c>
      <c r="K1029" s="388" t="s">
        <v>45</v>
      </c>
      <c r="L1029" s="588">
        <v>46078</v>
      </c>
      <c r="M1029" s="385"/>
      <c r="N1029" s="588">
        <v>46090</v>
      </c>
      <c r="O1029" s="588">
        <v>46090</v>
      </c>
      <c r="P1029" s="385">
        <f>IFERROR(
    IF(
        OR(ISBLANK(I1029), ISBLANK(L1029)),
        "",
        MAX(
            1,
            IF(
                NETWORKDAYS(I1029, L1029, Holiday_Dates) &lt;= 0,
                1,
                NETWORKDAYS(I1029, L1029, Holiday_Dates) - IF(I1029 = L1029, 0, 1)
            )
        )
    ),
    ""
)</f>
        <v>1</v>
      </c>
      <c r="Q1029" s="385" t="str">
        <f>IF(
    OR(ISBLANK(L1029), ISBLANK(M1029)),
    "",
    MAX(
        1,
        IF(
            NETWORKDAYS(L1029, M1029, Holiday_Dates) &lt;= 0,
            1,
            NETWORKDAYS(L1029, M1029, Holiday_Dates) - IF(L1029 = M1029, 0, 1)
        )
    )
)</f>
        <v/>
      </c>
      <c r="R1029" s="385">
        <f>IFERROR(
    IF(
        OR(ISBLANK(N1029), AND(ISBLANK(L1029), ISBLANK(M1029))),
        "",
        MAX(
            1,
            IF(
                NETWORKDAYS(IF(NOT(ISBLANK(M1029)), M1029, L1029), N1029, Holiday_Dates) &lt;= 0,
                1,
                NETWORKDAYS(IF(NOT(ISBLANK(M1029)), M1029, L1029), N1029, Holiday_Dates)
                - IF(IF(NOT(ISBLANK(M1029)), M1029, L1029) = N1029, 0, 1)
            )
        )
    ),
    ""
)</f>
        <v>8</v>
      </c>
      <c r="S1029" s="385">
        <f>IFERROR(
    IF(
        OR(ISBLANK(N1029), ISBLANK(O1029)),
        "",
        MAX(
            1,
            IF(
                NETWORKDAYS(N1029, O1029, Holiday_Dates) &lt;= 0,
                1,
                NETWORKDAYS(N1029, O1029, Holiday_Dates) - IF(N1029 = O1029, 0, 1)
            )
        )
    ),
    ""
)</f>
        <v>1</v>
      </c>
      <c r="T1029" s="385" t="s">
        <v>929</v>
      </c>
      <c r="U1029" s="385" t="s">
        <v>672</v>
      </c>
      <c r="V1029" s="385" t="s">
        <v>101</v>
      </c>
      <c r="W1029" s="385" t="s">
        <v>4710</v>
      </c>
      <c r="X1029" s="1"/>
    </row>
    <row r="1030" spans="1:24">
      <c r="A1030" s="385" t="s">
        <v>52</v>
      </c>
      <c r="B1030" s="385" t="s">
        <v>368</v>
      </c>
      <c r="C1030" s="385" t="s">
        <v>3913</v>
      </c>
      <c r="D1030" s="385" t="s">
        <v>89</v>
      </c>
      <c r="E1030" s="385" t="s">
        <v>38</v>
      </c>
      <c r="F1030" s="385"/>
      <c r="G1030" s="385" t="s">
        <v>28</v>
      </c>
      <c r="H1030" s="385">
        <v>2026</v>
      </c>
      <c r="I1030" s="588">
        <v>46077</v>
      </c>
      <c r="J1030" s="30" t="s">
        <v>5147</v>
      </c>
      <c r="K1030" s="388" t="s">
        <v>45</v>
      </c>
      <c r="L1030" s="588">
        <v>46078</v>
      </c>
      <c r="M1030" s="385"/>
      <c r="N1030" s="588">
        <v>46090</v>
      </c>
      <c r="O1030" s="588">
        <v>46090</v>
      </c>
      <c r="P1030" s="385">
        <f>IFERROR(
    IF(
        OR(ISBLANK(I1030), ISBLANK(L1030)),
        "",
        MAX(
            1,
            IF(
                NETWORKDAYS(I1030, L1030, Holiday_Dates) &lt;= 0,
                1,
                NETWORKDAYS(I1030, L1030, Holiday_Dates) - IF(I1030 = L1030, 0, 1)
            )
        )
    ),
    ""
)</f>
        <v>1</v>
      </c>
      <c r="Q1030" s="385" t="str">
        <f>IF(
    OR(ISBLANK(L1030), ISBLANK(M1030)),
    "",
    MAX(
        1,
        IF(
            NETWORKDAYS(L1030, M1030, Holiday_Dates) &lt;= 0,
            1,
            NETWORKDAYS(L1030, M1030, Holiday_Dates) - IF(L1030 = M1030, 0, 1)
        )
    )
)</f>
        <v/>
      </c>
      <c r="R1030" s="385">
        <f>IFERROR(
    IF(
        OR(ISBLANK(N1030), AND(ISBLANK(L1030), ISBLANK(M1030))),
        "",
        MAX(
            1,
            IF(
                NETWORKDAYS(IF(NOT(ISBLANK(M1030)), M1030, L1030), N1030, Holiday_Dates) &lt;= 0,
                1,
                NETWORKDAYS(IF(NOT(ISBLANK(M1030)), M1030, L1030), N1030, Holiday_Dates)
                - IF(IF(NOT(ISBLANK(M1030)), M1030, L1030) = N1030, 0, 1)
            )
        )
    ),
    ""
)</f>
        <v>8</v>
      </c>
      <c r="S1030" s="385">
        <f>IFERROR(
    IF(
        OR(ISBLANK(N1030), ISBLANK(O1030)),
        "",
        MAX(
            1,
            IF(
                NETWORKDAYS(N1030, O1030, Holiday_Dates) &lt;= 0,
                1,
                NETWORKDAYS(N1030, O1030, Holiday_Dates) - IF(N1030 = O1030, 0, 1)
            )
        )
    ),
    ""
)</f>
        <v>1</v>
      </c>
      <c r="T1030" s="385" t="s">
        <v>929</v>
      </c>
      <c r="U1030" s="385" t="s">
        <v>672</v>
      </c>
      <c r="V1030" s="385" t="s">
        <v>101</v>
      </c>
      <c r="W1030" s="385" t="s">
        <v>4710</v>
      </c>
      <c r="X1030" s="1"/>
    </row>
    <row r="1031" spans="1:24">
      <c r="A1031" s="385" t="s">
        <v>52</v>
      </c>
      <c r="B1031" s="385" t="s">
        <v>368</v>
      </c>
      <c r="C1031" s="385" t="s">
        <v>3914</v>
      </c>
      <c r="D1031" s="385" t="s">
        <v>89</v>
      </c>
      <c r="E1031" s="385" t="s">
        <v>38</v>
      </c>
      <c r="F1031" s="385"/>
      <c r="G1031" s="385" t="s">
        <v>28</v>
      </c>
      <c r="H1031" s="385">
        <v>2026</v>
      </c>
      <c r="I1031" s="588">
        <v>46077</v>
      </c>
      <c r="J1031" s="30" t="s">
        <v>5148</v>
      </c>
      <c r="K1031" s="388" t="s">
        <v>45</v>
      </c>
      <c r="L1031" s="588">
        <v>46078</v>
      </c>
      <c r="M1031" s="385"/>
      <c r="N1031" s="588">
        <v>46090</v>
      </c>
      <c r="O1031" s="588">
        <v>46090</v>
      </c>
      <c r="P1031" s="385">
        <f>IFERROR(
    IF(
        OR(ISBLANK(I1031), ISBLANK(L1031)),
        "",
        MAX(
            1,
            IF(
                NETWORKDAYS(I1031, L1031, Holiday_Dates) &lt;= 0,
                1,
                NETWORKDAYS(I1031, L1031, Holiday_Dates) - IF(I1031 = L1031, 0, 1)
            )
        )
    ),
    ""
)</f>
        <v>1</v>
      </c>
      <c r="Q1031" s="385" t="str">
        <f>IF(
    OR(ISBLANK(L1031), ISBLANK(M1031)),
    "",
    MAX(
        1,
        IF(
            NETWORKDAYS(L1031, M1031, Holiday_Dates) &lt;= 0,
            1,
            NETWORKDAYS(L1031, M1031, Holiday_Dates) - IF(L1031 = M1031, 0, 1)
        )
    )
)</f>
        <v/>
      </c>
      <c r="R1031" s="385">
        <f>IFERROR(
    IF(
        OR(ISBLANK(N1031), AND(ISBLANK(L1031), ISBLANK(M1031))),
        "",
        MAX(
            1,
            IF(
                NETWORKDAYS(IF(NOT(ISBLANK(M1031)), M1031, L1031), N1031, Holiday_Dates) &lt;= 0,
                1,
                NETWORKDAYS(IF(NOT(ISBLANK(M1031)), M1031, L1031), N1031, Holiday_Dates)
                - IF(IF(NOT(ISBLANK(M1031)), M1031, L1031) = N1031, 0, 1)
            )
        )
    ),
    ""
)</f>
        <v>8</v>
      </c>
      <c r="S1031" s="385">
        <f>IFERROR(
    IF(
        OR(ISBLANK(N1031), ISBLANK(O1031)),
        "",
        MAX(
            1,
            IF(
                NETWORKDAYS(N1031, O1031, Holiday_Dates) &lt;= 0,
                1,
                NETWORKDAYS(N1031, O1031, Holiday_Dates) - IF(N1031 = O1031, 0, 1)
            )
        )
    ),
    ""
)</f>
        <v>1</v>
      </c>
      <c r="T1031" s="385" t="s">
        <v>929</v>
      </c>
      <c r="U1031" s="385" t="s">
        <v>672</v>
      </c>
      <c r="V1031" s="385" t="s">
        <v>101</v>
      </c>
      <c r="W1031" s="385" t="s">
        <v>4710</v>
      </c>
      <c r="X1031" s="1"/>
    </row>
    <row r="1032" spans="1:24">
      <c r="A1032" s="385" t="s">
        <v>65</v>
      </c>
      <c r="B1032" s="385" t="s">
        <v>1314</v>
      </c>
      <c r="C1032" s="385" t="s">
        <v>2642</v>
      </c>
      <c r="D1032" s="385" t="s">
        <v>88</v>
      </c>
      <c r="E1032" s="385"/>
      <c r="F1032" s="385"/>
      <c r="G1032" s="385"/>
      <c r="H1032" s="385">
        <v>2025</v>
      </c>
      <c r="I1032" s="386">
        <v>45869</v>
      </c>
      <c r="J1032" s="30" t="s">
        <v>5149</v>
      </c>
      <c r="K1032" s="385"/>
      <c r="L1032" s="385"/>
      <c r="M1032" s="385"/>
      <c r="N1032" s="385"/>
      <c r="O1032" s="385"/>
      <c r="P1032" s="385" t="str">
        <f>IFERROR(
    IF(
        OR(ISBLANK(I1032), ISBLANK(L1032)),
        "",
        MAX(
            1,
            IF(
                NETWORKDAYS(I1032, L1032, Holiday_Dates) &lt;= 0,
                1,
                NETWORKDAYS(I1032, L1032, Holiday_Dates) - IF(I1032 = L1032, 0, 1)
            )
        )
    ),
    ""
)</f>
        <v/>
      </c>
      <c r="Q1032" s="385" t="str">
        <f>IF(
    OR(ISBLANK(L1032), ISBLANK(M1032)),
    "",
    MAX(
        1,
        IF(
            NETWORKDAYS(L1032, M1032, Holiday_Dates) &lt;= 0,
            1,
            NETWORKDAYS(L1032, M1032, Holiday_Dates) - IF(L1032 = M1032, 0, 1)
        )
    )
)</f>
        <v/>
      </c>
      <c r="R1032" s="385" t="str">
        <f>IFERROR(
    IF(
        OR(ISBLANK(N1032), AND(ISBLANK(L1032), ISBLANK(M1032))),
        "",
        MAX(
            1,
            IF(
                NETWORKDAYS(IF(NOT(ISBLANK(M1032)), M1032, L1032), N1032, Holiday_Dates) &lt;= 0,
                1,
                NETWORKDAYS(IF(NOT(ISBLANK(M1032)), M1032, L1032), N1032, Holiday_Dates)
                - IF(IF(NOT(ISBLANK(M1032)), M1032, L1032) = N1032, 0, 1)
            )
        )
    ),
    ""
)</f>
        <v/>
      </c>
      <c r="S1032" s="385" t="str">
        <f>IFERROR(
    IF(
        OR(ISBLANK(N1032), ISBLANK(O1032)),
        "",
        MAX(
            1,
            IF(
                NETWORKDAYS(N1032, O1032, Holiday_Dates) &lt;= 0,
                1,
                NETWORKDAYS(N1032, O1032, Holiday_Dates) - IF(N1032 = O1032, 0, 1)
            )
        )
    ),
    ""
)</f>
        <v/>
      </c>
      <c r="T1032" s="385"/>
      <c r="U1032" s="385" t="s">
        <v>672</v>
      </c>
      <c r="V1032" s="385" t="s">
        <v>101</v>
      </c>
      <c r="W1032" s="385" t="s">
        <v>1436</v>
      </c>
      <c r="X1032" s="1"/>
    </row>
    <row r="1033" spans="1:24">
      <c r="A1033" s="385" t="s">
        <v>65</v>
      </c>
      <c r="B1033" s="385" t="s">
        <v>1314</v>
      </c>
      <c r="C1033" s="385" t="s">
        <v>2789</v>
      </c>
      <c r="D1033" s="385" t="s">
        <v>88</v>
      </c>
      <c r="E1033" s="385"/>
      <c r="F1033" s="385"/>
      <c r="G1033" s="385"/>
      <c r="H1033" s="385">
        <v>2025</v>
      </c>
      <c r="I1033" s="386">
        <v>45855</v>
      </c>
      <c r="J1033" s="30" t="s">
        <v>5150</v>
      </c>
      <c r="K1033" s="385"/>
      <c r="L1033" s="385"/>
      <c r="M1033" s="385"/>
      <c r="N1033" s="385"/>
      <c r="O1033" s="385"/>
      <c r="P1033" s="385" t="str">
        <f>IFERROR(
    IF(
        OR(ISBLANK(I1033), ISBLANK(L1033)),
        "",
        MAX(
            1,
            IF(
                NETWORKDAYS(I1033, L1033, Holiday_Dates) &lt;= 0,
                1,
                NETWORKDAYS(I1033, L1033, Holiday_Dates) - IF(I1033 = L1033, 0, 1)
            )
        )
    ),
    ""
)</f>
        <v/>
      </c>
      <c r="Q1033" s="385" t="str">
        <f>IF(
    OR(ISBLANK(L1033), ISBLANK(M1033)),
    "",
    MAX(
        1,
        IF(
            NETWORKDAYS(L1033, M1033, Holiday_Dates) &lt;= 0,
            1,
            NETWORKDAYS(L1033, M1033, Holiday_Dates) - IF(L1033 = M1033, 0, 1)
        )
    )
)</f>
        <v/>
      </c>
      <c r="R1033" s="385" t="str">
        <f>IFERROR(
    IF(
        OR(ISBLANK(N1033), AND(ISBLANK(L1033), ISBLANK(M1033))),
        "",
        MAX(
            1,
            IF(
                NETWORKDAYS(IF(NOT(ISBLANK(M1033)), M1033, L1033), N1033, Holiday_Dates) &lt;= 0,
                1,
                NETWORKDAYS(IF(NOT(ISBLANK(M1033)), M1033, L1033), N1033, Holiday_Dates)
                - IF(IF(NOT(ISBLANK(M1033)), M1033, L1033) = N1033, 0, 1)
            )
        )
    ),
    ""
)</f>
        <v/>
      </c>
      <c r="S1033" s="385" t="str">
        <f>IFERROR(
    IF(
        OR(ISBLANK(N1033), ISBLANK(O1033)),
        "",
        MAX(
            1,
            IF(
                NETWORKDAYS(N1033, O1033, Holiday_Dates) &lt;= 0,
                1,
                NETWORKDAYS(N1033, O1033, Holiday_Dates) - IF(N1033 = O1033, 0, 1)
            )
        )
    ),
    ""
)</f>
        <v/>
      </c>
      <c r="T1033" s="385"/>
      <c r="U1033" s="385" t="s">
        <v>672</v>
      </c>
      <c r="V1033" s="385" t="s">
        <v>101</v>
      </c>
      <c r="W1033" s="385" t="s">
        <v>1436</v>
      </c>
      <c r="X1033" s="1"/>
    </row>
    <row r="1034" spans="1:24">
      <c r="A1034" s="385" t="s">
        <v>65</v>
      </c>
      <c r="B1034" s="385" t="s">
        <v>1314</v>
      </c>
      <c r="C1034" s="385" t="s">
        <v>2790</v>
      </c>
      <c r="D1034" s="385" t="s">
        <v>88</v>
      </c>
      <c r="E1034" s="385"/>
      <c r="F1034" s="385"/>
      <c r="G1034" s="385"/>
      <c r="H1034" s="385">
        <v>2025</v>
      </c>
      <c r="I1034" s="386">
        <v>45779</v>
      </c>
      <c r="J1034" s="30" t="s">
        <v>5151</v>
      </c>
      <c r="K1034" s="385"/>
      <c r="L1034" s="385"/>
      <c r="M1034" s="385"/>
      <c r="N1034" s="385"/>
      <c r="O1034" s="385"/>
      <c r="P1034" s="385" t="str">
        <f>IFERROR(
    IF(
        OR(ISBLANK(I1034), ISBLANK(L1034)),
        "",
        MAX(
            1,
            IF(
                NETWORKDAYS(I1034, L1034, Holiday_Dates) &lt;= 0,
                1,
                NETWORKDAYS(I1034, L1034, Holiday_Dates) - IF(I1034 = L1034, 0, 1)
            )
        )
    ),
    ""
)</f>
        <v/>
      </c>
      <c r="Q1034" s="385" t="str">
        <f>IF(
    OR(ISBLANK(L1034), ISBLANK(M1034)),
    "",
    MAX(
        1,
        IF(
            NETWORKDAYS(L1034, M1034, Holiday_Dates) &lt;= 0,
            1,
            NETWORKDAYS(L1034, M1034, Holiday_Dates) - IF(L1034 = M1034, 0, 1)
        )
    )
)</f>
        <v/>
      </c>
      <c r="R1034" s="385" t="str">
        <f>IFERROR(
    IF(
        OR(ISBLANK(N1034), AND(ISBLANK(L1034), ISBLANK(M1034))),
        "",
        MAX(
            1,
            IF(
                NETWORKDAYS(IF(NOT(ISBLANK(M1034)), M1034, L1034), N1034, Holiday_Dates) &lt;= 0,
                1,
                NETWORKDAYS(IF(NOT(ISBLANK(M1034)), M1034, L1034), N1034, Holiday_Dates)
                - IF(IF(NOT(ISBLANK(M1034)), M1034, L1034) = N1034, 0, 1)
            )
        )
    ),
    ""
)</f>
        <v/>
      </c>
      <c r="S1034" s="385" t="str">
        <f>IFERROR(
    IF(
        OR(ISBLANK(N1034), ISBLANK(O1034)),
        "",
        MAX(
            1,
            IF(
                NETWORKDAYS(N1034, O1034, Holiday_Dates) &lt;= 0,
                1,
                NETWORKDAYS(N1034, O1034, Holiday_Dates) - IF(N1034 = O1034, 0, 1)
            )
        )
    ),
    ""
)</f>
        <v/>
      </c>
      <c r="T1034" s="385"/>
      <c r="U1034" s="385" t="s">
        <v>672</v>
      </c>
      <c r="V1034" s="385" t="s">
        <v>101</v>
      </c>
      <c r="W1034" s="385" t="s">
        <v>1436</v>
      </c>
      <c r="X1034" s="1"/>
    </row>
    <row r="1035" spans="1:24">
      <c r="A1035" s="385" t="s">
        <v>52</v>
      </c>
      <c r="B1035" s="385" t="s">
        <v>368</v>
      </c>
      <c r="C1035" s="385" t="s">
        <v>3915</v>
      </c>
      <c r="D1035" s="385" t="s">
        <v>89</v>
      </c>
      <c r="E1035" s="385" t="s">
        <v>38</v>
      </c>
      <c r="F1035" s="385"/>
      <c r="G1035" s="385" t="s">
        <v>28</v>
      </c>
      <c r="H1035" s="385">
        <v>2026</v>
      </c>
      <c r="I1035" s="588">
        <v>46084</v>
      </c>
      <c r="J1035" s="30" t="s">
        <v>5152</v>
      </c>
      <c r="K1035" s="388" t="s">
        <v>45</v>
      </c>
      <c r="L1035" s="588">
        <v>46078</v>
      </c>
      <c r="M1035" s="385"/>
      <c r="N1035" s="588">
        <v>46090</v>
      </c>
      <c r="O1035" s="588">
        <v>46090</v>
      </c>
      <c r="P1035" s="385">
        <f>IFERROR(
    IF(
        OR(ISBLANK(I1035), ISBLANK(L1035)),
        "",
        MAX(
            1,
            IF(
                NETWORKDAYS(I1035, L1035, Holiday_Dates) &lt;= 0,
                1,
                NETWORKDAYS(I1035, L1035, Holiday_Dates) - IF(I1035 = L1035, 0, 1)
            )
        )
    ),
    ""
)</f>
        <v>1</v>
      </c>
      <c r="Q1035" s="385" t="str">
        <f>IF(
    OR(ISBLANK(L1035), ISBLANK(M1035)),
    "",
    MAX(
        1,
        IF(
            NETWORKDAYS(L1035, M1035, Holiday_Dates) &lt;= 0,
            1,
            NETWORKDAYS(L1035, M1035, Holiday_Dates) - IF(L1035 = M1035, 0, 1)
        )
    )
)</f>
        <v/>
      </c>
      <c r="R1035" s="385">
        <f>IFERROR(
    IF(
        OR(ISBLANK(N1035), AND(ISBLANK(L1035), ISBLANK(M1035))),
        "",
        MAX(
            1,
            IF(
                NETWORKDAYS(IF(NOT(ISBLANK(M1035)), M1035, L1035), N1035, Holiday_Dates) &lt;= 0,
                1,
                NETWORKDAYS(IF(NOT(ISBLANK(M1035)), M1035, L1035), N1035, Holiday_Dates)
                - IF(IF(NOT(ISBLANK(M1035)), M1035, L1035) = N1035, 0, 1)
            )
        )
    ),
    ""
)</f>
        <v>8</v>
      </c>
      <c r="S1035" s="385">
        <f>IFERROR(
    IF(
        OR(ISBLANK(N1035), ISBLANK(O1035)),
        "",
        MAX(
            1,
            IF(
                NETWORKDAYS(N1035, O1035, Holiday_Dates) &lt;= 0,
                1,
                NETWORKDAYS(N1035, O1035, Holiday_Dates) - IF(N1035 = O1035, 0, 1)
            )
        )
    ),
    ""
)</f>
        <v>1</v>
      </c>
      <c r="T1035" s="385" t="s">
        <v>929</v>
      </c>
      <c r="U1035" s="385" t="s">
        <v>672</v>
      </c>
      <c r="V1035" s="385" t="s">
        <v>101</v>
      </c>
      <c r="W1035" s="385" t="s">
        <v>4710</v>
      </c>
      <c r="X1035" s="1"/>
    </row>
    <row r="1036" spans="1:24">
      <c r="A1036" s="385" t="s">
        <v>52</v>
      </c>
      <c r="B1036" s="385" t="s">
        <v>368</v>
      </c>
      <c r="C1036" s="385" t="s">
        <v>3916</v>
      </c>
      <c r="D1036" s="385" t="s">
        <v>89</v>
      </c>
      <c r="E1036" s="385" t="s">
        <v>38</v>
      </c>
      <c r="F1036" s="385"/>
      <c r="G1036" s="385" t="s">
        <v>28</v>
      </c>
      <c r="H1036" s="385">
        <v>2026</v>
      </c>
      <c r="I1036" s="588">
        <v>46077</v>
      </c>
      <c r="J1036" s="30" t="s">
        <v>5153</v>
      </c>
      <c r="K1036" s="388" t="s">
        <v>45</v>
      </c>
      <c r="L1036" s="588">
        <v>46078</v>
      </c>
      <c r="M1036" s="385"/>
      <c r="N1036" s="588">
        <v>46090</v>
      </c>
      <c r="O1036" s="588">
        <v>46090</v>
      </c>
      <c r="P1036" s="385">
        <f>IFERROR(
    IF(
        OR(ISBLANK(I1036), ISBLANK(L1036)),
        "",
        MAX(
            1,
            IF(
                NETWORKDAYS(I1036, L1036, Holiday_Dates) &lt;= 0,
                1,
                NETWORKDAYS(I1036, L1036, Holiday_Dates) - IF(I1036 = L1036, 0, 1)
            )
        )
    ),
    ""
)</f>
        <v>1</v>
      </c>
      <c r="Q1036" s="385" t="str">
        <f>IF(
    OR(ISBLANK(L1036), ISBLANK(M1036)),
    "",
    MAX(
        1,
        IF(
            NETWORKDAYS(L1036, M1036, Holiday_Dates) &lt;= 0,
            1,
            NETWORKDAYS(L1036, M1036, Holiday_Dates) - IF(L1036 = M1036, 0, 1)
        )
    )
)</f>
        <v/>
      </c>
      <c r="R1036" s="385">
        <f>IFERROR(
    IF(
        OR(ISBLANK(N1036), AND(ISBLANK(L1036), ISBLANK(M1036))),
        "",
        MAX(
            1,
            IF(
                NETWORKDAYS(IF(NOT(ISBLANK(M1036)), M1036, L1036), N1036, Holiday_Dates) &lt;= 0,
                1,
                NETWORKDAYS(IF(NOT(ISBLANK(M1036)), M1036, L1036), N1036, Holiday_Dates)
                - IF(IF(NOT(ISBLANK(M1036)), M1036, L1036) = N1036, 0, 1)
            )
        )
    ),
    ""
)</f>
        <v>8</v>
      </c>
      <c r="S1036" s="385">
        <f>IFERROR(
    IF(
        OR(ISBLANK(N1036), ISBLANK(O1036)),
        "",
        MAX(
            1,
            IF(
                NETWORKDAYS(N1036, O1036, Holiday_Dates) &lt;= 0,
                1,
                NETWORKDAYS(N1036, O1036, Holiday_Dates) - IF(N1036 = O1036, 0, 1)
            )
        )
    ),
    ""
)</f>
        <v>1</v>
      </c>
      <c r="T1036" s="385" t="s">
        <v>929</v>
      </c>
      <c r="U1036" s="385" t="s">
        <v>672</v>
      </c>
      <c r="V1036" s="385" t="s">
        <v>101</v>
      </c>
      <c r="W1036" s="385" t="s">
        <v>4710</v>
      </c>
      <c r="X1036" s="1"/>
    </row>
    <row r="1037" spans="1:24">
      <c r="A1037" s="385" t="s">
        <v>53</v>
      </c>
      <c r="B1037" s="385" t="s">
        <v>4536</v>
      </c>
      <c r="C1037" s="385" t="s">
        <v>4537</v>
      </c>
      <c r="D1037" s="385" t="s">
        <v>89</v>
      </c>
      <c r="E1037" s="385" t="s">
        <v>42</v>
      </c>
      <c r="F1037" s="385"/>
      <c r="G1037" s="385" t="s">
        <v>133</v>
      </c>
      <c r="H1037" s="385">
        <v>2026</v>
      </c>
      <c r="I1037" s="588">
        <v>46093</v>
      </c>
      <c r="J1037" s="30" t="s">
        <v>5154</v>
      </c>
      <c r="K1037" s="388" t="s">
        <v>45</v>
      </c>
      <c r="L1037" s="588">
        <v>46094</v>
      </c>
      <c r="M1037" s="385"/>
      <c r="N1037" s="588"/>
      <c r="O1037" s="385"/>
      <c r="P1037" s="385">
        <f>IFERROR(
    IF(
        OR(ISBLANK(I1037), ISBLANK(L1037)),
        "",
        MAX(
            1,
            IF(
                NETWORKDAYS(I1037, L1037, Holiday_Dates) &lt;= 0,
                1,
                NETWORKDAYS(I1037, L1037, Holiday_Dates) - IF(I1037 = L1037, 0, 1)
            )
        )
    ),
    ""
)</f>
        <v>1</v>
      </c>
      <c r="Q1037" s="385" t="str">
        <f>IF(
    OR(ISBLANK(L1037), ISBLANK(M1037)),
    "",
    MAX(
        1,
        IF(
            NETWORKDAYS(L1037, M1037, Holiday_Dates) &lt;= 0,
            1,
            NETWORKDAYS(L1037, M1037, Holiday_Dates) - IF(L1037 = M1037, 0, 1)
        )
    )
)</f>
        <v/>
      </c>
      <c r="R1037" s="385" t="str">
        <f>IFERROR(
    IF(
        OR(ISBLANK(N1037), AND(ISBLANK(L1037), ISBLANK(M1037))),
        "",
        MAX(
            1,
            IF(
                NETWORKDAYS(IF(NOT(ISBLANK(M1037)), M1037, L1037), N1037, Holiday_Dates) &lt;= 0,
                1,
                NETWORKDAYS(IF(NOT(ISBLANK(M1037)), M1037, L1037), N1037, Holiday_Dates)
                - IF(IF(NOT(ISBLANK(M1037)), M1037, L1037) = N1037, 0, 1)
            )
        )
    ),
    ""
)</f>
        <v/>
      </c>
      <c r="S1037" s="385" t="str">
        <f>IFERROR(
    IF(
        OR(ISBLANK(N1037), ISBLANK(O1037)),
        "",
        MAX(
            1,
            IF(
                NETWORKDAYS(N1037, O1037, Holiday_Dates) &lt;= 0,
                1,
                NETWORKDAYS(N1037, O1037, Holiday_Dates) - IF(N1037 = O1037, 0, 1)
            )
        )
    ),
    ""
)</f>
        <v/>
      </c>
      <c r="T1037" s="385"/>
      <c r="U1037" s="385" t="s">
        <v>672</v>
      </c>
      <c r="V1037" s="385" t="s">
        <v>101</v>
      </c>
      <c r="W1037" s="385" t="s">
        <v>4710</v>
      </c>
      <c r="X1037" s="1"/>
    </row>
    <row r="1038" spans="1:24">
      <c r="A1038" s="385" t="s">
        <v>52</v>
      </c>
      <c r="B1038" s="385" t="s">
        <v>250</v>
      </c>
      <c r="C1038" s="385" t="s">
        <v>3969</v>
      </c>
      <c r="D1038" s="385" t="s">
        <v>88</v>
      </c>
      <c r="E1038" s="385" t="s">
        <v>39</v>
      </c>
      <c r="F1038" s="385"/>
      <c r="G1038" s="385" t="s">
        <v>28</v>
      </c>
      <c r="H1038" s="385"/>
      <c r="I1038" s="385"/>
      <c r="J1038" s="30"/>
      <c r="K1038" s="388" t="s">
        <v>45</v>
      </c>
      <c r="L1038" s="385"/>
      <c r="M1038" s="385"/>
      <c r="N1038" s="385"/>
      <c r="O1038" s="385"/>
      <c r="P1038" s="385" t="str">
        <f>IFERROR(
    IF(
        OR(ISBLANK(I1038), ISBLANK(L1038)),
        "",
        MAX(
            1,
            IF(
                NETWORKDAYS(I1038, L1038, Holiday_Dates) &lt;= 0,
                1,
                NETWORKDAYS(I1038, L1038, Holiday_Dates) - IF(I1038 = L1038, 0, 1)
            )
        )
    ),
    ""
)</f>
        <v/>
      </c>
      <c r="Q1038" s="385" t="str">
        <f>IF(
    OR(ISBLANK(L1038), ISBLANK(M1038)),
    "",
    MAX(
        1,
        IF(
            NETWORKDAYS(L1038, M1038, Holiday_Dates) &lt;= 0,
            1,
            NETWORKDAYS(L1038, M1038, Holiday_Dates) - IF(L1038 = M1038, 0, 1)
        )
    )
)</f>
        <v/>
      </c>
      <c r="R1038" s="385" t="str">
        <f>IFERROR(
    IF(
        OR(ISBLANK(N1038), AND(ISBLANK(L1038), ISBLANK(M1038))),
        "",
        MAX(
            1,
            IF(
                NETWORKDAYS(IF(NOT(ISBLANK(M1038)), M1038, L1038), N1038, Holiday_Dates) &lt;= 0,
                1,
                NETWORKDAYS(IF(NOT(ISBLANK(M1038)), M1038, L1038), N1038, Holiday_Dates)
                - IF(IF(NOT(ISBLANK(M1038)), M1038, L1038) = N1038, 0, 1)
            )
        )
    ),
    ""
)</f>
        <v/>
      </c>
      <c r="S1038" s="385" t="str">
        <f>IFERROR(
    IF(
        OR(ISBLANK(N1038), ISBLANK(O1038)),
        "",
        MAX(
            1,
            IF(
                NETWORKDAYS(N1038, O1038, Holiday_Dates) &lt;= 0,
                1,
                NETWORKDAYS(N1038, O1038, Holiday_Dates) - IF(N1038 = O1038, 0, 1)
            )
        )
    ),
    ""
)</f>
        <v/>
      </c>
      <c r="T1038" s="385"/>
      <c r="U1038" s="385"/>
      <c r="V1038" s="385"/>
      <c r="W1038" s="385" t="s">
        <v>4710</v>
      </c>
      <c r="X1038" s="1"/>
    </row>
    <row r="1039" spans="1:24">
      <c r="A1039" s="385" t="s">
        <v>52</v>
      </c>
      <c r="B1039" s="385" t="s">
        <v>250</v>
      </c>
      <c r="C1039" s="385" t="s">
        <v>3971</v>
      </c>
      <c r="D1039" s="385" t="s">
        <v>88</v>
      </c>
      <c r="E1039" s="385" t="s">
        <v>39</v>
      </c>
      <c r="F1039" s="385"/>
      <c r="G1039" s="385" t="s">
        <v>28</v>
      </c>
      <c r="H1039" s="385"/>
      <c r="I1039" s="385"/>
      <c r="J1039" s="30"/>
      <c r="K1039" s="388" t="s">
        <v>45</v>
      </c>
      <c r="L1039" s="385"/>
      <c r="M1039" s="385"/>
      <c r="N1039" s="385"/>
      <c r="O1039" s="385"/>
      <c r="P1039" s="385" t="str">
        <f>IFERROR(
    IF(
        OR(ISBLANK(I1039), ISBLANK(L1039)),
        "",
        MAX(
            1,
            IF(
                NETWORKDAYS(I1039, L1039, Holiday_Dates) &lt;= 0,
                1,
                NETWORKDAYS(I1039, L1039, Holiday_Dates) - IF(I1039 = L1039, 0, 1)
            )
        )
    ),
    ""
)</f>
        <v/>
      </c>
      <c r="Q1039" s="385" t="str">
        <f>IF(
    OR(ISBLANK(L1039), ISBLANK(M1039)),
    "",
    MAX(
        1,
        IF(
            NETWORKDAYS(L1039, M1039, Holiday_Dates) &lt;= 0,
            1,
            NETWORKDAYS(L1039, M1039, Holiday_Dates) - IF(L1039 = M1039, 0, 1)
        )
    )
)</f>
        <v/>
      </c>
      <c r="R1039" s="385" t="str">
        <f>IFERROR(
    IF(
        OR(ISBLANK(N1039), AND(ISBLANK(L1039), ISBLANK(M1039))),
        "",
        MAX(
            1,
            IF(
                NETWORKDAYS(IF(NOT(ISBLANK(M1039)), M1039, L1039), N1039, Holiday_Dates) &lt;= 0,
                1,
                NETWORKDAYS(IF(NOT(ISBLANK(M1039)), M1039, L1039), N1039, Holiday_Dates)
                - IF(IF(NOT(ISBLANK(M1039)), M1039, L1039) = N1039, 0, 1)
            )
        )
    ),
    ""
)</f>
        <v/>
      </c>
      <c r="S1039" s="385" t="str">
        <f>IFERROR(
    IF(
        OR(ISBLANK(N1039), ISBLANK(O1039)),
        "",
        MAX(
            1,
            IF(
                NETWORKDAYS(N1039, O1039, Holiday_Dates) &lt;= 0,
                1,
                NETWORKDAYS(N1039, O1039, Holiday_Dates) - IF(N1039 = O1039, 0, 1)
            )
        )
    ),
    ""
)</f>
        <v/>
      </c>
      <c r="T1039" s="385"/>
      <c r="U1039" s="385"/>
      <c r="V1039" s="385"/>
      <c r="W1039" s="385" t="s">
        <v>4710</v>
      </c>
      <c r="X1039" s="1"/>
    </row>
    <row r="1040" spans="1:24">
      <c r="A1040" s="385" t="s">
        <v>52</v>
      </c>
      <c r="B1040" s="385" t="s">
        <v>250</v>
      </c>
      <c r="C1040" s="385" t="s">
        <v>3974</v>
      </c>
      <c r="D1040" s="385" t="s">
        <v>88</v>
      </c>
      <c r="E1040" s="385" t="s">
        <v>39</v>
      </c>
      <c r="F1040" s="385"/>
      <c r="G1040" s="385" t="s">
        <v>28</v>
      </c>
      <c r="H1040" s="385"/>
      <c r="I1040" s="385"/>
      <c r="J1040" s="30"/>
      <c r="K1040" s="388" t="s">
        <v>45</v>
      </c>
      <c r="L1040" s="385"/>
      <c r="M1040" s="385"/>
      <c r="N1040" s="385"/>
      <c r="O1040" s="385"/>
      <c r="P1040" s="385" t="str">
        <f>IFERROR(
    IF(
        OR(ISBLANK(I1040), ISBLANK(L1040)),
        "",
        MAX(
            1,
            IF(
                NETWORKDAYS(I1040, L1040, Holiday_Dates) &lt;= 0,
                1,
                NETWORKDAYS(I1040, L1040, Holiday_Dates) - IF(I1040 = L1040, 0, 1)
            )
        )
    ),
    ""
)</f>
        <v/>
      </c>
      <c r="Q1040" s="385" t="str">
        <f>IF(
    OR(ISBLANK(L1040), ISBLANK(M1040)),
    "",
    MAX(
        1,
        IF(
            NETWORKDAYS(L1040, M1040, Holiday_Dates) &lt;= 0,
            1,
            NETWORKDAYS(L1040, M1040, Holiday_Dates) - IF(L1040 = M1040, 0, 1)
        )
    )
)</f>
        <v/>
      </c>
      <c r="R1040" s="385" t="str">
        <f>IFERROR(
    IF(
        OR(ISBLANK(N1040), AND(ISBLANK(L1040), ISBLANK(M1040))),
        "",
        MAX(
            1,
            IF(
                NETWORKDAYS(IF(NOT(ISBLANK(M1040)), M1040, L1040), N1040, Holiday_Dates) &lt;= 0,
                1,
                NETWORKDAYS(IF(NOT(ISBLANK(M1040)), M1040, L1040), N1040, Holiday_Dates)
                - IF(IF(NOT(ISBLANK(M1040)), M1040, L1040) = N1040, 0, 1)
            )
        )
    ),
    ""
)</f>
        <v/>
      </c>
      <c r="S1040" s="385" t="str">
        <f>IFERROR(
    IF(
        OR(ISBLANK(N1040), ISBLANK(O1040)),
        "",
        MAX(
            1,
            IF(
                NETWORKDAYS(N1040, O1040, Holiday_Dates) &lt;= 0,
                1,
                NETWORKDAYS(N1040, O1040, Holiday_Dates) - IF(N1040 = O1040, 0, 1)
            )
        )
    ),
    ""
)</f>
        <v/>
      </c>
      <c r="T1040" s="385"/>
      <c r="U1040" s="385"/>
      <c r="V1040" s="385"/>
      <c r="W1040" s="385" t="s">
        <v>4710</v>
      </c>
      <c r="X1040" s="1"/>
    </row>
    <row r="1041" spans="1:24">
      <c r="A1041" s="385" t="s">
        <v>52</v>
      </c>
      <c r="B1041" s="385" t="s">
        <v>250</v>
      </c>
      <c r="C1041" s="385" t="s">
        <v>3977</v>
      </c>
      <c r="D1041" s="385" t="s">
        <v>88</v>
      </c>
      <c r="E1041" s="385" t="s">
        <v>39</v>
      </c>
      <c r="F1041" s="385"/>
      <c r="G1041" s="385" t="s">
        <v>28</v>
      </c>
      <c r="H1041" s="385"/>
      <c r="I1041" s="385"/>
      <c r="J1041" s="30"/>
      <c r="K1041" s="388" t="s">
        <v>45</v>
      </c>
      <c r="L1041" s="385"/>
      <c r="M1041" s="385"/>
      <c r="N1041" s="385"/>
      <c r="O1041" s="385"/>
      <c r="P1041" s="385" t="str">
        <f>IFERROR(
    IF(
        OR(ISBLANK(I1041), ISBLANK(L1041)),
        "",
        MAX(
            1,
            IF(
                NETWORKDAYS(I1041, L1041, Holiday_Dates) &lt;= 0,
                1,
                NETWORKDAYS(I1041, L1041, Holiday_Dates) - IF(I1041 = L1041, 0, 1)
            )
        )
    ),
    ""
)</f>
        <v/>
      </c>
      <c r="Q1041" s="385" t="str">
        <f>IF(
    OR(ISBLANK(L1041), ISBLANK(M1041)),
    "",
    MAX(
        1,
        IF(
            NETWORKDAYS(L1041, M1041, Holiday_Dates) &lt;= 0,
            1,
            NETWORKDAYS(L1041, M1041, Holiday_Dates) - IF(L1041 = M1041, 0, 1)
        )
    )
)</f>
        <v/>
      </c>
      <c r="R1041" s="385" t="str">
        <f>IFERROR(
    IF(
        OR(ISBLANK(N1041), AND(ISBLANK(L1041), ISBLANK(M1041))),
        "",
        MAX(
            1,
            IF(
                NETWORKDAYS(IF(NOT(ISBLANK(M1041)), M1041, L1041), N1041, Holiday_Dates) &lt;= 0,
                1,
                NETWORKDAYS(IF(NOT(ISBLANK(M1041)), M1041, L1041), N1041, Holiday_Dates)
                - IF(IF(NOT(ISBLANK(M1041)), M1041, L1041) = N1041, 0, 1)
            )
        )
    ),
    ""
)</f>
        <v/>
      </c>
      <c r="S1041" s="385" t="str">
        <f>IFERROR(
    IF(
        OR(ISBLANK(N1041), ISBLANK(O1041)),
        "",
        MAX(
            1,
            IF(
                NETWORKDAYS(N1041, O1041, Holiday_Dates) &lt;= 0,
                1,
                NETWORKDAYS(N1041, O1041, Holiday_Dates) - IF(N1041 = O1041, 0, 1)
            )
        )
    ),
    ""
)</f>
        <v/>
      </c>
      <c r="T1041" s="385"/>
      <c r="U1041" s="385"/>
      <c r="V1041" s="385"/>
      <c r="W1041" s="385" t="s">
        <v>4710</v>
      </c>
      <c r="X1041" s="1"/>
    </row>
    <row r="1042" spans="1:24">
      <c r="A1042" s="385" t="s">
        <v>52</v>
      </c>
      <c r="B1042" s="385" t="s">
        <v>250</v>
      </c>
      <c r="C1042" s="385" t="s">
        <v>1740</v>
      </c>
      <c r="D1042" s="385" t="s">
        <v>88</v>
      </c>
      <c r="E1042" s="385" t="s">
        <v>39</v>
      </c>
      <c r="F1042" s="385"/>
      <c r="G1042" s="385" t="s">
        <v>28</v>
      </c>
      <c r="H1042" s="385"/>
      <c r="I1042" s="385"/>
      <c r="J1042" s="30"/>
      <c r="K1042" s="388" t="s">
        <v>45</v>
      </c>
      <c r="L1042" s="385"/>
      <c r="M1042" s="385"/>
      <c r="N1042" s="385"/>
      <c r="O1042" s="385"/>
      <c r="P1042" s="385" t="str">
        <f>IFERROR(
    IF(
        OR(ISBLANK(I1042), ISBLANK(L1042)),
        "",
        MAX(
            1,
            IF(
                NETWORKDAYS(I1042, L1042, Holiday_Dates) &lt;= 0,
                1,
                NETWORKDAYS(I1042, L1042, Holiday_Dates) - IF(I1042 = L1042, 0, 1)
            )
        )
    ),
    ""
)</f>
        <v/>
      </c>
      <c r="Q1042" s="385" t="str">
        <f>IF(
    OR(ISBLANK(L1042), ISBLANK(M1042)),
    "",
    MAX(
        1,
        IF(
            NETWORKDAYS(L1042, M1042, Holiday_Dates) &lt;= 0,
            1,
            NETWORKDAYS(L1042, M1042, Holiday_Dates) - IF(L1042 = M1042, 0, 1)
        )
    )
)</f>
        <v/>
      </c>
      <c r="R1042" s="385" t="str">
        <f>IFERROR(
    IF(
        OR(ISBLANK(N1042), AND(ISBLANK(L1042), ISBLANK(M1042))),
        "",
        MAX(
            1,
            IF(
                NETWORKDAYS(IF(NOT(ISBLANK(M1042)), M1042, L1042), N1042, Holiday_Dates) &lt;= 0,
                1,
                NETWORKDAYS(IF(NOT(ISBLANK(M1042)), M1042, L1042), N1042, Holiday_Dates)
                - IF(IF(NOT(ISBLANK(M1042)), M1042, L1042) = N1042, 0, 1)
            )
        )
    ),
    ""
)</f>
        <v/>
      </c>
      <c r="S1042" s="385" t="str">
        <f>IFERROR(
    IF(
        OR(ISBLANK(N1042), ISBLANK(O1042)),
        "",
        MAX(
            1,
            IF(
                NETWORKDAYS(N1042, O1042, Holiday_Dates) &lt;= 0,
                1,
                NETWORKDAYS(N1042, O1042, Holiday_Dates) - IF(N1042 = O1042, 0, 1)
            )
        )
    ),
    ""
)</f>
        <v/>
      </c>
      <c r="T1042" s="385"/>
      <c r="U1042" s="385"/>
      <c r="V1042" s="385"/>
      <c r="W1042" s="385" t="s">
        <v>4710</v>
      </c>
      <c r="X1042" s="1"/>
    </row>
    <row r="1043" spans="1:24">
      <c r="A1043" s="385" t="s">
        <v>65</v>
      </c>
      <c r="B1043" s="385" t="s">
        <v>1314</v>
      </c>
      <c r="C1043" s="385" t="s">
        <v>2799</v>
      </c>
      <c r="D1043" s="385" t="s">
        <v>88</v>
      </c>
      <c r="E1043" s="385"/>
      <c r="F1043" s="385"/>
      <c r="G1043" s="385"/>
      <c r="H1043" s="385">
        <v>2025</v>
      </c>
      <c r="I1043" s="386">
        <v>45944</v>
      </c>
      <c r="J1043" s="30" t="s">
        <v>5155</v>
      </c>
      <c r="K1043" s="385"/>
      <c r="L1043" s="385"/>
      <c r="M1043" s="385"/>
      <c r="N1043" s="385"/>
      <c r="O1043" s="385"/>
      <c r="P1043" s="385" t="str">
        <f>IFERROR(
    IF(
        OR(ISBLANK(I1043), ISBLANK(L1043)),
        "",
        MAX(
            1,
            IF(
                NETWORKDAYS(I1043, L1043, Holiday_Dates) &lt;= 0,
                1,
                NETWORKDAYS(I1043, L1043, Holiday_Dates) - IF(I1043 = L1043, 0, 1)
            )
        )
    ),
    ""
)</f>
        <v/>
      </c>
      <c r="Q1043" s="385" t="str">
        <f>IF(
    OR(ISBLANK(L1043), ISBLANK(M1043)),
    "",
    MAX(
        1,
        IF(
            NETWORKDAYS(L1043, M1043, Holiday_Dates) &lt;= 0,
            1,
            NETWORKDAYS(L1043, M1043, Holiday_Dates) - IF(L1043 = M1043, 0, 1)
        )
    )
)</f>
        <v/>
      </c>
      <c r="R1043" s="385" t="str">
        <f>IFERROR(
    IF(
        OR(ISBLANK(N1043), AND(ISBLANK(L1043), ISBLANK(M1043))),
        "",
        MAX(
            1,
            IF(
                NETWORKDAYS(IF(NOT(ISBLANK(M1043)), M1043, L1043), N1043, Holiday_Dates) &lt;= 0,
                1,
                NETWORKDAYS(IF(NOT(ISBLANK(M1043)), M1043, L1043), N1043, Holiday_Dates)
                - IF(IF(NOT(ISBLANK(M1043)), M1043, L1043) = N1043, 0, 1)
            )
        )
    ),
    ""
)</f>
        <v/>
      </c>
      <c r="S1043" s="385" t="str">
        <f>IFERROR(
    IF(
        OR(ISBLANK(N1043), ISBLANK(O1043)),
        "",
        MAX(
            1,
            IF(
                NETWORKDAYS(N1043, O1043, Holiday_Dates) &lt;= 0,
                1,
                NETWORKDAYS(N1043, O1043, Holiday_Dates) - IF(N1043 = O1043, 0, 1)
            )
        )
    ),
    ""
)</f>
        <v/>
      </c>
      <c r="T1043" s="385"/>
      <c r="U1043" s="385" t="s">
        <v>4</v>
      </c>
      <c r="V1043" s="385" t="s">
        <v>101</v>
      </c>
      <c r="W1043" s="385" t="s">
        <v>1436</v>
      </c>
      <c r="X1043" s="1"/>
    </row>
    <row r="1044" spans="1:24">
      <c r="A1044" s="385" t="s">
        <v>52</v>
      </c>
      <c r="B1044" s="385" t="s">
        <v>250</v>
      </c>
      <c r="C1044" s="385" t="s">
        <v>3989</v>
      </c>
      <c r="D1044" s="385" t="s">
        <v>88</v>
      </c>
      <c r="E1044" s="385" t="s">
        <v>39</v>
      </c>
      <c r="F1044" s="385"/>
      <c r="G1044" s="385" t="s">
        <v>28</v>
      </c>
      <c r="H1044" s="385"/>
      <c r="I1044" s="385"/>
      <c r="J1044" s="30"/>
      <c r="K1044" s="388" t="s">
        <v>45</v>
      </c>
      <c r="L1044" s="385"/>
      <c r="M1044" s="385"/>
      <c r="N1044" s="385"/>
      <c r="O1044" s="385"/>
      <c r="P1044" s="385" t="str">
        <f>IFERROR(
    IF(
        OR(ISBLANK(I1044), ISBLANK(L1044)),
        "",
        MAX(
            1,
            IF(
                NETWORKDAYS(I1044, L1044, Holiday_Dates) &lt;= 0,
                1,
                NETWORKDAYS(I1044, L1044, Holiday_Dates) - IF(I1044 = L1044, 0, 1)
            )
        )
    ),
    ""
)</f>
        <v/>
      </c>
      <c r="Q1044" s="385" t="str">
        <f>IF(
    OR(ISBLANK(L1044), ISBLANK(M1044)),
    "",
    MAX(
        1,
        IF(
            NETWORKDAYS(L1044, M1044, Holiday_Dates) &lt;= 0,
            1,
            NETWORKDAYS(L1044, M1044, Holiday_Dates) - IF(L1044 = M1044, 0, 1)
        )
    )
)</f>
        <v/>
      </c>
      <c r="R1044" s="385" t="str">
        <f>IFERROR(
    IF(
        OR(ISBLANK(N1044), AND(ISBLANK(L1044), ISBLANK(M1044))),
        "",
        MAX(
            1,
            IF(
                NETWORKDAYS(IF(NOT(ISBLANK(M1044)), M1044, L1044), N1044, Holiday_Dates) &lt;= 0,
                1,
                NETWORKDAYS(IF(NOT(ISBLANK(M1044)), M1044, L1044), N1044, Holiday_Dates)
                - IF(IF(NOT(ISBLANK(M1044)), M1044, L1044) = N1044, 0, 1)
            )
        )
    ),
    ""
)</f>
        <v/>
      </c>
      <c r="S1044" s="385" t="str">
        <f>IFERROR(
    IF(
        OR(ISBLANK(N1044), ISBLANK(O1044)),
        "",
        MAX(
            1,
            IF(
                NETWORKDAYS(N1044, O1044, Holiday_Dates) &lt;= 0,
                1,
                NETWORKDAYS(N1044, O1044, Holiday_Dates) - IF(N1044 = O1044, 0, 1)
            )
        )
    ),
    ""
)</f>
        <v/>
      </c>
      <c r="T1044" s="385"/>
      <c r="U1044" s="385"/>
      <c r="V1044" s="385"/>
      <c r="W1044" s="385" t="s">
        <v>4710</v>
      </c>
      <c r="X1044" s="1"/>
    </row>
    <row r="1045" spans="1:24">
      <c r="A1045" s="385" t="s">
        <v>52</v>
      </c>
      <c r="B1045" s="385" t="s">
        <v>250</v>
      </c>
      <c r="C1045" s="385" t="s">
        <v>653</v>
      </c>
      <c r="D1045" s="385" t="s">
        <v>88</v>
      </c>
      <c r="E1045" s="385" t="s">
        <v>39</v>
      </c>
      <c r="F1045" s="385"/>
      <c r="G1045" s="385" t="s">
        <v>28</v>
      </c>
      <c r="H1045" s="385"/>
      <c r="I1045" s="385"/>
      <c r="J1045" s="30"/>
      <c r="K1045" s="388" t="s">
        <v>45</v>
      </c>
      <c r="L1045" s="385"/>
      <c r="M1045" s="385"/>
      <c r="N1045" s="385"/>
      <c r="O1045" s="385"/>
      <c r="P1045" s="385" t="str">
        <f>IFERROR(
    IF(
        OR(ISBLANK(I1045), ISBLANK(L1045)),
        "",
        MAX(
            1,
            IF(
                NETWORKDAYS(I1045, L1045, Holiday_Dates) &lt;= 0,
                1,
                NETWORKDAYS(I1045, L1045, Holiday_Dates) - IF(I1045 = L1045, 0, 1)
            )
        )
    ),
    ""
)</f>
        <v/>
      </c>
      <c r="Q1045" s="385" t="str">
        <f>IF(
    OR(ISBLANK(L1045), ISBLANK(M1045)),
    "",
    MAX(
        1,
        IF(
            NETWORKDAYS(L1045, M1045, Holiday_Dates) &lt;= 0,
            1,
            NETWORKDAYS(L1045, M1045, Holiday_Dates) - IF(L1045 = M1045, 0, 1)
        )
    )
)</f>
        <v/>
      </c>
      <c r="R1045" s="385" t="str">
        <f>IFERROR(
    IF(
        OR(ISBLANK(N1045), AND(ISBLANK(L1045), ISBLANK(M1045))),
        "",
        MAX(
            1,
            IF(
                NETWORKDAYS(IF(NOT(ISBLANK(M1045)), M1045, L1045), N1045, Holiday_Dates) &lt;= 0,
                1,
                NETWORKDAYS(IF(NOT(ISBLANK(M1045)), M1045, L1045), N1045, Holiday_Dates)
                - IF(IF(NOT(ISBLANK(M1045)), M1045, L1045) = N1045, 0, 1)
            )
        )
    ),
    ""
)</f>
        <v/>
      </c>
      <c r="S1045" s="385" t="str">
        <f>IFERROR(
    IF(
        OR(ISBLANK(N1045), ISBLANK(O1045)),
        "",
        MAX(
            1,
            IF(
                NETWORKDAYS(N1045, O1045, Holiday_Dates) &lt;= 0,
                1,
                NETWORKDAYS(N1045, O1045, Holiday_Dates) - IF(N1045 = O1045, 0, 1)
            )
        )
    ),
    ""
)</f>
        <v/>
      </c>
      <c r="T1045" s="385"/>
      <c r="U1045" s="385"/>
      <c r="V1045" s="385"/>
      <c r="W1045" s="385" t="s">
        <v>4710</v>
      </c>
      <c r="X1045" s="1"/>
    </row>
    <row r="1046" spans="1:24">
      <c r="A1046" s="385" t="s">
        <v>65</v>
      </c>
      <c r="B1046" s="385" t="s">
        <v>1314</v>
      </c>
      <c r="C1046" s="385" t="s">
        <v>2802</v>
      </c>
      <c r="D1046" s="385" t="s">
        <v>88</v>
      </c>
      <c r="E1046" s="385"/>
      <c r="F1046" s="385"/>
      <c r="G1046" s="385"/>
      <c r="H1046" s="385">
        <v>2025</v>
      </c>
      <c r="I1046" s="386">
        <v>45930</v>
      </c>
      <c r="J1046" s="30" t="s">
        <v>5156</v>
      </c>
      <c r="K1046" s="385"/>
      <c r="L1046" s="385"/>
      <c r="M1046" s="385"/>
      <c r="N1046" s="385"/>
      <c r="O1046" s="385"/>
      <c r="P1046" s="385" t="str">
        <f>IFERROR(
    IF(
        OR(ISBLANK(I1046), ISBLANK(L1046)),
        "",
        MAX(
            1,
            IF(
                NETWORKDAYS(I1046, L1046, Holiday_Dates) &lt;= 0,
                1,
                NETWORKDAYS(I1046, L1046, Holiday_Dates) - IF(I1046 = L1046, 0, 1)
            )
        )
    ),
    ""
)</f>
        <v/>
      </c>
      <c r="Q1046" s="385" t="str">
        <f>IF(
    OR(ISBLANK(L1046), ISBLANK(M1046)),
    "",
    MAX(
        1,
        IF(
            NETWORKDAYS(L1046, M1046, Holiday_Dates) &lt;= 0,
            1,
            NETWORKDAYS(L1046, M1046, Holiday_Dates) - IF(L1046 = M1046, 0, 1)
        )
    )
)</f>
        <v/>
      </c>
      <c r="R1046" s="385" t="str">
        <f>IFERROR(
    IF(
        OR(ISBLANK(N1046), AND(ISBLANK(L1046), ISBLANK(M1046))),
        "",
        MAX(
            1,
            IF(
                NETWORKDAYS(IF(NOT(ISBLANK(M1046)), M1046, L1046), N1046, Holiday_Dates) &lt;= 0,
                1,
                NETWORKDAYS(IF(NOT(ISBLANK(M1046)), M1046, L1046), N1046, Holiday_Dates)
                - IF(IF(NOT(ISBLANK(M1046)), M1046, L1046) = N1046, 0, 1)
            )
        )
    ),
    ""
)</f>
        <v/>
      </c>
      <c r="S1046" s="385" t="str">
        <f>IFERROR(
    IF(
        OR(ISBLANK(N1046), ISBLANK(O1046)),
        "",
        MAX(
            1,
            IF(
                NETWORKDAYS(N1046, O1046, Holiday_Dates) &lt;= 0,
                1,
                NETWORKDAYS(N1046, O1046, Holiday_Dates) - IF(N1046 = O1046, 0, 1)
            )
        )
    ),
    ""
)</f>
        <v/>
      </c>
      <c r="T1046" s="385"/>
      <c r="U1046" s="385" t="s">
        <v>672</v>
      </c>
      <c r="V1046" s="385" t="s">
        <v>101</v>
      </c>
      <c r="W1046" s="385" t="s">
        <v>1436</v>
      </c>
      <c r="X1046" s="1"/>
    </row>
    <row r="1047" spans="1:24">
      <c r="A1047" s="385" t="s">
        <v>65</v>
      </c>
      <c r="B1047" s="385" t="s">
        <v>1314</v>
      </c>
      <c r="C1047" s="385" t="s">
        <v>2803</v>
      </c>
      <c r="D1047" s="385" t="s">
        <v>88</v>
      </c>
      <c r="E1047" s="385"/>
      <c r="F1047" s="385"/>
      <c r="G1047" s="385"/>
      <c r="H1047" s="385">
        <v>2024</v>
      </c>
      <c r="I1047" s="386">
        <v>45316</v>
      </c>
      <c r="J1047" s="30"/>
      <c r="K1047" s="385"/>
      <c r="L1047" s="385"/>
      <c r="M1047" s="385"/>
      <c r="N1047" s="385"/>
      <c r="O1047" s="385"/>
      <c r="P1047" s="385" t="str">
        <f>IFERROR(
    IF(
        OR(ISBLANK(I1047), ISBLANK(L1047)),
        "",
        MAX(
            1,
            IF(
                NETWORKDAYS(I1047, L1047, Holiday_Dates) &lt;= 0,
                1,
                NETWORKDAYS(I1047, L1047, Holiday_Dates) - IF(I1047 = L1047, 0, 1)
            )
        )
    ),
    ""
)</f>
        <v/>
      </c>
      <c r="Q1047" s="385" t="str">
        <f>IF(
    OR(ISBLANK(L1047), ISBLANK(M1047)),
    "",
    MAX(
        1,
        IF(
            NETWORKDAYS(L1047, M1047, Holiday_Dates) &lt;= 0,
            1,
            NETWORKDAYS(L1047, M1047, Holiday_Dates) - IF(L1047 = M1047, 0, 1)
        )
    )
)</f>
        <v/>
      </c>
      <c r="R1047" s="385" t="str">
        <f>IFERROR(
    IF(
        OR(ISBLANK(N1047), AND(ISBLANK(L1047), ISBLANK(M1047))),
        "",
        MAX(
            1,
            IF(
                NETWORKDAYS(IF(NOT(ISBLANK(M1047)), M1047, L1047), N1047, Holiday_Dates) &lt;= 0,
                1,
                NETWORKDAYS(IF(NOT(ISBLANK(M1047)), M1047, L1047), N1047, Holiday_Dates)
                - IF(IF(NOT(ISBLANK(M1047)), M1047, L1047) = N1047, 0, 1)
            )
        )
    ),
    ""
)</f>
        <v/>
      </c>
      <c r="S1047" s="385" t="str">
        <f>IFERROR(
    IF(
        OR(ISBLANK(N1047), ISBLANK(O1047)),
        "",
        MAX(
            1,
            IF(
                NETWORKDAYS(N1047, O1047, Holiday_Dates) &lt;= 0,
                1,
                NETWORKDAYS(N1047, O1047, Holiday_Dates) - IF(N1047 = O1047, 0, 1)
            )
        )
    ),
    ""
)</f>
        <v/>
      </c>
      <c r="T1047" s="385"/>
      <c r="U1047" s="385" t="s">
        <v>672</v>
      </c>
      <c r="V1047" s="385"/>
      <c r="W1047" s="385" t="s">
        <v>1436</v>
      </c>
      <c r="X1047" s="1"/>
    </row>
    <row r="1048" spans="1:24">
      <c r="A1048" s="385" t="s">
        <v>52</v>
      </c>
      <c r="B1048" s="385" t="s">
        <v>4231</v>
      </c>
      <c r="C1048" s="385" t="s">
        <v>730</v>
      </c>
      <c r="D1048" s="385" t="s">
        <v>88</v>
      </c>
      <c r="E1048" s="385" t="s">
        <v>37</v>
      </c>
      <c r="F1048" s="385"/>
      <c r="G1048" s="385" t="s">
        <v>28</v>
      </c>
      <c r="H1048" s="385"/>
      <c r="I1048" s="385"/>
      <c r="J1048" s="30"/>
      <c r="K1048" s="388" t="s">
        <v>45</v>
      </c>
      <c r="L1048" s="385"/>
      <c r="M1048" s="385"/>
      <c r="N1048" s="385"/>
      <c r="O1048" s="385"/>
      <c r="P1048" s="385" t="str">
        <f>IFERROR(
    IF(
        OR(ISBLANK(I1048), ISBLANK(L1048)),
        "",
        MAX(
            1,
            IF(
                NETWORKDAYS(I1048, L1048, Holiday_Dates) &lt;= 0,
                1,
                NETWORKDAYS(I1048, L1048, Holiday_Dates) - IF(I1048 = L1048, 0, 1)
            )
        )
    ),
    ""
)</f>
        <v/>
      </c>
      <c r="Q1048" s="385" t="str">
        <f>IF(
    OR(ISBLANK(L1048), ISBLANK(M1048)),
    "",
    MAX(
        1,
        IF(
            NETWORKDAYS(L1048, M1048, Holiday_Dates) &lt;= 0,
            1,
            NETWORKDAYS(L1048, M1048, Holiday_Dates) - IF(L1048 = M1048, 0, 1)
        )
    )
)</f>
        <v/>
      </c>
      <c r="R1048" s="385" t="str">
        <f>IFERROR(
    IF(
        OR(ISBLANK(N1048), AND(ISBLANK(L1048), ISBLANK(M1048))),
        "",
        MAX(
            1,
            IF(
                NETWORKDAYS(IF(NOT(ISBLANK(M1048)), M1048, L1048), N1048, Holiday_Dates) &lt;= 0,
                1,
                NETWORKDAYS(IF(NOT(ISBLANK(M1048)), M1048, L1048), N1048, Holiday_Dates)
                - IF(IF(NOT(ISBLANK(M1048)), M1048, L1048) = N1048, 0, 1)
            )
        )
    ),
    ""
)</f>
        <v/>
      </c>
      <c r="S1048" s="385" t="str">
        <f>IFERROR(
    IF(
        OR(ISBLANK(N1048), ISBLANK(O1048)),
        "",
        MAX(
            1,
            IF(
                NETWORKDAYS(N1048, O1048, Holiday_Dates) &lt;= 0,
                1,
                NETWORKDAYS(N1048, O1048, Holiday_Dates) - IF(N1048 = O1048, 0, 1)
            )
        )
    ),
    ""
)</f>
        <v/>
      </c>
      <c r="T1048" s="385"/>
      <c r="U1048" s="385"/>
      <c r="V1048" s="385"/>
      <c r="W1048" s="385" t="s">
        <v>4710</v>
      </c>
      <c r="X1048" s="1"/>
    </row>
    <row r="1049" spans="1:24">
      <c r="A1049" s="385" t="s">
        <v>52</v>
      </c>
      <c r="B1049" s="385" t="s">
        <v>4231</v>
      </c>
      <c r="C1049" s="385" t="s">
        <v>4243</v>
      </c>
      <c r="D1049" s="385" t="s">
        <v>88</v>
      </c>
      <c r="E1049" s="385" t="s">
        <v>37</v>
      </c>
      <c r="F1049" s="385"/>
      <c r="G1049" s="385" t="s">
        <v>28</v>
      </c>
      <c r="H1049" s="385">
        <v>2026</v>
      </c>
      <c r="I1049" s="386">
        <v>46091</v>
      </c>
      <c r="J1049" s="30" t="s">
        <v>5157</v>
      </c>
      <c r="K1049" s="388" t="s">
        <v>45</v>
      </c>
      <c r="L1049" s="386">
        <v>46093</v>
      </c>
      <c r="M1049" s="385"/>
      <c r="N1049" s="386">
        <v>46093</v>
      </c>
      <c r="O1049" s="386">
        <v>46093</v>
      </c>
      <c r="P1049" s="385">
        <f>IFERROR(
    IF(
        OR(ISBLANK(I1049), ISBLANK(L1049)),
        "",
        MAX(
            1,
            IF(
                NETWORKDAYS(I1049, L1049, Holiday_Dates) &lt;= 0,
                1,
                NETWORKDAYS(I1049, L1049, Holiday_Dates) - IF(I1049 = L1049, 0, 1)
            )
        )
    ),
    ""
)</f>
        <v>2</v>
      </c>
      <c r="Q1049" s="385" t="str">
        <f>IF(
    OR(ISBLANK(L1049), ISBLANK(M1049)),
    "",
    MAX(
        1,
        IF(
            NETWORKDAYS(L1049, M1049, Holiday_Dates) &lt;= 0,
            1,
            NETWORKDAYS(L1049, M1049, Holiday_Dates) - IF(L1049 = M1049, 0, 1)
        )
    )
)</f>
        <v/>
      </c>
      <c r="R1049" s="385">
        <f>IFERROR(
    IF(
        OR(ISBLANK(N1049), AND(ISBLANK(L1049), ISBLANK(M1049))),
        "",
        MAX(
            1,
            IF(
                NETWORKDAYS(IF(NOT(ISBLANK(M1049)), M1049, L1049), N1049, Holiday_Dates) &lt;= 0,
                1,
                NETWORKDAYS(IF(NOT(ISBLANK(M1049)), M1049, L1049), N1049, Holiday_Dates)
                - IF(IF(NOT(ISBLANK(M1049)), M1049, L1049) = N1049, 0, 1)
            )
        )
    ),
    ""
)</f>
        <v>1</v>
      </c>
      <c r="S1049" s="385">
        <f>IFERROR(
    IF(
        OR(ISBLANK(N1049), ISBLANK(O1049)),
        "",
        MAX(
            1,
            IF(
                NETWORKDAYS(N1049, O1049, Holiday_Dates) &lt;= 0,
                1,
                NETWORKDAYS(N1049, O1049, Holiday_Dates) - IF(N1049 = O1049, 0, 1)
            )
        )
    ),
    ""
)</f>
        <v>1</v>
      </c>
      <c r="T1049" s="385" t="s">
        <v>929</v>
      </c>
      <c r="U1049" s="385" t="s">
        <v>672</v>
      </c>
      <c r="V1049" s="385" t="s">
        <v>101</v>
      </c>
      <c r="W1049" s="385" t="s">
        <v>4710</v>
      </c>
      <c r="X1049" s="1"/>
    </row>
    <row r="1050" spans="1:24">
      <c r="A1050" s="385" t="s">
        <v>52</v>
      </c>
      <c r="B1050" s="385" t="s">
        <v>4231</v>
      </c>
      <c r="C1050" s="385" t="s">
        <v>4244</v>
      </c>
      <c r="D1050" s="385" t="s">
        <v>88</v>
      </c>
      <c r="E1050" s="385" t="s">
        <v>37</v>
      </c>
      <c r="F1050" s="385"/>
      <c r="G1050" s="385" t="s">
        <v>28</v>
      </c>
      <c r="H1050" s="385">
        <v>2026</v>
      </c>
      <c r="I1050" s="386">
        <v>46091</v>
      </c>
      <c r="J1050" s="30" t="s">
        <v>5158</v>
      </c>
      <c r="K1050" s="388" t="s">
        <v>45</v>
      </c>
      <c r="L1050" s="386">
        <v>46093</v>
      </c>
      <c r="M1050" s="385"/>
      <c r="N1050" s="386">
        <v>46093</v>
      </c>
      <c r="O1050" s="386">
        <v>46093</v>
      </c>
      <c r="P1050" s="385">
        <f>IFERROR(
    IF(
        OR(ISBLANK(I1050), ISBLANK(L1050)),
        "",
        MAX(
            1,
            IF(
                NETWORKDAYS(I1050, L1050, Holiday_Dates) &lt;= 0,
                1,
                NETWORKDAYS(I1050, L1050, Holiday_Dates) - IF(I1050 = L1050, 0, 1)
            )
        )
    ),
    ""
)</f>
        <v>2</v>
      </c>
      <c r="Q1050" s="385" t="str">
        <f>IF(
    OR(ISBLANK(L1050), ISBLANK(M1050)),
    "",
    MAX(
        1,
        IF(
            NETWORKDAYS(L1050, M1050, Holiday_Dates) &lt;= 0,
            1,
            NETWORKDAYS(L1050, M1050, Holiday_Dates) - IF(L1050 = M1050, 0, 1)
        )
    )
)</f>
        <v/>
      </c>
      <c r="R1050" s="385">
        <f>IFERROR(
    IF(
        OR(ISBLANK(N1050), AND(ISBLANK(L1050), ISBLANK(M1050))),
        "",
        MAX(
            1,
            IF(
                NETWORKDAYS(IF(NOT(ISBLANK(M1050)), M1050, L1050), N1050, Holiday_Dates) &lt;= 0,
                1,
                NETWORKDAYS(IF(NOT(ISBLANK(M1050)), M1050, L1050), N1050, Holiday_Dates)
                - IF(IF(NOT(ISBLANK(M1050)), M1050, L1050) = N1050, 0, 1)
            )
        )
    ),
    ""
)</f>
        <v>1</v>
      </c>
      <c r="S1050" s="385">
        <f>IFERROR(
    IF(
        OR(ISBLANK(N1050), ISBLANK(O1050)),
        "",
        MAX(
            1,
            IF(
                NETWORKDAYS(N1050, O1050, Holiday_Dates) &lt;= 0,
                1,
                NETWORKDAYS(N1050, O1050, Holiday_Dates) - IF(N1050 = O1050, 0, 1)
            )
        )
    ),
    ""
)</f>
        <v>1</v>
      </c>
      <c r="T1050" s="385" t="s">
        <v>929</v>
      </c>
      <c r="U1050" s="385" t="s">
        <v>672</v>
      </c>
      <c r="V1050" s="385" t="s">
        <v>101</v>
      </c>
      <c r="W1050" s="385" t="s">
        <v>4710</v>
      </c>
      <c r="X1050" s="1"/>
    </row>
    <row r="1051" spans="1:24">
      <c r="A1051" s="385" t="s">
        <v>65</v>
      </c>
      <c r="B1051" s="385" t="s">
        <v>1314</v>
      </c>
      <c r="C1051" s="385" t="s">
        <v>2807</v>
      </c>
      <c r="D1051" s="385" t="s">
        <v>88</v>
      </c>
      <c r="E1051" s="385"/>
      <c r="F1051" s="385"/>
      <c r="G1051" s="385"/>
      <c r="H1051" s="385">
        <v>2025</v>
      </c>
      <c r="I1051" s="386">
        <v>45891</v>
      </c>
      <c r="J1051" s="30" t="s">
        <v>5159</v>
      </c>
      <c r="K1051" s="385"/>
      <c r="L1051" s="385"/>
      <c r="M1051" s="385"/>
      <c r="N1051" s="385"/>
      <c r="O1051" s="385"/>
      <c r="P1051" s="385" t="str">
        <f>IFERROR(
    IF(
        OR(ISBLANK(I1051), ISBLANK(L1051)),
        "",
        MAX(
            1,
            IF(
                NETWORKDAYS(I1051, L1051, Holiday_Dates) &lt;= 0,
                1,
                NETWORKDAYS(I1051, L1051, Holiday_Dates) - IF(I1051 = L1051, 0, 1)
            )
        )
    ),
    ""
)</f>
        <v/>
      </c>
      <c r="Q1051" s="385" t="str">
        <f>IF(
    OR(ISBLANK(L1051), ISBLANK(M1051)),
    "",
    MAX(
        1,
        IF(
            NETWORKDAYS(L1051, M1051, Holiday_Dates) &lt;= 0,
            1,
            NETWORKDAYS(L1051, M1051, Holiday_Dates) - IF(L1051 = M1051, 0, 1)
        )
    )
)</f>
        <v/>
      </c>
      <c r="R1051" s="385" t="str">
        <f>IFERROR(
    IF(
        OR(ISBLANK(N1051), AND(ISBLANK(L1051), ISBLANK(M1051))),
        "",
        MAX(
            1,
            IF(
                NETWORKDAYS(IF(NOT(ISBLANK(M1051)), M1051, L1051), N1051, Holiday_Dates) &lt;= 0,
                1,
                NETWORKDAYS(IF(NOT(ISBLANK(M1051)), M1051, L1051), N1051, Holiday_Dates)
                - IF(IF(NOT(ISBLANK(M1051)), M1051, L1051) = N1051, 0, 1)
            )
        )
    ),
    ""
)</f>
        <v/>
      </c>
      <c r="S1051" s="385" t="str">
        <f>IFERROR(
    IF(
        OR(ISBLANK(N1051), ISBLANK(O1051)),
        "",
        MAX(
            1,
            IF(
                NETWORKDAYS(N1051, O1051, Holiday_Dates) &lt;= 0,
                1,
                NETWORKDAYS(N1051, O1051, Holiday_Dates) - IF(N1051 = O1051, 0, 1)
            )
        )
    ),
    ""
)</f>
        <v/>
      </c>
      <c r="T1051" s="385"/>
      <c r="U1051" s="385" t="s">
        <v>672</v>
      </c>
      <c r="V1051" s="385" t="s">
        <v>101</v>
      </c>
      <c r="W1051" s="385" t="s">
        <v>1436</v>
      </c>
      <c r="X1051" s="1"/>
    </row>
    <row r="1052" spans="1:24">
      <c r="A1052" s="385" t="s">
        <v>65</v>
      </c>
      <c r="B1052" s="385" t="s">
        <v>1314</v>
      </c>
      <c r="C1052" s="385" t="s">
        <v>2808</v>
      </c>
      <c r="D1052" s="385" t="s">
        <v>88</v>
      </c>
      <c r="E1052" s="385"/>
      <c r="F1052" s="385"/>
      <c r="G1052" s="385"/>
      <c r="H1052" s="385">
        <v>2024</v>
      </c>
      <c r="I1052" s="386">
        <v>45595</v>
      </c>
      <c r="J1052" s="30"/>
      <c r="K1052" s="385"/>
      <c r="L1052" s="385"/>
      <c r="M1052" s="385"/>
      <c r="N1052" s="385"/>
      <c r="O1052" s="385"/>
      <c r="P1052" s="385" t="str">
        <f>IFERROR(
    IF(
        OR(ISBLANK(I1052), ISBLANK(L1052)),
        "",
        MAX(
            1,
            IF(
                NETWORKDAYS(I1052, L1052, Holiday_Dates) &lt;= 0,
                1,
                NETWORKDAYS(I1052, L1052, Holiday_Dates) - IF(I1052 = L1052, 0, 1)
            )
        )
    ),
    ""
)</f>
        <v/>
      </c>
      <c r="Q1052" s="385" t="str">
        <f>IF(
    OR(ISBLANK(L1052), ISBLANK(M1052)),
    "",
    MAX(
        1,
        IF(
            NETWORKDAYS(L1052, M1052, Holiday_Dates) &lt;= 0,
            1,
            NETWORKDAYS(L1052, M1052, Holiday_Dates) - IF(L1052 = M1052, 0, 1)
        )
    )
)</f>
        <v/>
      </c>
      <c r="R1052" s="385" t="str">
        <f>IFERROR(
    IF(
        OR(ISBLANK(N1052), AND(ISBLANK(L1052), ISBLANK(M1052))),
        "",
        MAX(
            1,
            IF(
                NETWORKDAYS(IF(NOT(ISBLANK(M1052)), M1052, L1052), N1052, Holiday_Dates) &lt;= 0,
                1,
                NETWORKDAYS(IF(NOT(ISBLANK(M1052)), M1052, L1052), N1052, Holiday_Dates)
                - IF(IF(NOT(ISBLANK(M1052)), M1052, L1052) = N1052, 0, 1)
            )
        )
    ),
    ""
)</f>
        <v/>
      </c>
      <c r="S1052" s="385" t="str">
        <f>IFERROR(
    IF(
        OR(ISBLANK(N1052), ISBLANK(O1052)),
        "",
        MAX(
            1,
            IF(
                NETWORKDAYS(N1052, O1052, Holiday_Dates) &lt;= 0,
                1,
                NETWORKDAYS(N1052, O1052, Holiday_Dates) - IF(N1052 = O1052, 0, 1)
            )
        )
    ),
    ""
)</f>
        <v/>
      </c>
      <c r="T1052" s="385"/>
      <c r="U1052" s="385" t="s">
        <v>4</v>
      </c>
      <c r="V1052" s="385" t="s">
        <v>101</v>
      </c>
      <c r="W1052" s="385" t="s">
        <v>1436</v>
      </c>
      <c r="X1052" s="1"/>
    </row>
    <row r="1053" spans="1:24">
      <c r="A1053" s="385" t="s">
        <v>52</v>
      </c>
      <c r="B1053" s="385" t="s">
        <v>4231</v>
      </c>
      <c r="C1053" s="385" t="s">
        <v>4245</v>
      </c>
      <c r="D1053" s="385" t="s">
        <v>88</v>
      </c>
      <c r="E1053" s="385" t="s">
        <v>37</v>
      </c>
      <c r="F1053" s="385"/>
      <c r="G1053" s="385" t="s">
        <v>28</v>
      </c>
      <c r="H1053" s="385">
        <v>2026</v>
      </c>
      <c r="I1053" s="386">
        <v>46091</v>
      </c>
      <c r="J1053" s="30" t="s">
        <v>5160</v>
      </c>
      <c r="K1053" s="388" t="s">
        <v>45</v>
      </c>
      <c r="L1053" s="386">
        <v>46093</v>
      </c>
      <c r="M1053" s="385"/>
      <c r="N1053" s="386">
        <v>46093</v>
      </c>
      <c r="O1053" s="386">
        <v>46093</v>
      </c>
      <c r="P1053" s="385">
        <f>IFERROR(
    IF(
        OR(ISBLANK(I1053), ISBLANK(L1053)),
        "",
        MAX(
            1,
            IF(
                NETWORKDAYS(I1053, L1053, Holiday_Dates) &lt;= 0,
                1,
                NETWORKDAYS(I1053, L1053, Holiday_Dates) - IF(I1053 = L1053, 0, 1)
            )
        )
    ),
    ""
)</f>
        <v>2</v>
      </c>
      <c r="Q1053" s="385" t="str">
        <f>IF(
    OR(ISBLANK(L1053), ISBLANK(M1053)),
    "",
    MAX(
        1,
        IF(
            NETWORKDAYS(L1053, M1053, Holiday_Dates) &lt;= 0,
            1,
            NETWORKDAYS(L1053, M1053, Holiday_Dates) - IF(L1053 = M1053, 0, 1)
        )
    )
)</f>
        <v/>
      </c>
      <c r="R1053" s="385">
        <f>IFERROR(
    IF(
        OR(ISBLANK(N1053), AND(ISBLANK(L1053), ISBLANK(M1053))),
        "",
        MAX(
            1,
            IF(
                NETWORKDAYS(IF(NOT(ISBLANK(M1053)), M1053, L1053), N1053, Holiday_Dates) &lt;= 0,
                1,
                NETWORKDAYS(IF(NOT(ISBLANK(M1053)), M1053, L1053), N1053, Holiday_Dates)
                - IF(IF(NOT(ISBLANK(M1053)), M1053, L1053) = N1053, 0, 1)
            )
        )
    ),
    ""
)</f>
        <v>1</v>
      </c>
      <c r="S1053" s="385">
        <f>IFERROR(
    IF(
        OR(ISBLANK(N1053), ISBLANK(O1053)),
        "",
        MAX(
            1,
            IF(
                NETWORKDAYS(N1053, O1053, Holiday_Dates) &lt;= 0,
                1,
                NETWORKDAYS(N1053, O1053, Holiday_Dates) - IF(N1053 = O1053, 0, 1)
            )
        )
    ),
    ""
)</f>
        <v>1</v>
      </c>
      <c r="T1053" s="385" t="s">
        <v>929</v>
      </c>
      <c r="U1053" s="385" t="s">
        <v>5161</v>
      </c>
      <c r="V1053" s="385" t="s">
        <v>101</v>
      </c>
      <c r="W1053" s="385" t="s">
        <v>4710</v>
      </c>
      <c r="X1053" s="1"/>
    </row>
    <row r="1054" spans="1:24">
      <c r="A1054" s="385" t="s">
        <v>52</v>
      </c>
      <c r="B1054" s="385" t="s">
        <v>4231</v>
      </c>
      <c r="C1054" s="385" t="s">
        <v>4246</v>
      </c>
      <c r="D1054" s="385" t="s">
        <v>88</v>
      </c>
      <c r="E1054" s="385" t="s">
        <v>37</v>
      </c>
      <c r="F1054" s="385"/>
      <c r="G1054" s="385" t="s">
        <v>28</v>
      </c>
      <c r="H1054" s="385">
        <v>2026</v>
      </c>
      <c r="I1054" s="386">
        <v>46091</v>
      </c>
      <c r="J1054" s="30" t="s">
        <v>5162</v>
      </c>
      <c r="K1054" s="388" t="s">
        <v>45</v>
      </c>
      <c r="L1054" s="386">
        <v>46093</v>
      </c>
      <c r="M1054" s="385"/>
      <c r="N1054" s="386">
        <v>46093</v>
      </c>
      <c r="O1054" s="386">
        <v>46093</v>
      </c>
      <c r="P1054" s="385">
        <f>IFERROR(
    IF(
        OR(ISBLANK(I1054), ISBLANK(L1054)),
        "",
        MAX(
            1,
            IF(
                NETWORKDAYS(I1054, L1054, Holiday_Dates) &lt;= 0,
                1,
                NETWORKDAYS(I1054, L1054, Holiday_Dates) - IF(I1054 = L1054, 0, 1)
            )
        )
    ),
    ""
)</f>
        <v>2</v>
      </c>
      <c r="Q1054" s="385" t="str">
        <f>IF(
    OR(ISBLANK(L1054), ISBLANK(M1054)),
    "",
    MAX(
        1,
        IF(
            NETWORKDAYS(L1054, M1054, Holiday_Dates) &lt;= 0,
            1,
            NETWORKDAYS(L1054, M1054, Holiday_Dates) - IF(L1054 = M1054, 0, 1)
        )
    )
)</f>
        <v/>
      </c>
      <c r="R1054" s="385">
        <f>IFERROR(
    IF(
        OR(ISBLANK(N1054), AND(ISBLANK(L1054), ISBLANK(M1054))),
        "",
        MAX(
            1,
            IF(
                NETWORKDAYS(IF(NOT(ISBLANK(M1054)), M1054, L1054), N1054, Holiday_Dates) &lt;= 0,
                1,
                NETWORKDAYS(IF(NOT(ISBLANK(M1054)), M1054, L1054), N1054, Holiday_Dates)
                - IF(IF(NOT(ISBLANK(M1054)), M1054, L1054) = N1054, 0, 1)
            )
        )
    ),
    ""
)</f>
        <v>1</v>
      </c>
      <c r="S1054" s="385">
        <f>IFERROR(
    IF(
        OR(ISBLANK(N1054), ISBLANK(O1054)),
        "",
        MAX(
            1,
            IF(
                NETWORKDAYS(N1054, O1054, Holiday_Dates) &lt;= 0,
                1,
                NETWORKDAYS(N1054, O1054, Holiday_Dates) - IF(N1054 = O1054, 0, 1)
            )
        )
    ),
    ""
)</f>
        <v>1</v>
      </c>
      <c r="T1054" s="385" t="s">
        <v>929</v>
      </c>
      <c r="U1054" s="385" t="s">
        <v>4708</v>
      </c>
      <c r="V1054" s="385" t="s">
        <v>4809</v>
      </c>
      <c r="W1054" s="385" t="s">
        <v>4710</v>
      </c>
      <c r="X1054" s="1"/>
    </row>
    <row r="1055" spans="1:24">
      <c r="A1055" s="385" t="s">
        <v>52</v>
      </c>
      <c r="B1055" s="385" t="s">
        <v>4231</v>
      </c>
      <c r="C1055" s="385" t="s">
        <v>1557</v>
      </c>
      <c r="D1055" s="385" t="s">
        <v>88</v>
      </c>
      <c r="E1055" s="385" t="s">
        <v>37</v>
      </c>
      <c r="F1055" s="385"/>
      <c r="G1055" s="385" t="s">
        <v>28</v>
      </c>
      <c r="H1055" s="385">
        <v>2026</v>
      </c>
      <c r="I1055" s="386">
        <v>46091</v>
      </c>
      <c r="J1055" s="30" t="s">
        <v>5163</v>
      </c>
      <c r="K1055" s="388" t="s">
        <v>45</v>
      </c>
      <c r="L1055" s="386">
        <v>46093</v>
      </c>
      <c r="M1055" s="385"/>
      <c r="N1055" s="386">
        <v>46093</v>
      </c>
      <c r="O1055" s="386">
        <v>46093</v>
      </c>
      <c r="P1055" s="385">
        <f>IFERROR(
    IF(
        OR(ISBLANK(I1055), ISBLANK(L1055)),
        "",
        MAX(
            1,
            IF(
                NETWORKDAYS(I1055, L1055, Holiday_Dates) &lt;= 0,
                1,
                NETWORKDAYS(I1055, L1055, Holiday_Dates) - IF(I1055 = L1055, 0, 1)
            )
        )
    ),
    ""
)</f>
        <v>2</v>
      </c>
      <c r="Q1055" s="385" t="str">
        <f>IF(
    OR(ISBLANK(L1055), ISBLANK(M1055)),
    "",
    MAX(
        1,
        IF(
            NETWORKDAYS(L1055, M1055, Holiday_Dates) &lt;= 0,
            1,
            NETWORKDAYS(L1055, M1055, Holiday_Dates) - IF(L1055 = M1055, 0, 1)
        )
    )
)</f>
        <v/>
      </c>
      <c r="R1055" s="385">
        <f>IFERROR(
    IF(
        OR(ISBLANK(N1055), AND(ISBLANK(L1055), ISBLANK(M1055))),
        "",
        MAX(
            1,
            IF(
                NETWORKDAYS(IF(NOT(ISBLANK(M1055)), M1055, L1055), N1055, Holiday_Dates) &lt;= 0,
                1,
                NETWORKDAYS(IF(NOT(ISBLANK(M1055)), M1055, L1055), N1055, Holiday_Dates)
                - IF(IF(NOT(ISBLANK(M1055)), M1055, L1055) = N1055, 0, 1)
            )
        )
    ),
    ""
)</f>
        <v>1</v>
      </c>
      <c r="S1055" s="385">
        <f>IFERROR(
    IF(
        OR(ISBLANK(N1055), ISBLANK(O1055)),
        "",
        MAX(
            1,
            IF(
                NETWORKDAYS(N1055, O1055, Holiday_Dates) &lt;= 0,
                1,
                NETWORKDAYS(N1055, O1055, Holiday_Dates) - IF(N1055 = O1055, 0, 1)
            )
        )
    ),
    ""
)</f>
        <v>1</v>
      </c>
      <c r="T1055" s="385" t="s">
        <v>929</v>
      </c>
      <c r="U1055" s="385" t="s">
        <v>5164</v>
      </c>
      <c r="V1055" s="385" t="s">
        <v>5165</v>
      </c>
      <c r="W1055" s="385" t="s">
        <v>4710</v>
      </c>
      <c r="X1055" s="1"/>
    </row>
    <row r="1056" spans="1:24">
      <c r="A1056" s="385" t="s">
        <v>65</v>
      </c>
      <c r="B1056" s="385" t="s">
        <v>1314</v>
      </c>
      <c r="C1056" s="385" t="s">
        <v>2792</v>
      </c>
      <c r="D1056" s="385" t="s">
        <v>88</v>
      </c>
      <c r="E1056" s="385"/>
      <c r="F1056" s="385"/>
      <c r="G1056" s="385"/>
      <c r="H1056" s="385">
        <v>2024</v>
      </c>
      <c r="I1056" s="386">
        <v>45504</v>
      </c>
      <c r="J1056" s="30"/>
      <c r="K1056" s="385"/>
      <c r="L1056" s="385"/>
      <c r="M1056" s="385"/>
      <c r="N1056" s="385"/>
      <c r="O1056" s="385"/>
      <c r="P1056" s="385" t="str">
        <f>IFERROR(
    IF(
        OR(ISBLANK(I1056), ISBLANK(L1056)),
        "",
        MAX(
            1,
            IF(
                NETWORKDAYS(I1056, L1056, Holiday_Dates) &lt;= 0,
                1,
                NETWORKDAYS(I1056, L1056, Holiday_Dates) - IF(I1056 = L1056, 0, 1)
            )
        )
    ),
    ""
)</f>
        <v/>
      </c>
      <c r="Q1056" s="385" t="str">
        <f>IF(
    OR(ISBLANK(L1056), ISBLANK(M1056)),
    "",
    MAX(
        1,
        IF(
            NETWORKDAYS(L1056, M1056, Holiday_Dates) &lt;= 0,
            1,
            NETWORKDAYS(L1056, M1056, Holiday_Dates) - IF(L1056 = M1056, 0, 1)
        )
    )
)</f>
        <v/>
      </c>
      <c r="R1056" s="385" t="str">
        <f>IFERROR(
    IF(
        OR(ISBLANK(N1056), AND(ISBLANK(L1056), ISBLANK(M1056))),
        "",
        MAX(
            1,
            IF(
                NETWORKDAYS(IF(NOT(ISBLANK(M1056)), M1056, L1056), N1056, Holiday_Dates) &lt;= 0,
                1,
                NETWORKDAYS(IF(NOT(ISBLANK(M1056)), M1056, L1056), N1056, Holiday_Dates)
                - IF(IF(NOT(ISBLANK(M1056)), M1056, L1056) = N1056, 0, 1)
            )
        )
    ),
    ""
)</f>
        <v/>
      </c>
      <c r="S1056" s="385" t="str">
        <f>IFERROR(
    IF(
        OR(ISBLANK(N1056), ISBLANK(O1056)),
        "",
        MAX(
            1,
            IF(
                NETWORKDAYS(N1056, O1056, Holiday_Dates) &lt;= 0,
                1,
                NETWORKDAYS(N1056, O1056, Holiday_Dates) - IF(N1056 = O1056, 0, 1)
            )
        )
    ),
    ""
)</f>
        <v/>
      </c>
      <c r="T1056" s="385"/>
      <c r="U1056" s="385" t="s">
        <v>4</v>
      </c>
      <c r="V1056" s="385" t="s">
        <v>101</v>
      </c>
      <c r="W1056" s="385" t="s">
        <v>1436</v>
      </c>
      <c r="X1056" s="1"/>
    </row>
    <row r="1057" spans="1:24">
      <c r="A1057" s="385" t="s">
        <v>65</v>
      </c>
      <c r="B1057" s="385" t="s">
        <v>516</v>
      </c>
      <c r="C1057" s="385" t="s">
        <v>3196</v>
      </c>
      <c r="D1057" s="385" t="s">
        <v>89</v>
      </c>
      <c r="E1057" s="385" t="s">
        <v>29</v>
      </c>
      <c r="F1057" s="385"/>
      <c r="G1057" s="385" t="s">
        <v>130</v>
      </c>
      <c r="H1057" s="385"/>
      <c r="I1057" s="385"/>
      <c r="J1057" s="30"/>
      <c r="K1057" s="385" t="s">
        <v>57</v>
      </c>
      <c r="L1057" s="385"/>
      <c r="M1057" s="385"/>
      <c r="N1057" s="385"/>
      <c r="O1057" s="385"/>
      <c r="P1057" s="385" t="str">
        <f>IFERROR(
    IF(
        OR(ISBLANK(I1057), ISBLANK(L1057)),
        "",
        MAX(
            1,
            IF(
                NETWORKDAYS(I1057, L1057, Holiday_Dates) &lt;= 0,
                1,
                NETWORKDAYS(I1057, L1057, Holiday_Dates) - IF(I1057 = L1057, 0, 1)
            )
        )
    ),
    ""
)</f>
        <v/>
      </c>
      <c r="Q1057" s="385" t="str">
        <f>IF(
    OR(ISBLANK(L1057), ISBLANK(M1057)),
    "",
    MAX(
        1,
        IF(
            NETWORKDAYS(L1057, M1057, Holiday_Dates) &lt;= 0,
            1,
            NETWORKDAYS(L1057, M1057, Holiday_Dates) - IF(L1057 = M1057, 0, 1)
        )
    )
)</f>
        <v/>
      </c>
      <c r="R1057" s="385" t="str">
        <f>IFERROR(
    IF(
        OR(ISBLANK(N1057), AND(ISBLANK(L1057), ISBLANK(M1057))),
        "",
        MAX(
            1,
            IF(
                NETWORKDAYS(IF(NOT(ISBLANK(M1057)), M1057, L1057), N1057, Holiday_Dates) &lt;= 0,
                1,
                NETWORKDAYS(IF(NOT(ISBLANK(M1057)), M1057, L1057), N1057, Holiday_Dates)
                - IF(IF(NOT(ISBLANK(M1057)), M1057, L1057) = N1057, 0, 1)
            )
        )
    ),
    ""
)</f>
        <v/>
      </c>
      <c r="S1057" s="385" t="str">
        <f>IFERROR(
    IF(
        OR(ISBLANK(N1057), ISBLANK(O1057)),
        "",
        MAX(
            1,
            IF(
                NETWORKDAYS(N1057, O1057, Holiday_Dates) &lt;= 0,
                1,
                NETWORKDAYS(N1057, O1057, Holiday_Dates) - IF(N1057 = O1057, 0, 1)
            )
        )
    ),
    ""
)</f>
        <v/>
      </c>
      <c r="T1057" s="385"/>
      <c r="U1057" s="385"/>
      <c r="V1057" s="385"/>
      <c r="W1057" s="385" t="s">
        <v>4710</v>
      </c>
      <c r="X1057" s="1"/>
    </row>
    <row r="1058" spans="1:24">
      <c r="A1058" s="385" t="s">
        <v>65</v>
      </c>
      <c r="B1058" s="385" t="s">
        <v>516</v>
      </c>
      <c r="C1058" s="385" t="s">
        <v>3197</v>
      </c>
      <c r="D1058" s="385" t="s">
        <v>89</v>
      </c>
      <c r="E1058" s="385" t="s">
        <v>29</v>
      </c>
      <c r="F1058" s="385"/>
      <c r="G1058" s="385" t="s">
        <v>130</v>
      </c>
      <c r="H1058" s="385"/>
      <c r="I1058" s="385"/>
      <c r="J1058" s="30"/>
      <c r="K1058" s="385" t="s">
        <v>57</v>
      </c>
      <c r="L1058" s="385"/>
      <c r="M1058" s="385"/>
      <c r="N1058" s="385"/>
      <c r="O1058" s="385"/>
      <c r="P1058" s="385" t="str">
        <f>IFERROR(
    IF(
        OR(ISBLANK(I1058), ISBLANK(L1058)),
        "",
        MAX(
            1,
            IF(
                NETWORKDAYS(I1058, L1058, Holiday_Dates) &lt;= 0,
                1,
                NETWORKDAYS(I1058, L1058, Holiday_Dates) - IF(I1058 = L1058, 0, 1)
            )
        )
    ),
    ""
)</f>
        <v/>
      </c>
      <c r="Q1058" s="385" t="str">
        <f>IF(
    OR(ISBLANK(L1058), ISBLANK(M1058)),
    "",
    MAX(
        1,
        IF(
            NETWORKDAYS(L1058, M1058, Holiday_Dates) &lt;= 0,
            1,
            NETWORKDAYS(L1058, M1058, Holiday_Dates) - IF(L1058 = M1058, 0, 1)
        )
    )
)</f>
        <v/>
      </c>
      <c r="R1058" s="385" t="str">
        <f>IFERROR(
    IF(
        OR(ISBLANK(N1058), AND(ISBLANK(L1058), ISBLANK(M1058))),
        "",
        MAX(
            1,
            IF(
                NETWORKDAYS(IF(NOT(ISBLANK(M1058)), M1058, L1058), N1058, Holiday_Dates) &lt;= 0,
                1,
                NETWORKDAYS(IF(NOT(ISBLANK(M1058)), M1058, L1058), N1058, Holiday_Dates)
                - IF(IF(NOT(ISBLANK(M1058)), M1058, L1058) = N1058, 0, 1)
            )
        )
    ),
    ""
)</f>
        <v/>
      </c>
      <c r="S1058" s="385" t="str">
        <f>IFERROR(
    IF(
        OR(ISBLANK(N1058), ISBLANK(O1058)),
        "",
        MAX(
            1,
            IF(
                NETWORKDAYS(N1058, O1058, Holiday_Dates) &lt;= 0,
                1,
                NETWORKDAYS(N1058, O1058, Holiday_Dates) - IF(N1058 = O1058, 0, 1)
            )
        )
    ),
    ""
)</f>
        <v/>
      </c>
      <c r="T1058" s="385"/>
      <c r="U1058" s="385"/>
      <c r="V1058" s="385"/>
      <c r="W1058" s="385" t="s">
        <v>4710</v>
      </c>
      <c r="X1058" s="1"/>
    </row>
    <row r="1059" spans="1:24">
      <c r="A1059" s="385" t="s">
        <v>65</v>
      </c>
      <c r="B1059" s="385" t="s">
        <v>1314</v>
      </c>
      <c r="C1059" s="385" t="s">
        <v>2815</v>
      </c>
      <c r="D1059" s="385" t="s">
        <v>88</v>
      </c>
      <c r="E1059" s="385"/>
      <c r="F1059" s="385"/>
      <c r="G1059" s="385"/>
      <c r="H1059" s="385">
        <v>2024</v>
      </c>
      <c r="I1059" s="386">
        <v>45595</v>
      </c>
      <c r="J1059" s="30"/>
      <c r="K1059" s="385"/>
      <c r="L1059" s="385"/>
      <c r="M1059" s="385"/>
      <c r="N1059" s="385"/>
      <c r="O1059" s="385"/>
      <c r="P1059" s="385" t="str">
        <f>IFERROR(
    IF(
        OR(ISBLANK(I1059), ISBLANK(L1059)),
        "",
        MAX(
            1,
            IF(
                NETWORKDAYS(I1059, L1059, Holiday_Dates) &lt;= 0,
                1,
                NETWORKDAYS(I1059, L1059, Holiday_Dates) - IF(I1059 = L1059, 0, 1)
            )
        )
    ),
    ""
)</f>
        <v/>
      </c>
      <c r="Q1059" s="385" t="str">
        <f>IF(
    OR(ISBLANK(L1059), ISBLANK(M1059)),
    "",
    MAX(
        1,
        IF(
            NETWORKDAYS(L1059, M1059, Holiday_Dates) &lt;= 0,
            1,
            NETWORKDAYS(L1059, M1059, Holiday_Dates) - IF(L1059 = M1059, 0, 1)
        )
    )
)</f>
        <v/>
      </c>
      <c r="R1059" s="385" t="str">
        <f>IFERROR(
    IF(
        OR(ISBLANK(N1059), AND(ISBLANK(L1059), ISBLANK(M1059))),
        "",
        MAX(
            1,
            IF(
                NETWORKDAYS(IF(NOT(ISBLANK(M1059)), M1059, L1059), N1059, Holiday_Dates) &lt;= 0,
                1,
                NETWORKDAYS(IF(NOT(ISBLANK(M1059)), M1059, L1059), N1059, Holiday_Dates)
                - IF(IF(NOT(ISBLANK(M1059)), M1059, L1059) = N1059, 0, 1)
            )
        )
    ),
    ""
)</f>
        <v/>
      </c>
      <c r="S1059" s="385" t="str">
        <f>IFERROR(
    IF(
        OR(ISBLANK(N1059), ISBLANK(O1059)),
        "",
        MAX(
            1,
            IF(
                NETWORKDAYS(N1059, O1059, Holiday_Dates) &lt;= 0,
                1,
                NETWORKDAYS(N1059, O1059, Holiday_Dates) - IF(N1059 = O1059, 0, 1)
            )
        )
    ),
    ""
)</f>
        <v/>
      </c>
      <c r="T1059" s="385"/>
      <c r="U1059" s="385" t="s">
        <v>672</v>
      </c>
      <c r="V1059" s="385" t="s">
        <v>1676</v>
      </c>
      <c r="W1059" s="385" t="s">
        <v>1436</v>
      </c>
      <c r="X1059" s="1"/>
    </row>
    <row r="1060" spans="1:24">
      <c r="A1060" s="385" t="s">
        <v>65</v>
      </c>
      <c r="B1060" s="385" t="s">
        <v>1314</v>
      </c>
      <c r="C1060" s="385" t="s">
        <v>2817</v>
      </c>
      <c r="D1060" s="385" t="s">
        <v>88</v>
      </c>
      <c r="E1060" s="385"/>
      <c r="F1060" s="385"/>
      <c r="G1060" s="385"/>
      <c r="H1060" s="385">
        <v>2024</v>
      </c>
      <c r="I1060" s="386">
        <v>45421</v>
      </c>
      <c r="J1060" s="30"/>
      <c r="K1060" s="385"/>
      <c r="L1060" s="385"/>
      <c r="M1060" s="385"/>
      <c r="N1060" s="385"/>
      <c r="O1060" s="385"/>
      <c r="P1060" s="385" t="str">
        <f>IFERROR(
    IF(
        OR(ISBLANK(I1060), ISBLANK(L1060)),
        "",
        MAX(
            1,
            IF(
                NETWORKDAYS(I1060, L1060, Holiday_Dates) &lt;= 0,
                1,
                NETWORKDAYS(I1060, L1060, Holiday_Dates) - IF(I1060 = L1060, 0, 1)
            )
        )
    ),
    ""
)</f>
        <v/>
      </c>
      <c r="Q1060" s="385" t="str">
        <f>IF(
    OR(ISBLANK(L1060), ISBLANK(M1060)),
    "",
    MAX(
        1,
        IF(
            NETWORKDAYS(L1060, M1060, Holiday_Dates) &lt;= 0,
            1,
            NETWORKDAYS(L1060, M1060, Holiday_Dates) - IF(L1060 = M1060, 0, 1)
        )
    )
)</f>
        <v/>
      </c>
      <c r="R1060" s="385" t="str">
        <f>IFERROR(
    IF(
        OR(ISBLANK(N1060), AND(ISBLANK(L1060), ISBLANK(M1060))),
        "",
        MAX(
            1,
            IF(
                NETWORKDAYS(IF(NOT(ISBLANK(M1060)), M1060, L1060), N1060, Holiday_Dates) &lt;= 0,
                1,
                NETWORKDAYS(IF(NOT(ISBLANK(M1060)), M1060, L1060), N1060, Holiday_Dates)
                - IF(IF(NOT(ISBLANK(M1060)), M1060, L1060) = N1060, 0, 1)
            )
        )
    ),
    ""
)</f>
        <v/>
      </c>
      <c r="S1060" s="385" t="str">
        <f>IFERROR(
    IF(
        OR(ISBLANK(N1060), ISBLANK(O1060)),
        "",
        MAX(
            1,
            IF(
                NETWORKDAYS(N1060, O1060, Holiday_Dates) &lt;= 0,
                1,
                NETWORKDAYS(N1060, O1060, Holiday_Dates) - IF(N1060 = O1060, 0, 1)
            )
        )
    ),
    ""
)</f>
        <v/>
      </c>
      <c r="T1060" s="385"/>
      <c r="U1060" s="385" t="s">
        <v>672</v>
      </c>
      <c r="V1060" s="385"/>
      <c r="W1060" s="385" t="s">
        <v>1436</v>
      </c>
      <c r="X1060" s="1"/>
    </row>
    <row r="1061" spans="1:24">
      <c r="A1061" s="385" t="s">
        <v>65</v>
      </c>
      <c r="B1061" s="385" t="s">
        <v>1314</v>
      </c>
      <c r="C1061" s="385" t="s">
        <v>2819</v>
      </c>
      <c r="D1061" s="385" t="s">
        <v>88</v>
      </c>
      <c r="E1061" s="385"/>
      <c r="F1061" s="385"/>
      <c r="G1061" s="385"/>
      <c r="H1061" s="385">
        <v>2024</v>
      </c>
      <c r="I1061" s="386">
        <v>45316</v>
      </c>
      <c r="J1061" s="30"/>
      <c r="K1061" s="385"/>
      <c r="L1061" s="385"/>
      <c r="M1061" s="385"/>
      <c r="N1061" s="385"/>
      <c r="O1061" s="385"/>
      <c r="P1061" s="385" t="str">
        <f>IFERROR(
    IF(
        OR(ISBLANK(I1061), ISBLANK(L1061)),
        "",
        MAX(
            1,
            IF(
                NETWORKDAYS(I1061, L1061, Holiday_Dates) &lt;= 0,
                1,
                NETWORKDAYS(I1061, L1061, Holiday_Dates) - IF(I1061 = L1061, 0, 1)
            )
        )
    ),
    ""
)</f>
        <v/>
      </c>
      <c r="Q1061" s="385" t="str">
        <f>IF(
    OR(ISBLANK(L1061), ISBLANK(M1061)),
    "",
    MAX(
        1,
        IF(
            NETWORKDAYS(L1061, M1061, Holiday_Dates) &lt;= 0,
            1,
            NETWORKDAYS(L1061, M1061, Holiday_Dates) - IF(L1061 = M1061, 0, 1)
        )
    )
)</f>
        <v/>
      </c>
      <c r="R1061" s="385" t="str">
        <f>IFERROR(
    IF(
        OR(ISBLANK(N1061), AND(ISBLANK(L1061), ISBLANK(M1061))),
        "",
        MAX(
            1,
            IF(
                NETWORKDAYS(IF(NOT(ISBLANK(M1061)), M1061, L1061), N1061, Holiday_Dates) &lt;= 0,
                1,
                NETWORKDAYS(IF(NOT(ISBLANK(M1061)), M1061, L1061), N1061, Holiday_Dates)
                - IF(IF(NOT(ISBLANK(M1061)), M1061, L1061) = N1061, 0, 1)
            )
        )
    ),
    ""
)</f>
        <v/>
      </c>
      <c r="S1061" s="385" t="str">
        <f>IFERROR(
    IF(
        OR(ISBLANK(N1061), ISBLANK(O1061)),
        "",
        MAX(
            1,
            IF(
                NETWORKDAYS(N1061, O1061, Holiday_Dates) &lt;= 0,
                1,
                NETWORKDAYS(N1061, O1061, Holiday_Dates) - IF(N1061 = O1061, 0, 1)
            )
        )
    ),
    ""
)</f>
        <v/>
      </c>
      <c r="T1061" s="385"/>
      <c r="U1061" s="385" t="s">
        <v>672</v>
      </c>
      <c r="V1061" s="385"/>
      <c r="W1061" s="385" t="s">
        <v>1436</v>
      </c>
      <c r="X1061" s="1"/>
    </row>
    <row r="1062" spans="1:24">
      <c r="A1062" s="385" t="s">
        <v>51</v>
      </c>
      <c r="B1062" s="607" t="s">
        <v>354</v>
      </c>
      <c r="C1062" s="385" t="s">
        <v>3647</v>
      </c>
      <c r="D1062" s="385" t="s">
        <v>88</v>
      </c>
      <c r="E1062" s="385" t="s">
        <v>145</v>
      </c>
      <c r="F1062" s="385"/>
      <c r="G1062" s="385" t="s">
        <v>133</v>
      </c>
      <c r="H1062" s="385"/>
      <c r="I1062" s="385"/>
      <c r="J1062" s="30"/>
      <c r="K1062" s="608" t="s">
        <v>57</v>
      </c>
      <c r="L1062" s="385"/>
      <c r="M1062" s="385"/>
      <c r="N1062" s="385"/>
      <c r="O1062" s="385"/>
      <c r="P1062" s="385" t="str">
        <f>IFERROR(
    IF(
        OR(ISBLANK(I1062), ISBLANK(L1062)),
        "",
        MAX(
            1,
            IF(
                NETWORKDAYS(I1062, L1062, Holiday_Dates) &lt;= 0,
                1,
                NETWORKDAYS(I1062, L1062, Holiday_Dates) - IF(I1062 = L1062, 0, 1)
            )
        )
    ),
    ""
)</f>
        <v/>
      </c>
      <c r="Q1062" s="385" t="str">
        <f>IF(
    OR(ISBLANK(L1062), ISBLANK(M1062)),
    "",
    MAX(
        1,
        IF(
            NETWORKDAYS(L1062, M1062, Holiday_Dates) &lt;= 0,
            1,
            NETWORKDAYS(L1062, M1062, Holiday_Dates) - IF(L1062 = M1062, 0, 1)
        )
    )
)</f>
        <v/>
      </c>
      <c r="R1062" s="385" t="str">
        <f>IFERROR(
    IF(
        OR(ISBLANK(N1062), AND(ISBLANK(L1062), ISBLANK(M1062))),
        "",
        MAX(
            1,
            IF(
                NETWORKDAYS(IF(NOT(ISBLANK(M1062)), M1062, L1062), N1062, Holiday_Dates) &lt;= 0,
                1,
                NETWORKDAYS(IF(NOT(ISBLANK(M1062)), M1062, L1062), N1062, Holiday_Dates)
                - IF(IF(NOT(ISBLANK(M1062)), M1062, L1062) = N1062, 0, 1)
            )
        )
    ),
    ""
)</f>
        <v/>
      </c>
      <c r="S1062" s="385" t="str">
        <f>IFERROR(
    IF(
        OR(ISBLANK(N1062), ISBLANK(O1062)),
        "",
        MAX(
            1,
            IF(
                NETWORKDAYS(N1062, O1062, Holiday_Dates) &lt;= 0,
                1,
                NETWORKDAYS(N1062, O1062, Holiday_Dates) - IF(N1062 = O1062, 0, 1)
            )
        )
    ),
    ""
)</f>
        <v/>
      </c>
      <c r="T1062" s="385"/>
      <c r="U1062" s="385"/>
      <c r="V1062" s="385"/>
      <c r="W1062" s="385" t="s">
        <v>4710</v>
      </c>
      <c r="X1062" s="1"/>
    </row>
    <row r="1063" spans="1:24">
      <c r="A1063" s="385" t="s">
        <v>65</v>
      </c>
      <c r="B1063" s="385" t="s">
        <v>1314</v>
      </c>
      <c r="C1063" s="385" t="s">
        <v>5166</v>
      </c>
      <c r="D1063" s="385" t="s">
        <v>88</v>
      </c>
      <c r="E1063" s="385"/>
      <c r="F1063" s="385"/>
      <c r="G1063" s="385"/>
      <c r="H1063" s="385">
        <v>2025</v>
      </c>
      <c r="I1063" s="386">
        <v>45805</v>
      </c>
      <c r="J1063" s="30" t="s">
        <v>5167</v>
      </c>
      <c r="K1063" s="385"/>
      <c r="L1063" s="385"/>
      <c r="M1063" s="385"/>
      <c r="N1063" s="385"/>
      <c r="O1063" s="385"/>
      <c r="P1063" s="385" t="str">
        <f>IFERROR(
    IF(
        OR(ISBLANK(I1063), ISBLANK(L1063)),
        "",
        MAX(
            1,
            IF(
                NETWORKDAYS(I1063, L1063, Holiday_Dates) &lt;= 0,
                1,
                NETWORKDAYS(I1063, L1063, Holiday_Dates) - IF(I1063 = L1063, 0, 1)
            )
        )
    ),
    ""
)</f>
        <v/>
      </c>
      <c r="Q1063" s="385" t="str">
        <f>IF(
    OR(ISBLANK(L1063), ISBLANK(M1063)),
    "",
    MAX(
        1,
        IF(
            NETWORKDAYS(L1063, M1063, Holiday_Dates) &lt;= 0,
            1,
            NETWORKDAYS(L1063, M1063, Holiday_Dates) - IF(L1063 = M1063, 0, 1)
        )
    )
)</f>
        <v/>
      </c>
      <c r="R1063" s="385" t="str">
        <f>IFERROR(
    IF(
        OR(ISBLANK(N1063), AND(ISBLANK(L1063), ISBLANK(M1063))),
        "",
        MAX(
            1,
            IF(
                NETWORKDAYS(IF(NOT(ISBLANK(M1063)), M1063, L1063), N1063, Holiday_Dates) &lt;= 0,
                1,
                NETWORKDAYS(IF(NOT(ISBLANK(M1063)), M1063, L1063), N1063, Holiday_Dates)
                - IF(IF(NOT(ISBLANK(M1063)), M1063, L1063) = N1063, 0, 1)
            )
        )
    ),
    ""
)</f>
        <v/>
      </c>
      <c r="S1063" s="385" t="str">
        <f>IFERROR(
    IF(
        OR(ISBLANK(N1063), ISBLANK(O1063)),
        "",
        MAX(
            1,
            IF(
                NETWORKDAYS(N1063, O1063, Holiday_Dates) &lt;= 0,
                1,
                NETWORKDAYS(N1063, O1063, Holiday_Dates) - IF(N1063 = O1063, 0, 1)
            )
        )
    ),
    ""
)</f>
        <v/>
      </c>
      <c r="T1063" s="385"/>
      <c r="U1063" s="385" t="s">
        <v>672</v>
      </c>
      <c r="V1063" s="385" t="s">
        <v>101</v>
      </c>
      <c r="W1063" s="385" t="s">
        <v>1436</v>
      </c>
      <c r="X1063" s="1"/>
    </row>
    <row r="1064" spans="1:24">
      <c r="A1064" s="385" t="s">
        <v>65</v>
      </c>
      <c r="B1064" s="385" t="s">
        <v>1314</v>
      </c>
      <c r="C1064" s="385" t="s">
        <v>5168</v>
      </c>
      <c r="D1064" s="385" t="s">
        <v>88</v>
      </c>
      <c r="E1064" s="385"/>
      <c r="F1064" s="385"/>
      <c r="G1064" s="385"/>
      <c r="H1064" s="385">
        <v>2025</v>
      </c>
      <c r="I1064" s="386">
        <v>45805</v>
      </c>
      <c r="J1064" s="30" t="s">
        <v>5169</v>
      </c>
      <c r="K1064" s="385"/>
      <c r="L1064" s="385"/>
      <c r="M1064" s="385"/>
      <c r="N1064" s="385"/>
      <c r="O1064" s="385"/>
      <c r="P1064" s="385" t="str">
        <f>IFERROR(
    IF(
        OR(ISBLANK(I1064), ISBLANK(L1064)),
        "",
        MAX(
            1,
            IF(
                NETWORKDAYS(I1064, L1064, Holiday_Dates) &lt;= 0,
                1,
                NETWORKDAYS(I1064, L1064, Holiday_Dates) - IF(I1064 = L1064, 0, 1)
            )
        )
    ),
    ""
)</f>
        <v/>
      </c>
      <c r="Q1064" s="385" t="str">
        <f>IF(
    OR(ISBLANK(L1064), ISBLANK(M1064)),
    "",
    MAX(
        1,
        IF(
            NETWORKDAYS(L1064, M1064, Holiday_Dates) &lt;= 0,
            1,
            NETWORKDAYS(L1064, M1064, Holiday_Dates) - IF(L1064 = M1064, 0, 1)
        )
    )
)</f>
        <v/>
      </c>
      <c r="R1064" s="385" t="str">
        <f>IFERROR(
    IF(
        OR(ISBLANK(N1064), AND(ISBLANK(L1064), ISBLANK(M1064))),
        "",
        MAX(
            1,
            IF(
                NETWORKDAYS(IF(NOT(ISBLANK(M1064)), M1064, L1064), N1064, Holiday_Dates) &lt;= 0,
                1,
                NETWORKDAYS(IF(NOT(ISBLANK(M1064)), M1064, L1064), N1064, Holiday_Dates)
                - IF(IF(NOT(ISBLANK(M1064)), M1064, L1064) = N1064, 0, 1)
            )
        )
    ),
    ""
)</f>
        <v/>
      </c>
      <c r="S1064" s="385" t="str">
        <f>IFERROR(
    IF(
        OR(ISBLANK(N1064), ISBLANK(O1064)),
        "",
        MAX(
            1,
            IF(
                NETWORKDAYS(N1064, O1064, Holiday_Dates) &lt;= 0,
                1,
                NETWORKDAYS(N1064, O1064, Holiday_Dates) - IF(N1064 = O1064, 0, 1)
            )
        )
    ),
    ""
)</f>
        <v/>
      </c>
      <c r="T1064" s="385"/>
      <c r="U1064" s="385" t="s">
        <v>672</v>
      </c>
      <c r="V1064" s="385" t="s">
        <v>101</v>
      </c>
      <c r="W1064" s="385" t="s">
        <v>1436</v>
      </c>
      <c r="X1064" s="1"/>
    </row>
    <row r="1065" spans="1:24">
      <c r="A1065" s="385" t="s">
        <v>49</v>
      </c>
      <c r="B1065" s="385" t="s">
        <v>2218</v>
      </c>
      <c r="C1065" s="385" t="s">
        <v>2219</v>
      </c>
      <c r="D1065" s="385" t="s">
        <v>88</v>
      </c>
      <c r="E1065" s="385" t="s">
        <v>377</v>
      </c>
      <c r="F1065" s="385"/>
      <c r="G1065" s="385" t="s">
        <v>128</v>
      </c>
      <c r="H1065" s="385"/>
      <c r="I1065" s="385"/>
      <c r="J1065" s="30"/>
      <c r="K1065" s="385" t="s">
        <v>57</v>
      </c>
      <c r="L1065" s="385"/>
      <c r="M1065" s="385"/>
      <c r="N1065" s="385"/>
      <c r="O1065" s="385"/>
      <c r="P1065" s="385" t="str">
        <f>IFERROR(
    IF(
        OR(ISBLANK(I1065), ISBLANK(L1065)),
        "",
        MAX(
            1,
            IF(
                NETWORKDAYS(I1065, L1065, Holiday_Dates) &lt;= 0,
                1,
                NETWORKDAYS(I1065, L1065, Holiday_Dates) - IF(I1065 = L1065, 0, 1)
            )
        )
    ),
    ""
)</f>
        <v/>
      </c>
      <c r="Q1065" s="385" t="str">
        <f>IF(
    OR(ISBLANK(L1065), ISBLANK(M1065)),
    "",
    MAX(
        1,
        IF(
            NETWORKDAYS(L1065, M1065, Holiday_Dates) &lt;= 0,
            1,
            NETWORKDAYS(L1065, M1065, Holiday_Dates) - IF(L1065 = M1065, 0, 1)
        )
    )
)</f>
        <v/>
      </c>
      <c r="R1065" s="385" t="str">
        <f>IFERROR(
    IF(
        OR(ISBLANK(N1065), AND(ISBLANK(L1065), ISBLANK(M1065))),
        "",
        MAX(
            1,
            IF(
                NETWORKDAYS(IF(NOT(ISBLANK(M1065)), M1065, L1065), N1065, Holiday_Dates) &lt;= 0,
                1,
                NETWORKDAYS(IF(NOT(ISBLANK(M1065)), M1065, L1065), N1065, Holiday_Dates)
                - IF(IF(NOT(ISBLANK(M1065)), M1065, L1065) = N1065, 0, 1)
            )
        )
    ),
    ""
)</f>
        <v/>
      </c>
      <c r="S1065" s="385" t="str">
        <f>IFERROR(
    IF(
        OR(ISBLANK(N1065), ISBLANK(O1065)),
        "",
        MAX(
            1,
            IF(
                NETWORKDAYS(N1065, O1065, Holiday_Dates) &lt;= 0,
                1,
                NETWORKDAYS(N1065, O1065, Holiday_Dates) - IF(N1065 = O1065, 0, 1)
            )
        )
    ),
    ""
)</f>
        <v/>
      </c>
      <c r="T1065" s="385"/>
      <c r="U1065" s="385"/>
      <c r="V1065" s="385"/>
      <c r="W1065" s="385" t="s">
        <v>4710</v>
      </c>
      <c r="X1065" s="1"/>
    </row>
    <row r="1066" spans="1:24">
      <c r="A1066" s="385" t="s">
        <v>49</v>
      </c>
      <c r="B1066" s="385" t="s">
        <v>2218</v>
      </c>
      <c r="C1066" s="385" t="s">
        <v>2220</v>
      </c>
      <c r="D1066" s="385" t="s">
        <v>88</v>
      </c>
      <c r="E1066" s="385" t="s">
        <v>377</v>
      </c>
      <c r="F1066" s="385"/>
      <c r="G1066" s="385" t="s">
        <v>128</v>
      </c>
      <c r="H1066" s="385"/>
      <c r="I1066" s="385"/>
      <c r="J1066" s="30"/>
      <c r="K1066" s="385" t="s">
        <v>57</v>
      </c>
      <c r="L1066" s="385"/>
      <c r="M1066" s="385"/>
      <c r="N1066" s="385"/>
      <c r="O1066" s="385"/>
      <c r="P1066" s="385" t="str">
        <f>IFERROR(
    IF(
        OR(ISBLANK(I1066), ISBLANK(L1066)),
        "",
        MAX(
            1,
            IF(
                NETWORKDAYS(I1066, L1066, Holiday_Dates) &lt;= 0,
                1,
                NETWORKDAYS(I1066, L1066, Holiday_Dates) - IF(I1066 = L1066, 0, 1)
            )
        )
    ),
    ""
)</f>
        <v/>
      </c>
      <c r="Q1066" s="385" t="str">
        <f>IF(
    OR(ISBLANK(L1066), ISBLANK(M1066)),
    "",
    MAX(
        1,
        IF(
            NETWORKDAYS(L1066, M1066, Holiday_Dates) &lt;= 0,
            1,
            NETWORKDAYS(L1066, M1066, Holiday_Dates) - IF(L1066 = M1066, 0, 1)
        )
    )
)</f>
        <v/>
      </c>
      <c r="R1066" s="385" t="str">
        <f>IFERROR(
    IF(
        OR(ISBLANK(N1066), AND(ISBLANK(L1066), ISBLANK(M1066))),
        "",
        MAX(
            1,
            IF(
                NETWORKDAYS(IF(NOT(ISBLANK(M1066)), M1066, L1066), N1066, Holiday_Dates) &lt;= 0,
                1,
                NETWORKDAYS(IF(NOT(ISBLANK(M1066)), M1066, L1066), N1066, Holiday_Dates)
                - IF(IF(NOT(ISBLANK(M1066)), M1066, L1066) = N1066, 0, 1)
            )
        )
    ),
    ""
)</f>
        <v/>
      </c>
      <c r="S1066" s="385" t="str">
        <f>IFERROR(
    IF(
        OR(ISBLANK(N1066), ISBLANK(O1066)),
        "",
        MAX(
            1,
            IF(
                NETWORKDAYS(N1066, O1066, Holiday_Dates) &lt;= 0,
                1,
                NETWORKDAYS(N1066, O1066, Holiday_Dates) - IF(N1066 = O1066, 0, 1)
            )
        )
    ),
    ""
)</f>
        <v/>
      </c>
      <c r="T1066" s="385"/>
      <c r="U1066" s="385"/>
      <c r="V1066" s="385"/>
      <c r="W1066" s="385" t="s">
        <v>4710</v>
      </c>
      <c r="X1066" s="1"/>
    </row>
    <row r="1067" spans="1:24">
      <c r="A1067" s="385" t="s">
        <v>65</v>
      </c>
      <c r="B1067" s="385" t="s">
        <v>1314</v>
      </c>
      <c r="C1067" s="385" t="s">
        <v>2824</v>
      </c>
      <c r="D1067" s="385" t="s">
        <v>88</v>
      </c>
      <c r="E1067" s="385"/>
      <c r="F1067" s="385"/>
      <c r="G1067" s="385"/>
      <c r="H1067" s="385">
        <v>2025</v>
      </c>
      <c r="I1067" s="386">
        <v>45876</v>
      </c>
      <c r="J1067" s="30" t="s">
        <v>5170</v>
      </c>
      <c r="K1067" s="385"/>
      <c r="L1067" s="385"/>
      <c r="M1067" s="385"/>
      <c r="N1067" s="385"/>
      <c r="O1067" s="385"/>
      <c r="P1067" s="385" t="str">
        <f>IFERROR(
    IF(
        OR(ISBLANK(I1067), ISBLANK(L1067)),
        "",
        MAX(
            1,
            IF(
                NETWORKDAYS(I1067, L1067, Holiday_Dates) &lt;= 0,
                1,
                NETWORKDAYS(I1067, L1067, Holiday_Dates) - IF(I1067 = L1067, 0, 1)
            )
        )
    ),
    ""
)</f>
        <v/>
      </c>
      <c r="Q1067" s="385" t="str">
        <f>IF(
    OR(ISBLANK(L1067), ISBLANK(M1067)),
    "",
    MAX(
        1,
        IF(
            NETWORKDAYS(L1067, M1067, Holiday_Dates) &lt;= 0,
            1,
            NETWORKDAYS(L1067, M1067, Holiday_Dates) - IF(L1067 = M1067, 0, 1)
        )
    )
)</f>
        <v/>
      </c>
      <c r="R1067" s="385" t="str">
        <f>IFERROR(
    IF(
        OR(ISBLANK(N1067), AND(ISBLANK(L1067), ISBLANK(M1067))),
        "",
        MAX(
            1,
            IF(
                NETWORKDAYS(IF(NOT(ISBLANK(M1067)), M1067, L1067), N1067, Holiday_Dates) &lt;= 0,
                1,
                NETWORKDAYS(IF(NOT(ISBLANK(M1067)), M1067, L1067), N1067, Holiday_Dates)
                - IF(IF(NOT(ISBLANK(M1067)), M1067, L1067) = N1067, 0, 1)
            )
        )
    ),
    ""
)</f>
        <v/>
      </c>
      <c r="S1067" s="385" t="str">
        <f>IFERROR(
    IF(
        OR(ISBLANK(N1067), ISBLANK(O1067)),
        "",
        MAX(
            1,
            IF(
                NETWORKDAYS(N1067, O1067, Holiday_Dates) &lt;= 0,
                1,
                NETWORKDAYS(N1067, O1067, Holiday_Dates) - IF(N1067 = O1067, 0, 1)
            )
        )
    ),
    ""
)</f>
        <v/>
      </c>
      <c r="T1067" s="385"/>
      <c r="U1067" s="385" t="s">
        <v>672</v>
      </c>
      <c r="V1067" s="385" t="s">
        <v>101</v>
      </c>
      <c r="W1067" s="385" t="s">
        <v>1436</v>
      </c>
      <c r="X1067" s="1"/>
    </row>
    <row r="1068" spans="1:24">
      <c r="A1068" s="385" t="s">
        <v>65</v>
      </c>
      <c r="B1068" s="385" t="s">
        <v>1314</v>
      </c>
      <c r="C1068" s="385" t="s">
        <v>2825</v>
      </c>
      <c r="D1068" s="385" t="s">
        <v>88</v>
      </c>
      <c r="E1068" s="385"/>
      <c r="F1068" s="385"/>
      <c r="G1068" s="385"/>
      <c r="H1068" s="385">
        <v>2025</v>
      </c>
      <c r="I1068" s="386">
        <v>45912</v>
      </c>
      <c r="J1068" s="30" t="s">
        <v>5171</v>
      </c>
      <c r="K1068" s="385"/>
      <c r="L1068" s="385"/>
      <c r="M1068" s="385"/>
      <c r="N1068" s="385"/>
      <c r="O1068" s="385"/>
      <c r="P1068" s="385" t="str">
        <f>IFERROR(
    IF(
        OR(ISBLANK(I1068), ISBLANK(L1068)),
        "",
        MAX(
            1,
            IF(
                NETWORKDAYS(I1068, L1068, Holiday_Dates) &lt;= 0,
                1,
                NETWORKDAYS(I1068, L1068, Holiday_Dates) - IF(I1068 = L1068, 0, 1)
            )
        )
    ),
    ""
)</f>
        <v/>
      </c>
      <c r="Q1068" s="385" t="str">
        <f>IF(
    OR(ISBLANK(L1068), ISBLANK(M1068)),
    "",
    MAX(
        1,
        IF(
            NETWORKDAYS(L1068, M1068, Holiday_Dates) &lt;= 0,
            1,
            NETWORKDAYS(L1068, M1068, Holiday_Dates) - IF(L1068 = M1068, 0, 1)
        )
    )
)</f>
        <v/>
      </c>
      <c r="R1068" s="385" t="str">
        <f>IFERROR(
    IF(
        OR(ISBLANK(N1068), AND(ISBLANK(L1068), ISBLANK(M1068))),
        "",
        MAX(
            1,
            IF(
                NETWORKDAYS(IF(NOT(ISBLANK(M1068)), M1068, L1068), N1068, Holiday_Dates) &lt;= 0,
                1,
                NETWORKDAYS(IF(NOT(ISBLANK(M1068)), M1068, L1068), N1068, Holiday_Dates)
                - IF(IF(NOT(ISBLANK(M1068)), M1068, L1068) = N1068, 0, 1)
            )
        )
    ),
    ""
)</f>
        <v/>
      </c>
      <c r="S1068" s="385" t="str">
        <f>IFERROR(
    IF(
        OR(ISBLANK(N1068), ISBLANK(O1068)),
        "",
        MAX(
            1,
            IF(
                NETWORKDAYS(N1068, O1068, Holiday_Dates) &lt;= 0,
                1,
                NETWORKDAYS(N1068, O1068, Holiday_Dates) - IF(N1068 = O1068, 0, 1)
            )
        )
    ),
    ""
)</f>
        <v/>
      </c>
      <c r="T1068" s="385"/>
      <c r="U1068" s="385" t="s">
        <v>672</v>
      </c>
      <c r="V1068" s="385" t="s">
        <v>101</v>
      </c>
      <c r="W1068" s="385" t="s">
        <v>1436</v>
      </c>
      <c r="X1068" s="1"/>
    </row>
    <row r="1069" spans="1:24">
      <c r="A1069" s="385" t="s">
        <v>49</v>
      </c>
      <c r="B1069" s="385" t="s">
        <v>2218</v>
      </c>
      <c r="C1069" s="385" t="s">
        <v>2225</v>
      </c>
      <c r="D1069" s="385" t="s">
        <v>88</v>
      </c>
      <c r="E1069" s="385" t="s">
        <v>377</v>
      </c>
      <c r="F1069" s="385"/>
      <c r="G1069" s="385" t="s">
        <v>128</v>
      </c>
      <c r="H1069" s="385"/>
      <c r="I1069" s="385"/>
      <c r="J1069" s="30"/>
      <c r="K1069" s="385" t="s">
        <v>57</v>
      </c>
      <c r="L1069" s="385"/>
      <c r="M1069" s="385"/>
      <c r="N1069" s="385"/>
      <c r="O1069" s="385"/>
      <c r="P1069" s="385" t="str">
        <f>IFERROR(
    IF(
        OR(ISBLANK(I1069), ISBLANK(L1069)),
        "",
        MAX(
            1,
            IF(
                NETWORKDAYS(I1069, L1069, Holiday_Dates) &lt;= 0,
                1,
                NETWORKDAYS(I1069, L1069, Holiday_Dates) - IF(I1069 = L1069, 0, 1)
            )
        )
    ),
    ""
)</f>
        <v/>
      </c>
      <c r="Q1069" s="385" t="str">
        <f>IF(
    OR(ISBLANK(L1069), ISBLANK(M1069)),
    "",
    MAX(
        1,
        IF(
            NETWORKDAYS(L1069, M1069, Holiday_Dates) &lt;= 0,
            1,
            NETWORKDAYS(L1069, M1069, Holiday_Dates) - IF(L1069 = M1069, 0, 1)
        )
    )
)</f>
        <v/>
      </c>
      <c r="R1069" s="385" t="str">
        <f>IFERROR(
    IF(
        OR(ISBLANK(N1069), AND(ISBLANK(L1069), ISBLANK(M1069))),
        "",
        MAX(
            1,
            IF(
                NETWORKDAYS(IF(NOT(ISBLANK(M1069)), M1069, L1069), N1069, Holiday_Dates) &lt;= 0,
                1,
                NETWORKDAYS(IF(NOT(ISBLANK(M1069)), M1069, L1069), N1069, Holiday_Dates)
                - IF(IF(NOT(ISBLANK(M1069)), M1069, L1069) = N1069, 0, 1)
            )
        )
    ),
    ""
)</f>
        <v/>
      </c>
      <c r="S1069" s="385" t="str">
        <f>IFERROR(
    IF(
        OR(ISBLANK(N1069), ISBLANK(O1069)),
        "",
        MAX(
            1,
            IF(
                NETWORKDAYS(N1069, O1069, Holiday_Dates) &lt;= 0,
                1,
                NETWORKDAYS(N1069, O1069, Holiday_Dates) - IF(N1069 = O1069, 0, 1)
            )
        )
    ),
    ""
)</f>
        <v/>
      </c>
      <c r="T1069" s="385"/>
      <c r="U1069" s="385"/>
      <c r="V1069" s="385"/>
      <c r="W1069" s="385" t="s">
        <v>4710</v>
      </c>
      <c r="X1069" s="1"/>
    </row>
    <row r="1070" spans="1:24">
      <c r="A1070" s="385" t="s">
        <v>65</v>
      </c>
      <c r="B1070" s="385" t="s">
        <v>1314</v>
      </c>
      <c r="C1070" s="385" t="s">
        <v>2857</v>
      </c>
      <c r="D1070" s="385" t="s">
        <v>88</v>
      </c>
      <c r="E1070" s="385"/>
      <c r="F1070" s="385"/>
      <c r="G1070" s="385"/>
      <c r="H1070" s="385">
        <v>2024</v>
      </c>
      <c r="I1070" s="386">
        <v>45609</v>
      </c>
      <c r="J1070" s="30"/>
      <c r="K1070" s="385"/>
      <c r="L1070" s="385"/>
      <c r="M1070" s="385"/>
      <c r="N1070" s="385"/>
      <c r="O1070" s="385"/>
      <c r="P1070" s="385" t="str">
        <f>IFERROR(
    IF(
        OR(ISBLANK(I1070), ISBLANK(L1070)),
        "",
        MAX(
            1,
            IF(
                NETWORKDAYS(I1070, L1070, Holiday_Dates) &lt;= 0,
                1,
                NETWORKDAYS(I1070, L1070, Holiday_Dates) - IF(I1070 = L1070, 0, 1)
            )
        )
    ),
    ""
)</f>
        <v/>
      </c>
      <c r="Q1070" s="385" t="str">
        <f>IF(
    OR(ISBLANK(L1070), ISBLANK(M1070)),
    "",
    MAX(
        1,
        IF(
            NETWORKDAYS(L1070, M1070, Holiday_Dates) &lt;= 0,
            1,
            NETWORKDAYS(L1070, M1070, Holiday_Dates) - IF(L1070 = M1070, 0, 1)
        )
    )
)</f>
        <v/>
      </c>
      <c r="R1070" s="385" t="str">
        <f>IFERROR(
    IF(
        OR(ISBLANK(N1070), AND(ISBLANK(L1070), ISBLANK(M1070))),
        "",
        MAX(
            1,
            IF(
                NETWORKDAYS(IF(NOT(ISBLANK(M1070)), M1070, L1070), N1070, Holiday_Dates) &lt;= 0,
                1,
                NETWORKDAYS(IF(NOT(ISBLANK(M1070)), M1070, L1070), N1070, Holiday_Dates)
                - IF(IF(NOT(ISBLANK(M1070)), M1070, L1070) = N1070, 0, 1)
            )
        )
    ),
    ""
)</f>
        <v/>
      </c>
      <c r="S1070" s="385" t="str">
        <f>IFERROR(
    IF(
        OR(ISBLANK(N1070), ISBLANK(O1070)),
        "",
        MAX(
            1,
            IF(
                NETWORKDAYS(N1070, O1070, Holiday_Dates) &lt;= 0,
                1,
                NETWORKDAYS(N1070, O1070, Holiday_Dates) - IF(N1070 = O1070, 0, 1)
            )
        )
    ),
    ""
)</f>
        <v/>
      </c>
      <c r="T1070" s="385"/>
      <c r="U1070" s="385" t="s">
        <v>4</v>
      </c>
      <c r="V1070" s="385" t="s">
        <v>685</v>
      </c>
      <c r="W1070" s="385" t="s">
        <v>1436</v>
      </c>
      <c r="X1070" s="1"/>
    </row>
    <row r="1071" spans="1:24">
      <c r="A1071" s="385" t="s">
        <v>49</v>
      </c>
      <c r="B1071" s="385" t="s">
        <v>2218</v>
      </c>
      <c r="C1071" s="385" t="s">
        <v>2228</v>
      </c>
      <c r="D1071" s="385" t="s">
        <v>88</v>
      </c>
      <c r="E1071" s="385" t="s">
        <v>377</v>
      </c>
      <c r="F1071" s="385"/>
      <c r="G1071" s="385" t="s">
        <v>128</v>
      </c>
      <c r="H1071" s="385"/>
      <c r="I1071" s="385"/>
      <c r="J1071" s="30"/>
      <c r="K1071" s="385" t="s">
        <v>57</v>
      </c>
      <c r="L1071" s="385"/>
      <c r="M1071" s="385"/>
      <c r="N1071" s="385"/>
      <c r="O1071" s="385"/>
      <c r="P1071" s="385" t="str">
        <f>IFERROR(
    IF(
        OR(ISBLANK(I1071), ISBLANK(L1071)),
        "",
        MAX(
            1,
            IF(
                NETWORKDAYS(I1071, L1071, Holiday_Dates) &lt;= 0,
                1,
                NETWORKDAYS(I1071, L1071, Holiday_Dates) - IF(I1071 = L1071, 0, 1)
            )
        )
    ),
    ""
)</f>
        <v/>
      </c>
      <c r="Q1071" s="385" t="str">
        <f>IF(
    OR(ISBLANK(L1071), ISBLANK(M1071)),
    "",
    MAX(
        1,
        IF(
            NETWORKDAYS(L1071, M1071, Holiday_Dates) &lt;= 0,
            1,
            NETWORKDAYS(L1071, M1071, Holiday_Dates) - IF(L1071 = M1071, 0, 1)
        )
    )
)</f>
        <v/>
      </c>
      <c r="R1071" s="385" t="str">
        <f>IFERROR(
    IF(
        OR(ISBLANK(N1071), AND(ISBLANK(L1071), ISBLANK(M1071))),
        "",
        MAX(
            1,
            IF(
                NETWORKDAYS(IF(NOT(ISBLANK(M1071)), M1071, L1071), N1071, Holiday_Dates) &lt;= 0,
                1,
                NETWORKDAYS(IF(NOT(ISBLANK(M1071)), M1071, L1071), N1071, Holiday_Dates)
                - IF(IF(NOT(ISBLANK(M1071)), M1071, L1071) = N1071, 0, 1)
            )
        )
    ),
    ""
)</f>
        <v/>
      </c>
      <c r="S1071" s="385" t="str">
        <f>IFERROR(
    IF(
        OR(ISBLANK(N1071), ISBLANK(O1071)),
        "",
        MAX(
            1,
            IF(
                NETWORKDAYS(N1071, O1071, Holiday_Dates) &lt;= 0,
                1,
                NETWORKDAYS(N1071, O1071, Holiday_Dates) - IF(N1071 = O1071, 0, 1)
            )
        )
    ),
    ""
)</f>
        <v/>
      </c>
      <c r="T1071" s="385"/>
      <c r="U1071" s="385"/>
      <c r="V1071" s="385"/>
      <c r="W1071" s="385" t="s">
        <v>4710</v>
      </c>
      <c r="X1071" s="1"/>
    </row>
    <row r="1072" spans="1:24">
      <c r="A1072" s="385" t="s">
        <v>49</v>
      </c>
      <c r="B1072" s="385" t="s">
        <v>2218</v>
      </c>
      <c r="C1072" s="385" t="s">
        <v>2229</v>
      </c>
      <c r="D1072" s="385" t="s">
        <v>88</v>
      </c>
      <c r="E1072" s="385" t="s">
        <v>377</v>
      </c>
      <c r="F1072" s="385"/>
      <c r="G1072" s="385" t="s">
        <v>128</v>
      </c>
      <c r="H1072" s="385"/>
      <c r="I1072" s="385"/>
      <c r="J1072" s="30"/>
      <c r="K1072" s="385" t="s">
        <v>57</v>
      </c>
      <c r="L1072" s="385"/>
      <c r="M1072" s="385"/>
      <c r="N1072" s="385"/>
      <c r="O1072" s="385"/>
      <c r="P1072" s="385" t="str">
        <f>IFERROR(
    IF(
        OR(ISBLANK(I1072), ISBLANK(L1072)),
        "",
        MAX(
            1,
            IF(
                NETWORKDAYS(I1072, L1072, Holiday_Dates) &lt;= 0,
                1,
                NETWORKDAYS(I1072, L1072, Holiday_Dates) - IF(I1072 = L1072, 0, 1)
            )
        )
    ),
    ""
)</f>
        <v/>
      </c>
      <c r="Q1072" s="385" t="str">
        <f>IF(
    OR(ISBLANK(L1072), ISBLANK(M1072)),
    "",
    MAX(
        1,
        IF(
            NETWORKDAYS(L1072, M1072, Holiday_Dates) &lt;= 0,
            1,
            NETWORKDAYS(L1072, M1072, Holiday_Dates) - IF(L1072 = M1072, 0, 1)
        )
    )
)</f>
        <v/>
      </c>
      <c r="R1072" s="385" t="str">
        <f>IFERROR(
    IF(
        OR(ISBLANK(N1072), AND(ISBLANK(L1072), ISBLANK(M1072))),
        "",
        MAX(
            1,
            IF(
                NETWORKDAYS(IF(NOT(ISBLANK(M1072)), M1072, L1072), N1072, Holiday_Dates) &lt;= 0,
                1,
                NETWORKDAYS(IF(NOT(ISBLANK(M1072)), M1072, L1072), N1072, Holiday_Dates)
                - IF(IF(NOT(ISBLANK(M1072)), M1072, L1072) = N1072, 0, 1)
            )
        )
    ),
    ""
)</f>
        <v/>
      </c>
      <c r="S1072" s="385" t="str">
        <f>IFERROR(
    IF(
        OR(ISBLANK(N1072), ISBLANK(O1072)),
        "",
        MAX(
            1,
            IF(
                NETWORKDAYS(N1072, O1072, Holiday_Dates) &lt;= 0,
                1,
                NETWORKDAYS(N1072, O1072, Holiday_Dates) - IF(N1072 = O1072, 0, 1)
            )
        )
    ),
    ""
)</f>
        <v/>
      </c>
      <c r="T1072" s="385"/>
      <c r="U1072" s="385"/>
      <c r="V1072" s="385"/>
      <c r="W1072" s="385" t="s">
        <v>4710</v>
      </c>
      <c r="X1072" s="1"/>
    </row>
    <row r="1073" spans="1:24">
      <c r="A1073" s="385" t="s">
        <v>65</v>
      </c>
      <c r="B1073" s="385" t="s">
        <v>1314</v>
      </c>
      <c r="C1073" s="385" t="s">
        <v>2828</v>
      </c>
      <c r="D1073" s="385" t="s">
        <v>88</v>
      </c>
      <c r="E1073" s="385"/>
      <c r="F1073" s="385"/>
      <c r="G1073" s="385"/>
      <c r="H1073" s="385">
        <v>2024</v>
      </c>
      <c r="I1073" s="386">
        <v>45316</v>
      </c>
      <c r="J1073" s="30"/>
      <c r="K1073" s="385"/>
      <c r="L1073" s="385"/>
      <c r="M1073" s="385"/>
      <c r="N1073" s="385"/>
      <c r="O1073" s="385"/>
      <c r="P1073" s="385" t="str">
        <f>IFERROR(
    IF(
        OR(ISBLANK(I1073), ISBLANK(L1073)),
        "",
        MAX(
            1,
            IF(
                NETWORKDAYS(I1073, L1073, Holiday_Dates) &lt;= 0,
                1,
                NETWORKDAYS(I1073, L1073, Holiday_Dates) - IF(I1073 = L1073, 0, 1)
            )
        )
    ),
    ""
)</f>
        <v/>
      </c>
      <c r="Q1073" s="385" t="str">
        <f>IF(
    OR(ISBLANK(L1073), ISBLANK(M1073)),
    "",
    MAX(
        1,
        IF(
            NETWORKDAYS(L1073, M1073, Holiday_Dates) &lt;= 0,
            1,
            NETWORKDAYS(L1073, M1073, Holiday_Dates) - IF(L1073 = M1073, 0, 1)
        )
    )
)</f>
        <v/>
      </c>
      <c r="R1073" s="385" t="str">
        <f>IFERROR(
    IF(
        OR(ISBLANK(N1073), AND(ISBLANK(L1073), ISBLANK(M1073))),
        "",
        MAX(
            1,
            IF(
                NETWORKDAYS(IF(NOT(ISBLANK(M1073)), M1073, L1073), N1073, Holiday_Dates) &lt;= 0,
                1,
                NETWORKDAYS(IF(NOT(ISBLANK(M1073)), M1073, L1073), N1073, Holiday_Dates)
                - IF(IF(NOT(ISBLANK(M1073)), M1073, L1073) = N1073, 0, 1)
            )
        )
    ),
    ""
)</f>
        <v/>
      </c>
      <c r="S1073" s="385" t="str">
        <f>IFERROR(
    IF(
        OR(ISBLANK(N1073), ISBLANK(O1073)),
        "",
        MAX(
            1,
            IF(
                NETWORKDAYS(N1073, O1073, Holiday_Dates) &lt;= 0,
                1,
                NETWORKDAYS(N1073, O1073, Holiday_Dates) - IF(N1073 = O1073, 0, 1)
            )
        )
    ),
    ""
)</f>
        <v/>
      </c>
      <c r="T1073" s="385"/>
      <c r="U1073" s="385" t="s">
        <v>672</v>
      </c>
      <c r="V1073" s="385"/>
      <c r="W1073" s="385" t="s">
        <v>1436</v>
      </c>
      <c r="X1073" s="1"/>
    </row>
    <row r="1074" spans="1:24">
      <c r="A1074" s="385" t="s">
        <v>65</v>
      </c>
      <c r="B1074" s="385" t="s">
        <v>1314</v>
      </c>
      <c r="C1074" s="385" t="s">
        <v>679</v>
      </c>
      <c r="D1074" s="385" t="s">
        <v>88</v>
      </c>
      <c r="E1074" s="385"/>
      <c r="F1074" s="385"/>
      <c r="G1074" s="385"/>
      <c r="H1074" s="385">
        <v>2024</v>
      </c>
      <c r="I1074" s="386">
        <v>45558</v>
      </c>
      <c r="J1074" s="30"/>
      <c r="K1074" s="385"/>
      <c r="L1074" s="385"/>
      <c r="M1074" s="385"/>
      <c r="N1074" s="385"/>
      <c r="O1074" s="385"/>
      <c r="P1074" s="385" t="str">
        <f>IFERROR(
    IF(
        OR(ISBLANK(I1074), ISBLANK(L1074)),
        "",
        MAX(
            1,
            IF(
                NETWORKDAYS(I1074, L1074, Holiday_Dates) &lt;= 0,
                1,
                NETWORKDAYS(I1074, L1074, Holiday_Dates) - IF(I1074 = L1074, 0, 1)
            )
        )
    ),
    ""
)</f>
        <v/>
      </c>
      <c r="Q1074" s="385" t="str">
        <f>IF(
    OR(ISBLANK(L1074), ISBLANK(M1074)),
    "",
    MAX(
        1,
        IF(
            NETWORKDAYS(L1074, M1074, Holiday_Dates) &lt;= 0,
            1,
            NETWORKDAYS(L1074, M1074, Holiday_Dates) - IF(L1074 = M1074, 0, 1)
        )
    )
)</f>
        <v/>
      </c>
      <c r="R1074" s="385" t="str">
        <f>IFERROR(
    IF(
        OR(ISBLANK(N1074), AND(ISBLANK(L1074), ISBLANK(M1074))),
        "",
        MAX(
            1,
            IF(
                NETWORKDAYS(IF(NOT(ISBLANK(M1074)), M1074, L1074), N1074, Holiday_Dates) &lt;= 0,
                1,
                NETWORKDAYS(IF(NOT(ISBLANK(M1074)), M1074, L1074), N1074, Holiday_Dates)
                - IF(IF(NOT(ISBLANK(M1074)), M1074, L1074) = N1074, 0, 1)
            )
        )
    ),
    ""
)</f>
        <v/>
      </c>
      <c r="S1074" s="385" t="str">
        <f>IFERROR(
    IF(
        OR(ISBLANK(N1074), ISBLANK(O1074)),
        "",
        MAX(
            1,
            IF(
                NETWORKDAYS(N1074, O1074, Holiday_Dates) &lt;= 0,
                1,
                NETWORKDAYS(N1074, O1074, Holiday_Dates) - IF(N1074 = O1074, 0, 1)
            )
        )
    ),
    ""
)</f>
        <v/>
      </c>
      <c r="T1074" s="385"/>
      <c r="U1074" s="385" t="s">
        <v>4</v>
      </c>
      <c r="V1074" s="385" t="s">
        <v>101</v>
      </c>
      <c r="W1074" s="385" t="s">
        <v>1436</v>
      </c>
      <c r="X1074" s="1"/>
    </row>
    <row r="1075" spans="1:24">
      <c r="A1075" s="385" t="s">
        <v>49</v>
      </c>
      <c r="B1075" s="385" t="s">
        <v>2573</v>
      </c>
      <c r="C1075" s="385" t="s">
        <v>2591</v>
      </c>
      <c r="D1075" s="385" t="s">
        <v>88</v>
      </c>
      <c r="E1075" s="385" t="s">
        <v>136</v>
      </c>
      <c r="F1075" s="385"/>
      <c r="G1075" s="385" t="s">
        <v>128</v>
      </c>
      <c r="H1075" s="385"/>
      <c r="I1075" s="385"/>
      <c r="J1075" s="30"/>
      <c r="K1075" s="385" t="s">
        <v>57</v>
      </c>
      <c r="L1075" s="385"/>
      <c r="M1075" s="385"/>
      <c r="N1075" s="385"/>
      <c r="O1075" s="385"/>
      <c r="P1075" s="385" t="str">
        <f>IFERROR(
    IF(
        OR(ISBLANK(I1075), ISBLANK(L1075)),
        "",
        MAX(
            1,
            IF(
                NETWORKDAYS(I1075, L1075, Holiday_Dates) &lt;= 0,
                1,
                NETWORKDAYS(I1075, L1075, Holiday_Dates) - IF(I1075 = L1075, 0, 1)
            )
        )
    ),
    ""
)</f>
        <v/>
      </c>
      <c r="Q1075" s="385" t="str">
        <f>IF(
    OR(ISBLANK(L1075), ISBLANK(M1075)),
    "",
    MAX(
        1,
        IF(
            NETWORKDAYS(L1075, M1075, Holiday_Dates) &lt;= 0,
            1,
            NETWORKDAYS(L1075, M1075, Holiday_Dates) - IF(L1075 = M1075, 0, 1)
        )
    )
)</f>
        <v/>
      </c>
      <c r="R1075" s="385" t="str">
        <f>IFERROR(
    IF(
        OR(ISBLANK(N1075), AND(ISBLANK(L1075), ISBLANK(M1075))),
        "",
        MAX(
            1,
            IF(
                NETWORKDAYS(IF(NOT(ISBLANK(M1075)), M1075, L1075), N1075, Holiday_Dates) &lt;= 0,
                1,
                NETWORKDAYS(IF(NOT(ISBLANK(M1075)), M1075, L1075), N1075, Holiday_Dates)
                - IF(IF(NOT(ISBLANK(M1075)), M1075, L1075) = N1075, 0, 1)
            )
        )
    ),
    ""
)</f>
        <v/>
      </c>
      <c r="S1075" s="385" t="str">
        <f>IFERROR(
    IF(
        OR(ISBLANK(N1075), ISBLANK(O1075)),
        "",
        MAX(
            1,
            IF(
                NETWORKDAYS(N1075, O1075, Holiday_Dates) &lt;= 0,
                1,
                NETWORKDAYS(N1075, O1075, Holiday_Dates) - IF(N1075 = O1075, 0, 1)
            )
        )
    ),
    ""
)</f>
        <v/>
      </c>
      <c r="T1075" s="385"/>
      <c r="U1075" s="385"/>
      <c r="V1075" s="385"/>
      <c r="W1075" s="385" t="s">
        <v>4710</v>
      </c>
      <c r="X1075" s="1"/>
    </row>
    <row r="1076" spans="1:24">
      <c r="A1076" s="385" t="s">
        <v>65</v>
      </c>
      <c r="B1076" s="385" t="s">
        <v>1314</v>
      </c>
      <c r="C1076" s="385" t="s">
        <v>2831</v>
      </c>
      <c r="D1076" s="385" t="s">
        <v>88</v>
      </c>
      <c r="E1076" s="385"/>
      <c r="F1076" s="385"/>
      <c r="G1076" s="385"/>
      <c r="H1076" s="385">
        <v>2025</v>
      </c>
      <c r="I1076" s="386">
        <v>45958</v>
      </c>
      <c r="J1076" s="30" t="s">
        <v>5172</v>
      </c>
      <c r="K1076" s="385"/>
      <c r="L1076" s="385"/>
      <c r="M1076" s="385"/>
      <c r="N1076" s="385"/>
      <c r="O1076" s="385"/>
      <c r="P1076" s="385" t="str">
        <f>IFERROR(
    IF(
        OR(ISBLANK(I1076), ISBLANK(L1076)),
        "",
        MAX(
            1,
            IF(
                NETWORKDAYS(I1076, L1076, Holiday_Dates) &lt;= 0,
                1,
                NETWORKDAYS(I1076, L1076, Holiday_Dates) - IF(I1076 = L1076, 0, 1)
            )
        )
    ),
    ""
)</f>
        <v/>
      </c>
      <c r="Q1076" s="385" t="str">
        <f>IF(
    OR(ISBLANK(L1076), ISBLANK(M1076)),
    "",
    MAX(
        1,
        IF(
            NETWORKDAYS(L1076, M1076, Holiday_Dates) &lt;= 0,
            1,
            NETWORKDAYS(L1076, M1076, Holiday_Dates) - IF(L1076 = M1076, 0, 1)
        )
    )
)</f>
        <v/>
      </c>
      <c r="R1076" s="385" t="str">
        <f>IFERROR(
    IF(
        OR(ISBLANK(N1076), AND(ISBLANK(L1076), ISBLANK(M1076))),
        "",
        MAX(
            1,
            IF(
                NETWORKDAYS(IF(NOT(ISBLANK(M1076)), M1076, L1076), N1076, Holiday_Dates) &lt;= 0,
                1,
                NETWORKDAYS(IF(NOT(ISBLANK(M1076)), M1076, L1076), N1076, Holiday_Dates)
                - IF(IF(NOT(ISBLANK(M1076)), M1076, L1076) = N1076, 0, 1)
            )
        )
    ),
    ""
)</f>
        <v/>
      </c>
      <c r="S1076" s="385" t="str">
        <f>IFERROR(
    IF(
        OR(ISBLANK(N1076), ISBLANK(O1076)),
        "",
        MAX(
            1,
            IF(
                NETWORKDAYS(N1076, O1076, Holiday_Dates) &lt;= 0,
                1,
                NETWORKDAYS(N1076, O1076, Holiday_Dates) - IF(N1076 = O1076, 0, 1)
            )
        )
    ),
    ""
)</f>
        <v/>
      </c>
      <c r="T1076" s="385"/>
      <c r="U1076" s="385" t="s">
        <v>672</v>
      </c>
      <c r="V1076" s="385" t="s">
        <v>101</v>
      </c>
      <c r="W1076" s="385" t="s">
        <v>1436</v>
      </c>
      <c r="X1076" s="1"/>
    </row>
    <row r="1077" spans="1:24">
      <c r="A1077" s="385" t="s">
        <v>49</v>
      </c>
      <c r="B1077" s="385" t="s">
        <v>2573</v>
      </c>
      <c r="C1077" s="385" t="s">
        <v>2592</v>
      </c>
      <c r="D1077" s="385" t="s">
        <v>88</v>
      </c>
      <c r="E1077" s="385" t="s">
        <v>136</v>
      </c>
      <c r="F1077" s="385"/>
      <c r="G1077" s="385" t="s">
        <v>128</v>
      </c>
      <c r="H1077" s="385"/>
      <c r="I1077" s="385"/>
      <c r="J1077" s="30"/>
      <c r="K1077" s="385" t="s">
        <v>57</v>
      </c>
      <c r="L1077" s="385"/>
      <c r="M1077" s="385"/>
      <c r="N1077" s="385"/>
      <c r="O1077" s="385"/>
      <c r="P1077" s="385" t="str">
        <f>IFERROR(
    IF(
        OR(ISBLANK(I1077), ISBLANK(L1077)),
        "",
        MAX(
            1,
            IF(
                NETWORKDAYS(I1077, L1077, Holiday_Dates) &lt;= 0,
                1,
                NETWORKDAYS(I1077, L1077, Holiday_Dates) - IF(I1077 = L1077, 0, 1)
            )
        )
    ),
    ""
)</f>
        <v/>
      </c>
      <c r="Q1077" s="385" t="str">
        <f>IF(
    OR(ISBLANK(L1077), ISBLANK(M1077)),
    "",
    MAX(
        1,
        IF(
            NETWORKDAYS(L1077, M1077, Holiday_Dates) &lt;= 0,
            1,
            NETWORKDAYS(L1077, M1077, Holiday_Dates) - IF(L1077 = M1077, 0, 1)
        )
    )
)</f>
        <v/>
      </c>
      <c r="R1077" s="385" t="str">
        <f>IFERROR(
    IF(
        OR(ISBLANK(N1077), AND(ISBLANK(L1077), ISBLANK(M1077))),
        "",
        MAX(
            1,
            IF(
                NETWORKDAYS(IF(NOT(ISBLANK(M1077)), M1077, L1077), N1077, Holiday_Dates) &lt;= 0,
                1,
                NETWORKDAYS(IF(NOT(ISBLANK(M1077)), M1077, L1077), N1077, Holiday_Dates)
                - IF(IF(NOT(ISBLANK(M1077)), M1077, L1077) = N1077, 0, 1)
            )
        )
    ),
    ""
)</f>
        <v/>
      </c>
      <c r="S1077" s="385" t="str">
        <f>IFERROR(
    IF(
        OR(ISBLANK(N1077), ISBLANK(O1077)),
        "",
        MAX(
            1,
            IF(
                NETWORKDAYS(N1077, O1077, Holiday_Dates) &lt;= 0,
                1,
                NETWORKDAYS(N1077, O1077, Holiday_Dates) - IF(N1077 = O1077, 0, 1)
            )
        )
    ),
    ""
)</f>
        <v/>
      </c>
      <c r="T1077" s="385"/>
      <c r="U1077" s="385"/>
      <c r="V1077" s="385"/>
      <c r="W1077" s="385" t="s">
        <v>4710</v>
      </c>
      <c r="X1077" s="1"/>
    </row>
    <row r="1078" spans="1:24">
      <c r="A1078" s="385" t="s">
        <v>49</v>
      </c>
      <c r="B1078" s="385" t="s">
        <v>2573</v>
      </c>
      <c r="C1078" s="385" t="s">
        <v>2593</v>
      </c>
      <c r="D1078" s="385" t="s">
        <v>88</v>
      </c>
      <c r="E1078" s="385" t="s">
        <v>136</v>
      </c>
      <c r="F1078" s="385"/>
      <c r="G1078" s="385" t="s">
        <v>128</v>
      </c>
      <c r="H1078" s="385"/>
      <c r="I1078" s="385"/>
      <c r="J1078" s="30"/>
      <c r="K1078" s="385" t="s">
        <v>57</v>
      </c>
      <c r="L1078" s="385"/>
      <c r="M1078" s="385"/>
      <c r="N1078" s="385"/>
      <c r="O1078" s="385"/>
      <c r="P1078" s="385" t="str">
        <f>IFERROR(
    IF(
        OR(ISBLANK(I1078), ISBLANK(L1078)),
        "",
        MAX(
            1,
            IF(
                NETWORKDAYS(I1078, L1078, Holiday_Dates) &lt;= 0,
                1,
                NETWORKDAYS(I1078, L1078, Holiday_Dates) - IF(I1078 = L1078, 0, 1)
            )
        )
    ),
    ""
)</f>
        <v/>
      </c>
      <c r="Q1078" s="385" t="str">
        <f>IF(
    OR(ISBLANK(L1078), ISBLANK(M1078)),
    "",
    MAX(
        1,
        IF(
            NETWORKDAYS(L1078, M1078, Holiday_Dates) &lt;= 0,
            1,
            NETWORKDAYS(L1078, M1078, Holiday_Dates) - IF(L1078 = M1078, 0, 1)
        )
    )
)</f>
        <v/>
      </c>
      <c r="R1078" s="385" t="str">
        <f>IFERROR(
    IF(
        OR(ISBLANK(N1078), AND(ISBLANK(L1078), ISBLANK(M1078))),
        "",
        MAX(
            1,
            IF(
                NETWORKDAYS(IF(NOT(ISBLANK(M1078)), M1078, L1078), N1078, Holiday_Dates) &lt;= 0,
                1,
                NETWORKDAYS(IF(NOT(ISBLANK(M1078)), M1078, L1078), N1078, Holiday_Dates)
                - IF(IF(NOT(ISBLANK(M1078)), M1078, L1078) = N1078, 0, 1)
            )
        )
    ),
    ""
)</f>
        <v/>
      </c>
      <c r="S1078" s="385" t="str">
        <f>IFERROR(
    IF(
        OR(ISBLANK(N1078), ISBLANK(O1078)),
        "",
        MAX(
            1,
            IF(
                NETWORKDAYS(N1078, O1078, Holiday_Dates) &lt;= 0,
                1,
                NETWORKDAYS(N1078, O1078, Holiday_Dates) - IF(N1078 = O1078, 0, 1)
            )
        )
    ),
    ""
)</f>
        <v/>
      </c>
      <c r="T1078" s="385"/>
      <c r="U1078" s="385"/>
      <c r="V1078" s="385"/>
      <c r="W1078" s="385" t="s">
        <v>4710</v>
      </c>
      <c r="X1078" s="1"/>
    </row>
    <row r="1079" spans="1:24">
      <c r="A1079" s="385" t="s">
        <v>49</v>
      </c>
      <c r="B1079" s="385" t="s">
        <v>2573</v>
      </c>
      <c r="C1079" s="385" t="s">
        <v>2596</v>
      </c>
      <c r="D1079" s="385" t="s">
        <v>88</v>
      </c>
      <c r="E1079" s="385" t="s">
        <v>136</v>
      </c>
      <c r="F1079" s="385"/>
      <c r="G1079" s="385" t="s">
        <v>128</v>
      </c>
      <c r="H1079" s="385"/>
      <c r="I1079" s="385"/>
      <c r="J1079" s="30"/>
      <c r="K1079" s="385" t="s">
        <v>57</v>
      </c>
      <c r="L1079" s="385"/>
      <c r="M1079" s="385"/>
      <c r="N1079" s="385"/>
      <c r="O1079" s="385"/>
      <c r="P1079" s="385" t="str">
        <f>IFERROR(
    IF(
        OR(ISBLANK(I1079), ISBLANK(L1079)),
        "",
        MAX(
            1,
            IF(
                NETWORKDAYS(I1079, L1079, Holiday_Dates) &lt;= 0,
                1,
                NETWORKDAYS(I1079, L1079, Holiday_Dates) - IF(I1079 = L1079, 0, 1)
            )
        )
    ),
    ""
)</f>
        <v/>
      </c>
      <c r="Q1079" s="385" t="str">
        <f>IF(
    OR(ISBLANK(L1079), ISBLANK(M1079)),
    "",
    MAX(
        1,
        IF(
            NETWORKDAYS(L1079, M1079, Holiday_Dates) &lt;= 0,
            1,
            NETWORKDAYS(L1079, M1079, Holiday_Dates) - IF(L1079 = M1079, 0, 1)
        )
    )
)</f>
        <v/>
      </c>
      <c r="R1079" s="385" t="str">
        <f>IFERROR(
    IF(
        OR(ISBLANK(N1079), AND(ISBLANK(L1079), ISBLANK(M1079))),
        "",
        MAX(
            1,
            IF(
                NETWORKDAYS(IF(NOT(ISBLANK(M1079)), M1079, L1079), N1079, Holiday_Dates) &lt;= 0,
                1,
                NETWORKDAYS(IF(NOT(ISBLANK(M1079)), M1079, L1079), N1079, Holiday_Dates)
                - IF(IF(NOT(ISBLANK(M1079)), M1079, L1079) = N1079, 0, 1)
            )
        )
    ),
    ""
)</f>
        <v/>
      </c>
      <c r="S1079" s="385" t="str">
        <f>IFERROR(
    IF(
        OR(ISBLANK(N1079), ISBLANK(O1079)),
        "",
        MAX(
            1,
            IF(
                NETWORKDAYS(N1079, O1079, Holiday_Dates) &lt;= 0,
                1,
                NETWORKDAYS(N1079, O1079, Holiday_Dates) - IF(N1079 = O1079, 0, 1)
            )
        )
    ),
    ""
)</f>
        <v/>
      </c>
      <c r="T1079" s="385"/>
      <c r="U1079" s="385"/>
      <c r="V1079" s="385"/>
      <c r="W1079" s="385" t="s">
        <v>4710</v>
      </c>
      <c r="X1079" s="1"/>
    </row>
    <row r="1080" spans="1:24">
      <c r="A1080" s="385" t="s">
        <v>65</v>
      </c>
      <c r="B1080" s="385" t="s">
        <v>1314</v>
      </c>
      <c r="C1080" s="385" t="s">
        <v>2835</v>
      </c>
      <c r="D1080" s="385" t="s">
        <v>88</v>
      </c>
      <c r="E1080" s="385"/>
      <c r="F1080" s="385"/>
      <c r="G1080" s="385"/>
      <c r="H1080" s="385">
        <v>2025</v>
      </c>
      <c r="I1080" s="386">
        <v>45867</v>
      </c>
      <c r="J1080" s="30" t="s">
        <v>5173</v>
      </c>
      <c r="K1080" s="385"/>
      <c r="L1080" s="385"/>
      <c r="M1080" s="385"/>
      <c r="N1080" s="385"/>
      <c r="O1080" s="385"/>
      <c r="P1080" s="385" t="str">
        <f>IFERROR(
    IF(
        OR(ISBLANK(I1080), ISBLANK(L1080)),
        "",
        MAX(
            1,
            IF(
                NETWORKDAYS(I1080, L1080, Holiday_Dates) &lt;= 0,
                1,
                NETWORKDAYS(I1080, L1080, Holiday_Dates) - IF(I1080 = L1080, 0, 1)
            )
        )
    ),
    ""
)</f>
        <v/>
      </c>
      <c r="Q1080" s="385" t="str">
        <f>IF(
    OR(ISBLANK(L1080), ISBLANK(M1080)),
    "",
    MAX(
        1,
        IF(
            NETWORKDAYS(L1080, M1080, Holiday_Dates) &lt;= 0,
            1,
            NETWORKDAYS(L1080, M1080, Holiday_Dates) - IF(L1080 = M1080, 0, 1)
        )
    )
)</f>
        <v/>
      </c>
      <c r="R1080" s="385" t="str">
        <f>IFERROR(
    IF(
        OR(ISBLANK(N1080), AND(ISBLANK(L1080), ISBLANK(M1080))),
        "",
        MAX(
            1,
            IF(
                NETWORKDAYS(IF(NOT(ISBLANK(M1080)), M1080, L1080), N1080, Holiday_Dates) &lt;= 0,
                1,
                NETWORKDAYS(IF(NOT(ISBLANK(M1080)), M1080, L1080), N1080, Holiday_Dates)
                - IF(IF(NOT(ISBLANK(M1080)), M1080, L1080) = N1080, 0, 1)
            )
        )
    ),
    ""
)</f>
        <v/>
      </c>
      <c r="S1080" s="385" t="str">
        <f>IFERROR(
    IF(
        OR(ISBLANK(N1080), ISBLANK(O1080)),
        "",
        MAX(
            1,
            IF(
                NETWORKDAYS(N1080, O1080, Holiday_Dates) &lt;= 0,
                1,
                NETWORKDAYS(N1080, O1080, Holiday_Dates) - IF(N1080 = O1080, 0, 1)
            )
        )
    ),
    ""
)</f>
        <v/>
      </c>
      <c r="T1080" s="385"/>
      <c r="U1080" s="385" t="s">
        <v>672</v>
      </c>
      <c r="V1080" s="385" t="s">
        <v>101</v>
      </c>
      <c r="W1080" s="385" t="s">
        <v>1436</v>
      </c>
      <c r="X1080" s="1"/>
    </row>
    <row r="1081" spans="1:24">
      <c r="A1081" s="385" t="s">
        <v>49</v>
      </c>
      <c r="B1081" s="385" t="s">
        <v>342</v>
      </c>
      <c r="C1081" s="385" t="s">
        <v>717</v>
      </c>
      <c r="D1081" s="385" t="s">
        <v>88</v>
      </c>
      <c r="E1081" s="385" t="s">
        <v>344</v>
      </c>
      <c r="F1081" s="385"/>
      <c r="G1081" s="385" t="s">
        <v>128</v>
      </c>
      <c r="H1081" s="385"/>
      <c r="I1081" s="385"/>
      <c r="J1081" s="30"/>
      <c r="K1081" s="385" t="s">
        <v>57</v>
      </c>
      <c r="L1081" s="385"/>
      <c r="M1081" s="385"/>
      <c r="N1081" s="385"/>
      <c r="O1081" s="385"/>
      <c r="P1081" s="385" t="str">
        <f>IFERROR(
    IF(
        OR(ISBLANK(I1081), ISBLANK(L1081)),
        "",
        MAX(
            1,
            IF(
                NETWORKDAYS(I1081, L1081, Holiday_Dates) &lt;= 0,
                1,
                NETWORKDAYS(I1081, L1081, Holiday_Dates) - IF(I1081 = L1081, 0, 1)
            )
        )
    ),
    ""
)</f>
        <v/>
      </c>
      <c r="Q1081" s="385" t="str">
        <f>IF(
    OR(ISBLANK(L1081), ISBLANK(M1081)),
    "",
    MAX(
        1,
        IF(
            NETWORKDAYS(L1081, M1081, Holiday_Dates) &lt;= 0,
            1,
            NETWORKDAYS(L1081, M1081, Holiday_Dates) - IF(L1081 = M1081, 0, 1)
        )
    )
)</f>
        <v/>
      </c>
      <c r="R1081" s="385" t="str">
        <f>IFERROR(
    IF(
        OR(ISBLANK(N1081), AND(ISBLANK(L1081), ISBLANK(M1081))),
        "",
        MAX(
            1,
            IF(
                NETWORKDAYS(IF(NOT(ISBLANK(M1081)), M1081, L1081), N1081, Holiday_Dates) &lt;= 0,
                1,
                NETWORKDAYS(IF(NOT(ISBLANK(M1081)), M1081, L1081), N1081, Holiday_Dates)
                - IF(IF(NOT(ISBLANK(M1081)), M1081, L1081) = N1081, 0, 1)
            )
        )
    ),
    ""
)</f>
        <v/>
      </c>
      <c r="S1081" s="385" t="str">
        <f>IFERROR(
    IF(
        OR(ISBLANK(N1081), ISBLANK(O1081)),
        "",
        MAX(
            1,
            IF(
                NETWORKDAYS(N1081, O1081, Holiday_Dates) &lt;= 0,
                1,
                NETWORKDAYS(N1081, O1081, Holiday_Dates) - IF(N1081 = O1081, 0, 1)
            )
        )
    ),
    ""
)</f>
        <v/>
      </c>
      <c r="T1081" s="385"/>
      <c r="U1081" s="385"/>
      <c r="V1081" s="385"/>
      <c r="W1081" s="385" t="s">
        <v>4710</v>
      </c>
      <c r="X1081" s="1"/>
    </row>
    <row r="1082" spans="1:24">
      <c r="A1082" s="385" t="s">
        <v>65</v>
      </c>
      <c r="B1082" s="385" t="s">
        <v>1314</v>
      </c>
      <c r="C1082" s="385" t="s">
        <v>2837</v>
      </c>
      <c r="D1082" s="385" t="s">
        <v>88</v>
      </c>
      <c r="E1082" s="385"/>
      <c r="F1082" s="385"/>
      <c r="G1082" s="385"/>
      <c r="H1082" s="385">
        <v>2024</v>
      </c>
      <c r="I1082" s="386">
        <v>45609</v>
      </c>
      <c r="J1082" s="30"/>
      <c r="K1082" s="385"/>
      <c r="L1082" s="385"/>
      <c r="M1082" s="385"/>
      <c r="N1082" s="385"/>
      <c r="O1082" s="385"/>
      <c r="P1082" s="385" t="str">
        <f>IFERROR(
    IF(
        OR(ISBLANK(I1082), ISBLANK(L1082)),
        "",
        MAX(
            1,
            IF(
                NETWORKDAYS(I1082, L1082, Holiday_Dates) &lt;= 0,
                1,
                NETWORKDAYS(I1082, L1082, Holiday_Dates) - IF(I1082 = L1082, 0, 1)
            )
        )
    ),
    ""
)</f>
        <v/>
      </c>
      <c r="Q1082" s="385" t="str">
        <f>IF(
    OR(ISBLANK(L1082), ISBLANK(M1082)),
    "",
    MAX(
        1,
        IF(
            NETWORKDAYS(L1082, M1082, Holiday_Dates) &lt;= 0,
            1,
            NETWORKDAYS(L1082, M1082, Holiday_Dates) - IF(L1082 = M1082, 0, 1)
        )
    )
)</f>
        <v/>
      </c>
      <c r="R1082" s="385" t="str">
        <f>IFERROR(
    IF(
        OR(ISBLANK(N1082), AND(ISBLANK(L1082), ISBLANK(M1082))),
        "",
        MAX(
            1,
            IF(
                NETWORKDAYS(IF(NOT(ISBLANK(M1082)), M1082, L1082), N1082, Holiday_Dates) &lt;= 0,
                1,
                NETWORKDAYS(IF(NOT(ISBLANK(M1082)), M1082, L1082), N1082, Holiday_Dates)
                - IF(IF(NOT(ISBLANK(M1082)), M1082, L1082) = N1082, 0, 1)
            )
        )
    ),
    ""
)</f>
        <v/>
      </c>
      <c r="S1082" s="385" t="str">
        <f>IFERROR(
    IF(
        OR(ISBLANK(N1082), ISBLANK(O1082)),
        "",
        MAX(
            1,
            IF(
                NETWORKDAYS(N1082, O1082, Holiday_Dates) &lt;= 0,
                1,
                NETWORKDAYS(N1082, O1082, Holiday_Dates) - IF(N1082 = O1082, 0, 1)
            )
        )
    ),
    ""
)</f>
        <v/>
      </c>
      <c r="T1082" s="385"/>
      <c r="U1082" s="385" t="s">
        <v>4</v>
      </c>
      <c r="V1082" s="385" t="s">
        <v>101</v>
      </c>
      <c r="W1082" s="385" t="s">
        <v>1436</v>
      </c>
      <c r="X1082" s="1"/>
    </row>
    <row r="1083" spans="1:24">
      <c r="A1083" s="385" t="s">
        <v>65</v>
      </c>
      <c r="B1083" s="385" t="s">
        <v>1314</v>
      </c>
      <c r="C1083" s="385" t="s">
        <v>2839</v>
      </c>
      <c r="D1083" s="385" t="s">
        <v>88</v>
      </c>
      <c r="E1083" s="385"/>
      <c r="F1083" s="385"/>
      <c r="G1083" s="385"/>
      <c r="H1083" s="385">
        <v>2025</v>
      </c>
      <c r="I1083" s="386">
        <v>45958</v>
      </c>
      <c r="J1083" s="30" t="s">
        <v>5174</v>
      </c>
      <c r="K1083" s="385"/>
      <c r="L1083" s="385"/>
      <c r="M1083" s="385"/>
      <c r="N1083" s="385"/>
      <c r="O1083" s="385"/>
      <c r="P1083" s="385" t="str">
        <f>IFERROR(
    IF(
        OR(ISBLANK(I1083), ISBLANK(L1083)),
        "",
        MAX(
            1,
            IF(
                NETWORKDAYS(I1083, L1083, Holiday_Dates) &lt;= 0,
                1,
                NETWORKDAYS(I1083, L1083, Holiday_Dates) - IF(I1083 = L1083, 0, 1)
            )
        )
    ),
    ""
)</f>
        <v/>
      </c>
      <c r="Q1083" s="385" t="str">
        <f>IF(
    OR(ISBLANK(L1083), ISBLANK(M1083)),
    "",
    MAX(
        1,
        IF(
            NETWORKDAYS(L1083, M1083, Holiday_Dates) &lt;= 0,
            1,
            NETWORKDAYS(L1083, M1083, Holiday_Dates) - IF(L1083 = M1083, 0, 1)
        )
    )
)</f>
        <v/>
      </c>
      <c r="R1083" s="385" t="str">
        <f>IFERROR(
    IF(
        OR(ISBLANK(N1083), AND(ISBLANK(L1083), ISBLANK(M1083))),
        "",
        MAX(
            1,
            IF(
                NETWORKDAYS(IF(NOT(ISBLANK(M1083)), M1083, L1083), N1083, Holiday_Dates) &lt;= 0,
                1,
                NETWORKDAYS(IF(NOT(ISBLANK(M1083)), M1083, L1083), N1083, Holiday_Dates)
                - IF(IF(NOT(ISBLANK(M1083)), M1083, L1083) = N1083, 0, 1)
            )
        )
    ),
    ""
)</f>
        <v/>
      </c>
      <c r="S1083" s="385" t="str">
        <f>IFERROR(
    IF(
        OR(ISBLANK(N1083), ISBLANK(O1083)),
        "",
        MAX(
            1,
            IF(
                NETWORKDAYS(N1083, O1083, Holiday_Dates) &lt;= 0,
                1,
                NETWORKDAYS(N1083, O1083, Holiday_Dates) - IF(N1083 = O1083, 0, 1)
            )
        )
    ),
    ""
)</f>
        <v/>
      </c>
      <c r="T1083" s="385"/>
      <c r="U1083" s="385" t="s">
        <v>672</v>
      </c>
      <c r="V1083" s="385" t="s">
        <v>101</v>
      </c>
      <c r="W1083" s="385" t="s">
        <v>1436</v>
      </c>
      <c r="X1083" s="1"/>
    </row>
    <row r="1084" spans="1:24">
      <c r="A1084" s="385" t="s">
        <v>49</v>
      </c>
      <c r="B1084" s="385" t="s">
        <v>342</v>
      </c>
      <c r="C1084" s="385" t="s">
        <v>1873</v>
      </c>
      <c r="D1084" s="385" t="s">
        <v>88</v>
      </c>
      <c r="E1084" s="385" t="s">
        <v>344</v>
      </c>
      <c r="F1084" s="385"/>
      <c r="G1084" s="385" t="s">
        <v>128</v>
      </c>
      <c r="H1084" s="385"/>
      <c r="I1084" s="385"/>
      <c r="J1084" s="30"/>
      <c r="K1084" s="385" t="s">
        <v>57</v>
      </c>
      <c r="L1084" s="385"/>
      <c r="M1084" s="385"/>
      <c r="N1084" s="385"/>
      <c r="O1084" s="385"/>
      <c r="P1084" s="385" t="str">
        <f>IFERROR(
    IF(
        OR(ISBLANK(I1084), ISBLANK(L1084)),
        "",
        MAX(
            1,
            IF(
                NETWORKDAYS(I1084, L1084, Holiday_Dates) &lt;= 0,
                1,
                NETWORKDAYS(I1084, L1084, Holiday_Dates) - IF(I1084 = L1084, 0, 1)
            )
        )
    ),
    ""
)</f>
        <v/>
      </c>
      <c r="Q1084" s="385" t="str">
        <f>IF(
    OR(ISBLANK(L1084), ISBLANK(M1084)),
    "",
    MAX(
        1,
        IF(
            NETWORKDAYS(L1084, M1084, Holiday_Dates) &lt;= 0,
            1,
            NETWORKDAYS(L1084, M1084, Holiday_Dates) - IF(L1084 = M1084, 0, 1)
        )
    )
)</f>
        <v/>
      </c>
      <c r="R1084" s="385" t="str">
        <f>IFERROR(
    IF(
        OR(ISBLANK(N1084), AND(ISBLANK(L1084), ISBLANK(M1084))),
        "",
        MAX(
            1,
            IF(
                NETWORKDAYS(IF(NOT(ISBLANK(M1084)), M1084, L1084), N1084, Holiday_Dates) &lt;= 0,
                1,
                NETWORKDAYS(IF(NOT(ISBLANK(M1084)), M1084, L1084), N1084, Holiday_Dates)
                - IF(IF(NOT(ISBLANK(M1084)), M1084, L1084) = N1084, 0, 1)
            )
        )
    ),
    ""
)</f>
        <v/>
      </c>
      <c r="S1084" s="385" t="str">
        <f>IFERROR(
    IF(
        OR(ISBLANK(N1084), ISBLANK(O1084)),
        "",
        MAX(
            1,
            IF(
                NETWORKDAYS(N1084, O1084, Holiday_Dates) &lt;= 0,
                1,
                NETWORKDAYS(N1084, O1084, Holiday_Dates) - IF(N1084 = O1084, 0, 1)
            )
        )
    ),
    ""
)</f>
        <v/>
      </c>
      <c r="T1084" s="385"/>
      <c r="U1084" s="385"/>
      <c r="V1084" s="385"/>
      <c r="W1084" s="385" t="s">
        <v>4710</v>
      </c>
      <c r="X1084" s="1"/>
    </row>
    <row r="1085" spans="1:24">
      <c r="A1085" s="385" t="s">
        <v>65</v>
      </c>
      <c r="B1085" s="385" t="s">
        <v>1314</v>
      </c>
      <c r="C1085" s="385" t="s">
        <v>2840</v>
      </c>
      <c r="D1085" s="385" t="s">
        <v>88</v>
      </c>
      <c r="E1085" s="385"/>
      <c r="F1085" s="385"/>
      <c r="G1085" s="385"/>
      <c r="H1085" s="385">
        <v>2024</v>
      </c>
      <c r="I1085" s="386">
        <v>45561</v>
      </c>
      <c r="J1085" s="30"/>
      <c r="K1085" s="385"/>
      <c r="L1085" s="385"/>
      <c r="M1085" s="385"/>
      <c r="N1085" s="385"/>
      <c r="O1085" s="385"/>
      <c r="P1085" s="385" t="str">
        <f>IFERROR(
    IF(
        OR(ISBLANK(I1085), ISBLANK(L1085)),
        "",
        MAX(
            1,
            IF(
                NETWORKDAYS(I1085, L1085, Holiday_Dates) &lt;= 0,
                1,
                NETWORKDAYS(I1085, L1085, Holiday_Dates) - IF(I1085 = L1085, 0, 1)
            )
        )
    ),
    ""
)</f>
        <v/>
      </c>
      <c r="Q1085" s="385" t="str">
        <f>IF(
    OR(ISBLANK(L1085), ISBLANK(M1085)),
    "",
    MAX(
        1,
        IF(
            NETWORKDAYS(L1085, M1085, Holiday_Dates) &lt;= 0,
            1,
            NETWORKDAYS(L1085, M1085, Holiday_Dates) - IF(L1085 = M1085, 0, 1)
        )
    )
)</f>
        <v/>
      </c>
      <c r="R1085" s="385" t="str">
        <f>IFERROR(
    IF(
        OR(ISBLANK(N1085), AND(ISBLANK(L1085), ISBLANK(M1085))),
        "",
        MAX(
            1,
            IF(
                NETWORKDAYS(IF(NOT(ISBLANK(M1085)), M1085, L1085), N1085, Holiday_Dates) &lt;= 0,
                1,
                NETWORKDAYS(IF(NOT(ISBLANK(M1085)), M1085, L1085), N1085, Holiday_Dates)
                - IF(IF(NOT(ISBLANK(M1085)), M1085, L1085) = N1085, 0, 1)
            )
        )
    ),
    ""
)</f>
        <v/>
      </c>
      <c r="S1085" s="385" t="str">
        <f>IFERROR(
    IF(
        OR(ISBLANK(N1085), ISBLANK(O1085)),
        "",
        MAX(
            1,
            IF(
                NETWORKDAYS(N1085, O1085, Holiday_Dates) &lt;= 0,
                1,
                NETWORKDAYS(N1085, O1085, Holiday_Dates) - IF(N1085 = O1085, 0, 1)
            )
        )
    ),
    ""
)</f>
        <v/>
      </c>
      <c r="T1085" s="385"/>
      <c r="U1085" s="385" t="s">
        <v>4</v>
      </c>
      <c r="V1085" s="385" t="s">
        <v>101</v>
      </c>
      <c r="W1085" s="385" t="s">
        <v>1436</v>
      </c>
      <c r="X1085" s="1"/>
    </row>
    <row r="1086" spans="1:24">
      <c r="A1086" s="385" t="s">
        <v>65</v>
      </c>
      <c r="B1086" s="385" t="s">
        <v>1314</v>
      </c>
      <c r="C1086" s="385" t="s">
        <v>2842</v>
      </c>
      <c r="D1086" s="385" t="s">
        <v>88</v>
      </c>
      <c r="E1086" s="385"/>
      <c r="F1086" s="385"/>
      <c r="G1086" s="385"/>
      <c r="H1086" s="385">
        <v>2024</v>
      </c>
      <c r="I1086" s="386">
        <v>45561</v>
      </c>
      <c r="J1086" s="30"/>
      <c r="K1086" s="385"/>
      <c r="L1086" s="385"/>
      <c r="M1086" s="385"/>
      <c r="N1086" s="385"/>
      <c r="O1086" s="385"/>
      <c r="P1086" s="385" t="str">
        <f>IFERROR(
    IF(
        OR(ISBLANK(I1086), ISBLANK(L1086)),
        "",
        MAX(
            1,
            IF(
                NETWORKDAYS(I1086, L1086, Holiday_Dates) &lt;= 0,
                1,
                NETWORKDAYS(I1086, L1086, Holiday_Dates) - IF(I1086 = L1086, 0, 1)
            )
        )
    ),
    ""
)</f>
        <v/>
      </c>
      <c r="Q1086" s="385" t="str">
        <f>IF(
    OR(ISBLANK(L1086), ISBLANK(M1086)),
    "",
    MAX(
        1,
        IF(
            NETWORKDAYS(L1086, M1086, Holiday_Dates) &lt;= 0,
            1,
            NETWORKDAYS(L1086, M1086, Holiday_Dates) - IF(L1086 = M1086, 0, 1)
        )
    )
)</f>
        <v/>
      </c>
      <c r="R1086" s="385" t="str">
        <f>IFERROR(
    IF(
        OR(ISBLANK(N1086), AND(ISBLANK(L1086), ISBLANK(M1086))),
        "",
        MAX(
            1,
            IF(
                NETWORKDAYS(IF(NOT(ISBLANK(M1086)), M1086, L1086), N1086, Holiday_Dates) &lt;= 0,
                1,
                NETWORKDAYS(IF(NOT(ISBLANK(M1086)), M1086, L1086), N1086, Holiday_Dates)
                - IF(IF(NOT(ISBLANK(M1086)), M1086, L1086) = N1086, 0, 1)
            )
        )
    ),
    ""
)</f>
        <v/>
      </c>
      <c r="S1086" s="385" t="str">
        <f>IFERROR(
    IF(
        OR(ISBLANK(N1086), ISBLANK(O1086)),
        "",
        MAX(
            1,
            IF(
                NETWORKDAYS(N1086, O1086, Holiday_Dates) &lt;= 0,
                1,
                NETWORKDAYS(N1086, O1086, Holiday_Dates) - IF(N1086 = O1086, 0, 1)
            )
        )
    ),
    ""
)</f>
        <v/>
      </c>
      <c r="T1086" s="385"/>
      <c r="U1086" s="385" t="s">
        <v>4</v>
      </c>
      <c r="V1086" s="385" t="s">
        <v>101</v>
      </c>
      <c r="W1086" s="385" t="s">
        <v>1436</v>
      </c>
      <c r="X1086" s="1"/>
    </row>
    <row r="1087" spans="1:24">
      <c r="A1087" s="385" t="s">
        <v>49</v>
      </c>
      <c r="B1087" s="385" t="s">
        <v>342</v>
      </c>
      <c r="C1087" s="385" t="s">
        <v>2345</v>
      </c>
      <c r="D1087" s="385" t="s">
        <v>88</v>
      </c>
      <c r="E1087" s="385" t="s">
        <v>344</v>
      </c>
      <c r="F1087" s="385"/>
      <c r="G1087" s="385" t="s">
        <v>128</v>
      </c>
      <c r="H1087" s="385"/>
      <c r="I1087" s="385"/>
      <c r="J1087" s="30"/>
      <c r="K1087" s="385" t="s">
        <v>57</v>
      </c>
      <c r="L1087" s="385"/>
      <c r="M1087" s="385"/>
      <c r="N1087" s="385"/>
      <c r="O1087" s="385"/>
      <c r="P1087" s="385" t="str">
        <f>IFERROR(
    IF(
        OR(ISBLANK(I1087), ISBLANK(L1087)),
        "",
        MAX(
            1,
            IF(
                NETWORKDAYS(I1087, L1087, Holiday_Dates) &lt;= 0,
                1,
                NETWORKDAYS(I1087, L1087, Holiday_Dates) - IF(I1087 = L1087, 0, 1)
            )
        )
    ),
    ""
)</f>
        <v/>
      </c>
      <c r="Q1087" s="385" t="str">
        <f>IF(
    OR(ISBLANK(L1087), ISBLANK(M1087)),
    "",
    MAX(
        1,
        IF(
            NETWORKDAYS(L1087, M1087, Holiday_Dates) &lt;= 0,
            1,
            NETWORKDAYS(L1087, M1087, Holiday_Dates) - IF(L1087 = M1087, 0, 1)
        )
    )
)</f>
        <v/>
      </c>
      <c r="R1087" s="385" t="str">
        <f>IFERROR(
    IF(
        OR(ISBLANK(N1087), AND(ISBLANK(L1087), ISBLANK(M1087))),
        "",
        MAX(
            1,
            IF(
                NETWORKDAYS(IF(NOT(ISBLANK(M1087)), M1087, L1087), N1087, Holiday_Dates) &lt;= 0,
                1,
                NETWORKDAYS(IF(NOT(ISBLANK(M1087)), M1087, L1087), N1087, Holiday_Dates)
                - IF(IF(NOT(ISBLANK(M1087)), M1087, L1087) = N1087, 0, 1)
            )
        )
    ),
    ""
)</f>
        <v/>
      </c>
      <c r="S1087" s="385" t="str">
        <f>IFERROR(
    IF(
        OR(ISBLANK(N1087), ISBLANK(O1087)),
        "",
        MAX(
            1,
            IF(
                NETWORKDAYS(N1087, O1087, Holiday_Dates) &lt;= 0,
                1,
                NETWORKDAYS(N1087, O1087, Holiday_Dates) - IF(N1087 = O1087, 0, 1)
            )
        )
    ),
    ""
)</f>
        <v/>
      </c>
      <c r="T1087" s="385"/>
      <c r="U1087" s="385"/>
      <c r="V1087" s="385"/>
      <c r="W1087" s="385" t="s">
        <v>4710</v>
      </c>
      <c r="X1087" s="1"/>
    </row>
    <row r="1088" spans="1:24">
      <c r="A1088" s="385" t="s">
        <v>49</v>
      </c>
      <c r="B1088" s="385" t="s">
        <v>342</v>
      </c>
      <c r="C1088" s="385" t="s">
        <v>2347</v>
      </c>
      <c r="D1088" s="385" t="s">
        <v>88</v>
      </c>
      <c r="E1088" s="385" t="s">
        <v>344</v>
      </c>
      <c r="F1088" s="385"/>
      <c r="G1088" s="385" t="s">
        <v>128</v>
      </c>
      <c r="H1088" s="385"/>
      <c r="I1088" s="385"/>
      <c r="J1088" s="30"/>
      <c r="K1088" s="385" t="s">
        <v>57</v>
      </c>
      <c r="L1088" s="385"/>
      <c r="M1088" s="385"/>
      <c r="N1088" s="385"/>
      <c r="O1088" s="385"/>
      <c r="P1088" s="385" t="str">
        <f>IFERROR(
    IF(
        OR(ISBLANK(I1088), ISBLANK(L1088)),
        "",
        MAX(
            1,
            IF(
                NETWORKDAYS(I1088, L1088, Holiday_Dates) &lt;= 0,
                1,
                NETWORKDAYS(I1088, L1088, Holiday_Dates) - IF(I1088 = L1088, 0, 1)
            )
        )
    ),
    ""
)</f>
        <v/>
      </c>
      <c r="Q1088" s="385" t="str">
        <f>IF(
    OR(ISBLANK(L1088), ISBLANK(M1088)),
    "",
    MAX(
        1,
        IF(
            NETWORKDAYS(L1088, M1088, Holiday_Dates) &lt;= 0,
            1,
            NETWORKDAYS(L1088, M1088, Holiday_Dates) - IF(L1088 = M1088, 0, 1)
        )
    )
)</f>
        <v/>
      </c>
      <c r="R1088" s="385" t="str">
        <f>IFERROR(
    IF(
        OR(ISBLANK(N1088), AND(ISBLANK(L1088), ISBLANK(M1088))),
        "",
        MAX(
            1,
            IF(
                NETWORKDAYS(IF(NOT(ISBLANK(M1088)), M1088, L1088), N1088, Holiday_Dates) &lt;= 0,
                1,
                NETWORKDAYS(IF(NOT(ISBLANK(M1088)), M1088, L1088), N1088, Holiday_Dates)
                - IF(IF(NOT(ISBLANK(M1088)), M1088, L1088) = N1088, 0, 1)
            )
        )
    ),
    ""
)</f>
        <v/>
      </c>
      <c r="S1088" s="385" t="str">
        <f>IFERROR(
    IF(
        OR(ISBLANK(N1088), ISBLANK(O1088)),
        "",
        MAX(
            1,
            IF(
                NETWORKDAYS(N1088, O1088, Holiday_Dates) &lt;= 0,
                1,
                NETWORKDAYS(N1088, O1088, Holiday_Dates) - IF(N1088 = O1088, 0, 1)
            )
        )
    ),
    ""
)</f>
        <v/>
      </c>
      <c r="T1088" s="385"/>
      <c r="U1088" s="385"/>
      <c r="V1088" s="385"/>
      <c r="W1088" s="385" t="s">
        <v>4710</v>
      </c>
      <c r="X1088" s="1"/>
    </row>
    <row r="1089" spans="1:24">
      <c r="A1089" s="385" t="s">
        <v>49</v>
      </c>
      <c r="B1089" s="385" t="s">
        <v>342</v>
      </c>
      <c r="C1089" s="385" t="s">
        <v>2348</v>
      </c>
      <c r="D1089" s="385" t="s">
        <v>88</v>
      </c>
      <c r="E1089" s="385" t="s">
        <v>344</v>
      </c>
      <c r="F1089" s="385"/>
      <c r="G1089" s="385" t="s">
        <v>128</v>
      </c>
      <c r="H1089" s="385"/>
      <c r="I1089" s="385"/>
      <c r="J1089" s="30"/>
      <c r="K1089" s="385" t="s">
        <v>57</v>
      </c>
      <c r="L1089" s="385"/>
      <c r="M1089" s="385"/>
      <c r="N1089" s="385"/>
      <c r="O1089" s="385"/>
      <c r="P1089" s="385" t="str">
        <f>IFERROR(
    IF(
        OR(ISBLANK(I1089), ISBLANK(L1089)),
        "",
        MAX(
            1,
            IF(
                NETWORKDAYS(I1089, L1089, Holiday_Dates) &lt;= 0,
                1,
                NETWORKDAYS(I1089, L1089, Holiday_Dates) - IF(I1089 = L1089, 0, 1)
            )
        )
    ),
    ""
)</f>
        <v/>
      </c>
      <c r="Q1089" s="385" t="str">
        <f>IF(
    OR(ISBLANK(L1089), ISBLANK(M1089)),
    "",
    MAX(
        1,
        IF(
            NETWORKDAYS(L1089, M1089, Holiday_Dates) &lt;= 0,
            1,
            NETWORKDAYS(L1089, M1089, Holiday_Dates) - IF(L1089 = M1089, 0, 1)
        )
    )
)</f>
        <v/>
      </c>
      <c r="R1089" s="385" t="str">
        <f>IFERROR(
    IF(
        OR(ISBLANK(N1089), AND(ISBLANK(L1089), ISBLANK(M1089))),
        "",
        MAX(
            1,
            IF(
                NETWORKDAYS(IF(NOT(ISBLANK(M1089)), M1089, L1089), N1089, Holiday_Dates) &lt;= 0,
                1,
                NETWORKDAYS(IF(NOT(ISBLANK(M1089)), M1089, L1089), N1089, Holiday_Dates)
                - IF(IF(NOT(ISBLANK(M1089)), M1089, L1089) = N1089, 0, 1)
            )
        )
    ),
    ""
)</f>
        <v/>
      </c>
      <c r="S1089" s="385" t="str">
        <f>IFERROR(
    IF(
        OR(ISBLANK(N1089), ISBLANK(O1089)),
        "",
        MAX(
            1,
            IF(
                NETWORKDAYS(N1089, O1089, Holiday_Dates) &lt;= 0,
                1,
                NETWORKDAYS(N1089, O1089, Holiday_Dates) - IF(N1089 = O1089, 0, 1)
            )
        )
    ),
    ""
)</f>
        <v/>
      </c>
      <c r="T1089" s="385"/>
      <c r="U1089" s="385"/>
      <c r="V1089" s="385"/>
      <c r="W1089" s="385" t="s">
        <v>4710</v>
      </c>
      <c r="X1089" s="1"/>
    </row>
    <row r="1090" spans="1:24">
      <c r="A1090" s="385" t="s">
        <v>49</v>
      </c>
      <c r="B1090" s="385" t="s">
        <v>437</v>
      </c>
      <c r="C1090" s="385" t="s">
        <v>669</v>
      </c>
      <c r="D1090" s="385" t="s">
        <v>88</v>
      </c>
      <c r="E1090" s="385" t="s">
        <v>136</v>
      </c>
      <c r="F1090" s="385"/>
      <c r="G1090" s="385" t="s">
        <v>128</v>
      </c>
      <c r="H1090" s="385"/>
      <c r="I1090" s="385"/>
      <c r="J1090" s="30"/>
      <c r="K1090" s="385" t="s">
        <v>57</v>
      </c>
      <c r="L1090" s="385"/>
      <c r="M1090" s="385"/>
      <c r="N1090" s="385"/>
      <c r="O1090" s="385"/>
      <c r="P1090" s="385" t="str">
        <f>IFERROR(
    IF(
        OR(ISBLANK(I1090), ISBLANK(L1090)),
        "",
        MAX(
            1,
            IF(
                NETWORKDAYS(I1090, L1090, Holiday_Dates) &lt;= 0,
                1,
                NETWORKDAYS(I1090, L1090, Holiday_Dates) - IF(I1090 = L1090, 0, 1)
            )
        )
    ),
    ""
)</f>
        <v/>
      </c>
      <c r="Q1090" s="385" t="str">
        <f>IF(
    OR(ISBLANK(L1090), ISBLANK(M1090)),
    "",
    MAX(
        1,
        IF(
            NETWORKDAYS(L1090, M1090, Holiday_Dates) &lt;= 0,
            1,
            NETWORKDAYS(L1090, M1090, Holiday_Dates) - IF(L1090 = M1090, 0, 1)
        )
    )
)</f>
        <v/>
      </c>
      <c r="R1090" s="385" t="str">
        <f>IFERROR(
    IF(
        OR(ISBLANK(N1090), AND(ISBLANK(L1090), ISBLANK(M1090))),
        "",
        MAX(
            1,
            IF(
                NETWORKDAYS(IF(NOT(ISBLANK(M1090)), M1090, L1090), N1090, Holiday_Dates) &lt;= 0,
                1,
                NETWORKDAYS(IF(NOT(ISBLANK(M1090)), M1090, L1090), N1090, Holiday_Dates)
                - IF(IF(NOT(ISBLANK(M1090)), M1090, L1090) = N1090, 0, 1)
            )
        )
    ),
    ""
)</f>
        <v/>
      </c>
      <c r="S1090" s="385" t="str">
        <f>IFERROR(
    IF(
        OR(ISBLANK(N1090), ISBLANK(O1090)),
        "",
        MAX(
            1,
            IF(
                NETWORKDAYS(N1090, O1090, Holiday_Dates) &lt;= 0,
                1,
                NETWORKDAYS(N1090, O1090, Holiday_Dates) - IF(N1090 = O1090, 0, 1)
            )
        )
    ),
    ""
)</f>
        <v/>
      </c>
      <c r="T1090" s="385"/>
      <c r="U1090" s="385"/>
      <c r="V1090" s="385"/>
      <c r="W1090" s="385" t="s">
        <v>4710</v>
      </c>
      <c r="X1090" s="1"/>
    </row>
    <row r="1091" spans="1:24">
      <c r="A1091" s="385" t="s">
        <v>49</v>
      </c>
      <c r="B1091" s="385" t="s">
        <v>437</v>
      </c>
      <c r="C1091" s="385" t="s">
        <v>2429</v>
      </c>
      <c r="D1091" s="385" t="s">
        <v>88</v>
      </c>
      <c r="E1091" s="385" t="s">
        <v>136</v>
      </c>
      <c r="F1091" s="385"/>
      <c r="G1091" s="385" t="s">
        <v>128</v>
      </c>
      <c r="H1091" s="385"/>
      <c r="I1091" s="385"/>
      <c r="J1091" s="30"/>
      <c r="K1091" s="385" t="s">
        <v>57</v>
      </c>
      <c r="L1091" s="385"/>
      <c r="M1091" s="385"/>
      <c r="N1091" s="385"/>
      <c r="O1091" s="385"/>
      <c r="P1091" s="385" t="str">
        <f>IFERROR(
    IF(
        OR(ISBLANK(I1091), ISBLANK(L1091)),
        "",
        MAX(
            1,
            IF(
                NETWORKDAYS(I1091, L1091, Holiday_Dates) &lt;= 0,
                1,
                NETWORKDAYS(I1091, L1091, Holiday_Dates) - IF(I1091 = L1091, 0, 1)
            )
        )
    ),
    ""
)</f>
        <v/>
      </c>
      <c r="Q1091" s="385" t="str">
        <f>IF(
    OR(ISBLANK(L1091), ISBLANK(M1091)),
    "",
    MAX(
        1,
        IF(
            NETWORKDAYS(L1091, M1091, Holiday_Dates) &lt;= 0,
            1,
            NETWORKDAYS(L1091, M1091, Holiday_Dates) - IF(L1091 = M1091, 0, 1)
        )
    )
)</f>
        <v/>
      </c>
      <c r="R1091" s="385" t="str">
        <f>IFERROR(
    IF(
        OR(ISBLANK(N1091), AND(ISBLANK(L1091), ISBLANK(M1091))),
        "",
        MAX(
            1,
            IF(
                NETWORKDAYS(IF(NOT(ISBLANK(M1091)), M1091, L1091), N1091, Holiday_Dates) &lt;= 0,
                1,
                NETWORKDAYS(IF(NOT(ISBLANK(M1091)), M1091, L1091), N1091, Holiday_Dates)
                - IF(IF(NOT(ISBLANK(M1091)), M1091, L1091) = N1091, 0, 1)
            )
        )
    ),
    ""
)</f>
        <v/>
      </c>
      <c r="S1091" s="385" t="str">
        <f>IFERROR(
    IF(
        OR(ISBLANK(N1091), ISBLANK(O1091)),
        "",
        MAX(
            1,
            IF(
                NETWORKDAYS(N1091, O1091, Holiday_Dates) &lt;= 0,
                1,
                NETWORKDAYS(N1091, O1091, Holiday_Dates) - IF(N1091 = O1091, 0, 1)
            )
        )
    ),
    ""
)</f>
        <v/>
      </c>
      <c r="T1091" s="385"/>
      <c r="U1091" s="385"/>
      <c r="V1091" s="385"/>
      <c r="W1091" s="385" t="s">
        <v>4710</v>
      </c>
      <c r="X1091" s="1"/>
    </row>
    <row r="1092" spans="1:24">
      <c r="A1092" s="385" t="s">
        <v>49</v>
      </c>
      <c r="B1092" s="385" t="s">
        <v>437</v>
      </c>
      <c r="C1092" s="385" t="s">
        <v>2432</v>
      </c>
      <c r="D1092" s="385" t="s">
        <v>88</v>
      </c>
      <c r="E1092" s="385" t="s">
        <v>136</v>
      </c>
      <c r="F1092" s="385"/>
      <c r="G1092" s="385" t="s">
        <v>128</v>
      </c>
      <c r="H1092" s="385"/>
      <c r="I1092" s="385"/>
      <c r="J1092" s="30"/>
      <c r="K1092" s="385" t="s">
        <v>57</v>
      </c>
      <c r="L1092" s="385"/>
      <c r="M1092" s="385"/>
      <c r="N1092" s="385"/>
      <c r="O1092" s="385"/>
      <c r="P1092" s="385" t="str">
        <f>IFERROR(
    IF(
        OR(ISBLANK(I1092), ISBLANK(L1092)),
        "",
        MAX(
            1,
            IF(
                NETWORKDAYS(I1092, L1092, Holiday_Dates) &lt;= 0,
                1,
                NETWORKDAYS(I1092, L1092, Holiday_Dates) - IF(I1092 = L1092, 0, 1)
            )
        )
    ),
    ""
)</f>
        <v/>
      </c>
      <c r="Q1092" s="385" t="str">
        <f>IF(
    OR(ISBLANK(L1092), ISBLANK(M1092)),
    "",
    MAX(
        1,
        IF(
            NETWORKDAYS(L1092, M1092, Holiday_Dates) &lt;= 0,
            1,
            NETWORKDAYS(L1092, M1092, Holiday_Dates) - IF(L1092 = M1092, 0, 1)
        )
    )
)</f>
        <v/>
      </c>
      <c r="R1092" s="385" t="str">
        <f>IFERROR(
    IF(
        OR(ISBLANK(N1092), AND(ISBLANK(L1092), ISBLANK(M1092))),
        "",
        MAX(
            1,
            IF(
                NETWORKDAYS(IF(NOT(ISBLANK(M1092)), M1092, L1092), N1092, Holiday_Dates) &lt;= 0,
                1,
                NETWORKDAYS(IF(NOT(ISBLANK(M1092)), M1092, L1092), N1092, Holiday_Dates)
                - IF(IF(NOT(ISBLANK(M1092)), M1092, L1092) = N1092, 0, 1)
            )
        )
    ),
    ""
)</f>
        <v/>
      </c>
      <c r="S1092" s="385" t="str">
        <f>IFERROR(
    IF(
        OR(ISBLANK(N1092), ISBLANK(O1092)),
        "",
        MAX(
            1,
            IF(
                NETWORKDAYS(N1092, O1092, Holiday_Dates) &lt;= 0,
                1,
                NETWORKDAYS(N1092, O1092, Holiday_Dates) - IF(N1092 = O1092, 0, 1)
            )
        )
    ),
    ""
)</f>
        <v/>
      </c>
      <c r="T1092" s="385"/>
      <c r="U1092" s="385"/>
      <c r="V1092" s="385"/>
      <c r="W1092" s="385" t="s">
        <v>4710</v>
      </c>
      <c r="X1092" s="1"/>
    </row>
    <row r="1093" spans="1:24">
      <c r="A1093" s="385" t="s">
        <v>65</v>
      </c>
      <c r="B1093" s="385" t="s">
        <v>1314</v>
      </c>
      <c r="C1093" s="385" t="s">
        <v>2849</v>
      </c>
      <c r="D1093" s="385" t="s">
        <v>88</v>
      </c>
      <c r="E1093" s="385"/>
      <c r="F1093" s="385"/>
      <c r="G1093" s="385"/>
      <c r="H1093" s="385">
        <v>2024</v>
      </c>
      <c r="I1093" s="386">
        <v>45520</v>
      </c>
      <c r="J1093" s="30"/>
      <c r="K1093" s="385"/>
      <c r="L1093" s="385"/>
      <c r="M1093" s="385"/>
      <c r="N1093" s="385"/>
      <c r="O1093" s="385"/>
      <c r="P1093" s="385" t="str">
        <f>IFERROR(
    IF(
        OR(ISBLANK(I1093), ISBLANK(L1093)),
        "",
        MAX(
            1,
            IF(
                NETWORKDAYS(I1093, L1093, Holiday_Dates) &lt;= 0,
                1,
                NETWORKDAYS(I1093, L1093, Holiday_Dates) - IF(I1093 = L1093, 0, 1)
            )
        )
    ),
    ""
)</f>
        <v/>
      </c>
      <c r="Q1093" s="385" t="str">
        <f>IF(
    OR(ISBLANK(L1093), ISBLANK(M1093)),
    "",
    MAX(
        1,
        IF(
            NETWORKDAYS(L1093, M1093, Holiday_Dates) &lt;= 0,
            1,
            NETWORKDAYS(L1093, M1093, Holiday_Dates) - IF(L1093 = M1093, 0, 1)
        )
    )
)</f>
        <v/>
      </c>
      <c r="R1093" s="385" t="str">
        <f>IFERROR(
    IF(
        OR(ISBLANK(N1093), AND(ISBLANK(L1093), ISBLANK(M1093))),
        "",
        MAX(
            1,
            IF(
                NETWORKDAYS(IF(NOT(ISBLANK(M1093)), M1093, L1093), N1093, Holiday_Dates) &lt;= 0,
                1,
                NETWORKDAYS(IF(NOT(ISBLANK(M1093)), M1093, L1093), N1093, Holiday_Dates)
                - IF(IF(NOT(ISBLANK(M1093)), M1093, L1093) = N1093, 0, 1)
            )
        )
    ),
    ""
)</f>
        <v/>
      </c>
      <c r="S1093" s="385" t="str">
        <f>IFERROR(
    IF(
        OR(ISBLANK(N1093), ISBLANK(O1093)),
        "",
        MAX(
            1,
            IF(
                NETWORKDAYS(N1093, O1093, Holiday_Dates) &lt;= 0,
                1,
                NETWORKDAYS(N1093, O1093, Holiday_Dates) - IF(N1093 = O1093, 0, 1)
            )
        )
    ),
    ""
)</f>
        <v/>
      </c>
      <c r="T1093" s="385"/>
      <c r="U1093" s="385" t="s">
        <v>4</v>
      </c>
      <c r="V1093" s="385" t="s">
        <v>101</v>
      </c>
      <c r="W1093" s="385" t="s">
        <v>1436</v>
      </c>
      <c r="X1093" s="1"/>
    </row>
    <row r="1094" spans="1:24">
      <c r="A1094" s="385" t="s">
        <v>49</v>
      </c>
      <c r="B1094" s="385" t="s">
        <v>437</v>
      </c>
      <c r="C1094" s="385" t="s">
        <v>2464</v>
      </c>
      <c r="D1094" s="385" t="s">
        <v>88</v>
      </c>
      <c r="E1094" s="385" t="s">
        <v>136</v>
      </c>
      <c r="F1094" s="385"/>
      <c r="G1094" s="385" t="s">
        <v>128</v>
      </c>
      <c r="H1094" s="385"/>
      <c r="I1094" s="385"/>
      <c r="J1094" s="30"/>
      <c r="K1094" s="385" t="s">
        <v>57</v>
      </c>
      <c r="L1094" s="385"/>
      <c r="M1094" s="385"/>
      <c r="N1094" s="385"/>
      <c r="O1094" s="385"/>
      <c r="P1094" s="385" t="str">
        <f>IFERROR(
    IF(
        OR(ISBLANK(I1094), ISBLANK(L1094)),
        "",
        MAX(
            1,
            IF(
                NETWORKDAYS(I1094, L1094, Holiday_Dates) &lt;= 0,
                1,
                NETWORKDAYS(I1094, L1094, Holiday_Dates) - IF(I1094 = L1094, 0, 1)
            )
        )
    ),
    ""
)</f>
        <v/>
      </c>
      <c r="Q1094" s="385" t="str">
        <f>IF(
    OR(ISBLANK(L1094), ISBLANK(M1094)),
    "",
    MAX(
        1,
        IF(
            NETWORKDAYS(L1094, M1094, Holiday_Dates) &lt;= 0,
            1,
            NETWORKDAYS(L1094, M1094, Holiday_Dates) - IF(L1094 = M1094, 0, 1)
        )
    )
)</f>
        <v/>
      </c>
      <c r="R1094" s="385" t="str">
        <f>IFERROR(
    IF(
        OR(ISBLANK(N1094), AND(ISBLANK(L1094), ISBLANK(M1094))),
        "",
        MAX(
            1,
            IF(
                NETWORKDAYS(IF(NOT(ISBLANK(M1094)), M1094, L1094), N1094, Holiday_Dates) &lt;= 0,
                1,
                NETWORKDAYS(IF(NOT(ISBLANK(M1094)), M1094, L1094), N1094, Holiday_Dates)
                - IF(IF(NOT(ISBLANK(M1094)), M1094, L1094) = N1094, 0, 1)
            )
        )
    ),
    ""
)</f>
        <v/>
      </c>
      <c r="S1094" s="385" t="str">
        <f>IFERROR(
    IF(
        OR(ISBLANK(N1094), ISBLANK(O1094)),
        "",
        MAX(
            1,
            IF(
                NETWORKDAYS(N1094, O1094, Holiday_Dates) &lt;= 0,
                1,
                NETWORKDAYS(N1094, O1094, Holiday_Dates) - IF(N1094 = O1094, 0, 1)
            )
        )
    ),
    ""
)</f>
        <v/>
      </c>
      <c r="T1094" s="385"/>
      <c r="U1094" s="385"/>
      <c r="V1094" s="385"/>
      <c r="W1094" s="385" t="s">
        <v>4710</v>
      </c>
      <c r="X1094" s="1"/>
    </row>
    <row r="1095" spans="1:24">
      <c r="A1095" s="385" t="s">
        <v>49</v>
      </c>
      <c r="B1095" s="385" t="s">
        <v>437</v>
      </c>
      <c r="C1095" s="385" t="s">
        <v>2465</v>
      </c>
      <c r="D1095" s="385" t="s">
        <v>88</v>
      </c>
      <c r="E1095" s="385" t="s">
        <v>136</v>
      </c>
      <c r="F1095" s="385"/>
      <c r="G1095" s="385" t="s">
        <v>128</v>
      </c>
      <c r="H1095" s="385"/>
      <c r="I1095" s="385"/>
      <c r="J1095" s="30"/>
      <c r="K1095" s="385" t="s">
        <v>57</v>
      </c>
      <c r="L1095" s="385"/>
      <c r="M1095" s="385"/>
      <c r="N1095" s="385"/>
      <c r="O1095" s="385"/>
      <c r="P1095" s="385" t="str">
        <f>IFERROR(
    IF(
        OR(ISBLANK(I1095), ISBLANK(L1095)),
        "",
        MAX(
            1,
            IF(
                NETWORKDAYS(I1095, L1095, Holiday_Dates) &lt;= 0,
                1,
                NETWORKDAYS(I1095, L1095, Holiday_Dates) - IF(I1095 = L1095, 0, 1)
            )
        )
    ),
    ""
)</f>
        <v/>
      </c>
      <c r="Q1095" s="385" t="str">
        <f>IF(
    OR(ISBLANK(L1095), ISBLANK(M1095)),
    "",
    MAX(
        1,
        IF(
            NETWORKDAYS(L1095, M1095, Holiday_Dates) &lt;= 0,
            1,
            NETWORKDAYS(L1095, M1095, Holiday_Dates) - IF(L1095 = M1095, 0, 1)
        )
    )
)</f>
        <v/>
      </c>
      <c r="R1095" s="385" t="str">
        <f>IFERROR(
    IF(
        OR(ISBLANK(N1095), AND(ISBLANK(L1095), ISBLANK(M1095))),
        "",
        MAX(
            1,
            IF(
                NETWORKDAYS(IF(NOT(ISBLANK(M1095)), M1095, L1095), N1095, Holiday_Dates) &lt;= 0,
                1,
                NETWORKDAYS(IF(NOT(ISBLANK(M1095)), M1095, L1095), N1095, Holiday_Dates)
                - IF(IF(NOT(ISBLANK(M1095)), M1095, L1095) = N1095, 0, 1)
            )
        )
    ),
    ""
)</f>
        <v/>
      </c>
      <c r="S1095" s="385" t="str">
        <f>IFERROR(
    IF(
        OR(ISBLANK(N1095), ISBLANK(O1095)),
        "",
        MAX(
            1,
            IF(
                NETWORKDAYS(N1095, O1095, Holiday_Dates) &lt;= 0,
                1,
                NETWORKDAYS(N1095, O1095, Holiday_Dates) - IF(N1095 = O1095, 0, 1)
            )
        )
    ),
    ""
)</f>
        <v/>
      </c>
      <c r="T1095" s="385"/>
      <c r="U1095" s="385"/>
      <c r="V1095" s="385"/>
      <c r="W1095" s="385" t="s">
        <v>4710</v>
      </c>
      <c r="X1095" s="1"/>
    </row>
    <row r="1096" spans="1:24">
      <c r="A1096" s="385" t="s">
        <v>49</v>
      </c>
      <c r="B1096" s="385" t="s">
        <v>499</v>
      </c>
      <c r="C1096" s="385" t="s">
        <v>2476</v>
      </c>
      <c r="D1096" s="385" t="s">
        <v>88</v>
      </c>
      <c r="E1096" s="385" t="s">
        <v>344</v>
      </c>
      <c r="F1096" s="385"/>
      <c r="G1096" s="385" t="s">
        <v>128</v>
      </c>
      <c r="H1096" s="385"/>
      <c r="I1096" s="385"/>
      <c r="J1096" s="30"/>
      <c r="K1096" s="385" t="s">
        <v>57</v>
      </c>
      <c r="L1096" s="385"/>
      <c r="M1096" s="385"/>
      <c r="N1096" s="385"/>
      <c r="O1096" s="385"/>
      <c r="P1096" s="385" t="str">
        <f>IFERROR(
    IF(
        OR(ISBLANK(I1096), ISBLANK(L1096)),
        "",
        MAX(
            1,
            IF(
                NETWORKDAYS(I1096, L1096, Holiday_Dates) &lt;= 0,
                1,
                NETWORKDAYS(I1096, L1096, Holiday_Dates) - IF(I1096 = L1096, 0, 1)
            )
        )
    ),
    ""
)</f>
        <v/>
      </c>
      <c r="Q1096" s="385" t="str">
        <f>IF(
    OR(ISBLANK(L1096), ISBLANK(M1096)),
    "",
    MAX(
        1,
        IF(
            NETWORKDAYS(L1096, M1096, Holiday_Dates) &lt;= 0,
            1,
            NETWORKDAYS(L1096, M1096, Holiday_Dates) - IF(L1096 = M1096, 0, 1)
        )
    )
)</f>
        <v/>
      </c>
      <c r="R1096" s="385" t="str">
        <f>IFERROR(
    IF(
        OR(ISBLANK(N1096), AND(ISBLANK(L1096), ISBLANK(M1096))),
        "",
        MAX(
            1,
            IF(
                NETWORKDAYS(IF(NOT(ISBLANK(M1096)), M1096, L1096), N1096, Holiday_Dates) &lt;= 0,
                1,
                NETWORKDAYS(IF(NOT(ISBLANK(M1096)), M1096, L1096), N1096, Holiday_Dates)
                - IF(IF(NOT(ISBLANK(M1096)), M1096, L1096) = N1096, 0, 1)
            )
        )
    ),
    ""
)</f>
        <v/>
      </c>
      <c r="S1096" s="385" t="str">
        <f>IFERROR(
    IF(
        OR(ISBLANK(N1096), ISBLANK(O1096)),
        "",
        MAX(
            1,
            IF(
                NETWORKDAYS(N1096, O1096, Holiday_Dates) &lt;= 0,
                1,
                NETWORKDAYS(N1096, O1096, Holiday_Dates) - IF(N1096 = O1096, 0, 1)
            )
        )
    ),
    ""
)</f>
        <v/>
      </c>
      <c r="T1096" s="385"/>
      <c r="U1096" s="385"/>
      <c r="V1096" s="385"/>
      <c r="W1096" s="385" t="s">
        <v>4710</v>
      </c>
      <c r="X1096" s="1"/>
    </row>
    <row r="1097" spans="1:24">
      <c r="A1097" s="385" t="s">
        <v>49</v>
      </c>
      <c r="B1097" s="385" t="s">
        <v>499</v>
      </c>
      <c r="C1097" s="385" t="s">
        <v>2477</v>
      </c>
      <c r="D1097" s="385" t="s">
        <v>88</v>
      </c>
      <c r="E1097" s="385" t="s">
        <v>344</v>
      </c>
      <c r="F1097" s="385"/>
      <c r="G1097" s="385" t="s">
        <v>128</v>
      </c>
      <c r="H1097" s="385"/>
      <c r="I1097" s="385"/>
      <c r="J1097" s="30"/>
      <c r="K1097" s="385" t="s">
        <v>57</v>
      </c>
      <c r="L1097" s="385"/>
      <c r="M1097" s="385"/>
      <c r="N1097" s="385"/>
      <c r="O1097" s="385"/>
      <c r="P1097" s="385" t="str">
        <f>IFERROR(
    IF(
        OR(ISBLANK(I1097), ISBLANK(L1097)),
        "",
        MAX(
            1,
            IF(
                NETWORKDAYS(I1097, L1097, Holiday_Dates) &lt;= 0,
                1,
                NETWORKDAYS(I1097, L1097, Holiday_Dates) - IF(I1097 = L1097, 0, 1)
            )
        )
    ),
    ""
)</f>
        <v/>
      </c>
      <c r="Q1097" s="385" t="str">
        <f>IF(
    OR(ISBLANK(L1097), ISBLANK(M1097)),
    "",
    MAX(
        1,
        IF(
            NETWORKDAYS(L1097, M1097, Holiday_Dates) &lt;= 0,
            1,
            NETWORKDAYS(L1097, M1097, Holiday_Dates) - IF(L1097 = M1097, 0, 1)
        )
    )
)</f>
        <v/>
      </c>
      <c r="R1097" s="385" t="str">
        <f>IFERROR(
    IF(
        OR(ISBLANK(N1097), AND(ISBLANK(L1097), ISBLANK(M1097))),
        "",
        MAX(
            1,
            IF(
                NETWORKDAYS(IF(NOT(ISBLANK(M1097)), M1097, L1097), N1097, Holiday_Dates) &lt;= 0,
                1,
                NETWORKDAYS(IF(NOT(ISBLANK(M1097)), M1097, L1097), N1097, Holiday_Dates)
                - IF(IF(NOT(ISBLANK(M1097)), M1097, L1097) = N1097, 0, 1)
            )
        )
    ),
    ""
)</f>
        <v/>
      </c>
      <c r="S1097" s="385" t="str">
        <f>IFERROR(
    IF(
        OR(ISBLANK(N1097), ISBLANK(O1097)),
        "",
        MAX(
            1,
            IF(
                NETWORKDAYS(N1097, O1097, Holiday_Dates) &lt;= 0,
                1,
                NETWORKDAYS(N1097, O1097, Holiday_Dates) - IF(N1097 = O1097, 0, 1)
            )
        )
    ),
    ""
)</f>
        <v/>
      </c>
      <c r="T1097" s="385"/>
      <c r="U1097" s="385"/>
      <c r="V1097" s="385"/>
      <c r="W1097" s="385" t="s">
        <v>4710</v>
      </c>
      <c r="X1097" s="1"/>
    </row>
    <row r="1098" spans="1:24">
      <c r="A1098" s="385" t="s">
        <v>65</v>
      </c>
      <c r="B1098" s="385" t="s">
        <v>1314</v>
      </c>
      <c r="C1098" s="385" t="s">
        <v>2866</v>
      </c>
      <c r="D1098" s="385" t="s">
        <v>88</v>
      </c>
      <c r="E1098" s="385"/>
      <c r="F1098" s="385"/>
      <c r="G1098" s="385"/>
      <c r="H1098" s="385">
        <v>2024</v>
      </c>
      <c r="I1098" s="386">
        <v>45526</v>
      </c>
      <c r="J1098" s="30"/>
      <c r="K1098" s="385"/>
      <c r="L1098" s="385"/>
      <c r="M1098" s="385"/>
      <c r="N1098" s="385"/>
      <c r="O1098" s="385"/>
      <c r="P1098" s="385" t="str">
        <f>IFERROR(
    IF(
        OR(ISBLANK(I1098), ISBLANK(L1098)),
        "",
        MAX(
            1,
            IF(
                NETWORKDAYS(I1098, L1098, Holiday_Dates) &lt;= 0,
                1,
                NETWORKDAYS(I1098, L1098, Holiday_Dates) - IF(I1098 = L1098, 0, 1)
            )
        )
    ),
    ""
)</f>
        <v/>
      </c>
      <c r="Q1098" s="385" t="str">
        <f>IF(
    OR(ISBLANK(L1098), ISBLANK(M1098)),
    "",
    MAX(
        1,
        IF(
            NETWORKDAYS(L1098, M1098, Holiday_Dates) &lt;= 0,
            1,
            NETWORKDAYS(L1098, M1098, Holiday_Dates) - IF(L1098 = M1098, 0, 1)
        )
    )
)</f>
        <v/>
      </c>
      <c r="R1098" s="385" t="str">
        <f>IFERROR(
    IF(
        OR(ISBLANK(N1098), AND(ISBLANK(L1098), ISBLANK(M1098))),
        "",
        MAX(
            1,
            IF(
                NETWORKDAYS(IF(NOT(ISBLANK(M1098)), M1098, L1098), N1098, Holiday_Dates) &lt;= 0,
                1,
                NETWORKDAYS(IF(NOT(ISBLANK(M1098)), M1098, L1098), N1098, Holiday_Dates)
                - IF(IF(NOT(ISBLANK(M1098)), M1098, L1098) = N1098, 0, 1)
            )
        )
    ),
    ""
)</f>
        <v/>
      </c>
      <c r="S1098" s="385" t="str">
        <f>IFERROR(
    IF(
        OR(ISBLANK(N1098), ISBLANK(O1098)),
        "",
        MAX(
            1,
            IF(
                NETWORKDAYS(N1098, O1098, Holiday_Dates) &lt;= 0,
                1,
                NETWORKDAYS(N1098, O1098, Holiday_Dates) - IF(N1098 = O1098, 0, 1)
            )
        )
    ),
    ""
)</f>
        <v/>
      </c>
      <c r="T1098" s="385"/>
      <c r="U1098" s="385" t="s">
        <v>4</v>
      </c>
      <c r="V1098" s="385" t="s">
        <v>101</v>
      </c>
      <c r="W1098" s="385" t="s">
        <v>1436</v>
      </c>
      <c r="X1098" s="1"/>
    </row>
    <row r="1099" spans="1:24">
      <c r="A1099" s="385" t="s">
        <v>49</v>
      </c>
      <c r="B1099" s="385" t="s">
        <v>499</v>
      </c>
      <c r="C1099" s="385" t="s">
        <v>2481</v>
      </c>
      <c r="D1099" s="385" t="s">
        <v>88</v>
      </c>
      <c r="E1099" s="385" t="s">
        <v>344</v>
      </c>
      <c r="F1099" s="385"/>
      <c r="G1099" s="385" t="s">
        <v>128</v>
      </c>
      <c r="H1099" s="385"/>
      <c r="I1099" s="385"/>
      <c r="J1099" s="30"/>
      <c r="K1099" s="385" t="s">
        <v>57</v>
      </c>
      <c r="L1099" s="385"/>
      <c r="M1099" s="385"/>
      <c r="N1099" s="385"/>
      <c r="O1099" s="385"/>
      <c r="P1099" s="385" t="str">
        <f>IFERROR(
    IF(
        OR(ISBLANK(I1099), ISBLANK(L1099)),
        "",
        MAX(
            1,
            IF(
                NETWORKDAYS(I1099, L1099, Holiday_Dates) &lt;= 0,
                1,
                NETWORKDAYS(I1099, L1099, Holiday_Dates) - IF(I1099 = L1099, 0, 1)
            )
        )
    ),
    ""
)</f>
        <v/>
      </c>
      <c r="Q1099" s="385" t="str">
        <f>IF(
    OR(ISBLANK(L1099), ISBLANK(M1099)),
    "",
    MAX(
        1,
        IF(
            NETWORKDAYS(L1099, M1099, Holiday_Dates) &lt;= 0,
            1,
            NETWORKDAYS(L1099, M1099, Holiday_Dates) - IF(L1099 = M1099, 0, 1)
        )
    )
)</f>
        <v/>
      </c>
      <c r="R1099" s="385" t="str">
        <f>IFERROR(
    IF(
        OR(ISBLANK(N1099), AND(ISBLANK(L1099), ISBLANK(M1099))),
        "",
        MAX(
            1,
            IF(
                NETWORKDAYS(IF(NOT(ISBLANK(M1099)), M1099, L1099), N1099, Holiday_Dates) &lt;= 0,
                1,
                NETWORKDAYS(IF(NOT(ISBLANK(M1099)), M1099, L1099), N1099, Holiday_Dates)
                - IF(IF(NOT(ISBLANK(M1099)), M1099, L1099) = N1099, 0, 1)
            )
        )
    ),
    ""
)</f>
        <v/>
      </c>
      <c r="S1099" s="385" t="str">
        <f>IFERROR(
    IF(
        OR(ISBLANK(N1099), ISBLANK(O1099)),
        "",
        MAX(
            1,
            IF(
                NETWORKDAYS(N1099, O1099, Holiday_Dates) &lt;= 0,
                1,
                NETWORKDAYS(N1099, O1099, Holiday_Dates) - IF(N1099 = O1099, 0, 1)
            )
        )
    ),
    ""
)</f>
        <v/>
      </c>
      <c r="T1099" s="385"/>
      <c r="U1099" s="385"/>
      <c r="V1099" s="385"/>
      <c r="W1099" s="385" t="s">
        <v>4710</v>
      </c>
      <c r="X1099" s="1"/>
    </row>
    <row r="1100" spans="1:24">
      <c r="A1100" s="385" t="s">
        <v>65</v>
      </c>
      <c r="B1100" s="385" t="s">
        <v>1314</v>
      </c>
      <c r="C1100" s="385" t="s">
        <v>2852</v>
      </c>
      <c r="D1100" s="385" t="s">
        <v>88</v>
      </c>
      <c r="E1100" s="385"/>
      <c r="F1100" s="385"/>
      <c r="G1100" s="385"/>
      <c r="H1100" s="385">
        <v>2025</v>
      </c>
      <c r="I1100" s="386">
        <v>45938</v>
      </c>
      <c r="J1100" s="30" t="s">
        <v>5175</v>
      </c>
      <c r="K1100" s="385"/>
      <c r="L1100" s="385"/>
      <c r="M1100" s="385"/>
      <c r="N1100" s="385"/>
      <c r="O1100" s="385"/>
      <c r="P1100" s="385" t="str">
        <f>IFERROR(
    IF(
        OR(ISBLANK(I1100), ISBLANK(L1100)),
        "",
        MAX(
            1,
            IF(
                NETWORKDAYS(I1100, L1100, Holiday_Dates) &lt;= 0,
                1,
                NETWORKDAYS(I1100, L1100, Holiday_Dates) - IF(I1100 = L1100, 0, 1)
            )
        )
    ),
    ""
)</f>
        <v/>
      </c>
      <c r="Q1100" s="385" t="str">
        <f>IF(
    OR(ISBLANK(L1100), ISBLANK(M1100)),
    "",
    MAX(
        1,
        IF(
            NETWORKDAYS(L1100, M1100, Holiday_Dates) &lt;= 0,
            1,
            NETWORKDAYS(L1100, M1100, Holiday_Dates) - IF(L1100 = M1100, 0, 1)
        )
    )
)</f>
        <v/>
      </c>
      <c r="R1100" s="385" t="str">
        <f>IFERROR(
    IF(
        OR(ISBLANK(N1100), AND(ISBLANK(L1100), ISBLANK(M1100))),
        "",
        MAX(
            1,
            IF(
                NETWORKDAYS(IF(NOT(ISBLANK(M1100)), M1100, L1100), N1100, Holiday_Dates) &lt;= 0,
                1,
                NETWORKDAYS(IF(NOT(ISBLANK(M1100)), M1100, L1100), N1100, Holiday_Dates)
                - IF(IF(NOT(ISBLANK(M1100)), M1100, L1100) = N1100, 0, 1)
            )
        )
    ),
    ""
)</f>
        <v/>
      </c>
      <c r="S1100" s="385" t="str">
        <f>IFERROR(
    IF(
        OR(ISBLANK(N1100), ISBLANK(O1100)),
        "",
        MAX(
            1,
            IF(
                NETWORKDAYS(N1100, O1100, Holiday_Dates) &lt;= 0,
                1,
                NETWORKDAYS(N1100, O1100, Holiday_Dates) - IF(N1100 = O1100, 0, 1)
            )
        )
    ),
    ""
)</f>
        <v/>
      </c>
      <c r="T1100" s="385"/>
      <c r="U1100" s="385" t="s">
        <v>4</v>
      </c>
      <c r="V1100" s="385" t="s">
        <v>101</v>
      </c>
      <c r="W1100" s="385" t="s">
        <v>1436</v>
      </c>
      <c r="X1100" s="1"/>
    </row>
    <row r="1101" spans="1:24">
      <c r="A1101" s="385" t="s">
        <v>49</v>
      </c>
      <c r="B1101" s="385" t="s">
        <v>499</v>
      </c>
      <c r="C1101" s="385" t="s">
        <v>2482</v>
      </c>
      <c r="D1101" s="385" t="s">
        <v>88</v>
      </c>
      <c r="E1101" s="385" t="s">
        <v>344</v>
      </c>
      <c r="F1101" s="385"/>
      <c r="G1101" s="385" t="s">
        <v>128</v>
      </c>
      <c r="H1101" s="385"/>
      <c r="I1101" s="385"/>
      <c r="J1101" s="30"/>
      <c r="K1101" s="385" t="s">
        <v>57</v>
      </c>
      <c r="L1101" s="385"/>
      <c r="M1101" s="385"/>
      <c r="N1101" s="385"/>
      <c r="O1101" s="385"/>
      <c r="P1101" s="385" t="str">
        <f>IFERROR(
    IF(
        OR(ISBLANK(I1101), ISBLANK(L1101)),
        "",
        MAX(
            1,
            IF(
                NETWORKDAYS(I1101, L1101, Holiday_Dates) &lt;= 0,
                1,
                NETWORKDAYS(I1101, L1101, Holiday_Dates) - IF(I1101 = L1101, 0, 1)
            )
        )
    ),
    ""
)</f>
        <v/>
      </c>
      <c r="Q1101" s="385" t="str">
        <f>IF(
    OR(ISBLANK(L1101), ISBLANK(M1101)),
    "",
    MAX(
        1,
        IF(
            NETWORKDAYS(L1101, M1101, Holiday_Dates) &lt;= 0,
            1,
            NETWORKDAYS(L1101, M1101, Holiday_Dates) - IF(L1101 = M1101, 0, 1)
        )
    )
)</f>
        <v/>
      </c>
      <c r="R1101" s="385" t="str">
        <f>IFERROR(
    IF(
        OR(ISBLANK(N1101), AND(ISBLANK(L1101), ISBLANK(M1101))),
        "",
        MAX(
            1,
            IF(
                NETWORKDAYS(IF(NOT(ISBLANK(M1101)), M1101, L1101), N1101, Holiday_Dates) &lt;= 0,
                1,
                NETWORKDAYS(IF(NOT(ISBLANK(M1101)), M1101, L1101), N1101, Holiday_Dates)
                - IF(IF(NOT(ISBLANK(M1101)), M1101, L1101) = N1101, 0, 1)
            )
        )
    ),
    ""
)</f>
        <v/>
      </c>
      <c r="S1101" s="385" t="str">
        <f>IFERROR(
    IF(
        OR(ISBLANK(N1101), ISBLANK(O1101)),
        "",
        MAX(
            1,
            IF(
                NETWORKDAYS(N1101, O1101, Holiday_Dates) &lt;= 0,
                1,
                NETWORKDAYS(N1101, O1101, Holiday_Dates) - IF(N1101 = O1101, 0, 1)
            )
        )
    ),
    ""
)</f>
        <v/>
      </c>
      <c r="T1101" s="385"/>
      <c r="U1101" s="385"/>
      <c r="V1101" s="385"/>
      <c r="W1101" s="385" t="s">
        <v>4710</v>
      </c>
      <c r="X1101" s="1"/>
    </row>
    <row r="1102" spans="1:24">
      <c r="A1102" s="385" t="s">
        <v>49</v>
      </c>
      <c r="B1102" s="385" t="s">
        <v>499</v>
      </c>
      <c r="C1102" s="385" t="s">
        <v>2484</v>
      </c>
      <c r="D1102" s="385" t="s">
        <v>88</v>
      </c>
      <c r="E1102" s="385" t="s">
        <v>344</v>
      </c>
      <c r="F1102" s="385"/>
      <c r="G1102" s="385" t="s">
        <v>128</v>
      </c>
      <c r="H1102" s="385"/>
      <c r="I1102" s="385"/>
      <c r="J1102" s="30"/>
      <c r="K1102" s="385" t="s">
        <v>57</v>
      </c>
      <c r="L1102" s="385"/>
      <c r="M1102" s="385"/>
      <c r="N1102" s="385"/>
      <c r="O1102" s="385"/>
      <c r="P1102" s="385" t="str">
        <f>IFERROR(
    IF(
        OR(ISBLANK(I1102), ISBLANK(L1102)),
        "",
        MAX(
            1,
            IF(
                NETWORKDAYS(I1102, L1102, Holiday_Dates) &lt;= 0,
                1,
                NETWORKDAYS(I1102, L1102, Holiday_Dates) - IF(I1102 = L1102, 0, 1)
            )
        )
    ),
    ""
)</f>
        <v/>
      </c>
      <c r="Q1102" s="385" t="str">
        <f>IF(
    OR(ISBLANK(L1102), ISBLANK(M1102)),
    "",
    MAX(
        1,
        IF(
            NETWORKDAYS(L1102, M1102, Holiday_Dates) &lt;= 0,
            1,
            NETWORKDAYS(L1102, M1102, Holiday_Dates) - IF(L1102 = M1102, 0, 1)
        )
    )
)</f>
        <v/>
      </c>
      <c r="R1102" s="385" t="str">
        <f>IFERROR(
    IF(
        OR(ISBLANK(N1102), AND(ISBLANK(L1102), ISBLANK(M1102))),
        "",
        MAX(
            1,
            IF(
                NETWORKDAYS(IF(NOT(ISBLANK(M1102)), M1102, L1102), N1102, Holiday_Dates) &lt;= 0,
                1,
                NETWORKDAYS(IF(NOT(ISBLANK(M1102)), M1102, L1102), N1102, Holiday_Dates)
                - IF(IF(NOT(ISBLANK(M1102)), M1102, L1102) = N1102, 0, 1)
            )
        )
    ),
    ""
)</f>
        <v/>
      </c>
      <c r="S1102" s="385" t="str">
        <f>IFERROR(
    IF(
        OR(ISBLANK(N1102), ISBLANK(O1102)),
        "",
        MAX(
            1,
            IF(
                NETWORKDAYS(N1102, O1102, Holiday_Dates) &lt;= 0,
                1,
                NETWORKDAYS(N1102, O1102, Holiday_Dates) - IF(N1102 = O1102, 0, 1)
            )
        )
    ),
    ""
)</f>
        <v/>
      </c>
      <c r="T1102" s="385"/>
      <c r="U1102" s="385"/>
      <c r="V1102" s="385"/>
      <c r="W1102" s="385" t="s">
        <v>4710</v>
      </c>
      <c r="X1102" s="1"/>
    </row>
    <row r="1103" spans="1:24">
      <c r="A1103" s="385" t="s">
        <v>49</v>
      </c>
      <c r="B1103" s="385" t="s">
        <v>439</v>
      </c>
      <c r="C1103" s="385" t="s">
        <v>2541</v>
      </c>
      <c r="D1103" s="385" t="s">
        <v>88</v>
      </c>
      <c r="E1103" s="385" t="s">
        <v>377</v>
      </c>
      <c r="F1103" s="385"/>
      <c r="G1103" s="385" t="s">
        <v>128</v>
      </c>
      <c r="H1103" s="385"/>
      <c r="I1103" s="385"/>
      <c r="J1103" s="30"/>
      <c r="K1103" s="385" t="s">
        <v>57</v>
      </c>
      <c r="L1103" s="385"/>
      <c r="M1103" s="385"/>
      <c r="N1103" s="385"/>
      <c r="O1103" s="385"/>
      <c r="P1103" s="385" t="str">
        <f>IFERROR(
    IF(
        OR(ISBLANK(I1103), ISBLANK(L1103)),
        "",
        MAX(
            1,
            IF(
                NETWORKDAYS(I1103, L1103, Holiday_Dates) &lt;= 0,
                1,
                NETWORKDAYS(I1103, L1103, Holiday_Dates) - IF(I1103 = L1103, 0, 1)
            )
        )
    ),
    ""
)</f>
        <v/>
      </c>
      <c r="Q1103" s="385" t="str">
        <f>IF(
    OR(ISBLANK(L1103), ISBLANK(M1103)),
    "",
    MAX(
        1,
        IF(
            NETWORKDAYS(L1103, M1103, Holiday_Dates) &lt;= 0,
            1,
            NETWORKDAYS(L1103, M1103, Holiday_Dates) - IF(L1103 = M1103, 0, 1)
        )
    )
)</f>
        <v/>
      </c>
      <c r="R1103" s="385" t="str">
        <f>IFERROR(
    IF(
        OR(ISBLANK(N1103), AND(ISBLANK(L1103), ISBLANK(M1103))),
        "",
        MAX(
            1,
            IF(
                NETWORKDAYS(IF(NOT(ISBLANK(M1103)), M1103, L1103), N1103, Holiday_Dates) &lt;= 0,
                1,
                NETWORKDAYS(IF(NOT(ISBLANK(M1103)), M1103, L1103), N1103, Holiday_Dates)
                - IF(IF(NOT(ISBLANK(M1103)), M1103, L1103) = N1103, 0, 1)
            )
        )
    ),
    ""
)</f>
        <v/>
      </c>
      <c r="S1103" s="385" t="str">
        <f>IFERROR(
    IF(
        OR(ISBLANK(N1103), ISBLANK(O1103)),
        "",
        MAX(
            1,
            IF(
                NETWORKDAYS(N1103, O1103, Holiday_Dates) &lt;= 0,
                1,
                NETWORKDAYS(N1103, O1103, Holiday_Dates) - IF(N1103 = O1103, 0, 1)
            )
        )
    ),
    ""
)</f>
        <v/>
      </c>
      <c r="T1103" s="385"/>
      <c r="U1103" s="385"/>
      <c r="V1103" s="385"/>
      <c r="W1103" s="385" t="s">
        <v>4710</v>
      </c>
      <c r="X1103" s="1"/>
    </row>
    <row r="1104" spans="1:24">
      <c r="A1104" s="385" t="s">
        <v>65</v>
      </c>
      <c r="B1104" s="385" t="s">
        <v>1314</v>
      </c>
      <c r="C1104" s="385" t="s">
        <v>2855</v>
      </c>
      <c r="D1104" s="385" t="s">
        <v>88</v>
      </c>
      <c r="E1104" s="385"/>
      <c r="F1104" s="385"/>
      <c r="G1104" s="385"/>
      <c r="H1104" s="385">
        <v>2024</v>
      </c>
      <c r="I1104" s="386">
        <v>45504</v>
      </c>
      <c r="J1104" s="30"/>
      <c r="K1104" s="385"/>
      <c r="L1104" s="385"/>
      <c r="M1104" s="385"/>
      <c r="N1104" s="385"/>
      <c r="O1104" s="385"/>
      <c r="P1104" s="385" t="str">
        <f>IFERROR(
    IF(
        OR(ISBLANK(I1104), ISBLANK(L1104)),
        "",
        MAX(
            1,
            IF(
                NETWORKDAYS(I1104, L1104, Holiday_Dates) &lt;= 0,
                1,
                NETWORKDAYS(I1104, L1104, Holiday_Dates) - IF(I1104 = L1104, 0, 1)
            )
        )
    ),
    ""
)</f>
        <v/>
      </c>
      <c r="Q1104" s="385" t="str">
        <f>IF(
    OR(ISBLANK(L1104), ISBLANK(M1104)),
    "",
    MAX(
        1,
        IF(
            NETWORKDAYS(L1104, M1104, Holiday_Dates) &lt;= 0,
            1,
            NETWORKDAYS(L1104, M1104, Holiday_Dates) - IF(L1104 = M1104, 0, 1)
        )
    )
)</f>
        <v/>
      </c>
      <c r="R1104" s="385" t="str">
        <f>IFERROR(
    IF(
        OR(ISBLANK(N1104), AND(ISBLANK(L1104), ISBLANK(M1104))),
        "",
        MAX(
            1,
            IF(
                NETWORKDAYS(IF(NOT(ISBLANK(M1104)), M1104, L1104), N1104, Holiday_Dates) &lt;= 0,
                1,
                NETWORKDAYS(IF(NOT(ISBLANK(M1104)), M1104, L1104), N1104, Holiday_Dates)
                - IF(IF(NOT(ISBLANK(M1104)), M1104, L1104) = N1104, 0, 1)
            )
        )
    ),
    ""
)</f>
        <v/>
      </c>
      <c r="S1104" s="385" t="str">
        <f>IFERROR(
    IF(
        OR(ISBLANK(N1104), ISBLANK(O1104)),
        "",
        MAX(
            1,
            IF(
                NETWORKDAYS(N1104, O1104, Holiday_Dates) &lt;= 0,
                1,
                NETWORKDAYS(N1104, O1104, Holiday_Dates) - IF(N1104 = O1104, 0, 1)
            )
        )
    ),
    ""
)</f>
        <v/>
      </c>
      <c r="T1104" s="385"/>
      <c r="U1104" s="385" t="s">
        <v>4</v>
      </c>
      <c r="V1104" s="385" t="s">
        <v>101</v>
      </c>
      <c r="W1104" s="385" t="s">
        <v>1436</v>
      </c>
      <c r="X1104" s="1"/>
    </row>
    <row r="1105" spans="1:24">
      <c r="A1105" s="385" t="s">
        <v>65</v>
      </c>
      <c r="B1105" s="385" t="s">
        <v>407</v>
      </c>
      <c r="C1105" s="385" t="s">
        <v>2574</v>
      </c>
      <c r="D1105" s="385" t="s">
        <v>88</v>
      </c>
      <c r="E1105" s="385"/>
      <c r="F1105" s="385"/>
      <c r="G1105" s="385"/>
      <c r="H1105" s="385">
        <v>2024</v>
      </c>
      <c r="I1105" s="386">
        <v>45553</v>
      </c>
      <c r="J1105" s="30"/>
      <c r="K1105" s="385"/>
      <c r="L1105" s="385"/>
      <c r="M1105" s="385"/>
      <c r="N1105" s="385"/>
      <c r="O1105" s="385"/>
      <c r="P1105" s="385" t="str">
        <f>IFERROR(
    IF(
        OR(ISBLANK(I1105), ISBLANK(L1105)),
        "",
        MAX(
            1,
            IF(
                NETWORKDAYS(I1105, L1105, Holiday_Dates) &lt;= 0,
                1,
                NETWORKDAYS(I1105, L1105, Holiday_Dates) - IF(I1105 = L1105, 0, 1)
            )
        )
    ),
    ""
)</f>
        <v/>
      </c>
      <c r="Q1105" s="385" t="str">
        <f>IF(
    OR(ISBLANK(L1105), ISBLANK(M1105)),
    "",
    MAX(
        1,
        IF(
            NETWORKDAYS(L1105, M1105, Holiday_Dates) &lt;= 0,
            1,
            NETWORKDAYS(L1105, M1105, Holiday_Dates) - IF(L1105 = M1105, 0, 1)
        )
    )
)</f>
        <v/>
      </c>
      <c r="R1105" s="385" t="str">
        <f>IFERROR(
    IF(
        OR(ISBLANK(N1105), AND(ISBLANK(L1105), ISBLANK(M1105))),
        "",
        MAX(
            1,
            IF(
                NETWORKDAYS(IF(NOT(ISBLANK(M1105)), M1105, L1105), N1105, Holiday_Dates) &lt;= 0,
                1,
                NETWORKDAYS(IF(NOT(ISBLANK(M1105)), M1105, L1105), N1105, Holiday_Dates)
                - IF(IF(NOT(ISBLANK(M1105)), M1105, L1105) = N1105, 0, 1)
            )
        )
    ),
    ""
)</f>
        <v/>
      </c>
      <c r="S1105" s="385" t="str">
        <f>IFERROR(
    IF(
        OR(ISBLANK(N1105), ISBLANK(O1105)),
        "",
        MAX(
            1,
            IF(
                NETWORKDAYS(N1105, O1105, Holiday_Dates) &lt;= 0,
                1,
                NETWORKDAYS(N1105, O1105, Holiday_Dates) - IF(N1105 = O1105, 0, 1)
            )
        )
    ),
    ""
)</f>
        <v/>
      </c>
      <c r="T1105" s="385"/>
      <c r="U1105" s="385" t="s">
        <v>4</v>
      </c>
      <c r="V1105" s="385" t="s">
        <v>101</v>
      </c>
      <c r="W1105" s="385" t="s">
        <v>2873</v>
      </c>
      <c r="X1105" s="1"/>
    </row>
    <row r="1106" spans="1:24">
      <c r="A1106" s="385" t="s">
        <v>65</v>
      </c>
      <c r="B1106" s="385" t="s">
        <v>383</v>
      </c>
      <c r="C1106" s="385" t="s">
        <v>2729</v>
      </c>
      <c r="D1106" s="385" t="s">
        <v>88</v>
      </c>
      <c r="E1106" s="385" t="s">
        <v>140</v>
      </c>
      <c r="F1106" s="385"/>
      <c r="G1106" s="385" t="s">
        <v>130</v>
      </c>
      <c r="H1106" s="385"/>
      <c r="I1106" s="385"/>
      <c r="J1106" s="30"/>
      <c r="K1106" s="385" t="s">
        <v>57</v>
      </c>
      <c r="L1106" s="385"/>
      <c r="M1106" s="385"/>
      <c r="N1106" s="385"/>
      <c r="O1106" s="385"/>
      <c r="P1106" s="385" t="str">
        <f>IFERROR(
    IF(
        OR(ISBLANK(I1106), ISBLANK(L1106)),
        "",
        MAX(
            1,
            IF(
                NETWORKDAYS(I1106, L1106, Holiday_Dates) &lt;= 0,
                1,
                NETWORKDAYS(I1106, L1106, Holiday_Dates) - IF(I1106 = L1106, 0, 1)
            )
        )
    ),
    ""
)</f>
        <v/>
      </c>
      <c r="Q1106" s="385" t="str">
        <f>IF(
    OR(ISBLANK(L1106), ISBLANK(M1106)),
    "",
    MAX(
        1,
        IF(
            NETWORKDAYS(L1106, M1106, Holiday_Dates) &lt;= 0,
            1,
            NETWORKDAYS(L1106, M1106, Holiday_Dates) - IF(L1106 = M1106, 0, 1)
        )
    )
)</f>
        <v/>
      </c>
      <c r="R1106" s="385" t="str">
        <f>IFERROR(
    IF(
        OR(ISBLANK(N1106), AND(ISBLANK(L1106), ISBLANK(M1106))),
        "",
        MAX(
            1,
            IF(
                NETWORKDAYS(IF(NOT(ISBLANK(M1106)), M1106, L1106), N1106, Holiday_Dates) &lt;= 0,
                1,
                NETWORKDAYS(IF(NOT(ISBLANK(M1106)), M1106, L1106), N1106, Holiday_Dates)
                - IF(IF(NOT(ISBLANK(M1106)), M1106, L1106) = N1106, 0, 1)
            )
        )
    ),
    ""
)</f>
        <v/>
      </c>
      <c r="S1106" s="385" t="str">
        <f>IFERROR(
    IF(
        OR(ISBLANK(N1106), ISBLANK(O1106)),
        "",
        MAX(
            1,
            IF(
                NETWORKDAYS(N1106, O1106, Holiday_Dates) &lt;= 0,
                1,
                NETWORKDAYS(N1106, O1106, Holiday_Dates) - IF(N1106 = O1106, 0, 1)
            )
        )
    ),
    ""
)</f>
        <v/>
      </c>
      <c r="T1106" s="385"/>
      <c r="U1106" s="385"/>
      <c r="V1106" s="385"/>
      <c r="W1106" s="385" t="s">
        <v>4710</v>
      </c>
      <c r="X1106" s="1"/>
    </row>
    <row r="1107" spans="1:24">
      <c r="A1107" s="385" t="s">
        <v>65</v>
      </c>
      <c r="B1107" s="385" t="s">
        <v>407</v>
      </c>
      <c r="C1107" s="385" t="s">
        <v>985</v>
      </c>
      <c r="D1107" s="385" t="s">
        <v>88</v>
      </c>
      <c r="E1107" s="385"/>
      <c r="F1107" s="385"/>
      <c r="G1107" s="385"/>
      <c r="H1107" s="385">
        <v>2024</v>
      </c>
      <c r="I1107" s="386">
        <v>45454</v>
      </c>
      <c r="J1107" s="30"/>
      <c r="K1107" s="385"/>
      <c r="L1107" s="385"/>
      <c r="M1107" s="385"/>
      <c r="N1107" s="385"/>
      <c r="O1107" s="385"/>
      <c r="P1107" s="385" t="str">
        <f>IFERROR(
    IF(
        OR(ISBLANK(I1107), ISBLANK(L1107)),
        "",
        MAX(
            1,
            IF(
                NETWORKDAYS(I1107, L1107, Holiday_Dates) &lt;= 0,
                1,
                NETWORKDAYS(I1107, L1107, Holiday_Dates) - IF(I1107 = L1107, 0, 1)
            )
        )
    ),
    ""
)</f>
        <v/>
      </c>
      <c r="Q1107" s="385" t="str">
        <f>IF(
    OR(ISBLANK(L1107), ISBLANK(M1107)),
    "",
    MAX(
        1,
        IF(
            NETWORKDAYS(L1107, M1107, Holiday_Dates) &lt;= 0,
            1,
            NETWORKDAYS(L1107, M1107, Holiday_Dates) - IF(L1107 = M1107, 0, 1)
        )
    )
)</f>
        <v/>
      </c>
      <c r="R1107" s="385" t="str">
        <f>IFERROR(
    IF(
        OR(ISBLANK(N1107), AND(ISBLANK(L1107), ISBLANK(M1107))),
        "",
        MAX(
            1,
            IF(
                NETWORKDAYS(IF(NOT(ISBLANK(M1107)), M1107, L1107), N1107, Holiday_Dates) &lt;= 0,
                1,
                NETWORKDAYS(IF(NOT(ISBLANK(M1107)), M1107, L1107), N1107, Holiday_Dates)
                - IF(IF(NOT(ISBLANK(M1107)), M1107, L1107) = N1107, 0, 1)
            )
        )
    ),
    ""
)</f>
        <v/>
      </c>
      <c r="S1107" s="385" t="str">
        <f>IFERROR(
    IF(
        OR(ISBLANK(N1107), ISBLANK(O1107)),
        "",
        MAX(
            1,
            IF(
                NETWORKDAYS(N1107, O1107, Holiday_Dates) &lt;= 0,
                1,
                NETWORKDAYS(N1107, O1107, Holiday_Dates) - IF(N1107 = O1107, 0, 1)
            )
        )
    ),
    ""
)</f>
        <v/>
      </c>
      <c r="T1107" s="385"/>
      <c r="U1107" s="385" t="s">
        <v>672</v>
      </c>
      <c r="V1107" s="385"/>
      <c r="W1107" s="385" t="s">
        <v>1436</v>
      </c>
      <c r="X1107" s="1"/>
    </row>
    <row r="1108" spans="1:24">
      <c r="A1108" s="385" t="s">
        <v>65</v>
      </c>
      <c r="B1108" s="385" t="s">
        <v>407</v>
      </c>
      <c r="C1108" s="385" t="s">
        <v>250</v>
      </c>
      <c r="D1108" s="385" t="s">
        <v>88</v>
      </c>
      <c r="E1108" s="385"/>
      <c r="F1108" s="385"/>
      <c r="G1108" s="385"/>
      <c r="H1108" s="385">
        <v>2025</v>
      </c>
      <c r="I1108" s="386">
        <v>45910</v>
      </c>
      <c r="J1108" s="30" t="s">
        <v>5176</v>
      </c>
      <c r="K1108" s="385"/>
      <c r="L1108" s="385"/>
      <c r="M1108" s="385"/>
      <c r="N1108" s="385"/>
      <c r="O1108" s="385"/>
      <c r="P1108" s="385" t="str">
        <f>IFERROR(
    IF(
        OR(ISBLANK(I1108), ISBLANK(L1108)),
        "",
        MAX(
            1,
            IF(
                NETWORKDAYS(I1108, L1108, Holiday_Dates) &lt;= 0,
                1,
                NETWORKDAYS(I1108, L1108, Holiday_Dates) - IF(I1108 = L1108, 0, 1)
            )
        )
    ),
    ""
)</f>
        <v/>
      </c>
      <c r="Q1108" s="385" t="str">
        <f>IF(
    OR(ISBLANK(L1108), ISBLANK(M1108)),
    "",
    MAX(
        1,
        IF(
            NETWORKDAYS(L1108, M1108, Holiday_Dates) &lt;= 0,
            1,
            NETWORKDAYS(L1108, M1108, Holiday_Dates) - IF(L1108 = M1108, 0, 1)
        )
    )
)</f>
        <v/>
      </c>
      <c r="R1108" s="385" t="str">
        <f>IFERROR(
    IF(
        OR(ISBLANK(N1108), AND(ISBLANK(L1108), ISBLANK(M1108))),
        "",
        MAX(
            1,
            IF(
                NETWORKDAYS(IF(NOT(ISBLANK(M1108)), M1108, L1108), N1108, Holiday_Dates) &lt;= 0,
                1,
                NETWORKDAYS(IF(NOT(ISBLANK(M1108)), M1108, L1108), N1108, Holiday_Dates)
                - IF(IF(NOT(ISBLANK(M1108)), M1108, L1108) = N1108, 0, 1)
            )
        )
    ),
    ""
)</f>
        <v/>
      </c>
      <c r="S1108" s="385" t="str">
        <f>IFERROR(
    IF(
        OR(ISBLANK(N1108), ISBLANK(O1108)),
        "",
        MAX(
            1,
            IF(
                NETWORKDAYS(N1108, O1108, Holiday_Dates) &lt;= 0,
                1,
                NETWORKDAYS(N1108, O1108, Holiday_Dates) - IF(N1108 = O1108, 0, 1)
            )
        )
    ),
    ""
)</f>
        <v/>
      </c>
      <c r="T1108" s="385"/>
      <c r="U1108" s="385" t="s">
        <v>672</v>
      </c>
      <c r="V1108" s="385" t="s">
        <v>101</v>
      </c>
      <c r="W1108" s="385" t="s">
        <v>1436</v>
      </c>
      <c r="X1108" s="1"/>
    </row>
    <row r="1109" spans="1:24">
      <c r="A1109" s="385" t="s">
        <v>65</v>
      </c>
      <c r="B1109" s="385" t="s">
        <v>407</v>
      </c>
      <c r="C1109" s="385" t="s">
        <v>2875</v>
      </c>
      <c r="D1109" s="385" t="s">
        <v>88</v>
      </c>
      <c r="E1109" s="385"/>
      <c r="F1109" s="385"/>
      <c r="G1109" s="385"/>
      <c r="H1109" s="385">
        <v>2024</v>
      </c>
      <c r="I1109" s="386">
        <v>45433</v>
      </c>
      <c r="J1109" s="30"/>
      <c r="K1109" s="385"/>
      <c r="L1109" s="385"/>
      <c r="M1109" s="385"/>
      <c r="N1109" s="385"/>
      <c r="O1109" s="385"/>
      <c r="P1109" s="385" t="str">
        <f>IFERROR(
    IF(
        OR(ISBLANK(I1109), ISBLANK(L1109)),
        "",
        MAX(
            1,
            IF(
                NETWORKDAYS(I1109, L1109, Holiday_Dates) &lt;= 0,
                1,
                NETWORKDAYS(I1109, L1109, Holiday_Dates) - IF(I1109 = L1109, 0, 1)
            )
        )
    ),
    ""
)</f>
        <v/>
      </c>
      <c r="Q1109" s="385" t="str">
        <f>IF(
    OR(ISBLANK(L1109), ISBLANK(M1109)),
    "",
    MAX(
        1,
        IF(
            NETWORKDAYS(L1109, M1109, Holiday_Dates) &lt;= 0,
            1,
            NETWORKDAYS(L1109, M1109, Holiday_Dates) - IF(L1109 = M1109, 0, 1)
        )
    )
)</f>
        <v/>
      </c>
      <c r="R1109" s="385" t="str">
        <f>IFERROR(
    IF(
        OR(ISBLANK(N1109), AND(ISBLANK(L1109), ISBLANK(M1109))),
        "",
        MAX(
            1,
            IF(
                NETWORKDAYS(IF(NOT(ISBLANK(M1109)), M1109, L1109), N1109, Holiday_Dates) &lt;= 0,
                1,
                NETWORKDAYS(IF(NOT(ISBLANK(M1109)), M1109, L1109), N1109, Holiday_Dates)
                - IF(IF(NOT(ISBLANK(M1109)), M1109, L1109) = N1109, 0, 1)
            )
        )
    ),
    ""
)</f>
        <v/>
      </c>
      <c r="S1109" s="385" t="str">
        <f>IFERROR(
    IF(
        OR(ISBLANK(N1109), ISBLANK(O1109)),
        "",
        MAX(
            1,
            IF(
                NETWORKDAYS(N1109, O1109, Holiday_Dates) &lt;= 0,
                1,
                NETWORKDAYS(N1109, O1109, Holiday_Dates) - IF(N1109 = O1109, 0, 1)
            )
        )
    ),
    ""
)</f>
        <v/>
      </c>
      <c r="T1109" s="385"/>
      <c r="U1109" s="385" t="s">
        <v>672</v>
      </c>
      <c r="V1109" s="385"/>
      <c r="W1109" s="385" t="s">
        <v>1436</v>
      </c>
      <c r="X1109" s="1"/>
    </row>
    <row r="1110" spans="1:24">
      <c r="A1110" s="385" t="s">
        <v>65</v>
      </c>
      <c r="B1110" s="385" t="s">
        <v>383</v>
      </c>
      <c r="C1110" s="385" t="s">
        <v>2732</v>
      </c>
      <c r="D1110" s="385" t="s">
        <v>88</v>
      </c>
      <c r="E1110" s="385" t="s">
        <v>140</v>
      </c>
      <c r="F1110" s="385"/>
      <c r="G1110" s="385" t="s">
        <v>130</v>
      </c>
      <c r="H1110" s="385"/>
      <c r="I1110" s="385"/>
      <c r="J1110" s="30"/>
      <c r="K1110" s="385" t="s">
        <v>57</v>
      </c>
      <c r="L1110" s="385"/>
      <c r="M1110" s="385"/>
      <c r="N1110" s="385"/>
      <c r="O1110" s="385"/>
      <c r="P1110" s="385" t="str">
        <f>IFERROR(
    IF(
        OR(ISBLANK(I1110), ISBLANK(L1110)),
        "",
        MAX(
            1,
            IF(
                NETWORKDAYS(I1110, L1110, Holiday_Dates) &lt;= 0,
                1,
                NETWORKDAYS(I1110, L1110, Holiday_Dates) - IF(I1110 = L1110, 0, 1)
            )
        )
    ),
    ""
)</f>
        <v/>
      </c>
      <c r="Q1110" s="385" t="str">
        <f>IF(
    OR(ISBLANK(L1110), ISBLANK(M1110)),
    "",
    MAX(
        1,
        IF(
            NETWORKDAYS(L1110, M1110, Holiday_Dates) &lt;= 0,
            1,
            NETWORKDAYS(L1110, M1110, Holiday_Dates) - IF(L1110 = M1110, 0, 1)
        )
    )
)</f>
        <v/>
      </c>
      <c r="R1110" s="385" t="str">
        <f>IFERROR(
    IF(
        OR(ISBLANK(N1110), AND(ISBLANK(L1110), ISBLANK(M1110))),
        "",
        MAX(
            1,
            IF(
                NETWORKDAYS(IF(NOT(ISBLANK(M1110)), M1110, L1110), N1110, Holiday_Dates) &lt;= 0,
                1,
                NETWORKDAYS(IF(NOT(ISBLANK(M1110)), M1110, L1110), N1110, Holiday_Dates)
                - IF(IF(NOT(ISBLANK(M1110)), M1110, L1110) = N1110, 0, 1)
            )
        )
    ),
    ""
)</f>
        <v/>
      </c>
      <c r="S1110" s="385" t="str">
        <f>IFERROR(
    IF(
        OR(ISBLANK(N1110), ISBLANK(O1110)),
        "",
        MAX(
            1,
            IF(
                NETWORKDAYS(N1110, O1110, Holiday_Dates) &lt;= 0,
                1,
                NETWORKDAYS(N1110, O1110, Holiday_Dates) - IF(N1110 = O1110, 0, 1)
            )
        )
    ),
    ""
)</f>
        <v/>
      </c>
      <c r="T1110" s="385"/>
      <c r="U1110" s="385"/>
      <c r="V1110" s="385"/>
      <c r="W1110" s="385" t="s">
        <v>4710</v>
      </c>
      <c r="X1110" s="1"/>
    </row>
    <row r="1111" spans="1:24">
      <c r="A1111" s="385" t="s">
        <v>65</v>
      </c>
      <c r="B1111" s="385" t="s">
        <v>407</v>
      </c>
      <c r="C1111" s="385" t="s">
        <v>2877</v>
      </c>
      <c r="D1111" s="385" t="s">
        <v>88</v>
      </c>
      <c r="E1111" s="385"/>
      <c r="F1111" s="385"/>
      <c r="G1111" s="385"/>
      <c r="H1111" s="385">
        <v>2025</v>
      </c>
      <c r="I1111" s="386">
        <v>45870</v>
      </c>
      <c r="J1111" s="30" t="s">
        <v>5177</v>
      </c>
      <c r="K1111" s="385"/>
      <c r="L1111" s="385"/>
      <c r="M1111" s="385"/>
      <c r="N1111" s="385"/>
      <c r="O1111" s="385"/>
      <c r="P1111" s="385" t="str">
        <f>IFERROR(
    IF(
        OR(ISBLANK(I1111), ISBLANK(L1111)),
        "",
        MAX(
            1,
            IF(
                NETWORKDAYS(I1111, L1111, Holiday_Dates) &lt;= 0,
                1,
                NETWORKDAYS(I1111, L1111, Holiday_Dates) - IF(I1111 = L1111, 0, 1)
            )
        )
    ),
    ""
)</f>
        <v/>
      </c>
      <c r="Q1111" s="385" t="str">
        <f>IF(
    OR(ISBLANK(L1111), ISBLANK(M1111)),
    "",
    MAX(
        1,
        IF(
            NETWORKDAYS(L1111, M1111, Holiday_Dates) &lt;= 0,
            1,
            NETWORKDAYS(L1111, M1111, Holiday_Dates) - IF(L1111 = M1111, 0, 1)
        )
    )
)</f>
        <v/>
      </c>
      <c r="R1111" s="385" t="str">
        <f>IFERROR(
    IF(
        OR(ISBLANK(N1111), AND(ISBLANK(L1111), ISBLANK(M1111))),
        "",
        MAX(
            1,
            IF(
                NETWORKDAYS(IF(NOT(ISBLANK(M1111)), M1111, L1111), N1111, Holiday_Dates) &lt;= 0,
                1,
                NETWORKDAYS(IF(NOT(ISBLANK(M1111)), M1111, L1111), N1111, Holiday_Dates)
                - IF(IF(NOT(ISBLANK(M1111)), M1111, L1111) = N1111, 0, 1)
            )
        )
    ),
    ""
)</f>
        <v/>
      </c>
      <c r="S1111" s="385" t="str">
        <f>IFERROR(
    IF(
        OR(ISBLANK(N1111), ISBLANK(O1111)),
        "",
        MAX(
            1,
            IF(
                NETWORKDAYS(N1111, O1111, Holiday_Dates) &lt;= 0,
                1,
                NETWORKDAYS(N1111, O1111, Holiday_Dates) - IF(N1111 = O1111, 0, 1)
            )
        )
    ),
    ""
)</f>
        <v/>
      </c>
      <c r="T1111" s="385"/>
      <c r="U1111" s="385" t="s">
        <v>672</v>
      </c>
      <c r="V1111" s="385" t="s">
        <v>101</v>
      </c>
      <c r="W1111" s="385" t="s">
        <v>1436</v>
      </c>
      <c r="X1111" s="1"/>
    </row>
    <row r="1112" spans="1:24">
      <c r="A1112" s="385" t="s">
        <v>65</v>
      </c>
      <c r="B1112" s="385" t="s">
        <v>407</v>
      </c>
      <c r="C1112" s="385" t="s">
        <v>2878</v>
      </c>
      <c r="D1112" s="385" t="s">
        <v>88</v>
      </c>
      <c r="E1112" s="385"/>
      <c r="F1112" s="385"/>
      <c r="G1112" s="385"/>
      <c r="H1112" s="385">
        <v>2024</v>
      </c>
      <c r="I1112" s="386">
        <v>45377</v>
      </c>
      <c r="J1112" s="30"/>
      <c r="K1112" s="385"/>
      <c r="L1112" s="385"/>
      <c r="M1112" s="385"/>
      <c r="N1112" s="385"/>
      <c r="O1112" s="385"/>
      <c r="P1112" s="385" t="str">
        <f>IFERROR(
    IF(
        OR(ISBLANK(I1112), ISBLANK(L1112)),
        "",
        MAX(
            1,
            IF(
                NETWORKDAYS(I1112, L1112, Holiday_Dates) &lt;= 0,
                1,
                NETWORKDAYS(I1112, L1112, Holiday_Dates) - IF(I1112 = L1112, 0, 1)
            )
        )
    ),
    ""
)</f>
        <v/>
      </c>
      <c r="Q1112" s="385" t="str">
        <f>IF(
    OR(ISBLANK(L1112), ISBLANK(M1112)),
    "",
    MAX(
        1,
        IF(
            NETWORKDAYS(L1112, M1112, Holiday_Dates) &lt;= 0,
            1,
            NETWORKDAYS(L1112, M1112, Holiday_Dates) - IF(L1112 = M1112, 0, 1)
        )
    )
)</f>
        <v/>
      </c>
      <c r="R1112" s="385" t="str">
        <f>IFERROR(
    IF(
        OR(ISBLANK(N1112), AND(ISBLANK(L1112), ISBLANK(M1112))),
        "",
        MAX(
            1,
            IF(
                NETWORKDAYS(IF(NOT(ISBLANK(M1112)), M1112, L1112), N1112, Holiday_Dates) &lt;= 0,
                1,
                NETWORKDAYS(IF(NOT(ISBLANK(M1112)), M1112, L1112), N1112, Holiday_Dates)
                - IF(IF(NOT(ISBLANK(M1112)), M1112, L1112) = N1112, 0, 1)
            )
        )
    ),
    ""
)</f>
        <v/>
      </c>
      <c r="S1112" s="385" t="str">
        <f>IFERROR(
    IF(
        OR(ISBLANK(N1112), ISBLANK(O1112)),
        "",
        MAX(
            1,
            IF(
                NETWORKDAYS(N1112, O1112, Holiday_Dates) &lt;= 0,
                1,
                NETWORKDAYS(N1112, O1112, Holiday_Dates) - IF(N1112 = O1112, 0, 1)
            )
        )
    ),
    ""
)</f>
        <v/>
      </c>
      <c r="T1112" s="385"/>
      <c r="U1112" s="385" t="s">
        <v>672</v>
      </c>
      <c r="V1112" s="385"/>
      <c r="W1112" s="385" t="s">
        <v>1436</v>
      </c>
      <c r="X1112" s="1"/>
    </row>
    <row r="1113" spans="1:24">
      <c r="A1113" s="385" t="s">
        <v>65</v>
      </c>
      <c r="B1113" s="385" t="s">
        <v>407</v>
      </c>
      <c r="C1113" s="385" t="s">
        <v>2880</v>
      </c>
      <c r="D1113" s="385" t="s">
        <v>88</v>
      </c>
      <c r="E1113" s="385"/>
      <c r="F1113" s="385"/>
      <c r="G1113" s="385"/>
      <c r="H1113" s="385">
        <v>2024</v>
      </c>
      <c r="I1113" s="386">
        <v>45433</v>
      </c>
      <c r="J1113" s="30"/>
      <c r="K1113" s="385"/>
      <c r="L1113" s="385"/>
      <c r="M1113" s="385"/>
      <c r="N1113" s="385"/>
      <c r="O1113" s="385"/>
      <c r="P1113" s="385" t="str">
        <f>IFERROR(
    IF(
        OR(ISBLANK(I1113), ISBLANK(L1113)),
        "",
        MAX(
            1,
            IF(
                NETWORKDAYS(I1113, L1113, Holiday_Dates) &lt;= 0,
                1,
                NETWORKDAYS(I1113, L1113, Holiday_Dates) - IF(I1113 = L1113, 0, 1)
            )
        )
    ),
    ""
)</f>
        <v/>
      </c>
      <c r="Q1113" s="385" t="str">
        <f>IF(
    OR(ISBLANK(L1113), ISBLANK(M1113)),
    "",
    MAX(
        1,
        IF(
            NETWORKDAYS(L1113, M1113, Holiday_Dates) &lt;= 0,
            1,
            NETWORKDAYS(L1113, M1113, Holiday_Dates) - IF(L1113 = M1113, 0, 1)
        )
    )
)</f>
        <v/>
      </c>
      <c r="R1113" s="385" t="str">
        <f>IFERROR(
    IF(
        OR(ISBLANK(N1113), AND(ISBLANK(L1113), ISBLANK(M1113))),
        "",
        MAX(
            1,
            IF(
                NETWORKDAYS(IF(NOT(ISBLANK(M1113)), M1113, L1113), N1113, Holiday_Dates) &lt;= 0,
                1,
                NETWORKDAYS(IF(NOT(ISBLANK(M1113)), M1113, L1113), N1113, Holiday_Dates)
                - IF(IF(NOT(ISBLANK(M1113)), M1113, L1113) = N1113, 0, 1)
            )
        )
    ),
    ""
)</f>
        <v/>
      </c>
      <c r="S1113" s="385" t="str">
        <f>IFERROR(
    IF(
        OR(ISBLANK(N1113), ISBLANK(O1113)),
        "",
        MAX(
            1,
            IF(
                NETWORKDAYS(N1113, O1113, Holiday_Dates) &lt;= 0,
                1,
                NETWORKDAYS(N1113, O1113, Holiday_Dates) - IF(N1113 = O1113, 0, 1)
            )
        )
    ),
    ""
)</f>
        <v/>
      </c>
      <c r="T1113" s="385"/>
      <c r="U1113" s="385" t="s">
        <v>672</v>
      </c>
      <c r="V1113" s="385"/>
      <c r="W1113" s="385" t="s">
        <v>1436</v>
      </c>
      <c r="X1113" s="1"/>
    </row>
    <row r="1114" spans="1:24">
      <c r="A1114" s="385" t="s">
        <v>65</v>
      </c>
      <c r="B1114" s="385" t="s">
        <v>407</v>
      </c>
      <c r="C1114" s="385" t="s">
        <v>2834</v>
      </c>
      <c r="D1114" s="385" t="s">
        <v>88</v>
      </c>
      <c r="E1114" s="385"/>
      <c r="F1114" s="385"/>
      <c r="G1114" s="385"/>
      <c r="H1114" s="385">
        <v>2024</v>
      </c>
      <c r="I1114" s="386">
        <v>45377</v>
      </c>
      <c r="J1114" s="30"/>
      <c r="K1114" s="385"/>
      <c r="L1114" s="385"/>
      <c r="M1114" s="385"/>
      <c r="N1114" s="385"/>
      <c r="O1114" s="385"/>
      <c r="P1114" s="385" t="str">
        <f>IFERROR(
    IF(
        OR(ISBLANK(I1114), ISBLANK(L1114)),
        "",
        MAX(
            1,
            IF(
                NETWORKDAYS(I1114, L1114, Holiday_Dates) &lt;= 0,
                1,
                NETWORKDAYS(I1114, L1114, Holiday_Dates) - IF(I1114 = L1114, 0, 1)
            )
        )
    ),
    ""
)</f>
        <v/>
      </c>
      <c r="Q1114" s="385" t="str">
        <f>IF(
    OR(ISBLANK(L1114), ISBLANK(M1114)),
    "",
    MAX(
        1,
        IF(
            NETWORKDAYS(L1114, M1114, Holiday_Dates) &lt;= 0,
            1,
            NETWORKDAYS(L1114, M1114, Holiday_Dates) - IF(L1114 = M1114, 0, 1)
        )
    )
)</f>
        <v/>
      </c>
      <c r="R1114" s="385" t="str">
        <f>IFERROR(
    IF(
        OR(ISBLANK(N1114), AND(ISBLANK(L1114), ISBLANK(M1114))),
        "",
        MAX(
            1,
            IF(
                NETWORKDAYS(IF(NOT(ISBLANK(M1114)), M1114, L1114), N1114, Holiday_Dates) &lt;= 0,
                1,
                NETWORKDAYS(IF(NOT(ISBLANK(M1114)), M1114, L1114), N1114, Holiday_Dates)
                - IF(IF(NOT(ISBLANK(M1114)), M1114, L1114) = N1114, 0, 1)
            )
        )
    ),
    ""
)</f>
        <v/>
      </c>
      <c r="S1114" s="385" t="str">
        <f>IFERROR(
    IF(
        OR(ISBLANK(N1114), ISBLANK(O1114)),
        "",
        MAX(
            1,
            IF(
                NETWORKDAYS(N1114, O1114, Holiday_Dates) &lt;= 0,
                1,
                NETWORKDAYS(N1114, O1114, Holiday_Dates) - IF(N1114 = O1114, 0, 1)
            )
        )
    ),
    ""
)</f>
        <v/>
      </c>
      <c r="T1114" s="385"/>
      <c r="U1114" s="385" t="s">
        <v>672</v>
      </c>
      <c r="V1114" s="385"/>
      <c r="W1114" s="385" t="s">
        <v>1436</v>
      </c>
      <c r="X1114" s="1"/>
    </row>
    <row r="1115" spans="1:24">
      <c r="A1115" s="385" t="s">
        <v>65</v>
      </c>
      <c r="B1115" s="385" t="s">
        <v>407</v>
      </c>
      <c r="C1115" s="385" t="s">
        <v>714</v>
      </c>
      <c r="D1115" s="385" t="s">
        <v>88</v>
      </c>
      <c r="E1115" s="385"/>
      <c r="F1115" s="385"/>
      <c r="G1115" s="385"/>
      <c r="H1115" s="385">
        <v>2025</v>
      </c>
      <c r="I1115" s="386">
        <v>45933</v>
      </c>
      <c r="J1115" s="30" t="s">
        <v>5178</v>
      </c>
      <c r="K1115" s="385"/>
      <c r="L1115" s="385"/>
      <c r="M1115" s="385"/>
      <c r="N1115" s="385"/>
      <c r="O1115" s="385"/>
      <c r="P1115" s="385" t="str">
        <f>IFERROR(
    IF(
        OR(ISBLANK(I1115), ISBLANK(L1115)),
        "",
        MAX(
            1,
            IF(
                NETWORKDAYS(I1115, L1115, Holiday_Dates) &lt;= 0,
                1,
                NETWORKDAYS(I1115, L1115, Holiday_Dates) - IF(I1115 = L1115, 0, 1)
            )
        )
    ),
    ""
)</f>
        <v/>
      </c>
      <c r="Q1115" s="385" t="str">
        <f>IF(
    OR(ISBLANK(L1115), ISBLANK(M1115)),
    "",
    MAX(
        1,
        IF(
            NETWORKDAYS(L1115, M1115, Holiday_Dates) &lt;= 0,
            1,
            NETWORKDAYS(L1115, M1115, Holiday_Dates) - IF(L1115 = M1115, 0, 1)
        )
    )
)</f>
        <v/>
      </c>
      <c r="R1115" s="385" t="str">
        <f>IFERROR(
    IF(
        OR(ISBLANK(N1115), AND(ISBLANK(L1115), ISBLANK(M1115))),
        "",
        MAX(
            1,
            IF(
                NETWORKDAYS(IF(NOT(ISBLANK(M1115)), M1115, L1115), N1115, Holiday_Dates) &lt;= 0,
                1,
                NETWORKDAYS(IF(NOT(ISBLANK(M1115)), M1115, L1115), N1115, Holiday_Dates)
                - IF(IF(NOT(ISBLANK(M1115)), M1115, L1115) = N1115, 0, 1)
            )
        )
    ),
    ""
)</f>
        <v/>
      </c>
      <c r="S1115" s="385" t="str">
        <f>IFERROR(
    IF(
        OR(ISBLANK(N1115), ISBLANK(O1115)),
        "",
        MAX(
            1,
            IF(
                NETWORKDAYS(N1115, O1115, Holiday_Dates) &lt;= 0,
                1,
                NETWORKDAYS(N1115, O1115, Holiday_Dates) - IF(N1115 = O1115, 0, 1)
            )
        )
    ),
    ""
)</f>
        <v/>
      </c>
      <c r="T1115" s="385"/>
      <c r="U1115" s="385" t="s">
        <v>672</v>
      </c>
      <c r="V1115" s="385" t="s">
        <v>101</v>
      </c>
      <c r="W1115" s="385" t="s">
        <v>1436</v>
      </c>
      <c r="X1115" s="1"/>
    </row>
    <row r="1116" spans="1:24">
      <c r="A1116" s="385" t="s">
        <v>65</v>
      </c>
      <c r="B1116" s="385" t="s">
        <v>407</v>
      </c>
      <c r="C1116" s="385" t="s">
        <v>1998</v>
      </c>
      <c r="D1116" s="385" t="s">
        <v>88</v>
      </c>
      <c r="E1116" s="385"/>
      <c r="F1116" s="385"/>
      <c r="G1116" s="385"/>
      <c r="H1116" s="385">
        <v>2024</v>
      </c>
      <c r="I1116" s="386">
        <v>45377</v>
      </c>
      <c r="J1116" s="30"/>
      <c r="K1116" s="385"/>
      <c r="L1116" s="385"/>
      <c r="M1116" s="385"/>
      <c r="N1116" s="385"/>
      <c r="O1116" s="385"/>
      <c r="P1116" s="385" t="str">
        <f>IFERROR(
    IF(
        OR(ISBLANK(I1116), ISBLANK(L1116)),
        "",
        MAX(
            1,
            IF(
                NETWORKDAYS(I1116, L1116, Holiday_Dates) &lt;= 0,
                1,
                NETWORKDAYS(I1116, L1116, Holiday_Dates) - IF(I1116 = L1116, 0, 1)
            )
        )
    ),
    ""
)</f>
        <v/>
      </c>
      <c r="Q1116" s="385" t="str">
        <f>IF(
    OR(ISBLANK(L1116), ISBLANK(M1116)),
    "",
    MAX(
        1,
        IF(
            NETWORKDAYS(L1116, M1116, Holiday_Dates) &lt;= 0,
            1,
            NETWORKDAYS(L1116, M1116, Holiday_Dates) - IF(L1116 = M1116, 0, 1)
        )
    )
)</f>
        <v/>
      </c>
      <c r="R1116" s="385" t="str">
        <f>IFERROR(
    IF(
        OR(ISBLANK(N1116), AND(ISBLANK(L1116), ISBLANK(M1116))),
        "",
        MAX(
            1,
            IF(
                NETWORKDAYS(IF(NOT(ISBLANK(M1116)), M1116, L1116), N1116, Holiday_Dates) &lt;= 0,
                1,
                NETWORKDAYS(IF(NOT(ISBLANK(M1116)), M1116, L1116), N1116, Holiday_Dates)
                - IF(IF(NOT(ISBLANK(M1116)), M1116, L1116) = N1116, 0, 1)
            )
        )
    ),
    ""
)</f>
        <v/>
      </c>
      <c r="S1116" s="385" t="str">
        <f>IFERROR(
    IF(
        OR(ISBLANK(N1116), ISBLANK(O1116)),
        "",
        MAX(
            1,
            IF(
                NETWORKDAYS(N1116, O1116, Holiday_Dates) &lt;= 0,
                1,
                NETWORKDAYS(N1116, O1116, Holiday_Dates) - IF(N1116 = O1116, 0, 1)
            )
        )
    ),
    ""
)</f>
        <v/>
      </c>
      <c r="T1116" s="385"/>
      <c r="U1116" s="385" t="s">
        <v>672</v>
      </c>
      <c r="V1116" s="385"/>
      <c r="W1116" s="385" t="s">
        <v>1436</v>
      </c>
      <c r="X1116" s="1"/>
    </row>
    <row r="1117" spans="1:24">
      <c r="A1117" s="385" t="s">
        <v>65</v>
      </c>
      <c r="B1117" s="385" t="s">
        <v>407</v>
      </c>
      <c r="C1117" s="385" t="s">
        <v>2882</v>
      </c>
      <c r="D1117" s="385" t="s">
        <v>88</v>
      </c>
      <c r="E1117" s="385"/>
      <c r="F1117" s="385"/>
      <c r="G1117" s="385"/>
      <c r="H1117" s="385">
        <v>2024</v>
      </c>
      <c r="I1117" s="386">
        <v>45328</v>
      </c>
      <c r="J1117" s="30"/>
      <c r="K1117" s="385"/>
      <c r="L1117" s="385"/>
      <c r="M1117" s="385"/>
      <c r="N1117" s="385"/>
      <c r="O1117" s="385"/>
      <c r="P1117" s="385" t="str">
        <f>IFERROR(
    IF(
        OR(ISBLANK(I1117), ISBLANK(L1117)),
        "",
        MAX(
            1,
            IF(
                NETWORKDAYS(I1117, L1117, Holiday_Dates) &lt;= 0,
                1,
                NETWORKDAYS(I1117, L1117, Holiday_Dates) - IF(I1117 = L1117, 0, 1)
            )
        )
    ),
    ""
)</f>
        <v/>
      </c>
      <c r="Q1117" s="385" t="str">
        <f>IF(
    OR(ISBLANK(L1117), ISBLANK(M1117)),
    "",
    MAX(
        1,
        IF(
            NETWORKDAYS(L1117, M1117, Holiday_Dates) &lt;= 0,
            1,
            NETWORKDAYS(L1117, M1117, Holiday_Dates) - IF(L1117 = M1117, 0, 1)
        )
    )
)</f>
        <v/>
      </c>
      <c r="R1117" s="385" t="str">
        <f>IFERROR(
    IF(
        OR(ISBLANK(N1117), AND(ISBLANK(L1117), ISBLANK(M1117))),
        "",
        MAX(
            1,
            IF(
                NETWORKDAYS(IF(NOT(ISBLANK(M1117)), M1117, L1117), N1117, Holiday_Dates) &lt;= 0,
                1,
                NETWORKDAYS(IF(NOT(ISBLANK(M1117)), M1117, L1117), N1117, Holiday_Dates)
                - IF(IF(NOT(ISBLANK(M1117)), M1117, L1117) = N1117, 0, 1)
            )
        )
    ),
    ""
)</f>
        <v/>
      </c>
      <c r="S1117" s="385" t="str">
        <f>IFERROR(
    IF(
        OR(ISBLANK(N1117), ISBLANK(O1117)),
        "",
        MAX(
            1,
            IF(
                NETWORKDAYS(N1117, O1117, Holiday_Dates) &lt;= 0,
                1,
                NETWORKDAYS(N1117, O1117, Holiday_Dates) - IF(N1117 = O1117, 0, 1)
            )
        )
    ),
    ""
)</f>
        <v/>
      </c>
      <c r="T1117" s="385"/>
      <c r="U1117" s="385" t="s">
        <v>672</v>
      </c>
      <c r="V1117" s="385"/>
      <c r="W1117" s="385" t="s">
        <v>1436</v>
      </c>
      <c r="X1117" s="1"/>
    </row>
    <row r="1118" spans="1:24">
      <c r="A1118" s="385" t="s">
        <v>65</v>
      </c>
      <c r="B1118" s="385" t="s">
        <v>407</v>
      </c>
      <c r="C1118" s="385" t="s">
        <v>2884</v>
      </c>
      <c r="D1118" s="385" t="s">
        <v>88</v>
      </c>
      <c r="E1118" s="385"/>
      <c r="F1118" s="385"/>
      <c r="G1118" s="385"/>
      <c r="H1118" s="385">
        <v>2024</v>
      </c>
      <c r="I1118" s="386">
        <v>45328</v>
      </c>
      <c r="J1118" s="30"/>
      <c r="K1118" s="385"/>
      <c r="L1118" s="385"/>
      <c r="M1118" s="385"/>
      <c r="N1118" s="385"/>
      <c r="O1118" s="385"/>
      <c r="P1118" s="385" t="str">
        <f>IFERROR(
    IF(
        OR(ISBLANK(I1118), ISBLANK(L1118)),
        "",
        MAX(
            1,
            IF(
                NETWORKDAYS(I1118, L1118, Holiday_Dates) &lt;= 0,
                1,
                NETWORKDAYS(I1118, L1118, Holiday_Dates) - IF(I1118 = L1118, 0, 1)
            )
        )
    ),
    ""
)</f>
        <v/>
      </c>
      <c r="Q1118" s="385" t="str">
        <f>IF(
    OR(ISBLANK(L1118), ISBLANK(M1118)),
    "",
    MAX(
        1,
        IF(
            NETWORKDAYS(L1118, M1118, Holiday_Dates) &lt;= 0,
            1,
            NETWORKDAYS(L1118, M1118, Holiday_Dates) - IF(L1118 = M1118, 0, 1)
        )
    )
)</f>
        <v/>
      </c>
      <c r="R1118" s="385" t="str">
        <f>IFERROR(
    IF(
        OR(ISBLANK(N1118), AND(ISBLANK(L1118), ISBLANK(M1118))),
        "",
        MAX(
            1,
            IF(
                NETWORKDAYS(IF(NOT(ISBLANK(M1118)), M1118, L1118), N1118, Holiday_Dates) &lt;= 0,
                1,
                NETWORKDAYS(IF(NOT(ISBLANK(M1118)), M1118, L1118), N1118, Holiday_Dates)
                - IF(IF(NOT(ISBLANK(M1118)), M1118, L1118) = N1118, 0, 1)
            )
        )
    ),
    ""
)</f>
        <v/>
      </c>
      <c r="S1118" s="385" t="str">
        <f>IFERROR(
    IF(
        OR(ISBLANK(N1118), ISBLANK(O1118)),
        "",
        MAX(
            1,
            IF(
                NETWORKDAYS(N1118, O1118, Holiday_Dates) &lt;= 0,
                1,
                NETWORKDAYS(N1118, O1118, Holiday_Dates) - IF(N1118 = O1118, 0, 1)
            )
        )
    ),
    ""
)</f>
        <v/>
      </c>
      <c r="T1118" s="385"/>
      <c r="U1118" s="385" t="s">
        <v>672</v>
      </c>
      <c r="V1118" s="385"/>
      <c r="W1118" s="385" t="s">
        <v>1436</v>
      </c>
      <c r="X1118" s="1"/>
    </row>
    <row r="1119" spans="1:24">
      <c r="A1119" s="385" t="s">
        <v>65</v>
      </c>
      <c r="B1119" s="385" t="s">
        <v>407</v>
      </c>
      <c r="C1119" s="385" t="s">
        <v>741</v>
      </c>
      <c r="D1119" s="385" t="s">
        <v>88</v>
      </c>
      <c r="E1119" s="385"/>
      <c r="F1119" s="385"/>
      <c r="G1119" s="385"/>
      <c r="H1119" s="385">
        <v>2024</v>
      </c>
      <c r="I1119" s="386">
        <v>45505</v>
      </c>
      <c r="J1119" s="30"/>
      <c r="K1119" s="385"/>
      <c r="L1119" s="385"/>
      <c r="M1119" s="385"/>
      <c r="N1119" s="385"/>
      <c r="O1119" s="385"/>
      <c r="P1119" s="385" t="str">
        <f>IFERROR(
    IF(
        OR(ISBLANK(I1119), ISBLANK(L1119)),
        "",
        MAX(
            1,
            IF(
                NETWORKDAYS(I1119, L1119, Holiday_Dates) &lt;= 0,
                1,
                NETWORKDAYS(I1119, L1119, Holiday_Dates) - IF(I1119 = L1119, 0, 1)
            )
        )
    ),
    ""
)</f>
        <v/>
      </c>
      <c r="Q1119" s="385" t="str">
        <f>IF(
    OR(ISBLANK(L1119), ISBLANK(M1119)),
    "",
    MAX(
        1,
        IF(
            NETWORKDAYS(L1119, M1119, Holiday_Dates) &lt;= 0,
            1,
            NETWORKDAYS(L1119, M1119, Holiday_Dates) - IF(L1119 = M1119, 0, 1)
        )
    )
)</f>
        <v/>
      </c>
      <c r="R1119" s="385" t="str">
        <f>IFERROR(
    IF(
        OR(ISBLANK(N1119), AND(ISBLANK(L1119), ISBLANK(M1119))),
        "",
        MAX(
            1,
            IF(
                NETWORKDAYS(IF(NOT(ISBLANK(M1119)), M1119, L1119), N1119, Holiday_Dates) &lt;= 0,
                1,
                NETWORKDAYS(IF(NOT(ISBLANK(M1119)), M1119, L1119), N1119, Holiday_Dates)
                - IF(IF(NOT(ISBLANK(M1119)), M1119, L1119) = N1119, 0, 1)
            )
        )
    ),
    ""
)</f>
        <v/>
      </c>
      <c r="S1119" s="385" t="str">
        <f>IFERROR(
    IF(
        OR(ISBLANK(N1119), ISBLANK(O1119)),
        "",
        MAX(
            1,
            IF(
                NETWORKDAYS(N1119, O1119, Holiday_Dates) &lt;= 0,
                1,
                NETWORKDAYS(N1119, O1119, Holiday_Dates) - IF(N1119 = O1119, 0, 1)
            )
        )
    ),
    ""
)</f>
        <v/>
      </c>
      <c r="T1119" s="385"/>
      <c r="U1119" s="385" t="s">
        <v>4</v>
      </c>
      <c r="V1119" s="385" t="s">
        <v>101</v>
      </c>
      <c r="W1119" s="385" t="s">
        <v>1436</v>
      </c>
      <c r="X1119" s="1"/>
    </row>
    <row r="1120" spans="1:24">
      <c r="A1120" s="385" t="s">
        <v>65</v>
      </c>
      <c r="B1120" s="385" t="s">
        <v>407</v>
      </c>
      <c r="C1120" s="385" t="s">
        <v>2887</v>
      </c>
      <c r="D1120" s="385" t="s">
        <v>88</v>
      </c>
      <c r="E1120" s="385"/>
      <c r="F1120" s="385"/>
      <c r="G1120" s="385"/>
      <c r="H1120" s="385">
        <v>2024</v>
      </c>
      <c r="I1120" s="386">
        <v>45505</v>
      </c>
      <c r="J1120" s="30"/>
      <c r="K1120" s="385"/>
      <c r="L1120" s="385"/>
      <c r="M1120" s="385"/>
      <c r="N1120" s="385"/>
      <c r="O1120" s="385"/>
      <c r="P1120" s="385" t="str">
        <f>IFERROR(
    IF(
        OR(ISBLANK(I1120), ISBLANK(L1120)),
        "",
        MAX(
            1,
            IF(
                NETWORKDAYS(I1120, L1120, Holiday_Dates) &lt;= 0,
                1,
                NETWORKDAYS(I1120, L1120, Holiday_Dates) - IF(I1120 = L1120, 0, 1)
            )
        )
    ),
    ""
)</f>
        <v/>
      </c>
      <c r="Q1120" s="385" t="str">
        <f>IF(
    OR(ISBLANK(L1120), ISBLANK(M1120)),
    "",
    MAX(
        1,
        IF(
            NETWORKDAYS(L1120, M1120, Holiday_Dates) &lt;= 0,
            1,
            NETWORKDAYS(L1120, M1120, Holiday_Dates) - IF(L1120 = M1120, 0, 1)
        )
    )
)</f>
        <v/>
      </c>
      <c r="R1120" s="385" t="str">
        <f>IFERROR(
    IF(
        OR(ISBLANK(N1120), AND(ISBLANK(L1120), ISBLANK(M1120))),
        "",
        MAX(
            1,
            IF(
                NETWORKDAYS(IF(NOT(ISBLANK(M1120)), M1120, L1120), N1120, Holiday_Dates) &lt;= 0,
                1,
                NETWORKDAYS(IF(NOT(ISBLANK(M1120)), M1120, L1120), N1120, Holiday_Dates)
                - IF(IF(NOT(ISBLANK(M1120)), M1120, L1120) = N1120, 0, 1)
            )
        )
    ),
    ""
)</f>
        <v/>
      </c>
      <c r="S1120" s="385" t="str">
        <f>IFERROR(
    IF(
        OR(ISBLANK(N1120), ISBLANK(O1120)),
        "",
        MAX(
            1,
            IF(
                NETWORKDAYS(N1120, O1120, Holiday_Dates) &lt;= 0,
                1,
                NETWORKDAYS(N1120, O1120, Holiday_Dates) - IF(N1120 = O1120, 0, 1)
            )
        )
    ),
    ""
)</f>
        <v/>
      </c>
      <c r="T1120" s="385"/>
      <c r="U1120" s="385" t="s">
        <v>4</v>
      </c>
      <c r="V1120" s="385" t="s">
        <v>101</v>
      </c>
      <c r="W1120" s="385" t="s">
        <v>1436</v>
      </c>
      <c r="X1120" s="1"/>
    </row>
    <row r="1121" spans="1:24">
      <c r="A1121" s="385" t="s">
        <v>65</v>
      </c>
      <c r="B1121" s="385" t="s">
        <v>407</v>
      </c>
      <c r="C1121" s="385" t="s">
        <v>2889</v>
      </c>
      <c r="D1121" s="385" t="s">
        <v>88</v>
      </c>
      <c r="E1121" s="385"/>
      <c r="F1121" s="385"/>
      <c r="G1121" s="385"/>
      <c r="H1121" s="385">
        <v>2024</v>
      </c>
      <c r="I1121" s="386">
        <v>45505</v>
      </c>
      <c r="J1121" s="30"/>
      <c r="K1121" s="385"/>
      <c r="L1121" s="385"/>
      <c r="M1121" s="385"/>
      <c r="N1121" s="385"/>
      <c r="O1121" s="385"/>
      <c r="P1121" s="385" t="str">
        <f>IFERROR(
    IF(
        OR(ISBLANK(I1121), ISBLANK(L1121)),
        "",
        MAX(
            1,
            IF(
                NETWORKDAYS(I1121, L1121, Holiday_Dates) &lt;= 0,
                1,
                NETWORKDAYS(I1121, L1121, Holiday_Dates) - IF(I1121 = L1121, 0, 1)
            )
        )
    ),
    ""
)</f>
        <v/>
      </c>
      <c r="Q1121" s="385" t="str">
        <f>IF(
    OR(ISBLANK(L1121), ISBLANK(M1121)),
    "",
    MAX(
        1,
        IF(
            NETWORKDAYS(L1121, M1121, Holiday_Dates) &lt;= 0,
            1,
            NETWORKDAYS(L1121, M1121, Holiday_Dates) - IF(L1121 = M1121, 0, 1)
        )
    )
)</f>
        <v/>
      </c>
      <c r="R1121" s="385" t="str">
        <f>IFERROR(
    IF(
        OR(ISBLANK(N1121), AND(ISBLANK(L1121), ISBLANK(M1121))),
        "",
        MAX(
            1,
            IF(
                NETWORKDAYS(IF(NOT(ISBLANK(M1121)), M1121, L1121), N1121, Holiday_Dates) &lt;= 0,
                1,
                NETWORKDAYS(IF(NOT(ISBLANK(M1121)), M1121, L1121), N1121, Holiday_Dates)
                - IF(IF(NOT(ISBLANK(M1121)), M1121, L1121) = N1121, 0, 1)
            )
        )
    ),
    ""
)</f>
        <v/>
      </c>
      <c r="S1121" s="385" t="str">
        <f>IFERROR(
    IF(
        OR(ISBLANK(N1121), ISBLANK(O1121)),
        "",
        MAX(
            1,
            IF(
                NETWORKDAYS(N1121, O1121, Holiday_Dates) &lt;= 0,
                1,
                NETWORKDAYS(N1121, O1121, Holiday_Dates) - IF(N1121 = O1121, 0, 1)
            )
        )
    ),
    ""
)</f>
        <v/>
      </c>
      <c r="T1121" s="385"/>
      <c r="U1121" s="385" t="s">
        <v>4</v>
      </c>
      <c r="V1121" s="385" t="s">
        <v>101</v>
      </c>
      <c r="W1121" s="385" t="s">
        <v>1436</v>
      </c>
      <c r="X1121" s="1"/>
    </row>
    <row r="1122" spans="1:24">
      <c r="A1122" s="385" t="s">
        <v>65</v>
      </c>
      <c r="B1122" s="385" t="s">
        <v>407</v>
      </c>
      <c r="C1122" s="385" t="s">
        <v>2234</v>
      </c>
      <c r="D1122" s="385" t="s">
        <v>88</v>
      </c>
      <c r="E1122" s="385"/>
      <c r="F1122" s="385"/>
      <c r="G1122" s="385"/>
      <c r="H1122" s="385">
        <v>2025</v>
      </c>
      <c r="I1122" s="386">
        <v>45917</v>
      </c>
      <c r="J1122" s="30" t="s">
        <v>5179</v>
      </c>
      <c r="K1122" s="385"/>
      <c r="L1122" s="385"/>
      <c r="M1122" s="385"/>
      <c r="N1122" s="385"/>
      <c r="O1122" s="385"/>
      <c r="P1122" s="385" t="str">
        <f>IFERROR(
    IF(
        OR(ISBLANK(I1122), ISBLANK(L1122)),
        "",
        MAX(
            1,
            IF(
                NETWORKDAYS(I1122, L1122, Holiday_Dates) &lt;= 0,
                1,
                NETWORKDAYS(I1122, L1122, Holiday_Dates) - IF(I1122 = L1122, 0, 1)
            )
        )
    ),
    ""
)</f>
        <v/>
      </c>
      <c r="Q1122" s="385" t="str">
        <f>IF(
    OR(ISBLANK(L1122), ISBLANK(M1122)),
    "",
    MAX(
        1,
        IF(
            NETWORKDAYS(L1122, M1122, Holiday_Dates) &lt;= 0,
            1,
            NETWORKDAYS(L1122, M1122, Holiday_Dates) - IF(L1122 = M1122, 0, 1)
        )
    )
)</f>
        <v/>
      </c>
      <c r="R1122" s="385" t="str">
        <f>IFERROR(
    IF(
        OR(ISBLANK(N1122), AND(ISBLANK(L1122), ISBLANK(M1122))),
        "",
        MAX(
            1,
            IF(
                NETWORKDAYS(IF(NOT(ISBLANK(M1122)), M1122, L1122), N1122, Holiday_Dates) &lt;= 0,
                1,
                NETWORKDAYS(IF(NOT(ISBLANK(M1122)), M1122, L1122), N1122, Holiday_Dates)
                - IF(IF(NOT(ISBLANK(M1122)), M1122, L1122) = N1122, 0, 1)
            )
        )
    ),
    ""
)</f>
        <v/>
      </c>
      <c r="S1122" s="385" t="str">
        <f>IFERROR(
    IF(
        OR(ISBLANK(N1122), ISBLANK(O1122)),
        "",
        MAX(
            1,
            IF(
                NETWORKDAYS(N1122, O1122, Holiday_Dates) &lt;= 0,
                1,
                NETWORKDAYS(N1122, O1122, Holiday_Dates) - IF(N1122 = O1122, 0, 1)
            )
        )
    ),
    ""
)</f>
        <v/>
      </c>
      <c r="T1122" s="385"/>
      <c r="U1122" s="385" t="s">
        <v>672</v>
      </c>
      <c r="V1122" s="385" t="s">
        <v>101</v>
      </c>
      <c r="W1122" s="385" t="s">
        <v>1436</v>
      </c>
      <c r="X1122" s="1"/>
    </row>
    <row r="1123" spans="1:24">
      <c r="A1123" s="385" t="s">
        <v>65</v>
      </c>
      <c r="B1123" s="385" t="s">
        <v>407</v>
      </c>
      <c r="C1123" s="385" t="s">
        <v>653</v>
      </c>
      <c r="D1123" s="385" t="s">
        <v>88</v>
      </c>
      <c r="E1123" s="385"/>
      <c r="F1123" s="385"/>
      <c r="G1123" s="385"/>
      <c r="H1123" s="385">
        <v>2024</v>
      </c>
      <c r="I1123" s="386">
        <v>45434</v>
      </c>
      <c r="J1123" s="30"/>
      <c r="K1123" s="385"/>
      <c r="L1123" s="385"/>
      <c r="M1123" s="385"/>
      <c r="N1123" s="385"/>
      <c r="O1123" s="385"/>
      <c r="P1123" s="385" t="str">
        <f>IFERROR(
    IF(
        OR(ISBLANK(I1123), ISBLANK(L1123)),
        "",
        MAX(
            1,
            IF(
                NETWORKDAYS(I1123, L1123, Holiday_Dates) &lt;= 0,
                1,
                NETWORKDAYS(I1123, L1123, Holiday_Dates) - IF(I1123 = L1123, 0, 1)
            )
        )
    ),
    ""
)</f>
        <v/>
      </c>
      <c r="Q1123" s="385" t="str">
        <f>IF(
    OR(ISBLANK(L1123), ISBLANK(M1123)),
    "",
    MAX(
        1,
        IF(
            NETWORKDAYS(L1123, M1123, Holiday_Dates) &lt;= 0,
            1,
            NETWORKDAYS(L1123, M1123, Holiday_Dates) - IF(L1123 = M1123, 0, 1)
        )
    )
)</f>
        <v/>
      </c>
      <c r="R1123" s="385" t="str">
        <f>IFERROR(
    IF(
        OR(ISBLANK(N1123), AND(ISBLANK(L1123), ISBLANK(M1123))),
        "",
        MAX(
            1,
            IF(
                NETWORKDAYS(IF(NOT(ISBLANK(M1123)), M1123, L1123), N1123, Holiday_Dates) &lt;= 0,
                1,
                NETWORKDAYS(IF(NOT(ISBLANK(M1123)), M1123, L1123), N1123, Holiday_Dates)
                - IF(IF(NOT(ISBLANK(M1123)), M1123, L1123) = N1123, 0, 1)
            )
        )
    ),
    ""
)</f>
        <v/>
      </c>
      <c r="S1123" s="385" t="str">
        <f>IFERROR(
    IF(
        OR(ISBLANK(N1123), ISBLANK(O1123)),
        "",
        MAX(
            1,
            IF(
                NETWORKDAYS(N1123, O1123, Holiday_Dates) &lt;= 0,
                1,
                NETWORKDAYS(N1123, O1123, Holiday_Dates) - IF(N1123 = O1123, 0, 1)
            )
        )
    ),
    ""
)</f>
        <v/>
      </c>
      <c r="T1123" s="385"/>
      <c r="U1123" s="385" t="s">
        <v>672</v>
      </c>
      <c r="V1123" s="385"/>
      <c r="W1123" s="385" t="s">
        <v>1436</v>
      </c>
      <c r="X1123" s="1"/>
    </row>
    <row r="1124" spans="1:24">
      <c r="A1124" s="385" t="s">
        <v>65</v>
      </c>
      <c r="B1124" s="385" t="s">
        <v>383</v>
      </c>
      <c r="C1124" s="385" t="s">
        <v>2734</v>
      </c>
      <c r="D1124" s="385" t="s">
        <v>88</v>
      </c>
      <c r="E1124" s="385" t="s">
        <v>140</v>
      </c>
      <c r="F1124" s="385"/>
      <c r="G1124" s="385" t="s">
        <v>130</v>
      </c>
      <c r="H1124" s="385"/>
      <c r="I1124" s="385"/>
      <c r="J1124" s="30"/>
      <c r="K1124" s="385" t="s">
        <v>57</v>
      </c>
      <c r="L1124" s="385"/>
      <c r="M1124" s="385"/>
      <c r="N1124" s="385"/>
      <c r="O1124" s="385"/>
      <c r="P1124" s="385" t="str">
        <f>IFERROR(
    IF(
        OR(ISBLANK(I1124), ISBLANK(L1124)),
        "",
        MAX(
            1,
            IF(
                NETWORKDAYS(I1124, L1124, Holiday_Dates) &lt;= 0,
                1,
                NETWORKDAYS(I1124, L1124, Holiday_Dates) - IF(I1124 = L1124, 0, 1)
            )
        )
    ),
    ""
)</f>
        <v/>
      </c>
      <c r="Q1124" s="385" t="str">
        <f>IF(
    OR(ISBLANK(L1124), ISBLANK(M1124)),
    "",
    MAX(
        1,
        IF(
            NETWORKDAYS(L1124, M1124, Holiday_Dates) &lt;= 0,
            1,
            NETWORKDAYS(L1124, M1124, Holiday_Dates) - IF(L1124 = M1124, 0, 1)
        )
    )
)</f>
        <v/>
      </c>
      <c r="R1124" s="385" t="str">
        <f>IFERROR(
    IF(
        OR(ISBLANK(N1124), AND(ISBLANK(L1124), ISBLANK(M1124))),
        "",
        MAX(
            1,
            IF(
                NETWORKDAYS(IF(NOT(ISBLANK(M1124)), M1124, L1124), N1124, Holiday_Dates) &lt;= 0,
                1,
                NETWORKDAYS(IF(NOT(ISBLANK(M1124)), M1124, L1124), N1124, Holiday_Dates)
                - IF(IF(NOT(ISBLANK(M1124)), M1124, L1124) = N1124, 0, 1)
            )
        )
    ),
    ""
)</f>
        <v/>
      </c>
      <c r="S1124" s="385" t="str">
        <f>IFERROR(
    IF(
        OR(ISBLANK(N1124), ISBLANK(O1124)),
        "",
        MAX(
            1,
            IF(
                NETWORKDAYS(N1124, O1124, Holiday_Dates) &lt;= 0,
                1,
                NETWORKDAYS(N1124, O1124, Holiday_Dates) - IF(N1124 = O1124, 0, 1)
            )
        )
    ),
    ""
)</f>
        <v/>
      </c>
      <c r="T1124" s="385"/>
      <c r="U1124" s="385"/>
      <c r="V1124" s="385"/>
      <c r="W1124" s="385" t="s">
        <v>4710</v>
      </c>
      <c r="X1124" s="1"/>
    </row>
    <row r="1125" spans="1:24">
      <c r="A1125" s="385" t="s">
        <v>65</v>
      </c>
      <c r="B1125" s="385" t="s">
        <v>383</v>
      </c>
      <c r="C1125" s="385" t="s">
        <v>2740</v>
      </c>
      <c r="D1125" s="385" t="s">
        <v>88</v>
      </c>
      <c r="E1125" s="385" t="s">
        <v>140</v>
      </c>
      <c r="F1125" s="385"/>
      <c r="G1125" s="385" t="s">
        <v>130</v>
      </c>
      <c r="H1125" s="385"/>
      <c r="I1125" s="385"/>
      <c r="J1125" s="30"/>
      <c r="K1125" s="385" t="s">
        <v>57</v>
      </c>
      <c r="L1125" s="385"/>
      <c r="M1125" s="385"/>
      <c r="N1125" s="385"/>
      <c r="O1125" s="385"/>
      <c r="P1125" s="385" t="str">
        <f>IFERROR(
    IF(
        OR(ISBLANK(I1125), ISBLANK(L1125)),
        "",
        MAX(
            1,
            IF(
                NETWORKDAYS(I1125, L1125, Holiday_Dates) &lt;= 0,
                1,
                NETWORKDAYS(I1125, L1125, Holiday_Dates) - IF(I1125 = L1125, 0, 1)
            )
        )
    ),
    ""
)</f>
        <v/>
      </c>
      <c r="Q1125" s="385" t="str">
        <f>IF(
    OR(ISBLANK(L1125), ISBLANK(M1125)),
    "",
    MAX(
        1,
        IF(
            NETWORKDAYS(L1125, M1125, Holiday_Dates) &lt;= 0,
            1,
            NETWORKDAYS(L1125, M1125, Holiday_Dates) - IF(L1125 = M1125, 0, 1)
        )
    )
)</f>
        <v/>
      </c>
      <c r="R1125" s="385" t="str">
        <f>IFERROR(
    IF(
        OR(ISBLANK(N1125), AND(ISBLANK(L1125), ISBLANK(M1125))),
        "",
        MAX(
            1,
            IF(
                NETWORKDAYS(IF(NOT(ISBLANK(M1125)), M1125, L1125), N1125, Holiday_Dates) &lt;= 0,
                1,
                NETWORKDAYS(IF(NOT(ISBLANK(M1125)), M1125, L1125), N1125, Holiday_Dates)
                - IF(IF(NOT(ISBLANK(M1125)), M1125, L1125) = N1125, 0, 1)
            )
        )
    ),
    ""
)</f>
        <v/>
      </c>
      <c r="S1125" s="385" t="str">
        <f>IFERROR(
    IF(
        OR(ISBLANK(N1125), ISBLANK(O1125)),
        "",
        MAX(
            1,
            IF(
                NETWORKDAYS(N1125, O1125, Holiday_Dates) &lt;= 0,
                1,
                NETWORKDAYS(N1125, O1125, Holiday_Dates) - IF(N1125 = O1125, 0, 1)
            )
        )
    ),
    ""
)</f>
        <v/>
      </c>
      <c r="T1125" s="385"/>
      <c r="U1125" s="385"/>
      <c r="V1125" s="385"/>
      <c r="W1125" s="385" t="s">
        <v>4710</v>
      </c>
      <c r="X1125" s="1"/>
    </row>
    <row r="1126" spans="1:24">
      <c r="A1126" s="385" t="s">
        <v>65</v>
      </c>
      <c r="B1126" s="385" t="s">
        <v>383</v>
      </c>
      <c r="C1126" s="385" t="s">
        <v>2742</v>
      </c>
      <c r="D1126" s="385" t="s">
        <v>88</v>
      </c>
      <c r="E1126" s="385" t="s">
        <v>140</v>
      </c>
      <c r="F1126" s="385"/>
      <c r="G1126" s="385" t="s">
        <v>130</v>
      </c>
      <c r="H1126" s="385"/>
      <c r="I1126" s="385"/>
      <c r="J1126" s="30"/>
      <c r="K1126" s="385" t="s">
        <v>57</v>
      </c>
      <c r="L1126" s="385"/>
      <c r="M1126" s="385"/>
      <c r="N1126" s="385"/>
      <c r="O1126" s="385"/>
      <c r="P1126" s="385" t="str">
        <f>IFERROR(
    IF(
        OR(ISBLANK(I1126), ISBLANK(L1126)),
        "",
        MAX(
            1,
            IF(
                NETWORKDAYS(I1126, L1126, Holiday_Dates) &lt;= 0,
                1,
                NETWORKDAYS(I1126, L1126, Holiday_Dates) - IF(I1126 = L1126, 0, 1)
            )
        )
    ),
    ""
)</f>
        <v/>
      </c>
      <c r="Q1126" s="385" t="str">
        <f>IF(
    OR(ISBLANK(L1126), ISBLANK(M1126)),
    "",
    MAX(
        1,
        IF(
            NETWORKDAYS(L1126, M1126, Holiday_Dates) &lt;= 0,
            1,
            NETWORKDAYS(L1126, M1126, Holiday_Dates) - IF(L1126 = M1126, 0, 1)
        )
    )
)</f>
        <v/>
      </c>
      <c r="R1126" s="385" t="str">
        <f>IFERROR(
    IF(
        OR(ISBLANK(N1126), AND(ISBLANK(L1126), ISBLANK(M1126))),
        "",
        MAX(
            1,
            IF(
                NETWORKDAYS(IF(NOT(ISBLANK(M1126)), M1126, L1126), N1126, Holiday_Dates) &lt;= 0,
                1,
                NETWORKDAYS(IF(NOT(ISBLANK(M1126)), M1126, L1126), N1126, Holiday_Dates)
                - IF(IF(NOT(ISBLANK(M1126)), M1126, L1126) = N1126, 0, 1)
            )
        )
    ),
    ""
)</f>
        <v/>
      </c>
      <c r="S1126" s="385" t="str">
        <f>IFERROR(
    IF(
        OR(ISBLANK(N1126), ISBLANK(O1126)),
        "",
        MAX(
            1,
            IF(
                NETWORKDAYS(N1126, O1126, Holiday_Dates) &lt;= 0,
                1,
                NETWORKDAYS(N1126, O1126, Holiday_Dates) - IF(N1126 = O1126, 0, 1)
            )
        )
    ),
    ""
)</f>
        <v/>
      </c>
      <c r="T1126" s="385"/>
      <c r="U1126" s="385"/>
      <c r="V1126" s="385"/>
      <c r="W1126" s="385" t="s">
        <v>4710</v>
      </c>
      <c r="X1126" s="1"/>
    </row>
    <row r="1127" spans="1:24">
      <c r="A1127" s="385" t="s">
        <v>65</v>
      </c>
      <c r="B1127" s="385" t="s">
        <v>384</v>
      </c>
      <c r="C1127" s="385" t="s">
        <v>2750</v>
      </c>
      <c r="D1127" s="385" t="s">
        <v>88</v>
      </c>
      <c r="E1127" s="385" t="s">
        <v>141</v>
      </c>
      <c r="F1127" s="385"/>
      <c r="G1127" s="385" t="s">
        <v>130</v>
      </c>
      <c r="H1127" s="385"/>
      <c r="I1127" s="385"/>
      <c r="J1127" s="30"/>
      <c r="K1127" s="385" t="s">
        <v>57</v>
      </c>
      <c r="L1127" s="385"/>
      <c r="M1127" s="385"/>
      <c r="N1127" s="385"/>
      <c r="O1127" s="385"/>
      <c r="P1127" s="385" t="str">
        <f>IFERROR(
    IF(
        OR(ISBLANK(I1127), ISBLANK(L1127)),
        "",
        MAX(
            1,
            IF(
                NETWORKDAYS(I1127, L1127, Holiday_Dates) &lt;= 0,
                1,
                NETWORKDAYS(I1127, L1127, Holiday_Dates) - IF(I1127 = L1127, 0, 1)
            )
        )
    ),
    ""
)</f>
        <v/>
      </c>
      <c r="Q1127" s="385" t="str">
        <f>IF(
    OR(ISBLANK(L1127), ISBLANK(M1127)),
    "",
    MAX(
        1,
        IF(
            NETWORKDAYS(L1127, M1127, Holiday_Dates) &lt;= 0,
            1,
            NETWORKDAYS(L1127, M1127, Holiday_Dates) - IF(L1127 = M1127, 0, 1)
        )
    )
)</f>
        <v/>
      </c>
      <c r="R1127" s="385" t="str">
        <f>IFERROR(
    IF(
        OR(ISBLANK(N1127), AND(ISBLANK(L1127), ISBLANK(M1127))),
        "",
        MAX(
            1,
            IF(
                NETWORKDAYS(IF(NOT(ISBLANK(M1127)), M1127, L1127), N1127, Holiday_Dates) &lt;= 0,
                1,
                NETWORKDAYS(IF(NOT(ISBLANK(M1127)), M1127, L1127), N1127, Holiday_Dates)
                - IF(IF(NOT(ISBLANK(M1127)), M1127, L1127) = N1127, 0, 1)
            )
        )
    ),
    ""
)</f>
        <v/>
      </c>
      <c r="S1127" s="385" t="str">
        <f>IFERROR(
    IF(
        OR(ISBLANK(N1127), ISBLANK(O1127)),
        "",
        MAX(
            1,
            IF(
                NETWORKDAYS(N1127, O1127, Holiday_Dates) &lt;= 0,
                1,
                NETWORKDAYS(N1127, O1127, Holiday_Dates) - IF(N1127 = O1127, 0, 1)
            )
        )
    ),
    ""
)</f>
        <v/>
      </c>
      <c r="T1127" s="385"/>
      <c r="U1127" s="385"/>
      <c r="V1127" s="385"/>
      <c r="W1127" s="385" t="s">
        <v>4710</v>
      </c>
      <c r="X1127" s="1"/>
    </row>
    <row r="1128" spans="1:24">
      <c r="A1128" s="385" t="s">
        <v>65</v>
      </c>
      <c r="B1128" s="385" t="s">
        <v>384</v>
      </c>
      <c r="C1128" s="385" t="s">
        <v>2751</v>
      </c>
      <c r="D1128" s="385" t="s">
        <v>88</v>
      </c>
      <c r="E1128" s="385" t="s">
        <v>141</v>
      </c>
      <c r="F1128" s="385"/>
      <c r="G1128" s="385" t="s">
        <v>130</v>
      </c>
      <c r="H1128" s="385"/>
      <c r="I1128" s="385"/>
      <c r="J1128" s="30"/>
      <c r="K1128" s="385" t="s">
        <v>57</v>
      </c>
      <c r="L1128" s="385"/>
      <c r="M1128" s="385"/>
      <c r="N1128" s="385"/>
      <c r="O1128" s="385"/>
      <c r="P1128" s="385" t="str">
        <f>IFERROR(
    IF(
        OR(ISBLANK(I1128), ISBLANK(L1128)),
        "",
        MAX(
            1,
            IF(
                NETWORKDAYS(I1128, L1128, Holiday_Dates) &lt;= 0,
                1,
                NETWORKDAYS(I1128, L1128, Holiday_Dates) - IF(I1128 = L1128, 0, 1)
            )
        )
    ),
    ""
)</f>
        <v/>
      </c>
      <c r="Q1128" s="385" t="str">
        <f>IF(
    OR(ISBLANK(L1128), ISBLANK(M1128)),
    "",
    MAX(
        1,
        IF(
            NETWORKDAYS(L1128, M1128, Holiday_Dates) &lt;= 0,
            1,
            NETWORKDAYS(L1128, M1128, Holiday_Dates) - IF(L1128 = M1128, 0, 1)
        )
    )
)</f>
        <v/>
      </c>
      <c r="R1128" s="385" t="str">
        <f>IFERROR(
    IF(
        OR(ISBLANK(N1128), AND(ISBLANK(L1128), ISBLANK(M1128))),
        "",
        MAX(
            1,
            IF(
                NETWORKDAYS(IF(NOT(ISBLANK(M1128)), M1128, L1128), N1128, Holiday_Dates) &lt;= 0,
                1,
                NETWORKDAYS(IF(NOT(ISBLANK(M1128)), M1128, L1128), N1128, Holiday_Dates)
                - IF(IF(NOT(ISBLANK(M1128)), M1128, L1128) = N1128, 0, 1)
            )
        )
    ),
    ""
)</f>
        <v/>
      </c>
      <c r="S1128" s="385" t="str">
        <f>IFERROR(
    IF(
        OR(ISBLANK(N1128), ISBLANK(O1128)),
        "",
        MAX(
            1,
            IF(
                NETWORKDAYS(N1128, O1128, Holiday_Dates) &lt;= 0,
                1,
                NETWORKDAYS(N1128, O1128, Holiday_Dates) - IF(N1128 = O1128, 0, 1)
            )
        )
    ),
    ""
)</f>
        <v/>
      </c>
      <c r="T1128" s="385"/>
      <c r="U1128" s="385"/>
      <c r="V1128" s="385"/>
      <c r="W1128" s="385" t="s">
        <v>4710</v>
      </c>
      <c r="X1128" s="1"/>
    </row>
    <row r="1129" spans="1:24">
      <c r="A1129" s="385" t="s">
        <v>65</v>
      </c>
      <c r="B1129" s="385" t="s">
        <v>409</v>
      </c>
      <c r="C1129" s="385" t="s">
        <v>2896</v>
      </c>
      <c r="D1129" s="385" t="s">
        <v>88</v>
      </c>
      <c r="E1129" s="385"/>
      <c r="F1129" s="385"/>
      <c r="G1129" s="385"/>
      <c r="H1129" s="385">
        <v>2025</v>
      </c>
      <c r="I1129" s="386">
        <v>45925</v>
      </c>
      <c r="J1129" s="30" t="s">
        <v>5180</v>
      </c>
      <c r="K1129" s="385"/>
      <c r="L1129" s="385"/>
      <c r="M1129" s="385"/>
      <c r="N1129" s="385"/>
      <c r="O1129" s="385"/>
      <c r="P1129" s="385" t="str">
        <f>IFERROR(
    IF(
        OR(ISBLANK(I1129), ISBLANK(L1129)),
        "",
        MAX(
            1,
            IF(
                NETWORKDAYS(I1129, L1129, Holiday_Dates) &lt;= 0,
                1,
                NETWORKDAYS(I1129, L1129, Holiday_Dates) - IF(I1129 = L1129, 0, 1)
            )
        )
    ),
    ""
)</f>
        <v/>
      </c>
      <c r="Q1129" s="385" t="str">
        <f>IF(
    OR(ISBLANK(L1129), ISBLANK(M1129)),
    "",
    MAX(
        1,
        IF(
            NETWORKDAYS(L1129, M1129, Holiday_Dates) &lt;= 0,
            1,
            NETWORKDAYS(L1129, M1129, Holiday_Dates) - IF(L1129 = M1129, 0, 1)
        )
    )
)</f>
        <v/>
      </c>
      <c r="R1129" s="385" t="str">
        <f>IFERROR(
    IF(
        OR(ISBLANK(N1129), AND(ISBLANK(L1129), ISBLANK(M1129))),
        "",
        MAX(
            1,
            IF(
                NETWORKDAYS(IF(NOT(ISBLANK(M1129)), M1129, L1129), N1129, Holiday_Dates) &lt;= 0,
                1,
                NETWORKDAYS(IF(NOT(ISBLANK(M1129)), M1129, L1129), N1129, Holiday_Dates)
                - IF(IF(NOT(ISBLANK(M1129)), M1129, L1129) = N1129, 0, 1)
            )
        )
    ),
    ""
)</f>
        <v/>
      </c>
      <c r="S1129" s="385" t="str">
        <f>IFERROR(
    IF(
        OR(ISBLANK(N1129), ISBLANK(O1129)),
        "",
        MAX(
            1,
            IF(
                NETWORKDAYS(N1129, O1129, Holiday_Dates) &lt;= 0,
                1,
                NETWORKDAYS(N1129, O1129, Holiday_Dates) - IF(N1129 = O1129, 0, 1)
            )
        )
    ),
    ""
)</f>
        <v/>
      </c>
      <c r="T1129" s="385"/>
      <c r="U1129" s="385" t="s">
        <v>672</v>
      </c>
      <c r="V1129" s="385" t="s">
        <v>101</v>
      </c>
      <c r="W1129" s="385" t="s">
        <v>1436</v>
      </c>
      <c r="X1129" s="1"/>
    </row>
    <row r="1130" spans="1:24">
      <c r="A1130" s="385" t="s">
        <v>65</v>
      </c>
      <c r="B1130" s="385" t="s">
        <v>384</v>
      </c>
      <c r="C1130" s="385" t="s">
        <v>2752</v>
      </c>
      <c r="D1130" s="385" t="s">
        <v>88</v>
      </c>
      <c r="E1130" s="385" t="s">
        <v>141</v>
      </c>
      <c r="F1130" s="385"/>
      <c r="G1130" s="385" t="s">
        <v>130</v>
      </c>
      <c r="H1130" s="385"/>
      <c r="I1130" s="385"/>
      <c r="J1130" s="30"/>
      <c r="K1130" s="385" t="s">
        <v>57</v>
      </c>
      <c r="L1130" s="385"/>
      <c r="M1130" s="385"/>
      <c r="N1130" s="385"/>
      <c r="O1130" s="385"/>
      <c r="P1130" s="385" t="str">
        <f>IFERROR(
    IF(
        OR(ISBLANK(I1130), ISBLANK(L1130)),
        "",
        MAX(
            1,
            IF(
                NETWORKDAYS(I1130, L1130, Holiday_Dates) &lt;= 0,
                1,
                NETWORKDAYS(I1130, L1130, Holiday_Dates) - IF(I1130 = L1130, 0, 1)
            )
        )
    ),
    ""
)</f>
        <v/>
      </c>
      <c r="Q1130" s="385" t="str">
        <f>IF(
    OR(ISBLANK(L1130), ISBLANK(M1130)),
    "",
    MAX(
        1,
        IF(
            NETWORKDAYS(L1130, M1130, Holiday_Dates) &lt;= 0,
            1,
            NETWORKDAYS(L1130, M1130, Holiday_Dates) - IF(L1130 = M1130, 0, 1)
        )
    )
)</f>
        <v/>
      </c>
      <c r="R1130" s="385" t="str">
        <f>IFERROR(
    IF(
        OR(ISBLANK(N1130), AND(ISBLANK(L1130), ISBLANK(M1130))),
        "",
        MAX(
            1,
            IF(
                NETWORKDAYS(IF(NOT(ISBLANK(M1130)), M1130, L1130), N1130, Holiday_Dates) &lt;= 0,
                1,
                NETWORKDAYS(IF(NOT(ISBLANK(M1130)), M1130, L1130), N1130, Holiday_Dates)
                - IF(IF(NOT(ISBLANK(M1130)), M1130, L1130) = N1130, 0, 1)
            )
        )
    ),
    ""
)</f>
        <v/>
      </c>
      <c r="S1130" s="385" t="str">
        <f>IFERROR(
    IF(
        OR(ISBLANK(N1130), ISBLANK(O1130)),
        "",
        MAX(
            1,
            IF(
                NETWORKDAYS(N1130, O1130, Holiday_Dates) &lt;= 0,
                1,
                NETWORKDAYS(N1130, O1130, Holiday_Dates) - IF(N1130 = O1130, 0, 1)
            )
        )
    ),
    ""
)</f>
        <v/>
      </c>
      <c r="T1130" s="385"/>
      <c r="U1130" s="385"/>
      <c r="V1130" s="385"/>
      <c r="W1130" s="385" t="s">
        <v>4710</v>
      </c>
      <c r="X1130" s="1"/>
    </row>
    <row r="1131" spans="1:24">
      <c r="A1131" s="385" t="s">
        <v>65</v>
      </c>
      <c r="B1131" s="385" t="s">
        <v>409</v>
      </c>
      <c r="C1131" s="385" t="s">
        <v>2897</v>
      </c>
      <c r="D1131" s="385" t="s">
        <v>88</v>
      </c>
      <c r="E1131" s="385"/>
      <c r="F1131" s="385"/>
      <c r="G1131" s="385"/>
      <c r="H1131" s="385">
        <v>2025</v>
      </c>
      <c r="I1131" s="386">
        <v>45728</v>
      </c>
      <c r="J1131" s="30" t="s">
        <v>5181</v>
      </c>
      <c r="K1131" s="385"/>
      <c r="L1131" s="385"/>
      <c r="M1131" s="385"/>
      <c r="N1131" s="385"/>
      <c r="O1131" s="385"/>
      <c r="P1131" s="385" t="str">
        <f>IFERROR(
    IF(
        OR(ISBLANK(I1131), ISBLANK(L1131)),
        "",
        MAX(
            1,
            IF(
                NETWORKDAYS(I1131, L1131, Holiday_Dates) &lt;= 0,
                1,
                NETWORKDAYS(I1131, L1131, Holiday_Dates) - IF(I1131 = L1131, 0, 1)
            )
        )
    ),
    ""
)</f>
        <v/>
      </c>
      <c r="Q1131" s="385" t="str">
        <f>IF(
    OR(ISBLANK(L1131), ISBLANK(M1131)),
    "",
    MAX(
        1,
        IF(
            NETWORKDAYS(L1131, M1131, Holiday_Dates) &lt;= 0,
            1,
            NETWORKDAYS(L1131, M1131, Holiday_Dates) - IF(L1131 = M1131, 0, 1)
        )
    )
)</f>
        <v/>
      </c>
      <c r="R1131" s="385" t="str">
        <f>IFERROR(
    IF(
        OR(ISBLANK(N1131), AND(ISBLANK(L1131), ISBLANK(M1131))),
        "",
        MAX(
            1,
            IF(
                NETWORKDAYS(IF(NOT(ISBLANK(M1131)), M1131, L1131), N1131, Holiday_Dates) &lt;= 0,
                1,
                NETWORKDAYS(IF(NOT(ISBLANK(M1131)), M1131, L1131), N1131, Holiday_Dates)
                - IF(IF(NOT(ISBLANK(M1131)), M1131, L1131) = N1131, 0, 1)
            )
        )
    ),
    ""
)</f>
        <v/>
      </c>
      <c r="S1131" s="385" t="str">
        <f>IFERROR(
    IF(
        OR(ISBLANK(N1131), ISBLANK(O1131)),
        "",
        MAX(
            1,
            IF(
                NETWORKDAYS(N1131, O1131, Holiday_Dates) &lt;= 0,
                1,
                NETWORKDAYS(N1131, O1131, Holiday_Dates) - IF(N1131 = O1131, 0, 1)
            )
        )
    ),
    ""
)</f>
        <v/>
      </c>
      <c r="T1131" s="385"/>
      <c r="U1131" s="385" t="s">
        <v>672</v>
      </c>
      <c r="V1131" s="385" t="s">
        <v>101</v>
      </c>
      <c r="W1131" s="385" t="s">
        <v>1436</v>
      </c>
      <c r="X1131" s="1"/>
    </row>
    <row r="1132" spans="1:24">
      <c r="A1132" s="385" t="s">
        <v>65</v>
      </c>
      <c r="B1132" s="385" t="s">
        <v>409</v>
      </c>
      <c r="C1132" s="385" t="s">
        <v>2907</v>
      </c>
      <c r="D1132" s="385" t="s">
        <v>88</v>
      </c>
      <c r="E1132" s="385"/>
      <c r="F1132" s="385"/>
      <c r="G1132" s="385"/>
      <c r="H1132" s="385">
        <v>2025</v>
      </c>
      <c r="I1132" s="386">
        <v>45925</v>
      </c>
      <c r="J1132" s="30" t="s">
        <v>5182</v>
      </c>
      <c r="K1132" s="391"/>
      <c r="L1132" s="391"/>
      <c r="M1132" s="391"/>
      <c r="N1132" s="391"/>
      <c r="O1132" s="391"/>
      <c r="P1132" s="385" t="str">
        <f>IFERROR(
    IF(
        OR(ISBLANK(I1132), ISBLANK(L1132)),
        "",
        MAX(
            1,
            IF(
                NETWORKDAYS(I1132, L1132, Holiday_Dates) &lt;= 0,
                1,
                NETWORKDAYS(I1132, L1132, Holiday_Dates) - IF(I1132 = L1132, 0, 1)
            )
        )
    ),
    ""
)</f>
        <v/>
      </c>
      <c r="Q1132" s="385" t="str">
        <f>IF(
    OR(ISBLANK(L1132), ISBLANK(M1132)),
    "",
    MAX(
        1,
        IF(
            NETWORKDAYS(L1132, M1132, Holiday_Dates) &lt;= 0,
            1,
            NETWORKDAYS(L1132, M1132, Holiday_Dates) - IF(L1132 = M1132, 0, 1)
        )
    )
)</f>
        <v/>
      </c>
      <c r="R1132" s="385" t="str">
        <f>IFERROR(
    IF(
        OR(ISBLANK(N1132), AND(ISBLANK(L1132), ISBLANK(M1132))),
        "",
        MAX(
            1,
            IF(
                NETWORKDAYS(IF(NOT(ISBLANK(M1132)), M1132, L1132), N1132, Holiday_Dates) &lt;= 0,
                1,
                NETWORKDAYS(IF(NOT(ISBLANK(M1132)), M1132, L1132), N1132, Holiday_Dates)
                - IF(IF(NOT(ISBLANK(M1132)), M1132, L1132) = N1132, 0, 1)
            )
        )
    ),
    ""
)</f>
        <v/>
      </c>
      <c r="S1132" s="385" t="str">
        <f>IFERROR(
    IF(
        OR(ISBLANK(N1132), ISBLANK(O1132)),
        "",
        MAX(
            1,
            IF(
                NETWORKDAYS(N1132, O1132, Holiday_Dates) &lt;= 0,
                1,
                NETWORKDAYS(N1132, O1132, Holiday_Dates) - IF(N1132 = O1132, 0, 1)
            )
        )
    ),
    ""
)</f>
        <v/>
      </c>
      <c r="T1132" s="385"/>
      <c r="U1132" s="385" t="s">
        <v>672</v>
      </c>
      <c r="V1132" s="385" t="s">
        <v>101</v>
      </c>
      <c r="W1132" s="385" t="s">
        <v>1436</v>
      </c>
      <c r="X1132" s="1"/>
    </row>
    <row r="1133" spans="1:24">
      <c r="A1133" s="385" t="s">
        <v>65</v>
      </c>
      <c r="B1133" s="385" t="s">
        <v>384</v>
      </c>
      <c r="C1133" s="385" t="s">
        <v>2753</v>
      </c>
      <c r="D1133" s="385" t="s">
        <v>88</v>
      </c>
      <c r="E1133" s="385" t="s">
        <v>141</v>
      </c>
      <c r="F1133" s="385"/>
      <c r="G1133" s="385" t="s">
        <v>130</v>
      </c>
      <c r="H1133" s="385"/>
      <c r="I1133" s="385"/>
      <c r="J1133" s="30"/>
      <c r="K1133" s="385" t="s">
        <v>57</v>
      </c>
      <c r="L1133" s="385"/>
      <c r="M1133" s="385"/>
      <c r="N1133" s="385"/>
      <c r="O1133" s="385"/>
      <c r="P1133" s="385" t="str">
        <f>IFERROR(
    IF(
        OR(ISBLANK(I1133), ISBLANK(L1133)),
        "",
        MAX(
            1,
            IF(
                NETWORKDAYS(I1133, L1133, Holiday_Dates) &lt;= 0,
                1,
                NETWORKDAYS(I1133, L1133, Holiday_Dates) - IF(I1133 = L1133, 0, 1)
            )
        )
    ),
    ""
)</f>
        <v/>
      </c>
      <c r="Q1133" s="385" t="str">
        <f>IF(
    OR(ISBLANK(L1133), ISBLANK(M1133)),
    "",
    MAX(
        1,
        IF(
            NETWORKDAYS(L1133, M1133, Holiday_Dates) &lt;= 0,
            1,
            NETWORKDAYS(L1133, M1133, Holiday_Dates) - IF(L1133 = M1133, 0, 1)
        )
    )
)</f>
        <v/>
      </c>
      <c r="R1133" s="385" t="str">
        <f>IFERROR(
    IF(
        OR(ISBLANK(N1133), AND(ISBLANK(L1133), ISBLANK(M1133))),
        "",
        MAX(
            1,
            IF(
                NETWORKDAYS(IF(NOT(ISBLANK(M1133)), M1133, L1133), N1133, Holiday_Dates) &lt;= 0,
                1,
                NETWORKDAYS(IF(NOT(ISBLANK(M1133)), M1133, L1133), N1133, Holiday_Dates)
                - IF(IF(NOT(ISBLANK(M1133)), M1133, L1133) = N1133, 0, 1)
            )
        )
    ),
    ""
)</f>
        <v/>
      </c>
      <c r="S1133" s="385" t="str">
        <f>IFERROR(
    IF(
        OR(ISBLANK(N1133), ISBLANK(O1133)),
        "",
        MAX(
            1,
            IF(
                NETWORKDAYS(N1133, O1133, Holiday_Dates) &lt;= 0,
                1,
                NETWORKDAYS(N1133, O1133, Holiday_Dates) - IF(N1133 = O1133, 0, 1)
            )
        )
    ),
    ""
)</f>
        <v/>
      </c>
      <c r="T1133" s="385"/>
      <c r="U1133" s="385"/>
      <c r="V1133" s="385"/>
      <c r="W1133" s="385" t="s">
        <v>4710</v>
      </c>
      <c r="X1133" s="1"/>
    </row>
    <row r="1134" spans="1:24">
      <c r="A1134" s="385" t="s">
        <v>65</v>
      </c>
      <c r="B1134" s="385" t="s">
        <v>384</v>
      </c>
      <c r="C1134" s="385" t="s">
        <v>2754</v>
      </c>
      <c r="D1134" s="385" t="s">
        <v>88</v>
      </c>
      <c r="E1134" s="385" t="s">
        <v>141</v>
      </c>
      <c r="F1134" s="385"/>
      <c r="G1134" s="385" t="s">
        <v>130</v>
      </c>
      <c r="H1134" s="385"/>
      <c r="I1134" s="385"/>
      <c r="J1134" s="30"/>
      <c r="K1134" s="385" t="s">
        <v>57</v>
      </c>
      <c r="L1134" s="385"/>
      <c r="M1134" s="385"/>
      <c r="N1134" s="385"/>
      <c r="O1134" s="385"/>
      <c r="P1134" s="385" t="str">
        <f>IFERROR(
    IF(
        OR(ISBLANK(I1134), ISBLANK(L1134)),
        "",
        MAX(
            1,
            IF(
                NETWORKDAYS(I1134, L1134, Holiday_Dates) &lt;= 0,
                1,
                NETWORKDAYS(I1134, L1134, Holiday_Dates) - IF(I1134 = L1134, 0, 1)
            )
        )
    ),
    ""
)</f>
        <v/>
      </c>
      <c r="Q1134" s="385" t="str">
        <f>IF(
    OR(ISBLANK(L1134), ISBLANK(M1134)),
    "",
    MAX(
        1,
        IF(
            NETWORKDAYS(L1134, M1134, Holiday_Dates) &lt;= 0,
            1,
            NETWORKDAYS(L1134, M1134, Holiday_Dates) - IF(L1134 = M1134, 0, 1)
        )
    )
)</f>
        <v/>
      </c>
      <c r="R1134" s="385" t="str">
        <f>IFERROR(
    IF(
        OR(ISBLANK(N1134), AND(ISBLANK(L1134), ISBLANK(M1134))),
        "",
        MAX(
            1,
            IF(
                NETWORKDAYS(IF(NOT(ISBLANK(M1134)), M1134, L1134), N1134, Holiday_Dates) &lt;= 0,
                1,
                NETWORKDAYS(IF(NOT(ISBLANK(M1134)), M1134, L1134), N1134, Holiday_Dates)
                - IF(IF(NOT(ISBLANK(M1134)), M1134, L1134) = N1134, 0, 1)
            )
        )
    ),
    ""
)</f>
        <v/>
      </c>
      <c r="S1134" s="385" t="str">
        <f>IFERROR(
    IF(
        OR(ISBLANK(N1134), ISBLANK(O1134)),
        "",
        MAX(
            1,
            IF(
                NETWORKDAYS(N1134, O1134, Holiday_Dates) &lt;= 0,
                1,
                NETWORKDAYS(N1134, O1134, Holiday_Dates) - IF(N1134 = O1134, 0, 1)
            )
        )
    ),
    ""
)</f>
        <v/>
      </c>
      <c r="T1134" s="385"/>
      <c r="U1134" s="385"/>
      <c r="V1134" s="385"/>
      <c r="W1134" s="385" t="s">
        <v>4710</v>
      </c>
      <c r="X1134" s="1"/>
    </row>
    <row r="1135" spans="1:24">
      <c r="A1135" s="385" t="s">
        <v>65</v>
      </c>
      <c r="B1135" s="385" t="s">
        <v>407</v>
      </c>
      <c r="C1135" s="385" t="s">
        <v>2892</v>
      </c>
      <c r="D1135" s="385" t="s">
        <v>88</v>
      </c>
      <c r="E1135" s="385" t="s">
        <v>30</v>
      </c>
      <c r="F1135" s="385"/>
      <c r="G1135" s="385" t="s">
        <v>130</v>
      </c>
      <c r="H1135" s="385"/>
      <c r="I1135" s="385"/>
      <c r="J1135" s="30"/>
      <c r="K1135" s="385" t="s">
        <v>57</v>
      </c>
      <c r="L1135" s="385"/>
      <c r="M1135" s="385"/>
      <c r="N1135" s="385"/>
      <c r="O1135" s="385"/>
      <c r="P1135" s="385" t="str">
        <f>IFERROR(
    IF(
        OR(ISBLANK(I1135), ISBLANK(L1135)),
        "",
        MAX(
            1,
            IF(
                NETWORKDAYS(I1135, L1135, Holiday_Dates) &lt;= 0,
                1,
                NETWORKDAYS(I1135, L1135, Holiday_Dates) - IF(I1135 = L1135, 0, 1)
            )
        )
    ),
    ""
)</f>
        <v/>
      </c>
      <c r="Q1135" s="385" t="str">
        <f>IF(
    OR(ISBLANK(L1135), ISBLANK(M1135)),
    "",
    MAX(
        1,
        IF(
            NETWORKDAYS(L1135, M1135, Holiday_Dates) &lt;= 0,
            1,
            NETWORKDAYS(L1135, M1135, Holiday_Dates) - IF(L1135 = M1135, 0, 1)
        )
    )
)</f>
        <v/>
      </c>
      <c r="R1135" s="385" t="str">
        <f>IFERROR(
    IF(
        OR(ISBLANK(N1135), AND(ISBLANK(L1135), ISBLANK(M1135))),
        "",
        MAX(
            1,
            IF(
                NETWORKDAYS(IF(NOT(ISBLANK(M1135)), M1135, L1135), N1135, Holiday_Dates) &lt;= 0,
                1,
                NETWORKDAYS(IF(NOT(ISBLANK(M1135)), M1135, L1135), N1135, Holiday_Dates)
                - IF(IF(NOT(ISBLANK(M1135)), M1135, L1135) = N1135, 0, 1)
            )
        )
    ),
    ""
)</f>
        <v/>
      </c>
      <c r="S1135" s="385" t="str">
        <f>IFERROR(
    IF(
        OR(ISBLANK(N1135), ISBLANK(O1135)),
        "",
        MAX(
            1,
            IF(
                NETWORKDAYS(N1135, O1135, Holiday_Dates) &lt;= 0,
                1,
                NETWORKDAYS(N1135, O1135, Holiday_Dates) - IF(N1135 = O1135, 0, 1)
            )
        )
    ),
    ""
)</f>
        <v/>
      </c>
      <c r="T1135" s="385"/>
      <c r="U1135" s="385"/>
      <c r="V1135" s="385"/>
      <c r="W1135" s="385" t="s">
        <v>4710</v>
      </c>
      <c r="X1135" s="1"/>
    </row>
    <row r="1136" spans="1:24">
      <c r="A1136" s="385" t="s">
        <v>65</v>
      </c>
      <c r="B1136" s="385" t="s">
        <v>409</v>
      </c>
      <c r="C1136" s="385" t="s">
        <v>2898</v>
      </c>
      <c r="D1136" s="385" t="s">
        <v>88</v>
      </c>
      <c r="E1136" s="385"/>
      <c r="F1136" s="385"/>
      <c r="G1136" s="385"/>
      <c r="H1136" s="385">
        <v>2025</v>
      </c>
      <c r="I1136" s="386">
        <v>45750</v>
      </c>
      <c r="J1136" s="30" t="s">
        <v>5183</v>
      </c>
      <c r="K1136" s="385"/>
      <c r="L1136" s="385"/>
      <c r="M1136" s="385"/>
      <c r="N1136" s="385"/>
      <c r="O1136" s="385"/>
      <c r="P1136" s="385" t="str">
        <f>IFERROR(
    IF(
        OR(ISBLANK(I1136), ISBLANK(L1136)),
        "",
        MAX(
            1,
            IF(
                NETWORKDAYS(I1136, L1136, Holiday_Dates) &lt;= 0,
                1,
                NETWORKDAYS(I1136, L1136, Holiday_Dates) - IF(I1136 = L1136, 0, 1)
            )
        )
    ),
    ""
)</f>
        <v/>
      </c>
      <c r="Q1136" s="385" t="str">
        <f>IF(
    OR(ISBLANK(L1136), ISBLANK(M1136)),
    "",
    MAX(
        1,
        IF(
            NETWORKDAYS(L1136, M1136, Holiday_Dates) &lt;= 0,
            1,
            NETWORKDAYS(L1136, M1136, Holiday_Dates) - IF(L1136 = M1136, 0, 1)
        )
    )
)</f>
        <v/>
      </c>
      <c r="R1136" s="385" t="str">
        <f>IFERROR(
    IF(
        OR(ISBLANK(N1136), AND(ISBLANK(L1136), ISBLANK(M1136))),
        "",
        MAX(
            1,
            IF(
                NETWORKDAYS(IF(NOT(ISBLANK(M1136)), M1136, L1136), N1136, Holiday_Dates) &lt;= 0,
                1,
                NETWORKDAYS(IF(NOT(ISBLANK(M1136)), M1136, L1136), N1136, Holiday_Dates)
                - IF(IF(NOT(ISBLANK(M1136)), M1136, L1136) = N1136, 0, 1)
            )
        )
    ),
    ""
)</f>
        <v/>
      </c>
      <c r="S1136" s="385" t="str">
        <f>IFERROR(
    IF(
        OR(ISBLANK(N1136), ISBLANK(O1136)),
        "",
        MAX(
            1,
            IF(
                NETWORKDAYS(N1136, O1136, Holiday_Dates) &lt;= 0,
                1,
                NETWORKDAYS(N1136, O1136, Holiday_Dates) - IF(N1136 = O1136, 0, 1)
            )
        )
    ),
    ""
)</f>
        <v/>
      </c>
      <c r="T1136" s="385"/>
      <c r="U1136" s="385" t="s">
        <v>672</v>
      </c>
      <c r="V1136" s="385" t="s">
        <v>101</v>
      </c>
      <c r="W1136" s="385" t="s">
        <v>1436</v>
      </c>
      <c r="X1136" s="1"/>
    </row>
    <row r="1137" spans="1:24">
      <c r="A1137" s="385" t="s">
        <v>65</v>
      </c>
      <c r="B1137" s="385" t="s">
        <v>409</v>
      </c>
      <c r="C1137" s="385" t="s">
        <v>2900</v>
      </c>
      <c r="D1137" s="385" t="s">
        <v>88</v>
      </c>
      <c r="E1137" s="385"/>
      <c r="F1137" s="385"/>
      <c r="G1137" s="385"/>
      <c r="H1137" s="385">
        <v>2025</v>
      </c>
      <c r="I1137" s="386">
        <v>45723</v>
      </c>
      <c r="J1137" s="30" t="s">
        <v>5184</v>
      </c>
      <c r="K1137" s="385"/>
      <c r="L1137" s="385"/>
      <c r="M1137" s="385"/>
      <c r="N1137" s="385"/>
      <c r="O1137" s="385"/>
      <c r="P1137" s="385" t="str">
        <f>IFERROR(
    IF(
        OR(ISBLANK(I1137), ISBLANK(L1137)),
        "",
        MAX(
            1,
            IF(
                NETWORKDAYS(I1137, L1137, Holiday_Dates) &lt;= 0,
                1,
                NETWORKDAYS(I1137, L1137, Holiday_Dates) - IF(I1137 = L1137, 0, 1)
            )
        )
    ),
    ""
)</f>
        <v/>
      </c>
      <c r="Q1137" s="385" t="str">
        <f>IF(
    OR(ISBLANK(L1137), ISBLANK(M1137)),
    "",
    MAX(
        1,
        IF(
            NETWORKDAYS(L1137, M1137, Holiday_Dates) &lt;= 0,
            1,
            NETWORKDAYS(L1137, M1137, Holiday_Dates) - IF(L1137 = M1137, 0, 1)
        )
    )
)</f>
        <v/>
      </c>
      <c r="R1137" s="385" t="str">
        <f>IFERROR(
    IF(
        OR(ISBLANK(N1137), AND(ISBLANK(L1137), ISBLANK(M1137))),
        "",
        MAX(
            1,
            IF(
                NETWORKDAYS(IF(NOT(ISBLANK(M1137)), M1137, L1137), N1137, Holiday_Dates) &lt;= 0,
                1,
                NETWORKDAYS(IF(NOT(ISBLANK(M1137)), M1137, L1137), N1137, Holiday_Dates)
                - IF(IF(NOT(ISBLANK(M1137)), M1137, L1137) = N1137, 0, 1)
            )
        )
    ),
    ""
)</f>
        <v/>
      </c>
      <c r="S1137" s="385" t="str">
        <f>IFERROR(
    IF(
        OR(ISBLANK(N1137), ISBLANK(O1137)),
        "",
        MAX(
            1,
            IF(
                NETWORKDAYS(N1137, O1137, Holiday_Dates) &lt;= 0,
                1,
                NETWORKDAYS(N1137, O1137, Holiday_Dates) - IF(N1137 = O1137, 0, 1)
            )
        )
    ),
    ""
)</f>
        <v/>
      </c>
      <c r="T1137" s="385"/>
      <c r="U1137" s="385" t="s">
        <v>672</v>
      </c>
      <c r="V1137" s="385" t="s">
        <v>101</v>
      </c>
      <c r="W1137" s="385" t="s">
        <v>1436</v>
      </c>
      <c r="X1137" s="1"/>
    </row>
    <row r="1138" spans="1:24">
      <c r="A1138" s="385" t="s">
        <v>65</v>
      </c>
      <c r="B1138" s="385" t="s">
        <v>409</v>
      </c>
      <c r="C1138" s="385" t="s">
        <v>2901</v>
      </c>
      <c r="D1138" s="385" t="s">
        <v>88</v>
      </c>
      <c r="E1138" s="385"/>
      <c r="F1138" s="385"/>
      <c r="G1138" s="385"/>
      <c r="H1138" s="385">
        <v>2025</v>
      </c>
      <c r="I1138" s="386">
        <v>45728</v>
      </c>
      <c r="J1138" s="30" t="s">
        <v>5185</v>
      </c>
      <c r="K1138" s="385"/>
      <c r="L1138" s="385"/>
      <c r="M1138" s="385"/>
      <c r="N1138" s="385"/>
      <c r="O1138" s="385"/>
      <c r="P1138" s="385" t="str">
        <f>IFERROR(
    IF(
        OR(ISBLANK(I1138), ISBLANK(L1138)),
        "",
        MAX(
            1,
            IF(
                NETWORKDAYS(I1138, L1138, Holiday_Dates) &lt;= 0,
                1,
                NETWORKDAYS(I1138, L1138, Holiday_Dates) - IF(I1138 = L1138, 0, 1)
            )
        )
    ),
    ""
)</f>
        <v/>
      </c>
      <c r="Q1138" s="385" t="str">
        <f>IF(
    OR(ISBLANK(L1138), ISBLANK(M1138)),
    "",
    MAX(
        1,
        IF(
            NETWORKDAYS(L1138, M1138, Holiday_Dates) &lt;= 0,
            1,
            NETWORKDAYS(L1138, M1138, Holiday_Dates) - IF(L1138 = M1138, 0, 1)
        )
    )
)</f>
        <v/>
      </c>
      <c r="R1138" s="385" t="str">
        <f>IFERROR(
    IF(
        OR(ISBLANK(N1138), AND(ISBLANK(L1138), ISBLANK(M1138))),
        "",
        MAX(
            1,
            IF(
                NETWORKDAYS(IF(NOT(ISBLANK(M1138)), M1138, L1138), N1138, Holiday_Dates) &lt;= 0,
                1,
                NETWORKDAYS(IF(NOT(ISBLANK(M1138)), M1138, L1138), N1138, Holiday_Dates)
                - IF(IF(NOT(ISBLANK(M1138)), M1138, L1138) = N1138, 0, 1)
            )
        )
    ),
    ""
)</f>
        <v/>
      </c>
      <c r="S1138" s="385" t="str">
        <f>IFERROR(
    IF(
        OR(ISBLANK(N1138), ISBLANK(O1138)),
        "",
        MAX(
            1,
            IF(
                NETWORKDAYS(N1138, O1138, Holiday_Dates) &lt;= 0,
                1,
                NETWORKDAYS(N1138, O1138, Holiday_Dates) - IF(N1138 = O1138, 0, 1)
            )
        )
    ),
    ""
)</f>
        <v/>
      </c>
      <c r="T1138" s="385"/>
      <c r="U1138" s="385" t="s">
        <v>672</v>
      </c>
      <c r="V1138" s="385" t="s">
        <v>101</v>
      </c>
      <c r="W1138" s="385" t="s">
        <v>1436</v>
      </c>
      <c r="X1138" s="1"/>
    </row>
    <row r="1139" spans="1:24">
      <c r="A1139" s="385" t="s">
        <v>65</v>
      </c>
      <c r="B1139" s="385" t="s">
        <v>409</v>
      </c>
      <c r="C1139" s="385" t="s">
        <v>2906</v>
      </c>
      <c r="D1139" s="385" t="s">
        <v>88</v>
      </c>
      <c r="E1139" s="400" t="s">
        <v>29</v>
      </c>
      <c r="F1139" s="400"/>
      <c r="G1139" s="385" t="s">
        <v>130</v>
      </c>
      <c r="H1139" s="385"/>
      <c r="I1139" s="385"/>
      <c r="J1139" s="30"/>
      <c r="K1139" s="385" t="s">
        <v>57</v>
      </c>
      <c r="L1139" s="385"/>
      <c r="M1139" s="385"/>
      <c r="N1139" s="385"/>
      <c r="O1139" s="385"/>
      <c r="P1139" s="385" t="str">
        <f>IFERROR(
    IF(
        OR(ISBLANK(I1139), ISBLANK(L1139)),
        "",
        MAX(
            1,
            IF(
                NETWORKDAYS(I1139, L1139, Holiday_Dates) &lt;= 0,
                1,
                NETWORKDAYS(I1139, L1139, Holiday_Dates) - IF(I1139 = L1139, 0, 1)
            )
        )
    ),
    ""
)</f>
        <v/>
      </c>
      <c r="Q1139" s="385" t="str">
        <f>IF(
    OR(ISBLANK(L1139), ISBLANK(M1139)),
    "",
    MAX(
        1,
        IF(
            NETWORKDAYS(L1139, M1139, Holiday_Dates) &lt;= 0,
            1,
            NETWORKDAYS(L1139, M1139, Holiday_Dates) - IF(L1139 = M1139, 0, 1)
        )
    )
)</f>
        <v/>
      </c>
      <c r="R1139" s="385" t="str">
        <f>IFERROR(
    IF(
        OR(ISBLANK(N1139), AND(ISBLANK(L1139), ISBLANK(M1139))),
        "",
        MAX(
            1,
            IF(
                NETWORKDAYS(IF(NOT(ISBLANK(M1139)), M1139, L1139), N1139, Holiday_Dates) &lt;= 0,
                1,
                NETWORKDAYS(IF(NOT(ISBLANK(M1139)), M1139, L1139), N1139, Holiday_Dates)
                - IF(IF(NOT(ISBLANK(M1139)), M1139, L1139) = N1139, 0, 1)
            )
        )
    ),
    ""
)</f>
        <v/>
      </c>
      <c r="S1139" s="385" t="str">
        <f>IFERROR(
    IF(
        OR(ISBLANK(N1139), ISBLANK(O1139)),
        "",
        MAX(
            1,
            IF(
                NETWORKDAYS(N1139, O1139, Holiday_Dates) &lt;= 0,
                1,
                NETWORKDAYS(N1139, O1139, Holiday_Dates) - IF(N1139 = O1139, 0, 1)
            )
        )
    ),
    ""
)</f>
        <v/>
      </c>
      <c r="T1139" s="385"/>
      <c r="U1139" s="385"/>
      <c r="V1139" s="385"/>
      <c r="W1139" s="385" t="s">
        <v>4710</v>
      </c>
      <c r="X1139" s="1"/>
    </row>
    <row r="1140" spans="1:24">
      <c r="A1140" s="385" t="s">
        <v>65</v>
      </c>
      <c r="B1140" s="385" t="s">
        <v>409</v>
      </c>
      <c r="C1140" s="385" t="s">
        <v>2903</v>
      </c>
      <c r="D1140" s="385" t="s">
        <v>88</v>
      </c>
      <c r="E1140" s="385"/>
      <c r="F1140" s="385"/>
      <c r="G1140" s="385"/>
      <c r="H1140" s="385">
        <v>2025</v>
      </c>
      <c r="I1140" s="386">
        <v>45723</v>
      </c>
      <c r="J1140" s="30" t="s">
        <v>5186</v>
      </c>
      <c r="K1140" s="385"/>
      <c r="L1140" s="385"/>
      <c r="M1140" s="385"/>
      <c r="N1140" s="385"/>
      <c r="O1140" s="385"/>
      <c r="P1140" s="385" t="str">
        <f>IFERROR(
    IF(
        OR(ISBLANK(I1140), ISBLANK(L1140)),
        "",
        MAX(
            1,
            IF(
                NETWORKDAYS(I1140, L1140, Holiday_Dates) &lt;= 0,
                1,
                NETWORKDAYS(I1140, L1140, Holiday_Dates) - IF(I1140 = L1140, 0, 1)
            )
        )
    ),
    ""
)</f>
        <v/>
      </c>
      <c r="Q1140" s="385" t="str">
        <f>IF(
    OR(ISBLANK(L1140), ISBLANK(M1140)),
    "",
    MAX(
        1,
        IF(
            NETWORKDAYS(L1140, M1140, Holiday_Dates) &lt;= 0,
            1,
            NETWORKDAYS(L1140, M1140, Holiday_Dates) - IF(L1140 = M1140, 0, 1)
        )
    )
)</f>
        <v/>
      </c>
      <c r="R1140" s="385" t="str">
        <f>IFERROR(
    IF(
        OR(ISBLANK(N1140), AND(ISBLANK(L1140), ISBLANK(M1140))),
        "",
        MAX(
            1,
            IF(
                NETWORKDAYS(IF(NOT(ISBLANK(M1140)), M1140, L1140), N1140, Holiday_Dates) &lt;= 0,
                1,
                NETWORKDAYS(IF(NOT(ISBLANK(M1140)), M1140, L1140), N1140, Holiday_Dates)
                - IF(IF(NOT(ISBLANK(M1140)), M1140, L1140) = N1140, 0, 1)
            )
        )
    ),
    ""
)</f>
        <v/>
      </c>
      <c r="S1140" s="385" t="str">
        <f>IFERROR(
    IF(
        OR(ISBLANK(N1140), ISBLANK(O1140)),
        "",
        MAX(
            1,
            IF(
                NETWORKDAYS(N1140, O1140, Holiday_Dates) &lt;= 0,
                1,
                NETWORKDAYS(N1140, O1140, Holiday_Dates) - IF(N1140 = O1140, 0, 1)
            )
        )
    ),
    ""
)</f>
        <v/>
      </c>
      <c r="T1140" s="385"/>
      <c r="U1140" s="385" t="s">
        <v>672</v>
      </c>
      <c r="V1140" s="385" t="s">
        <v>685</v>
      </c>
      <c r="W1140" s="385" t="s">
        <v>1436</v>
      </c>
      <c r="X1140" s="1"/>
    </row>
    <row r="1141" spans="1:24">
      <c r="A1141" s="385" t="s">
        <v>65</v>
      </c>
      <c r="B1141" s="385" t="s">
        <v>409</v>
      </c>
      <c r="C1141" s="385" t="s">
        <v>2895</v>
      </c>
      <c r="D1141" s="385" t="s">
        <v>88</v>
      </c>
      <c r="E1141" s="385"/>
      <c r="F1141" s="385"/>
      <c r="G1141" s="385"/>
      <c r="H1141" s="385">
        <v>2025</v>
      </c>
      <c r="I1141" s="386">
        <v>45925</v>
      </c>
      <c r="J1141" s="30" t="s">
        <v>5187</v>
      </c>
      <c r="K1141" s="385"/>
      <c r="L1141" s="385"/>
      <c r="M1141" s="385"/>
      <c r="N1141" s="385"/>
      <c r="O1141" s="385"/>
      <c r="P1141" s="385" t="str">
        <f>IFERROR(
    IF(
        OR(ISBLANK(I1141), ISBLANK(L1141)),
        "",
        MAX(
            1,
            IF(
                NETWORKDAYS(I1141, L1141, Holiday_Dates) &lt;= 0,
                1,
                NETWORKDAYS(I1141, L1141, Holiday_Dates) - IF(I1141 = L1141, 0, 1)
            )
        )
    ),
    ""
)</f>
        <v/>
      </c>
      <c r="Q1141" s="385" t="str">
        <f>IF(
    OR(ISBLANK(L1141), ISBLANK(M1141)),
    "",
    MAX(
        1,
        IF(
            NETWORKDAYS(L1141, M1141, Holiday_Dates) &lt;= 0,
            1,
            NETWORKDAYS(L1141, M1141, Holiday_Dates) - IF(L1141 = M1141, 0, 1)
        )
    )
)</f>
        <v/>
      </c>
      <c r="R1141" s="385" t="str">
        <f>IFERROR(
    IF(
        OR(ISBLANK(N1141), AND(ISBLANK(L1141), ISBLANK(M1141))),
        "",
        MAX(
            1,
            IF(
                NETWORKDAYS(IF(NOT(ISBLANK(M1141)), M1141, L1141), N1141, Holiday_Dates) &lt;= 0,
                1,
                NETWORKDAYS(IF(NOT(ISBLANK(M1141)), M1141, L1141), N1141, Holiday_Dates)
                - IF(IF(NOT(ISBLANK(M1141)), M1141, L1141) = N1141, 0, 1)
            )
        )
    ),
    ""
)</f>
        <v/>
      </c>
      <c r="S1141" s="385" t="str">
        <f>IFERROR(
    IF(
        OR(ISBLANK(N1141), ISBLANK(O1141)),
        "",
        MAX(
            1,
            IF(
                NETWORKDAYS(N1141, O1141, Holiday_Dates) &lt;= 0,
                1,
                NETWORKDAYS(N1141, O1141, Holiday_Dates) - IF(N1141 = O1141, 0, 1)
            )
        )
    ),
    ""
)</f>
        <v/>
      </c>
      <c r="T1141" s="385"/>
      <c r="U1141" s="385" t="s">
        <v>672</v>
      </c>
      <c r="V1141" s="385" t="s">
        <v>101</v>
      </c>
      <c r="W1141" s="385" t="s">
        <v>1436</v>
      </c>
      <c r="X1141" s="1"/>
    </row>
    <row r="1142" spans="1:24">
      <c r="A1142" s="385" t="s">
        <v>65</v>
      </c>
      <c r="B1142" s="385" t="s">
        <v>409</v>
      </c>
      <c r="C1142" s="385" t="s">
        <v>2899</v>
      </c>
      <c r="D1142" s="385" t="s">
        <v>88</v>
      </c>
      <c r="E1142" s="400" t="s">
        <v>29</v>
      </c>
      <c r="F1142" s="400"/>
      <c r="G1142" s="385" t="s">
        <v>130</v>
      </c>
      <c r="H1142" s="385"/>
      <c r="I1142" s="385"/>
      <c r="J1142" s="30"/>
      <c r="K1142" s="385" t="s">
        <v>57</v>
      </c>
      <c r="L1142" s="385"/>
      <c r="M1142" s="385"/>
      <c r="N1142" s="385"/>
      <c r="O1142" s="385"/>
      <c r="P1142" s="385" t="str">
        <f>IFERROR(
    IF(
        OR(ISBLANK(I1142), ISBLANK(L1142)),
        "",
        MAX(
            1,
            IF(
                NETWORKDAYS(I1142, L1142, Holiday_Dates) &lt;= 0,
                1,
                NETWORKDAYS(I1142, L1142, Holiday_Dates) - IF(I1142 = L1142, 0, 1)
            )
        )
    ),
    ""
)</f>
        <v/>
      </c>
      <c r="Q1142" s="385" t="str">
        <f>IF(
    OR(ISBLANK(L1142), ISBLANK(M1142)),
    "",
    MAX(
        1,
        IF(
            NETWORKDAYS(L1142, M1142, Holiday_Dates) &lt;= 0,
            1,
            NETWORKDAYS(L1142, M1142, Holiday_Dates) - IF(L1142 = M1142, 0, 1)
        )
    )
)</f>
        <v/>
      </c>
      <c r="R1142" s="385" t="str">
        <f>IFERROR(
    IF(
        OR(ISBLANK(N1142), AND(ISBLANK(L1142), ISBLANK(M1142))),
        "",
        MAX(
            1,
            IF(
                NETWORKDAYS(IF(NOT(ISBLANK(M1142)), M1142, L1142), N1142, Holiday_Dates) &lt;= 0,
                1,
                NETWORKDAYS(IF(NOT(ISBLANK(M1142)), M1142, L1142), N1142, Holiday_Dates)
                - IF(IF(NOT(ISBLANK(M1142)), M1142, L1142) = N1142, 0, 1)
            )
        )
    ),
    ""
)</f>
        <v/>
      </c>
      <c r="S1142" s="385" t="str">
        <f>IFERROR(
    IF(
        OR(ISBLANK(N1142), ISBLANK(O1142)),
        "",
        MAX(
            1,
            IF(
                NETWORKDAYS(N1142, O1142, Holiday_Dates) &lt;= 0,
                1,
                NETWORKDAYS(N1142, O1142, Holiday_Dates) - IF(N1142 = O1142, 0, 1)
            )
        )
    ),
    ""
)</f>
        <v/>
      </c>
      <c r="T1142" s="385"/>
      <c r="U1142" s="385"/>
      <c r="V1142" s="385"/>
      <c r="W1142" s="385" t="s">
        <v>4710</v>
      </c>
      <c r="X1142" s="1"/>
    </row>
    <row r="1143" spans="1:24">
      <c r="A1143" s="385" t="s">
        <v>65</v>
      </c>
      <c r="B1143" s="385" t="s">
        <v>409</v>
      </c>
      <c r="C1143" s="385" t="s">
        <v>2902</v>
      </c>
      <c r="D1143" s="385" t="s">
        <v>88</v>
      </c>
      <c r="E1143" s="400" t="s">
        <v>29</v>
      </c>
      <c r="F1143" s="400"/>
      <c r="G1143" s="385" t="s">
        <v>130</v>
      </c>
      <c r="H1143" s="385"/>
      <c r="I1143" s="385"/>
      <c r="J1143" s="30"/>
      <c r="K1143" s="385" t="s">
        <v>57</v>
      </c>
      <c r="L1143" s="385"/>
      <c r="M1143" s="385"/>
      <c r="N1143" s="385"/>
      <c r="O1143" s="385"/>
      <c r="P1143" s="385" t="str">
        <f>IFERROR(
    IF(
        OR(ISBLANK(I1143), ISBLANK(L1143)),
        "",
        MAX(
            1,
            IF(
                NETWORKDAYS(I1143, L1143, Holiday_Dates) &lt;= 0,
                1,
                NETWORKDAYS(I1143, L1143, Holiday_Dates) - IF(I1143 = L1143, 0, 1)
            )
        )
    ),
    ""
)</f>
        <v/>
      </c>
      <c r="Q1143" s="385" t="str">
        <f>IF(
    OR(ISBLANK(L1143), ISBLANK(M1143)),
    "",
    MAX(
        1,
        IF(
            NETWORKDAYS(L1143, M1143, Holiday_Dates) &lt;= 0,
            1,
            NETWORKDAYS(L1143, M1143, Holiday_Dates) - IF(L1143 = M1143, 0, 1)
        )
    )
)</f>
        <v/>
      </c>
      <c r="R1143" s="385" t="str">
        <f>IFERROR(
    IF(
        OR(ISBLANK(N1143), AND(ISBLANK(L1143), ISBLANK(M1143))),
        "",
        MAX(
            1,
            IF(
                NETWORKDAYS(IF(NOT(ISBLANK(M1143)), M1143, L1143), N1143, Holiday_Dates) &lt;= 0,
                1,
                NETWORKDAYS(IF(NOT(ISBLANK(M1143)), M1143, L1143), N1143, Holiday_Dates)
                - IF(IF(NOT(ISBLANK(M1143)), M1143, L1143) = N1143, 0, 1)
            )
        )
    ),
    ""
)</f>
        <v/>
      </c>
      <c r="S1143" s="385" t="str">
        <f>IFERROR(
    IF(
        OR(ISBLANK(N1143), ISBLANK(O1143)),
        "",
        MAX(
            1,
            IF(
                NETWORKDAYS(N1143, O1143, Holiday_Dates) &lt;= 0,
                1,
                NETWORKDAYS(N1143, O1143, Holiday_Dates) - IF(N1143 = O1143, 0, 1)
            )
        )
    ),
    ""
)</f>
        <v/>
      </c>
      <c r="T1143" s="385"/>
      <c r="U1143" s="385"/>
      <c r="V1143" s="385"/>
      <c r="W1143" s="385" t="s">
        <v>4710</v>
      </c>
      <c r="X1143" s="1"/>
    </row>
    <row r="1144" spans="1:24">
      <c r="A1144" s="385" t="s">
        <v>65</v>
      </c>
      <c r="B1144" s="385" t="s">
        <v>386</v>
      </c>
      <c r="C1144" s="385" t="s">
        <v>2951</v>
      </c>
      <c r="D1144" s="385" t="s">
        <v>88</v>
      </c>
      <c r="E1144" s="385" t="s">
        <v>141</v>
      </c>
      <c r="F1144" s="385"/>
      <c r="G1144" s="385" t="s">
        <v>130</v>
      </c>
      <c r="H1144" s="385"/>
      <c r="I1144" s="385"/>
      <c r="J1144" s="30"/>
      <c r="K1144" s="385" t="s">
        <v>57</v>
      </c>
      <c r="L1144" s="385"/>
      <c r="M1144" s="385"/>
      <c r="N1144" s="385"/>
      <c r="O1144" s="385"/>
      <c r="P1144" s="385" t="str">
        <f>IFERROR(
    IF(
        OR(ISBLANK(I1144), ISBLANK(L1144)),
        "",
        MAX(
            1,
            IF(
                NETWORKDAYS(I1144, L1144, Holiday_Dates) &lt;= 0,
                1,
                NETWORKDAYS(I1144, L1144, Holiday_Dates) - IF(I1144 = L1144, 0, 1)
            )
        )
    ),
    ""
)</f>
        <v/>
      </c>
      <c r="Q1144" s="385" t="str">
        <f>IF(
    OR(ISBLANK(L1144), ISBLANK(M1144)),
    "",
    MAX(
        1,
        IF(
            NETWORKDAYS(L1144, M1144, Holiday_Dates) &lt;= 0,
            1,
            NETWORKDAYS(L1144, M1144, Holiday_Dates) - IF(L1144 = M1144, 0, 1)
        )
    )
)</f>
        <v/>
      </c>
      <c r="R1144" s="385" t="str">
        <f>IFERROR(
    IF(
        OR(ISBLANK(N1144), AND(ISBLANK(L1144), ISBLANK(M1144))),
        "",
        MAX(
            1,
            IF(
                NETWORKDAYS(IF(NOT(ISBLANK(M1144)), M1144, L1144), N1144, Holiday_Dates) &lt;= 0,
                1,
                NETWORKDAYS(IF(NOT(ISBLANK(M1144)), M1144, L1144), N1144, Holiday_Dates)
                - IF(IF(NOT(ISBLANK(M1144)), M1144, L1144) = N1144, 0, 1)
            )
        )
    ),
    ""
)</f>
        <v/>
      </c>
      <c r="S1144" s="385" t="str">
        <f>IFERROR(
    IF(
        OR(ISBLANK(N1144), ISBLANK(O1144)),
        "",
        MAX(
            1,
            IF(
                NETWORKDAYS(N1144, O1144, Holiday_Dates) &lt;= 0,
                1,
                NETWORKDAYS(N1144, O1144, Holiday_Dates) - IF(N1144 = O1144, 0, 1)
            )
        )
    ),
    ""
)</f>
        <v/>
      </c>
      <c r="T1144" s="385"/>
      <c r="U1144" s="385"/>
      <c r="V1144" s="385"/>
      <c r="W1144" s="385" t="s">
        <v>4710</v>
      </c>
      <c r="X1144" s="1"/>
    </row>
    <row r="1145" spans="1:24">
      <c r="A1145" s="385" t="s">
        <v>65</v>
      </c>
      <c r="B1145" s="385" t="s">
        <v>2958</v>
      </c>
      <c r="C1145" s="385" t="s">
        <v>2976</v>
      </c>
      <c r="D1145" s="385" t="s">
        <v>88</v>
      </c>
      <c r="E1145" s="385"/>
      <c r="F1145" s="385"/>
      <c r="G1145" s="385"/>
      <c r="H1145" s="385">
        <v>2024</v>
      </c>
      <c r="I1145" s="386">
        <v>45611</v>
      </c>
      <c r="J1145" s="30"/>
      <c r="K1145" s="385"/>
      <c r="L1145" s="385"/>
      <c r="M1145" s="385"/>
      <c r="N1145" s="385"/>
      <c r="O1145" s="385"/>
      <c r="P1145" s="385" t="str">
        <f>IFERROR(
    IF(
        OR(ISBLANK(I1145), ISBLANK(L1145)),
        "",
        MAX(
            1,
            IF(
                NETWORKDAYS(I1145, L1145, Holiday_Dates) &lt;= 0,
                1,
                NETWORKDAYS(I1145, L1145, Holiday_Dates) - IF(I1145 = L1145, 0, 1)
            )
        )
    ),
    ""
)</f>
        <v/>
      </c>
      <c r="Q1145" s="385" t="str">
        <f>IF(
    OR(ISBLANK(L1145), ISBLANK(M1145)),
    "",
    MAX(
        1,
        IF(
            NETWORKDAYS(L1145, M1145, Holiday_Dates) &lt;= 0,
            1,
            NETWORKDAYS(L1145, M1145, Holiday_Dates) - IF(L1145 = M1145, 0, 1)
        )
    )
)</f>
        <v/>
      </c>
      <c r="R1145" s="385" t="str">
        <f>IFERROR(
    IF(
        OR(ISBLANK(N1145), AND(ISBLANK(L1145), ISBLANK(M1145))),
        "",
        MAX(
            1,
            IF(
                NETWORKDAYS(IF(NOT(ISBLANK(M1145)), M1145, L1145), N1145, Holiday_Dates) &lt;= 0,
                1,
                NETWORKDAYS(IF(NOT(ISBLANK(M1145)), M1145, L1145), N1145, Holiday_Dates)
                - IF(IF(NOT(ISBLANK(M1145)), M1145, L1145) = N1145, 0, 1)
            )
        )
    ),
    ""
)</f>
        <v/>
      </c>
      <c r="S1145" s="385" t="str">
        <f>IFERROR(
    IF(
        OR(ISBLANK(N1145), ISBLANK(O1145)),
        "",
        MAX(
            1,
            IF(
                NETWORKDAYS(N1145, O1145, Holiday_Dates) &lt;= 0,
                1,
                NETWORKDAYS(N1145, O1145, Holiday_Dates) - IF(N1145 = O1145, 0, 1)
            )
        )
    ),
    ""
)</f>
        <v/>
      </c>
      <c r="T1145" s="385"/>
      <c r="U1145" s="385" t="s">
        <v>4</v>
      </c>
      <c r="V1145" s="385" t="s">
        <v>101</v>
      </c>
      <c r="W1145" s="385" t="s">
        <v>1436</v>
      </c>
      <c r="X1145" s="1"/>
    </row>
    <row r="1146" spans="1:24">
      <c r="A1146" s="385" t="s">
        <v>65</v>
      </c>
      <c r="B1146" s="385" t="s">
        <v>2958</v>
      </c>
      <c r="C1146" s="385" t="s">
        <v>1611</v>
      </c>
      <c r="D1146" s="385" t="s">
        <v>88</v>
      </c>
      <c r="E1146" s="385"/>
      <c r="F1146" s="385"/>
      <c r="G1146" s="385"/>
      <c r="H1146" s="385">
        <v>2025</v>
      </c>
      <c r="I1146" s="386">
        <v>45952</v>
      </c>
      <c r="J1146" s="30" t="s">
        <v>5188</v>
      </c>
      <c r="K1146" s="385"/>
      <c r="L1146" s="385"/>
      <c r="M1146" s="385"/>
      <c r="N1146" s="385"/>
      <c r="O1146" s="385"/>
      <c r="P1146" s="385" t="str">
        <f>IFERROR(
    IF(
        OR(ISBLANK(I1146), ISBLANK(L1146)),
        "",
        MAX(
            1,
            IF(
                NETWORKDAYS(I1146, L1146, Holiday_Dates) &lt;= 0,
                1,
                NETWORKDAYS(I1146, L1146, Holiday_Dates) - IF(I1146 = L1146, 0, 1)
            )
        )
    ),
    ""
)</f>
        <v/>
      </c>
      <c r="Q1146" s="385" t="str">
        <f>IF(
    OR(ISBLANK(L1146), ISBLANK(M1146)),
    "",
    MAX(
        1,
        IF(
            NETWORKDAYS(L1146, M1146, Holiday_Dates) &lt;= 0,
            1,
            NETWORKDAYS(L1146, M1146, Holiday_Dates) - IF(L1146 = M1146, 0, 1)
        )
    )
)</f>
        <v/>
      </c>
      <c r="R1146" s="385" t="str">
        <f>IFERROR(
    IF(
        OR(ISBLANK(N1146), AND(ISBLANK(L1146), ISBLANK(M1146))),
        "",
        MAX(
            1,
            IF(
                NETWORKDAYS(IF(NOT(ISBLANK(M1146)), M1146, L1146), N1146, Holiday_Dates) &lt;= 0,
                1,
                NETWORKDAYS(IF(NOT(ISBLANK(M1146)), M1146, L1146), N1146, Holiday_Dates)
                - IF(IF(NOT(ISBLANK(M1146)), M1146, L1146) = N1146, 0, 1)
            )
        )
    ),
    ""
)</f>
        <v/>
      </c>
      <c r="S1146" s="385" t="str">
        <f>IFERROR(
    IF(
        OR(ISBLANK(N1146), ISBLANK(O1146)),
        "",
        MAX(
            1,
            IF(
                NETWORKDAYS(N1146, O1146, Holiday_Dates) &lt;= 0,
                1,
                NETWORKDAYS(N1146, O1146, Holiday_Dates) - IF(N1146 = O1146, 0, 1)
            )
        )
    ),
    ""
)</f>
        <v/>
      </c>
      <c r="T1146" s="385"/>
      <c r="U1146" s="385" t="s">
        <v>672</v>
      </c>
      <c r="V1146" s="385" t="s">
        <v>101</v>
      </c>
      <c r="W1146" s="385" t="s">
        <v>2873</v>
      </c>
      <c r="X1146" s="1"/>
    </row>
    <row r="1147" spans="1:24">
      <c r="A1147" s="385" t="s">
        <v>65</v>
      </c>
      <c r="B1147" s="385" t="s">
        <v>2958</v>
      </c>
      <c r="C1147" s="385" t="s">
        <v>2959</v>
      </c>
      <c r="D1147" s="385" t="s">
        <v>88</v>
      </c>
      <c r="E1147" s="385"/>
      <c r="F1147" s="385"/>
      <c r="G1147" s="385"/>
      <c r="H1147" s="385">
        <v>2024</v>
      </c>
      <c r="I1147" s="386">
        <v>45463</v>
      </c>
      <c r="J1147" s="30"/>
      <c r="K1147" s="385"/>
      <c r="L1147" s="385"/>
      <c r="M1147" s="385"/>
      <c r="N1147" s="385"/>
      <c r="O1147" s="385"/>
      <c r="P1147" s="385" t="str">
        <f>IFERROR(
    IF(
        OR(ISBLANK(I1147), ISBLANK(L1147)),
        "",
        MAX(
            1,
            IF(
                NETWORKDAYS(I1147, L1147, Holiday_Dates) &lt;= 0,
                1,
                NETWORKDAYS(I1147, L1147, Holiday_Dates) - IF(I1147 = L1147, 0, 1)
            )
        )
    ),
    ""
)</f>
        <v/>
      </c>
      <c r="Q1147" s="385" t="str">
        <f>IF(
    OR(ISBLANK(L1147), ISBLANK(M1147)),
    "",
    MAX(
        1,
        IF(
            NETWORKDAYS(L1147, M1147, Holiday_Dates) &lt;= 0,
            1,
            NETWORKDAYS(L1147, M1147, Holiday_Dates) - IF(L1147 = M1147, 0, 1)
        )
    )
)</f>
        <v/>
      </c>
      <c r="R1147" s="385" t="str">
        <f>IFERROR(
    IF(
        OR(ISBLANK(N1147), AND(ISBLANK(L1147), ISBLANK(M1147))),
        "",
        MAX(
            1,
            IF(
                NETWORKDAYS(IF(NOT(ISBLANK(M1147)), M1147, L1147), N1147, Holiday_Dates) &lt;= 0,
                1,
                NETWORKDAYS(IF(NOT(ISBLANK(M1147)), M1147, L1147), N1147, Holiday_Dates)
                - IF(IF(NOT(ISBLANK(M1147)), M1147, L1147) = N1147, 0, 1)
            )
        )
    ),
    ""
)</f>
        <v/>
      </c>
      <c r="S1147" s="385" t="str">
        <f>IFERROR(
    IF(
        OR(ISBLANK(N1147), ISBLANK(O1147)),
        "",
        MAX(
            1,
            IF(
                NETWORKDAYS(N1147, O1147, Holiday_Dates) &lt;= 0,
                1,
                NETWORKDAYS(N1147, O1147, Holiday_Dates) - IF(N1147 = O1147, 0, 1)
            )
        )
    ),
    ""
)</f>
        <v/>
      </c>
      <c r="T1147" s="385"/>
      <c r="U1147" s="385" t="s">
        <v>4</v>
      </c>
      <c r="V1147" s="385" t="s">
        <v>101</v>
      </c>
      <c r="W1147" s="385" t="s">
        <v>1436</v>
      </c>
      <c r="X1147" s="1"/>
    </row>
    <row r="1148" spans="1:24">
      <c r="A1148" s="385" t="s">
        <v>65</v>
      </c>
      <c r="B1148" s="385" t="s">
        <v>2958</v>
      </c>
      <c r="C1148" s="385" t="s">
        <v>2978</v>
      </c>
      <c r="D1148" s="385" t="s">
        <v>88</v>
      </c>
      <c r="E1148" s="385"/>
      <c r="F1148" s="385"/>
      <c r="G1148" s="385"/>
      <c r="H1148" s="385">
        <v>2025</v>
      </c>
      <c r="I1148" s="386">
        <v>45952</v>
      </c>
      <c r="J1148" s="30" t="s">
        <v>5189</v>
      </c>
      <c r="K1148" s="385"/>
      <c r="L1148" s="385"/>
      <c r="M1148" s="385"/>
      <c r="N1148" s="385"/>
      <c r="O1148" s="385"/>
      <c r="P1148" s="385" t="str">
        <f>IFERROR(
    IF(
        OR(ISBLANK(I1148), ISBLANK(L1148)),
        "",
        MAX(
            1,
            IF(
                NETWORKDAYS(I1148, L1148, Holiday_Dates) &lt;= 0,
                1,
                NETWORKDAYS(I1148, L1148, Holiday_Dates) - IF(I1148 = L1148, 0, 1)
            )
        )
    ),
    ""
)</f>
        <v/>
      </c>
      <c r="Q1148" s="385" t="str">
        <f>IF(
    OR(ISBLANK(L1148), ISBLANK(M1148)),
    "",
    MAX(
        1,
        IF(
            NETWORKDAYS(L1148, M1148, Holiday_Dates) &lt;= 0,
            1,
            NETWORKDAYS(L1148, M1148, Holiday_Dates) - IF(L1148 = M1148, 0, 1)
        )
    )
)</f>
        <v/>
      </c>
      <c r="R1148" s="385" t="str">
        <f>IFERROR(
    IF(
        OR(ISBLANK(N1148), AND(ISBLANK(L1148), ISBLANK(M1148))),
        "",
        MAX(
            1,
            IF(
                NETWORKDAYS(IF(NOT(ISBLANK(M1148)), M1148, L1148), N1148, Holiday_Dates) &lt;= 0,
                1,
                NETWORKDAYS(IF(NOT(ISBLANK(M1148)), M1148, L1148), N1148, Holiday_Dates)
                - IF(IF(NOT(ISBLANK(M1148)), M1148, L1148) = N1148, 0, 1)
            )
        )
    ),
    ""
)</f>
        <v/>
      </c>
      <c r="S1148" s="385" t="str">
        <f>IFERROR(
    IF(
        OR(ISBLANK(N1148), ISBLANK(O1148)),
        "",
        MAX(
            1,
            IF(
                NETWORKDAYS(N1148, O1148, Holiday_Dates) &lt;= 0,
                1,
                NETWORKDAYS(N1148, O1148, Holiday_Dates) - IF(N1148 = O1148, 0, 1)
            )
        )
    ),
    ""
)</f>
        <v/>
      </c>
      <c r="T1148" s="385"/>
      <c r="U1148" s="385" t="s">
        <v>672</v>
      </c>
      <c r="V1148" s="385" t="s">
        <v>101</v>
      </c>
      <c r="W1148" s="385" t="s">
        <v>1436</v>
      </c>
      <c r="X1148" s="1"/>
    </row>
    <row r="1149" spans="1:24">
      <c r="A1149" s="385" t="s">
        <v>65</v>
      </c>
      <c r="B1149" s="385" t="s">
        <v>386</v>
      </c>
      <c r="C1149" s="385" t="s">
        <v>1067</v>
      </c>
      <c r="D1149" s="385" t="s">
        <v>88</v>
      </c>
      <c r="E1149" s="385" t="s">
        <v>141</v>
      </c>
      <c r="F1149" s="385"/>
      <c r="G1149" s="385" t="s">
        <v>130</v>
      </c>
      <c r="H1149" s="385"/>
      <c r="I1149" s="385"/>
      <c r="J1149" s="30"/>
      <c r="K1149" s="385" t="s">
        <v>57</v>
      </c>
      <c r="L1149" s="385"/>
      <c r="M1149" s="385"/>
      <c r="N1149" s="385"/>
      <c r="O1149" s="385"/>
      <c r="P1149" s="385" t="str">
        <f>IFERROR(
    IF(
        OR(ISBLANK(I1149), ISBLANK(L1149)),
        "",
        MAX(
            1,
            IF(
                NETWORKDAYS(I1149, L1149, Holiday_Dates) &lt;= 0,
                1,
                NETWORKDAYS(I1149, L1149, Holiday_Dates) - IF(I1149 = L1149, 0, 1)
            )
        )
    ),
    ""
)</f>
        <v/>
      </c>
      <c r="Q1149" s="385" t="str">
        <f>IF(
    OR(ISBLANK(L1149), ISBLANK(M1149)),
    "",
    MAX(
        1,
        IF(
            NETWORKDAYS(L1149, M1149, Holiday_Dates) &lt;= 0,
            1,
            NETWORKDAYS(L1149, M1149, Holiday_Dates) - IF(L1149 = M1149, 0, 1)
        )
    )
)</f>
        <v/>
      </c>
      <c r="R1149" s="385" t="str">
        <f>IFERROR(
    IF(
        OR(ISBLANK(N1149), AND(ISBLANK(L1149), ISBLANK(M1149))),
        "",
        MAX(
            1,
            IF(
                NETWORKDAYS(IF(NOT(ISBLANK(M1149)), M1149, L1149), N1149, Holiday_Dates) &lt;= 0,
                1,
                NETWORKDAYS(IF(NOT(ISBLANK(M1149)), M1149, L1149), N1149, Holiday_Dates)
                - IF(IF(NOT(ISBLANK(M1149)), M1149, L1149) = N1149, 0, 1)
            )
        )
    ),
    ""
)</f>
        <v/>
      </c>
      <c r="S1149" s="385" t="str">
        <f>IFERROR(
    IF(
        OR(ISBLANK(N1149), ISBLANK(O1149)),
        "",
        MAX(
            1,
            IF(
                NETWORKDAYS(N1149, O1149, Holiday_Dates) &lt;= 0,
                1,
                NETWORKDAYS(N1149, O1149, Holiday_Dates) - IF(N1149 = O1149, 0, 1)
            )
        )
    ),
    ""
)</f>
        <v/>
      </c>
      <c r="T1149" s="385"/>
      <c r="U1149" s="385"/>
      <c r="V1149" s="385"/>
      <c r="W1149" s="385" t="s">
        <v>4710</v>
      </c>
      <c r="X1149" s="1"/>
    </row>
    <row r="1150" spans="1:24">
      <c r="A1150" s="385" t="s">
        <v>65</v>
      </c>
      <c r="B1150" s="385" t="s">
        <v>2958</v>
      </c>
      <c r="C1150" s="385" t="s">
        <v>2979</v>
      </c>
      <c r="D1150" s="385" t="s">
        <v>88</v>
      </c>
      <c r="E1150" s="385"/>
      <c r="F1150" s="385"/>
      <c r="G1150" s="385"/>
      <c r="H1150" s="385">
        <v>2024</v>
      </c>
      <c r="I1150" s="386">
        <v>45568</v>
      </c>
      <c r="J1150" s="30"/>
      <c r="K1150" s="385"/>
      <c r="L1150" s="385"/>
      <c r="M1150" s="385"/>
      <c r="N1150" s="385"/>
      <c r="O1150" s="385"/>
      <c r="P1150" s="385" t="str">
        <f>IFERROR(
    IF(
        OR(ISBLANK(I1150), ISBLANK(L1150)),
        "",
        MAX(
            1,
            IF(
                NETWORKDAYS(I1150, L1150, Holiday_Dates) &lt;= 0,
                1,
                NETWORKDAYS(I1150, L1150, Holiday_Dates) - IF(I1150 = L1150, 0, 1)
            )
        )
    ),
    ""
)</f>
        <v/>
      </c>
      <c r="Q1150" s="385" t="str">
        <f>IF(
    OR(ISBLANK(L1150), ISBLANK(M1150)),
    "",
    MAX(
        1,
        IF(
            NETWORKDAYS(L1150, M1150, Holiday_Dates) &lt;= 0,
            1,
            NETWORKDAYS(L1150, M1150, Holiday_Dates) - IF(L1150 = M1150, 0, 1)
        )
    )
)</f>
        <v/>
      </c>
      <c r="R1150" s="385" t="str">
        <f>IFERROR(
    IF(
        OR(ISBLANK(N1150), AND(ISBLANK(L1150), ISBLANK(M1150))),
        "",
        MAX(
            1,
            IF(
                NETWORKDAYS(IF(NOT(ISBLANK(M1150)), M1150, L1150), N1150, Holiday_Dates) &lt;= 0,
                1,
                NETWORKDAYS(IF(NOT(ISBLANK(M1150)), M1150, L1150), N1150, Holiday_Dates)
                - IF(IF(NOT(ISBLANK(M1150)), M1150, L1150) = N1150, 0, 1)
            )
        )
    ),
    ""
)</f>
        <v/>
      </c>
      <c r="S1150" s="385" t="str">
        <f>IFERROR(
    IF(
        OR(ISBLANK(N1150), ISBLANK(O1150)),
        "",
        MAX(
            1,
            IF(
                NETWORKDAYS(N1150, O1150, Holiday_Dates) &lt;= 0,
                1,
                NETWORKDAYS(N1150, O1150, Holiday_Dates) - IF(N1150 = O1150, 0, 1)
            )
        )
    ),
    ""
)</f>
        <v/>
      </c>
      <c r="T1150" s="385"/>
      <c r="U1150" s="385" t="s">
        <v>4</v>
      </c>
      <c r="V1150" s="385" t="s">
        <v>101</v>
      </c>
      <c r="W1150" s="385" t="s">
        <v>1436</v>
      </c>
      <c r="X1150" s="1"/>
    </row>
    <row r="1151" spans="1:24">
      <c r="A1151" s="385" t="s">
        <v>65</v>
      </c>
      <c r="B1151" s="385" t="s">
        <v>2958</v>
      </c>
      <c r="C1151" s="385" t="s">
        <v>2981</v>
      </c>
      <c r="D1151" s="385" t="s">
        <v>88</v>
      </c>
      <c r="E1151" s="385"/>
      <c r="F1151" s="385"/>
      <c r="G1151" s="385"/>
      <c r="H1151" s="385">
        <v>2024</v>
      </c>
      <c r="I1151" s="386">
        <v>45568</v>
      </c>
      <c r="J1151" s="30"/>
      <c r="K1151" s="385"/>
      <c r="L1151" s="385"/>
      <c r="M1151" s="385"/>
      <c r="N1151" s="385"/>
      <c r="O1151" s="385"/>
      <c r="P1151" s="385" t="str">
        <f>IFERROR(
    IF(
        OR(ISBLANK(I1151), ISBLANK(L1151)),
        "",
        MAX(
            1,
            IF(
                NETWORKDAYS(I1151, L1151, Holiday_Dates) &lt;= 0,
                1,
                NETWORKDAYS(I1151, L1151, Holiday_Dates) - IF(I1151 = L1151, 0, 1)
            )
        )
    ),
    ""
)</f>
        <v/>
      </c>
      <c r="Q1151" s="385" t="str">
        <f>IF(
    OR(ISBLANK(L1151), ISBLANK(M1151)),
    "",
    MAX(
        1,
        IF(
            NETWORKDAYS(L1151, M1151, Holiday_Dates) &lt;= 0,
            1,
            NETWORKDAYS(L1151, M1151, Holiday_Dates) - IF(L1151 = M1151, 0, 1)
        )
    )
)</f>
        <v/>
      </c>
      <c r="R1151" s="385" t="str">
        <f>IFERROR(
    IF(
        OR(ISBLANK(N1151), AND(ISBLANK(L1151), ISBLANK(M1151))),
        "",
        MAX(
            1,
            IF(
                NETWORKDAYS(IF(NOT(ISBLANK(M1151)), M1151, L1151), N1151, Holiday_Dates) &lt;= 0,
                1,
                NETWORKDAYS(IF(NOT(ISBLANK(M1151)), M1151, L1151), N1151, Holiday_Dates)
                - IF(IF(NOT(ISBLANK(M1151)), M1151, L1151) = N1151, 0, 1)
            )
        )
    ),
    ""
)</f>
        <v/>
      </c>
      <c r="S1151" s="385" t="str">
        <f>IFERROR(
    IF(
        OR(ISBLANK(N1151), ISBLANK(O1151)),
        "",
        MAX(
            1,
            IF(
                NETWORKDAYS(N1151, O1151, Holiday_Dates) &lt;= 0,
                1,
                NETWORKDAYS(N1151, O1151, Holiday_Dates) - IF(N1151 = O1151, 0, 1)
            )
        )
    ),
    ""
)</f>
        <v/>
      </c>
      <c r="T1151" s="385"/>
      <c r="U1151" s="385" t="s">
        <v>4</v>
      </c>
      <c r="V1151" s="385" t="s">
        <v>101</v>
      </c>
      <c r="W1151" s="385" t="s">
        <v>1436</v>
      </c>
      <c r="X1151" s="1"/>
    </row>
    <row r="1152" spans="1:24">
      <c r="A1152" s="385" t="s">
        <v>65</v>
      </c>
      <c r="B1152" s="385" t="s">
        <v>2958</v>
      </c>
      <c r="C1152" s="385" t="s">
        <v>2961</v>
      </c>
      <c r="D1152" s="385" t="s">
        <v>88</v>
      </c>
      <c r="E1152" s="385"/>
      <c r="F1152" s="385"/>
      <c r="G1152" s="385"/>
      <c r="H1152" s="385">
        <v>2024</v>
      </c>
      <c r="I1152" s="386">
        <v>45463</v>
      </c>
      <c r="J1152" s="30"/>
      <c r="K1152" s="385"/>
      <c r="L1152" s="385"/>
      <c r="M1152" s="385"/>
      <c r="N1152" s="385"/>
      <c r="O1152" s="385"/>
      <c r="P1152" s="385" t="str">
        <f>IFERROR(
    IF(
        OR(ISBLANK(I1152), ISBLANK(L1152)),
        "",
        MAX(
            1,
            IF(
                NETWORKDAYS(I1152, L1152, Holiday_Dates) &lt;= 0,
                1,
                NETWORKDAYS(I1152, L1152, Holiday_Dates) - IF(I1152 = L1152, 0, 1)
            )
        )
    ),
    ""
)</f>
        <v/>
      </c>
      <c r="Q1152" s="385" t="str">
        <f>IF(
    OR(ISBLANK(L1152), ISBLANK(M1152)),
    "",
    MAX(
        1,
        IF(
            NETWORKDAYS(L1152, M1152, Holiday_Dates) &lt;= 0,
            1,
            NETWORKDAYS(L1152, M1152, Holiday_Dates) - IF(L1152 = M1152, 0, 1)
        )
    )
)</f>
        <v/>
      </c>
      <c r="R1152" s="385" t="str">
        <f>IFERROR(
    IF(
        OR(ISBLANK(N1152), AND(ISBLANK(L1152), ISBLANK(M1152))),
        "",
        MAX(
            1,
            IF(
                NETWORKDAYS(IF(NOT(ISBLANK(M1152)), M1152, L1152), N1152, Holiday_Dates) &lt;= 0,
                1,
                NETWORKDAYS(IF(NOT(ISBLANK(M1152)), M1152, L1152), N1152, Holiday_Dates)
                - IF(IF(NOT(ISBLANK(M1152)), M1152, L1152) = N1152, 0, 1)
            )
        )
    ),
    ""
)</f>
        <v/>
      </c>
      <c r="S1152" s="385" t="str">
        <f>IFERROR(
    IF(
        OR(ISBLANK(N1152), ISBLANK(O1152)),
        "",
        MAX(
            1,
            IF(
                NETWORKDAYS(N1152, O1152, Holiday_Dates) &lt;= 0,
                1,
                NETWORKDAYS(N1152, O1152, Holiday_Dates) - IF(N1152 = O1152, 0, 1)
            )
        )
    ),
    ""
)</f>
        <v/>
      </c>
      <c r="T1152" s="385"/>
      <c r="U1152" s="385" t="s">
        <v>4</v>
      </c>
      <c r="V1152" s="385" t="s">
        <v>101</v>
      </c>
      <c r="W1152" s="385" t="s">
        <v>1436</v>
      </c>
      <c r="X1152" s="1"/>
    </row>
    <row r="1153" spans="1:24">
      <c r="A1153" s="385" t="s">
        <v>65</v>
      </c>
      <c r="B1153" s="385" t="s">
        <v>2958</v>
      </c>
      <c r="C1153" s="385" t="s">
        <v>2975</v>
      </c>
      <c r="D1153" s="385" t="s">
        <v>88</v>
      </c>
      <c r="E1153" s="385"/>
      <c r="F1153" s="385"/>
      <c r="G1153" s="385"/>
      <c r="H1153" s="385">
        <v>2025</v>
      </c>
      <c r="I1153" s="386">
        <v>45695</v>
      </c>
      <c r="J1153" s="30" t="s">
        <v>5190</v>
      </c>
      <c r="K1153" s="385"/>
      <c r="L1153" s="385"/>
      <c r="M1153" s="385"/>
      <c r="N1153" s="385"/>
      <c r="O1153" s="385"/>
      <c r="P1153" s="385" t="str">
        <f>IFERROR(
    IF(
        OR(ISBLANK(I1153), ISBLANK(L1153)),
        "",
        MAX(
            1,
            IF(
                NETWORKDAYS(I1153, L1153, Holiday_Dates) &lt;= 0,
                1,
                NETWORKDAYS(I1153, L1153, Holiday_Dates) - IF(I1153 = L1153, 0, 1)
            )
        )
    ),
    ""
)</f>
        <v/>
      </c>
      <c r="Q1153" s="385" t="str">
        <f>IF(
    OR(ISBLANK(L1153), ISBLANK(M1153)),
    "",
    MAX(
        1,
        IF(
            NETWORKDAYS(L1153, M1153, Holiday_Dates) &lt;= 0,
            1,
            NETWORKDAYS(L1153, M1153, Holiday_Dates) - IF(L1153 = M1153, 0, 1)
        )
    )
)</f>
        <v/>
      </c>
      <c r="R1153" s="385" t="str">
        <f>IFERROR(
    IF(
        OR(ISBLANK(N1153), AND(ISBLANK(L1153), ISBLANK(M1153))),
        "",
        MAX(
            1,
            IF(
                NETWORKDAYS(IF(NOT(ISBLANK(M1153)), M1153, L1153), N1153, Holiday_Dates) &lt;= 0,
                1,
                NETWORKDAYS(IF(NOT(ISBLANK(M1153)), M1153, L1153), N1153, Holiday_Dates)
                - IF(IF(NOT(ISBLANK(M1153)), M1153, L1153) = N1153, 0, 1)
            )
        )
    ),
    ""
)</f>
        <v/>
      </c>
      <c r="S1153" s="385" t="str">
        <f>IFERROR(
    IF(
        OR(ISBLANK(N1153), ISBLANK(O1153)),
        "",
        MAX(
            1,
            IF(
                NETWORKDAYS(N1153, O1153, Holiday_Dates) &lt;= 0,
                1,
                NETWORKDAYS(N1153, O1153, Holiday_Dates) - IF(N1153 = O1153, 0, 1)
            )
        )
    ),
    ""
)</f>
        <v/>
      </c>
      <c r="T1153" s="385"/>
      <c r="U1153" s="385" t="s">
        <v>672</v>
      </c>
      <c r="V1153" s="385" t="s">
        <v>101</v>
      </c>
      <c r="W1153" s="385" t="s">
        <v>1436</v>
      </c>
      <c r="X1153" s="1"/>
    </row>
    <row r="1154" spans="1:24">
      <c r="A1154" s="385" t="s">
        <v>65</v>
      </c>
      <c r="B1154" s="385" t="s">
        <v>2958</v>
      </c>
      <c r="C1154" s="385" t="s">
        <v>2963</v>
      </c>
      <c r="D1154" s="385" t="s">
        <v>88</v>
      </c>
      <c r="E1154" s="385"/>
      <c r="F1154" s="385"/>
      <c r="G1154" s="385"/>
      <c r="H1154" s="385">
        <v>2024</v>
      </c>
      <c r="I1154" s="386">
        <v>45463</v>
      </c>
      <c r="J1154" s="30"/>
      <c r="K1154" s="385"/>
      <c r="L1154" s="385"/>
      <c r="M1154" s="385"/>
      <c r="N1154" s="385"/>
      <c r="O1154" s="385"/>
      <c r="P1154" s="385" t="str">
        <f>IFERROR(
    IF(
        OR(ISBLANK(I1154), ISBLANK(L1154)),
        "",
        MAX(
            1,
            IF(
                NETWORKDAYS(I1154, L1154, Holiday_Dates) &lt;= 0,
                1,
                NETWORKDAYS(I1154, L1154, Holiday_Dates) - IF(I1154 = L1154, 0, 1)
            )
        )
    ),
    ""
)</f>
        <v/>
      </c>
      <c r="Q1154" s="385" t="str">
        <f>IF(
    OR(ISBLANK(L1154), ISBLANK(M1154)),
    "",
    MAX(
        1,
        IF(
            NETWORKDAYS(L1154, M1154, Holiday_Dates) &lt;= 0,
            1,
            NETWORKDAYS(L1154, M1154, Holiday_Dates) - IF(L1154 = M1154, 0, 1)
        )
    )
)</f>
        <v/>
      </c>
      <c r="R1154" s="385" t="str">
        <f>IFERROR(
    IF(
        OR(ISBLANK(N1154), AND(ISBLANK(L1154), ISBLANK(M1154))),
        "",
        MAX(
            1,
            IF(
                NETWORKDAYS(IF(NOT(ISBLANK(M1154)), M1154, L1154), N1154, Holiday_Dates) &lt;= 0,
                1,
                NETWORKDAYS(IF(NOT(ISBLANK(M1154)), M1154, L1154), N1154, Holiday_Dates)
                - IF(IF(NOT(ISBLANK(M1154)), M1154, L1154) = N1154, 0, 1)
            )
        )
    ),
    ""
)</f>
        <v/>
      </c>
      <c r="S1154" s="385" t="str">
        <f>IFERROR(
    IF(
        OR(ISBLANK(N1154), ISBLANK(O1154)),
        "",
        MAX(
            1,
            IF(
                NETWORKDAYS(N1154, O1154, Holiday_Dates) &lt;= 0,
                1,
                NETWORKDAYS(N1154, O1154, Holiday_Dates) - IF(N1154 = O1154, 0, 1)
            )
        )
    ),
    ""
)</f>
        <v/>
      </c>
      <c r="T1154" s="385"/>
      <c r="U1154" s="385" t="s">
        <v>4</v>
      </c>
      <c r="V1154" s="385" t="s">
        <v>101</v>
      </c>
      <c r="W1154" s="385" t="s">
        <v>1436</v>
      </c>
      <c r="X1154" s="1"/>
    </row>
    <row r="1155" spans="1:24">
      <c r="A1155" s="385" t="s">
        <v>65</v>
      </c>
      <c r="B1155" s="385" t="s">
        <v>2958</v>
      </c>
      <c r="C1155" s="385" t="s">
        <v>2965</v>
      </c>
      <c r="D1155" s="385" t="s">
        <v>88</v>
      </c>
      <c r="E1155" s="385"/>
      <c r="F1155" s="385"/>
      <c r="G1155" s="385"/>
      <c r="H1155" s="385">
        <v>2024</v>
      </c>
      <c r="I1155" s="386">
        <v>45611</v>
      </c>
      <c r="J1155" s="30"/>
      <c r="K1155" s="385"/>
      <c r="L1155" s="385"/>
      <c r="M1155" s="385"/>
      <c r="N1155" s="385"/>
      <c r="O1155" s="385"/>
      <c r="P1155" s="385" t="str">
        <f>IFERROR(
    IF(
        OR(ISBLANK(I1155), ISBLANK(L1155)),
        "",
        MAX(
            1,
            IF(
                NETWORKDAYS(I1155, L1155, Holiday_Dates) &lt;= 0,
                1,
                NETWORKDAYS(I1155, L1155, Holiday_Dates) - IF(I1155 = L1155, 0, 1)
            )
        )
    ),
    ""
)</f>
        <v/>
      </c>
      <c r="Q1155" s="385" t="str">
        <f>IF(
    OR(ISBLANK(L1155), ISBLANK(M1155)),
    "",
    MAX(
        1,
        IF(
            NETWORKDAYS(L1155, M1155, Holiday_Dates) &lt;= 0,
            1,
            NETWORKDAYS(L1155, M1155, Holiday_Dates) - IF(L1155 = M1155, 0, 1)
        )
    )
)</f>
        <v/>
      </c>
      <c r="R1155" s="385" t="str">
        <f>IFERROR(
    IF(
        OR(ISBLANK(N1155), AND(ISBLANK(L1155), ISBLANK(M1155))),
        "",
        MAX(
            1,
            IF(
                NETWORKDAYS(IF(NOT(ISBLANK(M1155)), M1155, L1155), N1155, Holiday_Dates) &lt;= 0,
                1,
                NETWORKDAYS(IF(NOT(ISBLANK(M1155)), M1155, L1155), N1155, Holiday_Dates)
                - IF(IF(NOT(ISBLANK(M1155)), M1155, L1155) = N1155, 0, 1)
            )
        )
    ),
    ""
)</f>
        <v/>
      </c>
      <c r="S1155" s="385" t="str">
        <f>IFERROR(
    IF(
        OR(ISBLANK(N1155), ISBLANK(O1155)),
        "",
        MAX(
            1,
            IF(
                NETWORKDAYS(N1155, O1155, Holiday_Dates) &lt;= 0,
                1,
                NETWORKDAYS(N1155, O1155, Holiday_Dates) - IF(N1155 = O1155, 0, 1)
            )
        )
    ),
    ""
)</f>
        <v/>
      </c>
      <c r="T1155" s="385"/>
      <c r="U1155" s="385" t="s">
        <v>4</v>
      </c>
      <c r="V1155" s="385" t="s">
        <v>101</v>
      </c>
      <c r="W1155" s="385" t="s">
        <v>1436</v>
      </c>
      <c r="X1155" s="1"/>
    </row>
    <row r="1156" spans="1:24">
      <c r="A1156" s="385" t="s">
        <v>65</v>
      </c>
      <c r="B1156" s="385" t="s">
        <v>2958</v>
      </c>
      <c r="C1156" s="385" t="s">
        <v>2967</v>
      </c>
      <c r="D1156" s="385" t="s">
        <v>88</v>
      </c>
      <c r="E1156" s="385"/>
      <c r="F1156" s="385"/>
      <c r="G1156" s="385"/>
      <c r="H1156" s="385">
        <v>2024</v>
      </c>
      <c r="I1156" s="386">
        <v>45610</v>
      </c>
      <c r="J1156" s="30"/>
      <c r="K1156" s="385"/>
      <c r="L1156" s="385"/>
      <c r="M1156" s="385"/>
      <c r="N1156" s="385"/>
      <c r="O1156" s="385"/>
      <c r="P1156" s="385" t="str">
        <f>IFERROR(
    IF(
        OR(ISBLANK(I1156), ISBLANK(L1156)),
        "",
        MAX(
            1,
            IF(
                NETWORKDAYS(I1156, L1156, Holiday_Dates) &lt;= 0,
                1,
                NETWORKDAYS(I1156, L1156, Holiday_Dates) - IF(I1156 = L1156, 0, 1)
            )
        )
    ),
    ""
)</f>
        <v/>
      </c>
      <c r="Q1156" s="385" t="str">
        <f>IF(
    OR(ISBLANK(L1156), ISBLANK(M1156)),
    "",
    MAX(
        1,
        IF(
            NETWORKDAYS(L1156, M1156, Holiday_Dates) &lt;= 0,
            1,
            NETWORKDAYS(L1156, M1156, Holiday_Dates) - IF(L1156 = M1156, 0, 1)
        )
    )
)</f>
        <v/>
      </c>
      <c r="R1156" s="385" t="str">
        <f>IFERROR(
    IF(
        OR(ISBLANK(N1156), AND(ISBLANK(L1156), ISBLANK(M1156))),
        "",
        MAX(
            1,
            IF(
                NETWORKDAYS(IF(NOT(ISBLANK(M1156)), M1156, L1156), N1156, Holiday_Dates) &lt;= 0,
                1,
                NETWORKDAYS(IF(NOT(ISBLANK(M1156)), M1156, L1156), N1156, Holiday_Dates)
                - IF(IF(NOT(ISBLANK(M1156)), M1156, L1156) = N1156, 0, 1)
            )
        )
    ),
    ""
)</f>
        <v/>
      </c>
      <c r="S1156" s="385" t="str">
        <f>IFERROR(
    IF(
        OR(ISBLANK(N1156), ISBLANK(O1156)),
        "",
        MAX(
            1,
            IF(
                NETWORKDAYS(N1156, O1156, Holiday_Dates) &lt;= 0,
                1,
                NETWORKDAYS(N1156, O1156, Holiday_Dates) - IF(N1156 = O1156, 0, 1)
            )
        )
    ),
    ""
)</f>
        <v/>
      </c>
      <c r="T1156" s="385"/>
      <c r="U1156" s="385" t="s">
        <v>4</v>
      </c>
      <c r="V1156" s="385" t="s">
        <v>101</v>
      </c>
      <c r="W1156" s="385" t="s">
        <v>1436</v>
      </c>
      <c r="X1156" s="1"/>
    </row>
    <row r="1157" spans="1:24">
      <c r="A1157" s="385" t="s">
        <v>65</v>
      </c>
      <c r="B1157" s="385" t="s">
        <v>2958</v>
      </c>
      <c r="C1157" s="385" t="s">
        <v>1071</v>
      </c>
      <c r="D1157" s="385" t="s">
        <v>88</v>
      </c>
      <c r="E1157" s="385"/>
      <c r="F1157" s="385"/>
      <c r="G1157" s="385"/>
      <c r="H1157" s="385">
        <v>2025</v>
      </c>
      <c r="I1157" s="386">
        <v>45889</v>
      </c>
      <c r="J1157" s="30" t="s">
        <v>5191</v>
      </c>
      <c r="K1157" s="385"/>
      <c r="L1157" s="385"/>
      <c r="M1157" s="385"/>
      <c r="N1157" s="385"/>
      <c r="O1157" s="385"/>
      <c r="P1157" s="385" t="str">
        <f>IFERROR(
    IF(
        OR(ISBLANK(I1157), ISBLANK(L1157)),
        "",
        MAX(
            1,
            IF(
                NETWORKDAYS(I1157, L1157, Holiday_Dates) &lt;= 0,
                1,
                NETWORKDAYS(I1157, L1157, Holiday_Dates) - IF(I1157 = L1157, 0, 1)
            )
        )
    ),
    ""
)</f>
        <v/>
      </c>
      <c r="Q1157" s="385" t="str">
        <f>IF(
    OR(ISBLANK(L1157), ISBLANK(M1157)),
    "",
    MAX(
        1,
        IF(
            NETWORKDAYS(L1157, M1157, Holiday_Dates) &lt;= 0,
            1,
            NETWORKDAYS(L1157, M1157, Holiday_Dates) - IF(L1157 = M1157, 0, 1)
        )
    )
)</f>
        <v/>
      </c>
      <c r="R1157" s="385" t="str">
        <f>IFERROR(
    IF(
        OR(ISBLANK(N1157), AND(ISBLANK(L1157), ISBLANK(M1157))),
        "",
        MAX(
            1,
            IF(
                NETWORKDAYS(IF(NOT(ISBLANK(M1157)), M1157, L1157), N1157, Holiday_Dates) &lt;= 0,
                1,
                NETWORKDAYS(IF(NOT(ISBLANK(M1157)), M1157, L1157), N1157, Holiday_Dates)
                - IF(IF(NOT(ISBLANK(M1157)), M1157, L1157) = N1157, 0, 1)
            )
        )
    ),
    ""
)</f>
        <v/>
      </c>
      <c r="S1157" s="385" t="str">
        <f>IFERROR(
    IF(
        OR(ISBLANK(N1157), ISBLANK(O1157)),
        "",
        MAX(
            1,
            IF(
                NETWORKDAYS(N1157, O1157, Holiday_Dates) &lt;= 0,
                1,
                NETWORKDAYS(N1157, O1157, Holiday_Dates) - IF(N1157 = O1157, 0, 1)
            )
        )
    ),
    ""
)</f>
        <v/>
      </c>
      <c r="T1157" s="385"/>
      <c r="U1157" s="385" t="s">
        <v>672</v>
      </c>
      <c r="V1157" s="385" t="s">
        <v>101</v>
      </c>
      <c r="W1157" s="385" t="s">
        <v>1436</v>
      </c>
      <c r="X1157" s="1"/>
    </row>
    <row r="1158" spans="1:24">
      <c r="A1158" s="385" t="s">
        <v>65</v>
      </c>
      <c r="B1158" s="385" t="s">
        <v>2958</v>
      </c>
      <c r="C1158" s="385" t="s">
        <v>2969</v>
      </c>
      <c r="D1158" s="385" t="s">
        <v>88</v>
      </c>
      <c r="E1158" s="385"/>
      <c r="F1158" s="385"/>
      <c r="G1158" s="385"/>
      <c r="H1158" s="385">
        <v>2025</v>
      </c>
      <c r="I1158" s="386">
        <v>45889</v>
      </c>
      <c r="J1158" s="30" t="s">
        <v>5192</v>
      </c>
      <c r="K1158" s="385"/>
      <c r="L1158" s="385"/>
      <c r="M1158" s="385"/>
      <c r="N1158" s="385"/>
      <c r="O1158" s="385"/>
      <c r="P1158" s="385" t="str">
        <f>IFERROR(
    IF(
        OR(ISBLANK(I1158), ISBLANK(L1158)),
        "",
        MAX(
            1,
            IF(
                NETWORKDAYS(I1158, L1158, Holiday_Dates) &lt;= 0,
                1,
                NETWORKDAYS(I1158, L1158, Holiday_Dates) - IF(I1158 = L1158, 0, 1)
            )
        )
    ),
    ""
)</f>
        <v/>
      </c>
      <c r="Q1158" s="385" t="str">
        <f>IF(
    OR(ISBLANK(L1158), ISBLANK(M1158)),
    "",
    MAX(
        1,
        IF(
            NETWORKDAYS(L1158, M1158, Holiday_Dates) &lt;= 0,
            1,
            NETWORKDAYS(L1158, M1158, Holiday_Dates) - IF(L1158 = M1158, 0, 1)
        )
    )
)</f>
        <v/>
      </c>
      <c r="R1158" s="385" t="str">
        <f>IFERROR(
    IF(
        OR(ISBLANK(N1158), AND(ISBLANK(L1158), ISBLANK(M1158))),
        "",
        MAX(
            1,
            IF(
                NETWORKDAYS(IF(NOT(ISBLANK(M1158)), M1158, L1158), N1158, Holiday_Dates) &lt;= 0,
                1,
                NETWORKDAYS(IF(NOT(ISBLANK(M1158)), M1158, L1158), N1158, Holiday_Dates)
                - IF(IF(NOT(ISBLANK(M1158)), M1158, L1158) = N1158, 0, 1)
            )
        )
    ),
    ""
)</f>
        <v/>
      </c>
      <c r="S1158" s="385" t="str">
        <f>IFERROR(
    IF(
        OR(ISBLANK(N1158), ISBLANK(O1158)),
        "",
        MAX(
            1,
            IF(
                NETWORKDAYS(N1158, O1158, Holiday_Dates) &lt;= 0,
                1,
                NETWORKDAYS(N1158, O1158, Holiday_Dates) - IF(N1158 = O1158, 0, 1)
            )
        )
    ),
    ""
)</f>
        <v/>
      </c>
      <c r="T1158" s="385"/>
      <c r="U1158" s="385" t="s">
        <v>672</v>
      </c>
      <c r="V1158" s="385" t="s">
        <v>101</v>
      </c>
      <c r="W1158" s="385" t="s">
        <v>1436</v>
      </c>
      <c r="X1158" s="1"/>
    </row>
    <row r="1159" spans="1:24">
      <c r="A1159" s="385" t="s">
        <v>65</v>
      </c>
      <c r="B1159" s="385" t="s">
        <v>2958</v>
      </c>
      <c r="C1159" s="385" t="s">
        <v>2983</v>
      </c>
      <c r="D1159" s="385" t="s">
        <v>88</v>
      </c>
      <c r="E1159" s="385"/>
      <c r="F1159" s="385"/>
      <c r="G1159" s="385"/>
      <c r="H1159" s="385">
        <v>2025</v>
      </c>
      <c r="I1159" s="386">
        <v>45772</v>
      </c>
      <c r="J1159" s="30" t="s">
        <v>5193</v>
      </c>
      <c r="K1159" s="385"/>
      <c r="L1159" s="385"/>
      <c r="M1159" s="385"/>
      <c r="N1159" s="385"/>
      <c r="O1159" s="385"/>
      <c r="P1159" s="385" t="str">
        <f>IFERROR(
    IF(
        OR(ISBLANK(I1159), ISBLANK(L1159)),
        "",
        MAX(
            1,
            IF(
                NETWORKDAYS(I1159, L1159, Holiday_Dates) &lt;= 0,
                1,
                NETWORKDAYS(I1159, L1159, Holiday_Dates) - IF(I1159 = L1159, 0, 1)
            )
        )
    ),
    ""
)</f>
        <v/>
      </c>
      <c r="Q1159" s="385" t="str">
        <f>IF(
    OR(ISBLANK(L1159), ISBLANK(M1159)),
    "",
    MAX(
        1,
        IF(
            NETWORKDAYS(L1159, M1159, Holiday_Dates) &lt;= 0,
            1,
            NETWORKDAYS(L1159, M1159, Holiday_Dates) - IF(L1159 = M1159, 0, 1)
        )
    )
)</f>
        <v/>
      </c>
      <c r="R1159" s="385" t="str">
        <f>IFERROR(
    IF(
        OR(ISBLANK(N1159), AND(ISBLANK(L1159), ISBLANK(M1159))),
        "",
        MAX(
            1,
            IF(
                NETWORKDAYS(IF(NOT(ISBLANK(M1159)), M1159, L1159), N1159, Holiday_Dates) &lt;= 0,
                1,
                NETWORKDAYS(IF(NOT(ISBLANK(M1159)), M1159, L1159), N1159, Holiday_Dates)
                - IF(IF(NOT(ISBLANK(M1159)), M1159, L1159) = N1159, 0, 1)
            )
        )
    ),
    ""
)</f>
        <v/>
      </c>
      <c r="S1159" s="385" t="str">
        <f>IFERROR(
    IF(
        OR(ISBLANK(N1159), ISBLANK(O1159)),
        "",
        MAX(
            1,
            IF(
                NETWORKDAYS(N1159, O1159, Holiday_Dates) &lt;= 0,
                1,
                NETWORKDAYS(N1159, O1159, Holiday_Dates) - IF(N1159 = O1159, 0, 1)
            )
        )
    ),
    ""
)</f>
        <v/>
      </c>
      <c r="T1159" s="385"/>
      <c r="U1159" s="385" t="s">
        <v>672</v>
      </c>
      <c r="V1159" s="385" t="s">
        <v>101</v>
      </c>
      <c r="W1159" s="385" t="s">
        <v>1436</v>
      </c>
      <c r="X1159" s="1"/>
    </row>
    <row r="1160" spans="1:24">
      <c r="A1160" s="385" t="s">
        <v>65</v>
      </c>
      <c r="B1160" s="385" t="s">
        <v>2958</v>
      </c>
      <c r="C1160" s="385" t="s">
        <v>2970</v>
      </c>
      <c r="D1160" s="385" t="s">
        <v>88</v>
      </c>
      <c r="E1160" s="385"/>
      <c r="F1160" s="385"/>
      <c r="G1160" s="385"/>
      <c r="H1160" s="385">
        <v>2024</v>
      </c>
      <c r="I1160" s="386">
        <v>45317</v>
      </c>
      <c r="J1160" s="30"/>
      <c r="K1160" s="385"/>
      <c r="L1160" s="385"/>
      <c r="M1160" s="385"/>
      <c r="N1160" s="385"/>
      <c r="O1160" s="385"/>
      <c r="P1160" s="385" t="str">
        <f>IFERROR(
    IF(
        OR(ISBLANK(I1160), ISBLANK(L1160)),
        "",
        MAX(
            1,
            IF(
                NETWORKDAYS(I1160, L1160, Holiday_Dates) &lt;= 0,
                1,
                NETWORKDAYS(I1160, L1160, Holiday_Dates) - IF(I1160 = L1160, 0, 1)
            )
        )
    ),
    ""
)</f>
        <v/>
      </c>
      <c r="Q1160" s="385" t="str">
        <f>IF(
    OR(ISBLANK(L1160), ISBLANK(M1160)),
    "",
    MAX(
        1,
        IF(
            NETWORKDAYS(L1160, M1160, Holiday_Dates) &lt;= 0,
            1,
            NETWORKDAYS(L1160, M1160, Holiday_Dates) - IF(L1160 = M1160, 0, 1)
        )
    )
)</f>
        <v/>
      </c>
      <c r="R1160" s="385" t="str">
        <f>IFERROR(
    IF(
        OR(ISBLANK(N1160), AND(ISBLANK(L1160), ISBLANK(M1160))),
        "",
        MAX(
            1,
            IF(
                NETWORKDAYS(IF(NOT(ISBLANK(M1160)), M1160, L1160), N1160, Holiday_Dates) &lt;= 0,
                1,
                NETWORKDAYS(IF(NOT(ISBLANK(M1160)), M1160, L1160), N1160, Holiday_Dates)
                - IF(IF(NOT(ISBLANK(M1160)), M1160, L1160) = N1160, 0, 1)
            )
        )
    ),
    ""
)</f>
        <v/>
      </c>
      <c r="S1160" s="385" t="str">
        <f>IFERROR(
    IF(
        OR(ISBLANK(N1160), ISBLANK(O1160)),
        "",
        MAX(
            1,
            IF(
                NETWORKDAYS(N1160, O1160, Holiday_Dates) &lt;= 0,
                1,
                NETWORKDAYS(N1160, O1160, Holiday_Dates) - IF(N1160 = O1160, 0, 1)
            )
        )
    ),
    ""
)</f>
        <v/>
      </c>
      <c r="T1160" s="385"/>
      <c r="U1160" s="385" t="s">
        <v>672</v>
      </c>
      <c r="V1160" s="385"/>
      <c r="W1160" s="385" t="s">
        <v>1436</v>
      </c>
      <c r="X1160" s="1"/>
    </row>
    <row r="1161" spans="1:24">
      <c r="A1161" s="385" t="s">
        <v>65</v>
      </c>
      <c r="B1161" s="385" t="s">
        <v>2958</v>
      </c>
      <c r="C1161" s="385" t="s">
        <v>717</v>
      </c>
      <c r="D1161" s="385" t="s">
        <v>88</v>
      </c>
      <c r="E1161" s="385"/>
      <c r="F1161" s="385"/>
      <c r="G1161" s="385"/>
      <c r="H1161" s="385">
        <v>2025</v>
      </c>
      <c r="I1161" s="386">
        <v>45678</v>
      </c>
      <c r="J1161" s="30" t="s">
        <v>5194</v>
      </c>
      <c r="K1161" s="385"/>
      <c r="L1161" s="385"/>
      <c r="M1161" s="385"/>
      <c r="N1161" s="385"/>
      <c r="O1161" s="385"/>
      <c r="P1161" s="385" t="str">
        <f>IFERROR(
    IF(
        OR(ISBLANK(I1161), ISBLANK(L1161)),
        "",
        MAX(
            1,
            IF(
                NETWORKDAYS(I1161, L1161, Holiday_Dates) &lt;= 0,
                1,
                NETWORKDAYS(I1161, L1161, Holiday_Dates) - IF(I1161 = L1161, 0, 1)
            )
        )
    ),
    ""
)</f>
        <v/>
      </c>
      <c r="Q1161" s="385" t="str">
        <f>IF(
    OR(ISBLANK(L1161), ISBLANK(M1161)),
    "",
    MAX(
        1,
        IF(
            NETWORKDAYS(L1161, M1161, Holiday_Dates) &lt;= 0,
            1,
            NETWORKDAYS(L1161, M1161, Holiday_Dates) - IF(L1161 = M1161, 0, 1)
        )
    )
)</f>
        <v/>
      </c>
      <c r="R1161" s="385" t="str">
        <f>IFERROR(
    IF(
        OR(ISBLANK(N1161), AND(ISBLANK(L1161), ISBLANK(M1161))),
        "",
        MAX(
            1,
            IF(
                NETWORKDAYS(IF(NOT(ISBLANK(M1161)), M1161, L1161), N1161, Holiday_Dates) &lt;= 0,
                1,
                NETWORKDAYS(IF(NOT(ISBLANK(M1161)), M1161, L1161), N1161, Holiday_Dates)
                - IF(IF(NOT(ISBLANK(M1161)), M1161, L1161) = N1161, 0, 1)
            )
        )
    ),
    ""
)</f>
        <v/>
      </c>
      <c r="S1161" s="385" t="str">
        <f>IFERROR(
    IF(
        OR(ISBLANK(N1161), ISBLANK(O1161)),
        "",
        MAX(
            1,
            IF(
                NETWORKDAYS(N1161, O1161, Holiday_Dates) &lt;= 0,
                1,
                NETWORKDAYS(N1161, O1161, Holiday_Dates) - IF(N1161 = O1161, 0, 1)
            )
        )
    ),
    ""
)</f>
        <v/>
      </c>
      <c r="T1161" s="385"/>
      <c r="U1161" s="385" t="s">
        <v>672</v>
      </c>
      <c r="V1161" s="385" t="s">
        <v>101</v>
      </c>
      <c r="W1161" s="385" t="s">
        <v>1436</v>
      </c>
      <c r="X1161" s="1"/>
    </row>
    <row r="1162" spans="1:24">
      <c r="A1162" s="385" t="s">
        <v>65</v>
      </c>
      <c r="B1162" s="385" t="s">
        <v>2958</v>
      </c>
      <c r="C1162" s="385" t="s">
        <v>2234</v>
      </c>
      <c r="D1162" s="385" t="s">
        <v>88</v>
      </c>
      <c r="E1162" s="385"/>
      <c r="F1162" s="385"/>
      <c r="G1162" s="385"/>
      <c r="H1162" s="385">
        <v>2025</v>
      </c>
      <c r="I1162" s="386">
        <v>45889</v>
      </c>
      <c r="J1162" s="30" t="s">
        <v>5195</v>
      </c>
      <c r="K1162" s="385"/>
      <c r="L1162" s="385"/>
      <c r="M1162" s="385"/>
      <c r="N1162" s="385"/>
      <c r="O1162" s="385"/>
      <c r="P1162" s="385" t="str">
        <f>IFERROR(
    IF(
        OR(ISBLANK(I1162), ISBLANK(L1162)),
        "",
        MAX(
            1,
            IF(
                NETWORKDAYS(I1162, L1162, Holiday_Dates) &lt;= 0,
                1,
                NETWORKDAYS(I1162, L1162, Holiday_Dates) - IF(I1162 = L1162, 0, 1)
            )
        )
    ),
    ""
)</f>
        <v/>
      </c>
      <c r="Q1162" s="385" t="str">
        <f>IF(
    OR(ISBLANK(L1162), ISBLANK(M1162)),
    "",
    MAX(
        1,
        IF(
            NETWORKDAYS(L1162, M1162, Holiday_Dates) &lt;= 0,
            1,
            NETWORKDAYS(L1162, M1162, Holiday_Dates) - IF(L1162 = M1162, 0, 1)
        )
    )
)</f>
        <v/>
      </c>
      <c r="R1162" s="385" t="str">
        <f>IFERROR(
    IF(
        OR(ISBLANK(N1162), AND(ISBLANK(L1162), ISBLANK(M1162))),
        "",
        MAX(
            1,
            IF(
                NETWORKDAYS(IF(NOT(ISBLANK(M1162)), M1162, L1162), N1162, Holiday_Dates) &lt;= 0,
                1,
                NETWORKDAYS(IF(NOT(ISBLANK(M1162)), M1162, L1162), N1162, Holiday_Dates)
                - IF(IF(NOT(ISBLANK(M1162)), M1162, L1162) = N1162, 0, 1)
            )
        )
    ),
    ""
)</f>
        <v/>
      </c>
      <c r="S1162" s="385" t="str">
        <f>IFERROR(
    IF(
        OR(ISBLANK(N1162), ISBLANK(O1162)),
        "",
        MAX(
            1,
            IF(
                NETWORKDAYS(N1162, O1162, Holiday_Dates) &lt;= 0,
                1,
                NETWORKDAYS(N1162, O1162, Holiday_Dates) - IF(N1162 = O1162, 0, 1)
            )
        )
    ),
    ""
)</f>
        <v/>
      </c>
      <c r="T1162" s="385"/>
      <c r="U1162" s="385" t="s">
        <v>672</v>
      </c>
      <c r="V1162" s="385" t="s">
        <v>101</v>
      </c>
      <c r="W1162" s="385" t="s">
        <v>1436</v>
      </c>
      <c r="X1162" s="1"/>
    </row>
    <row r="1163" spans="1:24">
      <c r="A1163" s="385" t="s">
        <v>65</v>
      </c>
      <c r="B1163" s="385" t="s">
        <v>2958</v>
      </c>
      <c r="C1163" s="385" t="s">
        <v>2117</v>
      </c>
      <c r="D1163" s="385" t="s">
        <v>88</v>
      </c>
      <c r="E1163" s="385"/>
      <c r="F1163" s="385"/>
      <c r="G1163" s="385"/>
      <c r="H1163" s="385">
        <v>2025</v>
      </c>
      <c r="I1163" s="386">
        <v>45889</v>
      </c>
      <c r="J1163" s="30" t="s">
        <v>5196</v>
      </c>
      <c r="K1163" s="385"/>
      <c r="L1163" s="385"/>
      <c r="M1163" s="385"/>
      <c r="N1163" s="385"/>
      <c r="O1163" s="385"/>
      <c r="P1163" s="385" t="str">
        <f>IFERROR(
    IF(
        OR(ISBLANK(I1163), ISBLANK(L1163)),
        "",
        MAX(
            1,
            IF(
                NETWORKDAYS(I1163, L1163, Holiday_Dates) &lt;= 0,
                1,
                NETWORKDAYS(I1163, L1163, Holiday_Dates) - IF(I1163 = L1163, 0, 1)
            )
        )
    ),
    ""
)</f>
        <v/>
      </c>
      <c r="Q1163" s="385" t="str">
        <f>IF(
    OR(ISBLANK(L1163), ISBLANK(M1163)),
    "",
    MAX(
        1,
        IF(
            NETWORKDAYS(L1163, M1163, Holiday_Dates) &lt;= 0,
            1,
            NETWORKDAYS(L1163, M1163, Holiday_Dates) - IF(L1163 = M1163, 0, 1)
        )
    )
)</f>
        <v/>
      </c>
      <c r="R1163" s="385" t="str">
        <f>IFERROR(
    IF(
        OR(ISBLANK(N1163), AND(ISBLANK(L1163), ISBLANK(M1163))),
        "",
        MAX(
            1,
            IF(
                NETWORKDAYS(IF(NOT(ISBLANK(M1163)), M1163, L1163), N1163, Holiday_Dates) &lt;= 0,
                1,
                NETWORKDAYS(IF(NOT(ISBLANK(M1163)), M1163, L1163), N1163, Holiday_Dates)
                - IF(IF(NOT(ISBLANK(M1163)), M1163, L1163) = N1163, 0, 1)
            )
        )
    ),
    ""
)</f>
        <v/>
      </c>
      <c r="S1163" s="385" t="str">
        <f>IFERROR(
    IF(
        OR(ISBLANK(N1163), ISBLANK(O1163)),
        "",
        MAX(
            1,
            IF(
                NETWORKDAYS(N1163, O1163, Holiday_Dates) &lt;= 0,
                1,
                NETWORKDAYS(N1163, O1163, Holiday_Dates) - IF(N1163 = O1163, 0, 1)
            )
        )
    ),
    ""
)</f>
        <v/>
      </c>
      <c r="T1163" s="385"/>
      <c r="U1163" s="385" t="s">
        <v>672</v>
      </c>
      <c r="V1163" s="385" t="s">
        <v>101</v>
      </c>
      <c r="W1163" s="385" t="s">
        <v>1436</v>
      </c>
      <c r="X1163" s="1"/>
    </row>
    <row r="1164" spans="1:24">
      <c r="A1164" s="385" t="s">
        <v>65</v>
      </c>
      <c r="B1164" s="385" t="s">
        <v>2958</v>
      </c>
      <c r="C1164" s="385" t="s">
        <v>554</v>
      </c>
      <c r="D1164" s="385" t="s">
        <v>88</v>
      </c>
      <c r="E1164" s="385"/>
      <c r="F1164" s="385"/>
      <c r="G1164" s="385"/>
      <c r="H1164" s="385">
        <v>2024</v>
      </c>
      <c r="I1164" s="386">
        <v>45611</v>
      </c>
      <c r="J1164" s="30"/>
      <c r="K1164" s="385"/>
      <c r="L1164" s="385"/>
      <c r="M1164" s="385"/>
      <c r="N1164" s="385"/>
      <c r="O1164" s="385"/>
      <c r="P1164" s="385" t="str">
        <f>IFERROR(
    IF(
        OR(ISBLANK(I1164), ISBLANK(L1164)),
        "",
        MAX(
            1,
            IF(
                NETWORKDAYS(I1164, L1164, Holiday_Dates) &lt;= 0,
                1,
                NETWORKDAYS(I1164, L1164, Holiday_Dates) - IF(I1164 = L1164, 0, 1)
            )
        )
    ),
    ""
)</f>
        <v/>
      </c>
      <c r="Q1164" s="385" t="str">
        <f>IF(
    OR(ISBLANK(L1164), ISBLANK(M1164)),
    "",
    MAX(
        1,
        IF(
            NETWORKDAYS(L1164, M1164, Holiday_Dates) &lt;= 0,
            1,
            NETWORKDAYS(L1164, M1164, Holiday_Dates) - IF(L1164 = M1164, 0, 1)
        )
    )
)</f>
        <v/>
      </c>
      <c r="R1164" s="385" t="str">
        <f>IFERROR(
    IF(
        OR(ISBLANK(N1164), AND(ISBLANK(L1164), ISBLANK(M1164))),
        "",
        MAX(
            1,
            IF(
                NETWORKDAYS(IF(NOT(ISBLANK(M1164)), M1164, L1164), N1164, Holiday_Dates) &lt;= 0,
                1,
                NETWORKDAYS(IF(NOT(ISBLANK(M1164)), M1164, L1164), N1164, Holiday_Dates)
                - IF(IF(NOT(ISBLANK(M1164)), M1164, L1164) = N1164, 0, 1)
            )
        )
    ),
    ""
)</f>
        <v/>
      </c>
      <c r="S1164" s="385" t="str">
        <f>IFERROR(
    IF(
        OR(ISBLANK(N1164), ISBLANK(O1164)),
        "",
        MAX(
            1,
            IF(
                NETWORKDAYS(N1164, O1164, Holiday_Dates) &lt;= 0,
                1,
                NETWORKDAYS(N1164, O1164, Holiday_Dates) - IF(N1164 = O1164, 0, 1)
            )
        )
    ),
    ""
)</f>
        <v/>
      </c>
      <c r="T1164" s="385"/>
      <c r="U1164" s="385" t="s">
        <v>4</v>
      </c>
      <c r="V1164" s="385" t="s">
        <v>101</v>
      </c>
      <c r="W1164" s="385" t="s">
        <v>1436</v>
      </c>
      <c r="X1164" s="1"/>
    </row>
    <row r="1165" spans="1:24">
      <c r="A1165" s="385" t="s">
        <v>65</v>
      </c>
      <c r="B1165" s="385" t="s">
        <v>2958</v>
      </c>
      <c r="C1165" s="385" t="s">
        <v>2973</v>
      </c>
      <c r="D1165" s="385" t="s">
        <v>88</v>
      </c>
      <c r="E1165" s="385"/>
      <c r="F1165" s="385"/>
      <c r="G1165" s="385"/>
      <c r="H1165" s="385">
        <v>2025</v>
      </c>
      <c r="I1165" s="386">
        <v>45806</v>
      </c>
      <c r="J1165" s="30" t="s">
        <v>5197</v>
      </c>
      <c r="K1165" s="385"/>
      <c r="L1165" s="385"/>
      <c r="M1165" s="385"/>
      <c r="N1165" s="385"/>
      <c r="O1165" s="385"/>
      <c r="P1165" s="385" t="str">
        <f>IFERROR(
    IF(
        OR(ISBLANK(I1165), ISBLANK(L1165)),
        "",
        MAX(
            1,
            IF(
                NETWORKDAYS(I1165, L1165, Holiday_Dates) &lt;= 0,
                1,
                NETWORKDAYS(I1165, L1165, Holiday_Dates) - IF(I1165 = L1165, 0, 1)
            )
        )
    ),
    ""
)</f>
        <v/>
      </c>
      <c r="Q1165" s="385" t="str">
        <f>IF(
    OR(ISBLANK(L1165), ISBLANK(M1165)),
    "",
    MAX(
        1,
        IF(
            NETWORKDAYS(L1165, M1165, Holiday_Dates) &lt;= 0,
            1,
            NETWORKDAYS(L1165, M1165, Holiday_Dates) - IF(L1165 = M1165, 0, 1)
        )
    )
)</f>
        <v/>
      </c>
      <c r="R1165" s="385" t="str">
        <f>IFERROR(
    IF(
        OR(ISBLANK(N1165), AND(ISBLANK(L1165), ISBLANK(M1165))),
        "",
        MAX(
            1,
            IF(
                NETWORKDAYS(IF(NOT(ISBLANK(M1165)), M1165, L1165), N1165, Holiday_Dates) &lt;= 0,
                1,
                NETWORKDAYS(IF(NOT(ISBLANK(M1165)), M1165, L1165), N1165, Holiday_Dates)
                - IF(IF(NOT(ISBLANK(M1165)), M1165, L1165) = N1165, 0, 1)
            )
        )
    ),
    ""
)</f>
        <v/>
      </c>
      <c r="S1165" s="385" t="str">
        <f>IFERROR(
    IF(
        OR(ISBLANK(N1165), ISBLANK(O1165)),
        "",
        MAX(
            1,
            IF(
                NETWORKDAYS(N1165, O1165, Holiday_Dates) &lt;= 0,
                1,
                NETWORKDAYS(N1165, O1165, Holiday_Dates) - IF(N1165 = O1165, 0, 1)
            )
        )
    ),
    ""
)</f>
        <v/>
      </c>
      <c r="T1165" s="385"/>
      <c r="U1165" s="385" t="s">
        <v>672</v>
      </c>
      <c r="V1165" s="385" t="s">
        <v>101</v>
      </c>
      <c r="W1165" s="385" t="s">
        <v>1436</v>
      </c>
      <c r="X1165" s="1"/>
    </row>
    <row r="1166" spans="1:24">
      <c r="A1166" s="385" t="s">
        <v>65</v>
      </c>
      <c r="B1166" s="385" t="s">
        <v>2958</v>
      </c>
      <c r="C1166" s="385" t="s">
        <v>2974</v>
      </c>
      <c r="D1166" s="385" t="s">
        <v>88</v>
      </c>
      <c r="E1166" s="385"/>
      <c r="F1166" s="385"/>
      <c r="G1166" s="385"/>
      <c r="H1166" s="385">
        <v>2025</v>
      </c>
      <c r="I1166" s="386">
        <v>45806</v>
      </c>
      <c r="J1166" s="30" t="s">
        <v>5198</v>
      </c>
      <c r="K1166" s="385"/>
      <c r="L1166" s="385"/>
      <c r="M1166" s="385"/>
      <c r="N1166" s="385"/>
      <c r="O1166" s="385"/>
      <c r="P1166" s="385" t="str">
        <f>IFERROR(
    IF(
        OR(ISBLANK(I1166), ISBLANK(L1166)),
        "",
        MAX(
            1,
            IF(
                NETWORKDAYS(I1166, L1166, Holiday_Dates) &lt;= 0,
                1,
                NETWORKDAYS(I1166, L1166, Holiday_Dates) - IF(I1166 = L1166, 0, 1)
            )
        )
    ),
    ""
)</f>
        <v/>
      </c>
      <c r="Q1166" s="385" t="str">
        <f>IF(
    OR(ISBLANK(L1166), ISBLANK(M1166)),
    "",
    MAX(
        1,
        IF(
            NETWORKDAYS(L1166, M1166, Holiday_Dates) &lt;= 0,
            1,
            NETWORKDAYS(L1166, M1166, Holiday_Dates) - IF(L1166 = M1166, 0, 1)
        )
    )
)</f>
        <v/>
      </c>
      <c r="R1166" s="385" t="str">
        <f>IFERROR(
    IF(
        OR(ISBLANK(N1166), AND(ISBLANK(L1166), ISBLANK(M1166))),
        "",
        MAX(
            1,
            IF(
                NETWORKDAYS(IF(NOT(ISBLANK(M1166)), M1166, L1166), N1166, Holiday_Dates) &lt;= 0,
                1,
                NETWORKDAYS(IF(NOT(ISBLANK(M1166)), M1166, L1166), N1166, Holiday_Dates)
                - IF(IF(NOT(ISBLANK(M1166)), M1166, L1166) = N1166, 0, 1)
            )
        )
    ),
    ""
)</f>
        <v/>
      </c>
      <c r="S1166" s="385" t="str">
        <f>IFERROR(
    IF(
        OR(ISBLANK(N1166), ISBLANK(O1166)),
        "",
        MAX(
            1,
            IF(
                NETWORKDAYS(N1166, O1166, Holiday_Dates) &lt;= 0,
                1,
                NETWORKDAYS(N1166, O1166, Holiday_Dates) - IF(N1166 = O1166, 0, 1)
            )
        )
    ),
    ""
)</f>
        <v/>
      </c>
      <c r="T1166" s="385"/>
      <c r="U1166" s="385" t="s">
        <v>672</v>
      </c>
      <c r="V1166" s="385" t="s">
        <v>101</v>
      </c>
      <c r="W1166" s="385" t="s">
        <v>1436</v>
      </c>
      <c r="X1166" s="1"/>
    </row>
    <row r="1167" spans="1:24">
      <c r="A1167" s="385" t="s">
        <v>65</v>
      </c>
      <c r="B1167" s="385" t="s">
        <v>2958</v>
      </c>
      <c r="C1167" s="385" t="s">
        <v>1879</v>
      </c>
      <c r="D1167" s="385" t="s">
        <v>88</v>
      </c>
      <c r="E1167" s="385"/>
      <c r="F1167" s="385"/>
      <c r="G1167" s="385"/>
      <c r="H1167" s="385">
        <v>2025</v>
      </c>
      <c r="I1167" s="386">
        <v>45679</v>
      </c>
      <c r="J1167" s="30" t="s">
        <v>5199</v>
      </c>
      <c r="K1167" s="385"/>
      <c r="L1167" s="385"/>
      <c r="M1167" s="385"/>
      <c r="N1167" s="385"/>
      <c r="O1167" s="385"/>
      <c r="P1167" s="385" t="str">
        <f>IFERROR(
    IF(
        OR(ISBLANK(I1167), ISBLANK(L1167)),
        "",
        MAX(
            1,
            IF(
                NETWORKDAYS(I1167, L1167, Holiday_Dates) &lt;= 0,
                1,
                NETWORKDAYS(I1167, L1167, Holiday_Dates) - IF(I1167 = L1167, 0, 1)
            )
        )
    ),
    ""
)</f>
        <v/>
      </c>
      <c r="Q1167" s="385" t="str">
        <f>IF(
    OR(ISBLANK(L1167), ISBLANK(M1167)),
    "",
    MAX(
        1,
        IF(
            NETWORKDAYS(L1167, M1167, Holiday_Dates) &lt;= 0,
            1,
            NETWORKDAYS(L1167, M1167, Holiday_Dates) - IF(L1167 = M1167, 0, 1)
        )
    )
)</f>
        <v/>
      </c>
      <c r="R1167" s="385" t="str">
        <f>IFERROR(
    IF(
        OR(ISBLANK(N1167), AND(ISBLANK(L1167), ISBLANK(M1167))),
        "",
        MAX(
            1,
            IF(
                NETWORKDAYS(IF(NOT(ISBLANK(M1167)), M1167, L1167), N1167, Holiday_Dates) &lt;= 0,
                1,
                NETWORKDAYS(IF(NOT(ISBLANK(M1167)), M1167, L1167), N1167, Holiday_Dates)
                - IF(IF(NOT(ISBLANK(M1167)), M1167, L1167) = N1167, 0, 1)
            )
        )
    ),
    ""
)</f>
        <v/>
      </c>
      <c r="S1167" s="385" t="str">
        <f>IFERROR(
    IF(
        OR(ISBLANK(N1167), ISBLANK(O1167)),
        "",
        MAX(
            1,
            IF(
                NETWORKDAYS(N1167, O1167, Holiday_Dates) &lt;= 0,
                1,
                NETWORKDAYS(N1167, O1167, Holiday_Dates) - IF(N1167 = O1167, 0, 1)
            )
        )
    ),
    ""
)</f>
        <v/>
      </c>
      <c r="T1167" s="385"/>
      <c r="U1167" s="385" t="s">
        <v>672</v>
      </c>
      <c r="V1167" s="385" t="s">
        <v>101</v>
      </c>
      <c r="W1167" s="385" t="s">
        <v>1436</v>
      </c>
      <c r="X1167" s="1"/>
    </row>
    <row r="1168" spans="1:24">
      <c r="A1168" s="385" t="s">
        <v>65</v>
      </c>
      <c r="B1168" s="385" t="s">
        <v>3210</v>
      </c>
      <c r="C1168" s="385" t="s">
        <v>1336</v>
      </c>
      <c r="D1168" s="385" t="s">
        <v>88</v>
      </c>
      <c r="E1168" s="385"/>
      <c r="F1168" s="385"/>
      <c r="G1168" s="385"/>
      <c r="H1168" s="385">
        <v>2024</v>
      </c>
      <c r="I1168" s="386">
        <v>45546</v>
      </c>
      <c r="J1168" s="30"/>
      <c r="K1168" s="385"/>
      <c r="L1168" s="385"/>
      <c r="M1168" s="385"/>
      <c r="N1168" s="385"/>
      <c r="O1168" s="385"/>
      <c r="P1168" s="385" t="str">
        <f>IFERROR(
    IF(
        OR(ISBLANK(I1168), ISBLANK(L1168)),
        "",
        MAX(
            1,
            IF(
                NETWORKDAYS(I1168, L1168, Holiday_Dates) &lt;= 0,
                1,
                NETWORKDAYS(I1168, L1168, Holiday_Dates) - IF(I1168 = L1168, 0, 1)
            )
        )
    ),
    ""
)</f>
        <v/>
      </c>
      <c r="Q1168" s="385" t="str">
        <f>IF(
    OR(ISBLANK(L1168), ISBLANK(M1168)),
    "",
    MAX(
        1,
        IF(
            NETWORKDAYS(L1168, M1168, Holiday_Dates) &lt;= 0,
            1,
            NETWORKDAYS(L1168, M1168, Holiday_Dates) - IF(L1168 = M1168, 0, 1)
        )
    )
)</f>
        <v/>
      </c>
      <c r="R1168" s="385" t="str">
        <f>IFERROR(
    IF(
        OR(ISBLANK(N1168), AND(ISBLANK(L1168), ISBLANK(M1168))),
        "",
        MAX(
            1,
            IF(
                NETWORKDAYS(IF(NOT(ISBLANK(M1168)), M1168, L1168), N1168, Holiday_Dates) &lt;= 0,
                1,
                NETWORKDAYS(IF(NOT(ISBLANK(M1168)), M1168, L1168), N1168, Holiday_Dates)
                - IF(IF(NOT(ISBLANK(M1168)), M1168, L1168) = N1168, 0, 1)
            )
        )
    ),
    ""
)</f>
        <v/>
      </c>
      <c r="S1168" s="385" t="str">
        <f>IFERROR(
    IF(
        OR(ISBLANK(N1168), ISBLANK(O1168)),
        "",
        MAX(
            1,
            IF(
                NETWORKDAYS(N1168, O1168, Holiday_Dates) &lt;= 0,
                1,
                NETWORKDAYS(N1168, O1168, Holiday_Dates) - IF(N1168 = O1168, 0, 1)
            )
        )
    ),
    ""
)</f>
        <v/>
      </c>
      <c r="T1168" s="385"/>
      <c r="U1168" s="385" t="s">
        <v>4</v>
      </c>
      <c r="V1168" s="385" t="s">
        <v>101</v>
      </c>
      <c r="W1168" s="385" t="s">
        <v>1436</v>
      </c>
      <c r="X1168" s="1"/>
    </row>
    <row r="1169" spans="1:24">
      <c r="A1169" s="385" t="s">
        <v>65</v>
      </c>
      <c r="B1169" s="385" t="s">
        <v>3210</v>
      </c>
      <c r="C1169" s="385" t="s">
        <v>3211</v>
      </c>
      <c r="D1169" s="385" t="s">
        <v>88</v>
      </c>
      <c r="E1169" s="385"/>
      <c r="F1169" s="385"/>
      <c r="G1169" s="385"/>
      <c r="H1169" s="385">
        <v>2025</v>
      </c>
      <c r="I1169" s="386">
        <v>45882</v>
      </c>
      <c r="J1169" s="30" t="s">
        <v>5200</v>
      </c>
      <c r="K1169" s="385"/>
      <c r="L1169" s="385"/>
      <c r="M1169" s="385"/>
      <c r="N1169" s="385"/>
      <c r="O1169" s="385"/>
      <c r="P1169" s="385" t="str">
        <f>IFERROR(
    IF(
        OR(ISBLANK(I1169), ISBLANK(L1169)),
        "",
        MAX(
            1,
            IF(
                NETWORKDAYS(I1169, L1169, Holiday_Dates) &lt;= 0,
                1,
                NETWORKDAYS(I1169, L1169, Holiday_Dates) - IF(I1169 = L1169, 0, 1)
            )
        )
    ),
    ""
)</f>
        <v/>
      </c>
      <c r="Q1169" s="385" t="str">
        <f>IF(
    OR(ISBLANK(L1169), ISBLANK(M1169)),
    "",
    MAX(
        1,
        IF(
            NETWORKDAYS(L1169, M1169, Holiday_Dates) &lt;= 0,
            1,
            NETWORKDAYS(L1169, M1169, Holiday_Dates) - IF(L1169 = M1169, 0, 1)
        )
    )
)</f>
        <v/>
      </c>
      <c r="R1169" s="385" t="str">
        <f>IFERROR(
    IF(
        OR(ISBLANK(N1169), AND(ISBLANK(L1169), ISBLANK(M1169))),
        "",
        MAX(
            1,
            IF(
                NETWORKDAYS(IF(NOT(ISBLANK(M1169)), M1169, L1169), N1169, Holiday_Dates) &lt;= 0,
                1,
                NETWORKDAYS(IF(NOT(ISBLANK(M1169)), M1169, L1169), N1169, Holiday_Dates)
                - IF(IF(NOT(ISBLANK(M1169)), M1169, L1169) = N1169, 0, 1)
            )
        )
    ),
    ""
)</f>
        <v/>
      </c>
      <c r="S1169" s="385" t="str">
        <f>IFERROR(
    IF(
        OR(ISBLANK(N1169), ISBLANK(O1169)),
        "",
        MAX(
            1,
            IF(
                NETWORKDAYS(N1169, O1169, Holiday_Dates) &lt;= 0,
                1,
                NETWORKDAYS(N1169, O1169, Holiday_Dates) - IF(N1169 = O1169, 0, 1)
            )
        )
    ),
    ""
)</f>
        <v/>
      </c>
      <c r="T1169" s="385"/>
      <c r="U1169" s="385" t="s">
        <v>4</v>
      </c>
      <c r="V1169" s="385" t="s">
        <v>101</v>
      </c>
      <c r="W1169" s="385" t="s">
        <v>1436</v>
      </c>
      <c r="X1169" s="1"/>
    </row>
    <row r="1170" spans="1:24">
      <c r="A1170" s="385" t="s">
        <v>65</v>
      </c>
      <c r="B1170" s="385" t="s">
        <v>386</v>
      </c>
      <c r="C1170" s="385" t="s">
        <v>2952</v>
      </c>
      <c r="D1170" s="385" t="s">
        <v>88</v>
      </c>
      <c r="E1170" s="385" t="s">
        <v>141</v>
      </c>
      <c r="F1170" s="385"/>
      <c r="G1170" s="385" t="s">
        <v>130</v>
      </c>
      <c r="H1170" s="385"/>
      <c r="I1170" s="385"/>
      <c r="J1170" s="30"/>
      <c r="K1170" s="385" t="s">
        <v>57</v>
      </c>
      <c r="L1170" s="385"/>
      <c r="M1170" s="385"/>
      <c r="N1170" s="385"/>
      <c r="O1170" s="385"/>
      <c r="P1170" s="385" t="str">
        <f>IFERROR(
    IF(
        OR(ISBLANK(I1170), ISBLANK(L1170)),
        "",
        MAX(
            1,
            IF(
                NETWORKDAYS(I1170, L1170, Holiday_Dates) &lt;= 0,
                1,
                NETWORKDAYS(I1170, L1170, Holiday_Dates) - IF(I1170 = L1170, 0, 1)
            )
        )
    ),
    ""
)</f>
        <v/>
      </c>
      <c r="Q1170" s="385" t="str">
        <f>IF(
    OR(ISBLANK(L1170), ISBLANK(M1170)),
    "",
    MAX(
        1,
        IF(
            NETWORKDAYS(L1170, M1170, Holiday_Dates) &lt;= 0,
            1,
            NETWORKDAYS(L1170, M1170, Holiday_Dates) - IF(L1170 = M1170, 0, 1)
        )
    )
)</f>
        <v/>
      </c>
      <c r="R1170" s="385" t="str">
        <f>IFERROR(
    IF(
        OR(ISBLANK(N1170), AND(ISBLANK(L1170), ISBLANK(M1170))),
        "",
        MAX(
            1,
            IF(
                NETWORKDAYS(IF(NOT(ISBLANK(M1170)), M1170, L1170), N1170, Holiday_Dates) &lt;= 0,
                1,
                NETWORKDAYS(IF(NOT(ISBLANK(M1170)), M1170, L1170), N1170, Holiday_Dates)
                - IF(IF(NOT(ISBLANK(M1170)), M1170, L1170) = N1170, 0, 1)
            )
        )
    ),
    ""
)</f>
        <v/>
      </c>
      <c r="S1170" s="385" t="str">
        <f>IFERROR(
    IF(
        OR(ISBLANK(N1170), ISBLANK(O1170)),
        "",
        MAX(
            1,
            IF(
                NETWORKDAYS(N1170, O1170, Holiday_Dates) &lt;= 0,
                1,
                NETWORKDAYS(N1170, O1170, Holiday_Dates) - IF(N1170 = O1170, 0, 1)
            )
        )
    ),
    ""
)</f>
        <v/>
      </c>
      <c r="T1170" s="385"/>
      <c r="U1170" s="385"/>
      <c r="V1170" s="385"/>
      <c r="W1170" s="385" t="s">
        <v>4710</v>
      </c>
      <c r="X1170" s="1"/>
    </row>
    <row r="1171" spans="1:24">
      <c r="A1171" s="385" t="s">
        <v>65</v>
      </c>
      <c r="B1171" s="385" t="s">
        <v>386</v>
      </c>
      <c r="C1171" s="385" t="s">
        <v>2953</v>
      </c>
      <c r="D1171" s="385" t="s">
        <v>88</v>
      </c>
      <c r="E1171" s="385" t="s">
        <v>141</v>
      </c>
      <c r="F1171" s="385"/>
      <c r="G1171" s="385" t="s">
        <v>130</v>
      </c>
      <c r="H1171" s="385"/>
      <c r="I1171" s="385"/>
      <c r="J1171" s="30"/>
      <c r="K1171" s="385" t="s">
        <v>57</v>
      </c>
      <c r="L1171" s="385"/>
      <c r="M1171" s="385"/>
      <c r="N1171" s="385"/>
      <c r="O1171" s="385"/>
      <c r="P1171" s="385" t="str">
        <f>IFERROR(
    IF(
        OR(ISBLANK(I1171), ISBLANK(L1171)),
        "",
        MAX(
            1,
            IF(
                NETWORKDAYS(I1171, L1171, Holiday_Dates) &lt;= 0,
                1,
                NETWORKDAYS(I1171, L1171, Holiday_Dates) - IF(I1171 = L1171, 0, 1)
            )
        )
    ),
    ""
)</f>
        <v/>
      </c>
      <c r="Q1171" s="385" t="str">
        <f>IF(
    OR(ISBLANK(L1171), ISBLANK(M1171)),
    "",
    MAX(
        1,
        IF(
            NETWORKDAYS(L1171, M1171, Holiday_Dates) &lt;= 0,
            1,
            NETWORKDAYS(L1171, M1171, Holiday_Dates) - IF(L1171 = M1171, 0, 1)
        )
    )
)</f>
        <v/>
      </c>
      <c r="R1171" s="385" t="str">
        <f>IFERROR(
    IF(
        OR(ISBLANK(N1171), AND(ISBLANK(L1171), ISBLANK(M1171))),
        "",
        MAX(
            1,
            IF(
                NETWORKDAYS(IF(NOT(ISBLANK(M1171)), M1171, L1171), N1171, Holiday_Dates) &lt;= 0,
                1,
                NETWORKDAYS(IF(NOT(ISBLANK(M1171)), M1171, L1171), N1171, Holiday_Dates)
                - IF(IF(NOT(ISBLANK(M1171)), M1171, L1171) = N1171, 0, 1)
            )
        )
    ),
    ""
)</f>
        <v/>
      </c>
      <c r="S1171" s="385" t="str">
        <f>IFERROR(
    IF(
        OR(ISBLANK(N1171), ISBLANK(O1171)),
        "",
        MAX(
            1,
            IF(
                NETWORKDAYS(N1171, O1171, Holiday_Dates) &lt;= 0,
                1,
                NETWORKDAYS(N1171, O1171, Holiday_Dates) - IF(N1171 = O1171, 0, 1)
            )
        )
    ),
    ""
)</f>
        <v/>
      </c>
      <c r="T1171" s="385"/>
      <c r="U1171" s="385"/>
      <c r="V1171" s="385"/>
      <c r="W1171" s="385" t="s">
        <v>4710</v>
      </c>
      <c r="X1171" s="1"/>
    </row>
    <row r="1172" spans="1:24">
      <c r="A1172" s="385" t="s">
        <v>65</v>
      </c>
      <c r="B1172" s="385" t="s">
        <v>3210</v>
      </c>
      <c r="C1172" s="385" t="s">
        <v>3029</v>
      </c>
      <c r="D1172" s="385" t="s">
        <v>88</v>
      </c>
      <c r="E1172" s="385"/>
      <c r="F1172" s="385"/>
      <c r="G1172" s="385"/>
      <c r="H1172" s="385">
        <v>2024</v>
      </c>
      <c r="I1172" s="386">
        <v>45546</v>
      </c>
      <c r="J1172" s="30"/>
      <c r="K1172" s="385"/>
      <c r="L1172" s="385"/>
      <c r="M1172" s="385"/>
      <c r="N1172" s="385"/>
      <c r="O1172" s="385"/>
      <c r="P1172" s="385" t="str">
        <f>IFERROR(
    IF(
        OR(ISBLANK(I1172), ISBLANK(L1172)),
        "",
        MAX(
            1,
            IF(
                NETWORKDAYS(I1172, L1172, Holiday_Dates) &lt;= 0,
                1,
                NETWORKDAYS(I1172, L1172, Holiday_Dates) - IF(I1172 = L1172, 0, 1)
            )
        )
    ),
    ""
)</f>
        <v/>
      </c>
      <c r="Q1172" s="385" t="str">
        <f>IF(
    OR(ISBLANK(L1172), ISBLANK(M1172)),
    "",
    MAX(
        1,
        IF(
            NETWORKDAYS(L1172, M1172, Holiday_Dates) &lt;= 0,
            1,
            NETWORKDAYS(L1172, M1172, Holiday_Dates) - IF(L1172 = M1172, 0, 1)
        )
    )
)</f>
        <v/>
      </c>
      <c r="R1172" s="385" t="str">
        <f>IFERROR(
    IF(
        OR(ISBLANK(N1172), AND(ISBLANK(L1172), ISBLANK(M1172))),
        "",
        MAX(
            1,
            IF(
                NETWORKDAYS(IF(NOT(ISBLANK(M1172)), M1172, L1172), N1172, Holiday_Dates) &lt;= 0,
                1,
                NETWORKDAYS(IF(NOT(ISBLANK(M1172)), M1172, L1172), N1172, Holiday_Dates)
                - IF(IF(NOT(ISBLANK(M1172)), M1172, L1172) = N1172, 0, 1)
            )
        )
    ),
    ""
)</f>
        <v/>
      </c>
      <c r="S1172" s="385" t="str">
        <f>IFERROR(
    IF(
        OR(ISBLANK(N1172), ISBLANK(O1172)),
        "",
        MAX(
            1,
            IF(
                NETWORKDAYS(N1172, O1172, Holiday_Dates) &lt;= 0,
                1,
                NETWORKDAYS(N1172, O1172, Holiday_Dates) - IF(N1172 = O1172, 0, 1)
            )
        )
    ),
    ""
)</f>
        <v/>
      </c>
      <c r="T1172" s="385"/>
      <c r="U1172" s="385" t="s">
        <v>4</v>
      </c>
      <c r="V1172" s="385" t="s">
        <v>101</v>
      </c>
      <c r="W1172" s="385" t="s">
        <v>1436</v>
      </c>
      <c r="X1172" s="1"/>
    </row>
    <row r="1173" spans="1:24">
      <c r="A1173" s="385" t="s">
        <v>65</v>
      </c>
      <c r="B1173" s="385" t="s">
        <v>3210</v>
      </c>
      <c r="C1173" s="385" t="s">
        <v>3223</v>
      </c>
      <c r="D1173" s="385" t="s">
        <v>88</v>
      </c>
      <c r="E1173" s="385"/>
      <c r="F1173" s="385"/>
      <c r="G1173" s="385"/>
      <c r="H1173" s="385">
        <v>2024</v>
      </c>
      <c r="I1173" s="386">
        <v>45608</v>
      </c>
      <c r="J1173" s="30"/>
      <c r="K1173" s="385"/>
      <c r="L1173" s="385"/>
      <c r="M1173" s="385"/>
      <c r="N1173" s="385"/>
      <c r="O1173" s="385"/>
      <c r="P1173" s="385" t="str">
        <f>IFERROR(
    IF(
        OR(ISBLANK(I1173), ISBLANK(L1173)),
        "",
        MAX(
            1,
            IF(
                NETWORKDAYS(I1173, L1173, Holiday_Dates) &lt;= 0,
                1,
                NETWORKDAYS(I1173, L1173, Holiday_Dates) - IF(I1173 = L1173, 0, 1)
            )
        )
    ),
    ""
)</f>
        <v/>
      </c>
      <c r="Q1173" s="385" t="str">
        <f>IF(
    OR(ISBLANK(L1173), ISBLANK(M1173)),
    "",
    MAX(
        1,
        IF(
            NETWORKDAYS(L1173, M1173, Holiday_Dates) &lt;= 0,
            1,
            NETWORKDAYS(L1173, M1173, Holiday_Dates) - IF(L1173 = M1173, 0, 1)
        )
    )
)</f>
        <v/>
      </c>
      <c r="R1173" s="385" t="str">
        <f>IFERROR(
    IF(
        OR(ISBLANK(N1173), AND(ISBLANK(L1173), ISBLANK(M1173))),
        "",
        MAX(
            1,
            IF(
                NETWORKDAYS(IF(NOT(ISBLANK(M1173)), M1173, L1173), N1173, Holiday_Dates) &lt;= 0,
                1,
                NETWORKDAYS(IF(NOT(ISBLANK(M1173)), M1173, L1173), N1173, Holiday_Dates)
                - IF(IF(NOT(ISBLANK(M1173)), M1173, L1173) = N1173, 0, 1)
            )
        )
    ),
    ""
)</f>
        <v/>
      </c>
      <c r="S1173" s="385" t="str">
        <f>IFERROR(
    IF(
        OR(ISBLANK(N1173), ISBLANK(O1173)),
        "",
        MAX(
            1,
            IF(
                NETWORKDAYS(N1173, O1173, Holiday_Dates) &lt;= 0,
                1,
                NETWORKDAYS(N1173, O1173, Holiday_Dates) - IF(N1173 = O1173, 0, 1)
            )
        )
    ),
    ""
)</f>
        <v/>
      </c>
      <c r="T1173" s="385"/>
      <c r="U1173" s="385" t="s">
        <v>4</v>
      </c>
      <c r="V1173" s="385" t="s">
        <v>101</v>
      </c>
      <c r="W1173" s="385" t="s">
        <v>1436</v>
      </c>
      <c r="X1173" s="1"/>
    </row>
    <row r="1174" spans="1:24">
      <c r="A1174" s="385" t="s">
        <v>65</v>
      </c>
      <c r="B1174" s="385" t="s">
        <v>386</v>
      </c>
      <c r="C1174" s="385" t="s">
        <v>2954</v>
      </c>
      <c r="D1174" s="385" t="s">
        <v>88</v>
      </c>
      <c r="E1174" s="385" t="s">
        <v>141</v>
      </c>
      <c r="F1174" s="385"/>
      <c r="G1174" s="385" t="s">
        <v>130</v>
      </c>
      <c r="H1174" s="385"/>
      <c r="I1174" s="385"/>
      <c r="J1174" s="30"/>
      <c r="K1174" s="385" t="s">
        <v>57</v>
      </c>
      <c r="L1174" s="385"/>
      <c r="M1174" s="385"/>
      <c r="N1174" s="385"/>
      <c r="O1174" s="385"/>
      <c r="P1174" s="385" t="str">
        <f>IFERROR(
    IF(
        OR(ISBLANK(I1174), ISBLANK(L1174)),
        "",
        MAX(
            1,
            IF(
                NETWORKDAYS(I1174, L1174, Holiday_Dates) &lt;= 0,
                1,
                NETWORKDAYS(I1174, L1174, Holiday_Dates) - IF(I1174 = L1174, 0, 1)
            )
        )
    ),
    ""
)</f>
        <v/>
      </c>
      <c r="Q1174" s="385" t="str">
        <f>IF(
    OR(ISBLANK(L1174), ISBLANK(M1174)),
    "",
    MAX(
        1,
        IF(
            NETWORKDAYS(L1174, M1174, Holiday_Dates) &lt;= 0,
            1,
            NETWORKDAYS(L1174, M1174, Holiday_Dates) - IF(L1174 = M1174, 0, 1)
        )
    )
)</f>
        <v/>
      </c>
      <c r="R1174" s="385" t="str">
        <f>IFERROR(
    IF(
        OR(ISBLANK(N1174), AND(ISBLANK(L1174), ISBLANK(M1174))),
        "",
        MAX(
            1,
            IF(
                NETWORKDAYS(IF(NOT(ISBLANK(M1174)), M1174, L1174), N1174, Holiday_Dates) &lt;= 0,
                1,
                NETWORKDAYS(IF(NOT(ISBLANK(M1174)), M1174, L1174), N1174, Holiday_Dates)
                - IF(IF(NOT(ISBLANK(M1174)), M1174, L1174) = N1174, 0, 1)
            )
        )
    ),
    ""
)</f>
        <v/>
      </c>
      <c r="S1174" s="385" t="str">
        <f>IFERROR(
    IF(
        OR(ISBLANK(N1174), ISBLANK(O1174)),
        "",
        MAX(
            1,
            IF(
                NETWORKDAYS(N1174, O1174, Holiday_Dates) &lt;= 0,
                1,
                NETWORKDAYS(N1174, O1174, Holiday_Dates) - IF(N1174 = O1174, 0, 1)
            )
        )
    ),
    ""
)</f>
        <v/>
      </c>
      <c r="T1174" s="385"/>
      <c r="U1174" s="385"/>
      <c r="V1174" s="385"/>
      <c r="W1174" s="385" t="s">
        <v>4710</v>
      </c>
      <c r="X1174" s="1"/>
    </row>
    <row r="1175" spans="1:24">
      <c r="A1175" s="385" t="s">
        <v>65</v>
      </c>
      <c r="B1175" s="385" t="s">
        <v>3210</v>
      </c>
      <c r="C1175" s="385" t="s">
        <v>3213</v>
      </c>
      <c r="D1175" s="385" t="s">
        <v>88</v>
      </c>
      <c r="E1175" s="385"/>
      <c r="F1175" s="385"/>
      <c r="G1175" s="385"/>
      <c r="H1175" s="385">
        <v>2024</v>
      </c>
      <c r="I1175" s="386">
        <v>45608</v>
      </c>
      <c r="J1175" s="531"/>
      <c r="K1175" s="391"/>
      <c r="L1175" s="391"/>
      <c r="M1175" s="391"/>
      <c r="N1175" s="391"/>
      <c r="O1175" s="391"/>
      <c r="P1175" s="385" t="str">
        <f>IFERROR(
    IF(
        OR(ISBLANK(I1175), ISBLANK(L1175)),
        "",
        MAX(
            1,
            IF(
                NETWORKDAYS(I1175, L1175, Holiday_Dates) &lt;= 0,
                1,
                NETWORKDAYS(I1175, L1175, Holiday_Dates) - IF(I1175 = L1175, 0, 1)
            )
        )
    ),
    ""
)</f>
        <v/>
      </c>
      <c r="Q1175" s="385" t="str">
        <f>IF(
    OR(ISBLANK(L1175), ISBLANK(M1175)),
    "",
    MAX(
        1,
        IF(
            NETWORKDAYS(L1175, M1175, Holiday_Dates) &lt;= 0,
            1,
            NETWORKDAYS(L1175, M1175, Holiday_Dates) - IF(L1175 = M1175, 0, 1)
        )
    )
)</f>
        <v/>
      </c>
      <c r="R1175" s="385" t="str">
        <f>IFERROR(
    IF(
        OR(ISBLANK(N1175), AND(ISBLANK(L1175), ISBLANK(M1175))),
        "",
        MAX(
            1,
            IF(
                NETWORKDAYS(IF(NOT(ISBLANK(M1175)), M1175, L1175), N1175, Holiday_Dates) &lt;= 0,
                1,
                NETWORKDAYS(IF(NOT(ISBLANK(M1175)), M1175, L1175), N1175, Holiday_Dates)
                - IF(IF(NOT(ISBLANK(M1175)), M1175, L1175) = N1175, 0, 1)
            )
        )
    ),
    ""
)</f>
        <v/>
      </c>
      <c r="S1175" s="385" t="str">
        <f>IFERROR(
    IF(
        OR(ISBLANK(N1175), ISBLANK(O1175)),
        "",
        MAX(
            1,
            IF(
                NETWORKDAYS(N1175, O1175, Holiday_Dates) &lt;= 0,
                1,
                NETWORKDAYS(N1175, O1175, Holiday_Dates) - IF(N1175 = O1175, 0, 1)
            )
        )
    ),
    ""
)</f>
        <v/>
      </c>
      <c r="T1175" s="385"/>
      <c r="U1175" s="385" t="s">
        <v>4</v>
      </c>
      <c r="V1175" s="385" t="s">
        <v>101</v>
      </c>
      <c r="W1175" s="385" t="s">
        <v>1436</v>
      </c>
      <c r="X1175" s="1"/>
    </row>
    <row r="1176" spans="1:24">
      <c r="A1176" s="385" t="s">
        <v>65</v>
      </c>
      <c r="B1176" s="385" t="s">
        <v>3210</v>
      </c>
      <c r="C1176" s="385" t="s">
        <v>3226</v>
      </c>
      <c r="D1176" s="385" t="s">
        <v>88</v>
      </c>
      <c r="E1176" s="385"/>
      <c r="F1176" s="385"/>
      <c r="G1176" s="385"/>
      <c r="H1176" s="385">
        <v>2025</v>
      </c>
      <c r="I1176" s="386">
        <v>45882</v>
      </c>
      <c r="J1176" s="30" t="s">
        <v>5201</v>
      </c>
      <c r="K1176" s="385"/>
      <c r="L1176" s="385"/>
      <c r="M1176" s="385"/>
      <c r="N1176" s="385"/>
      <c r="O1176" s="385"/>
      <c r="P1176" s="385" t="str">
        <f>IFERROR(
    IF(
        OR(ISBLANK(I1176), ISBLANK(L1176)),
        "",
        MAX(
            1,
            IF(
                NETWORKDAYS(I1176, L1176, Holiday_Dates) &lt;= 0,
                1,
                NETWORKDAYS(I1176, L1176, Holiday_Dates) - IF(I1176 = L1176, 0, 1)
            )
        )
    ),
    ""
)</f>
        <v/>
      </c>
      <c r="Q1176" s="385" t="str">
        <f>IF(
    OR(ISBLANK(L1176), ISBLANK(M1176)),
    "",
    MAX(
        1,
        IF(
            NETWORKDAYS(L1176, M1176, Holiday_Dates) &lt;= 0,
            1,
            NETWORKDAYS(L1176, M1176, Holiday_Dates) - IF(L1176 = M1176, 0, 1)
        )
    )
)</f>
        <v/>
      </c>
      <c r="R1176" s="385" t="str">
        <f>IFERROR(
    IF(
        OR(ISBLANK(N1176), AND(ISBLANK(L1176), ISBLANK(M1176))),
        "",
        MAX(
            1,
            IF(
                NETWORKDAYS(IF(NOT(ISBLANK(M1176)), M1176, L1176), N1176, Holiday_Dates) &lt;= 0,
                1,
                NETWORKDAYS(IF(NOT(ISBLANK(M1176)), M1176, L1176), N1176, Holiday_Dates)
                - IF(IF(NOT(ISBLANK(M1176)), M1176, L1176) = N1176, 0, 1)
            )
        )
    ),
    ""
)</f>
        <v/>
      </c>
      <c r="S1176" s="385" t="str">
        <f>IFERROR(
    IF(
        OR(ISBLANK(N1176), ISBLANK(O1176)),
        "",
        MAX(
            1,
            IF(
                NETWORKDAYS(N1176, O1176, Holiday_Dates) &lt;= 0,
                1,
                NETWORKDAYS(N1176, O1176, Holiday_Dates) - IF(N1176 = O1176, 0, 1)
            )
        )
    ),
    ""
)</f>
        <v/>
      </c>
      <c r="T1176" s="385"/>
      <c r="U1176" s="385" t="s">
        <v>4</v>
      </c>
      <c r="V1176" s="385" t="s">
        <v>113</v>
      </c>
      <c r="W1176" s="385" t="s">
        <v>1436</v>
      </c>
      <c r="X1176" s="1"/>
    </row>
    <row r="1177" spans="1:24">
      <c r="A1177" s="385" t="s">
        <v>65</v>
      </c>
      <c r="B1177" s="385" t="s">
        <v>2984</v>
      </c>
      <c r="C1177" s="385" t="s">
        <v>2993</v>
      </c>
      <c r="D1177" s="385" t="s">
        <v>88</v>
      </c>
      <c r="E1177" s="385" t="s">
        <v>26</v>
      </c>
      <c r="F1177" s="385"/>
      <c r="G1177" s="385" t="s">
        <v>130</v>
      </c>
      <c r="H1177" s="385"/>
      <c r="I1177" s="385"/>
      <c r="J1177" s="30"/>
      <c r="K1177" s="385" t="s">
        <v>57</v>
      </c>
      <c r="L1177" s="385"/>
      <c r="M1177" s="385"/>
      <c r="N1177" s="385"/>
      <c r="O1177" s="385"/>
      <c r="P1177" s="385" t="str">
        <f>IFERROR(
    IF(
        OR(ISBLANK(I1177), ISBLANK(L1177)),
        "",
        MAX(
            1,
            IF(
                NETWORKDAYS(I1177, L1177, Holiday_Dates) &lt;= 0,
                1,
                NETWORKDAYS(I1177, L1177, Holiday_Dates) - IF(I1177 = L1177, 0, 1)
            )
        )
    ),
    ""
)</f>
        <v/>
      </c>
      <c r="Q1177" s="385" t="str">
        <f>IF(
    OR(ISBLANK(L1177), ISBLANK(M1177)),
    "",
    MAX(
        1,
        IF(
            NETWORKDAYS(L1177, M1177, Holiday_Dates) &lt;= 0,
            1,
            NETWORKDAYS(L1177, M1177, Holiday_Dates) - IF(L1177 = M1177, 0, 1)
        )
    )
)</f>
        <v/>
      </c>
      <c r="R1177" s="385" t="str">
        <f>IFERROR(
    IF(
        OR(ISBLANK(N1177), AND(ISBLANK(L1177), ISBLANK(M1177))),
        "",
        MAX(
            1,
            IF(
                NETWORKDAYS(IF(NOT(ISBLANK(M1177)), M1177, L1177), N1177, Holiday_Dates) &lt;= 0,
                1,
                NETWORKDAYS(IF(NOT(ISBLANK(M1177)), M1177, L1177), N1177, Holiday_Dates)
                - IF(IF(NOT(ISBLANK(M1177)), M1177, L1177) = N1177, 0, 1)
            )
        )
    ),
    ""
)</f>
        <v/>
      </c>
      <c r="S1177" s="385" t="str">
        <f>IFERROR(
    IF(
        OR(ISBLANK(N1177), ISBLANK(O1177)),
        "",
        MAX(
            1,
            IF(
                NETWORKDAYS(N1177, O1177, Holiday_Dates) &lt;= 0,
                1,
                NETWORKDAYS(N1177, O1177, Holiday_Dates) - IF(N1177 = O1177, 0, 1)
            )
        )
    ),
    ""
)</f>
        <v/>
      </c>
      <c r="T1177" s="385"/>
      <c r="U1177" s="385"/>
      <c r="V1177" s="385"/>
      <c r="W1177" s="385" t="s">
        <v>4710</v>
      </c>
      <c r="X1177" s="1"/>
    </row>
    <row r="1178" spans="1:24">
      <c r="A1178" s="385" t="s">
        <v>65</v>
      </c>
      <c r="B1178" s="385" t="s">
        <v>3210</v>
      </c>
      <c r="C1178" s="385" t="s">
        <v>3218</v>
      </c>
      <c r="D1178" s="385" t="s">
        <v>88</v>
      </c>
      <c r="E1178" s="385"/>
      <c r="F1178" s="385"/>
      <c r="G1178" s="385"/>
      <c r="H1178" s="385">
        <v>2024</v>
      </c>
      <c r="I1178" s="386">
        <v>45608</v>
      </c>
      <c r="J1178" s="531"/>
      <c r="K1178" s="391"/>
      <c r="L1178" s="391"/>
      <c r="M1178" s="391"/>
      <c r="N1178" s="391"/>
      <c r="O1178" s="391"/>
      <c r="P1178" s="385" t="str">
        <f>IFERROR(
    IF(
        OR(ISBLANK(I1178), ISBLANK(L1178)),
        "",
        MAX(
            1,
            IF(
                NETWORKDAYS(I1178, L1178, Holiday_Dates) &lt;= 0,
                1,
                NETWORKDAYS(I1178, L1178, Holiday_Dates) - IF(I1178 = L1178, 0, 1)
            )
        )
    ),
    ""
)</f>
        <v/>
      </c>
      <c r="Q1178" s="385" t="str">
        <f>IF(
    OR(ISBLANK(L1178), ISBLANK(M1178)),
    "",
    MAX(
        1,
        IF(
            NETWORKDAYS(L1178, M1178, Holiday_Dates) &lt;= 0,
            1,
            NETWORKDAYS(L1178, M1178, Holiday_Dates) - IF(L1178 = M1178, 0, 1)
        )
    )
)</f>
        <v/>
      </c>
      <c r="R1178" s="385" t="str">
        <f>IFERROR(
    IF(
        OR(ISBLANK(N1178), AND(ISBLANK(L1178), ISBLANK(M1178))),
        "",
        MAX(
            1,
            IF(
                NETWORKDAYS(IF(NOT(ISBLANK(M1178)), M1178, L1178), N1178, Holiday_Dates) &lt;= 0,
                1,
                NETWORKDAYS(IF(NOT(ISBLANK(M1178)), M1178, L1178), N1178, Holiday_Dates)
                - IF(IF(NOT(ISBLANK(M1178)), M1178, L1178) = N1178, 0, 1)
            )
        )
    ),
    ""
)</f>
        <v/>
      </c>
      <c r="S1178" s="385" t="str">
        <f>IFERROR(
    IF(
        OR(ISBLANK(N1178), ISBLANK(O1178)),
        "",
        MAX(
            1,
            IF(
                NETWORKDAYS(N1178, O1178, Holiday_Dates) &lt;= 0,
                1,
                NETWORKDAYS(N1178, O1178, Holiday_Dates) - IF(N1178 = O1178, 0, 1)
            )
        )
    ),
    ""
)</f>
        <v/>
      </c>
      <c r="T1178" s="385"/>
      <c r="U1178" s="385" t="s">
        <v>4</v>
      </c>
      <c r="V1178" s="385" t="s">
        <v>101</v>
      </c>
      <c r="W1178" s="385" t="s">
        <v>1436</v>
      </c>
      <c r="X1178" s="1"/>
    </row>
    <row r="1179" spans="1:24">
      <c r="A1179" s="385" t="s">
        <v>65</v>
      </c>
      <c r="B1179" s="385" t="s">
        <v>2984</v>
      </c>
      <c r="C1179" s="385" t="s">
        <v>3001</v>
      </c>
      <c r="D1179" s="385" t="s">
        <v>88</v>
      </c>
      <c r="E1179" s="385" t="s">
        <v>26</v>
      </c>
      <c r="F1179" s="385"/>
      <c r="G1179" s="385" t="s">
        <v>130</v>
      </c>
      <c r="H1179" s="385"/>
      <c r="I1179" s="385"/>
      <c r="J1179" s="30"/>
      <c r="K1179" s="385" t="s">
        <v>57</v>
      </c>
      <c r="L1179" s="385"/>
      <c r="M1179" s="385"/>
      <c r="N1179" s="385"/>
      <c r="O1179" s="385"/>
      <c r="P1179" s="385" t="str">
        <f>IFERROR(
    IF(
        OR(ISBLANK(I1179), ISBLANK(L1179)),
        "",
        MAX(
            1,
            IF(
                NETWORKDAYS(I1179, L1179, Holiday_Dates) &lt;= 0,
                1,
                NETWORKDAYS(I1179, L1179, Holiday_Dates) - IF(I1179 = L1179, 0, 1)
            )
        )
    ),
    ""
)</f>
        <v/>
      </c>
      <c r="Q1179" s="385" t="str">
        <f>IF(
    OR(ISBLANK(L1179), ISBLANK(M1179)),
    "",
    MAX(
        1,
        IF(
            NETWORKDAYS(L1179, M1179, Holiday_Dates) &lt;= 0,
            1,
            NETWORKDAYS(L1179, M1179, Holiday_Dates) - IF(L1179 = M1179, 0, 1)
        )
    )
)</f>
        <v/>
      </c>
      <c r="R1179" s="385" t="str">
        <f>IFERROR(
    IF(
        OR(ISBLANK(N1179), AND(ISBLANK(L1179), ISBLANK(M1179))),
        "",
        MAX(
            1,
            IF(
                NETWORKDAYS(IF(NOT(ISBLANK(M1179)), M1179, L1179), N1179, Holiday_Dates) &lt;= 0,
                1,
                NETWORKDAYS(IF(NOT(ISBLANK(M1179)), M1179, L1179), N1179, Holiday_Dates)
                - IF(IF(NOT(ISBLANK(M1179)), M1179, L1179) = N1179, 0, 1)
            )
        )
    ),
    ""
)</f>
        <v/>
      </c>
      <c r="S1179" s="385" t="str">
        <f>IFERROR(
    IF(
        OR(ISBLANK(N1179), ISBLANK(O1179)),
        "",
        MAX(
            1,
            IF(
                NETWORKDAYS(N1179, O1179, Holiday_Dates) &lt;= 0,
                1,
                NETWORKDAYS(N1179, O1179, Holiday_Dates) - IF(N1179 = O1179, 0, 1)
            )
        )
    ),
    ""
)</f>
        <v/>
      </c>
      <c r="T1179" s="385"/>
      <c r="U1179" s="385"/>
      <c r="V1179" s="385"/>
      <c r="W1179" s="385" t="s">
        <v>4710</v>
      </c>
      <c r="X1179" s="1"/>
    </row>
    <row r="1180" spans="1:24">
      <c r="A1180" s="385" t="s">
        <v>65</v>
      </c>
      <c r="B1180" s="385" t="s">
        <v>3210</v>
      </c>
      <c r="C1180" s="385" t="s">
        <v>3215</v>
      </c>
      <c r="D1180" s="385" t="s">
        <v>88</v>
      </c>
      <c r="E1180" s="385"/>
      <c r="F1180" s="385"/>
      <c r="G1180" s="385"/>
      <c r="H1180" s="385">
        <v>2025</v>
      </c>
      <c r="I1180" s="386">
        <v>45933</v>
      </c>
      <c r="J1180" s="30" t="s">
        <v>5202</v>
      </c>
      <c r="K1180" s="385"/>
      <c r="L1180" s="385"/>
      <c r="M1180" s="385"/>
      <c r="N1180" s="385"/>
      <c r="O1180" s="385"/>
      <c r="P1180" s="385" t="str">
        <f>IFERROR(
    IF(
        OR(ISBLANK(I1180), ISBLANK(L1180)),
        "",
        MAX(
            1,
            IF(
                NETWORKDAYS(I1180, L1180, Holiday_Dates) &lt;= 0,
                1,
                NETWORKDAYS(I1180, L1180, Holiday_Dates) - IF(I1180 = L1180, 0, 1)
            )
        )
    ),
    ""
)</f>
        <v/>
      </c>
      <c r="Q1180" s="385" t="str">
        <f>IF(
    OR(ISBLANK(L1180), ISBLANK(M1180)),
    "",
    MAX(
        1,
        IF(
            NETWORKDAYS(L1180, M1180, Holiday_Dates) &lt;= 0,
            1,
            NETWORKDAYS(L1180, M1180, Holiday_Dates) - IF(L1180 = M1180, 0, 1)
        )
    )
)</f>
        <v/>
      </c>
      <c r="R1180" s="385" t="str">
        <f>IFERROR(
    IF(
        OR(ISBLANK(N1180), AND(ISBLANK(L1180), ISBLANK(M1180))),
        "",
        MAX(
            1,
            IF(
                NETWORKDAYS(IF(NOT(ISBLANK(M1180)), M1180, L1180), N1180, Holiday_Dates) &lt;= 0,
                1,
                NETWORKDAYS(IF(NOT(ISBLANK(M1180)), M1180, L1180), N1180, Holiday_Dates)
                - IF(IF(NOT(ISBLANK(M1180)), M1180, L1180) = N1180, 0, 1)
            )
        )
    ),
    ""
)</f>
        <v/>
      </c>
      <c r="S1180" s="385" t="str">
        <f>IFERROR(
    IF(
        OR(ISBLANK(N1180), ISBLANK(O1180)),
        "",
        MAX(
            1,
            IF(
                NETWORKDAYS(N1180, O1180, Holiday_Dates) &lt;= 0,
                1,
                NETWORKDAYS(N1180, O1180, Holiday_Dates) - IF(N1180 = O1180, 0, 1)
            )
        )
    ),
    ""
)</f>
        <v/>
      </c>
      <c r="T1180" s="385"/>
      <c r="U1180" s="385" t="s">
        <v>4</v>
      </c>
      <c r="V1180" s="385" t="s">
        <v>101</v>
      </c>
      <c r="W1180" s="385" t="s">
        <v>1436</v>
      </c>
      <c r="X1180" s="1"/>
    </row>
    <row r="1181" spans="1:24">
      <c r="A1181" s="385" t="s">
        <v>65</v>
      </c>
      <c r="B1181" s="385" t="s">
        <v>2984</v>
      </c>
      <c r="C1181" s="385" t="s">
        <v>2835</v>
      </c>
      <c r="D1181" s="385" t="s">
        <v>88</v>
      </c>
      <c r="E1181" s="385" t="s">
        <v>26</v>
      </c>
      <c r="F1181" s="385"/>
      <c r="G1181" s="385" t="s">
        <v>130</v>
      </c>
      <c r="H1181" s="385"/>
      <c r="I1181" s="385"/>
      <c r="J1181" s="30"/>
      <c r="K1181" s="385" t="s">
        <v>57</v>
      </c>
      <c r="L1181" s="385"/>
      <c r="M1181" s="385"/>
      <c r="N1181" s="385"/>
      <c r="O1181" s="385"/>
      <c r="P1181" s="385" t="str">
        <f>IFERROR(
    IF(
        OR(ISBLANK(I1181), ISBLANK(L1181)),
        "",
        MAX(
            1,
            IF(
                NETWORKDAYS(I1181, L1181, Holiday_Dates) &lt;= 0,
                1,
                NETWORKDAYS(I1181, L1181, Holiday_Dates) - IF(I1181 = L1181, 0, 1)
            )
        )
    ),
    ""
)</f>
        <v/>
      </c>
      <c r="Q1181" s="385" t="str">
        <f>IF(
    OR(ISBLANK(L1181), ISBLANK(M1181)),
    "",
    MAX(
        1,
        IF(
            NETWORKDAYS(L1181, M1181, Holiday_Dates) &lt;= 0,
            1,
            NETWORKDAYS(L1181, M1181, Holiday_Dates) - IF(L1181 = M1181, 0, 1)
        )
    )
)</f>
        <v/>
      </c>
      <c r="R1181" s="385" t="str">
        <f>IFERROR(
    IF(
        OR(ISBLANK(N1181), AND(ISBLANK(L1181), ISBLANK(M1181))),
        "",
        MAX(
            1,
            IF(
                NETWORKDAYS(IF(NOT(ISBLANK(M1181)), M1181, L1181), N1181, Holiday_Dates) &lt;= 0,
                1,
                NETWORKDAYS(IF(NOT(ISBLANK(M1181)), M1181, L1181), N1181, Holiday_Dates)
                - IF(IF(NOT(ISBLANK(M1181)), M1181, L1181) = N1181, 0, 1)
            )
        )
    ),
    ""
)</f>
        <v/>
      </c>
      <c r="S1181" s="385" t="str">
        <f>IFERROR(
    IF(
        OR(ISBLANK(N1181), ISBLANK(O1181)),
        "",
        MAX(
            1,
            IF(
                NETWORKDAYS(N1181, O1181, Holiday_Dates) &lt;= 0,
                1,
                NETWORKDAYS(N1181, O1181, Holiday_Dates) - IF(N1181 = O1181, 0, 1)
            )
        )
    ),
    ""
)</f>
        <v/>
      </c>
      <c r="T1181" s="385"/>
      <c r="U1181" s="385"/>
      <c r="V1181" s="385"/>
      <c r="W1181" s="385" t="s">
        <v>4710</v>
      </c>
      <c r="X1181" s="1"/>
    </row>
    <row r="1182" spans="1:24">
      <c r="A1182" s="385" t="s">
        <v>65</v>
      </c>
      <c r="B1182" s="385" t="s">
        <v>3210</v>
      </c>
      <c r="C1182" s="385" t="s">
        <v>3217</v>
      </c>
      <c r="D1182" s="385" t="s">
        <v>88</v>
      </c>
      <c r="E1182" s="385"/>
      <c r="F1182" s="385"/>
      <c r="G1182" s="385"/>
      <c r="H1182" s="385">
        <v>2025</v>
      </c>
      <c r="I1182" s="386">
        <v>45882</v>
      </c>
      <c r="J1182" s="30" t="s">
        <v>5203</v>
      </c>
      <c r="K1182" s="385"/>
      <c r="L1182" s="385"/>
      <c r="M1182" s="385"/>
      <c r="N1182" s="385"/>
      <c r="O1182" s="385"/>
      <c r="P1182" s="385" t="str">
        <f>IFERROR(
    IF(
        OR(ISBLANK(I1182), ISBLANK(L1182)),
        "",
        MAX(
            1,
            IF(
                NETWORKDAYS(I1182, L1182, Holiday_Dates) &lt;= 0,
                1,
                NETWORKDAYS(I1182, L1182, Holiday_Dates) - IF(I1182 = L1182, 0, 1)
            )
        )
    ),
    ""
)</f>
        <v/>
      </c>
      <c r="Q1182" s="385" t="str">
        <f>IF(
    OR(ISBLANK(L1182), ISBLANK(M1182)),
    "",
    MAX(
        1,
        IF(
            NETWORKDAYS(L1182, M1182, Holiday_Dates) &lt;= 0,
            1,
            NETWORKDAYS(L1182, M1182, Holiday_Dates) - IF(L1182 = M1182, 0, 1)
        )
    )
)</f>
        <v/>
      </c>
      <c r="R1182" s="385" t="str">
        <f>IFERROR(
    IF(
        OR(ISBLANK(N1182), AND(ISBLANK(L1182), ISBLANK(M1182))),
        "",
        MAX(
            1,
            IF(
                NETWORKDAYS(IF(NOT(ISBLANK(M1182)), M1182, L1182), N1182, Holiday_Dates) &lt;= 0,
                1,
                NETWORKDAYS(IF(NOT(ISBLANK(M1182)), M1182, L1182), N1182, Holiday_Dates)
                - IF(IF(NOT(ISBLANK(M1182)), M1182, L1182) = N1182, 0, 1)
            )
        )
    ),
    ""
)</f>
        <v/>
      </c>
      <c r="S1182" s="385" t="str">
        <f>IFERROR(
    IF(
        OR(ISBLANK(N1182), ISBLANK(O1182)),
        "",
        MAX(
            1,
            IF(
                NETWORKDAYS(N1182, O1182, Holiday_Dates) &lt;= 0,
                1,
                NETWORKDAYS(N1182, O1182, Holiday_Dates) - IF(N1182 = O1182, 0, 1)
            )
        )
    ),
    ""
)</f>
        <v/>
      </c>
      <c r="T1182" s="385"/>
      <c r="U1182" s="385" t="s">
        <v>4</v>
      </c>
      <c r="V1182" s="385" t="s">
        <v>101</v>
      </c>
      <c r="W1182" s="385" t="s">
        <v>1436</v>
      </c>
      <c r="X1182" s="1"/>
    </row>
    <row r="1183" spans="1:24">
      <c r="A1183" s="385" t="s">
        <v>65</v>
      </c>
      <c r="B1183" s="385" t="s">
        <v>3210</v>
      </c>
      <c r="C1183" s="385" t="s">
        <v>3228</v>
      </c>
      <c r="D1183" s="385" t="s">
        <v>88</v>
      </c>
      <c r="E1183" s="385"/>
      <c r="F1183" s="385"/>
      <c r="G1183" s="385"/>
      <c r="H1183" s="385">
        <v>2025</v>
      </c>
      <c r="I1183" s="386">
        <v>45933</v>
      </c>
      <c r="J1183" s="30" t="s">
        <v>5204</v>
      </c>
      <c r="K1183" s="385"/>
      <c r="L1183" s="385"/>
      <c r="M1183" s="385"/>
      <c r="N1183" s="385"/>
      <c r="O1183" s="385"/>
      <c r="P1183" s="385" t="str">
        <f>IFERROR(
    IF(
        OR(ISBLANK(I1183), ISBLANK(L1183)),
        "",
        MAX(
            1,
            IF(
                NETWORKDAYS(I1183, L1183, Holiday_Dates) &lt;= 0,
                1,
                NETWORKDAYS(I1183, L1183, Holiday_Dates) - IF(I1183 = L1183, 0, 1)
            )
        )
    ),
    ""
)</f>
        <v/>
      </c>
      <c r="Q1183" s="385" t="str">
        <f>IF(
    OR(ISBLANK(L1183), ISBLANK(M1183)),
    "",
    MAX(
        1,
        IF(
            NETWORKDAYS(L1183, M1183, Holiday_Dates) &lt;= 0,
            1,
            NETWORKDAYS(L1183, M1183, Holiday_Dates) - IF(L1183 = M1183, 0, 1)
        )
    )
)</f>
        <v/>
      </c>
      <c r="R1183" s="385" t="str">
        <f>IFERROR(
    IF(
        OR(ISBLANK(N1183), AND(ISBLANK(L1183), ISBLANK(M1183))),
        "",
        MAX(
            1,
            IF(
                NETWORKDAYS(IF(NOT(ISBLANK(M1183)), M1183, L1183), N1183, Holiday_Dates) &lt;= 0,
                1,
                NETWORKDAYS(IF(NOT(ISBLANK(M1183)), M1183, L1183), N1183, Holiday_Dates)
                - IF(IF(NOT(ISBLANK(M1183)), M1183, L1183) = N1183, 0, 1)
            )
        )
    ),
    ""
)</f>
        <v/>
      </c>
      <c r="S1183" s="385" t="str">
        <f>IFERROR(
    IF(
        OR(ISBLANK(N1183), ISBLANK(O1183)),
        "",
        MAX(
            1,
            IF(
                NETWORKDAYS(N1183, O1183, Holiday_Dates) &lt;= 0,
                1,
                NETWORKDAYS(N1183, O1183, Holiday_Dates) - IF(N1183 = O1183, 0, 1)
            )
        )
    ),
    ""
)</f>
        <v/>
      </c>
      <c r="T1183" s="385"/>
      <c r="U1183" s="385" t="s">
        <v>4</v>
      </c>
      <c r="V1183" s="385" t="s">
        <v>101</v>
      </c>
      <c r="W1183" s="385" t="s">
        <v>1436</v>
      </c>
      <c r="X1183" s="1"/>
    </row>
    <row r="1184" spans="1:24">
      <c r="A1184" s="385" t="s">
        <v>65</v>
      </c>
      <c r="B1184" s="385" t="s">
        <v>3210</v>
      </c>
      <c r="C1184" s="385" t="s">
        <v>3227</v>
      </c>
      <c r="D1184" s="385" t="s">
        <v>88</v>
      </c>
      <c r="E1184" s="385"/>
      <c r="F1184" s="385"/>
      <c r="G1184" s="385"/>
      <c r="H1184" s="385">
        <v>2025</v>
      </c>
      <c r="I1184" s="386">
        <v>45933</v>
      </c>
      <c r="J1184" s="30" t="s">
        <v>5205</v>
      </c>
      <c r="K1184" s="385"/>
      <c r="L1184" s="385"/>
      <c r="M1184" s="385"/>
      <c r="N1184" s="385"/>
      <c r="O1184" s="385"/>
      <c r="P1184" s="385" t="str">
        <f>IFERROR(
    IF(
        OR(ISBLANK(I1184), ISBLANK(L1184)),
        "",
        MAX(
            1,
            IF(
                NETWORKDAYS(I1184, L1184, Holiday_Dates) &lt;= 0,
                1,
                NETWORKDAYS(I1184, L1184, Holiday_Dates) - IF(I1184 = L1184, 0, 1)
            )
        )
    ),
    ""
)</f>
        <v/>
      </c>
      <c r="Q1184" s="385" t="str">
        <f>IF(
    OR(ISBLANK(L1184), ISBLANK(M1184)),
    "",
    MAX(
        1,
        IF(
            NETWORKDAYS(L1184, M1184, Holiday_Dates) &lt;= 0,
            1,
            NETWORKDAYS(L1184, M1184, Holiday_Dates) - IF(L1184 = M1184, 0, 1)
        )
    )
)</f>
        <v/>
      </c>
      <c r="R1184" s="385" t="str">
        <f>IFERROR(
    IF(
        OR(ISBLANK(N1184), AND(ISBLANK(L1184), ISBLANK(M1184))),
        "",
        MAX(
            1,
            IF(
                NETWORKDAYS(IF(NOT(ISBLANK(M1184)), M1184, L1184), N1184, Holiday_Dates) &lt;= 0,
                1,
                NETWORKDAYS(IF(NOT(ISBLANK(M1184)), M1184, L1184), N1184, Holiday_Dates)
                - IF(IF(NOT(ISBLANK(M1184)), M1184, L1184) = N1184, 0, 1)
            )
        )
    ),
    ""
)</f>
        <v/>
      </c>
      <c r="S1184" s="385" t="str">
        <f>IFERROR(
    IF(
        OR(ISBLANK(N1184), ISBLANK(O1184)),
        "",
        MAX(
            1,
            IF(
                NETWORKDAYS(N1184, O1184, Holiday_Dates) &lt;= 0,
                1,
                NETWORKDAYS(N1184, O1184, Holiday_Dates) - IF(N1184 = O1184, 0, 1)
            )
        )
    ),
    ""
)</f>
        <v/>
      </c>
      <c r="T1184" s="385"/>
      <c r="U1184" s="385" t="s">
        <v>4</v>
      </c>
      <c r="V1184" s="385" t="s">
        <v>101</v>
      </c>
      <c r="W1184" s="385" t="s">
        <v>1436</v>
      </c>
      <c r="X1184" s="1"/>
    </row>
    <row r="1185" spans="1:24">
      <c r="A1185" s="385" t="s">
        <v>65</v>
      </c>
      <c r="B1185" s="385" t="s">
        <v>3210</v>
      </c>
      <c r="C1185" s="385" t="s">
        <v>3220</v>
      </c>
      <c r="D1185" s="385" t="s">
        <v>88</v>
      </c>
      <c r="E1185" s="385"/>
      <c r="F1185" s="385"/>
      <c r="G1185" s="385"/>
      <c r="H1185" s="385">
        <v>2025</v>
      </c>
      <c r="I1185" s="386">
        <v>45882</v>
      </c>
      <c r="J1185" s="30" t="s">
        <v>5206</v>
      </c>
      <c r="K1185" s="385"/>
      <c r="L1185" s="385"/>
      <c r="M1185" s="385"/>
      <c r="N1185" s="385"/>
      <c r="O1185" s="385"/>
      <c r="P1185" s="385" t="str">
        <f>IFERROR(
    IF(
        OR(ISBLANK(I1185), ISBLANK(L1185)),
        "",
        MAX(
            1,
            IF(
                NETWORKDAYS(I1185, L1185, Holiday_Dates) &lt;= 0,
                1,
                NETWORKDAYS(I1185, L1185, Holiday_Dates) - IF(I1185 = L1185, 0, 1)
            )
        )
    ),
    ""
)</f>
        <v/>
      </c>
      <c r="Q1185" s="385" t="str">
        <f>IF(
    OR(ISBLANK(L1185), ISBLANK(M1185)),
    "",
    MAX(
        1,
        IF(
            NETWORKDAYS(L1185, M1185, Holiday_Dates) &lt;= 0,
            1,
            NETWORKDAYS(L1185, M1185, Holiday_Dates) - IF(L1185 = M1185, 0, 1)
        )
    )
)</f>
        <v/>
      </c>
      <c r="R1185" s="385" t="str">
        <f>IFERROR(
    IF(
        OR(ISBLANK(N1185), AND(ISBLANK(L1185), ISBLANK(M1185))),
        "",
        MAX(
            1,
            IF(
                NETWORKDAYS(IF(NOT(ISBLANK(M1185)), M1185, L1185), N1185, Holiday_Dates) &lt;= 0,
                1,
                NETWORKDAYS(IF(NOT(ISBLANK(M1185)), M1185, L1185), N1185, Holiday_Dates)
                - IF(IF(NOT(ISBLANK(M1185)), M1185, L1185) = N1185, 0, 1)
            )
        )
    ),
    ""
)</f>
        <v/>
      </c>
      <c r="S1185" s="385" t="str">
        <f>IFERROR(
    IF(
        OR(ISBLANK(N1185), ISBLANK(O1185)),
        "",
        MAX(
            1,
            IF(
                NETWORKDAYS(N1185, O1185, Holiday_Dates) &lt;= 0,
                1,
                NETWORKDAYS(N1185, O1185, Holiday_Dates) - IF(N1185 = O1185, 0, 1)
            )
        )
    ),
    ""
)</f>
        <v/>
      </c>
      <c r="T1185" s="385"/>
      <c r="U1185" s="385" t="s">
        <v>4</v>
      </c>
      <c r="V1185" s="385" t="s">
        <v>113</v>
      </c>
      <c r="W1185" s="385" t="s">
        <v>1436</v>
      </c>
      <c r="X1185" s="1"/>
    </row>
    <row r="1186" spans="1:24">
      <c r="A1186" s="385" t="s">
        <v>65</v>
      </c>
      <c r="B1186" s="385" t="s">
        <v>3210</v>
      </c>
      <c r="C1186" s="385" t="s">
        <v>1052</v>
      </c>
      <c r="D1186" s="385" t="s">
        <v>88</v>
      </c>
      <c r="E1186" s="385"/>
      <c r="F1186" s="385"/>
      <c r="G1186" s="385"/>
      <c r="H1186" s="385">
        <v>2025</v>
      </c>
      <c r="I1186" s="386">
        <v>45882</v>
      </c>
      <c r="J1186" s="30" t="s">
        <v>5207</v>
      </c>
      <c r="K1186" s="385"/>
      <c r="L1186" s="385"/>
      <c r="M1186" s="385"/>
      <c r="N1186" s="385"/>
      <c r="O1186" s="385"/>
      <c r="P1186" s="385" t="str">
        <f>IFERROR(
    IF(
        OR(ISBLANK(I1186), ISBLANK(L1186)),
        "",
        MAX(
            1,
            IF(
                NETWORKDAYS(I1186, L1186, Holiday_Dates) &lt;= 0,
                1,
                NETWORKDAYS(I1186, L1186, Holiday_Dates) - IF(I1186 = L1186, 0, 1)
            )
        )
    ),
    ""
)</f>
        <v/>
      </c>
      <c r="Q1186" s="385" t="str">
        <f>IF(
    OR(ISBLANK(L1186), ISBLANK(M1186)),
    "",
    MAX(
        1,
        IF(
            NETWORKDAYS(L1186, M1186, Holiday_Dates) &lt;= 0,
            1,
            NETWORKDAYS(L1186, M1186, Holiday_Dates) - IF(L1186 = M1186, 0, 1)
        )
    )
)</f>
        <v/>
      </c>
      <c r="R1186" s="385" t="str">
        <f>IFERROR(
    IF(
        OR(ISBLANK(N1186), AND(ISBLANK(L1186), ISBLANK(M1186))),
        "",
        MAX(
            1,
            IF(
                NETWORKDAYS(IF(NOT(ISBLANK(M1186)), M1186, L1186), N1186, Holiday_Dates) &lt;= 0,
                1,
                NETWORKDAYS(IF(NOT(ISBLANK(M1186)), M1186, L1186), N1186, Holiday_Dates)
                - IF(IF(NOT(ISBLANK(M1186)), M1186, L1186) = N1186, 0, 1)
            )
        )
    ),
    ""
)</f>
        <v/>
      </c>
      <c r="S1186" s="385" t="str">
        <f>IFERROR(
    IF(
        OR(ISBLANK(N1186), ISBLANK(O1186)),
        "",
        MAX(
            1,
            IF(
                NETWORKDAYS(N1186, O1186, Holiday_Dates) &lt;= 0,
                1,
                NETWORKDAYS(N1186, O1186, Holiday_Dates) - IF(N1186 = O1186, 0, 1)
            )
        )
    ),
    ""
)</f>
        <v/>
      </c>
      <c r="T1186" s="385"/>
      <c r="U1186" s="385" t="s">
        <v>4</v>
      </c>
      <c r="V1186" s="385" t="s">
        <v>101</v>
      </c>
      <c r="W1186" s="385" t="s">
        <v>1436</v>
      </c>
      <c r="X1186" s="1"/>
    </row>
    <row r="1187" spans="1:24">
      <c r="A1187" s="385" t="s">
        <v>65</v>
      </c>
      <c r="B1187" s="385" t="s">
        <v>2984</v>
      </c>
      <c r="C1187" s="385" t="s">
        <v>3005</v>
      </c>
      <c r="D1187" s="385" t="s">
        <v>88</v>
      </c>
      <c r="E1187" s="385" t="s">
        <v>26</v>
      </c>
      <c r="F1187" s="385"/>
      <c r="G1187" s="385" t="s">
        <v>130</v>
      </c>
      <c r="H1187" s="385"/>
      <c r="I1187" s="385"/>
      <c r="J1187" s="30"/>
      <c r="K1187" s="385" t="s">
        <v>57</v>
      </c>
      <c r="L1187" s="385"/>
      <c r="M1187" s="385"/>
      <c r="N1187" s="385"/>
      <c r="O1187" s="385"/>
      <c r="P1187" s="385" t="str">
        <f>IFERROR(
    IF(
        OR(ISBLANK(I1187), ISBLANK(L1187)),
        "",
        MAX(
            1,
            IF(
                NETWORKDAYS(I1187, L1187, Holiday_Dates) &lt;= 0,
                1,
                NETWORKDAYS(I1187, L1187, Holiday_Dates) - IF(I1187 = L1187, 0, 1)
            )
        )
    ),
    ""
)</f>
        <v/>
      </c>
      <c r="Q1187" s="385" t="str">
        <f>IF(
    OR(ISBLANK(L1187), ISBLANK(M1187)),
    "",
    MAX(
        1,
        IF(
            NETWORKDAYS(L1187, M1187, Holiday_Dates) &lt;= 0,
            1,
            NETWORKDAYS(L1187, M1187, Holiday_Dates) - IF(L1187 = M1187, 0, 1)
        )
    )
)</f>
        <v/>
      </c>
      <c r="R1187" s="385" t="str">
        <f>IFERROR(
    IF(
        OR(ISBLANK(N1187), AND(ISBLANK(L1187), ISBLANK(M1187))),
        "",
        MAX(
            1,
            IF(
                NETWORKDAYS(IF(NOT(ISBLANK(M1187)), M1187, L1187), N1187, Holiday_Dates) &lt;= 0,
                1,
                NETWORKDAYS(IF(NOT(ISBLANK(M1187)), M1187, L1187), N1187, Holiday_Dates)
                - IF(IF(NOT(ISBLANK(M1187)), M1187, L1187) = N1187, 0, 1)
            )
        )
    ),
    ""
)</f>
        <v/>
      </c>
      <c r="S1187" s="385" t="str">
        <f>IFERROR(
    IF(
        OR(ISBLANK(N1187), ISBLANK(O1187)),
        "",
        MAX(
            1,
            IF(
                NETWORKDAYS(N1187, O1187, Holiday_Dates) &lt;= 0,
                1,
                NETWORKDAYS(N1187, O1187, Holiday_Dates) - IF(N1187 = O1187, 0, 1)
            )
        )
    ),
    ""
)</f>
        <v/>
      </c>
      <c r="T1187" s="385"/>
      <c r="U1187" s="385"/>
      <c r="V1187" s="385"/>
      <c r="W1187" s="385" t="s">
        <v>4710</v>
      </c>
      <c r="X1187" s="1"/>
    </row>
    <row r="1188" spans="1:24">
      <c r="A1188" s="385" t="s">
        <v>65</v>
      </c>
      <c r="B1188" s="385" t="s">
        <v>509</v>
      </c>
      <c r="C1188" s="385" t="s">
        <v>3015</v>
      </c>
      <c r="D1188" s="385" t="s">
        <v>88</v>
      </c>
      <c r="E1188" s="385" t="s">
        <v>141</v>
      </c>
      <c r="F1188" s="385"/>
      <c r="G1188" s="385" t="s">
        <v>130</v>
      </c>
      <c r="H1188" s="385"/>
      <c r="I1188" s="385"/>
      <c r="J1188" s="30"/>
      <c r="K1188" s="385" t="s">
        <v>57</v>
      </c>
      <c r="L1188" s="385"/>
      <c r="M1188" s="385"/>
      <c r="N1188" s="385"/>
      <c r="O1188" s="385"/>
      <c r="P1188" s="385" t="str">
        <f>IFERROR(
    IF(
        OR(ISBLANK(I1188), ISBLANK(L1188)),
        "",
        MAX(
            1,
            IF(
                NETWORKDAYS(I1188, L1188, Holiday_Dates) &lt;= 0,
                1,
                NETWORKDAYS(I1188, L1188, Holiday_Dates) - IF(I1188 = L1188, 0, 1)
            )
        )
    ),
    ""
)</f>
        <v/>
      </c>
      <c r="Q1188" s="385" t="str">
        <f>IF(
    OR(ISBLANK(L1188), ISBLANK(M1188)),
    "",
    MAX(
        1,
        IF(
            NETWORKDAYS(L1188, M1188, Holiday_Dates) &lt;= 0,
            1,
            NETWORKDAYS(L1188, M1188, Holiday_Dates) - IF(L1188 = M1188, 0, 1)
        )
    )
)</f>
        <v/>
      </c>
      <c r="R1188" s="385" t="str">
        <f>IFERROR(
    IF(
        OR(ISBLANK(N1188), AND(ISBLANK(L1188), ISBLANK(M1188))),
        "",
        MAX(
            1,
            IF(
                NETWORKDAYS(IF(NOT(ISBLANK(M1188)), M1188, L1188), N1188, Holiday_Dates) &lt;= 0,
                1,
                NETWORKDAYS(IF(NOT(ISBLANK(M1188)), M1188, L1188), N1188, Holiday_Dates)
                - IF(IF(NOT(ISBLANK(M1188)), M1188, L1188) = N1188, 0, 1)
            )
        )
    ),
    ""
)</f>
        <v/>
      </c>
      <c r="S1188" s="385" t="str">
        <f>IFERROR(
    IF(
        OR(ISBLANK(N1188), ISBLANK(O1188)),
        "",
        MAX(
            1,
            IF(
                NETWORKDAYS(N1188, O1188, Holiday_Dates) &lt;= 0,
                1,
                NETWORKDAYS(N1188, O1188, Holiday_Dates) - IF(N1188 = O1188, 0, 1)
            )
        )
    ),
    ""
)</f>
        <v/>
      </c>
      <c r="T1188" s="385"/>
      <c r="U1188" s="385"/>
      <c r="V1188" s="385"/>
      <c r="W1188" s="385" t="s">
        <v>4710</v>
      </c>
      <c r="X1188" s="1"/>
    </row>
    <row r="1189" spans="1:24">
      <c r="A1189" s="385" t="s">
        <v>65</v>
      </c>
      <c r="B1189" s="385" t="s">
        <v>509</v>
      </c>
      <c r="C1189" s="385" t="s">
        <v>728</v>
      </c>
      <c r="D1189" s="385" t="s">
        <v>88</v>
      </c>
      <c r="E1189" s="385" t="s">
        <v>141</v>
      </c>
      <c r="F1189" s="385"/>
      <c r="G1189" s="385" t="s">
        <v>130</v>
      </c>
      <c r="H1189" s="385"/>
      <c r="I1189" s="385"/>
      <c r="J1189" s="30"/>
      <c r="K1189" s="385" t="s">
        <v>57</v>
      </c>
      <c r="L1189" s="385"/>
      <c r="M1189" s="385"/>
      <c r="N1189" s="385"/>
      <c r="O1189" s="385"/>
      <c r="P1189" s="385" t="str">
        <f>IFERROR(
    IF(
        OR(ISBLANK(I1189), ISBLANK(L1189)),
        "",
        MAX(
            1,
            IF(
                NETWORKDAYS(I1189, L1189, Holiday_Dates) &lt;= 0,
                1,
                NETWORKDAYS(I1189, L1189, Holiday_Dates) - IF(I1189 = L1189, 0, 1)
            )
        )
    ),
    ""
)</f>
        <v/>
      </c>
      <c r="Q1189" s="385" t="str">
        <f>IF(
    OR(ISBLANK(L1189), ISBLANK(M1189)),
    "",
    MAX(
        1,
        IF(
            NETWORKDAYS(L1189, M1189, Holiday_Dates) &lt;= 0,
            1,
            NETWORKDAYS(L1189, M1189, Holiday_Dates) - IF(L1189 = M1189, 0, 1)
        )
    )
)</f>
        <v/>
      </c>
      <c r="R1189" s="385" t="str">
        <f>IFERROR(
    IF(
        OR(ISBLANK(N1189), AND(ISBLANK(L1189), ISBLANK(M1189))),
        "",
        MAX(
            1,
            IF(
                NETWORKDAYS(IF(NOT(ISBLANK(M1189)), M1189, L1189), N1189, Holiday_Dates) &lt;= 0,
                1,
                NETWORKDAYS(IF(NOT(ISBLANK(M1189)), M1189, L1189), N1189, Holiday_Dates)
                - IF(IF(NOT(ISBLANK(M1189)), M1189, L1189) = N1189, 0, 1)
            )
        )
    ),
    ""
)</f>
        <v/>
      </c>
      <c r="S1189" s="385" t="str">
        <f>IFERROR(
    IF(
        OR(ISBLANK(N1189), ISBLANK(O1189)),
        "",
        MAX(
            1,
            IF(
                NETWORKDAYS(N1189, O1189, Holiday_Dates) &lt;= 0,
                1,
                NETWORKDAYS(N1189, O1189, Holiday_Dates) - IF(N1189 = O1189, 0, 1)
            )
        )
    ),
    ""
)</f>
        <v/>
      </c>
      <c r="T1189" s="385"/>
      <c r="U1189" s="385"/>
      <c r="V1189" s="385"/>
      <c r="W1189" s="385" t="s">
        <v>4710</v>
      </c>
      <c r="X1189" s="1"/>
    </row>
    <row r="1190" spans="1:24">
      <c r="A1190" s="385" t="s">
        <v>65</v>
      </c>
      <c r="B1190" s="385" t="s">
        <v>509</v>
      </c>
      <c r="C1190" s="385" t="s">
        <v>3013</v>
      </c>
      <c r="D1190" s="385" t="s">
        <v>88</v>
      </c>
      <c r="E1190" s="385" t="s">
        <v>141</v>
      </c>
      <c r="F1190" s="385"/>
      <c r="G1190" s="385" t="s">
        <v>130</v>
      </c>
      <c r="H1190" s="385"/>
      <c r="I1190" s="385"/>
      <c r="J1190" s="30"/>
      <c r="K1190" s="385" t="s">
        <v>57</v>
      </c>
      <c r="L1190" s="385"/>
      <c r="M1190" s="385"/>
      <c r="N1190" s="385"/>
      <c r="O1190" s="385"/>
      <c r="P1190" s="385" t="str">
        <f>IFERROR(
    IF(
        OR(ISBLANK(I1190), ISBLANK(L1190)),
        "",
        MAX(
            1,
            IF(
                NETWORKDAYS(I1190, L1190, Holiday_Dates) &lt;= 0,
                1,
                NETWORKDAYS(I1190, L1190, Holiday_Dates) - IF(I1190 = L1190, 0, 1)
            )
        )
    ),
    ""
)</f>
        <v/>
      </c>
      <c r="Q1190" s="385" t="str">
        <f>IF(
    OR(ISBLANK(L1190), ISBLANK(M1190)),
    "",
    MAX(
        1,
        IF(
            NETWORKDAYS(L1190, M1190, Holiday_Dates) &lt;= 0,
            1,
            NETWORKDAYS(L1190, M1190, Holiday_Dates) - IF(L1190 = M1190, 0, 1)
        )
    )
)</f>
        <v/>
      </c>
      <c r="R1190" s="385" t="str">
        <f>IFERROR(
    IF(
        OR(ISBLANK(N1190), AND(ISBLANK(L1190), ISBLANK(M1190))),
        "",
        MAX(
            1,
            IF(
                NETWORKDAYS(IF(NOT(ISBLANK(M1190)), M1190, L1190), N1190, Holiday_Dates) &lt;= 0,
                1,
                NETWORKDAYS(IF(NOT(ISBLANK(M1190)), M1190, L1190), N1190, Holiday_Dates)
                - IF(IF(NOT(ISBLANK(M1190)), M1190, L1190) = N1190, 0, 1)
            )
        )
    ),
    ""
)</f>
        <v/>
      </c>
      <c r="S1190" s="385" t="str">
        <f>IFERROR(
    IF(
        OR(ISBLANK(N1190), ISBLANK(O1190)),
        "",
        MAX(
            1,
            IF(
                NETWORKDAYS(N1190, O1190, Holiday_Dates) &lt;= 0,
                1,
                NETWORKDAYS(N1190, O1190, Holiday_Dates) - IF(N1190 = O1190, 0, 1)
            )
        )
    ),
    ""
)</f>
        <v/>
      </c>
      <c r="T1190" s="385"/>
      <c r="U1190" s="385"/>
      <c r="V1190" s="385"/>
      <c r="W1190" s="385" t="s">
        <v>4710</v>
      </c>
      <c r="X1190" s="1"/>
    </row>
    <row r="1191" spans="1:24">
      <c r="A1191" s="385" t="s">
        <v>65</v>
      </c>
      <c r="B1191" s="385" t="s">
        <v>509</v>
      </c>
      <c r="C1191" s="385" t="s">
        <v>3016</v>
      </c>
      <c r="D1191" s="385" t="s">
        <v>88</v>
      </c>
      <c r="E1191" s="385" t="s">
        <v>141</v>
      </c>
      <c r="F1191" s="385"/>
      <c r="G1191" s="385" t="s">
        <v>130</v>
      </c>
      <c r="H1191" s="385"/>
      <c r="I1191" s="385"/>
      <c r="J1191" s="30"/>
      <c r="K1191" s="385" t="s">
        <v>57</v>
      </c>
      <c r="L1191" s="385"/>
      <c r="M1191" s="385"/>
      <c r="N1191" s="385"/>
      <c r="O1191" s="385"/>
      <c r="P1191" s="385" t="str">
        <f>IFERROR(
    IF(
        OR(ISBLANK(I1191), ISBLANK(L1191)),
        "",
        MAX(
            1,
            IF(
                NETWORKDAYS(I1191, L1191, Holiday_Dates) &lt;= 0,
                1,
                NETWORKDAYS(I1191, L1191, Holiday_Dates) - IF(I1191 = L1191, 0, 1)
            )
        )
    ),
    ""
)</f>
        <v/>
      </c>
      <c r="Q1191" s="385" t="str">
        <f>IF(
    OR(ISBLANK(L1191), ISBLANK(M1191)),
    "",
    MAX(
        1,
        IF(
            NETWORKDAYS(L1191, M1191, Holiday_Dates) &lt;= 0,
            1,
            NETWORKDAYS(L1191, M1191, Holiday_Dates) - IF(L1191 = M1191, 0, 1)
        )
    )
)</f>
        <v/>
      </c>
      <c r="R1191" s="385" t="str">
        <f>IFERROR(
    IF(
        OR(ISBLANK(N1191), AND(ISBLANK(L1191), ISBLANK(M1191))),
        "",
        MAX(
            1,
            IF(
                NETWORKDAYS(IF(NOT(ISBLANK(M1191)), M1191, L1191), N1191, Holiday_Dates) &lt;= 0,
                1,
                NETWORKDAYS(IF(NOT(ISBLANK(M1191)), M1191, L1191), N1191, Holiday_Dates)
                - IF(IF(NOT(ISBLANK(M1191)), M1191, L1191) = N1191, 0, 1)
            )
        )
    ),
    ""
)</f>
        <v/>
      </c>
      <c r="S1191" s="385" t="str">
        <f>IFERROR(
    IF(
        OR(ISBLANK(N1191), ISBLANK(O1191)),
        "",
        MAX(
            1,
            IF(
                NETWORKDAYS(N1191, O1191, Holiday_Dates) &lt;= 0,
                1,
                NETWORKDAYS(N1191, O1191, Holiday_Dates) - IF(N1191 = O1191, 0, 1)
            )
        )
    ),
    ""
)</f>
        <v/>
      </c>
      <c r="T1191" s="385"/>
      <c r="U1191" s="385"/>
      <c r="V1191" s="385"/>
      <c r="W1191" s="385" t="s">
        <v>4710</v>
      </c>
      <c r="X1191" s="1"/>
    </row>
    <row r="1192" spans="1:24">
      <c r="A1192" s="385" t="s">
        <v>65</v>
      </c>
      <c r="B1192" s="385" t="s">
        <v>509</v>
      </c>
      <c r="C1192" s="385" t="s">
        <v>3014</v>
      </c>
      <c r="D1192" s="385" t="s">
        <v>88</v>
      </c>
      <c r="E1192" s="385" t="s">
        <v>141</v>
      </c>
      <c r="F1192" s="385"/>
      <c r="G1192" s="385" t="s">
        <v>130</v>
      </c>
      <c r="H1192" s="385"/>
      <c r="I1192" s="385"/>
      <c r="J1192" s="30"/>
      <c r="K1192" s="385" t="s">
        <v>57</v>
      </c>
      <c r="L1192" s="385"/>
      <c r="M1192" s="385"/>
      <c r="N1192" s="385"/>
      <c r="O1192" s="385"/>
      <c r="P1192" s="385" t="str">
        <f>IFERROR(
    IF(
        OR(ISBLANK(I1192), ISBLANK(L1192)),
        "",
        MAX(
            1,
            IF(
                NETWORKDAYS(I1192, L1192, Holiday_Dates) &lt;= 0,
                1,
                NETWORKDAYS(I1192, L1192, Holiday_Dates) - IF(I1192 = L1192, 0, 1)
            )
        )
    ),
    ""
)</f>
        <v/>
      </c>
      <c r="Q1192" s="385" t="str">
        <f>IF(
    OR(ISBLANK(L1192), ISBLANK(M1192)),
    "",
    MAX(
        1,
        IF(
            NETWORKDAYS(L1192, M1192, Holiday_Dates) &lt;= 0,
            1,
            NETWORKDAYS(L1192, M1192, Holiday_Dates) - IF(L1192 = M1192, 0, 1)
        )
    )
)</f>
        <v/>
      </c>
      <c r="R1192" s="385" t="str">
        <f>IFERROR(
    IF(
        OR(ISBLANK(N1192), AND(ISBLANK(L1192), ISBLANK(M1192))),
        "",
        MAX(
            1,
            IF(
                NETWORKDAYS(IF(NOT(ISBLANK(M1192)), M1192, L1192), N1192, Holiday_Dates) &lt;= 0,
                1,
                NETWORKDAYS(IF(NOT(ISBLANK(M1192)), M1192, L1192), N1192, Holiday_Dates)
                - IF(IF(NOT(ISBLANK(M1192)), M1192, L1192) = N1192, 0, 1)
            )
        )
    ),
    ""
)</f>
        <v/>
      </c>
      <c r="S1192" s="385" t="str">
        <f>IFERROR(
    IF(
        OR(ISBLANK(N1192), ISBLANK(O1192)),
        "",
        MAX(
            1,
            IF(
                NETWORKDAYS(N1192, O1192, Holiday_Dates) &lt;= 0,
                1,
                NETWORKDAYS(N1192, O1192, Holiday_Dates) - IF(N1192 = O1192, 0, 1)
            )
        )
    ),
    ""
)</f>
        <v/>
      </c>
      <c r="T1192" s="385"/>
      <c r="U1192" s="385"/>
      <c r="V1192" s="385"/>
      <c r="W1192" s="385" t="s">
        <v>4710</v>
      </c>
      <c r="X1192" s="1"/>
    </row>
    <row r="1193" spans="1:24">
      <c r="A1193" s="385" t="s">
        <v>65</v>
      </c>
      <c r="B1193" s="385" t="s">
        <v>509</v>
      </c>
      <c r="C1193" s="385" t="s">
        <v>3017</v>
      </c>
      <c r="D1193" s="385" t="s">
        <v>88</v>
      </c>
      <c r="E1193" s="385" t="s">
        <v>141</v>
      </c>
      <c r="F1193" s="385"/>
      <c r="G1193" s="385" t="s">
        <v>130</v>
      </c>
      <c r="H1193" s="385"/>
      <c r="I1193" s="385"/>
      <c r="J1193" s="30"/>
      <c r="K1193" s="385" t="s">
        <v>57</v>
      </c>
      <c r="L1193" s="385"/>
      <c r="M1193" s="385"/>
      <c r="N1193" s="385"/>
      <c r="O1193" s="385"/>
      <c r="P1193" s="385" t="str">
        <f>IFERROR(
    IF(
        OR(ISBLANK(I1193), ISBLANK(L1193)),
        "",
        MAX(
            1,
            IF(
                NETWORKDAYS(I1193, L1193, Holiday_Dates) &lt;= 0,
                1,
                NETWORKDAYS(I1193, L1193, Holiday_Dates) - IF(I1193 = L1193, 0, 1)
            )
        )
    ),
    ""
)</f>
        <v/>
      </c>
      <c r="Q1193" s="385" t="str">
        <f>IF(
    OR(ISBLANK(L1193), ISBLANK(M1193)),
    "",
    MAX(
        1,
        IF(
            NETWORKDAYS(L1193, M1193, Holiday_Dates) &lt;= 0,
            1,
            NETWORKDAYS(L1193, M1193, Holiday_Dates) - IF(L1193 = M1193, 0, 1)
        )
    )
)</f>
        <v/>
      </c>
      <c r="R1193" s="385" t="str">
        <f>IFERROR(
    IF(
        OR(ISBLANK(N1193), AND(ISBLANK(L1193), ISBLANK(M1193))),
        "",
        MAX(
            1,
            IF(
                NETWORKDAYS(IF(NOT(ISBLANK(M1193)), M1193, L1193), N1193, Holiday_Dates) &lt;= 0,
                1,
                NETWORKDAYS(IF(NOT(ISBLANK(M1193)), M1193, L1193), N1193, Holiday_Dates)
                - IF(IF(NOT(ISBLANK(M1193)), M1193, L1193) = N1193, 0, 1)
            )
        )
    ),
    ""
)</f>
        <v/>
      </c>
      <c r="S1193" s="385" t="str">
        <f>IFERROR(
    IF(
        OR(ISBLANK(N1193), ISBLANK(O1193)),
        "",
        MAX(
            1,
            IF(
                NETWORKDAYS(N1193, O1193, Holiday_Dates) &lt;= 0,
                1,
                NETWORKDAYS(N1193, O1193, Holiday_Dates) - IF(N1193 = O1193, 0, 1)
            )
        )
    ),
    ""
)</f>
        <v/>
      </c>
      <c r="T1193" s="385"/>
      <c r="U1193" s="385"/>
      <c r="V1193" s="385"/>
      <c r="W1193" s="385" t="s">
        <v>4710</v>
      </c>
      <c r="X1193" s="1"/>
    </row>
    <row r="1194" spans="1:24">
      <c r="A1194" s="385" t="s">
        <v>65</v>
      </c>
      <c r="B1194" s="385" t="s">
        <v>509</v>
      </c>
      <c r="C1194" s="385" t="s">
        <v>1948</v>
      </c>
      <c r="D1194" s="385" t="s">
        <v>88</v>
      </c>
      <c r="E1194" s="385" t="s">
        <v>141</v>
      </c>
      <c r="F1194" s="385"/>
      <c r="G1194" s="385" t="s">
        <v>130</v>
      </c>
      <c r="H1194" s="385"/>
      <c r="I1194" s="385"/>
      <c r="J1194" s="30"/>
      <c r="K1194" s="385" t="s">
        <v>57</v>
      </c>
      <c r="L1194" s="385"/>
      <c r="M1194" s="385"/>
      <c r="N1194" s="385"/>
      <c r="O1194" s="385"/>
      <c r="P1194" s="385" t="str">
        <f>IFERROR(
    IF(
        OR(ISBLANK(I1194), ISBLANK(L1194)),
        "",
        MAX(
            1,
            IF(
                NETWORKDAYS(I1194, L1194, Holiday_Dates) &lt;= 0,
                1,
                NETWORKDAYS(I1194, L1194, Holiday_Dates) - IF(I1194 = L1194, 0, 1)
            )
        )
    ),
    ""
)</f>
        <v/>
      </c>
      <c r="Q1194" s="385" t="str">
        <f>IF(
    OR(ISBLANK(L1194), ISBLANK(M1194)),
    "",
    MAX(
        1,
        IF(
            NETWORKDAYS(L1194, M1194, Holiday_Dates) &lt;= 0,
            1,
            NETWORKDAYS(L1194, M1194, Holiday_Dates) - IF(L1194 = M1194, 0, 1)
        )
    )
)</f>
        <v/>
      </c>
      <c r="R1194" s="385" t="str">
        <f>IFERROR(
    IF(
        OR(ISBLANK(N1194), AND(ISBLANK(L1194), ISBLANK(M1194))),
        "",
        MAX(
            1,
            IF(
                NETWORKDAYS(IF(NOT(ISBLANK(M1194)), M1194, L1194), N1194, Holiday_Dates) &lt;= 0,
                1,
                NETWORKDAYS(IF(NOT(ISBLANK(M1194)), M1194, L1194), N1194, Holiday_Dates)
                - IF(IF(NOT(ISBLANK(M1194)), M1194, L1194) = N1194, 0, 1)
            )
        )
    ),
    ""
)</f>
        <v/>
      </c>
      <c r="S1194" s="385" t="str">
        <f>IFERROR(
    IF(
        OR(ISBLANK(N1194), ISBLANK(O1194)),
        "",
        MAX(
            1,
            IF(
                NETWORKDAYS(N1194, O1194, Holiday_Dates) &lt;= 0,
                1,
                NETWORKDAYS(N1194, O1194, Holiday_Dates) - IF(N1194 = O1194, 0, 1)
            )
        )
    ),
    ""
)</f>
        <v/>
      </c>
      <c r="T1194" s="385"/>
      <c r="U1194" s="385"/>
      <c r="V1194" s="385"/>
      <c r="W1194" s="385" t="s">
        <v>4710</v>
      </c>
      <c r="X1194" s="1"/>
    </row>
    <row r="1195" spans="1:24">
      <c r="A1195" s="385" t="s">
        <v>65</v>
      </c>
      <c r="B1195" s="385" t="s">
        <v>514</v>
      </c>
      <c r="C1195" s="385" t="s">
        <v>3128</v>
      </c>
      <c r="D1195" s="385" t="s">
        <v>88</v>
      </c>
      <c r="E1195" s="385" t="s">
        <v>26</v>
      </c>
      <c r="F1195" s="385"/>
      <c r="G1195" s="385" t="s">
        <v>130</v>
      </c>
      <c r="H1195" s="385"/>
      <c r="I1195" s="385"/>
      <c r="J1195" s="30"/>
      <c r="K1195" s="385" t="s">
        <v>57</v>
      </c>
      <c r="L1195" s="385"/>
      <c r="M1195" s="385"/>
      <c r="N1195" s="385"/>
      <c r="O1195" s="385"/>
      <c r="P1195" s="385" t="str">
        <f>IFERROR(
    IF(
        OR(ISBLANK(I1195), ISBLANK(L1195)),
        "",
        MAX(
            1,
            IF(
                NETWORKDAYS(I1195, L1195, Holiday_Dates) &lt;= 0,
                1,
                NETWORKDAYS(I1195, L1195, Holiday_Dates) - IF(I1195 = L1195, 0, 1)
            )
        )
    ),
    ""
)</f>
        <v/>
      </c>
      <c r="Q1195" s="385" t="str">
        <f>IF(
    OR(ISBLANK(L1195), ISBLANK(M1195)),
    "",
    MAX(
        1,
        IF(
            NETWORKDAYS(L1195, M1195, Holiday_Dates) &lt;= 0,
            1,
            NETWORKDAYS(L1195, M1195, Holiday_Dates) - IF(L1195 = M1195, 0, 1)
        )
    )
)</f>
        <v/>
      </c>
      <c r="R1195" s="385" t="str">
        <f>IFERROR(
    IF(
        OR(ISBLANK(N1195), AND(ISBLANK(L1195), ISBLANK(M1195))),
        "",
        MAX(
            1,
            IF(
                NETWORKDAYS(IF(NOT(ISBLANK(M1195)), M1195, L1195), N1195, Holiday_Dates) &lt;= 0,
                1,
                NETWORKDAYS(IF(NOT(ISBLANK(M1195)), M1195, L1195), N1195, Holiday_Dates)
                - IF(IF(NOT(ISBLANK(M1195)), M1195, L1195) = N1195, 0, 1)
            )
        )
    ),
    ""
)</f>
        <v/>
      </c>
      <c r="S1195" s="385" t="str">
        <f>IFERROR(
    IF(
        OR(ISBLANK(N1195), ISBLANK(O1195)),
        "",
        MAX(
            1,
            IF(
                NETWORKDAYS(N1195, O1195, Holiday_Dates) &lt;= 0,
                1,
                NETWORKDAYS(N1195, O1195, Holiday_Dates) - IF(N1195 = O1195, 0, 1)
            )
        )
    ),
    ""
)</f>
        <v/>
      </c>
      <c r="T1195" s="385"/>
      <c r="U1195" s="385"/>
      <c r="V1195" s="385"/>
      <c r="W1195" s="385" t="s">
        <v>4710</v>
      </c>
      <c r="X1195" s="1"/>
    </row>
    <row r="1196" spans="1:24">
      <c r="A1196" s="385" t="s">
        <v>65</v>
      </c>
      <c r="B1196" s="385" t="s">
        <v>514</v>
      </c>
      <c r="C1196" s="385" t="s">
        <v>3129</v>
      </c>
      <c r="D1196" s="385" t="s">
        <v>88</v>
      </c>
      <c r="E1196" s="385" t="s">
        <v>26</v>
      </c>
      <c r="F1196" s="385"/>
      <c r="G1196" s="385" t="s">
        <v>130</v>
      </c>
      <c r="H1196" s="385"/>
      <c r="I1196" s="385"/>
      <c r="J1196" s="30"/>
      <c r="K1196" s="385" t="s">
        <v>57</v>
      </c>
      <c r="L1196" s="385"/>
      <c r="M1196" s="385"/>
      <c r="N1196" s="385"/>
      <c r="O1196" s="385"/>
      <c r="P1196" s="385" t="str">
        <f>IFERROR(
    IF(
        OR(ISBLANK(I1196), ISBLANK(L1196)),
        "",
        MAX(
            1,
            IF(
                NETWORKDAYS(I1196, L1196, Holiday_Dates) &lt;= 0,
                1,
                NETWORKDAYS(I1196, L1196, Holiday_Dates) - IF(I1196 = L1196, 0, 1)
            )
        )
    ),
    ""
)</f>
        <v/>
      </c>
      <c r="Q1196" s="385" t="str">
        <f>IF(
    OR(ISBLANK(L1196), ISBLANK(M1196)),
    "",
    MAX(
        1,
        IF(
            NETWORKDAYS(L1196, M1196, Holiday_Dates) &lt;= 0,
            1,
            NETWORKDAYS(L1196, M1196, Holiday_Dates) - IF(L1196 = M1196, 0, 1)
        )
    )
)</f>
        <v/>
      </c>
      <c r="R1196" s="385" t="str">
        <f>IFERROR(
    IF(
        OR(ISBLANK(N1196), AND(ISBLANK(L1196), ISBLANK(M1196))),
        "",
        MAX(
            1,
            IF(
                NETWORKDAYS(IF(NOT(ISBLANK(M1196)), M1196, L1196), N1196, Holiday_Dates) &lt;= 0,
                1,
                NETWORKDAYS(IF(NOT(ISBLANK(M1196)), M1196, L1196), N1196, Holiday_Dates)
                - IF(IF(NOT(ISBLANK(M1196)), M1196, L1196) = N1196, 0, 1)
            )
        )
    ),
    ""
)</f>
        <v/>
      </c>
      <c r="S1196" s="385" t="str">
        <f>IFERROR(
    IF(
        OR(ISBLANK(N1196), ISBLANK(O1196)),
        "",
        MAX(
            1,
            IF(
                NETWORKDAYS(N1196, O1196, Holiday_Dates) &lt;= 0,
                1,
                NETWORKDAYS(N1196, O1196, Holiday_Dates) - IF(N1196 = O1196, 0, 1)
            )
        )
    ),
    ""
)</f>
        <v/>
      </c>
      <c r="T1196" s="385"/>
      <c r="U1196" s="385"/>
      <c r="V1196" s="385"/>
      <c r="W1196" s="385" t="s">
        <v>4710</v>
      </c>
      <c r="X1196" s="1"/>
    </row>
    <row r="1197" spans="1:24">
      <c r="A1197" s="385" t="s">
        <v>65</v>
      </c>
      <c r="B1197" s="385" t="s">
        <v>514</v>
      </c>
      <c r="C1197" s="385" t="s">
        <v>2276</v>
      </c>
      <c r="D1197" s="385" t="s">
        <v>88</v>
      </c>
      <c r="E1197" s="385" t="s">
        <v>26</v>
      </c>
      <c r="F1197" s="385"/>
      <c r="G1197" s="385" t="s">
        <v>130</v>
      </c>
      <c r="H1197" s="385"/>
      <c r="I1197" s="385"/>
      <c r="J1197" s="30"/>
      <c r="K1197" s="385" t="s">
        <v>57</v>
      </c>
      <c r="L1197" s="385"/>
      <c r="M1197" s="385"/>
      <c r="N1197" s="385"/>
      <c r="O1197" s="385"/>
      <c r="P1197" s="385" t="str">
        <f>IFERROR(
    IF(
        OR(ISBLANK(I1197), ISBLANK(L1197)),
        "",
        MAX(
            1,
            IF(
                NETWORKDAYS(I1197, L1197, Holiday_Dates) &lt;= 0,
                1,
                NETWORKDAYS(I1197, L1197, Holiday_Dates) - IF(I1197 = L1197, 0, 1)
            )
        )
    ),
    ""
)</f>
        <v/>
      </c>
      <c r="Q1197" s="385" t="str">
        <f>IF(
    OR(ISBLANK(L1197), ISBLANK(M1197)),
    "",
    MAX(
        1,
        IF(
            NETWORKDAYS(L1197, M1197, Holiday_Dates) &lt;= 0,
            1,
            NETWORKDAYS(L1197, M1197, Holiday_Dates) - IF(L1197 = M1197, 0, 1)
        )
    )
)</f>
        <v/>
      </c>
      <c r="R1197" s="385" t="str">
        <f>IFERROR(
    IF(
        OR(ISBLANK(N1197), AND(ISBLANK(L1197), ISBLANK(M1197))),
        "",
        MAX(
            1,
            IF(
                NETWORKDAYS(IF(NOT(ISBLANK(M1197)), M1197, L1197), N1197, Holiday_Dates) &lt;= 0,
                1,
                NETWORKDAYS(IF(NOT(ISBLANK(M1197)), M1197, L1197), N1197, Holiday_Dates)
                - IF(IF(NOT(ISBLANK(M1197)), M1197, L1197) = N1197, 0, 1)
            )
        )
    ),
    ""
)</f>
        <v/>
      </c>
      <c r="S1197" s="385" t="str">
        <f>IFERROR(
    IF(
        OR(ISBLANK(N1197), ISBLANK(O1197)),
        "",
        MAX(
            1,
            IF(
                NETWORKDAYS(N1197, O1197, Holiday_Dates) &lt;= 0,
                1,
                NETWORKDAYS(N1197, O1197, Holiday_Dates) - IF(N1197 = O1197, 0, 1)
            )
        )
    ),
    ""
)</f>
        <v/>
      </c>
      <c r="T1197" s="385"/>
      <c r="U1197" s="385"/>
      <c r="V1197" s="385"/>
      <c r="W1197" s="385" t="s">
        <v>4710</v>
      </c>
      <c r="X1197" s="1"/>
    </row>
    <row r="1198" spans="1:24">
      <c r="A1198" s="385" t="s">
        <v>65</v>
      </c>
      <c r="B1198" s="385" t="s">
        <v>514</v>
      </c>
      <c r="C1198" s="385" t="s">
        <v>653</v>
      </c>
      <c r="D1198" s="385" t="s">
        <v>88</v>
      </c>
      <c r="E1198" s="385" t="s">
        <v>26</v>
      </c>
      <c r="F1198" s="385"/>
      <c r="G1198" s="385" t="s">
        <v>130</v>
      </c>
      <c r="H1198" s="385"/>
      <c r="I1198" s="385"/>
      <c r="J1198" s="30"/>
      <c r="K1198" s="385" t="s">
        <v>57</v>
      </c>
      <c r="L1198" s="385"/>
      <c r="M1198" s="385"/>
      <c r="N1198" s="385"/>
      <c r="O1198" s="385"/>
      <c r="P1198" s="385" t="str">
        <f>IFERROR(
    IF(
        OR(ISBLANK(I1198), ISBLANK(L1198)),
        "",
        MAX(
            1,
            IF(
                NETWORKDAYS(I1198, L1198, Holiday_Dates) &lt;= 0,
                1,
                NETWORKDAYS(I1198, L1198, Holiday_Dates) - IF(I1198 = L1198, 0, 1)
            )
        )
    ),
    ""
)</f>
        <v/>
      </c>
      <c r="Q1198" s="385" t="str">
        <f>IF(
    OR(ISBLANK(L1198), ISBLANK(M1198)),
    "",
    MAX(
        1,
        IF(
            NETWORKDAYS(L1198, M1198, Holiday_Dates) &lt;= 0,
            1,
            NETWORKDAYS(L1198, M1198, Holiday_Dates) - IF(L1198 = M1198, 0, 1)
        )
    )
)</f>
        <v/>
      </c>
      <c r="R1198" s="385" t="str">
        <f>IFERROR(
    IF(
        OR(ISBLANK(N1198), AND(ISBLANK(L1198), ISBLANK(M1198))),
        "",
        MAX(
            1,
            IF(
                NETWORKDAYS(IF(NOT(ISBLANK(M1198)), M1198, L1198), N1198, Holiday_Dates) &lt;= 0,
                1,
                NETWORKDAYS(IF(NOT(ISBLANK(M1198)), M1198, L1198), N1198, Holiday_Dates)
                - IF(IF(NOT(ISBLANK(M1198)), M1198, L1198) = N1198, 0, 1)
            )
        )
    ),
    ""
)</f>
        <v/>
      </c>
      <c r="S1198" s="385" t="str">
        <f>IFERROR(
    IF(
        OR(ISBLANK(N1198), ISBLANK(O1198)),
        "",
        MAX(
            1,
            IF(
                NETWORKDAYS(N1198, O1198, Holiday_Dates) &lt;= 0,
                1,
                NETWORKDAYS(N1198, O1198, Holiday_Dates) - IF(N1198 = O1198, 0, 1)
            )
        )
    ),
    ""
)</f>
        <v/>
      </c>
      <c r="T1198" s="385"/>
      <c r="U1198" s="385"/>
      <c r="V1198" s="385"/>
      <c r="W1198" s="385" t="s">
        <v>4710</v>
      </c>
      <c r="X1198" s="1"/>
    </row>
    <row r="1199" spans="1:24">
      <c r="A1199" s="385" t="s">
        <v>65</v>
      </c>
      <c r="B1199" s="385" t="s">
        <v>516</v>
      </c>
      <c r="C1199" s="385" t="s">
        <v>3202</v>
      </c>
      <c r="D1199" s="385" t="s">
        <v>89</v>
      </c>
      <c r="E1199" s="385" t="s">
        <v>29</v>
      </c>
      <c r="F1199" s="385"/>
      <c r="G1199" s="385" t="s">
        <v>130</v>
      </c>
      <c r="H1199" s="385"/>
      <c r="I1199" s="386"/>
      <c r="J1199" s="30" t="s">
        <v>5208</v>
      </c>
      <c r="K1199" s="385" t="s">
        <v>57</v>
      </c>
      <c r="L1199" s="386">
        <v>46084</v>
      </c>
      <c r="M1199" s="386"/>
      <c r="N1199" s="386">
        <v>46088</v>
      </c>
      <c r="O1199" s="386">
        <v>46091</v>
      </c>
      <c r="P1199" s="385" t="str">
        <f>IFERROR(
    IF(
        OR(ISBLANK(I1199), ISBLANK(L1199)),
        "",
        MAX(
            1,
            IF(
                NETWORKDAYS(I1199, L1199, Holiday_Dates) &lt;= 0,
                1,
                NETWORKDAYS(I1199, L1199, Holiday_Dates) - IF(I1199 = L1199, 0, 1)
            )
        )
    ),
    ""
)</f>
        <v/>
      </c>
      <c r="Q1199" s="385" t="str">
        <f>IF(
    OR(ISBLANK(L1199), ISBLANK(M1199)),
    "",
    MAX(
        1,
        IF(
            NETWORKDAYS(L1199, M1199, Holiday_Dates) &lt;= 0,
            1,
            NETWORKDAYS(L1199, M1199, Holiday_Dates) - IF(L1199 = M1199, 0, 1)
        )
    )
)</f>
        <v/>
      </c>
      <c r="R1199" s="385">
        <f>IFERROR(
    IF(
        OR(ISBLANK(N1199), AND(ISBLANK(L1199), ISBLANK(M1199))),
        "",
        MAX(
            1,
            IF(
                NETWORKDAYS(IF(NOT(ISBLANK(M1199)), M1199, L1199), N1199, Holiday_Dates) &lt;= 0,
                1,
                NETWORKDAYS(IF(NOT(ISBLANK(M1199)), M1199, L1199), N1199, Holiday_Dates)
                - IF(IF(NOT(ISBLANK(M1199)), M1199, L1199) = N1199, 0, 1)
            )
        )
    ),
    ""
)</f>
        <v>3</v>
      </c>
      <c r="S1199" s="385">
        <f>IFERROR(
    IF(
        OR(ISBLANK(N1199), ISBLANK(O1199)),
        "",
        MAX(
            1,
            IF(
                NETWORKDAYS(N1199, O1199, Holiday_Dates) &lt;= 0,
                1,
                NETWORKDAYS(N1199, O1199, Holiday_Dates) - IF(N1199 = O1199, 0, 1)
            )
        )
    ),
    ""
)</f>
        <v>1</v>
      </c>
      <c r="T1199" s="385" t="s">
        <v>929</v>
      </c>
      <c r="U1199" s="385" t="s">
        <v>4</v>
      </c>
      <c r="V1199" s="385" t="s">
        <v>5209</v>
      </c>
      <c r="W1199" s="385" t="s">
        <v>4710</v>
      </c>
      <c r="X1199" s="1"/>
    </row>
    <row r="1200" spans="1:24">
      <c r="A1200" s="385" t="s">
        <v>65</v>
      </c>
      <c r="B1200" s="385" t="s">
        <v>516</v>
      </c>
      <c r="C1200" s="385" t="s">
        <v>3198</v>
      </c>
      <c r="D1200" s="385" t="s">
        <v>89</v>
      </c>
      <c r="E1200" s="385" t="s">
        <v>29</v>
      </c>
      <c r="F1200" s="385"/>
      <c r="G1200" s="385" t="s">
        <v>130</v>
      </c>
      <c r="H1200" s="385"/>
      <c r="I1200" s="386"/>
      <c r="J1200" s="30" t="s">
        <v>5210</v>
      </c>
      <c r="K1200" s="385" t="s">
        <v>57</v>
      </c>
      <c r="L1200" s="386">
        <v>46084</v>
      </c>
      <c r="M1200" s="385"/>
      <c r="N1200" s="386">
        <v>46088</v>
      </c>
      <c r="O1200" s="386">
        <v>46091</v>
      </c>
      <c r="P1200" s="385" t="str">
        <f>IFERROR(
    IF(
        OR(ISBLANK(I1200), ISBLANK(L1200)),
        "",
        MAX(
            1,
            IF(
                NETWORKDAYS(I1200, L1200, Holiday_Dates) &lt;= 0,
                1,
                NETWORKDAYS(I1200, L1200, Holiday_Dates) - IF(I1200 = L1200, 0, 1)
            )
        )
    ),
    ""
)</f>
        <v/>
      </c>
      <c r="Q1200" s="385" t="str">
        <f>IF(
    OR(ISBLANK(L1200), ISBLANK(M1200)),
    "",
    MAX(
        1,
        IF(
            NETWORKDAYS(L1200, M1200, Holiday_Dates) &lt;= 0,
            1,
            NETWORKDAYS(L1200, M1200, Holiday_Dates) - IF(L1200 = M1200, 0, 1)
        )
    )
)</f>
        <v/>
      </c>
      <c r="R1200" s="385">
        <f>IFERROR(
    IF(
        OR(ISBLANK(N1200), AND(ISBLANK(L1200), ISBLANK(M1200))),
        "",
        MAX(
            1,
            IF(
                NETWORKDAYS(IF(NOT(ISBLANK(M1200)), M1200, L1200), N1200, Holiday_Dates) &lt;= 0,
                1,
                NETWORKDAYS(IF(NOT(ISBLANK(M1200)), M1200, L1200), N1200, Holiday_Dates)
                - IF(IF(NOT(ISBLANK(M1200)), M1200, L1200) = N1200, 0, 1)
            )
        )
    ),
    ""
)</f>
        <v>3</v>
      </c>
      <c r="S1200" s="385">
        <f>IFERROR(
    IF(
        OR(ISBLANK(N1200), ISBLANK(O1200)),
        "",
        MAX(
            1,
            IF(
                NETWORKDAYS(N1200, O1200, Holiday_Dates) &lt;= 0,
                1,
                NETWORKDAYS(N1200, O1200, Holiday_Dates) - IF(N1200 = O1200, 0, 1)
            )
        )
    ),
    ""
)</f>
        <v>1</v>
      </c>
      <c r="T1200" s="385" t="s">
        <v>929</v>
      </c>
      <c r="U1200" s="385" t="s">
        <v>4</v>
      </c>
      <c r="V1200" s="385" t="s">
        <v>5209</v>
      </c>
      <c r="W1200" s="385" t="s">
        <v>4710</v>
      </c>
      <c r="X1200" s="1"/>
    </row>
    <row r="1201" spans="1:24">
      <c r="A1201" s="385" t="s">
        <v>65</v>
      </c>
      <c r="B1201" s="385" t="s">
        <v>516</v>
      </c>
      <c r="C1201" s="385" t="s">
        <v>420</v>
      </c>
      <c r="D1201" s="385" t="s">
        <v>89</v>
      </c>
      <c r="E1201" s="385" t="s">
        <v>29</v>
      </c>
      <c r="F1201" s="385"/>
      <c r="G1201" s="385" t="s">
        <v>130</v>
      </c>
      <c r="H1201" s="385"/>
      <c r="I1201" s="385"/>
      <c r="J1201" s="30"/>
      <c r="K1201" s="385" t="s">
        <v>57</v>
      </c>
      <c r="L1201" s="385"/>
      <c r="M1201" s="385"/>
      <c r="N1201" s="385"/>
      <c r="O1201" s="385"/>
      <c r="P1201" s="385" t="str">
        <f>IFERROR(
    IF(
        OR(ISBLANK(I1201), ISBLANK(L1201)),
        "",
        MAX(
            1,
            IF(
                NETWORKDAYS(I1201, L1201, Holiday_Dates) &lt;= 0,
                1,
                NETWORKDAYS(I1201, L1201, Holiday_Dates) - IF(I1201 = L1201, 0, 1)
            )
        )
    ),
    ""
)</f>
        <v/>
      </c>
      <c r="Q1201" s="385" t="str">
        <f>IF(
    OR(ISBLANK(L1201), ISBLANK(M1201)),
    "",
    MAX(
        1,
        IF(
            NETWORKDAYS(L1201, M1201, Holiday_Dates) &lt;= 0,
            1,
            NETWORKDAYS(L1201, M1201, Holiday_Dates) - IF(L1201 = M1201, 0, 1)
        )
    )
)</f>
        <v/>
      </c>
      <c r="R1201" s="385" t="str">
        <f>IFERROR(
    IF(
        OR(ISBLANK(N1201), AND(ISBLANK(L1201), ISBLANK(M1201))),
        "",
        MAX(
            1,
            IF(
                NETWORKDAYS(IF(NOT(ISBLANK(M1201)), M1201, L1201), N1201, Holiday_Dates) &lt;= 0,
                1,
                NETWORKDAYS(IF(NOT(ISBLANK(M1201)), M1201, L1201), N1201, Holiday_Dates)
                - IF(IF(NOT(ISBLANK(M1201)), M1201, L1201) = N1201, 0, 1)
            )
        )
    ),
    ""
)</f>
        <v/>
      </c>
      <c r="S1201" s="385" t="str">
        <f>IFERROR(
    IF(
        OR(ISBLANK(N1201), ISBLANK(O1201)),
        "",
        MAX(
            1,
            IF(
                NETWORKDAYS(N1201, O1201, Holiday_Dates) &lt;= 0,
                1,
                NETWORKDAYS(N1201, O1201, Holiday_Dates) - IF(N1201 = O1201, 0, 1)
            )
        )
    ),
    ""
)</f>
        <v/>
      </c>
      <c r="T1201" s="385"/>
      <c r="U1201" s="385"/>
      <c r="V1201" s="385"/>
      <c r="W1201" s="385" t="s">
        <v>4710</v>
      </c>
      <c r="X1201" s="1"/>
    </row>
    <row r="1202" spans="1:24">
      <c r="A1202" s="385" t="s">
        <v>65</v>
      </c>
      <c r="B1202" s="385" t="s">
        <v>507</v>
      </c>
      <c r="C1202" s="385" t="s">
        <v>2921</v>
      </c>
      <c r="D1202" s="385" t="s">
        <v>89</v>
      </c>
      <c r="E1202" s="385"/>
      <c r="F1202" s="385"/>
      <c r="G1202" s="385"/>
      <c r="H1202" s="385">
        <v>2025</v>
      </c>
      <c r="I1202" s="386">
        <v>45924</v>
      </c>
      <c r="J1202" s="30" t="s">
        <v>5211</v>
      </c>
      <c r="K1202" s="385"/>
      <c r="L1202" s="385"/>
      <c r="M1202" s="385"/>
      <c r="N1202" s="385"/>
      <c r="O1202" s="385"/>
      <c r="P1202" s="385" t="str">
        <f>IFERROR(
    IF(
        OR(ISBLANK(I1202), ISBLANK(L1202)),
        "",
        MAX(
            1,
            IF(
                NETWORKDAYS(I1202, L1202, Holiday_Dates) &lt;= 0,
                1,
                NETWORKDAYS(I1202, L1202, Holiday_Dates) - IF(I1202 = L1202, 0, 1)
            )
        )
    ),
    ""
)</f>
        <v/>
      </c>
      <c r="Q1202" s="385" t="str">
        <f>IF(
    OR(ISBLANK(L1202), ISBLANK(M1202)),
    "",
    MAX(
        1,
        IF(
            NETWORKDAYS(L1202, M1202, Holiday_Dates) &lt;= 0,
            1,
            NETWORKDAYS(L1202, M1202, Holiday_Dates) - IF(L1202 = M1202, 0, 1)
        )
    )
)</f>
        <v/>
      </c>
      <c r="R1202" s="385" t="str">
        <f>IFERROR(
    IF(
        OR(ISBLANK(N1202), AND(ISBLANK(L1202), ISBLANK(M1202))),
        "",
        MAX(
            1,
            IF(
                NETWORKDAYS(IF(NOT(ISBLANK(M1202)), M1202, L1202), N1202, Holiday_Dates) &lt;= 0,
                1,
                NETWORKDAYS(IF(NOT(ISBLANK(M1202)), M1202, L1202), N1202, Holiday_Dates)
                - IF(IF(NOT(ISBLANK(M1202)), M1202, L1202) = N1202, 0, 1)
            )
        )
    ),
    ""
)</f>
        <v/>
      </c>
      <c r="S1202" s="385" t="str">
        <f>IFERROR(
    IF(
        OR(ISBLANK(N1202), ISBLANK(O1202)),
        "",
        MAX(
            1,
            IF(
                NETWORKDAYS(N1202, O1202, Holiday_Dates) &lt;= 0,
                1,
                NETWORKDAYS(N1202, O1202, Holiday_Dates) - IF(N1202 = O1202, 0, 1)
            )
        )
    ),
    ""
)</f>
        <v/>
      </c>
      <c r="T1202" s="385"/>
      <c r="U1202" s="385" t="s">
        <v>672</v>
      </c>
      <c r="V1202" s="385" t="s">
        <v>108</v>
      </c>
      <c r="W1202" s="385" t="s">
        <v>1436</v>
      </c>
      <c r="X1202" s="1"/>
    </row>
    <row r="1203" spans="1:24">
      <c r="A1203" s="385" t="s">
        <v>65</v>
      </c>
      <c r="B1203" s="385" t="s">
        <v>516</v>
      </c>
      <c r="C1203" s="385" t="s">
        <v>3199</v>
      </c>
      <c r="D1203" s="385" t="s">
        <v>89</v>
      </c>
      <c r="E1203" s="385" t="s">
        <v>29</v>
      </c>
      <c r="F1203" s="385"/>
      <c r="G1203" s="385" t="s">
        <v>130</v>
      </c>
      <c r="H1203" s="385"/>
      <c r="I1203" s="385"/>
      <c r="J1203" s="30"/>
      <c r="K1203" s="385" t="s">
        <v>57</v>
      </c>
      <c r="L1203" s="385"/>
      <c r="M1203" s="385"/>
      <c r="N1203" s="385"/>
      <c r="O1203" s="385"/>
      <c r="P1203" s="385" t="str">
        <f>IFERROR(
    IF(
        OR(ISBLANK(I1203), ISBLANK(L1203)),
        "",
        MAX(
            1,
            IF(
                NETWORKDAYS(I1203, L1203, Holiday_Dates) &lt;= 0,
                1,
                NETWORKDAYS(I1203, L1203, Holiday_Dates) - IF(I1203 = L1203, 0, 1)
            )
        )
    ),
    ""
)</f>
        <v/>
      </c>
      <c r="Q1203" s="385" t="str">
        <f>IF(
    OR(ISBLANK(L1203), ISBLANK(M1203)),
    "",
    MAX(
        1,
        IF(
            NETWORKDAYS(L1203, M1203, Holiday_Dates) &lt;= 0,
            1,
            NETWORKDAYS(L1203, M1203, Holiday_Dates) - IF(L1203 = M1203, 0, 1)
        )
    )
)</f>
        <v/>
      </c>
      <c r="R1203" s="385" t="str">
        <f>IFERROR(
    IF(
        OR(ISBLANK(N1203), AND(ISBLANK(L1203), ISBLANK(M1203))),
        "",
        MAX(
            1,
            IF(
                NETWORKDAYS(IF(NOT(ISBLANK(M1203)), M1203, L1203), N1203, Holiday_Dates) &lt;= 0,
                1,
                NETWORKDAYS(IF(NOT(ISBLANK(M1203)), M1203, L1203), N1203, Holiday_Dates)
                - IF(IF(NOT(ISBLANK(M1203)), M1203, L1203) = N1203, 0, 1)
            )
        )
    ),
    ""
)</f>
        <v/>
      </c>
      <c r="S1203" s="385" t="str">
        <f>IFERROR(
    IF(
        OR(ISBLANK(N1203), ISBLANK(O1203)),
        "",
        MAX(
            1,
            IF(
                NETWORKDAYS(N1203, O1203, Holiday_Dates) &lt;= 0,
                1,
                NETWORKDAYS(N1203, O1203, Holiday_Dates) - IF(N1203 = O1203, 0, 1)
            )
        )
    ),
    ""
)</f>
        <v/>
      </c>
      <c r="T1203" s="385"/>
      <c r="U1203" s="385"/>
      <c r="V1203" s="385"/>
      <c r="W1203" s="385" t="s">
        <v>4710</v>
      </c>
      <c r="X1203" s="1"/>
    </row>
    <row r="1204" spans="1:24">
      <c r="A1204" s="385" t="s">
        <v>65</v>
      </c>
      <c r="B1204" s="385" t="s">
        <v>507</v>
      </c>
      <c r="C1204" s="385" t="s">
        <v>2922</v>
      </c>
      <c r="D1204" s="385" t="s">
        <v>89</v>
      </c>
      <c r="E1204" s="385"/>
      <c r="F1204" s="385"/>
      <c r="G1204" s="385"/>
      <c r="H1204" s="385">
        <v>2025</v>
      </c>
      <c r="I1204" s="386">
        <v>45772</v>
      </c>
      <c r="J1204" s="30" t="s">
        <v>5212</v>
      </c>
      <c r="K1204" s="385"/>
      <c r="L1204" s="385"/>
      <c r="M1204" s="385"/>
      <c r="N1204" s="385"/>
      <c r="O1204" s="385"/>
      <c r="P1204" s="385" t="str">
        <f>IFERROR(
    IF(
        OR(ISBLANK(I1204), ISBLANK(L1204)),
        "",
        MAX(
            1,
            IF(
                NETWORKDAYS(I1204, L1204, Holiday_Dates) &lt;= 0,
                1,
                NETWORKDAYS(I1204, L1204, Holiday_Dates) - IF(I1204 = L1204, 0, 1)
            )
        )
    ),
    ""
)</f>
        <v/>
      </c>
      <c r="Q1204" s="385" t="str">
        <f>IF(
    OR(ISBLANK(L1204), ISBLANK(M1204)),
    "",
    MAX(
        1,
        IF(
            NETWORKDAYS(L1204, M1204, Holiday_Dates) &lt;= 0,
            1,
            NETWORKDAYS(L1204, M1204, Holiday_Dates) - IF(L1204 = M1204, 0, 1)
        )
    )
)</f>
        <v/>
      </c>
      <c r="R1204" s="385" t="str">
        <f>IFERROR(
    IF(
        OR(ISBLANK(N1204), AND(ISBLANK(L1204), ISBLANK(M1204))),
        "",
        MAX(
            1,
            IF(
                NETWORKDAYS(IF(NOT(ISBLANK(M1204)), M1204, L1204), N1204, Holiday_Dates) &lt;= 0,
                1,
                NETWORKDAYS(IF(NOT(ISBLANK(M1204)), M1204, L1204), N1204, Holiday_Dates)
                - IF(IF(NOT(ISBLANK(M1204)), M1204, L1204) = N1204, 0, 1)
            )
        )
    ),
    ""
)</f>
        <v/>
      </c>
      <c r="S1204" s="385" t="str">
        <f>IFERROR(
    IF(
        OR(ISBLANK(N1204), ISBLANK(O1204)),
        "",
        MAX(
            1,
            IF(
                NETWORKDAYS(N1204, O1204, Holiday_Dates) &lt;= 0,
                1,
                NETWORKDAYS(N1204, O1204, Holiday_Dates) - IF(N1204 = O1204, 0, 1)
            )
        )
    ),
    ""
)</f>
        <v/>
      </c>
      <c r="T1204" s="385"/>
      <c r="U1204" s="385" t="s">
        <v>672</v>
      </c>
      <c r="V1204" s="385" t="s">
        <v>101</v>
      </c>
      <c r="W1204" s="385" t="s">
        <v>1436</v>
      </c>
      <c r="X1204" s="1"/>
    </row>
    <row r="1205" spans="1:24">
      <c r="A1205" s="385" t="s">
        <v>65</v>
      </c>
      <c r="B1205" s="385" t="s">
        <v>507</v>
      </c>
      <c r="C1205" s="385" t="s">
        <v>2923</v>
      </c>
      <c r="D1205" s="385" t="s">
        <v>89</v>
      </c>
      <c r="E1205" s="385"/>
      <c r="F1205" s="385"/>
      <c r="G1205" s="385"/>
      <c r="H1205" s="385">
        <v>2025</v>
      </c>
      <c r="I1205" s="386">
        <v>45784</v>
      </c>
      <c r="J1205" s="30" t="s">
        <v>5213</v>
      </c>
      <c r="K1205" s="385"/>
      <c r="L1205" s="385"/>
      <c r="M1205" s="385"/>
      <c r="N1205" s="385"/>
      <c r="O1205" s="385"/>
      <c r="P1205" s="385" t="str">
        <f>IFERROR(
    IF(
        OR(ISBLANK(I1205), ISBLANK(L1205)),
        "",
        MAX(
            1,
            IF(
                NETWORKDAYS(I1205, L1205, Holiday_Dates) &lt;= 0,
                1,
                NETWORKDAYS(I1205, L1205, Holiday_Dates) - IF(I1205 = L1205, 0, 1)
            )
        )
    ),
    ""
)</f>
        <v/>
      </c>
      <c r="Q1205" s="385" t="str">
        <f>IF(
    OR(ISBLANK(L1205), ISBLANK(M1205)),
    "",
    MAX(
        1,
        IF(
            NETWORKDAYS(L1205, M1205, Holiday_Dates) &lt;= 0,
            1,
            NETWORKDAYS(L1205, M1205, Holiday_Dates) - IF(L1205 = M1205, 0, 1)
        )
    )
)</f>
        <v/>
      </c>
      <c r="R1205" s="385" t="str">
        <f>IFERROR(
    IF(
        OR(ISBLANK(N1205), AND(ISBLANK(L1205), ISBLANK(M1205))),
        "",
        MAX(
            1,
            IF(
                NETWORKDAYS(IF(NOT(ISBLANK(M1205)), M1205, L1205), N1205, Holiday_Dates) &lt;= 0,
                1,
                NETWORKDAYS(IF(NOT(ISBLANK(M1205)), M1205, L1205), N1205, Holiday_Dates)
                - IF(IF(NOT(ISBLANK(M1205)), M1205, L1205) = N1205, 0, 1)
            )
        )
    ),
    ""
)</f>
        <v/>
      </c>
      <c r="S1205" s="385" t="str">
        <f>IFERROR(
    IF(
        OR(ISBLANK(N1205), ISBLANK(O1205)),
        "",
        MAX(
            1,
            IF(
                NETWORKDAYS(N1205, O1205, Holiday_Dates) &lt;= 0,
                1,
                NETWORKDAYS(N1205, O1205, Holiday_Dates) - IF(N1205 = O1205, 0, 1)
            )
        )
    ),
    ""
)</f>
        <v/>
      </c>
      <c r="T1205" s="385"/>
      <c r="U1205" s="385" t="s">
        <v>672</v>
      </c>
      <c r="V1205" s="385" t="s">
        <v>101</v>
      </c>
      <c r="W1205" s="385" t="s">
        <v>1436</v>
      </c>
      <c r="X1205" s="1"/>
    </row>
    <row r="1206" spans="1:24">
      <c r="A1206" s="385" t="s">
        <v>53</v>
      </c>
      <c r="B1206" s="385" t="s">
        <v>242</v>
      </c>
      <c r="C1206" s="385" t="s">
        <v>4438</v>
      </c>
      <c r="D1206" s="385" t="s">
        <v>89</v>
      </c>
      <c r="E1206" s="385" t="s">
        <v>246</v>
      </c>
      <c r="F1206" s="385"/>
      <c r="G1206" s="385" t="s">
        <v>133</v>
      </c>
      <c r="H1206" s="385"/>
      <c r="I1206" s="385"/>
      <c r="J1206" s="30"/>
      <c r="K1206" s="385" t="s">
        <v>57</v>
      </c>
      <c r="L1206" s="385"/>
      <c r="M1206" s="385"/>
      <c r="N1206" s="385"/>
      <c r="O1206" s="385"/>
      <c r="P1206" s="385" t="str">
        <f>IFERROR(
    IF(
        OR(ISBLANK(I1206), ISBLANK(L1206)),
        "",
        MAX(
            1,
            IF(
                NETWORKDAYS(I1206, L1206, Holiday_Dates) &lt;= 0,
                1,
                NETWORKDAYS(I1206, L1206, Holiday_Dates) - IF(I1206 = L1206, 0, 1)
            )
        )
    ),
    ""
)</f>
        <v/>
      </c>
      <c r="Q1206" s="385" t="str">
        <f>IF(
    OR(ISBLANK(L1206), ISBLANK(M1206)),
    "",
    MAX(
        1,
        IF(
            NETWORKDAYS(L1206, M1206, Holiday_Dates) &lt;= 0,
            1,
            NETWORKDAYS(L1206, M1206, Holiday_Dates) - IF(L1206 = M1206, 0, 1)
        )
    )
)</f>
        <v/>
      </c>
      <c r="R1206" s="385" t="str">
        <f>IFERROR(
    IF(
        OR(ISBLANK(N1206), AND(ISBLANK(L1206), ISBLANK(M1206))),
        "",
        MAX(
            1,
            IF(
                NETWORKDAYS(IF(NOT(ISBLANK(M1206)), M1206, L1206), N1206, Holiday_Dates) &lt;= 0,
                1,
                NETWORKDAYS(IF(NOT(ISBLANK(M1206)), M1206, L1206), N1206, Holiday_Dates)
                - IF(IF(NOT(ISBLANK(M1206)), M1206, L1206) = N1206, 0, 1)
            )
        )
    ),
    ""
)</f>
        <v/>
      </c>
      <c r="S1206" s="385" t="str">
        <f>IFERROR(
    IF(
        OR(ISBLANK(N1206), ISBLANK(O1206)),
        "",
        MAX(
            1,
            IF(
                NETWORKDAYS(N1206, O1206, Holiday_Dates) &lt;= 0,
                1,
                NETWORKDAYS(N1206, O1206, Holiday_Dates) - IF(N1206 = O1206, 0, 1)
            )
        )
    ),
    ""
)</f>
        <v/>
      </c>
      <c r="T1206" s="385"/>
      <c r="U1206" s="385"/>
      <c r="V1206" s="385"/>
      <c r="W1206" s="385" t="s">
        <v>4710</v>
      </c>
      <c r="X1206" s="1"/>
    </row>
    <row r="1207" spans="1:24">
      <c r="A1207" s="385" t="s">
        <v>53</v>
      </c>
      <c r="B1207" s="385" t="s">
        <v>355</v>
      </c>
      <c r="C1207" s="385" t="s">
        <v>4505</v>
      </c>
      <c r="D1207" s="385" t="s">
        <v>89</v>
      </c>
      <c r="E1207" s="385" t="s">
        <v>42</v>
      </c>
      <c r="F1207" s="385"/>
      <c r="G1207" s="385" t="s">
        <v>133</v>
      </c>
      <c r="H1207" s="385"/>
      <c r="I1207" s="385"/>
      <c r="J1207" s="30"/>
      <c r="K1207" s="385" t="s">
        <v>57</v>
      </c>
      <c r="L1207" s="385"/>
      <c r="M1207" s="385"/>
      <c r="N1207" s="385"/>
      <c r="O1207" s="385"/>
      <c r="P1207" s="385" t="str">
        <f>IFERROR(
    IF(
        OR(ISBLANK(I1207), ISBLANK(L1207)),
        "",
        MAX(
            1,
            IF(
                NETWORKDAYS(I1207, L1207, Holiday_Dates) &lt;= 0,
                1,
                NETWORKDAYS(I1207, L1207, Holiday_Dates) - IF(I1207 = L1207, 0, 1)
            )
        )
    ),
    ""
)</f>
        <v/>
      </c>
      <c r="Q1207" s="385" t="str">
        <f>IF(
    OR(ISBLANK(L1207), ISBLANK(M1207)),
    "",
    MAX(
        1,
        IF(
            NETWORKDAYS(L1207, M1207, Holiday_Dates) &lt;= 0,
            1,
            NETWORKDAYS(L1207, M1207, Holiday_Dates) - IF(L1207 = M1207, 0, 1)
        )
    )
)</f>
        <v/>
      </c>
      <c r="R1207" s="385" t="str">
        <f>IFERROR(
    IF(
        OR(ISBLANK(N1207), AND(ISBLANK(L1207), ISBLANK(M1207))),
        "",
        MAX(
            1,
            IF(
                NETWORKDAYS(IF(NOT(ISBLANK(M1207)), M1207, L1207), N1207, Holiday_Dates) &lt;= 0,
                1,
                NETWORKDAYS(IF(NOT(ISBLANK(M1207)), M1207, L1207), N1207, Holiday_Dates)
                - IF(IF(NOT(ISBLANK(M1207)), M1207, L1207) = N1207, 0, 1)
            )
        )
    ),
    ""
)</f>
        <v/>
      </c>
      <c r="S1207" s="385" t="str">
        <f>IFERROR(
    IF(
        OR(ISBLANK(N1207), ISBLANK(O1207)),
        "",
        MAX(
            1,
            IF(
                NETWORKDAYS(N1207, O1207, Holiday_Dates) &lt;= 0,
                1,
                NETWORKDAYS(N1207, O1207, Holiday_Dates) - IF(N1207 = O1207, 0, 1)
            )
        )
    ),
    ""
)</f>
        <v/>
      </c>
      <c r="T1207" s="385"/>
      <c r="U1207" s="385"/>
      <c r="V1207" s="385"/>
      <c r="W1207" s="385" t="s">
        <v>4710</v>
      </c>
      <c r="X1207" s="1"/>
    </row>
    <row r="1208" spans="1:24">
      <c r="A1208" s="385" t="s">
        <v>65</v>
      </c>
      <c r="B1208" s="385" t="s">
        <v>526</v>
      </c>
      <c r="C1208" s="385" t="s">
        <v>3384</v>
      </c>
      <c r="D1208" s="385" t="s">
        <v>88</v>
      </c>
      <c r="E1208" s="385" t="s">
        <v>140</v>
      </c>
      <c r="F1208" s="385"/>
      <c r="G1208" s="385" t="s">
        <v>130</v>
      </c>
      <c r="H1208" s="385"/>
      <c r="I1208" s="385"/>
      <c r="J1208" s="30"/>
      <c r="K1208" s="385" t="s">
        <v>57</v>
      </c>
      <c r="L1208" s="385"/>
      <c r="M1208" s="385"/>
      <c r="N1208" s="385"/>
      <c r="O1208" s="385"/>
      <c r="P1208" s="385" t="str">
        <f>IFERROR(
    IF(
        OR(ISBLANK(I1208), ISBLANK(L1208)),
        "",
        MAX(
            1,
            IF(
                NETWORKDAYS(I1208, L1208, Holiday_Dates) &lt;= 0,
                1,
                NETWORKDAYS(I1208, L1208, Holiday_Dates) - IF(I1208 = L1208, 0, 1)
            )
        )
    ),
    ""
)</f>
        <v/>
      </c>
      <c r="Q1208" s="385" t="str">
        <f>IF(
    OR(ISBLANK(L1208), ISBLANK(M1208)),
    "",
    MAX(
        1,
        IF(
            NETWORKDAYS(L1208, M1208, Holiday_Dates) &lt;= 0,
            1,
            NETWORKDAYS(L1208, M1208, Holiday_Dates) - IF(L1208 = M1208, 0, 1)
        )
    )
)</f>
        <v/>
      </c>
      <c r="R1208" s="385" t="str">
        <f>IFERROR(
    IF(
        OR(ISBLANK(N1208), AND(ISBLANK(L1208), ISBLANK(M1208))),
        "",
        MAX(
            1,
            IF(
                NETWORKDAYS(IF(NOT(ISBLANK(M1208)), M1208, L1208), N1208, Holiday_Dates) &lt;= 0,
                1,
                NETWORKDAYS(IF(NOT(ISBLANK(M1208)), M1208, L1208), N1208, Holiday_Dates)
                - IF(IF(NOT(ISBLANK(M1208)), M1208, L1208) = N1208, 0, 1)
            )
        )
    ),
    ""
)</f>
        <v/>
      </c>
      <c r="S1208" s="385" t="str">
        <f>IFERROR(
    IF(
        OR(ISBLANK(N1208), ISBLANK(O1208)),
        "",
        MAX(
            1,
            IF(
                NETWORKDAYS(N1208, O1208, Holiday_Dates) &lt;= 0,
                1,
                NETWORKDAYS(N1208, O1208, Holiday_Dates) - IF(N1208 = O1208, 0, 1)
            )
        )
    ),
    ""
)</f>
        <v/>
      </c>
      <c r="T1208" s="385"/>
      <c r="U1208" s="385"/>
      <c r="V1208" s="385"/>
      <c r="W1208" s="385" t="s">
        <v>4710</v>
      </c>
      <c r="X1208" s="1"/>
    </row>
    <row r="1209" spans="1:24">
      <c r="A1209" s="385" t="s">
        <v>65</v>
      </c>
      <c r="B1209" s="385" t="s">
        <v>526</v>
      </c>
      <c r="C1209" s="385" t="s">
        <v>3386</v>
      </c>
      <c r="D1209" s="385" t="s">
        <v>88</v>
      </c>
      <c r="E1209" s="385" t="s">
        <v>140</v>
      </c>
      <c r="F1209" s="385"/>
      <c r="G1209" s="385" t="s">
        <v>130</v>
      </c>
      <c r="H1209" s="385"/>
      <c r="I1209" s="385"/>
      <c r="J1209" s="30"/>
      <c r="K1209" s="385" t="s">
        <v>57</v>
      </c>
      <c r="L1209" s="385"/>
      <c r="M1209" s="385"/>
      <c r="N1209" s="385"/>
      <c r="O1209" s="385"/>
      <c r="P1209" s="385" t="str">
        <f>IFERROR(
    IF(
        OR(ISBLANK(I1209), ISBLANK(L1209)),
        "",
        MAX(
            1,
            IF(
                NETWORKDAYS(I1209, L1209, Holiday_Dates) &lt;= 0,
                1,
                NETWORKDAYS(I1209, L1209, Holiday_Dates) - IF(I1209 = L1209, 0, 1)
            )
        )
    ),
    ""
)</f>
        <v/>
      </c>
      <c r="Q1209" s="385" t="str">
        <f>IF(
    OR(ISBLANK(L1209), ISBLANK(M1209)),
    "",
    MAX(
        1,
        IF(
            NETWORKDAYS(L1209, M1209, Holiday_Dates) &lt;= 0,
            1,
            NETWORKDAYS(L1209, M1209, Holiday_Dates) - IF(L1209 = M1209, 0, 1)
        )
    )
)</f>
        <v/>
      </c>
      <c r="R1209" s="385" t="str">
        <f>IFERROR(
    IF(
        OR(ISBLANK(N1209), AND(ISBLANK(L1209), ISBLANK(M1209))),
        "",
        MAX(
            1,
            IF(
                NETWORKDAYS(IF(NOT(ISBLANK(M1209)), M1209, L1209), N1209, Holiday_Dates) &lt;= 0,
                1,
                NETWORKDAYS(IF(NOT(ISBLANK(M1209)), M1209, L1209), N1209, Holiday_Dates)
                - IF(IF(NOT(ISBLANK(M1209)), M1209, L1209) = N1209, 0, 1)
            )
        )
    ),
    ""
)</f>
        <v/>
      </c>
      <c r="S1209" s="385" t="str">
        <f>IFERROR(
    IF(
        OR(ISBLANK(N1209), ISBLANK(O1209)),
        "",
        MAX(
            1,
            IF(
                NETWORKDAYS(N1209, O1209, Holiday_Dates) &lt;= 0,
                1,
                NETWORKDAYS(N1209, O1209, Holiday_Dates) - IF(N1209 = O1209, 0, 1)
            )
        )
    ),
    ""
)</f>
        <v/>
      </c>
      <c r="T1209" s="385"/>
      <c r="U1209" s="385"/>
      <c r="V1209" s="385"/>
      <c r="W1209" s="385" t="s">
        <v>4710</v>
      </c>
      <c r="X1209" s="1"/>
    </row>
    <row r="1210" spans="1:24">
      <c r="A1210" s="385" t="s">
        <v>65</v>
      </c>
      <c r="B1210" s="385" t="s">
        <v>507</v>
      </c>
      <c r="C1210" s="385" t="s">
        <v>2928</v>
      </c>
      <c r="D1210" s="385" t="s">
        <v>89</v>
      </c>
      <c r="E1210" s="385"/>
      <c r="F1210" s="385"/>
      <c r="G1210" s="385"/>
      <c r="H1210" s="385">
        <v>2025</v>
      </c>
      <c r="I1210" s="386">
        <v>45772</v>
      </c>
      <c r="J1210" s="30" t="s">
        <v>5214</v>
      </c>
      <c r="K1210" s="385"/>
      <c r="L1210" s="385"/>
      <c r="M1210" s="385"/>
      <c r="N1210" s="385"/>
      <c r="O1210" s="385"/>
      <c r="P1210" s="385" t="str">
        <f>IFERROR(
    IF(
        OR(ISBLANK(I1210), ISBLANK(L1210)),
        "",
        MAX(
            1,
            IF(
                NETWORKDAYS(I1210, L1210, Holiday_Dates) &lt;= 0,
                1,
                NETWORKDAYS(I1210, L1210, Holiday_Dates) - IF(I1210 = L1210, 0, 1)
            )
        )
    ),
    ""
)</f>
        <v/>
      </c>
      <c r="Q1210" s="385" t="str">
        <f>IF(
    OR(ISBLANK(L1210), ISBLANK(M1210)),
    "",
    MAX(
        1,
        IF(
            NETWORKDAYS(L1210, M1210, Holiday_Dates) &lt;= 0,
            1,
            NETWORKDAYS(L1210, M1210, Holiday_Dates) - IF(L1210 = M1210, 0, 1)
        )
    )
)</f>
        <v/>
      </c>
      <c r="R1210" s="385" t="str">
        <f>IFERROR(
    IF(
        OR(ISBLANK(N1210), AND(ISBLANK(L1210), ISBLANK(M1210))),
        "",
        MAX(
            1,
            IF(
                NETWORKDAYS(IF(NOT(ISBLANK(M1210)), M1210, L1210), N1210, Holiday_Dates) &lt;= 0,
                1,
                NETWORKDAYS(IF(NOT(ISBLANK(M1210)), M1210, L1210), N1210, Holiday_Dates)
                - IF(IF(NOT(ISBLANK(M1210)), M1210, L1210) = N1210, 0, 1)
            )
        )
    ),
    ""
)</f>
        <v/>
      </c>
      <c r="S1210" s="385" t="str">
        <f>IFERROR(
    IF(
        OR(ISBLANK(N1210), ISBLANK(O1210)),
        "",
        MAX(
            1,
            IF(
                NETWORKDAYS(N1210, O1210, Holiday_Dates) &lt;= 0,
                1,
                NETWORKDAYS(N1210, O1210, Holiday_Dates) - IF(N1210 = O1210, 0, 1)
            )
        )
    ),
    ""
)</f>
        <v/>
      </c>
      <c r="T1210" s="385"/>
      <c r="U1210" s="385" t="s">
        <v>672</v>
      </c>
      <c r="V1210" s="385" t="s">
        <v>101</v>
      </c>
      <c r="W1210" s="385" t="s">
        <v>1436</v>
      </c>
      <c r="X1210" s="1"/>
    </row>
    <row r="1211" spans="1:24">
      <c r="A1211" s="385" t="s">
        <v>65</v>
      </c>
      <c r="B1211" s="385" t="s">
        <v>526</v>
      </c>
      <c r="C1211" s="385" t="s">
        <v>2899</v>
      </c>
      <c r="D1211" s="385" t="s">
        <v>88</v>
      </c>
      <c r="E1211" s="385" t="s">
        <v>140</v>
      </c>
      <c r="F1211" s="385"/>
      <c r="G1211" s="385" t="s">
        <v>130</v>
      </c>
      <c r="H1211" s="385"/>
      <c r="I1211" s="385"/>
      <c r="J1211" s="30"/>
      <c r="K1211" s="385" t="s">
        <v>57</v>
      </c>
      <c r="L1211" s="385"/>
      <c r="M1211" s="385"/>
      <c r="N1211" s="385"/>
      <c r="O1211" s="385"/>
      <c r="P1211" s="385" t="str">
        <f>IFERROR(
    IF(
        OR(ISBLANK(I1211), ISBLANK(L1211)),
        "",
        MAX(
            1,
            IF(
                NETWORKDAYS(I1211, L1211, Holiday_Dates) &lt;= 0,
                1,
                NETWORKDAYS(I1211, L1211, Holiday_Dates) - IF(I1211 = L1211, 0, 1)
            )
        )
    ),
    ""
)</f>
        <v/>
      </c>
      <c r="Q1211" s="385" t="str">
        <f>IF(
    OR(ISBLANK(L1211), ISBLANK(M1211)),
    "",
    MAX(
        1,
        IF(
            NETWORKDAYS(L1211, M1211, Holiday_Dates) &lt;= 0,
            1,
            NETWORKDAYS(L1211, M1211, Holiday_Dates) - IF(L1211 = M1211, 0, 1)
        )
    )
)</f>
        <v/>
      </c>
      <c r="R1211" s="385" t="str">
        <f>IFERROR(
    IF(
        OR(ISBLANK(N1211), AND(ISBLANK(L1211), ISBLANK(M1211))),
        "",
        MAX(
            1,
            IF(
                NETWORKDAYS(IF(NOT(ISBLANK(M1211)), M1211, L1211), N1211, Holiday_Dates) &lt;= 0,
                1,
                NETWORKDAYS(IF(NOT(ISBLANK(M1211)), M1211, L1211), N1211, Holiday_Dates)
                - IF(IF(NOT(ISBLANK(M1211)), M1211, L1211) = N1211, 0, 1)
            )
        )
    ),
    ""
)</f>
        <v/>
      </c>
      <c r="S1211" s="385" t="str">
        <f>IFERROR(
    IF(
        OR(ISBLANK(N1211), ISBLANK(O1211)),
        "",
        MAX(
            1,
            IF(
                NETWORKDAYS(N1211, O1211, Holiday_Dates) &lt;= 0,
                1,
                NETWORKDAYS(N1211, O1211, Holiday_Dates) - IF(N1211 = O1211, 0, 1)
            )
        )
    ),
    ""
)</f>
        <v/>
      </c>
      <c r="T1211" s="385"/>
      <c r="U1211" s="385"/>
      <c r="V1211" s="385"/>
      <c r="W1211" s="385" t="s">
        <v>4710</v>
      </c>
      <c r="X1211" s="1"/>
    </row>
    <row r="1212" spans="1:24">
      <c r="A1212" s="385" t="s">
        <v>65</v>
      </c>
      <c r="B1212" s="385" t="s">
        <v>526</v>
      </c>
      <c r="C1212" s="385" t="s">
        <v>3388</v>
      </c>
      <c r="D1212" s="385" t="s">
        <v>88</v>
      </c>
      <c r="E1212" s="385" t="s">
        <v>140</v>
      </c>
      <c r="F1212" s="385"/>
      <c r="G1212" s="385" t="s">
        <v>130</v>
      </c>
      <c r="H1212" s="385"/>
      <c r="I1212" s="385"/>
      <c r="J1212" s="30"/>
      <c r="K1212" s="385" t="s">
        <v>57</v>
      </c>
      <c r="L1212" s="385"/>
      <c r="M1212" s="385"/>
      <c r="N1212" s="385"/>
      <c r="O1212" s="385"/>
      <c r="P1212" s="385" t="str">
        <f>IFERROR(
    IF(
        OR(ISBLANK(I1212), ISBLANK(L1212)),
        "",
        MAX(
            1,
            IF(
                NETWORKDAYS(I1212, L1212, Holiday_Dates) &lt;= 0,
                1,
                NETWORKDAYS(I1212, L1212, Holiday_Dates) - IF(I1212 = L1212, 0, 1)
            )
        )
    ),
    ""
)</f>
        <v/>
      </c>
      <c r="Q1212" s="385" t="str">
        <f>IF(
    OR(ISBLANK(L1212), ISBLANK(M1212)),
    "",
    MAX(
        1,
        IF(
            NETWORKDAYS(L1212, M1212, Holiday_Dates) &lt;= 0,
            1,
            NETWORKDAYS(L1212, M1212, Holiday_Dates) - IF(L1212 = M1212, 0, 1)
        )
    )
)</f>
        <v/>
      </c>
      <c r="R1212" s="385" t="str">
        <f>IFERROR(
    IF(
        OR(ISBLANK(N1212), AND(ISBLANK(L1212), ISBLANK(M1212))),
        "",
        MAX(
            1,
            IF(
                NETWORKDAYS(IF(NOT(ISBLANK(M1212)), M1212, L1212), N1212, Holiday_Dates) &lt;= 0,
                1,
                NETWORKDAYS(IF(NOT(ISBLANK(M1212)), M1212, L1212), N1212, Holiday_Dates)
                - IF(IF(NOT(ISBLANK(M1212)), M1212, L1212) = N1212, 0, 1)
            )
        )
    ),
    ""
)</f>
        <v/>
      </c>
      <c r="S1212" s="385" t="str">
        <f>IFERROR(
    IF(
        OR(ISBLANK(N1212), ISBLANK(O1212)),
        "",
        MAX(
            1,
            IF(
                NETWORKDAYS(N1212, O1212, Holiday_Dates) &lt;= 0,
                1,
                NETWORKDAYS(N1212, O1212, Holiday_Dates) - IF(N1212 = O1212, 0, 1)
            )
        )
    ),
    ""
)</f>
        <v/>
      </c>
      <c r="T1212" s="385"/>
      <c r="U1212" s="385"/>
      <c r="V1212" s="385"/>
      <c r="W1212" s="385" t="s">
        <v>4710</v>
      </c>
      <c r="X1212" s="1"/>
    </row>
    <row r="1213" spans="1:24">
      <c r="A1213" s="385" t="s">
        <v>65</v>
      </c>
      <c r="B1213" s="385" t="s">
        <v>526</v>
      </c>
      <c r="C1213" s="385" t="s">
        <v>926</v>
      </c>
      <c r="D1213" s="385" t="s">
        <v>88</v>
      </c>
      <c r="E1213" s="385" t="s">
        <v>140</v>
      </c>
      <c r="F1213" s="385"/>
      <c r="G1213" s="385" t="s">
        <v>130</v>
      </c>
      <c r="H1213" s="385"/>
      <c r="I1213" s="385"/>
      <c r="J1213" s="30"/>
      <c r="K1213" s="385" t="s">
        <v>57</v>
      </c>
      <c r="L1213" s="385"/>
      <c r="M1213" s="385"/>
      <c r="N1213" s="385"/>
      <c r="O1213" s="385"/>
      <c r="P1213" s="385" t="str">
        <f>IFERROR(
    IF(
        OR(ISBLANK(I1213), ISBLANK(L1213)),
        "",
        MAX(
            1,
            IF(
                NETWORKDAYS(I1213, L1213, Holiday_Dates) &lt;= 0,
                1,
                NETWORKDAYS(I1213, L1213, Holiday_Dates) - IF(I1213 = L1213, 0, 1)
            )
        )
    ),
    ""
)</f>
        <v/>
      </c>
      <c r="Q1213" s="385" t="str">
        <f>IF(
    OR(ISBLANK(L1213), ISBLANK(M1213)),
    "",
    MAX(
        1,
        IF(
            NETWORKDAYS(L1213, M1213, Holiday_Dates) &lt;= 0,
            1,
            NETWORKDAYS(L1213, M1213, Holiday_Dates) - IF(L1213 = M1213, 0, 1)
        )
    )
)</f>
        <v/>
      </c>
      <c r="R1213" s="385" t="str">
        <f>IFERROR(
    IF(
        OR(ISBLANK(N1213), AND(ISBLANK(L1213), ISBLANK(M1213))),
        "",
        MAX(
            1,
            IF(
                NETWORKDAYS(IF(NOT(ISBLANK(M1213)), M1213, L1213), N1213, Holiday_Dates) &lt;= 0,
                1,
                NETWORKDAYS(IF(NOT(ISBLANK(M1213)), M1213, L1213), N1213, Holiday_Dates)
                - IF(IF(NOT(ISBLANK(M1213)), M1213, L1213) = N1213, 0, 1)
            )
        )
    ),
    ""
)</f>
        <v/>
      </c>
      <c r="S1213" s="385" t="str">
        <f>IFERROR(
    IF(
        OR(ISBLANK(N1213), ISBLANK(O1213)),
        "",
        MAX(
            1,
            IF(
                NETWORKDAYS(N1213, O1213, Holiday_Dates) &lt;= 0,
                1,
                NETWORKDAYS(N1213, O1213, Holiday_Dates) - IF(N1213 = O1213, 0, 1)
            )
        )
    ),
    ""
)</f>
        <v/>
      </c>
      <c r="T1213" s="385"/>
      <c r="U1213" s="385"/>
      <c r="V1213" s="385"/>
      <c r="W1213" s="385" t="s">
        <v>4710</v>
      </c>
      <c r="X1213" s="1"/>
    </row>
    <row r="1214" spans="1:24">
      <c r="A1214" s="385" t="s">
        <v>65</v>
      </c>
      <c r="B1214" s="385" t="s">
        <v>526</v>
      </c>
      <c r="C1214" s="385" t="s">
        <v>3390</v>
      </c>
      <c r="D1214" s="385" t="s">
        <v>88</v>
      </c>
      <c r="E1214" s="385" t="s">
        <v>140</v>
      </c>
      <c r="F1214" s="385"/>
      <c r="G1214" s="385" t="s">
        <v>130</v>
      </c>
      <c r="H1214" s="385"/>
      <c r="I1214" s="385"/>
      <c r="J1214" s="30"/>
      <c r="K1214" s="385" t="s">
        <v>57</v>
      </c>
      <c r="L1214" s="385"/>
      <c r="M1214" s="385"/>
      <c r="N1214" s="385"/>
      <c r="O1214" s="385"/>
      <c r="P1214" s="385" t="str">
        <f>IFERROR(
    IF(
        OR(ISBLANK(I1214), ISBLANK(L1214)),
        "",
        MAX(
            1,
            IF(
                NETWORKDAYS(I1214, L1214, Holiday_Dates) &lt;= 0,
                1,
                NETWORKDAYS(I1214, L1214, Holiday_Dates) - IF(I1214 = L1214, 0, 1)
            )
        )
    ),
    ""
)</f>
        <v/>
      </c>
      <c r="Q1214" s="385" t="str">
        <f>IF(
    OR(ISBLANK(L1214), ISBLANK(M1214)),
    "",
    MAX(
        1,
        IF(
            NETWORKDAYS(L1214, M1214, Holiday_Dates) &lt;= 0,
            1,
            NETWORKDAYS(L1214, M1214, Holiday_Dates) - IF(L1214 = M1214, 0, 1)
        )
    )
)</f>
        <v/>
      </c>
      <c r="R1214" s="385" t="str">
        <f>IFERROR(
    IF(
        OR(ISBLANK(N1214), AND(ISBLANK(L1214), ISBLANK(M1214))),
        "",
        MAX(
            1,
            IF(
                NETWORKDAYS(IF(NOT(ISBLANK(M1214)), M1214, L1214), N1214, Holiday_Dates) &lt;= 0,
                1,
                NETWORKDAYS(IF(NOT(ISBLANK(M1214)), M1214, L1214), N1214, Holiday_Dates)
                - IF(IF(NOT(ISBLANK(M1214)), M1214, L1214) = N1214, 0, 1)
            )
        )
    ),
    ""
)</f>
        <v/>
      </c>
      <c r="S1214" s="385" t="str">
        <f>IFERROR(
    IF(
        OR(ISBLANK(N1214), ISBLANK(O1214)),
        "",
        MAX(
            1,
            IF(
                NETWORKDAYS(N1214, O1214, Holiday_Dates) &lt;= 0,
                1,
                NETWORKDAYS(N1214, O1214, Holiday_Dates) - IF(N1214 = O1214, 0, 1)
            )
        )
    ),
    ""
)</f>
        <v/>
      </c>
      <c r="T1214" s="385"/>
      <c r="U1214" s="385"/>
      <c r="V1214" s="385"/>
      <c r="W1214" s="385" t="s">
        <v>4710</v>
      </c>
      <c r="X1214" s="1"/>
    </row>
    <row r="1215" spans="1:24">
      <c r="A1215" s="385" t="s">
        <v>51</v>
      </c>
      <c r="B1215" s="385" t="s">
        <v>389</v>
      </c>
      <c r="C1215" s="385" t="s">
        <v>3539</v>
      </c>
      <c r="D1215" s="385" t="s">
        <v>88</v>
      </c>
      <c r="E1215" s="385" t="s">
        <v>32</v>
      </c>
      <c r="F1215" s="385"/>
      <c r="G1215" s="385" t="s">
        <v>133</v>
      </c>
      <c r="H1215" s="385"/>
      <c r="I1215" s="385"/>
      <c r="J1215" s="30"/>
      <c r="K1215" s="385" t="s">
        <v>57</v>
      </c>
      <c r="L1215" s="385"/>
      <c r="M1215" s="385"/>
      <c r="N1215" s="385"/>
      <c r="O1215" s="385"/>
      <c r="P1215" s="385" t="str">
        <f>IFERROR(
    IF(
        OR(ISBLANK(I1215), ISBLANK(L1215)),
        "",
        MAX(
            1,
            IF(
                NETWORKDAYS(I1215, L1215, Holiday_Dates) &lt;= 0,
                1,
                NETWORKDAYS(I1215, L1215, Holiday_Dates) - IF(I1215 = L1215, 0, 1)
            )
        )
    ),
    ""
)</f>
        <v/>
      </c>
      <c r="Q1215" s="385" t="str">
        <f>IF(
    OR(ISBLANK(L1215), ISBLANK(M1215)),
    "",
    MAX(
        1,
        IF(
            NETWORKDAYS(L1215, M1215, Holiday_Dates) &lt;= 0,
            1,
            NETWORKDAYS(L1215, M1215, Holiday_Dates) - IF(L1215 = M1215, 0, 1)
        )
    )
)</f>
        <v/>
      </c>
      <c r="R1215" s="385" t="str">
        <f>IFERROR(
    IF(
        OR(ISBLANK(N1215), AND(ISBLANK(L1215), ISBLANK(M1215))),
        "",
        MAX(
            1,
            IF(
                NETWORKDAYS(IF(NOT(ISBLANK(M1215)), M1215, L1215), N1215, Holiday_Dates) &lt;= 0,
                1,
                NETWORKDAYS(IF(NOT(ISBLANK(M1215)), M1215, L1215), N1215, Holiday_Dates)
                - IF(IF(NOT(ISBLANK(M1215)), M1215, L1215) = N1215, 0, 1)
            )
        )
    ),
    ""
)</f>
        <v/>
      </c>
      <c r="S1215" s="385" t="str">
        <f>IFERROR(
    IF(
        OR(ISBLANK(N1215), ISBLANK(O1215)),
        "",
        MAX(
            1,
            IF(
                NETWORKDAYS(N1215, O1215, Holiday_Dates) &lt;= 0,
                1,
                NETWORKDAYS(N1215, O1215, Holiday_Dates) - IF(N1215 = O1215, 0, 1)
            )
        )
    ),
    ""
)</f>
        <v/>
      </c>
      <c r="T1215" s="385"/>
      <c r="U1215" s="385"/>
      <c r="V1215" s="385"/>
      <c r="W1215" s="385" t="s">
        <v>4710</v>
      </c>
      <c r="X1215" s="1"/>
    </row>
    <row r="1216" spans="1:24">
      <c r="A1216" s="385" t="s">
        <v>65</v>
      </c>
      <c r="B1216" s="385" t="s">
        <v>507</v>
      </c>
      <c r="C1216" s="385" t="s">
        <v>2934</v>
      </c>
      <c r="D1216" s="385" t="s">
        <v>89</v>
      </c>
      <c r="E1216" s="385"/>
      <c r="F1216" s="385"/>
      <c r="G1216" s="385"/>
      <c r="H1216" s="385">
        <v>2025</v>
      </c>
      <c r="I1216" s="386">
        <v>45924</v>
      </c>
      <c r="J1216" s="30" t="s">
        <v>5215</v>
      </c>
      <c r="K1216" s="385"/>
      <c r="L1216" s="385"/>
      <c r="M1216" s="385"/>
      <c r="N1216" s="385"/>
      <c r="O1216" s="385"/>
      <c r="P1216" s="385" t="str">
        <f>IFERROR(
    IF(
        OR(ISBLANK(I1216), ISBLANK(L1216)),
        "",
        MAX(
            1,
            IF(
                NETWORKDAYS(I1216, L1216, Holiday_Dates) &lt;= 0,
                1,
                NETWORKDAYS(I1216, L1216, Holiday_Dates) - IF(I1216 = L1216, 0, 1)
            )
        )
    ),
    ""
)</f>
        <v/>
      </c>
      <c r="Q1216" s="385" t="str">
        <f>IF(
    OR(ISBLANK(L1216), ISBLANK(M1216)),
    "",
    MAX(
        1,
        IF(
            NETWORKDAYS(L1216, M1216, Holiday_Dates) &lt;= 0,
            1,
            NETWORKDAYS(L1216, M1216, Holiday_Dates) - IF(L1216 = M1216, 0, 1)
        )
    )
)</f>
        <v/>
      </c>
      <c r="R1216" s="385" t="str">
        <f>IFERROR(
    IF(
        OR(ISBLANK(N1216), AND(ISBLANK(L1216), ISBLANK(M1216))),
        "",
        MAX(
            1,
            IF(
                NETWORKDAYS(IF(NOT(ISBLANK(M1216)), M1216, L1216), N1216, Holiday_Dates) &lt;= 0,
                1,
                NETWORKDAYS(IF(NOT(ISBLANK(M1216)), M1216, L1216), N1216, Holiday_Dates)
                - IF(IF(NOT(ISBLANK(M1216)), M1216, L1216) = N1216, 0, 1)
            )
        )
    ),
    ""
)</f>
        <v/>
      </c>
      <c r="S1216" s="385" t="str">
        <f>IFERROR(
    IF(
        OR(ISBLANK(N1216), ISBLANK(O1216)),
        "",
        MAX(
            1,
            IF(
                NETWORKDAYS(N1216, O1216, Holiday_Dates) &lt;= 0,
                1,
                NETWORKDAYS(N1216, O1216, Holiday_Dates) - IF(N1216 = O1216, 0, 1)
            )
        )
    ),
    ""
)</f>
        <v/>
      </c>
      <c r="T1216" s="385"/>
      <c r="U1216" s="385" t="s">
        <v>672</v>
      </c>
      <c r="V1216" s="385" t="s">
        <v>108</v>
      </c>
      <c r="W1216" s="385" t="s">
        <v>1436</v>
      </c>
      <c r="X1216" s="1"/>
    </row>
    <row r="1217" spans="1:24">
      <c r="A1217" s="385" t="s">
        <v>51</v>
      </c>
      <c r="B1217" s="385" t="s">
        <v>389</v>
      </c>
      <c r="C1217" s="385" t="s">
        <v>3540</v>
      </c>
      <c r="D1217" s="385" t="s">
        <v>88</v>
      </c>
      <c r="E1217" s="385" t="s">
        <v>32</v>
      </c>
      <c r="F1217" s="385"/>
      <c r="G1217" s="385" t="s">
        <v>133</v>
      </c>
      <c r="H1217" s="385"/>
      <c r="I1217" s="385"/>
      <c r="J1217" s="30"/>
      <c r="K1217" s="385" t="s">
        <v>57</v>
      </c>
      <c r="L1217" s="385"/>
      <c r="M1217" s="385"/>
      <c r="N1217" s="385"/>
      <c r="O1217" s="385"/>
      <c r="P1217" s="385" t="str">
        <f>IFERROR(
    IF(
        OR(ISBLANK(I1217), ISBLANK(L1217)),
        "",
        MAX(
            1,
            IF(
                NETWORKDAYS(I1217, L1217, Holiday_Dates) &lt;= 0,
                1,
                NETWORKDAYS(I1217, L1217, Holiday_Dates) - IF(I1217 = L1217, 0, 1)
            )
        )
    ),
    ""
)</f>
        <v/>
      </c>
      <c r="Q1217" s="385" t="str">
        <f>IF(
    OR(ISBLANK(L1217), ISBLANK(M1217)),
    "",
    MAX(
        1,
        IF(
            NETWORKDAYS(L1217, M1217, Holiday_Dates) &lt;= 0,
            1,
            NETWORKDAYS(L1217, M1217, Holiday_Dates) - IF(L1217 = M1217, 0, 1)
        )
    )
)</f>
        <v/>
      </c>
      <c r="R1217" s="385" t="str">
        <f>IFERROR(
    IF(
        OR(ISBLANK(N1217), AND(ISBLANK(L1217), ISBLANK(M1217))),
        "",
        MAX(
            1,
            IF(
                NETWORKDAYS(IF(NOT(ISBLANK(M1217)), M1217, L1217), N1217, Holiday_Dates) &lt;= 0,
                1,
                NETWORKDAYS(IF(NOT(ISBLANK(M1217)), M1217, L1217), N1217, Holiday_Dates)
                - IF(IF(NOT(ISBLANK(M1217)), M1217, L1217) = N1217, 0, 1)
            )
        )
    ),
    ""
)</f>
        <v/>
      </c>
      <c r="S1217" s="385" t="str">
        <f>IFERROR(
    IF(
        OR(ISBLANK(N1217), ISBLANK(O1217)),
        "",
        MAX(
            1,
            IF(
                NETWORKDAYS(N1217, O1217, Holiday_Dates) &lt;= 0,
                1,
                NETWORKDAYS(N1217, O1217, Holiday_Dates) - IF(N1217 = O1217, 0, 1)
            )
        )
    ),
    ""
)</f>
        <v/>
      </c>
      <c r="T1217" s="385"/>
      <c r="U1217" s="385"/>
      <c r="V1217" s="385"/>
      <c r="W1217" s="385" t="s">
        <v>4710</v>
      </c>
      <c r="X1217" s="1"/>
    </row>
    <row r="1218" spans="1:24">
      <c r="A1218" s="385" t="s">
        <v>51</v>
      </c>
      <c r="B1218" s="385" t="s">
        <v>1377</v>
      </c>
      <c r="C1218" s="385" t="s">
        <v>3830</v>
      </c>
      <c r="D1218" s="385" t="s">
        <v>88</v>
      </c>
      <c r="E1218" s="385" t="s">
        <v>33</v>
      </c>
      <c r="F1218" s="385"/>
      <c r="G1218" s="385" t="s">
        <v>239</v>
      </c>
      <c r="H1218" s="385"/>
      <c r="I1218" s="385"/>
      <c r="J1218" s="30"/>
      <c r="K1218" s="385" t="s">
        <v>57</v>
      </c>
      <c r="L1218" s="385"/>
      <c r="M1218" s="385"/>
      <c r="N1218" s="385"/>
      <c r="O1218" s="385"/>
      <c r="P1218" s="385" t="str">
        <f>IFERROR(
    IF(
        OR(ISBLANK(I1218), ISBLANK(L1218)),
        "",
        MAX(
            1,
            IF(
                NETWORKDAYS(I1218, L1218, Holiday_Dates) &lt;= 0,
                1,
                NETWORKDAYS(I1218, L1218, Holiday_Dates) - IF(I1218 = L1218, 0, 1)
            )
        )
    ),
    ""
)</f>
        <v/>
      </c>
      <c r="Q1218" s="385" t="str">
        <f>IF(
    OR(ISBLANK(L1218), ISBLANK(M1218)),
    "",
    MAX(
        1,
        IF(
            NETWORKDAYS(L1218, M1218, Holiday_Dates) &lt;= 0,
            1,
            NETWORKDAYS(L1218, M1218, Holiday_Dates) - IF(L1218 = M1218, 0, 1)
        )
    )
)</f>
        <v/>
      </c>
      <c r="R1218" s="385" t="str">
        <f>IFERROR(
    IF(
        OR(ISBLANK(N1218), AND(ISBLANK(L1218), ISBLANK(M1218))),
        "",
        MAX(
            1,
            IF(
                NETWORKDAYS(IF(NOT(ISBLANK(M1218)), M1218, L1218), N1218, Holiday_Dates) &lt;= 0,
                1,
                NETWORKDAYS(IF(NOT(ISBLANK(M1218)), M1218, L1218), N1218, Holiday_Dates)
                - IF(IF(NOT(ISBLANK(M1218)), M1218, L1218) = N1218, 0, 1)
            )
        )
    ),
    ""
)</f>
        <v/>
      </c>
      <c r="S1218" s="385" t="str">
        <f>IFERROR(
    IF(
        OR(ISBLANK(N1218), ISBLANK(O1218)),
        "",
        MAX(
            1,
            IF(
                NETWORKDAYS(N1218, O1218, Holiday_Dates) &lt;= 0,
                1,
                NETWORKDAYS(N1218, O1218, Holiday_Dates) - IF(N1218 = O1218, 0, 1)
            )
        )
    ),
    ""
)</f>
        <v/>
      </c>
      <c r="T1218" s="385"/>
      <c r="U1218" s="385"/>
      <c r="V1218" s="385"/>
      <c r="W1218" s="385" t="s">
        <v>4710</v>
      </c>
      <c r="X1218" s="1"/>
    </row>
    <row r="1219" spans="1:24">
      <c r="A1219" s="385" t="s">
        <v>51</v>
      </c>
      <c r="B1219" s="385" t="s">
        <v>1377</v>
      </c>
      <c r="C1219" s="385" t="s">
        <v>3831</v>
      </c>
      <c r="D1219" s="385" t="s">
        <v>88</v>
      </c>
      <c r="E1219" s="385" t="s">
        <v>33</v>
      </c>
      <c r="F1219" s="385"/>
      <c r="G1219" s="385" t="s">
        <v>239</v>
      </c>
      <c r="H1219" s="385"/>
      <c r="I1219" s="385"/>
      <c r="J1219" s="30"/>
      <c r="K1219" s="385" t="s">
        <v>57</v>
      </c>
      <c r="L1219" s="385"/>
      <c r="M1219" s="385"/>
      <c r="N1219" s="385"/>
      <c r="O1219" s="385"/>
      <c r="P1219" s="385" t="str">
        <f>IFERROR(
    IF(
        OR(ISBLANK(I1219), ISBLANK(L1219)),
        "",
        MAX(
            1,
            IF(
                NETWORKDAYS(I1219, L1219, Holiday_Dates) &lt;= 0,
                1,
                NETWORKDAYS(I1219, L1219, Holiday_Dates) - IF(I1219 = L1219, 0, 1)
            )
        )
    ),
    ""
)</f>
        <v/>
      </c>
      <c r="Q1219" s="385" t="str">
        <f>IF(
    OR(ISBLANK(L1219), ISBLANK(M1219)),
    "",
    MAX(
        1,
        IF(
            NETWORKDAYS(L1219, M1219, Holiday_Dates) &lt;= 0,
            1,
            NETWORKDAYS(L1219, M1219, Holiday_Dates) - IF(L1219 = M1219, 0, 1)
        )
    )
)</f>
        <v/>
      </c>
      <c r="R1219" s="385" t="str">
        <f>IFERROR(
    IF(
        OR(ISBLANK(N1219), AND(ISBLANK(L1219), ISBLANK(M1219))),
        "",
        MAX(
            1,
            IF(
                NETWORKDAYS(IF(NOT(ISBLANK(M1219)), M1219, L1219), N1219, Holiday_Dates) &lt;= 0,
                1,
                NETWORKDAYS(IF(NOT(ISBLANK(M1219)), M1219, L1219), N1219, Holiday_Dates)
                - IF(IF(NOT(ISBLANK(M1219)), M1219, L1219) = N1219, 0, 1)
            )
        )
    ),
    ""
)</f>
        <v/>
      </c>
      <c r="S1219" s="385" t="str">
        <f>IFERROR(
    IF(
        OR(ISBLANK(N1219), ISBLANK(O1219)),
        "",
        MAX(
            1,
            IF(
                NETWORKDAYS(N1219, O1219, Holiday_Dates) &lt;= 0,
                1,
                NETWORKDAYS(N1219, O1219, Holiday_Dates) - IF(N1219 = O1219, 0, 1)
            )
        )
    ),
    ""
)</f>
        <v/>
      </c>
      <c r="T1219" s="385"/>
      <c r="U1219" s="385"/>
      <c r="V1219" s="385"/>
      <c r="W1219" s="385" t="s">
        <v>4710</v>
      </c>
      <c r="X1219" s="1"/>
    </row>
    <row r="1220" spans="1:24">
      <c r="A1220" s="385" t="s">
        <v>51</v>
      </c>
      <c r="B1220" s="385" t="s">
        <v>1377</v>
      </c>
      <c r="C1220" s="385" t="s">
        <v>3832</v>
      </c>
      <c r="D1220" s="385" t="s">
        <v>88</v>
      </c>
      <c r="E1220" s="385" t="s">
        <v>33</v>
      </c>
      <c r="F1220" s="385"/>
      <c r="G1220" s="385" t="s">
        <v>239</v>
      </c>
      <c r="H1220" s="385"/>
      <c r="I1220" s="385"/>
      <c r="J1220" s="30"/>
      <c r="K1220" s="385" t="s">
        <v>57</v>
      </c>
      <c r="L1220" s="385"/>
      <c r="M1220" s="385"/>
      <c r="N1220" s="385"/>
      <c r="O1220" s="385"/>
      <c r="P1220" s="385" t="str">
        <f>IFERROR(
    IF(
        OR(ISBLANK(I1220), ISBLANK(L1220)),
        "",
        MAX(
            1,
            IF(
                NETWORKDAYS(I1220, L1220, Holiday_Dates) &lt;= 0,
                1,
                NETWORKDAYS(I1220, L1220, Holiday_Dates) - IF(I1220 = L1220, 0, 1)
            )
        )
    ),
    ""
)</f>
        <v/>
      </c>
      <c r="Q1220" s="385" t="str">
        <f>IF(
    OR(ISBLANK(L1220), ISBLANK(M1220)),
    "",
    MAX(
        1,
        IF(
            NETWORKDAYS(L1220, M1220, Holiday_Dates) &lt;= 0,
            1,
            NETWORKDAYS(L1220, M1220, Holiday_Dates) - IF(L1220 = M1220, 0, 1)
        )
    )
)</f>
        <v/>
      </c>
      <c r="R1220" s="385" t="str">
        <f>IFERROR(
    IF(
        OR(ISBLANK(N1220), AND(ISBLANK(L1220), ISBLANK(M1220))),
        "",
        MAX(
            1,
            IF(
                NETWORKDAYS(IF(NOT(ISBLANK(M1220)), M1220, L1220), N1220, Holiday_Dates) &lt;= 0,
                1,
                NETWORKDAYS(IF(NOT(ISBLANK(M1220)), M1220, L1220), N1220, Holiday_Dates)
                - IF(IF(NOT(ISBLANK(M1220)), M1220, L1220) = N1220, 0, 1)
            )
        )
    ),
    ""
)</f>
        <v/>
      </c>
      <c r="S1220" s="385" t="str">
        <f>IFERROR(
    IF(
        OR(ISBLANK(N1220), ISBLANK(O1220)),
        "",
        MAX(
            1,
            IF(
                NETWORKDAYS(N1220, O1220, Holiday_Dates) &lt;= 0,
                1,
                NETWORKDAYS(N1220, O1220, Holiday_Dates) - IF(N1220 = O1220, 0, 1)
            )
        )
    ),
    ""
)</f>
        <v/>
      </c>
      <c r="T1220" s="385"/>
      <c r="U1220" s="385"/>
      <c r="V1220" s="385"/>
      <c r="W1220" s="385" t="s">
        <v>4710</v>
      </c>
      <c r="X1220" s="1"/>
    </row>
    <row r="1221" spans="1:24">
      <c r="A1221" s="385" t="s">
        <v>51</v>
      </c>
      <c r="B1221" s="385" t="s">
        <v>1377</v>
      </c>
      <c r="C1221" s="385" t="s">
        <v>3833</v>
      </c>
      <c r="D1221" s="385" t="s">
        <v>88</v>
      </c>
      <c r="E1221" s="385" t="s">
        <v>33</v>
      </c>
      <c r="F1221" s="385"/>
      <c r="G1221" s="385" t="s">
        <v>239</v>
      </c>
      <c r="H1221" s="385"/>
      <c r="I1221" s="385"/>
      <c r="J1221" s="30"/>
      <c r="K1221" s="385" t="s">
        <v>57</v>
      </c>
      <c r="L1221" s="385"/>
      <c r="M1221" s="385"/>
      <c r="N1221" s="385"/>
      <c r="O1221" s="385"/>
      <c r="P1221" s="385" t="str">
        <f>IFERROR(
    IF(
        OR(ISBLANK(I1221), ISBLANK(L1221)),
        "",
        MAX(
            1,
            IF(
                NETWORKDAYS(I1221, L1221, Holiday_Dates) &lt;= 0,
                1,
                NETWORKDAYS(I1221, L1221, Holiday_Dates) - IF(I1221 = L1221, 0, 1)
            )
        )
    ),
    ""
)</f>
        <v/>
      </c>
      <c r="Q1221" s="385" t="str">
        <f>IF(
    OR(ISBLANK(L1221), ISBLANK(M1221)),
    "",
    MAX(
        1,
        IF(
            NETWORKDAYS(L1221, M1221, Holiday_Dates) &lt;= 0,
            1,
            NETWORKDAYS(L1221, M1221, Holiday_Dates) - IF(L1221 = M1221, 0, 1)
        )
    )
)</f>
        <v/>
      </c>
      <c r="R1221" s="385" t="str">
        <f>IFERROR(
    IF(
        OR(ISBLANK(N1221), AND(ISBLANK(L1221), ISBLANK(M1221))),
        "",
        MAX(
            1,
            IF(
                NETWORKDAYS(IF(NOT(ISBLANK(M1221)), M1221, L1221), N1221, Holiday_Dates) &lt;= 0,
                1,
                NETWORKDAYS(IF(NOT(ISBLANK(M1221)), M1221, L1221), N1221, Holiday_Dates)
                - IF(IF(NOT(ISBLANK(M1221)), M1221, L1221) = N1221, 0, 1)
            )
        )
    ),
    ""
)</f>
        <v/>
      </c>
      <c r="S1221" s="385" t="str">
        <f>IFERROR(
    IF(
        OR(ISBLANK(N1221), ISBLANK(O1221)),
        "",
        MAX(
            1,
            IF(
                NETWORKDAYS(N1221, O1221, Holiday_Dates) &lt;= 0,
                1,
                NETWORKDAYS(N1221, O1221, Holiday_Dates) - IF(N1221 = O1221, 0, 1)
            )
        )
    ),
    ""
)</f>
        <v/>
      </c>
      <c r="T1221" s="385"/>
      <c r="U1221" s="385"/>
      <c r="V1221" s="385"/>
      <c r="W1221" s="385" t="s">
        <v>4710</v>
      </c>
      <c r="X1221" s="1"/>
    </row>
    <row r="1222" spans="1:24">
      <c r="A1222" s="385" t="s">
        <v>51</v>
      </c>
      <c r="B1222" s="385" t="s">
        <v>1377</v>
      </c>
      <c r="C1222" s="385" t="s">
        <v>3839</v>
      </c>
      <c r="D1222" s="385" t="s">
        <v>88</v>
      </c>
      <c r="E1222" s="385" t="s">
        <v>33</v>
      </c>
      <c r="F1222" s="385"/>
      <c r="G1222" s="385" t="s">
        <v>239</v>
      </c>
      <c r="H1222" s="385"/>
      <c r="I1222" s="385"/>
      <c r="J1222" s="30"/>
      <c r="K1222" s="385" t="s">
        <v>57</v>
      </c>
      <c r="L1222" s="385"/>
      <c r="M1222" s="385"/>
      <c r="N1222" s="385"/>
      <c r="O1222" s="385"/>
      <c r="P1222" s="385" t="str">
        <f>IFERROR(
    IF(
        OR(ISBLANK(I1222), ISBLANK(L1222)),
        "",
        MAX(
            1,
            IF(
                NETWORKDAYS(I1222, L1222, Holiday_Dates) &lt;= 0,
                1,
                NETWORKDAYS(I1222, L1222, Holiday_Dates) - IF(I1222 = L1222, 0, 1)
            )
        )
    ),
    ""
)</f>
        <v/>
      </c>
      <c r="Q1222" s="385" t="str">
        <f>IF(
    OR(ISBLANK(L1222), ISBLANK(M1222)),
    "",
    MAX(
        1,
        IF(
            NETWORKDAYS(L1222, M1222, Holiday_Dates) &lt;= 0,
            1,
            NETWORKDAYS(L1222, M1222, Holiday_Dates) - IF(L1222 = M1222, 0, 1)
        )
    )
)</f>
        <v/>
      </c>
      <c r="R1222" s="385" t="str">
        <f>IFERROR(
    IF(
        OR(ISBLANK(N1222), AND(ISBLANK(L1222), ISBLANK(M1222))),
        "",
        MAX(
            1,
            IF(
                NETWORKDAYS(IF(NOT(ISBLANK(M1222)), M1222, L1222), N1222, Holiday_Dates) &lt;= 0,
                1,
                NETWORKDAYS(IF(NOT(ISBLANK(M1222)), M1222, L1222), N1222, Holiday_Dates)
                - IF(IF(NOT(ISBLANK(M1222)), M1222, L1222) = N1222, 0, 1)
            )
        )
    ),
    ""
)</f>
        <v/>
      </c>
      <c r="S1222" s="385" t="str">
        <f>IFERROR(
    IF(
        OR(ISBLANK(N1222), ISBLANK(O1222)),
        "",
        MAX(
            1,
            IF(
                NETWORKDAYS(N1222, O1222, Holiday_Dates) &lt;= 0,
                1,
                NETWORKDAYS(N1222, O1222, Holiday_Dates) - IF(N1222 = O1222, 0, 1)
            )
        )
    ),
    ""
)</f>
        <v/>
      </c>
      <c r="T1222" s="385"/>
      <c r="U1222" s="385"/>
      <c r="V1222" s="385"/>
      <c r="W1222" s="385" t="s">
        <v>4710</v>
      </c>
      <c r="X1222" s="1"/>
    </row>
    <row r="1223" spans="1:24">
      <c r="A1223" s="385" t="s">
        <v>51</v>
      </c>
      <c r="B1223" s="385" t="s">
        <v>532</v>
      </c>
      <c r="C1223" s="385" t="s">
        <v>3668</v>
      </c>
      <c r="D1223" s="385" t="s">
        <v>88</v>
      </c>
      <c r="E1223" s="385" t="s">
        <v>145</v>
      </c>
      <c r="F1223" s="385"/>
      <c r="G1223" s="385" t="s">
        <v>133</v>
      </c>
      <c r="H1223" s="385"/>
      <c r="I1223" s="385"/>
      <c r="J1223" s="30"/>
      <c r="K1223" s="385" t="s">
        <v>57</v>
      </c>
      <c r="L1223" s="385"/>
      <c r="M1223" s="385"/>
      <c r="N1223" s="385"/>
      <c r="O1223" s="385"/>
      <c r="P1223" s="385" t="str">
        <f>IFERROR(
    IF(
        OR(ISBLANK(I1223), ISBLANK(L1223)),
        "",
        MAX(
            1,
            IF(
                NETWORKDAYS(I1223, L1223, Holiday_Dates) &lt;= 0,
                1,
                NETWORKDAYS(I1223, L1223, Holiday_Dates) - IF(I1223 = L1223, 0, 1)
            )
        )
    ),
    ""
)</f>
        <v/>
      </c>
      <c r="Q1223" s="385" t="str">
        <f>IF(
    OR(ISBLANK(L1223), ISBLANK(M1223)),
    "",
    MAX(
        1,
        IF(
            NETWORKDAYS(L1223, M1223, Holiday_Dates) &lt;= 0,
            1,
            NETWORKDAYS(L1223, M1223, Holiday_Dates) - IF(L1223 = M1223, 0, 1)
        )
    )
)</f>
        <v/>
      </c>
      <c r="R1223" s="385" t="str">
        <f>IFERROR(
    IF(
        OR(ISBLANK(N1223), AND(ISBLANK(L1223), ISBLANK(M1223))),
        "",
        MAX(
            1,
            IF(
                NETWORKDAYS(IF(NOT(ISBLANK(M1223)), M1223, L1223), N1223, Holiday_Dates) &lt;= 0,
                1,
                NETWORKDAYS(IF(NOT(ISBLANK(M1223)), M1223, L1223), N1223, Holiday_Dates)
                - IF(IF(NOT(ISBLANK(M1223)), M1223, L1223) = N1223, 0, 1)
            )
        )
    ),
    ""
)</f>
        <v/>
      </c>
      <c r="S1223" s="385" t="str">
        <f>IFERROR(
    IF(
        OR(ISBLANK(N1223), ISBLANK(O1223)),
        "",
        MAX(
            1,
            IF(
                NETWORKDAYS(N1223, O1223, Holiday_Dates) &lt;= 0,
                1,
                NETWORKDAYS(N1223, O1223, Holiday_Dates) - IF(N1223 = O1223, 0, 1)
            )
        )
    ),
    ""
)</f>
        <v/>
      </c>
      <c r="T1223" s="385"/>
      <c r="U1223" s="385"/>
      <c r="V1223" s="385"/>
      <c r="W1223" s="385" t="s">
        <v>4710</v>
      </c>
      <c r="X1223" s="1"/>
    </row>
    <row r="1224" spans="1:24">
      <c r="A1224" s="385" t="s">
        <v>51</v>
      </c>
      <c r="B1224" s="385" t="s">
        <v>532</v>
      </c>
      <c r="C1224" s="385" t="s">
        <v>3651</v>
      </c>
      <c r="D1224" s="385" t="s">
        <v>88</v>
      </c>
      <c r="E1224" s="385" t="s">
        <v>145</v>
      </c>
      <c r="F1224" s="385"/>
      <c r="G1224" s="385" t="s">
        <v>133</v>
      </c>
      <c r="H1224" s="385"/>
      <c r="I1224" s="385"/>
      <c r="J1224" s="30"/>
      <c r="K1224" s="385" t="s">
        <v>57</v>
      </c>
      <c r="L1224" s="385"/>
      <c r="M1224" s="385"/>
      <c r="N1224" s="385"/>
      <c r="O1224" s="385"/>
      <c r="P1224" s="385" t="str">
        <f>IFERROR(
    IF(
        OR(ISBLANK(I1224), ISBLANK(L1224)),
        "",
        MAX(
            1,
            IF(
                NETWORKDAYS(I1224, L1224, Holiday_Dates) &lt;= 0,
                1,
                NETWORKDAYS(I1224, L1224, Holiday_Dates) - IF(I1224 = L1224, 0, 1)
            )
        )
    ),
    ""
)</f>
        <v/>
      </c>
      <c r="Q1224" s="385" t="str">
        <f>IF(
    OR(ISBLANK(L1224), ISBLANK(M1224)),
    "",
    MAX(
        1,
        IF(
            NETWORKDAYS(L1224, M1224, Holiday_Dates) &lt;= 0,
            1,
            NETWORKDAYS(L1224, M1224, Holiday_Dates) - IF(L1224 = M1224, 0, 1)
        )
    )
)</f>
        <v/>
      </c>
      <c r="R1224" s="385" t="str">
        <f>IFERROR(
    IF(
        OR(ISBLANK(N1224), AND(ISBLANK(L1224), ISBLANK(M1224))),
        "",
        MAX(
            1,
            IF(
                NETWORKDAYS(IF(NOT(ISBLANK(M1224)), M1224, L1224), N1224, Holiday_Dates) &lt;= 0,
                1,
                NETWORKDAYS(IF(NOT(ISBLANK(M1224)), M1224, L1224), N1224, Holiday_Dates)
                - IF(IF(NOT(ISBLANK(M1224)), M1224, L1224) = N1224, 0, 1)
            )
        )
    ),
    ""
)</f>
        <v/>
      </c>
      <c r="S1224" s="385" t="str">
        <f>IFERROR(
    IF(
        OR(ISBLANK(N1224), ISBLANK(O1224)),
        "",
        MAX(
            1,
            IF(
                NETWORKDAYS(N1224, O1224, Holiday_Dates) &lt;= 0,
                1,
                NETWORKDAYS(N1224, O1224, Holiday_Dates) - IF(N1224 = O1224, 0, 1)
            )
        )
    ),
    ""
)</f>
        <v/>
      </c>
      <c r="T1224" s="385"/>
      <c r="U1224" s="385"/>
      <c r="V1224" s="385"/>
      <c r="W1224" s="385" t="s">
        <v>4710</v>
      </c>
      <c r="X1224" s="1"/>
    </row>
    <row r="1225" spans="1:24">
      <c r="A1225" s="385" t="s">
        <v>51</v>
      </c>
      <c r="B1225" s="385" t="s">
        <v>532</v>
      </c>
      <c r="C1225" s="385" t="s">
        <v>3674</v>
      </c>
      <c r="D1225" s="385" t="s">
        <v>88</v>
      </c>
      <c r="E1225" s="385" t="s">
        <v>145</v>
      </c>
      <c r="F1225" s="385"/>
      <c r="G1225" s="385" t="s">
        <v>133</v>
      </c>
      <c r="H1225" s="385"/>
      <c r="I1225" s="385"/>
      <c r="J1225" s="30"/>
      <c r="K1225" s="385" t="s">
        <v>57</v>
      </c>
      <c r="L1225" s="385"/>
      <c r="M1225" s="385"/>
      <c r="N1225" s="385"/>
      <c r="O1225" s="385"/>
      <c r="P1225" s="385" t="str">
        <f>IFERROR(
    IF(
        OR(ISBLANK(I1225), ISBLANK(L1225)),
        "",
        MAX(
            1,
            IF(
                NETWORKDAYS(I1225, L1225, Holiday_Dates) &lt;= 0,
                1,
                NETWORKDAYS(I1225, L1225, Holiday_Dates) - IF(I1225 = L1225, 0, 1)
            )
        )
    ),
    ""
)</f>
        <v/>
      </c>
      <c r="Q1225" s="385" t="str">
        <f>IF(
    OR(ISBLANK(L1225), ISBLANK(M1225)),
    "",
    MAX(
        1,
        IF(
            NETWORKDAYS(L1225, M1225, Holiday_Dates) &lt;= 0,
            1,
            NETWORKDAYS(L1225, M1225, Holiday_Dates) - IF(L1225 = M1225, 0, 1)
        )
    )
)</f>
        <v/>
      </c>
      <c r="R1225" s="385" t="str">
        <f>IFERROR(
    IF(
        OR(ISBLANK(N1225), AND(ISBLANK(L1225), ISBLANK(M1225))),
        "",
        MAX(
            1,
            IF(
                NETWORKDAYS(IF(NOT(ISBLANK(M1225)), M1225, L1225), N1225, Holiday_Dates) &lt;= 0,
                1,
                NETWORKDAYS(IF(NOT(ISBLANK(M1225)), M1225, L1225), N1225, Holiday_Dates)
                - IF(IF(NOT(ISBLANK(M1225)), M1225, L1225) = N1225, 0, 1)
            )
        )
    ),
    ""
)</f>
        <v/>
      </c>
      <c r="S1225" s="385" t="str">
        <f>IFERROR(
    IF(
        OR(ISBLANK(N1225), ISBLANK(O1225)),
        "",
        MAX(
            1,
            IF(
                NETWORKDAYS(N1225, O1225, Holiday_Dates) &lt;= 0,
                1,
                NETWORKDAYS(N1225, O1225, Holiday_Dates) - IF(N1225 = O1225, 0, 1)
            )
        )
    ),
    ""
)</f>
        <v/>
      </c>
      <c r="T1225" s="385"/>
      <c r="U1225" s="385"/>
      <c r="V1225" s="385"/>
      <c r="W1225" s="385" t="s">
        <v>4710</v>
      </c>
      <c r="X1225" s="1"/>
    </row>
    <row r="1226" spans="1:24">
      <c r="A1226" s="385" t="s">
        <v>51</v>
      </c>
      <c r="B1226" s="385" t="s">
        <v>532</v>
      </c>
      <c r="C1226" s="385" t="s">
        <v>3675</v>
      </c>
      <c r="D1226" s="385" t="s">
        <v>88</v>
      </c>
      <c r="E1226" s="385" t="s">
        <v>145</v>
      </c>
      <c r="F1226" s="385"/>
      <c r="G1226" s="385" t="s">
        <v>133</v>
      </c>
      <c r="H1226" s="385"/>
      <c r="I1226" s="385"/>
      <c r="J1226" s="30"/>
      <c r="K1226" s="385" t="s">
        <v>57</v>
      </c>
      <c r="L1226" s="385"/>
      <c r="M1226" s="385"/>
      <c r="N1226" s="385"/>
      <c r="O1226" s="385"/>
      <c r="P1226" s="385" t="str">
        <f>IFERROR(
    IF(
        OR(ISBLANK(I1226), ISBLANK(L1226)),
        "",
        MAX(
            1,
            IF(
                NETWORKDAYS(I1226, L1226, Holiday_Dates) &lt;= 0,
                1,
                NETWORKDAYS(I1226, L1226, Holiday_Dates) - IF(I1226 = L1226, 0, 1)
            )
        )
    ),
    ""
)</f>
        <v/>
      </c>
      <c r="Q1226" s="385" t="str">
        <f>IF(
    OR(ISBLANK(L1226), ISBLANK(M1226)),
    "",
    MAX(
        1,
        IF(
            NETWORKDAYS(L1226, M1226, Holiday_Dates) &lt;= 0,
            1,
            NETWORKDAYS(L1226, M1226, Holiday_Dates) - IF(L1226 = M1226, 0, 1)
        )
    )
)</f>
        <v/>
      </c>
      <c r="R1226" s="385" t="str">
        <f>IFERROR(
    IF(
        OR(ISBLANK(N1226), AND(ISBLANK(L1226), ISBLANK(M1226))),
        "",
        MAX(
            1,
            IF(
                NETWORKDAYS(IF(NOT(ISBLANK(M1226)), M1226, L1226), N1226, Holiday_Dates) &lt;= 0,
                1,
                NETWORKDAYS(IF(NOT(ISBLANK(M1226)), M1226, L1226), N1226, Holiday_Dates)
                - IF(IF(NOT(ISBLANK(M1226)), M1226, L1226) = N1226, 0, 1)
            )
        )
    ),
    ""
)</f>
        <v/>
      </c>
      <c r="S1226" s="385" t="str">
        <f>IFERROR(
    IF(
        OR(ISBLANK(N1226), ISBLANK(O1226)),
        "",
        MAX(
            1,
            IF(
                NETWORKDAYS(N1226, O1226, Holiday_Dates) &lt;= 0,
                1,
                NETWORKDAYS(N1226, O1226, Holiday_Dates) - IF(N1226 = O1226, 0, 1)
            )
        )
    ),
    ""
)</f>
        <v/>
      </c>
      <c r="T1226" s="385"/>
      <c r="U1226" s="385"/>
      <c r="V1226" s="385"/>
      <c r="W1226" s="385" t="s">
        <v>4710</v>
      </c>
      <c r="X1226" s="1"/>
    </row>
    <row r="1227" spans="1:24">
      <c r="A1227" s="385" t="s">
        <v>65</v>
      </c>
      <c r="B1227" s="385" t="s">
        <v>507</v>
      </c>
      <c r="C1227" s="385" t="s">
        <v>2942</v>
      </c>
      <c r="D1227" s="385" t="s">
        <v>89</v>
      </c>
      <c r="E1227" s="385"/>
      <c r="F1227" s="385"/>
      <c r="G1227" s="385"/>
      <c r="H1227" s="385">
        <v>2025</v>
      </c>
      <c r="I1227" s="386">
        <v>45924</v>
      </c>
      <c r="J1227" s="30" t="s">
        <v>5216</v>
      </c>
      <c r="K1227" s="385"/>
      <c r="L1227" s="385"/>
      <c r="M1227" s="385"/>
      <c r="N1227" s="385"/>
      <c r="O1227" s="385"/>
      <c r="P1227" s="385" t="str">
        <f>IFERROR(
    IF(
        OR(ISBLANK(I1227), ISBLANK(L1227)),
        "",
        MAX(
            1,
            IF(
                NETWORKDAYS(I1227, L1227, Holiday_Dates) &lt;= 0,
                1,
                NETWORKDAYS(I1227, L1227, Holiday_Dates) - IF(I1227 = L1227, 0, 1)
            )
        )
    ),
    ""
)</f>
        <v/>
      </c>
      <c r="Q1227" s="385" t="str">
        <f>IF(
    OR(ISBLANK(L1227), ISBLANK(M1227)),
    "",
    MAX(
        1,
        IF(
            NETWORKDAYS(L1227, M1227, Holiday_Dates) &lt;= 0,
            1,
            NETWORKDAYS(L1227, M1227, Holiday_Dates) - IF(L1227 = M1227, 0, 1)
        )
    )
)</f>
        <v/>
      </c>
      <c r="R1227" s="385" t="str">
        <f>IFERROR(
    IF(
        OR(ISBLANK(N1227), AND(ISBLANK(L1227), ISBLANK(M1227))),
        "",
        MAX(
            1,
            IF(
                NETWORKDAYS(IF(NOT(ISBLANK(M1227)), M1227, L1227), N1227, Holiday_Dates) &lt;= 0,
                1,
                NETWORKDAYS(IF(NOT(ISBLANK(M1227)), M1227, L1227), N1227, Holiday_Dates)
                - IF(IF(NOT(ISBLANK(M1227)), M1227, L1227) = N1227, 0, 1)
            )
        )
    ),
    ""
)</f>
        <v/>
      </c>
      <c r="S1227" s="385" t="str">
        <f>IFERROR(
    IF(
        OR(ISBLANK(N1227), ISBLANK(O1227)),
        "",
        MAX(
            1,
            IF(
                NETWORKDAYS(N1227, O1227, Holiday_Dates) &lt;= 0,
                1,
                NETWORKDAYS(N1227, O1227, Holiday_Dates) - IF(N1227 = O1227, 0, 1)
            )
        )
    ),
    ""
)</f>
        <v/>
      </c>
      <c r="T1227" s="385"/>
      <c r="U1227" s="385" t="s">
        <v>672</v>
      </c>
      <c r="V1227" s="385" t="s">
        <v>108</v>
      </c>
      <c r="W1227" s="385" t="s">
        <v>1436</v>
      </c>
      <c r="X1227" s="1"/>
    </row>
    <row r="1228" spans="1:24">
      <c r="A1228" s="385" t="s">
        <v>51</v>
      </c>
      <c r="B1228" s="385" t="s">
        <v>532</v>
      </c>
      <c r="C1228" s="385" t="s">
        <v>3677</v>
      </c>
      <c r="D1228" s="385" t="s">
        <v>88</v>
      </c>
      <c r="E1228" s="385" t="s">
        <v>145</v>
      </c>
      <c r="F1228" s="385"/>
      <c r="G1228" s="385" t="s">
        <v>133</v>
      </c>
      <c r="H1228" s="385"/>
      <c r="I1228" s="385"/>
      <c r="J1228" s="30"/>
      <c r="K1228" s="385" t="s">
        <v>57</v>
      </c>
      <c r="L1228" s="385"/>
      <c r="M1228" s="385"/>
      <c r="N1228" s="385"/>
      <c r="O1228" s="385"/>
      <c r="P1228" s="385" t="str">
        <f>IFERROR(
    IF(
        OR(ISBLANK(I1228), ISBLANK(L1228)),
        "",
        MAX(
            1,
            IF(
                NETWORKDAYS(I1228, L1228, Holiday_Dates) &lt;= 0,
                1,
                NETWORKDAYS(I1228, L1228, Holiday_Dates) - IF(I1228 = L1228, 0, 1)
            )
        )
    ),
    ""
)</f>
        <v/>
      </c>
      <c r="Q1228" s="385" t="str">
        <f>IF(
    OR(ISBLANK(L1228), ISBLANK(M1228)),
    "",
    MAX(
        1,
        IF(
            NETWORKDAYS(L1228, M1228, Holiday_Dates) &lt;= 0,
            1,
            NETWORKDAYS(L1228, M1228, Holiday_Dates) - IF(L1228 = M1228, 0, 1)
        )
    )
)</f>
        <v/>
      </c>
      <c r="R1228" s="385" t="str">
        <f>IFERROR(
    IF(
        OR(ISBLANK(N1228), AND(ISBLANK(L1228), ISBLANK(M1228))),
        "",
        MAX(
            1,
            IF(
                NETWORKDAYS(IF(NOT(ISBLANK(M1228)), M1228, L1228), N1228, Holiday_Dates) &lt;= 0,
                1,
                NETWORKDAYS(IF(NOT(ISBLANK(M1228)), M1228, L1228), N1228, Holiday_Dates)
                - IF(IF(NOT(ISBLANK(M1228)), M1228, L1228) = N1228, 0, 1)
            )
        )
    ),
    ""
)</f>
        <v/>
      </c>
      <c r="S1228" s="385" t="str">
        <f>IFERROR(
    IF(
        OR(ISBLANK(N1228), ISBLANK(O1228)),
        "",
        MAX(
            1,
            IF(
                NETWORKDAYS(N1228, O1228, Holiday_Dates) &lt;= 0,
                1,
                NETWORKDAYS(N1228, O1228, Holiday_Dates) - IF(N1228 = O1228, 0, 1)
            )
        )
    ),
    ""
)</f>
        <v/>
      </c>
      <c r="T1228" s="385"/>
      <c r="U1228" s="385"/>
      <c r="V1228" s="385"/>
      <c r="W1228" s="385" t="s">
        <v>4710</v>
      </c>
      <c r="X1228" s="1"/>
    </row>
    <row r="1229" spans="1:24">
      <c r="A1229" s="385" t="s">
        <v>51</v>
      </c>
      <c r="B1229" s="385" t="s">
        <v>312</v>
      </c>
      <c r="C1229" s="385" t="s">
        <v>3755</v>
      </c>
      <c r="D1229" s="385" t="s">
        <v>88</v>
      </c>
      <c r="E1229" s="385" t="s">
        <v>142</v>
      </c>
      <c r="F1229" s="385"/>
      <c r="G1229" s="385" t="s">
        <v>239</v>
      </c>
      <c r="H1229" s="385"/>
      <c r="I1229" s="385"/>
      <c r="J1229" s="30"/>
      <c r="K1229" s="385" t="s">
        <v>57</v>
      </c>
      <c r="L1229" s="385"/>
      <c r="M1229" s="385"/>
      <c r="N1229" s="385"/>
      <c r="O1229" s="385"/>
      <c r="P1229" s="385" t="str">
        <f>IFERROR(
    IF(
        OR(ISBLANK(I1229), ISBLANK(L1229)),
        "",
        MAX(
            1,
            IF(
                NETWORKDAYS(I1229, L1229, Holiday_Dates) &lt;= 0,
                1,
                NETWORKDAYS(I1229, L1229, Holiday_Dates) - IF(I1229 = L1229, 0, 1)
            )
        )
    ),
    ""
)</f>
        <v/>
      </c>
      <c r="Q1229" s="385" t="str">
        <f>IF(
    OR(ISBLANK(L1229), ISBLANK(M1229)),
    "",
    MAX(
        1,
        IF(
            NETWORKDAYS(L1229, M1229, Holiday_Dates) &lt;= 0,
            1,
            NETWORKDAYS(L1229, M1229, Holiday_Dates) - IF(L1229 = M1229, 0, 1)
        )
    )
)</f>
        <v/>
      </c>
      <c r="R1229" s="385" t="str">
        <f>IFERROR(
    IF(
        OR(ISBLANK(N1229), AND(ISBLANK(L1229), ISBLANK(M1229))),
        "",
        MAX(
            1,
            IF(
                NETWORKDAYS(IF(NOT(ISBLANK(M1229)), M1229, L1229), N1229, Holiday_Dates) &lt;= 0,
                1,
                NETWORKDAYS(IF(NOT(ISBLANK(M1229)), M1229, L1229), N1229, Holiday_Dates)
                - IF(IF(NOT(ISBLANK(M1229)), M1229, L1229) = N1229, 0, 1)
            )
        )
    ),
    ""
)</f>
        <v/>
      </c>
      <c r="S1229" s="385" t="str">
        <f>IFERROR(
    IF(
        OR(ISBLANK(N1229), ISBLANK(O1229)),
        "",
        MAX(
            1,
            IF(
                NETWORKDAYS(N1229, O1229, Holiday_Dates) &lt;= 0,
                1,
                NETWORKDAYS(N1229, O1229, Holiday_Dates) - IF(N1229 = O1229, 0, 1)
            )
        )
    ),
    ""
)</f>
        <v/>
      </c>
      <c r="T1229" s="385"/>
      <c r="U1229" s="385"/>
      <c r="V1229" s="385"/>
      <c r="W1229" s="385" t="s">
        <v>4710</v>
      </c>
      <c r="X1229" s="1"/>
    </row>
    <row r="1230" spans="1:24">
      <c r="A1230" s="385" t="s">
        <v>51</v>
      </c>
      <c r="B1230" s="385" t="s">
        <v>312</v>
      </c>
      <c r="C1230" s="385" t="s">
        <v>3756</v>
      </c>
      <c r="D1230" s="385" t="s">
        <v>88</v>
      </c>
      <c r="E1230" s="385" t="s">
        <v>142</v>
      </c>
      <c r="F1230" s="385"/>
      <c r="G1230" s="385" t="s">
        <v>239</v>
      </c>
      <c r="H1230" s="385"/>
      <c r="I1230" s="385"/>
      <c r="J1230" s="30"/>
      <c r="K1230" s="385" t="s">
        <v>57</v>
      </c>
      <c r="L1230" s="385"/>
      <c r="M1230" s="385"/>
      <c r="N1230" s="385"/>
      <c r="O1230" s="385"/>
      <c r="P1230" s="385" t="str">
        <f>IFERROR(
    IF(
        OR(ISBLANK(I1230), ISBLANK(L1230)),
        "",
        MAX(
            1,
            IF(
                NETWORKDAYS(I1230, L1230, Holiday_Dates) &lt;= 0,
                1,
                NETWORKDAYS(I1230, L1230, Holiday_Dates) - IF(I1230 = L1230, 0, 1)
            )
        )
    ),
    ""
)</f>
        <v/>
      </c>
      <c r="Q1230" s="385" t="str">
        <f>IF(
    OR(ISBLANK(L1230), ISBLANK(M1230)),
    "",
    MAX(
        1,
        IF(
            NETWORKDAYS(L1230, M1230, Holiday_Dates) &lt;= 0,
            1,
            NETWORKDAYS(L1230, M1230, Holiday_Dates) - IF(L1230 = M1230, 0, 1)
        )
    )
)</f>
        <v/>
      </c>
      <c r="R1230" s="385" t="str">
        <f>IFERROR(
    IF(
        OR(ISBLANK(N1230), AND(ISBLANK(L1230), ISBLANK(M1230))),
        "",
        MAX(
            1,
            IF(
                NETWORKDAYS(IF(NOT(ISBLANK(M1230)), M1230, L1230), N1230, Holiday_Dates) &lt;= 0,
                1,
                NETWORKDAYS(IF(NOT(ISBLANK(M1230)), M1230, L1230), N1230, Holiday_Dates)
                - IF(IF(NOT(ISBLANK(M1230)), M1230, L1230) = N1230, 0, 1)
            )
        )
    ),
    ""
)</f>
        <v/>
      </c>
      <c r="S1230" s="385" t="str">
        <f>IFERROR(
    IF(
        OR(ISBLANK(N1230), ISBLANK(O1230)),
        "",
        MAX(
            1,
            IF(
                NETWORKDAYS(N1230, O1230, Holiday_Dates) &lt;= 0,
                1,
                NETWORKDAYS(N1230, O1230, Holiday_Dates) - IF(N1230 = O1230, 0, 1)
            )
        )
    ),
    ""
)</f>
        <v/>
      </c>
      <c r="T1230" s="385"/>
      <c r="U1230" s="385"/>
      <c r="V1230" s="385"/>
      <c r="W1230" s="385" t="s">
        <v>4710</v>
      </c>
      <c r="X1230" s="1"/>
    </row>
    <row r="1231" spans="1:24">
      <c r="A1231" s="385" t="s">
        <v>51</v>
      </c>
      <c r="B1231" s="385" t="s">
        <v>537</v>
      </c>
      <c r="C1231" s="385" t="s">
        <v>3764</v>
      </c>
      <c r="D1231" s="385" t="s">
        <v>88</v>
      </c>
      <c r="E1231" s="385" t="s">
        <v>32</v>
      </c>
      <c r="F1231" s="385"/>
      <c r="G1231" s="385" t="s">
        <v>133</v>
      </c>
      <c r="H1231" s="385"/>
      <c r="I1231" s="385"/>
      <c r="J1231" s="30"/>
      <c r="K1231" s="385" t="s">
        <v>57</v>
      </c>
      <c r="L1231" s="385"/>
      <c r="M1231" s="385"/>
      <c r="N1231" s="385"/>
      <c r="O1231" s="385"/>
      <c r="P1231" s="385" t="str">
        <f>IFERROR(
    IF(
        OR(ISBLANK(I1231), ISBLANK(L1231)),
        "",
        MAX(
            1,
            IF(
                NETWORKDAYS(I1231, L1231, Holiday_Dates) &lt;= 0,
                1,
                NETWORKDAYS(I1231, L1231, Holiday_Dates) - IF(I1231 = L1231, 0, 1)
            )
        )
    ),
    ""
)</f>
        <v/>
      </c>
      <c r="Q1231" s="385" t="str">
        <f>IF(
    OR(ISBLANK(L1231), ISBLANK(M1231)),
    "",
    MAX(
        1,
        IF(
            NETWORKDAYS(L1231, M1231, Holiday_Dates) &lt;= 0,
            1,
            NETWORKDAYS(L1231, M1231, Holiday_Dates) - IF(L1231 = M1231, 0, 1)
        )
    )
)</f>
        <v/>
      </c>
      <c r="R1231" s="385" t="str">
        <f>IFERROR(
    IF(
        OR(ISBLANK(N1231), AND(ISBLANK(L1231), ISBLANK(M1231))),
        "",
        MAX(
            1,
            IF(
                NETWORKDAYS(IF(NOT(ISBLANK(M1231)), M1231, L1231), N1231, Holiday_Dates) &lt;= 0,
                1,
                NETWORKDAYS(IF(NOT(ISBLANK(M1231)), M1231, L1231), N1231, Holiday_Dates)
                - IF(IF(NOT(ISBLANK(M1231)), M1231, L1231) = N1231, 0, 1)
            )
        )
    ),
    ""
)</f>
        <v/>
      </c>
      <c r="S1231" s="385" t="str">
        <f>IFERROR(
    IF(
        OR(ISBLANK(N1231), ISBLANK(O1231)),
        "",
        MAX(
            1,
            IF(
                NETWORKDAYS(N1231, O1231, Holiday_Dates) &lt;= 0,
                1,
                NETWORKDAYS(N1231, O1231, Holiday_Dates) - IF(N1231 = O1231, 0, 1)
            )
        )
    ),
    ""
)</f>
        <v/>
      </c>
      <c r="T1231" s="385"/>
      <c r="U1231" s="385"/>
      <c r="V1231" s="385"/>
      <c r="W1231" s="385" t="s">
        <v>4710</v>
      </c>
      <c r="X1231" s="1"/>
    </row>
    <row r="1232" spans="1:24">
      <c r="A1232" s="385" t="s">
        <v>51</v>
      </c>
      <c r="B1232" s="385" t="s">
        <v>537</v>
      </c>
      <c r="C1232" s="385" t="s">
        <v>3765</v>
      </c>
      <c r="D1232" s="385" t="s">
        <v>88</v>
      </c>
      <c r="E1232" s="385" t="s">
        <v>32</v>
      </c>
      <c r="F1232" s="385"/>
      <c r="G1232" s="385" t="s">
        <v>133</v>
      </c>
      <c r="H1232" s="385"/>
      <c r="I1232" s="385"/>
      <c r="J1232" s="30"/>
      <c r="K1232" s="385" t="s">
        <v>57</v>
      </c>
      <c r="L1232" s="385"/>
      <c r="M1232" s="385"/>
      <c r="N1232" s="385"/>
      <c r="O1232" s="385"/>
      <c r="P1232" s="385" t="str">
        <f>IFERROR(
    IF(
        OR(ISBLANK(I1232), ISBLANK(L1232)),
        "",
        MAX(
            1,
            IF(
                NETWORKDAYS(I1232, L1232, Holiday_Dates) &lt;= 0,
                1,
                NETWORKDAYS(I1232, L1232, Holiday_Dates) - IF(I1232 = L1232, 0, 1)
            )
        )
    ),
    ""
)</f>
        <v/>
      </c>
      <c r="Q1232" s="385" t="str">
        <f>IF(
    OR(ISBLANK(L1232), ISBLANK(M1232)),
    "",
    MAX(
        1,
        IF(
            NETWORKDAYS(L1232, M1232, Holiday_Dates) &lt;= 0,
            1,
            NETWORKDAYS(L1232, M1232, Holiday_Dates) - IF(L1232 = M1232, 0, 1)
        )
    )
)</f>
        <v/>
      </c>
      <c r="R1232" s="385" t="str">
        <f>IFERROR(
    IF(
        OR(ISBLANK(N1232), AND(ISBLANK(L1232), ISBLANK(M1232))),
        "",
        MAX(
            1,
            IF(
                NETWORKDAYS(IF(NOT(ISBLANK(M1232)), M1232, L1232), N1232, Holiday_Dates) &lt;= 0,
                1,
                NETWORKDAYS(IF(NOT(ISBLANK(M1232)), M1232, L1232), N1232, Holiday_Dates)
                - IF(IF(NOT(ISBLANK(M1232)), M1232, L1232) = N1232, 0, 1)
            )
        )
    ),
    ""
)</f>
        <v/>
      </c>
      <c r="S1232" s="385" t="str">
        <f>IFERROR(
    IF(
        OR(ISBLANK(N1232), ISBLANK(O1232)),
        "",
        MAX(
            1,
            IF(
                NETWORKDAYS(N1232, O1232, Holiday_Dates) &lt;= 0,
                1,
                NETWORKDAYS(N1232, O1232, Holiday_Dates) - IF(N1232 = O1232, 0, 1)
            )
        )
    ),
    ""
)</f>
        <v/>
      </c>
      <c r="T1232" s="385"/>
      <c r="U1232" s="385"/>
      <c r="V1232" s="385"/>
      <c r="W1232" s="385" t="s">
        <v>4710</v>
      </c>
      <c r="X1232" s="1"/>
    </row>
    <row r="1233" spans="1:24">
      <c r="A1233" s="385" t="s">
        <v>51</v>
      </c>
      <c r="B1233" s="385" t="s">
        <v>537</v>
      </c>
      <c r="C1233" s="385" t="s">
        <v>3766</v>
      </c>
      <c r="D1233" s="385" t="s">
        <v>88</v>
      </c>
      <c r="E1233" s="385" t="s">
        <v>32</v>
      </c>
      <c r="F1233" s="385"/>
      <c r="G1233" s="385" t="s">
        <v>133</v>
      </c>
      <c r="H1233" s="385"/>
      <c r="I1233" s="385"/>
      <c r="J1233" s="30"/>
      <c r="K1233" s="385" t="s">
        <v>57</v>
      </c>
      <c r="L1233" s="385"/>
      <c r="M1233" s="385"/>
      <c r="N1233" s="385"/>
      <c r="O1233" s="385"/>
      <c r="P1233" s="385" t="str">
        <f>IFERROR(
    IF(
        OR(ISBLANK(I1233), ISBLANK(L1233)),
        "",
        MAX(
            1,
            IF(
                NETWORKDAYS(I1233, L1233, Holiday_Dates) &lt;= 0,
                1,
                NETWORKDAYS(I1233, L1233, Holiday_Dates) - IF(I1233 = L1233, 0, 1)
            )
        )
    ),
    ""
)</f>
        <v/>
      </c>
      <c r="Q1233" s="385" t="str">
        <f>IF(
    OR(ISBLANK(L1233), ISBLANK(M1233)),
    "",
    MAX(
        1,
        IF(
            NETWORKDAYS(L1233, M1233, Holiday_Dates) &lt;= 0,
            1,
            NETWORKDAYS(L1233, M1233, Holiday_Dates) - IF(L1233 = M1233, 0, 1)
        )
    )
)</f>
        <v/>
      </c>
      <c r="R1233" s="385" t="str">
        <f>IFERROR(
    IF(
        OR(ISBLANK(N1233), AND(ISBLANK(L1233), ISBLANK(M1233))),
        "",
        MAX(
            1,
            IF(
                NETWORKDAYS(IF(NOT(ISBLANK(M1233)), M1233, L1233), N1233, Holiday_Dates) &lt;= 0,
                1,
                NETWORKDAYS(IF(NOT(ISBLANK(M1233)), M1233, L1233), N1233, Holiday_Dates)
                - IF(IF(NOT(ISBLANK(M1233)), M1233, L1233) = N1233, 0, 1)
            )
        )
    ),
    ""
)</f>
        <v/>
      </c>
      <c r="S1233" s="385" t="str">
        <f>IFERROR(
    IF(
        OR(ISBLANK(N1233), ISBLANK(O1233)),
        "",
        MAX(
            1,
            IF(
                NETWORKDAYS(N1233, O1233, Holiday_Dates) &lt;= 0,
                1,
                NETWORKDAYS(N1233, O1233, Holiday_Dates) - IF(N1233 = O1233, 0, 1)
            )
        )
    ),
    ""
)</f>
        <v/>
      </c>
      <c r="T1233" s="385"/>
      <c r="U1233" s="385"/>
      <c r="V1233" s="385"/>
      <c r="W1233" s="385" t="s">
        <v>4710</v>
      </c>
      <c r="X1233" s="1"/>
    </row>
    <row r="1234" spans="1:24">
      <c r="A1234" s="385" t="s">
        <v>51</v>
      </c>
      <c r="B1234" s="385" t="s">
        <v>537</v>
      </c>
      <c r="C1234" s="385" t="s">
        <v>3768</v>
      </c>
      <c r="D1234" s="385" t="s">
        <v>88</v>
      </c>
      <c r="E1234" s="385" t="s">
        <v>32</v>
      </c>
      <c r="F1234" s="385"/>
      <c r="G1234" s="385" t="s">
        <v>133</v>
      </c>
      <c r="H1234" s="385"/>
      <c r="I1234" s="385"/>
      <c r="J1234" s="30"/>
      <c r="K1234" s="385" t="s">
        <v>57</v>
      </c>
      <c r="L1234" s="385"/>
      <c r="M1234" s="385"/>
      <c r="N1234" s="385"/>
      <c r="O1234" s="385"/>
      <c r="P1234" s="385" t="str">
        <f>IFERROR(
    IF(
        OR(ISBLANK(I1234), ISBLANK(L1234)),
        "",
        MAX(
            1,
            IF(
                NETWORKDAYS(I1234, L1234, Holiday_Dates) &lt;= 0,
                1,
                NETWORKDAYS(I1234, L1234, Holiday_Dates) - IF(I1234 = L1234, 0, 1)
            )
        )
    ),
    ""
)</f>
        <v/>
      </c>
      <c r="Q1234" s="385" t="str">
        <f>IF(
    OR(ISBLANK(L1234), ISBLANK(M1234)),
    "",
    MAX(
        1,
        IF(
            NETWORKDAYS(L1234, M1234, Holiday_Dates) &lt;= 0,
            1,
            NETWORKDAYS(L1234, M1234, Holiday_Dates) - IF(L1234 = M1234, 0, 1)
        )
    )
)</f>
        <v/>
      </c>
      <c r="R1234" s="385" t="str">
        <f>IFERROR(
    IF(
        OR(ISBLANK(N1234), AND(ISBLANK(L1234), ISBLANK(M1234))),
        "",
        MAX(
            1,
            IF(
                NETWORKDAYS(IF(NOT(ISBLANK(M1234)), M1234, L1234), N1234, Holiday_Dates) &lt;= 0,
                1,
                NETWORKDAYS(IF(NOT(ISBLANK(M1234)), M1234, L1234), N1234, Holiday_Dates)
                - IF(IF(NOT(ISBLANK(M1234)), M1234, L1234) = N1234, 0, 1)
            )
        )
    ),
    ""
)</f>
        <v/>
      </c>
      <c r="S1234" s="385" t="str">
        <f>IFERROR(
    IF(
        OR(ISBLANK(N1234), ISBLANK(O1234)),
        "",
        MAX(
            1,
            IF(
                NETWORKDAYS(N1234, O1234, Holiday_Dates) &lt;= 0,
                1,
                NETWORKDAYS(N1234, O1234, Holiday_Dates) - IF(N1234 = O1234, 0, 1)
            )
        )
    ),
    ""
)</f>
        <v/>
      </c>
      <c r="T1234" s="385"/>
      <c r="U1234" s="385"/>
      <c r="V1234" s="385"/>
      <c r="W1234" s="385" t="s">
        <v>4710</v>
      </c>
      <c r="X1234" s="1"/>
    </row>
    <row r="1235" spans="1:24">
      <c r="A1235" s="385" t="s">
        <v>51</v>
      </c>
      <c r="B1235" s="385" t="s">
        <v>392</v>
      </c>
      <c r="C1235" s="385" t="s">
        <v>3780</v>
      </c>
      <c r="D1235" s="385" t="s">
        <v>88</v>
      </c>
      <c r="E1235" s="385" t="s">
        <v>142</v>
      </c>
      <c r="F1235" s="385"/>
      <c r="G1235" s="385" t="s">
        <v>239</v>
      </c>
      <c r="H1235" s="385"/>
      <c r="I1235" s="385"/>
      <c r="J1235" s="30"/>
      <c r="K1235" s="385" t="s">
        <v>57</v>
      </c>
      <c r="L1235" s="385"/>
      <c r="M1235" s="385"/>
      <c r="N1235" s="385"/>
      <c r="O1235" s="385"/>
      <c r="P1235" s="385" t="str">
        <f>IFERROR(
    IF(
        OR(ISBLANK(I1235), ISBLANK(L1235)),
        "",
        MAX(
            1,
            IF(
                NETWORKDAYS(I1235, L1235, Holiday_Dates) &lt;= 0,
                1,
                NETWORKDAYS(I1235, L1235, Holiday_Dates) - IF(I1235 = L1235, 0, 1)
            )
        )
    ),
    ""
)</f>
        <v/>
      </c>
      <c r="Q1235" s="385" t="str">
        <f>IF(
    OR(ISBLANK(L1235), ISBLANK(M1235)),
    "",
    MAX(
        1,
        IF(
            NETWORKDAYS(L1235, M1235, Holiday_Dates) &lt;= 0,
            1,
            NETWORKDAYS(L1235, M1235, Holiday_Dates) - IF(L1235 = M1235, 0, 1)
        )
    )
)</f>
        <v/>
      </c>
      <c r="R1235" s="385" t="str">
        <f>IFERROR(
    IF(
        OR(ISBLANK(N1235), AND(ISBLANK(L1235), ISBLANK(M1235))),
        "",
        MAX(
            1,
            IF(
                NETWORKDAYS(IF(NOT(ISBLANK(M1235)), M1235, L1235), N1235, Holiday_Dates) &lt;= 0,
                1,
                NETWORKDAYS(IF(NOT(ISBLANK(M1235)), M1235, L1235), N1235, Holiday_Dates)
                - IF(IF(NOT(ISBLANK(M1235)), M1235, L1235) = N1235, 0, 1)
            )
        )
    ),
    ""
)</f>
        <v/>
      </c>
      <c r="S1235" s="385" t="str">
        <f>IFERROR(
    IF(
        OR(ISBLANK(N1235), ISBLANK(O1235)),
        "",
        MAX(
            1,
            IF(
                NETWORKDAYS(N1235, O1235, Holiday_Dates) &lt;= 0,
                1,
                NETWORKDAYS(N1235, O1235, Holiday_Dates) - IF(N1235 = O1235, 0, 1)
            )
        )
    ),
    ""
)</f>
        <v/>
      </c>
      <c r="T1235" s="385"/>
      <c r="U1235" s="385"/>
      <c r="V1235" s="385"/>
      <c r="W1235" s="385" t="s">
        <v>4710</v>
      </c>
      <c r="X1235" s="1"/>
    </row>
    <row r="1236" spans="1:24">
      <c r="A1236" s="385" t="s">
        <v>51</v>
      </c>
      <c r="B1236" s="385" t="s">
        <v>392</v>
      </c>
      <c r="C1236" s="385" t="s">
        <v>520</v>
      </c>
      <c r="D1236" s="385" t="s">
        <v>88</v>
      </c>
      <c r="E1236" s="385" t="s">
        <v>142</v>
      </c>
      <c r="F1236" s="385"/>
      <c r="G1236" s="385" t="s">
        <v>239</v>
      </c>
      <c r="H1236" s="385"/>
      <c r="I1236" s="385"/>
      <c r="J1236" s="30"/>
      <c r="K1236" s="385" t="s">
        <v>57</v>
      </c>
      <c r="L1236" s="385"/>
      <c r="M1236" s="385"/>
      <c r="N1236" s="385"/>
      <c r="O1236" s="385"/>
      <c r="P1236" s="385" t="str">
        <f>IFERROR(
    IF(
        OR(ISBLANK(I1236), ISBLANK(L1236)),
        "",
        MAX(
            1,
            IF(
                NETWORKDAYS(I1236, L1236, Holiday_Dates) &lt;= 0,
                1,
                NETWORKDAYS(I1236, L1236, Holiday_Dates) - IF(I1236 = L1236, 0, 1)
            )
        )
    ),
    ""
)</f>
        <v/>
      </c>
      <c r="Q1236" s="385" t="str">
        <f>IF(
    OR(ISBLANK(L1236), ISBLANK(M1236)),
    "",
    MAX(
        1,
        IF(
            NETWORKDAYS(L1236, M1236, Holiday_Dates) &lt;= 0,
            1,
            NETWORKDAYS(L1236, M1236, Holiday_Dates) - IF(L1236 = M1236, 0, 1)
        )
    )
)</f>
        <v/>
      </c>
      <c r="R1236" s="385" t="str">
        <f>IFERROR(
    IF(
        OR(ISBLANK(N1236), AND(ISBLANK(L1236), ISBLANK(M1236))),
        "",
        MAX(
            1,
            IF(
                NETWORKDAYS(IF(NOT(ISBLANK(M1236)), M1236, L1236), N1236, Holiday_Dates) &lt;= 0,
                1,
                NETWORKDAYS(IF(NOT(ISBLANK(M1236)), M1236, L1236), N1236, Holiday_Dates)
                - IF(IF(NOT(ISBLANK(M1236)), M1236, L1236) = N1236, 0, 1)
            )
        )
    ),
    ""
)</f>
        <v/>
      </c>
      <c r="S1236" s="385" t="str">
        <f>IFERROR(
    IF(
        OR(ISBLANK(N1236), ISBLANK(O1236)),
        "",
        MAX(
            1,
            IF(
                NETWORKDAYS(N1236, O1236, Holiday_Dates) &lt;= 0,
                1,
                NETWORKDAYS(N1236, O1236, Holiday_Dates) - IF(N1236 = O1236, 0, 1)
            )
        )
    ),
    ""
)</f>
        <v/>
      </c>
      <c r="T1236" s="385"/>
      <c r="U1236" s="385"/>
      <c r="V1236" s="385"/>
      <c r="W1236" s="385" t="s">
        <v>4710</v>
      </c>
      <c r="X1236" s="1"/>
    </row>
    <row r="1237" spans="1:24">
      <c r="A1237" s="385" t="s">
        <v>51</v>
      </c>
      <c r="B1237" s="385" t="s">
        <v>416</v>
      </c>
      <c r="C1237" s="385" t="s">
        <v>2265</v>
      </c>
      <c r="D1237" s="385" t="s">
        <v>88</v>
      </c>
      <c r="E1237" s="385" t="s">
        <v>33</v>
      </c>
      <c r="F1237" s="385"/>
      <c r="G1237" s="385" t="s">
        <v>239</v>
      </c>
      <c r="H1237" s="385"/>
      <c r="I1237" s="385"/>
      <c r="J1237" s="30"/>
      <c r="K1237" s="385" t="s">
        <v>57</v>
      </c>
      <c r="L1237" s="385"/>
      <c r="M1237" s="385"/>
      <c r="N1237" s="385"/>
      <c r="O1237" s="385"/>
      <c r="P1237" s="385" t="str">
        <f>IFERROR(
    IF(
        OR(ISBLANK(I1237), ISBLANK(L1237)),
        "",
        MAX(
            1,
            IF(
                NETWORKDAYS(I1237, L1237, Holiday_Dates) &lt;= 0,
                1,
                NETWORKDAYS(I1237, L1237, Holiday_Dates) - IF(I1237 = L1237, 0, 1)
            )
        )
    ),
    ""
)</f>
        <v/>
      </c>
      <c r="Q1237" s="385" t="str">
        <f>IF(
    OR(ISBLANK(L1237), ISBLANK(M1237)),
    "",
    MAX(
        1,
        IF(
            NETWORKDAYS(L1237, M1237, Holiday_Dates) &lt;= 0,
            1,
            NETWORKDAYS(L1237, M1237, Holiday_Dates) - IF(L1237 = M1237, 0, 1)
        )
    )
)</f>
        <v/>
      </c>
      <c r="R1237" s="385" t="str">
        <f>IFERROR(
    IF(
        OR(ISBLANK(N1237), AND(ISBLANK(L1237), ISBLANK(M1237))),
        "",
        MAX(
            1,
            IF(
                NETWORKDAYS(IF(NOT(ISBLANK(M1237)), M1237, L1237), N1237, Holiday_Dates) &lt;= 0,
                1,
                NETWORKDAYS(IF(NOT(ISBLANK(M1237)), M1237, L1237), N1237, Holiday_Dates)
                - IF(IF(NOT(ISBLANK(M1237)), M1237, L1237) = N1237, 0, 1)
            )
        )
    ),
    ""
)</f>
        <v/>
      </c>
      <c r="S1237" s="385" t="str">
        <f>IFERROR(
    IF(
        OR(ISBLANK(N1237), ISBLANK(O1237)),
        "",
        MAX(
            1,
            IF(
                NETWORKDAYS(N1237, O1237, Holiday_Dates) &lt;= 0,
                1,
                NETWORKDAYS(N1237, O1237, Holiday_Dates) - IF(N1237 = O1237, 0, 1)
            )
        )
    ),
    ""
)</f>
        <v/>
      </c>
      <c r="T1237" s="385"/>
      <c r="U1237" s="385"/>
      <c r="V1237" s="385"/>
      <c r="W1237" s="385" t="s">
        <v>4710</v>
      </c>
      <c r="X1237" s="1"/>
    </row>
    <row r="1238" spans="1:24">
      <c r="A1238" s="385" t="s">
        <v>51</v>
      </c>
      <c r="B1238" s="385" t="s">
        <v>394</v>
      </c>
      <c r="C1238" s="385" t="s">
        <v>3857</v>
      </c>
      <c r="D1238" s="385" t="s">
        <v>88</v>
      </c>
      <c r="E1238" s="385" t="s">
        <v>145</v>
      </c>
      <c r="F1238" s="385"/>
      <c r="G1238" s="385" t="s">
        <v>133</v>
      </c>
      <c r="H1238" s="385"/>
      <c r="I1238" s="385"/>
      <c r="J1238" s="30"/>
      <c r="K1238" s="385" t="s">
        <v>57</v>
      </c>
      <c r="L1238" s="385"/>
      <c r="M1238" s="385"/>
      <c r="N1238" s="385"/>
      <c r="O1238" s="385"/>
      <c r="P1238" s="385" t="str">
        <f>IFERROR(
    IF(
        OR(ISBLANK(I1238), ISBLANK(L1238)),
        "",
        MAX(
            1,
            IF(
                NETWORKDAYS(I1238, L1238, Holiday_Dates) &lt;= 0,
                1,
                NETWORKDAYS(I1238, L1238, Holiday_Dates) - IF(I1238 = L1238, 0, 1)
            )
        )
    ),
    ""
)</f>
        <v/>
      </c>
      <c r="Q1238" s="385" t="str">
        <f>IF(
    OR(ISBLANK(L1238), ISBLANK(M1238)),
    "",
    MAX(
        1,
        IF(
            NETWORKDAYS(L1238, M1238, Holiday_Dates) &lt;= 0,
            1,
            NETWORKDAYS(L1238, M1238, Holiday_Dates) - IF(L1238 = M1238, 0, 1)
        )
    )
)</f>
        <v/>
      </c>
      <c r="R1238" s="385" t="str">
        <f>IFERROR(
    IF(
        OR(ISBLANK(N1238), AND(ISBLANK(L1238), ISBLANK(M1238))),
        "",
        MAX(
            1,
            IF(
                NETWORKDAYS(IF(NOT(ISBLANK(M1238)), M1238, L1238), N1238, Holiday_Dates) &lt;= 0,
                1,
                NETWORKDAYS(IF(NOT(ISBLANK(M1238)), M1238, L1238), N1238, Holiday_Dates)
                - IF(IF(NOT(ISBLANK(M1238)), M1238, L1238) = N1238, 0, 1)
            )
        )
    ),
    ""
)</f>
        <v/>
      </c>
      <c r="S1238" s="385" t="str">
        <f>IFERROR(
    IF(
        OR(ISBLANK(N1238), ISBLANK(O1238)),
        "",
        MAX(
            1,
            IF(
                NETWORKDAYS(N1238, O1238, Holiday_Dates) &lt;= 0,
                1,
                NETWORKDAYS(N1238, O1238, Holiday_Dates) - IF(N1238 = O1238, 0, 1)
            )
        )
    ),
    ""
)</f>
        <v/>
      </c>
      <c r="T1238" s="385"/>
      <c r="U1238" s="385"/>
      <c r="V1238" s="385"/>
      <c r="W1238" s="385" t="s">
        <v>4710</v>
      </c>
      <c r="X1238" s="1"/>
    </row>
    <row r="1239" spans="1:24">
      <c r="A1239" s="385" t="s">
        <v>51</v>
      </c>
      <c r="B1239" s="385" t="s">
        <v>394</v>
      </c>
      <c r="C1239" s="385" t="s">
        <v>3858</v>
      </c>
      <c r="D1239" s="385" t="s">
        <v>88</v>
      </c>
      <c r="E1239" s="385" t="s">
        <v>145</v>
      </c>
      <c r="F1239" s="385"/>
      <c r="G1239" s="385" t="s">
        <v>133</v>
      </c>
      <c r="H1239" s="385"/>
      <c r="I1239" s="385"/>
      <c r="J1239" s="30"/>
      <c r="K1239" s="385" t="s">
        <v>57</v>
      </c>
      <c r="L1239" s="385"/>
      <c r="M1239" s="385"/>
      <c r="N1239" s="385"/>
      <c r="O1239" s="385"/>
      <c r="P1239" s="385" t="str">
        <f>IFERROR(
    IF(
        OR(ISBLANK(I1239), ISBLANK(L1239)),
        "",
        MAX(
            1,
            IF(
                NETWORKDAYS(I1239, L1239, Holiday_Dates) &lt;= 0,
                1,
                NETWORKDAYS(I1239, L1239, Holiday_Dates) - IF(I1239 = L1239, 0, 1)
            )
        )
    ),
    ""
)</f>
        <v/>
      </c>
      <c r="Q1239" s="385" t="str">
        <f>IF(
    OR(ISBLANK(L1239), ISBLANK(M1239)),
    "",
    MAX(
        1,
        IF(
            NETWORKDAYS(L1239, M1239, Holiday_Dates) &lt;= 0,
            1,
            NETWORKDAYS(L1239, M1239, Holiday_Dates) - IF(L1239 = M1239, 0, 1)
        )
    )
)</f>
        <v/>
      </c>
      <c r="R1239" s="385" t="str">
        <f>IFERROR(
    IF(
        OR(ISBLANK(N1239), AND(ISBLANK(L1239), ISBLANK(M1239))),
        "",
        MAX(
            1,
            IF(
                NETWORKDAYS(IF(NOT(ISBLANK(M1239)), M1239, L1239), N1239, Holiday_Dates) &lt;= 0,
                1,
                NETWORKDAYS(IF(NOT(ISBLANK(M1239)), M1239, L1239), N1239, Holiday_Dates)
                - IF(IF(NOT(ISBLANK(M1239)), M1239, L1239) = N1239, 0, 1)
            )
        )
    ),
    ""
)</f>
        <v/>
      </c>
      <c r="S1239" s="385" t="str">
        <f>IFERROR(
    IF(
        OR(ISBLANK(N1239), ISBLANK(O1239)),
        "",
        MAX(
            1,
            IF(
                NETWORKDAYS(N1239, O1239, Holiday_Dates) &lt;= 0,
                1,
                NETWORKDAYS(N1239, O1239, Holiday_Dates) - IF(N1239 = O1239, 0, 1)
            )
        )
    ),
    ""
)</f>
        <v/>
      </c>
      <c r="T1239" s="385"/>
      <c r="U1239" s="385"/>
      <c r="V1239" s="385"/>
      <c r="W1239" s="385" t="s">
        <v>4710</v>
      </c>
      <c r="X1239" s="1"/>
    </row>
    <row r="1240" spans="1:24">
      <c r="A1240" s="385" t="s">
        <v>51</v>
      </c>
      <c r="B1240" s="385" t="s">
        <v>394</v>
      </c>
      <c r="C1240" s="385" t="s">
        <v>3859</v>
      </c>
      <c r="D1240" s="385" t="s">
        <v>88</v>
      </c>
      <c r="E1240" s="385" t="s">
        <v>145</v>
      </c>
      <c r="F1240" s="385"/>
      <c r="G1240" s="385" t="s">
        <v>133</v>
      </c>
      <c r="H1240" s="385"/>
      <c r="I1240" s="385"/>
      <c r="J1240" s="30"/>
      <c r="K1240" s="385" t="s">
        <v>57</v>
      </c>
      <c r="L1240" s="385"/>
      <c r="M1240" s="385"/>
      <c r="N1240" s="385"/>
      <c r="O1240" s="385"/>
      <c r="P1240" s="385" t="str">
        <f>IFERROR(
    IF(
        OR(ISBLANK(I1240), ISBLANK(L1240)),
        "",
        MAX(
            1,
            IF(
                NETWORKDAYS(I1240, L1240, Holiday_Dates) &lt;= 0,
                1,
                NETWORKDAYS(I1240, L1240, Holiday_Dates) - IF(I1240 = L1240, 0, 1)
            )
        )
    ),
    ""
)</f>
        <v/>
      </c>
      <c r="Q1240" s="385" t="str">
        <f>IF(
    OR(ISBLANK(L1240), ISBLANK(M1240)),
    "",
    MAX(
        1,
        IF(
            NETWORKDAYS(L1240, M1240, Holiday_Dates) &lt;= 0,
            1,
            NETWORKDAYS(L1240, M1240, Holiday_Dates) - IF(L1240 = M1240, 0, 1)
        )
    )
)</f>
        <v/>
      </c>
      <c r="R1240" s="385" t="str">
        <f>IFERROR(
    IF(
        OR(ISBLANK(N1240), AND(ISBLANK(L1240), ISBLANK(M1240))),
        "",
        MAX(
            1,
            IF(
                NETWORKDAYS(IF(NOT(ISBLANK(M1240)), M1240, L1240), N1240, Holiday_Dates) &lt;= 0,
                1,
                NETWORKDAYS(IF(NOT(ISBLANK(M1240)), M1240, L1240), N1240, Holiday_Dates)
                - IF(IF(NOT(ISBLANK(M1240)), M1240, L1240) = N1240, 0, 1)
            )
        )
    ),
    ""
)</f>
        <v/>
      </c>
      <c r="S1240" s="385" t="str">
        <f>IFERROR(
    IF(
        OR(ISBLANK(N1240), ISBLANK(O1240)),
        "",
        MAX(
            1,
            IF(
                NETWORKDAYS(N1240, O1240, Holiday_Dates) &lt;= 0,
                1,
                NETWORKDAYS(N1240, O1240, Holiday_Dates) - IF(N1240 = O1240, 0, 1)
            )
        )
    ),
    ""
)</f>
        <v/>
      </c>
      <c r="T1240" s="385"/>
      <c r="U1240" s="385"/>
      <c r="V1240" s="385"/>
      <c r="W1240" s="385" t="s">
        <v>4710</v>
      </c>
      <c r="X1240" s="1"/>
    </row>
    <row r="1241" spans="1:24">
      <c r="A1241" s="385" t="s">
        <v>51</v>
      </c>
      <c r="B1241" s="385" t="s">
        <v>394</v>
      </c>
      <c r="C1241" s="385" t="s">
        <v>3860</v>
      </c>
      <c r="D1241" s="385" t="s">
        <v>88</v>
      </c>
      <c r="E1241" s="385" t="s">
        <v>145</v>
      </c>
      <c r="F1241" s="385"/>
      <c r="G1241" s="385" t="s">
        <v>133</v>
      </c>
      <c r="H1241" s="385"/>
      <c r="I1241" s="385"/>
      <c r="J1241" s="30"/>
      <c r="K1241" s="385" t="s">
        <v>57</v>
      </c>
      <c r="L1241" s="385"/>
      <c r="M1241" s="385"/>
      <c r="N1241" s="385"/>
      <c r="O1241" s="385"/>
      <c r="P1241" s="385" t="str">
        <f>IFERROR(
    IF(
        OR(ISBLANK(I1241), ISBLANK(L1241)),
        "",
        MAX(
            1,
            IF(
                NETWORKDAYS(I1241, L1241, Holiday_Dates) &lt;= 0,
                1,
                NETWORKDAYS(I1241, L1241, Holiday_Dates) - IF(I1241 = L1241, 0, 1)
            )
        )
    ),
    ""
)</f>
        <v/>
      </c>
      <c r="Q1241" s="385" t="str">
        <f>IF(
    OR(ISBLANK(L1241), ISBLANK(M1241)),
    "",
    MAX(
        1,
        IF(
            NETWORKDAYS(L1241, M1241, Holiday_Dates) &lt;= 0,
            1,
            NETWORKDAYS(L1241, M1241, Holiday_Dates) - IF(L1241 = M1241, 0, 1)
        )
    )
)</f>
        <v/>
      </c>
      <c r="R1241" s="385" t="str">
        <f>IFERROR(
    IF(
        OR(ISBLANK(N1241), AND(ISBLANK(L1241), ISBLANK(M1241))),
        "",
        MAX(
            1,
            IF(
                NETWORKDAYS(IF(NOT(ISBLANK(M1241)), M1241, L1241), N1241, Holiday_Dates) &lt;= 0,
                1,
                NETWORKDAYS(IF(NOT(ISBLANK(M1241)), M1241, L1241), N1241, Holiday_Dates)
                - IF(IF(NOT(ISBLANK(M1241)), M1241, L1241) = N1241, 0, 1)
            )
        )
    ),
    ""
)</f>
        <v/>
      </c>
      <c r="S1241" s="385" t="str">
        <f>IFERROR(
    IF(
        OR(ISBLANK(N1241), ISBLANK(O1241)),
        "",
        MAX(
            1,
            IF(
                NETWORKDAYS(N1241, O1241, Holiday_Dates) &lt;= 0,
                1,
                NETWORKDAYS(N1241, O1241, Holiday_Dates) - IF(N1241 = O1241, 0, 1)
            )
        )
    ),
    ""
)</f>
        <v/>
      </c>
      <c r="T1241" s="385"/>
      <c r="U1241" s="385"/>
      <c r="V1241" s="385"/>
      <c r="W1241" s="385" t="s">
        <v>4710</v>
      </c>
      <c r="X1241" s="1"/>
    </row>
    <row r="1242" spans="1:24">
      <c r="A1242" s="385" t="s">
        <v>51</v>
      </c>
      <c r="B1242" s="385" t="s">
        <v>1361</v>
      </c>
      <c r="C1242" s="385" t="s">
        <v>427</v>
      </c>
      <c r="D1242" s="385" t="s">
        <v>88</v>
      </c>
      <c r="E1242" s="385" t="s">
        <v>32</v>
      </c>
      <c r="F1242" s="385"/>
      <c r="G1242" s="385" t="s">
        <v>133</v>
      </c>
      <c r="H1242" s="385"/>
      <c r="I1242" s="385"/>
      <c r="J1242" s="30"/>
      <c r="K1242" s="385" t="s">
        <v>57</v>
      </c>
      <c r="L1242" s="385"/>
      <c r="M1242" s="385"/>
      <c r="N1242" s="385"/>
      <c r="O1242" s="385"/>
      <c r="P1242" s="385" t="str">
        <f>IFERROR(
    IF(
        OR(ISBLANK(I1242), ISBLANK(L1242)),
        "",
        MAX(
            1,
            IF(
                NETWORKDAYS(I1242, L1242, Holiday_Dates) &lt;= 0,
                1,
                NETWORKDAYS(I1242, L1242, Holiday_Dates) - IF(I1242 = L1242, 0, 1)
            )
        )
    ),
    ""
)</f>
        <v/>
      </c>
      <c r="Q1242" s="385" t="str">
        <f>IF(
    OR(ISBLANK(L1242), ISBLANK(M1242)),
    "",
    MAX(
        1,
        IF(
            NETWORKDAYS(L1242, M1242, Holiday_Dates) &lt;= 0,
            1,
            NETWORKDAYS(L1242, M1242, Holiday_Dates) - IF(L1242 = M1242, 0, 1)
        )
    )
)</f>
        <v/>
      </c>
      <c r="R1242" s="385" t="str">
        <f>IFERROR(
    IF(
        OR(ISBLANK(N1242), AND(ISBLANK(L1242), ISBLANK(M1242))),
        "",
        MAX(
            1,
            IF(
                NETWORKDAYS(IF(NOT(ISBLANK(M1242)), M1242, L1242), N1242, Holiday_Dates) &lt;= 0,
                1,
                NETWORKDAYS(IF(NOT(ISBLANK(M1242)), M1242, L1242), N1242, Holiday_Dates)
                - IF(IF(NOT(ISBLANK(M1242)), M1242, L1242) = N1242, 0, 1)
            )
        )
    ),
    ""
)</f>
        <v/>
      </c>
      <c r="S1242" s="385" t="str">
        <f>IFERROR(
    IF(
        OR(ISBLANK(N1242), ISBLANK(O1242)),
        "",
        MAX(
            1,
            IF(
                NETWORKDAYS(N1242, O1242, Holiday_Dates) &lt;= 0,
                1,
                NETWORKDAYS(N1242, O1242, Holiday_Dates) - IF(N1242 = O1242, 0, 1)
            )
        )
    ),
    ""
)</f>
        <v/>
      </c>
      <c r="T1242" s="385"/>
      <c r="U1242" s="385"/>
      <c r="V1242" s="385"/>
      <c r="W1242" s="385" t="s">
        <v>4710</v>
      </c>
      <c r="X1242" s="1"/>
    </row>
    <row r="1243" spans="1:24">
      <c r="A1243" s="385" t="s">
        <v>51</v>
      </c>
      <c r="B1243" s="385" t="s">
        <v>1361</v>
      </c>
      <c r="C1243" s="385" t="s">
        <v>764</v>
      </c>
      <c r="D1243" s="385" t="s">
        <v>88</v>
      </c>
      <c r="E1243" s="385" t="s">
        <v>32</v>
      </c>
      <c r="F1243" s="385"/>
      <c r="G1243" s="385" t="s">
        <v>133</v>
      </c>
      <c r="H1243" s="385"/>
      <c r="I1243" s="385"/>
      <c r="J1243" s="30"/>
      <c r="K1243" s="385" t="s">
        <v>57</v>
      </c>
      <c r="L1243" s="385"/>
      <c r="M1243" s="385"/>
      <c r="N1243" s="385"/>
      <c r="O1243" s="385"/>
      <c r="P1243" s="385" t="str">
        <f>IFERROR(
    IF(
        OR(ISBLANK(I1243), ISBLANK(L1243)),
        "",
        MAX(
            1,
            IF(
                NETWORKDAYS(I1243, L1243, Holiday_Dates) &lt;= 0,
                1,
                NETWORKDAYS(I1243, L1243, Holiday_Dates) - IF(I1243 = L1243, 0, 1)
            )
        )
    ),
    ""
)</f>
        <v/>
      </c>
      <c r="Q1243" s="385" t="str">
        <f>IF(
    OR(ISBLANK(L1243), ISBLANK(M1243)),
    "",
    MAX(
        1,
        IF(
            NETWORKDAYS(L1243, M1243, Holiday_Dates) &lt;= 0,
            1,
            NETWORKDAYS(L1243, M1243, Holiday_Dates) - IF(L1243 = M1243, 0, 1)
        )
    )
)</f>
        <v/>
      </c>
      <c r="R1243" s="385" t="str">
        <f>IFERROR(
    IF(
        OR(ISBLANK(N1243), AND(ISBLANK(L1243), ISBLANK(M1243))),
        "",
        MAX(
            1,
            IF(
                NETWORKDAYS(IF(NOT(ISBLANK(M1243)), M1243, L1243), N1243, Holiday_Dates) &lt;= 0,
                1,
                NETWORKDAYS(IF(NOT(ISBLANK(M1243)), M1243, L1243), N1243, Holiday_Dates)
                - IF(IF(NOT(ISBLANK(M1243)), M1243, L1243) = N1243, 0, 1)
            )
        )
    ),
    ""
)</f>
        <v/>
      </c>
      <c r="S1243" s="385" t="str">
        <f>IFERROR(
    IF(
        OR(ISBLANK(N1243), ISBLANK(O1243)),
        "",
        MAX(
            1,
            IF(
                NETWORKDAYS(N1243, O1243, Holiday_Dates) &lt;= 0,
                1,
                NETWORKDAYS(N1243, O1243, Holiday_Dates) - IF(N1243 = O1243, 0, 1)
            )
        )
    ),
    ""
)</f>
        <v/>
      </c>
      <c r="T1243" s="385"/>
      <c r="U1243" s="385"/>
      <c r="V1243" s="385"/>
      <c r="W1243" s="385" t="s">
        <v>4710</v>
      </c>
      <c r="X1243" s="1"/>
    </row>
    <row r="1244" spans="1:24">
      <c r="A1244" s="385" t="s">
        <v>51</v>
      </c>
      <c r="B1244" s="385" t="s">
        <v>1361</v>
      </c>
      <c r="C1244" s="385" t="s">
        <v>717</v>
      </c>
      <c r="D1244" s="385" t="s">
        <v>88</v>
      </c>
      <c r="E1244" s="385" t="s">
        <v>32</v>
      </c>
      <c r="F1244" s="385"/>
      <c r="G1244" s="385" t="s">
        <v>133</v>
      </c>
      <c r="H1244" s="385"/>
      <c r="I1244" s="385"/>
      <c r="J1244" s="30"/>
      <c r="K1244" s="385" t="s">
        <v>57</v>
      </c>
      <c r="L1244" s="385"/>
      <c r="M1244" s="385"/>
      <c r="N1244" s="385"/>
      <c r="O1244" s="385"/>
      <c r="P1244" s="385" t="str">
        <f>IFERROR(
    IF(
        OR(ISBLANK(I1244), ISBLANK(L1244)),
        "",
        MAX(
            1,
            IF(
                NETWORKDAYS(I1244, L1244, Holiday_Dates) &lt;= 0,
                1,
                NETWORKDAYS(I1244, L1244, Holiday_Dates) - IF(I1244 = L1244, 0, 1)
            )
        )
    ),
    ""
)</f>
        <v/>
      </c>
      <c r="Q1244" s="385" t="str">
        <f>IF(
    OR(ISBLANK(L1244), ISBLANK(M1244)),
    "",
    MAX(
        1,
        IF(
            NETWORKDAYS(L1244, M1244, Holiday_Dates) &lt;= 0,
            1,
            NETWORKDAYS(L1244, M1244, Holiday_Dates) - IF(L1244 = M1244, 0, 1)
        )
    )
)</f>
        <v/>
      </c>
      <c r="R1244" s="385" t="str">
        <f>IFERROR(
    IF(
        OR(ISBLANK(N1244), AND(ISBLANK(L1244), ISBLANK(M1244))),
        "",
        MAX(
            1,
            IF(
                NETWORKDAYS(IF(NOT(ISBLANK(M1244)), M1244, L1244), N1244, Holiday_Dates) &lt;= 0,
                1,
                NETWORKDAYS(IF(NOT(ISBLANK(M1244)), M1244, L1244), N1244, Holiday_Dates)
                - IF(IF(NOT(ISBLANK(M1244)), M1244, L1244) = N1244, 0, 1)
            )
        )
    ),
    ""
)</f>
        <v/>
      </c>
      <c r="S1244" s="385" t="str">
        <f>IFERROR(
    IF(
        OR(ISBLANK(N1244), ISBLANK(O1244)),
        "",
        MAX(
            1,
            IF(
                NETWORKDAYS(N1244, O1244, Holiday_Dates) &lt;= 0,
                1,
                NETWORKDAYS(N1244, O1244, Holiday_Dates) - IF(N1244 = O1244, 0, 1)
            )
        )
    ),
    ""
)</f>
        <v/>
      </c>
      <c r="T1244" s="385"/>
      <c r="U1244" s="385"/>
      <c r="V1244" s="385"/>
      <c r="W1244" s="385" t="s">
        <v>4710</v>
      </c>
      <c r="X1244" s="1"/>
    </row>
    <row r="1245" spans="1:24">
      <c r="A1245" s="385" t="s">
        <v>51</v>
      </c>
      <c r="B1245" s="385" t="s">
        <v>1361</v>
      </c>
      <c r="C1245" s="385" t="s">
        <v>380</v>
      </c>
      <c r="D1245" s="385" t="s">
        <v>88</v>
      </c>
      <c r="E1245" s="385" t="s">
        <v>32</v>
      </c>
      <c r="F1245" s="385"/>
      <c r="G1245" s="385" t="s">
        <v>133</v>
      </c>
      <c r="H1245" s="385"/>
      <c r="I1245" s="385"/>
      <c r="J1245" s="30"/>
      <c r="K1245" s="385" t="s">
        <v>57</v>
      </c>
      <c r="L1245" s="385"/>
      <c r="M1245" s="385"/>
      <c r="N1245" s="385"/>
      <c r="O1245" s="385"/>
      <c r="P1245" s="385" t="str">
        <f>IFERROR(
    IF(
        OR(ISBLANK(I1245), ISBLANK(L1245)),
        "",
        MAX(
            1,
            IF(
                NETWORKDAYS(I1245, L1245, Holiday_Dates) &lt;= 0,
                1,
                NETWORKDAYS(I1245, L1245, Holiday_Dates) - IF(I1245 = L1245, 0, 1)
            )
        )
    ),
    ""
)</f>
        <v/>
      </c>
      <c r="Q1245" s="385" t="str">
        <f>IF(
    OR(ISBLANK(L1245), ISBLANK(M1245)),
    "",
    MAX(
        1,
        IF(
            NETWORKDAYS(L1245, M1245, Holiday_Dates) &lt;= 0,
            1,
            NETWORKDAYS(L1245, M1245, Holiday_Dates) - IF(L1245 = M1245, 0, 1)
        )
    )
)</f>
        <v/>
      </c>
      <c r="R1245" s="385" t="str">
        <f>IFERROR(
    IF(
        OR(ISBLANK(N1245), AND(ISBLANK(L1245), ISBLANK(M1245))),
        "",
        MAX(
            1,
            IF(
                NETWORKDAYS(IF(NOT(ISBLANK(M1245)), M1245, L1245), N1245, Holiday_Dates) &lt;= 0,
                1,
                NETWORKDAYS(IF(NOT(ISBLANK(M1245)), M1245, L1245), N1245, Holiday_Dates)
                - IF(IF(NOT(ISBLANK(M1245)), M1245, L1245) = N1245, 0, 1)
            )
        )
    ),
    ""
)</f>
        <v/>
      </c>
      <c r="S1245" s="385" t="str">
        <f>IFERROR(
    IF(
        OR(ISBLANK(N1245), ISBLANK(O1245)),
        "",
        MAX(
            1,
            IF(
                NETWORKDAYS(N1245, O1245, Holiday_Dates) &lt;= 0,
                1,
                NETWORKDAYS(N1245, O1245, Holiday_Dates) - IF(N1245 = O1245, 0, 1)
            )
        )
    ),
    ""
)</f>
        <v/>
      </c>
      <c r="T1245" s="385"/>
      <c r="U1245" s="385"/>
      <c r="V1245" s="385"/>
      <c r="W1245" s="385" t="s">
        <v>4710</v>
      </c>
      <c r="X1245" s="1"/>
    </row>
    <row r="1246" spans="1:24">
      <c r="A1246" s="385" t="s">
        <v>52</v>
      </c>
      <c r="B1246" s="385" t="s">
        <v>366</v>
      </c>
      <c r="C1246" s="385" t="s">
        <v>3877</v>
      </c>
      <c r="D1246" s="385" t="s">
        <v>88</v>
      </c>
      <c r="E1246" s="385" t="s">
        <v>39</v>
      </c>
      <c r="F1246" s="385"/>
      <c r="G1246" s="385" t="s">
        <v>28</v>
      </c>
      <c r="H1246" s="385"/>
      <c r="I1246" s="385"/>
      <c r="J1246" s="30"/>
      <c r="K1246" s="385" t="s">
        <v>57</v>
      </c>
      <c r="L1246" s="385"/>
      <c r="M1246" s="385"/>
      <c r="N1246" s="385"/>
      <c r="O1246" s="385"/>
      <c r="P1246" s="385" t="str">
        <f>IFERROR(
    IF(
        OR(ISBLANK(I1246), ISBLANK(L1246)),
        "",
        MAX(
            1,
            IF(
                NETWORKDAYS(I1246, L1246, Holiday_Dates) &lt;= 0,
                1,
                NETWORKDAYS(I1246, L1246, Holiday_Dates) - IF(I1246 = L1246, 0, 1)
            )
        )
    ),
    ""
)</f>
        <v/>
      </c>
      <c r="Q1246" s="385" t="str">
        <f>IF(
    OR(ISBLANK(L1246), ISBLANK(M1246)),
    "",
    MAX(
        1,
        IF(
            NETWORKDAYS(L1246, M1246, Holiday_Dates) &lt;= 0,
            1,
            NETWORKDAYS(L1246, M1246, Holiday_Dates) - IF(L1246 = M1246, 0, 1)
        )
    )
)</f>
        <v/>
      </c>
      <c r="R1246" s="385" t="str">
        <f>IFERROR(
    IF(
        OR(ISBLANK(N1246), AND(ISBLANK(L1246), ISBLANK(M1246))),
        "",
        MAX(
            1,
            IF(
                NETWORKDAYS(IF(NOT(ISBLANK(M1246)), M1246, L1246), N1246, Holiday_Dates) &lt;= 0,
                1,
                NETWORKDAYS(IF(NOT(ISBLANK(M1246)), M1246, L1246), N1246, Holiday_Dates)
                - IF(IF(NOT(ISBLANK(M1246)), M1246, L1246) = N1246, 0, 1)
            )
        )
    ),
    ""
)</f>
        <v/>
      </c>
      <c r="S1246" s="385" t="str">
        <f>IFERROR(
    IF(
        OR(ISBLANK(N1246), ISBLANK(O1246)),
        "",
        MAX(
            1,
            IF(
                NETWORKDAYS(N1246, O1246, Holiday_Dates) &lt;= 0,
                1,
                NETWORKDAYS(N1246, O1246, Holiday_Dates) - IF(N1246 = O1246, 0, 1)
            )
        )
    ),
    ""
)</f>
        <v/>
      </c>
      <c r="T1246" s="385"/>
      <c r="U1246" s="385"/>
      <c r="V1246" s="385"/>
      <c r="W1246" s="385" t="s">
        <v>4710</v>
      </c>
      <c r="X1246" s="1"/>
    </row>
    <row r="1247" spans="1:24">
      <c r="A1247" s="385" t="s">
        <v>52</v>
      </c>
      <c r="B1247" s="385" t="s">
        <v>366</v>
      </c>
      <c r="C1247" s="385" t="s">
        <v>3878</v>
      </c>
      <c r="D1247" s="385" t="s">
        <v>88</v>
      </c>
      <c r="E1247" s="385" t="s">
        <v>39</v>
      </c>
      <c r="F1247" s="385"/>
      <c r="G1247" s="385" t="s">
        <v>28</v>
      </c>
      <c r="H1247" s="385"/>
      <c r="I1247" s="385"/>
      <c r="J1247" s="30"/>
      <c r="K1247" s="385" t="s">
        <v>57</v>
      </c>
      <c r="L1247" s="385"/>
      <c r="M1247" s="385"/>
      <c r="N1247" s="385"/>
      <c r="O1247" s="385"/>
      <c r="P1247" s="385" t="str">
        <f>IFERROR(
    IF(
        OR(ISBLANK(I1247), ISBLANK(L1247)),
        "",
        MAX(
            1,
            IF(
                NETWORKDAYS(I1247, L1247, Holiday_Dates) &lt;= 0,
                1,
                NETWORKDAYS(I1247, L1247, Holiday_Dates) - IF(I1247 = L1247, 0, 1)
            )
        )
    ),
    ""
)</f>
        <v/>
      </c>
      <c r="Q1247" s="385" t="str">
        <f>IF(
    OR(ISBLANK(L1247), ISBLANK(M1247)),
    "",
    MAX(
        1,
        IF(
            NETWORKDAYS(L1247, M1247, Holiday_Dates) &lt;= 0,
            1,
            NETWORKDAYS(L1247, M1247, Holiday_Dates) - IF(L1247 = M1247, 0, 1)
        )
    )
)</f>
        <v/>
      </c>
      <c r="R1247" s="385" t="str">
        <f>IFERROR(
    IF(
        OR(ISBLANK(N1247), AND(ISBLANK(L1247), ISBLANK(M1247))),
        "",
        MAX(
            1,
            IF(
                NETWORKDAYS(IF(NOT(ISBLANK(M1247)), M1247, L1247), N1247, Holiday_Dates) &lt;= 0,
                1,
                NETWORKDAYS(IF(NOT(ISBLANK(M1247)), M1247, L1247), N1247, Holiday_Dates)
                - IF(IF(NOT(ISBLANK(M1247)), M1247, L1247) = N1247, 0, 1)
            )
        )
    ),
    ""
)</f>
        <v/>
      </c>
      <c r="S1247" s="385" t="str">
        <f>IFERROR(
    IF(
        OR(ISBLANK(N1247), ISBLANK(O1247)),
        "",
        MAX(
            1,
            IF(
                NETWORKDAYS(N1247, O1247, Holiday_Dates) &lt;= 0,
                1,
                NETWORKDAYS(N1247, O1247, Holiday_Dates) - IF(N1247 = O1247, 0, 1)
            )
        )
    ),
    ""
)</f>
        <v/>
      </c>
      <c r="T1247" s="385"/>
      <c r="U1247" s="385"/>
      <c r="V1247" s="385"/>
      <c r="W1247" s="385" t="s">
        <v>4710</v>
      </c>
      <c r="X1247" s="1"/>
    </row>
    <row r="1248" spans="1:24">
      <c r="A1248" s="385" t="s">
        <v>52</v>
      </c>
      <c r="B1248" s="385" t="s">
        <v>366</v>
      </c>
      <c r="C1248" s="385" t="s">
        <v>3760</v>
      </c>
      <c r="D1248" s="385" t="s">
        <v>88</v>
      </c>
      <c r="E1248" s="385" t="s">
        <v>39</v>
      </c>
      <c r="F1248" s="385"/>
      <c r="G1248" s="385" t="s">
        <v>28</v>
      </c>
      <c r="H1248" s="385"/>
      <c r="I1248" s="385"/>
      <c r="J1248" s="30"/>
      <c r="K1248" s="385" t="s">
        <v>57</v>
      </c>
      <c r="L1248" s="385"/>
      <c r="M1248" s="385"/>
      <c r="N1248" s="385"/>
      <c r="O1248" s="385"/>
      <c r="P1248" s="385" t="str">
        <f>IFERROR(
    IF(
        OR(ISBLANK(I1248), ISBLANK(L1248)),
        "",
        MAX(
            1,
            IF(
                NETWORKDAYS(I1248, L1248, Holiday_Dates) &lt;= 0,
                1,
                NETWORKDAYS(I1248, L1248, Holiday_Dates) - IF(I1248 = L1248, 0, 1)
            )
        )
    ),
    ""
)</f>
        <v/>
      </c>
      <c r="Q1248" s="385" t="str">
        <f>IF(
    OR(ISBLANK(L1248), ISBLANK(M1248)),
    "",
    MAX(
        1,
        IF(
            NETWORKDAYS(L1248, M1248, Holiday_Dates) &lt;= 0,
            1,
            NETWORKDAYS(L1248, M1248, Holiday_Dates) - IF(L1248 = M1248, 0, 1)
        )
    )
)</f>
        <v/>
      </c>
      <c r="R1248" s="385" t="str">
        <f>IFERROR(
    IF(
        OR(ISBLANK(N1248), AND(ISBLANK(L1248), ISBLANK(M1248))),
        "",
        MAX(
            1,
            IF(
                NETWORKDAYS(IF(NOT(ISBLANK(M1248)), M1248, L1248), N1248, Holiday_Dates) &lt;= 0,
                1,
                NETWORKDAYS(IF(NOT(ISBLANK(M1248)), M1248, L1248), N1248, Holiday_Dates)
                - IF(IF(NOT(ISBLANK(M1248)), M1248, L1248) = N1248, 0, 1)
            )
        )
    ),
    ""
)</f>
        <v/>
      </c>
      <c r="S1248" s="385" t="str">
        <f>IFERROR(
    IF(
        OR(ISBLANK(N1248), ISBLANK(O1248)),
        "",
        MAX(
            1,
            IF(
                NETWORKDAYS(N1248, O1248, Holiday_Dates) &lt;= 0,
                1,
                NETWORKDAYS(N1248, O1248, Holiday_Dates) - IF(N1248 = O1248, 0, 1)
            )
        )
    ),
    ""
)</f>
        <v/>
      </c>
      <c r="T1248" s="385"/>
      <c r="U1248" s="385"/>
      <c r="V1248" s="385"/>
      <c r="W1248" s="385" t="s">
        <v>4710</v>
      </c>
      <c r="X1248" s="1"/>
    </row>
    <row r="1249" spans="1:24">
      <c r="A1249" s="385" t="s">
        <v>52</v>
      </c>
      <c r="B1249" s="385" t="s">
        <v>366</v>
      </c>
      <c r="C1249" s="385" t="s">
        <v>3879</v>
      </c>
      <c r="D1249" s="385" t="s">
        <v>88</v>
      </c>
      <c r="E1249" s="385" t="s">
        <v>39</v>
      </c>
      <c r="F1249" s="385"/>
      <c r="G1249" s="385" t="s">
        <v>28</v>
      </c>
      <c r="H1249" s="385"/>
      <c r="I1249" s="385"/>
      <c r="J1249" s="30"/>
      <c r="K1249" s="385" t="s">
        <v>57</v>
      </c>
      <c r="L1249" s="385"/>
      <c r="M1249" s="385"/>
      <c r="N1249" s="385"/>
      <c r="O1249" s="385"/>
      <c r="P1249" s="385" t="str">
        <f>IFERROR(
    IF(
        OR(ISBLANK(I1249), ISBLANK(L1249)),
        "",
        MAX(
            1,
            IF(
                NETWORKDAYS(I1249, L1249, Holiday_Dates) &lt;= 0,
                1,
                NETWORKDAYS(I1249, L1249, Holiday_Dates) - IF(I1249 = L1249, 0, 1)
            )
        )
    ),
    ""
)</f>
        <v/>
      </c>
      <c r="Q1249" s="385" t="str">
        <f>IF(
    OR(ISBLANK(L1249), ISBLANK(M1249)),
    "",
    MAX(
        1,
        IF(
            NETWORKDAYS(L1249, M1249, Holiday_Dates) &lt;= 0,
            1,
            NETWORKDAYS(L1249, M1249, Holiday_Dates) - IF(L1249 = M1249, 0, 1)
        )
    )
)</f>
        <v/>
      </c>
      <c r="R1249" s="385" t="str">
        <f>IFERROR(
    IF(
        OR(ISBLANK(N1249), AND(ISBLANK(L1249), ISBLANK(M1249))),
        "",
        MAX(
            1,
            IF(
                NETWORKDAYS(IF(NOT(ISBLANK(M1249)), M1249, L1249), N1249, Holiday_Dates) &lt;= 0,
                1,
                NETWORKDAYS(IF(NOT(ISBLANK(M1249)), M1249, L1249), N1249, Holiday_Dates)
                - IF(IF(NOT(ISBLANK(M1249)), M1249, L1249) = N1249, 0, 1)
            )
        )
    ),
    ""
)</f>
        <v/>
      </c>
      <c r="S1249" s="385" t="str">
        <f>IFERROR(
    IF(
        OR(ISBLANK(N1249), ISBLANK(O1249)),
        "",
        MAX(
            1,
            IF(
                NETWORKDAYS(N1249, O1249, Holiday_Dates) &lt;= 0,
                1,
                NETWORKDAYS(N1249, O1249, Holiday_Dates) - IF(N1249 = O1249, 0, 1)
            )
        )
    ),
    ""
)</f>
        <v/>
      </c>
      <c r="T1249" s="385"/>
      <c r="U1249" s="385"/>
      <c r="V1249" s="385"/>
      <c r="W1249" s="385" t="s">
        <v>4710</v>
      </c>
      <c r="X1249" s="1"/>
    </row>
    <row r="1250" spans="1:24">
      <c r="A1250" s="385" t="s">
        <v>52</v>
      </c>
      <c r="B1250" s="385" t="s">
        <v>366</v>
      </c>
      <c r="C1250" s="385" t="s">
        <v>318</v>
      </c>
      <c r="D1250" s="385" t="s">
        <v>88</v>
      </c>
      <c r="E1250" s="385" t="s">
        <v>39</v>
      </c>
      <c r="F1250" s="385"/>
      <c r="G1250" s="385" t="s">
        <v>28</v>
      </c>
      <c r="H1250" s="385"/>
      <c r="I1250" s="385"/>
      <c r="J1250" s="30"/>
      <c r="K1250" s="385" t="s">
        <v>57</v>
      </c>
      <c r="L1250" s="385"/>
      <c r="M1250" s="385"/>
      <c r="N1250" s="385"/>
      <c r="O1250" s="385"/>
      <c r="P1250" s="385" t="str">
        <f>IFERROR(
    IF(
        OR(ISBLANK(I1250), ISBLANK(L1250)),
        "",
        MAX(
            1,
            IF(
                NETWORKDAYS(I1250, L1250, Holiday_Dates) &lt;= 0,
                1,
                NETWORKDAYS(I1250, L1250, Holiday_Dates) - IF(I1250 = L1250, 0, 1)
            )
        )
    ),
    ""
)</f>
        <v/>
      </c>
      <c r="Q1250" s="385" t="str">
        <f>IF(
    OR(ISBLANK(L1250), ISBLANK(M1250)),
    "",
    MAX(
        1,
        IF(
            NETWORKDAYS(L1250, M1250, Holiday_Dates) &lt;= 0,
            1,
            NETWORKDAYS(L1250, M1250, Holiday_Dates) - IF(L1250 = M1250, 0, 1)
        )
    )
)</f>
        <v/>
      </c>
      <c r="R1250" s="385" t="str">
        <f>IFERROR(
    IF(
        OR(ISBLANK(N1250), AND(ISBLANK(L1250), ISBLANK(M1250))),
        "",
        MAX(
            1,
            IF(
                NETWORKDAYS(IF(NOT(ISBLANK(M1250)), M1250, L1250), N1250, Holiday_Dates) &lt;= 0,
                1,
                NETWORKDAYS(IF(NOT(ISBLANK(M1250)), M1250, L1250), N1250, Holiday_Dates)
                - IF(IF(NOT(ISBLANK(M1250)), M1250, L1250) = N1250, 0, 1)
            )
        )
    ),
    ""
)</f>
        <v/>
      </c>
      <c r="S1250" s="385" t="str">
        <f>IFERROR(
    IF(
        OR(ISBLANK(N1250), ISBLANK(O1250)),
        "",
        MAX(
            1,
            IF(
                NETWORKDAYS(N1250, O1250, Holiday_Dates) &lt;= 0,
                1,
                NETWORKDAYS(N1250, O1250, Holiday_Dates) - IF(N1250 = O1250, 0, 1)
            )
        )
    ),
    ""
)</f>
        <v/>
      </c>
      <c r="T1250" s="385"/>
      <c r="U1250" s="385"/>
      <c r="V1250" s="385"/>
      <c r="W1250" s="385" t="s">
        <v>4710</v>
      </c>
      <c r="X1250" s="1"/>
    </row>
    <row r="1251" spans="1:24">
      <c r="A1251" s="385" t="s">
        <v>52</v>
      </c>
      <c r="B1251" s="385" t="s">
        <v>366</v>
      </c>
      <c r="C1251" s="385" t="s">
        <v>3880</v>
      </c>
      <c r="D1251" s="385" t="s">
        <v>88</v>
      </c>
      <c r="E1251" s="385" t="s">
        <v>39</v>
      </c>
      <c r="F1251" s="385"/>
      <c r="G1251" s="385" t="s">
        <v>28</v>
      </c>
      <c r="H1251" s="385"/>
      <c r="I1251" s="385"/>
      <c r="J1251" s="30"/>
      <c r="K1251" s="385" t="s">
        <v>57</v>
      </c>
      <c r="L1251" s="385"/>
      <c r="M1251" s="385"/>
      <c r="N1251" s="385"/>
      <c r="O1251" s="385"/>
      <c r="P1251" s="385" t="str">
        <f>IFERROR(
    IF(
        OR(ISBLANK(I1251), ISBLANK(L1251)),
        "",
        MAX(
            1,
            IF(
                NETWORKDAYS(I1251, L1251, Holiday_Dates) &lt;= 0,
                1,
                NETWORKDAYS(I1251, L1251, Holiday_Dates) - IF(I1251 = L1251, 0, 1)
            )
        )
    ),
    ""
)</f>
        <v/>
      </c>
      <c r="Q1251" s="385" t="str">
        <f>IF(
    OR(ISBLANK(L1251), ISBLANK(M1251)),
    "",
    MAX(
        1,
        IF(
            NETWORKDAYS(L1251, M1251, Holiday_Dates) &lt;= 0,
            1,
            NETWORKDAYS(L1251, M1251, Holiday_Dates) - IF(L1251 = M1251, 0, 1)
        )
    )
)</f>
        <v/>
      </c>
      <c r="R1251" s="385" t="str">
        <f>IFERROR(
    IF(
        OR(ISBLANK(N1251), AND(ISBLANK(L1251), ISBLANK(M1251))),
        "",
        MAX(
            1,
            IF(
                NETWORKDAYS(IF(NOT(ISBLANK(M1251)), M1251, L1251), N1251, Holiday_Dates) &lt;= 0,
                1,
                NETWORKDAYS(IF(NOT(ISBLANK(M1251)), M1251, L1251), N1251, Holiday_Dates)
                - IF(IF(NOT(ISBLANK(M1251)), M1251, L1251) = N1251, 0, 1)
            )
        )
    ),
    ""
)</f>
        <v/>
      </c>
      <c r="S1251" s="385" t="str">
        <f>IFERROR(
    IF(
        OR(ISBLANK(N1251), ISBLANK(O1251)),
        "",
        MAX(
            1,
            IF(
                NETWORKDAYS(N1251, O1251, Holiday_Dates) &lt;= 0,
                1,
                NETWORKDAYS(N1251, O1251, Holiday_Dates) - IF(N1251 = O1251, 0, 1)
            )
        )
    ),
    ""
)</f>
        <v/>
      </c>
      <c r="T1251" s="385"/>
      <c r="U1251" s="385"/>
      <c r="V1251" s="385"/>
      <c r="W1251" s="385" t="s">
        <v>4710</v>
      </c>
      <c r="X1251" s="1"/>
    </row>
    <row r="1252" spans="1:24">
      <c r="A1252" s="385" t="s">
        <v>52</v>
      </c>
      <c r="B1252" s="385" t="s">
        <v>250</v>
      </c>
      <c r="C1252" s="385" t="s">
        <v>3978</v>
      </c>
      <c r="D1252" s="385" t="s">
        <v>88</v>
      </c>
      <c r="E1252" s="385" t="s">
        <v>39</v>
      </c>
      <c r="F1252" s="385"/>
      <c r="G1252" s="385" t="s">
        <v>28</v>
      </c>
      <c r="H1252" s="385"/>
      <c r="I1252" s="385"/>
      <c r="J1252" s="30"/>
      <c r="K1252" s="385" t="s">
        <v>57</v>
      </c>
      <c r="L1252" s="385"/>
      <c r="M1252" s="385"/>
      <c r="N1252" s="385"/>
      <c r="O1252" s="385"/>
      <c r="P1252" s="385" t="str">
        <f>IFERROR(
    IF(
        OR(ISBLANK(I1252), ISBLANK(L1252)),
        "",
        MAX(
            1,
            IF(
                NETWORKDAYS(I1252, L1252, Holiday_Dates) &lt;= 0,
                1,
                NETWORKDAYS(I1252, L1252, Holiday_Dates) - IF(I1252 = L1252, 0, 1)
            )
        )
    ),
    ""
)</f>
        <v/>
      </c>
      <c r="Q1252" s="385" t="str">
        <f>IF(
    OR(ISBLANK(L1252), ISBLANK(M1252)),
    "",
    MAX(
        1,
        IF(
            NETWORKDAYS(L1252, M1252, Holiday_Dates) &lt;= 0,
            1,
            NETWORKDAYS(L1252, M1252, Holiday_Dates) - IF(L1252 = M1252, 0, 1)
        )
    )
)</f>
        <v/>
      </c>
      <c r="R1252" s="385" t="str">
        <f>IFERROR(
    IF(
        OR(ISBLANK(N1252), AND(ISBLANK(L1252), ISBLANK(M1252))),
        "",
        MAX(
            1,
            IF(
                NETWORKDAYS(IF(NOT(ISBLANK(M1252)), M1252, L1252), N1252, Holiday_Dates) &lt;= 0,
                1,
                NETWORKDAYS(IF(NOT(ISBLANK(M1252)), M1252, L1252), N1252, Holiday_Dates)
                - IF(IF(NOT(ISBLANK(M1252)), M1252, L1252) = N1252, 0, 1)
            )
        )
    ),
    ""
)</f>
        <v/>
      </c>
      <c r="S1252" s="385" t="str">
        <f>IFERROR(
    IF(
        OR(ISBLANK(N1252), ISBLANK(O1252)),
        "",
        MAX(
            1,
            IF(
                NETWORKDAYS(N1252, O1252, Holiday_Dates) &lt;= 0,
                1,
                NETWORKDAYS(N1252, O1252, Holiday_Dates) - IF(N1252 = O1252, 0, 1)
            )
        )
    ),
    ""
)</f>
        <v/>
      </c>
      <c r="T1252" s="385"/>
      <c r="U1252" s="385"/>
      <c r="V1252" s="385"/>
      <c r="W1252" s="385" t="s">
        <v>4710</v>
      </c>
      <c r="X1252" s="1"/>
    </row>
    <row r="1253" spans="1:24">
      <c r="A1253" s="385" t="s">
        <v>52</v>
      </c>
      <c r="B1253" s="385" t="s">
        <v>250</v>
      </c>
      <c r="C1253" s="385" t="s">
        <v>2236</v>
      </c>
      <c r="D1253" s="385" t="s">
        <v>88</v>
      </c>
      <c r="E1253" s="385" t="s">
        <v>39</v>
      </c>
      <c r="F1253" s="385"/>
      <c r="G1253" s="385" t="s">
        <v>28</v>
      </c>
      <c r="H1253" s="385"/>
      <c r="I1253" s="385"/>
      <c r="J1253" s="30"/>
      <c r="K1253" s="385" t="s">
        <v>57</v>
      </c>
      <c r="L1253" s="385"/>
      <c r="M1253" s="385"/>
      <c r="N1253" s="385"/>
      <c r="O1253" s="385"/>
      <c r="P1253" s="385" t="str">
        <f>IFERROR(
    IF(
        OR(ISBLANK(I1253), ISBLANK(L1253)),
        "",
        MAX(
            1,
            IF(
                NETWORKDAYS(I1253, L1253, Holiday_Dates) &lt;= 0,
                1,
                NETWORKDAYS(I1253, L1253, Holiday_Dates) - IF(I1253 = L1253, 0, 1)
            )
        )
    ),
    ""
)</f>
        <v/>
      </c>
      <c r="Q1253" s="385" t="str">
        <f>IF(
    OR(ISBLANK(L1253), ISBLANK(M1253)),
    "",
    MAX(
        1,
        IF(
            NETWORKDAYS(L1253, M1253, Holiday_Dates) &lt;= 0,
            1,
            NETWORKDAYS(L1253, M1253, Holiday_Dates) - IF(L1253 = M1253, 0, 1)
        )
    )
)</f>
        <v/>
      </c>
      <c r="R1253" s="385" t="str">
        <f>IFERROR(
    IF(
        OR(ISBLANK(N1253), AND(ISBLANK(L1253), ISBLANK(M1253))),
        "",
        MAX(
            1,
            IF(
                NETWORKDAYS(IF(NOT(ISBLANK(M1253)), M1253, L1253), N1253, Holiday_Dates) &lt;= 0,
                1,
                NETWORKDAYS(IF(NOT(ISBLANK(M1253)), M1253, L1253), N1253, Holiday_Dates)
                - IF(IF(NOT(ISBLANK(M1253)), M1253, L1253) = N1253, 0, 1)
            )
        )
    ),
    ""
)</f>
        <v/>
      </c>
      <c r="S1253" s="385" t="str">
        <f>IFERROR(
    IF(
        OR(ISBLANK(N1253), ISBLANK(O1253)),
        "",
        MAX(
            1,
            IF(
                NETWORKDAYS(N1253, O1253, Holiday_Dates) &lt;= 0,
                1,
                NETWORKDAYS(N1253, O1253, Holiday_Dates) - IF(N1253 = O1253, 0, 1)
            )
        )
    ),
    ""
)</f>
        <v/>
      </c>
      <c r="T1253" s="385"/>
      <c r="U1253" s="385"/>
      <c r="V1253" s="385"/>
      <c r="W1253" s="385" t="s">
        <v>4710</v>
      </c>
      <c r="X1253" s="1"/>
    </row>
    <row r="1254" spans="1:24">
      <c r="A1254" s="385" t="s">
        <v>65</v>
      </c>
      <c r="B1254" s="385" t="s">
        <v>2984</v>
      </c>
      <c r="C1254" s="385" t="s">
        <v>2985</v>
      </c>
      <c r="D1254" s="385" t="s">
        <v>88</v>
      </c>
      <c r="E1254" s="385"/>
      <c r="F1254" s="385"/>
      <c r="G1254" s="385"/>
      <c r="H1254" s="385">
        <v>2025</v>
      </c>
      <c r="I1254" s="386">
        <v>45692</v>
      </c>
      <c r="J1254" s="30" t="s">
        <v>5217</v>
      </c>
      <c r="K1254" s="385"/>
      <c r="L1254" s="385"/>
      <c r="M1254" s="385"/>
      <c r="N1254" s="385"/>
      <c r="O1254" s="385"/>
      <c r="P1254" s="385" t="str">
        <f>IFERROR(
    IF(
        OR(ISBLANK(I1254), ISBLANK(L1254)),
        "",
        MAX(
            1,
            IF(
                NETWORKDAYS(I1254, L1254, Holiday_Dates) &lt;= 0,
                1,
                NETWORKDAYS(I1254, L1254, Holiday_Dates) - IF(I1254 = L1254, 0, 1)
            )
        )
    ),
    ""
)</f>
        <v/>
      </c>
      <c r="Q1254" s="385" t="str">
        <f>IF(
    OR(ISBLANK(L1254), ISBLANK(M1254)),
    "",
    MAX(
        1,
        IF(
            NETWORKDAYS(L1254, M1254, Holiday_Dates) &lt;= 0,
            1,
            NETWORKDAYS(L1254, M1254, Holiday_Dates) - IF(L1254 = M1254, 0, 1)
        )
    )
)</f>
        <v/>
      </c>
      <c r="R1254" s="385" t="str">
        <f>IFERROR(
    IF(
        OR(ISBLANK(N1254), AND(ISBLANK(L1254), ISBLANK(M1254))),
        "",
        MAX(
            1,
            IF(
                NETWORKDAYS(IF(NOT(ISBLANK(M1254)), M1254, L1254), N1254, Holiday_Dates) &lt;= 0,
                1,
                NETWORKDAYS(IF(NOT(ISBLANK(M1254)), M1254, L1254), N1254, Holiday_Dates)
                - IF(IF(NOT(ISBLANK(M1254)), M1254, L1254) = N1254, 0, 1)
            )
        )
    ),
    ""
)</f>
        <v/>
      </c>
      <c r="S1254" s="385" t="str">
        <f>IFERROR(
    IF(
        OR(ISBLANK(N1254), ISBLANK(O1254)),
        "",
        MAX(
            1,
            IF(
                NETWORKDAYS(N1254, O1254, Holiday_Dates) &lt;= 0,
                1,
                NETWORKDAYS(N1254, O1254, Holiday_Dates) - IF(N1254 = O1254, 0, 1)
            )
        )
    ),
    ""
)</f>
        <v/>
      </c>
      <c r="T1254" s="385"/>
      <c r="U1254" s="385" t="s">
        <v>672</v>
      </c>
      <c r="V1254" s="385" t="s">
        <v>101</v>
      </c>
      <c r="W1254" s="385" t="s">
        <v>1436</v>
      </c>
      <c r="X1254" s="1"/>
    </row>
    <row r="1255" spans="1:24">
      <c r="A1255" s="385" t="s">
        <v>65</v>
      </c>
      <c r="B1255" s="385" t="s">
        <v>2984</v>
      </c>
      <c r="C1255" s="385" t="s">
        <v>2986</v>
      </c>
      <c r="D1255" s="385" t="s">
        <v>88</v>
      </c>
      <c r="E1255" s="385"/>
      <c r="F1255" s="385"/>
      <c r="G1255" s="385"/>
      <c r="H1255" s="385">
        <v>2025</v>
      </c>
      <c r="I1255" s="386">
        <v>45694</v>
      </c>
      <c r="J1255" s="30" t="s">
        <v>5218</v>
      </c>
      <c r="K1255" s="385"/>
      <c r="L1255" s="385"/>
      <c r="M1255" s="385"/>
      <c r="N1255" s="385"/>
      <c r="O1255" s="385"/>
      <c r="P1255" s="385" t="str">
        <f>IFERROR(
    IF(
        OR(ISBLANK(I1255), ISBLANK(L1255)),
        "",
        MAX(
            1,
            IF(
                NETWORKDAYS(I1255, L1255, Holiday_Dates) &lt;= 0,
                1,
                NETWORKDAYS(I1255, L1255, Holiday_Dates) - IF(I1255 = L1255, 0, 1)
            )
        )
    ),
    ""
)</f>
        <v/>
      </c>
      <c r="Q1255" s="385" t="str">
        <f>IF(
    OR(ISBLANK(L1255), ISBLANK(M1255)),
    "",
    MAX(
        1,
        IF(
            NETWORKDAYS(L1255, M1255, Holiday_Dates) &lt;= 0,
            1,
            NETWORKDAYS(L1255, M1255, Holiday_Dates) - IF(L1255 = M1255, 0, 1)
        )
    )
)</f>
        <v/>
      </c>
      <c r="R1255" s="385" t="str">
        <f>IFERROR(
    IF(
        OR(ISBLANK(N1255), AND(ISBLANK(L1255), ISBLANK(M1255))),
        "",
        MAX(
            1,
            IF(
                NETWORKDAYS(IF(NOT(ISBLANK(M1255)), M1255, L1255), N1255, Holiday_Dates) &lt;= 0,
                1,
                NETWORKDAYS(IF(NOT(ISBLANK(M1255)), M1255, L1255), N1255, Holiday_Dates)
                - IF(IF(NOT(ISBLANK(M1255)), M1255, L1255) = N1255, 0, 1)
            )
        )
    ),
    ""
)</f>
        <v/>
      </c>
      <c r="S1255" s="385" t="str">
        <f>IFERROR(
    IF(
        OR(ISBLANK(N1255), ISBLANK(O1255)),
        "",
        MAX(
            1,
            IF(
                NETWORKDAYS(N1255, O1255, Holiday_Dates) &lt;= 0,
                1,
                NETWORKDAYS(N1255, O1255, Holiday_Dates) - IF(N1255 = O1255, 0, 1)
            )
        )
    ),
    ""
)</f>
        <v/>
      </c>
      <c r="T1255" s="385"/>
      <c r="U1255" s="385" t="s">
        <v>672</v>
      </c>
      <c r="V1255" s="385" t="s">
        <v>101</v>
      </c>
      <c r="W1255" s="385" t="s">
        <v>1436</v>
      </c>
      <c r="X1255" s="1"/>
    </row>
    <row r="1256" spans="1:24">
      <c r="A1256" s="385" t="s">
        <v>65</v>
      </c>
      <c r="B1256" s="385" t="s">
        <v>2984</v>
      </c>
      <c r="C1256" s="385" t="s">
        <v>638</v>
      </c>
      <c r="D1256" s="385" t="s">
        <v>88</v>
      </c>
      <c r="E1256" s="385"/>
      <c r="F1256" s="385"/>
      <c r="G1256" s="385"/>
      <c r="H1256" s="385">
        <v>2024</v>
      </c>
      <c r="I1256" s="386">
        <v>45316</v>
      </c>
      <c r="J1256" s="30"/>
      <c r="K1256" s="385"/>
      <c r="L1256" s="385"/>
      <c r="M1256" s="385"/>
      <c r="N1256" s="385"/>
      <c r="O1256" s="385"/>
      <c r="P1256" s="385" t="str">
        <f>IFERROR(
    IF(
        OR(ISBLANK(I1256), ISBLANK(L1256)),
        "",
        MAX(
            1,
            IF(
                NETWORKDAYS(I1256, L1256, Holiday_Dates) &lt;= 0,
                1,
                NETWORKDAYS(I1256, L1256, Holiday_Dates) - IF(I1256 = L1256, 0, 1)
            )
        )
    ),
    ""
)</f>
        <v/>
      </c>
      <c r="Q1256" s="385" t="str">
        <f>IF(
    OR(ISBLANK(L1256), ISBLANK(M1256)),
    "",
    MAX(
        1,
        IF(
            NETWORKDAYS(L1256, M1256, Holiday_Dates) &lt;= 0,
            1,
            NETWORKDAYS(L1256, M1256, Holiday_Dates) - IF(L1256 = M1256, 0, 1)
        )
    )
)</f>
        <v/>
      </c>
      <c r="R1256" s="385" t="str">
        <f>IFERROR(
    IF(
        OR(ISBLANK(N1256), AND(ISBLANK(L1256), ISBLANK(M1256))),
        "",
        MAX(
            1,
            IF(
                NETWORKDAYS(IF(NOT(ISBLANK(M1256)), M1256, L1256), N1256, Holiday_Dates) &lt;= 0,
                1,
                NETWORKDAYS(IF(NOT(ISBLANK(M1256)), M1256, L1256), N1256, Holiday_Dates)
                - IF(IF(NOT(ISBLANK(M1256)), M1256, L1256) = N1256, 0, 1)
            )
        )
    ),
    ""
)</f>
        <v/>
      </c>
      <c r="S1256" s="385" t="str">
        <f>IFERROR(
    IF(
        OR(ISBLANK(N1256), ISBLANK(O1256)),
        "",
        MAX(
            1,
            IF(
                NETWORKDAYS(N1256, O1256, Holiday_Dates) &lt;= 0,
                1,
                NETWORKDAYS(N1256, O1256, Holiday_Dates) - IF(N1256 = O1256, 0, 1)
            )
        )
    ),
    ""
)</f>
        <v/>
      </c>
      <c r="T1256" s="385"/>
      <c r="U1256" s="385" t="s">
        <v>672</v>
      </c>
      <c r="V1256" s="385"/>
      <c r="W1256" s="385" t="s">
        <v>1436</v>
      </c>
      <c r="X1256" s="1"/>
    </row>
    <row r="1257" spans="1:24">
      <c r="A1257" s="385" t="s">
        <v>52</v>
      </c>
      <c r="B1257" s="385" t="s">
        <v>250</v>
      </c>
      <c r="C1257" s="385" t="s">
        <v>4007</v>
      </c>
      <c r="D1257" s="385" t="s">
        <v>88</v>
      </c>
      <c r="E1257" s="385" t="s">
        <v>39</v>
      </c>
      <c r="F1257" s="385"/>
      <c r="G1257" s="385" t="s">
        <v>28</v>
      </c>
      <c r="H1257" s="385"/>
      <c r="I1257" s="385"/>
      <c r="J1257" s="30"/>
      <c r="K1257" s="385" t="s">
        <v>57</v>
      </c>
      <c r="L1257" s="385"/>
      <c r="M1257" s="385"/>
      <c r="N1257" s="385"/>
      <c r="O1257" s="385"/>
      <c r="P1257" s="385" t="str">
        <f>IFERROR(
    IF(
        OR(ISBLANK(I1257), ISBLANK(L1257)),
        "",
        MAX(
            1,
            IF(
                NETWORKDAYS(I1257, L1257, Holiday_Dates) &lt;= 0,
                1,
                NETWORKDAYS(I1257, L1257, Holiday_Dates) - IF(I1257 = L1257, 0, 1)
            )
        )
    ),
    ""
)</f>
        <v/>
      </c>
      <c r="Q1257" s="385" t="str">
        <f>IF(
    OR(ISBLANK(L1257), ISBLANK(M1257)),
    "",
    MAX(
        1,
        IF(
            NETWORKDAYS(L1257, M1257, Holiday_Dates) &lt;= 0,
            1,
            NETWORKDAYS(L1257, M1257, Holiday_Dates) - IF(L1257 = M1257, 0, 1)
        )
    )
)</f>
        <v/>
      </c>
      <c r="R1257" s="385" t="str">
        <f>IFERROR(
    IF(
        OR(ISBLANK(N1257), AND(ISBLANK(L1257), ISBLANK(M1257))),
        "",
        MAX(
            1,
            IF(
                NETWORKDAYS(IF(NOT(ISBLANK(M1257)), M1257, L1257), N1257, Holiday_Dates) &lt;= 0,
                1,
                NETWORKDAYS(IF(NOT(ISBLANK(M1257)), M1257, L1257), N1257, Holiday_Dates)
                - IF(IF(NOT(ISBLANK(M1257)), M1257, L1257) = N1257, 0, 1)
            )
        )
    ),
    ""
)</f>
        <v/>
      </c>
      <c r="S1257" s="385" t="str">
        <f>IFERROR(
    IF(
        OR(ISBLANK(N1257), ISBLANK(O1257)),
        "",
        MAX(
            1,
            IF(
                NETWORKDAYS(N1257, O1257, Holiday_Dates) &lt;= 0,
                1,
                NETWORKDAYS(N1257, O1257, Holiday_Dates) - IF(N1257 = O1257, 0, 1)
            )
        )
    ),
    ""
)</f>
        <v/>
      </c>
      <c r="T1257" s="385"/>
      <c r="U1257" s="385"/>
      <c r="V1257" s="385"/>
      <c r="W1257" s="385" t="s">
        <v>4710</v>
      </c>
      <c r="X1257" s="1"/>
    </row>
    <row r="1258" spans="1:24">
      <c r="A1258" s="385" t="s">
        <v>52</v>
      </c>
      <c r="B1258" s="385" t="s">
        <v>4231</v>
      </c>
      <c r="C1258" s="385" t="s">
        <v>4247</v>
      </c>
      <c r="D1258" s="385" t="s">
        <v>88</v>
      </c>
      <c r="E1258" s="385" t="s">
        <v>37</v>
      </c>
      <c r="F1258" s="385"/>
      <c r="G1258" s="385" t="s">
        <v>28</v>
      </c>
      <c r="H1258" s="385"/>
      <c r="I1258" s="385"/>
      <c r="J1258" s="30"/>
      <c r="K1258" s="385" t="s">
        <v>57</v>
      </c>
      <c r="L1258" s="385"/>
      <c r="M1258" s="385"/>
      <c r="N1258" s="385"/>
      <c r="O1258" s="385"/>
      <c r="P1258" s="385" t="str">
        <f>IFERROR(
    IF(
        OR(ISBLANK(I1258), ISBLANK(L1258)),
        "",
        MAX(
            1,
            IF(
                NETWORKDAYS(I1258, L1258, Holiday_Dates) &lt;= 0,
                1,
                NETWORKDAYS(I1258, L1258, Holiday_Dates) - IF(I1258 = L1258, 0, 1)
            )
        )
    ),
    ""
)</f>
        <v/>
      </c>
      <c r="Q1258" s="385" t="str">
        <f>IF(
    OR(ISBLANK(L1258), ISBLANK(M1258)),
    "",
    MAX(
        1,
        IF(
            NETWORKDAYS(L1258, M1258, Holiday_Dates) &lt;= 0,
            1,
            NETWORKDAYS(L1258, M1258, Holiday_Dates) - IF(L1258 = M1258, 0, 1)
        )
    )
)</f>
        <v/>
      </c>
      <c r="R1258" s="385" t="str">
        <f>IFERROR(
    IF(
        OR(ISBLANK(N1258), AND(ISBLANK(L1258), ISBLANK(M1258))),
        "",
        MAX(
            1,
            IF(
                NETWORKDAYS(IF(NOT(ISBLANK(M1258)), M1258, L1258), N1258, Holiday_Dates) &lt;= 0,
                1,
                NETWORKDAYS(IF(NOT(ISBLANK(M1258)), M1258, L1258), N1258, Holiday_Dates)
                - IF(IF(NOT(ISBLANK(M1258)), M1258, L1258) = N1258, 0, 1)
            )
        )
    ),
    ""
)</f>
        <v/>
      </c>
      <c r="S1258" s="385" t="str">
        <f>IFERROR(
    IF(
        OR(ISBLANK(N1258), ISBLANK(O1258)),
        "",
        MAX(
            1,
            IF(
                NETWORKDAYS(N1258, O1258, Holiday_Dates) &lt;= 0,
                1,
                NETWORKDAYS(N1258, O1258, Holiday_Dates) - IF(N1258 = O1258, 0, 1)
            )
        )
    ),
    ""
)</f>
        <v/>
      </c>
      <c r="T1258" s="385"/>
      <c r="U1258" s="385"/>
      <c r="V1258" s="385"/>
      <c r="W1258" s="385" t="s">
        <v>4710</v>
      </c>
      <c r="X1258" s="1"/>
    </row>
    <row r="1259" spans="1:24">
      <c r="A1259" s="385" t="s">
        <v>52</v>
      </c>
      <c r="B1259" s="385" t="s">
        <v>4231</v>
      </c>
      <c r="C1259" s="385" t="s">
        <v>4249</v>
      </c>
      <c r="D1259" s="385" t="s">
        <v>88</v>
      </c>
      <c r="E1259" s="385" t="s">
        <v>37</v>
      </c>
      <c r="F1259" s="385"/>
      <c r="G1259" s="385" t="s">
        <v>28</v>
      </c>
      <c r="H1259" s="385"/>
      <c r="I1259" s="385"/>
      <c r="J1259" s="30"/>
      <c r="K1259" s="385" t="s">
        <v>57</v>
      </c>
      <c r="L1259" s="385"/>
      <c r="M1259" s="385"/>
      <c r="N1259" s="385"/>
      <c r="O1259" s="385"/>
      <c r="P1259" s="385" t="str">
        <f>IFERROR(
    IF(
        OR(ISBLANK(I1259), ISBLANK(L1259)),
        "",
        MAX(
            1,
            IF(
                NETWORKDAYS(I1259, L1259, Holiday_Dates) &lt;= 0,
                1,
                NETWORKDAYS(I1259, L1259, Holiday_Dates) - IF(I1259 = L1259, 0, 1)
            )
        )
    ),
    ""
)</f>
        <v/>
      </c>
      <c r="Q1259" s="385" t="str">
        <f>IF(
    OR(ISBLANK(L1259), ISBLANK(M1259)),
    "",
    MAX(
        1,
        IF(
            NETWORKDAYS(L1259, M1259, Holiday_Dates) &lt;= 0,
            1,
            NETWORKDAYS(L1259, M1259, Holiday_Dates) - IF(L1259 = M1259, 0, 1)
        )
    )
)</f>
        <v/>
      </c>
      <c r="R1259" s="385" t="str">
        <f>IFERROR(
    IF(
        OR(ISBLANK(N1259), AND(ISBLANK(L1259), ISBLANK(M1259))),
        "",
        MAX(
            1,
            IF(
                NETWORKDAYS(IF(NOT(ISBLANK(M1259)), M1259, L1259), N1259, Holiday_Dates) &lt;= 0,
                1,
                NETWORKDAYS(IF(NOT(ISBLANK(M1259)), M1259, L1259), N1259, Holiday_Dates)
                - IF(IF(NOT(ISBLANK(M1259)), M1259, L1259) = N1259, 0, 1)
            )
        )
    ),
    ""
)</f>
        <v/>
      </c>
      <c r="S1259" s="385" t="str">
        <f>IFERROR(
    IF(
        OR(ISBLANK(N1259), ISBLANK(O1259)),
        "",
        MAX(
            1,
            IF(
                NETWORKDAYS(N1259, O1259, Holiday_Dates) &lt;= 0,
                1,
                NETWORKDAYS(N1259, O1259, Holiday_Dates) - IF(N1259 = O1259, 0, 1)
            )
        )
    ),
    ""
)</f>
        <v/>
      </c>
      <c r="T1259" s="385"/>
      <c r="U1259" s="385"/>
      <c r="V1259" s="385"/>
      <c r="W1259" s="385" t="s">
        <v>4710</v>
      </c>
      <c r="X1259" s="1"/>
    </row>
    <row r="1260" spans="1:24">
      <c r="A1260" s="385" t="s">
        <v>52</v>
      </c>
      <c r="B1260" s="385" t="s">
        <v>4231</v>
      </c>
      <c r="C1260" s="385" t="s">
        <v>4250</v>
      </c>
      <c r="D1260" s="385" t="s">
        <v>88</v>
      </c>
      <c r="E1260" s="385" t="s">
        <v>37</v>
      </c>
      <c r="F1260" s="385"/>
      <c r="G1260" s="385" t="s">
        <v>28</v>
      </c>
      <c r="H1260" s="385"/>
      <c r="I1260" s="385"/>
      <c r="J1260" s="30"/>
      <c r="K1260" s="385" t="s">
        <v>57</v>
      </c>
      <c r="L1260" s="385"/>
      <c r="M1260" s="385"/>
      <c r="N1260" s="385"/>
      <c r="O1260" s="385"/>
      <c r="P1260" s="385" t="str">
        <f>IFERROR(
    IF(
        OR(ISBLANK(I1260), ISBLANK(L1260)),
        "",
        MAX(
            1,
            IF(
                NETWORKDAYS(I1260, L1260, Holiday_Dates) &lt;= 0,
                1,
                NETWORKDAYS(I1260, L1260, Holiday_Dates) - IF(I1260 = L1260, 0, 1)
            )
        )
    ),
    ""
)</f>
        <v/>
      </c>
      <c r="Q1260" s="385" t="str">
        <f>IF(
    OR(ISBLANK(L1260), ISBLANK(M1260)),
    "",
    MAX(
        1,
        IF(
            NETWORKDAYS(L1260, M1260, Holiday_Dates) &lt;= 0,
            1,
            NETWORKDAYS(L1260, M1260, Holiday_Dates) - IF(L1260 = M1260, 0, 1)
        )
    )
)</f>
        <v/>
      </c>
      <c r="R1260" s="385" t="str">
        <f>IFERROR(
    IF(
        OR(ISBLANK(N1260), AND(ISBLANK(L1260), ISBLANK(M1260))),
        "",
        MAX(
            1,
            IF(
                NETWORKDAYS(IF(NOT(ISBLANK(M1260)), M1260, L1260), N1260, Holiday_Dates) &lt;= 0,
                1,
                NETWORKDAYS(IF(NOT(ISBLANK(M1260)), M1260, L1260), N1260, Holiday_Dates)
                - IF(IF(NOT(ISBLANK(M1260)), M1260, L1260) = N1260, 0, 1)
            )
        )
    ),
    ""
)</f>
        <v/>
      </c>
      <c r="S1260" s="385" t="str">
        <f>IFERROR(
    IF(
        OR(ISBLANK(N1260), ISBLANK(O1260)),
        "",
        MAX(
            1,
            IF(
                NETWORKDAYS(N1260, O1260, Holiday_Dates) &lt;= 0,
                1,
                NETWORKDAYS(N1260, O1260, Holiday_Dates) - IF(N1260 = O1260, 0, 1)
            )
        )
    ),
    ""
)</f>
        <v/>
      </c>
      <c r="T1260" s="385"/>
      <c r="U1260" s="385"/>
      <c r="V1260" s="385"/>
      <c r="W1260" s="385" t="s">
        <v>4710</v>
      </c>
      <c r="X1260" s="1"/>
    </row>
    <row r="1261" spans="1:24">
      <c r="A1261" s="385" t="s">
        <v>52</v>
      </c>
      <c r="B1261" s="385" t="s">
        <v>4231</v>
      </c>
      <c r="C1261" s="385" t="s">
        <v>4251</v>
      </c>
      <c r="D1261" s="385" t="s">
        <v>88</v>
      </c>
      <c r="E1261" s="385" t="s">
        <v>37</v>
      </c>
      <c r="F1261" s="385"/>
      <c r="G1261" s="385" t="s">
        <v>28</v>
      </c>
      <c r="H1261" s="385"/>
      <c r="I1261" s="385"/>
      <c r="J1261" s="30"/>
      <c r="K1261" s="385" t="s">
        <v>57</v>
      </c>
      <c r="L1261" s="385"/>
      <c r="M1261" s="385"/>
      <c r="N1261" s="385"/>
      <c r="O1261" s="385"/>
      <c r="P1261" s="385" t="str">
        <f>IFERROR(
    IF(
        OR(ISBLANK(I1261), ISBLANK(L1261)),
        "",
        MAX(
            1,
            IF(
                NETWORKDAYS(I1261, L1261, Holiday_Dates) &lt;= 0,
                1,
                NETWORKDAYS(I1261, L1261, Holiday_Dates) - IF(I1261 = L1261, 0, 1)
            )
        )
    ),
    ""
)</f>
        <v/>
      </c>
      <c r="Q1261" s="385" t="str">
        <f>IF(
    OR(ISBLANK(L1261), ISBLANK(M1261)),
    "",
    MAX(
        1,
        IF(
            NETWORKDAYS(L1261, M1261, Holiday_Dates) &lt;= 0,
            1,
            NETWORKDAYS(L1261, M1261, Holiday_Dates) - IF(L1261 = M1261, 0, 1)
        )
    )
)</f>
        <v/>
      </c>
      <c r="R1261" s="385" t="str">
        <f>IFERROR(
    IF(
        OR(ISBLANK(N1261), AND(ISBLANK(L1261), ISBLANK(M1261))),
        "",
        MAX(
            1,
            IF(
                NETWORKDAYS(IF(NOT(ISBLANK(M1261)), M1261, L1261), N1261, Holiday_Dates) &lt;= 0,
                1,
                NETWORKDAYS(IF(NOT(ISBLANK(M1261)), M1261, L1261), N1261, Holiday_Dates)
                - IF(IF(NOT(ISBLANK(M1261)), M1261, L1261) = N1261, 0, 1)
            )
        )
    ),
    ""
)</f>
        <v/>
      </c>
      <c r="S1261" s="385" t="str">
        <f>IFERROR(
    IF(
        OR(ISBLANK(N1261), ISBLANK(O1261)),
        "",
        MAX(
            1,
            IF(
                NETWORKDAYS(N1261, O1261, Holiday_Dates) &lt;= 0,
                1,
                NETWORKDAYS(N1261, O1261, Holiday_Dates) - IF(N1261 = O1261, 0, 1)
            )
        )
    ),
    ""
)</f>
        <v/>
      </c>
      <c r="T1261" s="385"/>
      <c r="U1261" s="385"/>
      <c r="V1261" s="385"/>
      <c r="W1261" s="385" t="s">
        <v>4710</v>
      </c>
      <c r="X1261" s="1"/>
    </row>
    <row r="1262" spans="1:24">
      <c r="A1262" s="385" t="s">
        <v>52</v>
      </c>
      <c r="B1262" s="385" t="s">
        <v>4231</v>
      </c>
      <c r="C1262" s="385" t="s">
        <v>1766</v>
      </c>
      <c r="D1262" s="385" t="s">
        <v>88</v>
      </c>
      <c r="E1262" s="385" t="s">
        <v>37</v>
      </c>
      <c r="F1262" s="385"/>
      <c r="G1262" s="385" t="s">
        <v>28</v>
      </c>
      <c r="H1262" s="385"/>
      <c r="I1262" s="385"/>
      <c r="J1262" s="30"/>
      <c r="K1262" s="385" t="s">
        <v>57</v>
      </c>
      <c r="L1262" s="385"/>
      <c r="M1262" s="385"/>
      <c r="N1262" s="385"/>
      <c r="O1262" s="385"/>
      <c r="P1262" s="385" t="str">
        <f>IFERROR(
    IF(
        OR(ISBLANK(I1262), ISBLANK(L1262)),
        "",
        MAX(
            1,
            IF(
                NETWORKDAYS(I1262, L1262, Holiday_Dates) &lt;= 0,
                1,
                NETWORKDAYS(I1262, L1262, Holiday_Dates) - IF(I1262 = L1262, 0, 1)
            )
        )
    ),
    ""
)</f>
        <v/>
      </c>
      <c r="Q1262" s="385" t="str">
        <f>IF(
    OR(ISBLANK(L1262), ISBLANK(M1262)),
    "",
    MAX(
        1,
        IF(
            NETWORKDAYS(L1262, M1262, Holiday_Dates) &lt;= 0,
            1,
            NETWORKDAYS(L1262, M1262, Holiday_Dates) - IF(L1262 = M1262, 0, 1)
        )
    )
)</f>
        <v/>
      </c>
      <c r="R1262" s="385" t="str">
        <f>IFERROR(
    IF(
        OR(ISBLANK(N1262), AND(ISBLANK(L1262), ISBLANK(M1262))),
        "",
        MAX(
            1,
            IF(
                NETWORKDAYS(IF(NOT(ISBLANK(M1262)), M1262, L1262), N1262, Holiday_Dates) &lt;= 0,
                1,
                NETWORKDAYS(IF(NOT(ISBLANK(M1262)), M1262, L1262), N1262, Holiday_Dates)
                - IF(IF(NOT(ISBLANK(M1262)), M1262, L1262) = N1262, 0, 1)
            )
        )
    ),
    ""
)</f>
        <v/>
      </c>
      <c r="S1262" s="385" t="str">
        <f>IFERROR(
    IF(
        OR(ISBLANK(N1262), ISBLANK(O1262)),
        "",
        MAX(
            1,
            IF(
                NETWORKDAYS(N1262, O1262, Holiday_Dates) &lt;= 0,
                1,
                NETWORKDAYS(N1262, O1262, Holiday_Dates) - IF(N1262 = O1262, 0, 1)
            )
        )
    ),
    ""
)</f>
        <v/>
      </c>
      <c r="T1262" s="385"/>
      <c r="U1262" s="385"/>
      <c r="V1262" s="385"/>
      <c r="W1262" s="385" t="s">
        <v>4710</v>
      </c>
      <c r="X1262" s="1"/>
    </row>
    <row r="1263" spans="1:24">
      <c r="A1263" s="385" t="s">
        <v>65</v>
      </c>
      <c r="B1263" s="385" t="s">
        <v>2984</v>
      </c>
      <c r="C1263" s="385" t="s">
        <v>2994</v>
      </c>
      <c r="D1263" s="385" t="s">
        <v>88</v>
      </c>
      <c r="E1263" s="385"/>
      <c r="F1263" s="385"/>
      <c r="G1263" s="385"/>
      <c r="H1263" s="385">
        <v>2025</v>
      </c>
      <c r="I1263" s="386">
        <v>45692</v>
      </c>
      <c r="J1263" s="30" t="s">
        <v>5219</v>
      </c>
      <c r="K1263" s="385"/>
      <c r="L1263" s="385"/>
      <c r="M1263" s="385"/>
      <c r="N1263" s="385"/>
      <c r="O1263" s="385"/>
      <c r="P1263" s="385" t="str">
        <f>IFERROR(
    IF(
        OR(ISBLANK(I1263), ISBLANK(L1263)),
        "",
        MAX(
            1,
            IF(
                NETWORKDAYS(I1263, L1263, Holiday_Dates) &lt;= 0,
                1,
                NETWORKDAYS(I1263, L1263, Holiday_Dates) - IF(I1263 = L1263, 0, 1)
            )
        )
    ),
    ""
)</f>
        <v/>
      </c>
      <c r="Q1263" s="385" t="str">
        <f>IF(
    OR(ISBLANK(L1263), ISBLANK(M1263)),
    "",
    MAX(
        1,
        IF(
            NETWORKDAYS(L1263, M1263, Holiday_Dates) &lt;= 0,
            1,
            NETWORKDAYS(L1263, M1263, Holiday_Dates) - IF(L1263 = M1263, 0, 1)
        )
    )
)</f>
        <v/>
      </c>
      <c r="R1263" s="385" t="str">
        <f>IFERROR(
    IF(
        OR(ISBLANK(N1263), AND(ISBLANK(L1263), ISBLANK(M1263))),
        "",
        MAX(
            1,
            IF(
                NETWORKDAYS(IF(NOT(ISBLANK(M1263)), M1263, L1263), N1263, Holiday_Dates) &lt;= 0,
                1,
                NETWORKDAYS(IF(NOT(ISBLANK(M1263)), M1263, L1263), N1263, Holiday_Dates)
                - IF(IF(NOT(ISBLANK(M1263)), M1263, L1263) = N1263, 0, 1)
            )
        )
    ),
    ""
)</f>
        <v/>
      </c>
      <c r="S1263" s="385" t="str">
        <f>IFERROR(
    IF(
        OR(ISBLANK(N1263), ISBLANK(O1263)),
        "",
        MAX(
            1,
            IF(
                NETWORKDAYS(N1263, O1263, Holiday_Dates) &lt;= 0,
                1,
                NETWORKDAYS(N1263, O1263, Holiday_Dates) - IF(N1263 = O1263, 0, 1)
            )
        )
    ),
    ""
)</f>
        <v/>
      </c>
      <c r="T1263" s="385"/>
      <c r="U1263" s="385" t="s">
        <v>672</v>
      </c>
      <c r="V1263" s="385" t="s">
        <v>101</v>
      </c>
      <c r="W1263" s="385" t="s">
        <v>1436</v>
      </c>
      <c r="X1263" s="1"/>
    </row>
    <row r="1264" spans="1:24">
      <c r="A1264" s="385" t="s">
        <v>65</v>
      </c>
      <c r="B1264" s="385" t="s">
        <v>2984</v>
      </c>
      <c r="C1264" s="385" t="s">
        <v>2995</v>
      </c>
      <c r="D1264" s="385" t="s">
        <v>88</v>
      </c>
      <c r="E1264" s="385"/>
      <c r="F1264" s="385"/>
      <c r="G1264" s="385"/>
      <c r="H1264" s="385">
        <v>2024</v>
      </c>
      <c r="I1264" s="386">
        <v>45316</v>
      </c>
      <c r="J1264" s="30"/>
      <c r="K1264" s="385"/>
      <c r="L1264" s="385"/>
      <c r="M1264" s="385"/>
      <c r="N1264" s="385"/>
      <c r="O1264" s="385"/>
      <c r="P1264" s="385" t="str">
        <f>IFERROR(
    IF(
        OR(ISBLANK(I1264), ISBLANK(L1264)),
        "",
        MAX(
            1,
            IF(
                NETWORKDAYS(I1264, L1264, Holiday_Dates) &lt;= 0,
                1,
                NETWORKDAYS(I1264, L1264, Holiday_Dates) - IF(I1264 = L1264, 0, 1)
            )
        )
    ),
    ""
)</f>
        <v/>
      </c>
      <c r="Q1264" s="385" t="str">
        <f>IF(
    OR(ISBLANK(L1264), ISBLANK(M1264)),
    "",
    MAX(
        1,
        IF(
            NETWORKDAYS(L1264, M1264, Holiday_Dates) &lt;= 0,
            1,
            NETWORKDAYS(L1264, M1264, Holiday_Dates) - IF(L1264 = M1264, 0, 1)
        )
    )
)</f>
        <v/>
      </c>
      <c r="R1264" s="385" t="str">
        <f>IFERROR(
    IF(
        OR(ISBLANK(N1264), AND(ISBLANK(L1264), ISBLANK(M1264))),
        "",
        MAX(
            1,
            IF(
                NETWORKDAYS(IF(NOT(ISBLANK(M1264)), M1264, L1264), N1264, Holiday_Dates) &lt;= 0,
                1,
                NETWORKDAYS(IF(NOT(ISBLANK(M1264)), M1264, L1264), N1264, Holiday_Dates)
                - IF(IF(NOT(ISBLANK(M1264)), M1264, L1264) = N1264, 0, 1)
            )
        )
    ),
    ""
)</f>
        <v/>
      </c>
      <c r="S1264" s="385" t="str">
        <f>IFERROR(
    IF(
        OR(ISBLANK(N1264), ISBLANK(O1264)),
        "",
        MAX(
            1,
            IF(
                NETWORKDAYS(N1264, O1264, Holiday_Dates) &lt;= 0,
                1,
                NETWORKDAYS(N1264, O1264, Holiday_Dates) - IF(N1264 = O1264, 0, 1)
            )
        )
    ),
    ""
)</f>
        <v/>
      </c>
      <c r="T1264" s="385"/>
      <c r="U1264" s="385" t="s">
        <v>672</v>
      </c>
      <c r="V1264" s="385"/>
      <c r="W1264" s="385" t="s">
        <v>1436</v>
      </c>
      <c r="X1264" s="1"/>
    </row>
    <row r="1265" spans="1:24">
      <c r="A1265" s="385" t="s">
        <v>65</v>
      </c>
      <c r="B1265" s="385" t="s">
        <v>2984</v>
      </c>
      <c r="C1265" s="385" t="s">
        <v>2997</v>
      </c>
      <c r="D1265" s="385" t="s">
        <v>88</v>
      </c>
      <c r="E1265" s="385"/>
      <c r="F1265" s="385"/>
      <c r="G1265" s="385"/>
      <c r="H1265" s="385">
        <v>2024</v>
      </c>
      <c r="I1265" s="386">
        <v>45316</v>
      </c>
      <c r="J1265" s="30"/>
      <c r="K1265" s="385"/>
      <c r="L1265" s="385"/>
      <c r="M1265" s="385"/>
      <c r="N1265" s="385"/>
      <c r="O1265" s="385"/>
      <c r="P1265" s="385" t="str">
        <f>IFERROR(
    IF(
        OR(ISBLANK(I1265), ISBLANK(L1265)),
        "",
        MAX(
            1,
            IF(
                NETWORKDAYS(I1265, L1265, Holiday_Dates) &lt;= 0,
                1,
                NETWORKDAYS(I1265, L1265, Holiday_Dates) - IF(I1265 = L1265, 0, 1)
            )
        )
    ),
    ""
)</f>
        <v/>
      </c>
      <c r="Q1265" s="385" t="str">
        <f>IF(
    OR(ISBLANK(L1265), ISBLANK(M1265)),
    "",
    MAX(
        1,
        IF(
            NETWORKDAYS(L1265, M1265, Holiday_Dates) &lt;= 0,
            1,
            NETWORKDAYS(L1265, M1265, Holiday_Dates) - IF(L1265 = M1265, 0, 1)
        )
    )
)</f>
        <v/>
      </c>
      <c r="R1265" s="385" t="str">
        <f>IFERROR(
    IF(
        OR(ISBLANK(N1265), AND(ISBLANK(L1265), ISBLANK(M1265))),
        "",
        MAX(
            1,
            IF(
                NETWORKDAYS(IF(NOT(ISBLANK(M1265)), M1265, L1265), N1265, Holiday_Dates) &lt;= 0,
                1,
                NETWORKDAYS(IF(NOT(ISBLANK(M1265)), M1265, L1265), N1265, Holiday_Dates)
                - IF(IF(NOT(ISBLANK(M1265)), M1265, L1265) = N1265, 0, 1)
            )
        )
    ),
    ""
)</f>
        <v/>
      </c>
      <c r="S1265" s="385" t="str">
        <f>IFERROR(
    IF(
        OR(ISBLANK(N1265), ISBLANK(O1265)),
        "",
        MAX(
            1,
            IF(
                NETWORKDAYS(N1265, O1265, Holiday_Dates) &lt;= 0,
                1,
                NETWORKDAYS(N1265, O1265, Holiday_Dates) - IF(N1265 = O1265, 0, 1)
            )
        )
    ),
    ""
)</f>
        <v/>
      </c>
      <c r="T1265" s="385"/>
      <c r="U1265" s="385" t="s">
        <v>672</v>
      </c>
      <c r="V1265" s="385"/>
      <c r="W1265" s="385" t="s">
        <v>1436</v>
      </c>
      <c r="X1265" s="1"/>
    </row>
    <row r="1266" spans="1:24">
      <c r="A1266" s="385" t="s">
        <v>65</v>
      </c>
      <c r="B1266" s="385" t="s">
        <v>2984</v>
      </c>
      <c r="C1266" s="385" t="s">
        <v>2999</v>
      </c>
      <c r="D1266" s="385" t="s">
        <v>88</v>
      </c>
      <c r="E1266" s="385"/>
      <c r="F1266" s="385"/>
      <c r="G1266" s="385"/>
      <c r="H1266" s="385">
        <v>2024</v>
      </c>
      <c r="I1266" s="386">
        <v>45408</v>
      </c>
      <c r="J1266" s="30"/>
      <c r="K1266" s="385"/>
      <c r="L1266" s="385"/>
      <c r="M1266" s="385"/>
      <c r="N1266" s="385"/>
      <c r="O1266" s="385"/>
      <c r="P1266" s="385" t="str">
        <f>IFERROR(
    IF(
        OR(ISBLANK(I1266), ISBLANK(L1266)),
        "",
        MAX(
            1,
            IF(
                NETWORKDAYS(I1266, L1266, Holiday_Dates) &lt;= 0,
                1,
                NETWORKDAYS(I1266, L1266, Holiday_Dates) - IF(I1266 = L1266, 0, 1)
            )
        )
    ),
    ""
)</f>
        <v/>
      </c>
      <c r="Q1266" s="385" t="str">
        <f>IF(
    OR(ISBLANK(L1266), ISBLANK(M1266)),
    "",
    MAX(
        1,
        IF(
            NETWORKDAYS(L1266, M1266, Holiday_Dates) &lt;= 0,
            1,
            NETWORKDAYS(L1266, M1266, Holiday_Dates) - IF(L1266 = M1266, 0, 1)
        )
    )
)</f>
        <v/>
      </c>
      <c r="R1266" s="385" t="str">
        <f>IFERROR(
    IF(
        OR(ISBLANK(N1266), AND(ISBLANK(L1266), ISBLANK(M1266))),
        "",
        MAX(
            1,
            IF(
                NETWORKDAYS(IF(NOT(ISBLANK(M1266)), M1266, L1266), N1266, Holiday_Dates) &lt;= 0,
                1,
                NETWORKDAYS(IF(NOT(ISBLANK(M1266)), M1266, L1266), N1266, Holiday_Dates)
                - IF(IF(NOT(ISBLANK(M1266)), M1266, L1266) = N1266, 0, 1)
            )
        )
    ),
    ""
)</f>
        <v/>
      </c>
      <c r="S1266" s="385" t="str">
        <f>IFERROR(
    IF(
        OR(ISBLANK(N1266), ISBLANK(O1266)),
        "",
        MAX(
            1,
            IF(
                NETWORKDAYS(N1266, O1266, Holiday_Dates) &lt;= 0,
                1,
                NETWORKDAYS(N1266, O1266, Holiday_Dates) - IF(N1266 = O1266, 0, 1)
            )
        )
    ),
    ""
)</f>
        <v/>
      </c>
      <c r="T1266" s="385"/>
      <c r="U1266" s="385" t="s">
        <v>672</v>
      </c>
      <c r="V1266" s="385"/>
      <c r="W1266" s="385" t="s">
        <v>1436</v>
      </c>
      <c r="X1266" s="1"/>
    </row>
    <row r="1267" spans="1:24">
      <c r="A1267" s="385" t="s">
        <v>52</v>
      </c>
      <c r="B1267" s="385" t="s">
        <v>4231</v>
      </c>
      <c r="C1267" s="385" t="s">
        <v>4270</v>
      </c>
      <c r="D1267" s="385" t="s">
        <v>88</v>
      </c>
      <c r="E1267" s="385" t="s">
        <v>37</v>
      </c>
      <c r="F1267" s="385"/>
      <c r="G1267" s="385" t="s">
        <v>28</v>
      </c>
      <c r="H1267" s="385"/>
      <c r="I1267" s="385"/>
      <c r="J1267" s="30"/>
      <c r="K1267" s="385" t="s">
        <v>57</v>
      </c>
      <c r="L1267" s="385"/>
      <c r="M1267" s="385"/>
      <c r="N1267" s="385"/>
      <c r="O1267" s="385"/>
      <c r="P1267" s="385" t="str">
        <f>IFERROR(
    IF(
        OR(ISBLANK(I1267), ISBLANK(L1267)),
        "",
        MAX(
            1,
            IF(
                NETWORKDAYS(I1267, L1267, Holiday_Dates) &lt;= 0,
                1,
                NETWORKDAYS(I1267, L1267, Holiday_Dates) - IF(I1267 = L1267, 0, 1)
            )
        )
    ),
    ""
)</f>
        <v/>
      </c>
      <c r="Q1267" s="385" t="str">
        <f>IF(
    OR(ISBLANK(L1267), ISBLANK(M1267)),
    "",
    MAX(
        1,
        IF(
            NETWORKDAYS(L1267, M1267, Holiday_Dates) &lt;= 0,
            1,
            NETWORKDAYS(L1267, M1267, Holiday_Dates) - IF(L1267 = M1267, 0, 1)
        )
    )
)</f>
        <v/>
      </c>
      <c r="R1267" s="385" t="str">
        <f>IFERROR(
    IF(
        OR(ISBLANK(N1267), AND(ISBLANK(L1267), ISBLANK(M1267))),
        "",
        MAX(
            1,
            IF(
                NETWORKDAYS(IF(NOT(ISBLANK(M1267)), M1267, L1267), N1267, Holiday_Dates) &lt;= 0,
                1,
                NETWORKDAYS(IF(NOT(ISBLANK(M1267)), M1267, L1267), N1267, Holiday_Dates)
                - IF(IF(NOT(ISBLANK(M1267)), M1267, L1267) = N1267, 0, 1)
            )
        )
    ),
    ""
)</f>
        <v/>
      </c>
      <c r="S1267" s="385" t="str">
        <f>IFERROR(
    IF(
        OR(ISBLANK(N1267), ISBLANK(O1267)),
        "",
        MAX(
            1,
            IF(
                NETWORKDAYS(N1267, O1267, Holiday_Dates) &lt;= 0,
                1,
                NETWORKDAYS(N1267, O1267, Holiday_Dates) - IF(N1267 = O1267, 0, 1)
            )
        )
    ),
    ""
)</f>
        <v/>
      </c>
      <c r="T1267" s="385"/>
      <c r="U1267" s="385"/>
      <c r="V1267" s="385"/>
      <c r="W1267" s="385" t="s">
        <v>4710</v>
      </c>
      <c r="X1267" s="1"/>
    </row>
    <row r="1268" spans="1:24">
      <c r="A1268" s="385" t="s">
        <v>65</v>
      </c>
      <c r="B1268" s="385" t="s">
        <v>2984</v>
      </c>
      <c r="C1268" s="385" t="s">
        <v>926</v>
      </c>
      <c r="D1268" s="385" t="s">
        <v>88</v>
      </c>
      <c r="E1268" s="385"/>
      <c r="F1268" s="385"/>
      <c r="G1268" s="385"/>
      <c r="H1268" s="385">
        <v>2024</v>
      </c>
      <c r="I1268" s="386">
        <v>45408</v>
      </c>
      <c r="J1268" s="30"/>
      <c r="K1268" s="385"/>
      <c r="L1268" s="385"/>
      <c r="M1268" s="385"/>
      <c r="N1268" s="385"/>
      <c r="O1268" s="385"/>
      <c r="P1268" s="385" t="str">
        <f>IFERROR(
    IF(
        OR(ISBLANK(I1268), ISBLANK(L1268)),
        "",
        MAX(
            1,
            IF(
                NETWORKDAYS(I1268, L1268, Holiday_Dates) &lt;= 0,
                1,
                NETWORKDAYS(I1268, L1268, Holiday_Dates) - IF(I1268 = L1268, 0, 1)
            )
        )
    ),
    ""
)</f>
        <v/>
      </c>
      <c r="Q1268" s="385" t="str">
        <f>IF(
    OR(ISBLANK(L1268), ISBLANK(M1268)),
    "",
    MAX(
        1,
        IF(
            NETWORKDAYS(L1268, M1268, Holiday_Dates) &lt;= 0,
            1,
            NETWORKDAYS(L1268, M1268, Holiday_Dates) - IF(L1268 = M1268, 0, 1)
        )
    )
)</f>
        <v/>
      </c>
      <c r="R1268" s="385" t="str">
        <f>IFERROR(
    IF(
        OR(ISBLANK(N1268), AND(ISBLANK(L1268), ISBLANK(M1268))),
        "",
        MAX(
            1,
            IF(
                NETWORKDAYS(IF(NOT(ISBLANK(M1268)), M1268, L1268), N1268, Holiday_Dates) &lt;= 0,
                1,
                NETWORKDAYS(IF(NOT(ISBLANK(M1268)), M1268, L1268), N1268, Holiday_Dates)
                - IF(IF(NOT(ISBLANK(M1268)), M1268, L1268) = N1268, 0, 1)
            )
        )
    ),
    ""
)</f>
        <v/>
      </c>
      <c r="S1268" s="385" t="str">
        <f>IFERROR(
    IF(
        OR(ISBLANK(N1268), ISBLANK(O1268)),
        "",
        MAX(
            1,
            IF(
                NETWORKDAYS(N1268, O1268, Holiday_Dates) &lt;= 0,
                1,
                NETWORKDAYS(N1268, O1268, Holiday_Dates) - IF(N1268 = O1268, 0, 1)
            )
        )
    ),
    ""
)</f>
        <v/>
      </c>
      <c r="T1268" s="385"/>
      <c r="U1268" s="385" t="s">
        <v>672</v>
      </c>
      <c r="V1268" s="385"/>
      <c r="W1268" s="385" t="s">
        <v>1436</v>
      </c>
      <c r="X1268" s="1"/>
    </row>
    <row r="1269" spans="1:24">
      <c r="A1269" s="385" t="s">
        <v>52</v>
      </c>
      <c r="B1269" s="385" t="s">
        <v>4231</v>
      </c>
      <c r="C1269" s="385" t="s">
        <v>2300</v>
      </c>
      <c r="D1269" s="385" t="s">
        <v>88</v>
      </c>
      <c r="E1269" s="385" t="s">
        <v>37</v>
      </c>
      <c r="F1269" s="385"/>
      <c r="G1269" s="385" t="s">
        <v>28</v>
      </c>
      <c r="H1269" s="385"/>
      <c r="I1269" s="385"/>
      <c r="J1269" s="30"/>
      <c r="K1269" s="385" t="s">
        <v>57</v>
      </c>
      <c r="L1269" s="385"/>
      <c r="M1269" s="385"/>
      <c r="N1269" s="385"/>
      <c r="O1269" s="385"/>
      <c r="P1269" s="385" t="str">
        <f>IFERROR(
    IF(
        OR(ISBLANK(I1269), ISBLANK(L1269)),
        "",
        MAX(
            1,
            IF(
                NETWORKDAYS(I1269, L1269, Holiday_Dates) &lt;= 0,
                1,
                NETWORKDAYS(I1269, L1269, Holiday_Dates) - IF(I1269 = L1269, 0, 1)
            )
        )
    ),
    ""
)</f>
        <v/>
      </c>
      <c r="Q1269" s="385" t="str">
        <f>IF(
    OR(ISBLANK(L1269), ISBLANK(M1269)),
    "",
    MAX(
        1,
        IF(
            NETWORKDAYS(L1269, M1269, Holiday_Dates) &lt;= 0,
            1,
            NETWORKDAYS(L1269, M1269, Holiday_Dates) - IF(L1269 = M1269, 0, 1)
        )
    )
)</f>
        <v/>
      </c>
      <c r="R1269" s="385" t="str">
        <f>IFERROR(
    IF(
        OR(ISBLANK(N1269), AND(ISBLANK(L1269), ISBLANK(M1269))),
        "",
        MAX(
            1,
            IF(
                NETWORKDAYS(IF(NOT(ISBLANK(M1269)), M1269, L1269), N1269, Holiday_Dates) &lt;= 0,
                1,
                NETWORKDAYS(IF(NOT(ISBLANK(M1269)), M1269, L1269), N1269, Holiday_Dates)
                - IF(IF(NOT(ISBLANK(M1269)), M1269, L1269) = N1269, 0, 1)
            )
        )
    ),
    ""
)</f>
        <v/>
      </c>
      <c r="S1269" s="385" t="str">
        <f>IFERROR(
    IF(
        OR(ISBLANK(N1269), ISBLANK(O1269)),
        "",
        MAX(
            1,
            IF(
                NETWORKDAYS(N1269, O1269, Holiday_Dates) &lt;= 0,
                1,
                NETWORKDAYS(N1269, O1269, Holiday_Dates) - IF(N1269 = O1269, 0, 1)
            )
        )
    ),
    ""
)</f>
        <v/>
      </c>
      <c r="T1269" s="385"/>
      <c r="U1269" s="385"/>
      <c r="V1269" s="385"/>
      <c r="W1269" s="385" t="s">
        <v>4710</v>
      </c>
      <c r="X1269" s="1"/>
    </row>
    <row r="1270" spans="1:24">
      <c r="A1270" s="385" t="s">
        <v>65</v>
      </c>
      <c r="B1270" s="385" t="s">
        <v>2984</v>
      </c>
      <c r="C1270" s="385" t="s">
        <v>3003</v>
      </c>
      <c r="D1270" s="385" t="s">
        <v>88</v>
      </c>
      <c r="E1270" s="385"/>
      <c r="F1270" s="385"/>
      <c r="G1270" s="385"/>
      <c r="H1270" s="385">
        <v>2024</v>
      </c>
      <c r="I1270" s="386">
        <v>45408</v>
      </c>
      <c r="J1270" s="30"/>
      <c r="K1270" s="385"/>
      <c r="L1270" s="385"/>
      <c r="M1270" s="385"/>
      <c r="N1270" s="385"/>
      <c r="O1270" s="385"/>
      <c r="P1270" s="385" t="str">
        <f>IFERROR(
    IF(
        OR(ISBLANK(I1270), ISBLANK(L1270)),
        "",
        MAX(
            1,
            IF(
                NETWORKDAYS(I1270, L1270, Holiday_Dates) &lt;= 0,
                1,
                NETWORKDAYS(I1270, L1270, Holiday_Dates) - IF(I1270 = L1270, 0, 1)
            )
        )
    ),
    ""
)</f>
        <v/>
      </c>
      <c r="Q1270" s="385" t="str">
        <f>IF(
    OR(ISBLANK(L1270), ISBLANK(M1270)),
    "",
    MAX(
        1,
        IF(
            NETWORKDAYS(L1270, M1270, Holiday_Dates) &lt;= 0,
            1,
            NETWORKDAYS(L1270, M1270, Holiday_Dates) - IF(L1270 = M1270, 0, 1)
        )
    )
)</f>
        <v/>
      </c>
      <c r="R1270" s="385" t="str">
        <f>IFERROR(
    IF(
        OR(ISBLANK(N1270), AND(ISBLANK(L1270), ISBLANK(M1270))),
        "",
        MAX(
            1,
            IF(
                NETWORKDAYS(IF(NOT(ISBLANK(M1270)), M1270, L1270), N1270, Holiday_Dates) &lt;= 0,
                1,
                NETWORKDAYS(IF(NOT(ISBLANK(M1270)), M1270, L1270), N1270, Holiday_Dates)
                - IF(IF(NOT(ISBLANK(M1270)), M1270, L1270) = N1270, 0, 1)
            )
        )
    ),
    ""
)</f>
        <v/>
      </c>
      <c r="S1270" s="385" t="str">
        <f>IFERROR(
    IF(
        OR(ISBLANK(N1270), ISBLANK(O1270)),
        "",
        MAX(
            1,
            IF(
                NETWORKDAYS(N1270, O1270, Holiday_Dates) &lt;= 0,
                1,
                NETWORKDAYS(N1270, O1270, Holiday_Dates) - IF(N1270 = O1270, 0, 1)
            )
        )
    ),
    ""
)</f>
        <v/>
      </c>
      <c r="T1270" s="385"/>
      <c r="U1270" s="385" t="s">
        <v>672</v>
      </c>
      <c r="V1270" s="385"/>
      <c r="W1270" s="385" t="s">
        <v>1436</v>
      </c>
      <c r="X1270" s="1"/>
    </row>
    <row r="1271" spans="1:24">
      <c r="A1271" s="385" t="s">
        <v>52</v>
      </c>
      <c r="B1271" s="385" t="s">
        <v>4231</v>
      </c>
      <c r="C1271" s="385" t="s">
        <v>4272</v>
      </c>
      <c r="D1271" s="385" t="s">
        <v>88</v>
      </c>
      <c r="E1271" s="385" t="s">
        <v>37</v>
      </c>
      <c r="F1271" s="385"/>
      <c r="G1271" s="385" t="s">
        <v>28</v>
      </c>
      <c r="H1271" s="385"/>
      <c r="I1271" s="385"/>
      <c r="J1271" s="30"/>
      <c r="K1271" s="385" t="s">
        <v>57</v>
      </c>
      <c r="L1271" s="385"/>
      <c r="M1271" s="385"/>
      <c r="N1271" s="385"/>
      <c r="O1271" s="385"/>
      <c r="P1271" s="385" t="str">
        <f>IFERROR(
    IF(
        OR(ISBLANK(I1271), ISBLANK(L1271)),
        "",
        MAX(
            1,
            IF(
                NETWORKDAYS(I1271, L1271, Holiday_Dates) &lt;= 0,
                1,
                NETWORKDAYS(I1271, L1271, Holiday_Dates) - IF(I1271 = L1271, 0, 1)
            )
        )
    ),
    ""
)</f>
        <v/>
      </c>
      <c r="Q1271" s="385" t="str">
        <f>IF(
    OR(ISBLANK(L1271), ISBLANK(M1271)),
    "",
    MAX(
        1,
        IF(
            NETWORKDAYS(L1271, M1271, Holiday_Dates) &lt;= 0,
            1,
            NETWORKDAYS(L1271, M1271, Holiday_Dates) - IF(L1271 = M1271, 0, 1)
        )
    )
)</f>
        <v/>
      </c>
      <c r="R1271" s="385" t="str">
        <f>IFERROR(
    IF(
        OR(ISBLANK(N1271), AND(ISBLANK(L1271), ISBLANK(M1271))),
        "",
        MAX(
            1,
            IF(
                NETWORKDAYS(IF(NOT(ISBLANK(M1271)), M1271, L1271), N1271, Holiday_Dates) &lt;= 0,
                1,
                NETWORKDAYS(IF(NOT(ISBLANK(M1271)), M1271, L1271), N1271, Holiday_Dates)
                - IF(IF(NOT(ISBLANK(M1271)), M1271, L1271) = N1271, 0, 1)
            )
        )
    ),
    ""
)</f>
        <v/>
      </c>
      <c r="S1271" s="385" t="str">
        <f>IFERROR(
    IF(
        OR(ISBLANK(N1271), ISBLANK(O1271)),
        "",
        MAX(
            1,
            IF(
                NETWORKDAYS(N1271, O1271, Holiday_Dates) &lt;= 0,
                1,
                NETWORKDAYS(N1271, O1271, Holiday_Dates) - IF(N1271 = O1271, 0, 1)
            )
        )
    ),
    ""
)</f>
        <v/>
      </c>
      <c r="T1271" s="385"/>
      <c r="U1271" s="385"/>
      <c r="V1271" s="385"/>
      <c r="W1271" s="385" t="s">
        <v>4710</v>
      </c>
      <c r="X1271" s="1"/>
    </row>
    <row r="1272" spans="1:24">
      <c r="A1272" s="385" t="s">
        <v>65</v>
      </c>
      <c r="B1272" s="385" t="s">
        <v>2984</v>
      </c>
      <c r="C1272" s="385" t="s">
        <v>3006</v>
      </c>
      <c r="D1272" s="385" t="s">
        <v>88</v>
      </c>
      <c r="E1272" s="385"/>
      <c r="F1272" s="385"/>
      <c r="G1272" s="385"/>
      <c r="H1272" s="385">
        <v>2024</v>
      </c>
      <c r="I1272" s="386">
        <v>45408</v>
      </c>
      <c r="J1272" s="30"/>
      <c r="K1272" s="385"/>
      <c r="L1272" s="385"/>
      <c r="M1272" s="385"/>
      <c r="N1272" s="385"/>
      <c r="O1272" s="385"/>
      <c r="P1272" s="385" t="str">
        <f>IFERROR(
    IF(
        OR(ISBLANK(I1272), ISBLANK(L1272)),
        "",
        MAX(
            1,
            IF(
                NETWORKDAYS(I1272, L1272, Holiday_Dates) &lt;= 0,
                1,
                NETWORKDAYS(I1272, L1272, Holiday_Dates) - IF(I1272 = L1272, 0, 1)
            )
        )
    ),
    ""
)</f>
        <v/>
      </c>
      <c r="Q1272" s="385" t="str">
        <f>IF(
    OR(ISBLANK(L1272), ISBLANK(M1272)),
    "",
    MAX(
        1,
        IF(
            NETWORKDAYS(L1272, M1272, Holiday_Dates) &lt;= 0,
            1,
            NETWORKDAYS(L1272, M1272, Holiday_Dates) - IF(L1272 = M1272, 0, 1)
        )
    )
)</f>
        <v/>
      </c>
      <c r="R1272" s="385" t="str">
        <f>IFERROR(
    IF(
        OR(ISBLANK(N1272), AND(ISBLANK(L1272), ISBLANK(M1272))),
        "",
        MAX(
            1,
            IF(
                NETWORKDAYS(IF(NOT(ISBLANK(M1272)), M1272, L1272), N1272, Holiday_Dates) &lt;= 0,
                1,
                NETWORKDAYS(IF(NOT(ISBLANK(M1272)), M1272, L1272), N1272, Holiday_Dates)
                - IF(IF(NOT(ISBLANK(M1272)), M1272, L1272) = N1272, 0, 1)
            )
        )
    ),
    ""
)</f>
        <v/>
      </c>
      <c r="S1272" s="385" t="str">
        <f>IFERROR(
    IF(
        OR(ISBLANK(N1272), ISBLANK(O1272)),
        "",
        MAX(
            1,
            IF(
                NETWORKDAYS(N1272, O1272, Holiday_Dates) &lt;= 0,
                1,
                NETWORKDAYS(N1272, O1272, Holiday_Dates) - IF(N1272 = O1272, 0, 1)
            )
        )
    ),
    ""
)</f>
        <v/>
      </c>
      <c r="T1272" s="385"/>
      <c r="U1272" s="385" t="s">
        <v>672</v>
      </c>
      <c r="V1272" s="385"/>
      <c r="W1272" s="385" t="s">
        <v>1436</v>
      </c>
      <c r="X1272" s="1"/>
    </row>
    <row r="1273" spans="1:24">
      <c r="A1273" s="385" t="s">
        <v>65</v>
      </c>
      <c r="B1273" s="385" t="s">
        <v>2984</v>
      </c>
      <c r="C1273" s="385" t="s">
        <v>3008</v>
      </c>
      <c r="D1273" s="385" t="s">
        <v>88</v>
      </c>
      <c r="E1273" s="385"/>
      <c r="F1273" s="385"/>
      <c r="G1273" s="385"/>
      <c r="H1273" s="385">
        <v>2025</v>
      </c>
      <c r="I1273" s="386">
        <v>45694</v>
      </c>
      <c r="J1273" s="30" t="s">
        <v>5220</v>
      </c>
      <c r="K1273" s="385"/>
      <c r="L1273" s="385"/>
      <c r="M1273" s="385"/>
      <c r="N1273" s="385"/>
      <c r="O1273" s="385"/>
      <c r="P1273" s="385" t="str">
        <f>IFERROR(
    IF(
        OR(ISBLANK(I1273), ISBLANK(L1273)),
        "",
        MAX(
            1,
            IF(
                NETWORKDAYS(I1273, L1273, Holiday_Dates) &lt;= 0,
                1,
                NETWORKDAYS(I1273, L1273, Holiday_Dates) - IF(I1273 = L1273, 0, 1)
            )
        )
    ),
    ""
)</f>
        <v/>
      </c>
      <c r="Q1273" s="385" t="str">
        <f>IF(
    OR(ISBLANK(L1273), ISBLANK(M1273)),
    "",
    MAX(
        1,
        IF(
            NETWORKDAYS(L1273, M1273, Holiday_Dates) &lt;= 0,
            1,
            NETWORKDAYS(L1273, M1273, Holiday_Dates) - IF(L1273 = M1273, 0, 1)
        )
    )
)</f>
        <v/>
      </c>
      <c r="R1273" s="385" t="str">
        <f>IFERROR(
    IF(
        OR(ISBLANK(N1273), AND(ISBLANK(L1273), ISBLANK(M1273))),
        "",
        MAX(
            1,
            IF(
                NETWORKDAYS(IF(NOT(ISBLANK(M1273)), M1273, L1273), N1273, Holiday_Dates) &lt;= 0,
                1,
                NETWORKDAYS(IF(NOT(ISBLANK(M1273)), M1273, L1273), N1273, Holiday_Dates)
                - IF(IF(NOT(ISBLANK(M1273)), M1273, L1273) = N1273, 0, 1)
            )
        )
    ),
    ""
)</f>
        <v/>
      </c>
      <c r="S1273" s="385" t="str">
        <f>IFERROR(
    IF(
        OR(ISBLANK(N1273), ISBLANK(O1273)),
        "",
        MAX(
            1,
            IF(
                NETWORKDAYS(N1273, O1273, Holiday_Dates) &lt;= 0,
                1,
                NETWORKDAYS(N1273, O1273, Holiday_Dates) - IF(N1273 = O1273, 0, 1)
            )
        )
    ),
    ""
)</f>
        <v/>
      </c>
      <c r="T1273" s="385"/>
      <c r="U1273" s="385" t="s">
        <v>672</v>
      </c>
      <c r="V1273" s="385" t="s">
        <v>101</v>
      </c>
      <c r="W1273" s="385" t="s">
        <v>1436</v>
      </c>
      <c r="X1273" s="1"/>
    </row>
    <row r="1274" spans="1:24">
      <c r="A1274" s="385" t="s">
        <v>52</v>
      </c>
      <c r="B1274" s="385" t="s">
        <v>4231</v>
      </c>
      <c r="C1274" s="385" t="s">
        <v>4273</v>
      </c>
      <c r="D1274" s="385" t="s">
        <v>88</v>
      </c>
      <c r="E1274" s="385" t="s">
        <v>37</v>
      </c>
      <c r="F1274" s="385"/>
      <c r="G1274" s="385" t="s">
        <v>28</v>
      </c>
      <c r="H1274" s="385"/>
      <c r="I1274" s="385"/>
      <c r="J1274" s="30"/>
      <c r="K1274" s="385" t="s">
        <v>57</v>
      </c>
      <c r="L1274" s="385"/>
      <c r="M1274" s="385"/>
      <c r="N1274" s="385"/>
      <c r="O1274" s="385"/>
      <c r="P1274" s="385" t="str">
        <f>IFERROR(
    IF(
        OR(ISBLANK(I1274), ISBLANK(L1274)),
        "",
        MAX(
            1,
            IF(
                NETWORKDAYS(I1274, L1274, Holiday_Dates) &lt;= 0,
                1,
                NETWORKDAYS(I1274, L1274, Holiday_Dates) - IF(I1274 = L1274, 0, 1)
            )
        )
    ),
    ""
)</f>
        <v/>
      </c>
      <c r="Q1274" s="385" t="str">
        <f>IF(
    OR(ISBLANK(L1274), ISBLANK(M1274)),
    "",
    MAX(
        1,
        IF(
            NETWORKDAYS(L1274, M1274, Holiday_Dates) &lt;= 0,
            1,
            NETWORKDAYS(L1274, M1274, Holiday_Dates) - IF(L1274 = M1274, 0, 1)
        )
    )
)</f>
        <v/>
      </c>
      <c r="R1274" s="385" t="str">
        <f>IFERROR(
    IF(
        OR(ISBLANK(N1274), AND(ISBLANK(L1274), ISBLANK(M1274))),
        "",
        MAX(
            1,
            IF(
                NETWORKDAYS(IF(NOT(ISBLANK(M1274)), M1274, L1274), N1274, Holiday_Dates) &lt;= 0,
                1,
                NETWORKDAYS(IF(NOT(ISBLANK(M1274)), M1274, L1274), N1274, Holiday_Dates)
                - IF(IF(NOT(ISBLANK(M1274)), M1274, L1274) = N1274, 0, 1)
            )
        )
    ),
    ""
)</f>
        <v/>
      </c>
      <c r="S1274" s="385" t="str">
        <f>IFERROR(
    IF(
        OR(ISBLANK(N1274), ISBLANK(O1274)),
        "",
        MAX(
            1,
            IF(
                NETWORKDAYS(N1274, O1274, Holiday_Dates) &lt;= 0,
                1,
                NETWORKDAYS(N1274, O1274, Holiday_Dates) - IF(N1274 = O1274, 0, 1)
            )
        )
    ),
    ""
)</f>
        <v/>
      </c>
      <c r="T1274" s="385"/>
      <c r="U1274" s="385"/>
      <c r="V1274" s="385"/>
      <c r="W1274" s="385" t="s">
        <v>4710</v>
      </c>
      <c r="X1274" s="1"/>
    </row>
    <row r="1275" spans="1:24">
      <c r="A1275" s="385" t="s">
        <v>52</v>
      </c>
      <c r="B1275" s="385" t="s">
        <v>360</v>
      </c>
      <c r="C1275" s="385" t="s">
        <v>4298</v>
      </c>
      <c r="D1275" s="385" t="s">
        <v>88</v>
      </c>
      <c r="E1275" s="385" t="s">
        <v>39</v>
      </c>
      <c r="F1275" s="385"/>
      <c r="G1275" s="385" t="s">
        <v>28</v>
      </c>
      <c r="H1275" s="385"/>
      <c r="I1275" s="385"/>
      <c r="J1275" s="30"/>
      <c r="K1275" s="385" t="s">
        <v>57</v>
      </c>
      <c r="L1275" s="385"/>
      <c r="M1275" s="385"/>
      <c r="N1275" s="385"/>
      <c r="O1275" s="385"/>
      <c r="P1275" s="385" t="str">
        <f>IFERROR(
    IF(
        OR(ISBLANK(I1275), ISBLANK(L1275)),
        "",
        MAX(
            1,
            IF(
                NETWORKDAYS(I1275, L1275, Holiday_Dates) &lt;= 0,
                1,
                NETWORKDAYS(I1275, L1275, Holiday_Dates) - IF(I1275 = L1275, 0, 1)
            )
        )
    ),
    ""
)</f>
        <v/>
      </c>
      <c r="Q1275" s="385" t="str">
        <f>IF(
    OR(ISBLANK(L1275), ISBLANK(M1275)),
    "",
    MAX(
        1,
        IF(
            NETWORKDAYS(L1275, M1275, Holiday_Dates) &lt;= 0,
            1,
            NETWORKDAYS(L1275, M1275, Holiday_Dates) - IF(L1275 = M1275, 0, 1)
        )
    )
)</f>
        <v/>
      </c>
      <c r="R1275" s="385" t="str">
        <f>IFERROR(
    IF(
        OR(ISBLANK(N1275), AND(ISBLANK(L1275), ISBLANK(M1275))),
        "",
        MAX(
            1,
            IF(
                NETWORKDAYS(IF(NOT(ISBLANK(M1275)), M1275, L1275), N1275, Holiday_Dates) &lt;= 0,
                1,
                NETWORKDAYS(IF(NOT(ISBLANK(M1275)), M1275, L1275), N1275, Holiday_Dates)
                - IF(IF(NOT(ISBLANK(M1275)), M1275, L1275) = N1275, 0, 1)
            )
        )
    ),
    ""
)</f>
        <v/>
      </c>
      <c r="S1275" s="385" t="str">
        <f>IFERROR(
    IF(
        OR(ISBLANK(N1275), ISBLANK(O1275)),
        "",
        MAX(
            1,
            IF(
                NETWORKDAYS(N1275, O1275, Holiday_Dates) &lt;= 0,
                1,
                NETWORKDAYS(N1275, O1275, Holiday_Dates) - IF(N1275 = O1275, 0, 1)
            )
        )
    ),
    ""
)</f>
        <v/>
      </c>
      <c r="T1275" s="385"/>
      <c r="U1275" s="385"/>
      <c r="V1275" s="385"/>
      <c r="W1275" s="385" t="s">
        <v>4710</v>
      </c>
      <c r="X1275" s="1"/>
    </row>
    <row r="1276" spans="1:24">
      <c r="A1276" s="385" t="s">
        <v>52</v>
      </c>
      <c r="B1276" s="385" t="s">
        <v>360</v>
      </c>
      <c r="C1276" s="385" t="s">
        <v>3749</v>
      </c>
      <c r="D1276" s="385" t="s">
        <v>88</v>
      </c>
      <c r="E1276" s="385" t="s">
        <v>39</v>
      </c>
      <c r="F1276" s="385"/>
      <c r="G1276" s="385" t="s">
        <v>28</v>
      </c>
      <c r="H1276" s="385"/>
      <c r="I1276" s="385"/>
      <c r="J1276" s="30"/>
      <c r="K1276" s="385" t="s">
        <v>57</v>
      </c>
      <c r="L1276" s="385"/>
      <c r="M1276" s="385"/>
      <c r="N1276" s="385"/>
      <c r="O1276" s="385"/>
      <c r="P1276" s="385" t="str">
        <f>IFERROR(
    IF(
        OR(ISBLANK(I1276), ISBLANK(L1276)),
        "",
        MAX(
            1,
            IF(
                NETWORKDAYS(I1276, L1276, Holiday_Dates) &lt;= 0,
                1,
                NETWORKDAYS(I1276, L1276, Holiday_Dates) - IF(I1276 = L1276, 0, 1)
            )
        )
    ),
    ""
)</f>
        <v/>
      </c>
      <c r="Q1276" s="385" t="str">
        <f>IF(
    OR(ISBLANK(L1276), ISBLANK(M1276)),
    "",
    MAX(
        1,
        IF(
            NETWORKDAYS(L1276, M1276, Holiday_Dates) &lt;= 0,
            1,
            NETWORKDAYS(L1276, M1276, Holiday_Dates) - IF(L1276 = M1276, 0, 1)
        )
    )
)</f>
        <v/>
      </c>
      <c r="R1276" s="385" t="str">
        <f>IFERROR(
    IF(
        OR(ISBLANK(N1276), AND(ISBLANK(L1276), ISBLANK(M1276))),
        "",
        MAX(
            1,
            IF(
                NETWORKDAYS(IF(NOT(ISBLANK(M1276)), M1276, L1276), N1276, Holiday_Dates) &lt;= 0,
                1,
                NETWORKDAYS(IF(NOT(ISBLANK(M1276)), M1276, L1276), N1276, Holiday_Dates)
                - IF(IF(NOT(ISBLANK(M1276)), M1276, L1276) = N1276, 0, 1)
            )
        )
    ),
    ""
)</f>
        <v/>
      </c>
      <c r="S1276" s="385" t="str">
        <f>IFERROR(
    IF(
        OR(ISBLANK(N1276), ISBLANK(O1276)),
        "",
        MAX(
            1,
            IF(
                NETWORKDAYS(N1276, O1276, Holiday_Dates) &lt;= 0,
                1,
                NETWORKDAYS(N1276, O1276, Holiday_Dates) - IF(N1276 = O1276, 0, 1)
            )
        )
    ),
    ""
)</f>
        <v/>
      </c>
      <c r="T1276" s="385"/>
      <c r="U1276" s="385"/>
      <c r="V1276" s="385"/>
      <c r="W1276" s="385" t="s">
        <v>4710</v>
      </c>
      <c r="X1276" s="1"/>
    </row>
    <row r="1277" spans="1:24">
      <c r="A1277" s="385" t="s">
        <v>65</v>
      </c>
      <c r="B1277" s="385" t="s">
        <v>516</v>
      </c>
      <c r="C1277" s="385" t="s">
        <v>3200</v>
      </c>
      <c r="D1277" s="385" t="s">
        <v>89</v>
      </c>
      <c r="E1277" s="385" t="s">
        <v>29</v>
      </c>
      <c r="F1277" s="385"/>
      <c r="G1277" s="385" t="s">
        <v>130</v>
      </c>
      <c r="H1277" s="385"/>
      <c r="I1277" s="385"/>
      <c r="J1277" s="30"/>
      <c r="K1277" s="385" t="s">
        <v>57</v>
      </c>
      <c r="L1277" s="385"/>
      <c r="M1277" s="385"/>
      <c r="N1277" s="385"/>
      <c r="O1277" s="385"/>
      <c r="P1277" s="385" t="str">
        <f>IFERROR(
    IF(
        OR(ISBLANK(I1277), ISBLANK(L1277)),
        "",
        MAX(
            1,
            IF(
                NETWORKDAYS(I1277, L1277, Holiday_Dates) &lt;= 0,
                1,
                NETWORKDAYS(I1277, L1277, Holiday_Dates) - IF(I1277 = L1277, 0, 1)
            )
        )
    ),
    ""
)</f>
        <v/>
      </c>
      <c r="Q1277" s="385" t="str">
        <f>IF(
    OR(ISBLANK(L1277), ISBLANK(M1277)),
    "",
    MAX(
        1,
        IF(
            NETWORKDAYS(L1277, M1277, Holiday_Dates) &lt;= 0,
            1,
            NETWORKDAYS(L1277, M1277, Holiday_Dates) - IF(L1277 = M1277, 0, 1)
        )
    )
)</f>
        <v/>
      </c>
      <c r="R1277" s="385" t="str">
        <f>IFERROR(
    IF(
        OR(ISBLANK(N1277), AND(ISBLANK(L1277), ISBLANK(M1277))),
        "",
        MAX(
            1,
            IF(
                NETWORKDAYS(IF(NOT(ISBLANK(M1277)), M1277, L1277), N1277, Holiday_Dates) &lt;= 0,
                1,
                NETWORKDAYS(IF(NOT(ISBLANK(M1277)), M1277, L1277), N1277, Holiday_Dates)
                - IF(IF(NOT(ISBLANK(M1277)), M1277, L1277) = N1277, 0, 1)
            )
        )
    ),
    ""
)</f>
        <v/>
      </c>
      <c r="S1277" s="385" t="str">
        <f>IFERROR(
    IF(
        OR(ISBLANK(N1277), ISBLANK(O1277)),
        "",
        MAX(
            1,
            IF(
                NETWORKDAYS(N1277, O1277, Holiday_Dates) &lt;= 0,
                1,
                NETWORKDAYS(N1277, O1277, Holiday_Dates) - IF(N1277 = O1277, 0, 1)
            )
        )
    ),
    ""
)</f>
        <v/>
      </c>
      <c r="T1277" s="385"/>
      <c r="U1277" s="385"/>
      <c r="V1277" s="385"/>
      <c r="W1277" s="385" t="s">
        <v>4710</v>
      </c>
      <c r="X1277" s="1"/>
    </row>
    <row r="1278" spans="1:24">
      <c r="A1278" s="385" t="s">
        <v>65</v>
      </c>
      <c r="B1278" s="385" t="s">
        <v>507</v>
      </c>
      <c r="C1278" s="385" t="s">
        <v>2912</v>
      </c>
      <c r="D1278" s="385" t="s">
        <v>89</v>
      </c>
      <c r="E1278" s="385" t="s">
        <v>29</v>
      </c>
      <c r="F1278" s="385"/>
      <c r="G1278" s="385" t="s">
        <v>130</v>
      </c>
      <c r="H1278" s="385"/>
      <c r="I1278" s="385"/>
      <c r="J1278" s="30"/>
      <c r="K1278" s="385" t="s">
        <v>63</v>
      </c>
      <c r="L1278" s="385"/>
      <c r="M1278" s="385"/>
      <c r="N1278" s="385"/>
      <c r="O1278" s="385"/>
      <c r="P1278" s="385" t="str">
        <f>IFERROR(
    IF(
        OR(ISBLANK(I1278), ISBLANK(L1278)),
        "",
        MAX(
            1,
            IF(
                NETWORKDAYS(I1278, L1278, Holiday_Dates) &lt;= 0,
                1,
                NETWORKDAYS(I1278, L1278, Holiday_Dates) - IF(I1278 = L1278, 0, 1)
            )
        )
    ),
    ""
)</f>
        <v/>
      </c>
      <c r="Q1278" s="385" t="str">
        <f>IF(
    OR(ISBLANK(L1278), ISBLANK(M1278)),
    "",
    MAX(
        1,
        IF(
            NETWORKDAYS(L1278, M1278, Holiday_Dates) &lt;= 0,
            1,
            NETWORKDAYS(L1278, M1278, Holiday_Dates) - IF(L1278 = M1278, 0, 1)
        )
    )
)</f>
        <v/>
      </c>
      <c r="R1278" s="385" t="str">
        <f>IFERROR(
    IF(
        OR(ISBLANK(N1278), AND(ISBLANK(L1278), ISBLANK(M1278))),
        "",
        MAX(
            1,
            IF(
                NETWORKDAYS(IF(NOT(ISBLANK(M1278)), M1278, L1278), N1278, Holiday_Dates) &lt;= 0,
                1,
                NETWORKDAYS(IF(NOT(ISBLANK(M1278)), M1278, L1278), N1278, Holiday_Dates)
                - IF(IF(NOT(ISBLANK(M1278)), M1278, L1278) = N1278, 0, 1)
            )
        )
    ),
    ""
)</f>
        <v/>
      </c>
      <c r="S1278" s="385" t="str">
        <f>IFERROR(
    IF(
        OR(ISBLANK(N1278), ISBLANK(O1278)),
        "",
        MAX(
            1,
            IF(
                NETWORKDAYS(N1278, O1278, Holiday_Dates) &lt;= 0,
                1,
                NETWORKDAYS(N1278, O1278, Holiday_Dates) - IF(N1278 = O1278, 0, 1)
            )
        )
    ),
    ""
)</f>
        <v/>
      </c>
      <c r="T1278" s="385"/>
      <c r="U1278" s="385"/>
      <c r="V1278" s="385"/>
      <c r="W1278" s="385" t="s">
        <v>4710</v>
      </c>
      <c r="X1278" s="1"/>
    </row>
    <row r="1279" spans="1:24">
      <c r="A1279" s="385" t="s">
        <v>65</v>
      </c>
      <c r="B1279" s="385" t="s">
        <v>507</v>
      </c>
      <c r="C1279" s="385" t="s">
        <v>2913</v>
      </c>
      <c r="D1279" s="385" t="s">
        <v>89</v>
      </c>
      <c r="E1279" s="385" t="s">
        <v>29</v>
      </c>
      <c r="F1279" s="385"/>
      <c r="G1279" s="385" t="s">
        <v>130</v>
      </c>
      <c r="H1279" s="385"/>
      <c r="I1279" s="385"/>
      <c r="J1279" s="30"/>
      <c r="K1279" s="385" t="s">
        <v>63</v>
      </c>
      <c r="L1279" s="385"/>
      <c r="M1279" s="385"/>
      <c r="N1279" s="385"/>
      <c r="O1279" s="385"/>
      <c r="P1279" s="385" t="str">
        <f>IFERROR(
    IF(
        OR(ISBLANK(I1279), ISBLANK(L1279)),
        "",
        MAX(
            1,
            IF(
                NETWORKDAYS(I1279, L1279, Holiday_Dates) &lt;= 0,
                1,
                NETWORKDAYS(I1279, L1279, Holiday_Dates) - IF(I1279 = L1279, 0, 1)
            )
        )
    ),
    ""
)</f>
        <v/>
      </c>
      <c r="Q1279" s="385" t="str">
        <f>IF(
    OR(ISBLANK(L1279), ISBLANK(M1279)),
    "",
    MAX(
        1,
        IF(
            NETWORKDAYS(L1279, M1279, Holiday_Dates) &lt;= 0,
            1,
            NETWORKDAYS(L1279, M1279, Holiday_Dates) - IF(L1279 = M1279, 0, 1)
        )
    )
)</f>
        <v/>
      </c>
      <c r="R1279" s="385" t="str">
        <f>IFERROR(
    IF(
        OR(ISBLANK(N1279), AND(ISBLANK(L1279), ISBLANK(M1279))),
        "",
        MAX(
            1,
            IF(
                NETWORKDAYS(IF(NOT(ISBLANK(M1279)), M1279, L1279), N1279, Holiday_Dates) &lt;= 0,
                1,
                NETWORKDAYS(IF(NOT(ISBLANK(M1279)), M1279, L1279), N1279, Holiday_Dates)
                - IF(IF(NOT(ISBLANK(M1279)), M1279, L1279) = N1279, 0, 1)
            )
        )
    ),
    ""
)</f>
        <v/>
      </c>
      <c r="S1279" s="385" t="str">
        <f>IFERROR(
    IF(
        OR(ISBLANK(N1279), ISBLANK(O1279)),
        "",
        MAX(
            1,
            IF(
                NETWORKDAYS(N1279, O1279, Holiday_Dates) &lt;= 0,
                1,
                NETWORKDAYS(N1279, O1279, Holiday_Dates) - IF(N1279 = O1279, 0, 1)
            )
        )
    ),
    ""
)</f>
        <v/>
      </c>
      <c r="T1279" s="385"/>
      <c r="U1279" s="385"/>
      <c r="V1279" s="385"/>
      <c r="W1279" s="385" t="s">
        <v>4710</v>
      </c>
      <c r="X1279" s="1"/>
    </row>
    <row r="1280" spans="1:24">
      <c r="A1280" s="385" t="s">
        <v>51</v>
      </c>
      <c r="B1280" s="385" t="s">
        <v>532</v>
      </c>
      <c r="C1280" s="385" t="s">
        <v>3676</v>
      </c>
      <c r="D1280" s="385" t="s">
        <v>88</v>
      </c>
      <c r="E1280" s="385" t="s">
        <v>145</v>
      </c>
      <c r="F1280" s="385"/>
      <c r="G1280" s="385" t="s">
        <v>133</v>
      </c>
      <c r="H1280" s="385"/>
      <c r="I1280" s="385"/>
      <c r="J1280" s="30"/>
      <c r="K1280" s="388" t="s">
        <v>63</v>
      </c>
      <c r="L1280" s="385"/>
      <c r="M1280" s="385"/>
      <c r="N1280" s="385"/>
      <c r="O1280" s="385"/>
      <c r="P1280" s="385" t="str">
        <f>IFERROR(
    IF(
        OR(ISBLANK(I1280), ISBLANK(L1280)),
        "",
        MAX(
            1,
            IF(
                NETWORKDAYS(I1280, L1280, Holiday_Dates) &lt;= 0,
                1,
                NETWORKDAYS(I1280, L1280, Holiday_Dates) - IF(I1280 = L1280, 0, 1)
            )
        )
    ),
    ""
)</f>
        <v/>
      </c>
      <c r="Q1280" s="385" t="str">
        <f>IF(
    OR(ISBLANK(L1280), ISBLANK(M1280)),
    "",
    MAX(
        1,
        IF(
            NETWORKDAYS(L1280, M1280, Holiday_Dates) &lt;= 0,
            1,
            NETWORKDAYS(L1280, M1280, Holiday_Dates) - IF(L1280 = M1280, 0, 1)
        )
    )
)</f>
        <v/>
      </c>
      <c r="R1280" s="385" t="str">
        <f>IFERROR(
    IF(
        OR(ISBLANK(N1280), AND(ISBLANK(L1280), ISBLANK(M1280))),
        "",
        MAX(
            1,
            IF(
                NETWORKDAYS(IF(NOT(ISBLANK(M1280)), M1280, L1280), N1280, Holiday_Dates) &lt;= 0,
                1,
                NETWORKDAYS(IF(NOT(ISBLANK(M1280)), M1280, L1280), N1280, Holiday_Dates)
                - IF(IF(NOT(ISBLANK(M1280)), M1280, L1280) = N1280, 0, 1)
            )
        )
    ),
    ""
)</f>
        <v/>
      </c>
      <c r="S1280" s="385" t="str">
        <f>IFERROR(
    IF(
        OR(ISBLANK(N1280), ISBLANK(O1280)),
        "",
        MAX(
            1,
            IF(
                NETWORKDAYS(N1280, O1280, Holiday_Dates) &lt;= 0,
                1,
                NETWORKDAYS(N1280, O1280, Holiday_Dates) - IF(N1280 = O1280, 0, 1)
            )
        )
    ),
    ""
)</f>
        <v/>
      </c>
      <c r="T1280" s="385"/>
      <c r="U1280" s="385"/>
      <c r="V1280" s="385"/>
      <c r="W1280" s="385" t="s">
        <v>4710</v>
      </c>
      <c r="X1280" s="1"/>
    </row>
    <row r="1281" spans="1:24">
      <c r="A1281" s="385" t="s">
        <v>49</v>
      </c>
      <c r="B1281" s="385" t="s">
        <v>2218</v>
      </c>
      <c r="C1281" s="385" t="s">
        <v>2230</v>
      </c>
      <c r="D1281" s="385" t="s">
        <v>88</v>
      </c>
      <c r="E1281" s="385" t="s">
        <v>377</v>
      </c>
      <c r="F1281" s="385"/>
      <c r="G1281" s="385" t="s">
        <v>128</v>
      </c>
      <c r="H1281" s="385"/>
      <c r="I1281" s="385"/>
      <c r="J1281" s="30"/>
      <c r="K1281" s="385" t="s">
        <v>63</v>
      </c>
      <c r="L1281" s="385"/>
      <c r="M1281" s="385"/>
      <c r="N1281" s="385"/>
      <c r="O1281" s="385"/>
      <c r="P1281" s="385" t="str">
        <f>IFERROR(
    IF(
        OR(ISBLANK(I1281), ISBLANK(L1281)),
        "",
        MAX(
            1,
            IF(
                NETWORKDAYS(I1281, L1281, Holiday_Dates) &lt;= 0,
                1,
                NETWORKDAYS(I1281, L1281, Holiday_Dates) - IF(I1281 = L1281, 0, 1)
            )
        )
    ),
    ""
)</f>
        <v/>
      </c>
      <c r="Q1281" s="385" t="str">
        <f>IF(
    OR(ISBLANK(L1281), ISBLANK(M1281)),
    "",
    MAX(
        1,
        IF(
            NETWORKDAYS(L1281, M1281, Holiday_Dates) &lt;= 0,
            1,
            NETWORKDAYS(L1281, M1281, Holiday_Dates) - IF(L1281 = M1281, 0, 1)
        )
    )
)</f>
        <v/>
      </c>
      <c r="R1281" s="385" t="str">
        <f>IFERROR(
    IF(
        OR(ISBLANK(N1281), AND(ISBLANK(L1281), ISBLANK(M1281))),
        "",
        MAX(
            1,
            IF(
                NETWORKDAYS(IF(NOT(ISBLANK(M1281)), M1281, L1281), N1281, Holiday_Dates) &lt;= 0,
                1,
                NETWORKDAYS(IF(NOT(ISBLANK(M1281)), M1281, L1281), N1281, Holiday_Dates)
                - IF(IF(NOT(ISBLANK(M1281)), M1281, L1281) = N1281, 0, 1)
            )
        )
    ),
    ""
)</f>
        <v/>
      </c>
      <c r="S1281" s="385" t="str">
        <f>IFERROR(
    IF(
        OR(ISBLANK(N1281), ISBLANK(O1281)),
        "",
        MAX(
            1,
            IF(
                NETWORKDAYS(N1281, O1281, Holiday_Dates) &lt;= 0,
                1,
                NETWORKDAYS(N1281, O1281, Holiday_Dates) - IF(N1281 = O1281, 0, 1)
            )
        )
    ),
    ""
)</f>
        <v/>
      </c>
      <c r="T1281" s="385"/>
      <c r="U1281" s="385"/>
      <c r="V1281" s="385"/>
      <c r="W1281" s="385" t="s">
        <v>4710</v>
      </c>
      <c r="X1281" s="1"/>
    </row>
    <row r="1282" spans="1:24">
      <c r="A1282" s="385" t="s">
        <v>49</v>
      </c>
      <c r="B1282" s="385" t="s">
        <v>2218</v>
      </c>
      <c r="C1282" s="385" t="s">
        <v>2234</v>
      </c>
      <c r="D1282" s="385" t="s">
        <v>88</v>
      </c>
      <c r="E1282" s="385" t="s">
        <v>377</v>
      </c>
      <c r="F1282" s="385"/>
      <c r="G1282" s="385" t="s">
        <v>128</v>
      </c>
      <c r="H1282" s="385"/>
      <c r="I1282" s="385"/>
      <c r="J1282" s="30"/>
      <c r="K1282" s="385" t="s">
        <v>63</v>
      </c>
      <c r="L1282" s="385"/>
      <c r="M1282" s="385"/>
      <c r="N1282" s="385"/>
      <c r="O1282" s="385"/>
      <c r="P1282" s="385" t="str">
        <f>IFERROR(
    IF(
        OR(ISBLANK(I1282), ISBLANK(L1282)),
        "",
        MAX(
            1,
            IF(
                NETWORKDAYS(I1282, L1282, Holiday_Dates) &lt;= 0,
                1,
                NETWORKDAYS(I1282, L1282, Holiday_Dates) - IF(I1282 = L1282, 0, 1)
            )
        )
    ),
    ""
)</f>
        <v/>
      </c>
      <c r="Q1282" s="385" t="str">
        <f>IF(
    OR(ISBLANK(L1282), ISBLANK(M1282)),
    "",
    MAX(
        1,
        IF(
            NETWORKDAYS(L1282, M1282, Holiday_Dates) &lt;= 0,
            1,
            NETWORKDAYS(L1282, M1282, Holiday_Dates) - IF(L1282 = M1282, 0, 1)
        )
    )
)</f>
        <v/>
      </c>
      <c r="R1282" s="385" t="str">
        <f>IFERROR(
    IF(
        OR(ISBLANK(N1282), AND(ISBLANK(L1282), ISBLANK(M1282))),
        "",
        MAX(
            1,
            IF(
                NETWORKDAYS(IF(NOT(ISBLANK(M1282)), M1282, L1282), N1282, Holiday_Dates) &lt;= 0,
                1,
                NETWORKDAYS(IF(NOT(ISBLANK(M1282)), M1282, L1282), N1282, Holiday_Dates)
                - IF(IF(NOT(ISBLANK(M1282)), M1282, L1282) = N1282, 0, 1)
            )
        )
    ),
    ""
)</f>
        <v/>
      </c>
      <c r="S1282" s="385" t="str">
        <f>IFERROR(
    IF(
        OR(ISBLANK(N1282), ISBLANK(O1282)),
        "",
        MAX(
            1,
            IF(
                NETWORKDAYS(N1282, O1282, Holiday_Dates) &lt;= 0,
                1,
                NETWORKDAYS(N1282, O1282, Holiday_Dates) - IF(N1282 = O1282, 0, 1)
            )
        )
    ),
    ""
)</f>
        <v/>
      </c>
      <c r="T1282" s="385"/>
      <c r="U1282" s="385"/>
      <c r="V1282" s="385"/>
      <c r="W1282" s="385" t="s">
        <v>4710</v>
      </c>
      <c r="X1282" s="1"/>
    </row>
    <row r="1283" spans="1:24">
      <c r="A1283" s="385" t="s">
        <v>49</v>
      </c>
      <c r="B1283" s="385" t="s">
        <v>2218</v>
      </c>
      <c r="C1283" s="385" t="s">
        <v>2248</v>
      </c>
      <c r="D1283" s="385" t="s">
        <v>88</v>
      </c>
      <c r="E1283" s="385" t="s">
        <v>377</v>
      </c>
      <c r="F1283" s="385"/>
      <c r="G1283" s="385" t="s">
        <v>128</v>
      </c>
      <c r="H1283" s="385"/>
      <c r="I1283" s="385"/>
      <c r="J1283" s="30"/>
      <c r="K1283" s="385" t="s">
        <v>63</v>
      </c>
      <c r="L1283" s="385"/>
      <c r="M1283" s="385"/>
      <c r="N1283" s="385"/>
      <c r="O1283" s="385"/>
      <c r="P1283" s="385" t="str">
        <f>IFERROR(
    IF(
        OR(ISBLANK(I1283), ISBLANK(L1283)),
        "",
        MAX(
            1,
            IF(
                NETWORKDAYS(I1283, L1283, Holiday_Dates) &lt;= 0,
                1,
                NETWORKDAYS(I1283, L1283, Holiday_Dates) - IF(I1283 = L1283, 0, 1)
            )
        )
    ),
    ""
)</f>
        <v/>
      </c>
      <c r="Q1283" s="385" t="str">
        <f>IF(
    OR(ISBLANK(L1283), ISBLANK(M1283)),
    "",
    MAX(
        1,
        IF(
            NETWORKDAYS(L1283, M1283, Holiday_Dates) &lt;= 0,
            1,
            NETWORKDAYS(L1283, M1283, Holiday_Dates) - IF(L1283 = M1283, 0, 1)
        )
    )
)</f>
        <v/>
      </c>
      <c r="R1283" s="385" t="str">
        <f>IFERROR(
    IF(
        OR(ISBLANK(N1283), AND(ISBLANK(L1283), ISBLANK(M1283))),
        "",
        MAX(
            1,
            IF(
                NETWORKDAYS(IF(NOT(ISBLANK(M1283)), M1283, L1283), N1283, Holiday_Dates) &lt;= 0,
                1,
                NETWORKDAYS(IF(NOT(ISBLANK(M1283)), M1283, L1283), N1283, Holiday_Dates)
                - IF(IF(NOT(ISBLANK(M1283)), M1283, L1283) = N1283, 0, 1)
            )
        )
    ),
    ""
)</f>
        <v/>
      </c>
      <c r="S1283" s="385" t="str">
        <f>IFERROR(
    IF(
        OR(ISBLANK(N1283), ISBLANK(O1283)),
        "",
        MAX(
            1,
            IF(
                NETWORKDAYS(N1283, O1283, Holiday_Dates) &lt;= 0,
                1,
                NETWORKDAYS(N1283, O1283, Holiday_Dates) - IF(N1283 = O1283, 0, 1)
            )
        )
    ),
    ""
)</f>
        <v/>
      </c>
      <c r="T1283" s="385"/>
      <c r="U1283" s="385"/>
      <c r="V1283" s="385"/>
      <c r="W1283" s="385" t="s">
        <v>4710</v>
      </c>
      <c r="X1283" s="1"/>
    </row>
    <row r="1284" spans="1:24">
      <c r="A1284" s="385" t="s">
        <v>49</v>
      </c>
      <c r="B1284" s="385" t="s">
        <v>492</v>
      </c>
      <c r="C1284" s="385" t="s">
        <v>974</v>
      </c>
      <c r="D1284" s="385" t="s">
        <v>88</v>
      </c>
      <c r="E1284" s="385" t="s">
        <v>344</v>
      </c>
      <c r="F1284" s="385"/>
      <c r="G1284" s="385" t="s">
        <v>128</v>
      </c>
      <c r="H1284" s="385"/>
      <c r="I1284" s="385"/>
      <c r="J1284" s="30"/>
      <c r="K1284" s="385" t="s">
        <v>63</v>
      </c>
      <c r="L1284" s="385"/>
      <c r="M1284" s="385"/>
      <c r="N1284" s="385"/>
      <c r="O1284" s="385"/>
      <c r="P1284" s="385" t="str">
        <f>IFERROR(
    IF(
        OR(ISBLANK(I1284), ISBLANK(L1284)),
        "",
        MAX(
            1,
            IF(
                NETWORKDAYS(I1284, L1284, Holiday_Dates) &lt;= 0,
                1,
                NETWORKDAYS(I1284, L1284, Holiday_Dates) - IF(I1284 = L1284, 0, 1)
            )
        )
    ),
    ""
)</f>
        <v/>
      </c>
      <c r="Q1284" s="385" t="str">
        <f>IF(
    OR(ISBLANK(L1284), ISBLANK(M1284)),
    "",
    MAX(
        1,
        IF(
            NETWORKDAYS(L1284, M1284, Holiday_Dates) &lt;= 0,
            1,
            NETWORKDAYS(L1284, M1284, Holiday_Dates) - IF(L1284 = M1284, 0, 1)
        )
    )
)</f>
        <v/>
      </c>
      <c r="R1284" s="385" t="str">
        <f>IFERROR(
    IF(
        OR(ISBLANK(N1284), AND(ISBLANK(L1284), ISBLANK(M1284))),
        "",
        MAX(
            1,
            IF(
                NETWORKDAYS(IF(NOT(ISBLANK(M1284)), M1284, L1284), N1284, Holiday_Dates) &lt;= 0,
                1,
                NETWORKDAYS(IF(NOT(ISBLANK(M1284)), M1284, L1284), N1284, Holiday_Dates)
                - IF(IF(NOT(ISBLANK(M1284)), M1284, L1284) = N1284, 0, 1)
            )
        )
    ),
    ""
)</f>
        <v/>
      </c>
      <c r="S1284" s="385" t="str">
        <f>IFERROR(
    IF(
        OR(ISBLANK(N1284), ISBLANK(O1284)),
        "",
        MAX(
            1,
            IF(
                NETWORKDAYS(N1284, O1284, Holiday_Dates) &lt;= 0,
                1,
                NETWORKDAYS(N1284, O1284, Holiday_Dates) - IF(N1284 = O1284, 0, 1)
            )
        )
    ),
    ""
)</f>
        <v/>
      </c>
      <c r="T1284" s="385"/>
      <c r="U1284" s="385"/>
      <c r="V1284" s="385"/>
      <c r="W1284" s="385" t="s">
        <v>4710</v>
      </c>
      <c r="X1284" s="1"/>
    </row>
    <row r="1285" spans="1:24">
      <c r="A1285" s="385" t="s">
        <v>49</v>
      </c>
      <c r="B1285" s="385" t="s">
        <v>492</v>
      </c>
      <c r="C1285" s="385" t="s">
        <v>2309</v>
      </c>
      <c r="D1285" s="385" t="s">
        <v>88</v>
      </c>
      <c r="E1285" s="385" t="s">
        <v>344</v>
      </c>
      <c r="F1285" s="385"/>
      <c r="G1285" s="385" t="s">
        <v>128</v>
      </c>
      <c r="H1285" s="385"/>
      <c r="I1285" s="385"/>
      <c r="J1285" s="30"/>
      <c r="K1285" s="385" t="s">
        <v>63</v>
      </c>
      <c r="L1285" s="385"/>
      <c r="M1285" s="385"/>
      <c r="N1285" s="385"/>
      <c r="O1285" s="385"/>
      <c r="P1285" s="385" t="str">
        <f>IFERROR(
    IF(
        OR(ISBLANK(I1285), ISBLANK(L1285)),
        "",
        MAX(
            1,
            IF(
                NETWORKDAYS(I1285, L1285, Holiday_Dates) &lt;= 0,
                1,
                NETWORKDAYS(I1285, L1285, Holiday_Dates) - IF(I1285 = L1285, 0, 1)
            )
        )
    ),
    ""
)</f>
        <v/>
      </c>
      <c r="Q1285" s="385" t="str">
        <f>IF(
    OR(ISBLANK(L1285), ISBLANK(M1285)),
    "",
    MAX(
        1,
        IF(
            NETWORKDAYS(L1285, M1285, Holiday_Dates) &lt;= 0,
            1,
            NETWORKDAYS(L1285, M1285, Holiday_Dates) - IF(L1285 = M1285, 0, 1)
        )
    )
)</f>
        <v/>
      </c>
      <c r="R1285" s="385" t="str">
        <f>IFERROR(
    IF(
        OR(ISBLANK(N1285), AND(ISBLANK(L1285), ISBLANK(M1285))),
        "",
        MAX(
            1,
            IF(
                NETWORKDAYS(IF(NOT(ISBLANK(M1285)), M1285, L1285), N1285, Holiday_Dates) &lt;= 0,
                1,
                NETWORKDAYS(IF(NOT(ISBLANK(M1285)), M1285, L1285), N1285, Holiday_Dates)
                - IF(IF(NOT(ISBLANK(M1285)), M1285, L1285) = N1285, 0, 1)
            )
        )
    ),
    ""
)</f>
        <v/>
      </c>
      <c r="S1285" s="385" t="str">
        <f>IFERROR(
    IF(
        OR(ISBLANK(N1285), ISBLANK(O1285)),
        "",
        MAX(
            1,
            IF(
                NETWORKDAYS(N1285, O1285, Holiday_Dates) &lt;= 0,
                1,
                NETWORKDAYS(N1285, O1285, Holiday_Dates) - IF(N1285 = O1285, 0, 1)
            )
        )
    ),
    ""
)</f>
        <v/>
      </c>
      <c r="T1285" s="385"/>
      <c r="U1285" s="385"/>
      <c r="V1285" s="385"/>
      <c r="W1285" s="385" t="s">
        <v>4710</v>
      </c>
      <c r="X1285" s="1"/>
    </row>
    <row r="1286" spans="1:24">
      <c r="A1286" s="385" t="s">
        <v>49</v>
      </c>
      <c r="B1286" s="385" t="s">
        <v>492</v>
      </c>
      <c r="C1286" s="385" t="s">
        <v>2188</v>
      </c>
      <c r="D1286" s="385" t="s">
        <v>88</v>
      </c>
      <c r="E1286" s="385" t="s">
        <v>344</v>
      </c>
      <c r="F1286" s="385"/>
      <c r="G1286" s="385" t="s">
        <v>128</v>
      </c>
      <c r="H1286" s="385"/>
      <c r="I1286" s="385"/>
      <c r="J1286" s="30"/>
      <c r="K1286" s="385" t="s">
        <v>63</v>
      </c>
      <c r="L1286" s="385"/>
      <c r="M1286" s="385"/>
      <c r="N1286" s="385"/>
      <c r="O1286" s="385"/>
      <c r="P1286" s="385" t="str">
        <f>IFERROR(
    IF(
        OR(ISBLANK(I1286), ISBLANK(L1286)),
        "",
        MAX(
            1,
            IF(
                NETWORKDAYS(I1286, L1286, Holiday_Dates) &lt;= 0,
                1,
                NETWORKDAYS(I1286, L1286, Holiday_Dates) - IF(I1286 = L1286, 0, 1)
            )
        )
    ),
    ""
)</f>
        <v/>
      </c>
      <c r="Q1286" s="385" t="str">
        <f>IF(
    OR(ISBLANK(L1286), ISBLANK(M1286)),
    "",
    MAX(
        1,
        IF(
            NETWORKDAYS(L1286, M1286, Holiday_Dates) &lt;= 0,
            1,
            NETWORKDAYS(L1286, M1286, Holiday_Dates) - IF(L1286 = M1286, 0, 1)
        )
    )
)</f>
        <v/>
      </c>
      <c r="R1286" s="385" t="str">
        <f>IFERROR(
    IF(
        OR(ISBLANK(N1286), AND(ISBLANK(L1286), ISBLANK(M1286))),
        "",
        MAX(
            1,
            IF(
                NETWORKDAYS(IF(NOT(ISBLANK(M1286)), M1286, L1286), N1286, Holiday_Dates) &lt;= 0,
                1,
                NETWORKDAYS(IF(NOT(ISBLANK(M1286)), M1286, L1286), N1286, Holiday_Dates)
                - IF(IF(NOT(ISBLANK(M1286)), M1286, L1286) = N1286, 0, 1)
            )
        )
    ),
    ""
)</f>
        <v/>
      </c>
      <c r="S1286" s="385" t="str">
        <f>IFERROR(
    IF(
        OR(ISBLANK(N1286), ISBLANK(O1286)),
        "",
        MAX(
            1,
            IF(
                NETWORKDAYS(N1286, O1286, Holiday_Dates) &lt;= 0,
                1,
                NETWORKDAYS(N1286, O1286, Holiday_Dates) - IF(N1286 = O1286, 0, 1)
            )
        )
    ),
    ""
)</f>
        <v/>
      </c>
      <c r="T1286" s="385"/>
      <c r="U1286" s="385"/>
      <c r="V1286" s="385"/>
      <c r="W1286" s="385" t="s">
        <v>4710</v>
      </c>
      <c r="X1286" s="1"/>
    </row>
    <row r="1287" spans="1:24">
      <c r="A1287" s="385" t="s">
        <v>49</v>
      </c>
      <c r="B1287" s="385" t="s">
        <v>2417</v>
      </c>
      <c r="C1287" s="385" t="s">
        <v>2426</v>
      </c>
      <c r="D1287" s="385" t="s">
        <v>88</v>
      </c>
      <c r="E1287" s="385" t="s">
        <v>136</v>
      </c>
      <c r="F1287" s="385"/>
      <c r="G1287" s="385" t="s">
        <v>128</v>
      </c>
      <c r="H1287" s="385"/>
      <c r="I1287" s="385"/>
      <c r="J1287" s="30"/>
      <c r="K1287" s="385" t="s">
        <v>63</v>
      </c>
      <c r="L1287" s="385"/>
      <c r="M1287" s="385"/>
      <c r="N1287" s="385"/>
      <c r="O1287" s="385"/>
      <c r="P1287" s="385" t="str">
        <f>IFERROR(
    IF(
        OR(ISBLANK(I1287), ISBLANK(L1287)),
        "",
        MAX(
            1,
            IF(
                NETWORKDAYS(I1287, L1287, Holiday_Dates) &lt;= 0,
                1,
                NETWORKDAYS(I1287, L1287, Holiday_Dates) - IF(I1287 = L1287, 0, 1)
            )
        )
    ),
    ""
)</f>
        <v/>
      </c>
      <c r="Q1287" s="385" t="str">
        <f>IF(
    OR(ISBLANK(L1287), ISBLANK(M1287)),
    "",
    MAX(
        1,
        IF(
            NETWORKDAYS(L1287, M1287, Holiday_Dates) &lt;= 0,
            1,
            NETWORKDAYS(L1287, M1287, Holiday_Dates) - IF(L1287 = M1287, 0, 1)
        )
    )
)</f>
        <v/>
      </c>
      <c r="R1287" s="385" t="str">
        <f>IFERROR(
    IF(
        OR(ISBLANK(N1287), AND(ISBLANK(L1287), ISBLANK(M1287))),
        "",
        MAX(
            1,
            IF(
                NETWORKDAYS(IF(NOT(ISBLANK(M1287)), M1287, L1287), N1287, Holiday_Dates) &lt;= 0,
                1,
                NETWORKDAYS(IF(NOT(ISBLANK(M1287)), M1287, L1287), N1287, Holiday_Dates)
                - IF(IF(NOT(ISBLANK(M1287)), M1287, L1287) = N1287, 0, 1)
            )
        )
    ),
    ""
)</f>
        <v/>
      </c>
      <c r="S1287" s="385" t="str">
        <f>IFERROR(
    IF(
        OR(ISBLANK(N1287), ISBLANK(O1287)),
        "",
        MAX(
            1,
            IF(
                NETWORKDAYS(N1287, O1287, Holiday_Dates) &lt;= 0,
                1,
                NETWORKDAYS(N1287, O1287, Holiday_Dates) - IF(N1287 = O1287, 0, 1)
            )
        )
    ),
    ""
)</f>
        <v/>
      </c>
      <c r="T1287" s="385"/>
      <c r="U1287" s="385"/>
      <c r="V1287" s="385"/>
      <c r="W1287" s="385" t="s">
        <v>4710</v>
      </c>
      <c r="X1287" s="1"/>
    </row>
    <row r="1288" spans="1:24">
      <c r="A1288" s="385" t="s">
        <v>65</v>
      </c>
      <c r="B1288" s="385" t="s">
        <v>511</v>
      </c>
      <c r="C1288" s="385" t="s">
        <v>3020</v>
      </c>
      <c r="D1288" s="385" t="s">
        <v>88</v>
      </c>
      <c r="E1288" s="385"/>
      <c r="F1288" s="385"/>
      <c r="G1288" s="385"/>
      <c r="H1288" s="385">
        <v>2024</v>
      </c>
      <c r="I1288" s="386">
        <v>45561</v>
      </c>
      <c r="J1288" s="30"/>
      <c r="K1288" s="385"/>
      <c r="L1288" s="385"/>
      <c r="M1288" s="385"/>
      <c r="N1288" s="385"/>
      <c r="O1288" s="385"/>
      <c r="P1288" s="385" t="str">
        <f>IFERROR(
    IF(
        OR(ISBLANK(I1288), ISBLANK(L1288)),
        "",
        MAX(
            1,
            IF(
                NETWORKDAYS(I1288, L1288, Holiday_Dates) &lt;= 0,
                1,
                NETWORKDAYS(I1288, L1288, Holiday_Dates) - IF(I1288 = L1288, 0, 1)
            )
        )
    ),
    ""
)</f>
        <v/>
      </c>
      <c r="Q1288" s="385" t="str">
        <f>IF(
    OR(ISBLANK(L1288), ISBLANK(M1288)),
    "",
    MAX(
        1,
        IF(
            NETWORKDAYS(L1288, M1288, Holiday_Dates) &lt;= 0,
            1,
            NETWORKDAYS(L1288, M1288, Holiday_Dates) - IF(L1288 = M1288, 0, 1)
        )
    )
)</f>
        <v/>
      </c>
      <c r="R1288" s="385" t="str">
        <f>IFERROR(
    IF(
        OR(ISBLANK(N1288), AND(ISBLANK(L1288), ISBLANK(M1288))),
        "",
        MAX(
            1,
            IF(
                NETWORKDAYS(IF(NOT(ISBLANK(M1288)), M1288, L1288), N1288, Holiday_Dates) &lt;= 0,
                1,
                NETWORKDAYS(IF(NOT(ISBLANK(M1288)), M1288, L1288), N1288, Holiday_Dates)
                - IF(IF(NOT(ISBLANK(M1288)), M1288, L1288) = N1288, 0, 1)
            )
        )
    ),
    ""
)</f>
        <v/>
      </c>
      <c r="S1288" s="385" t="str">
        <f>IFERROR(
    IF(
        OR(ISBLANK(N1288), ISBLANK(O1288)),
        "",
        MAX(
            1,
            IF(
                NETWORKDAYS(N1288, O1288, Holiday_Dates) &lt;= 0,
                1,
                NETWORKDAYS(N1288, O1288, Holiday_Dates) - IF(N1288 = O1288, 0, 1)
            )
        )
    ),
    ""
)</f>
        <v/>
      </c>
      <c r="T1288" s="385"/>
      <c r="U1288" s="385" t="s">
        <v>4</v>
      </c>
      <c r="V1288" s="385" t="s">
        <v>101</v>
      </c>
      <c r="W1288" s="385" t="s">
        <v>1436</v>
      </c>
      <c r="X1288" s="1"/>
    </row>
    <row r="1289" spans="1:24">
      <c r="A1289" s="385" t="s">
        <v>49</v>
      </c>
      <c r="B1289" s="385" t="s">
        <v>2417</v>
      </c>
      <c r="C1289" s="385" t="s">
        <v>2434</v>
      </c>
      <c r="D1289" s="385" t="s">
        <v>88</v>
      </c>
      <c r="E1289" s="385" t="s">
        <v>136</v>
      </c>
      <c r="F1289" s="385"/>
      <c r="G1289" s="385" t="s">
        <v>128</v>
      </c>
      <c r="H1289" s="385"/>
      <c r="I1289" s="385"/>
      <c r="J1289" s="30"/>
      <c r="K1289" s="385" t="s">
        <v>63</v>
      </c>
      <c r="L1289" s="385"/>
      <c r="M1289" s="385"/>
      <c r="N1289" s="385"/>
      <c r="O1289" s="385"/>
      <c r="P1289" s="385" t="str">
        <f>IFERROR(
    IF(
        OR(ISBLANK(I1289), ISBLANK(L1289)),
        "",
        MAX(
            1,
            IF(
                NETWORKDAYS(I1289, L1289, Holiday_Dates) &lt;= 0,
                1,
                NETWORKDAYS(I1289, L1289, Holiday_Dates) - IF(I1289 = L1289, 0, 1)
            )
        )
    ),
    ""
)</f>
        <v/>
      </c>
      <c r="Q1289" s="385" t="str">
        <f>IF(
    OR(ISBLANK(L1289), ISBLANK(M1289)),
    "",
    MAX(
        1,
        IF(
            NETWORKDAYS(L1289, M1289, Holiday_Dates) &lt;= 0,
            1,
            NETWORKDAYS(L1289, M1289, Holiday_Dates) - IF(L1289 = M1289, 0, 1)
        )
    )
)</f>
        <v/>
      </c>
      <c r="R1289" s="385" t="str">
        <f>IFERROR(
    IF(
        OR(ISBLANK(N1289), AND(ISBLANK(L1289), ISBLANK(M1289))),
        "",
        MAX(
            1,
            IF(
                NETWORKDAYS(IF(NOT(ISBLANK(M1289)), M1289, L1289), N1289, Holiday_Dates) &lt;= 0,
                1,
                NETWORKDAYS(IF(NOT(ISBLANK(M1289)), M1289, L1289), N1289, Holiday_Dates)
                - IF(IF(NOT(ISBLANK(M1289)), M1289, L1289) = N1289, 0, 1)
            )
        )
    ),
    ""
)</f>
        <v/>
      </c>
      <c r="S1289" s="385" t="str">
        <f>IFERROR(
    IF(
        OR(ISBLANK(N1289), ISBLANK(O1289)),
        "",
        MAX(
            1,
            IF(
                NETWORKDAYS(N1289, O1289, Holiday_Dates) &lt;= 0,
                1,
                NETWORKDAYS(N1289, O1289, Holiday_Dates) - IF(N1289 = O1289, 0, 1)
            )
        )
    ),
    ""
)</f>
        <v/>
      </c>
      <c r="T1289" s="385"/>
      <c r="U1289" s="385"/>
      <c r="V1289" s="385"/>
      <c r="W1289" s="385" t="s">
        <v>4710</v>
      </c>
      <c r="X1289" s="1"/>
    </row>
    <row r="1290" spans="1:24">
      <c r="A1290" s="385" t="s">
        <v>65</v>
      </c>
      <c r="B1290" s="385" t="s">
        <v>511</v>
      </c>
      <c r="C1290" s="385" t="s">
        <v>2467</v>
      </c>
      <c r="D1290" s="385" t="s">
        <v>88</v>
      </c>
      <c r="E1290" s="385"/>
      <c r="F1290" s="385"/>
      <c r="G1290" s="385"/>
      <c r="H1290" s="385">
        <v>2025</v>
      </c>
      <c r="I1290" s="386">
        <v>45876</v>
      </c>
      <c r="J1290" s="30" t="s">
        <v>5221</v>
      </c>
      <c r="K1290" s="385"/>
      <c r="L1290" s="385"/>
      <c r="M1290" s="385"/>
      <c r="N1290" s="385"/>
      <c r="O1290" s="385"/>
      <c r="P1290" s="385" t="str">
        <f>IFERROR(
    IF(
        OR(ISBLANK(I1290), ISBLANK(L1290)),
        "",
        MAX(
            1,
            IF(
                NETWORKDAYS(I1290, L1290, Holiday_Dates) &lt;= 0,
                1,
                NETWORKDAYS(I1290, L1290, Holiday_Dates) - IF(I1290 = L1290, 0, 1)
            )
        )
    ),
    ""
)</f>
        <v/>
      </c>
      <c r="Q1290" s="385" t="str">
        <f>IF(
    OR(ISBLANK(L1290), ISBLANK(M1290)),
    "",
    MAX(
        1,
        IF(
            NETWORKDAYS(L1290, M1290, Holiday_Dates) &lt;= 0,
            1,
            NETWORKDAYS(L1290, M1290, Holiday_Dates) - IF(L1290 = M1290, 0, 1)
        )
    )
)</f>
        <v/>
      </c>
      <c r="R1290" s="385" t="str">
        <f>IFERROR(
    IF(
        OR(ISBLANK(N1290), AND(ISBLANK(L1290), ISBLANK(M1290))),
        "",
        MAX(
            1,
            IF(
                NETWORKDAYS(IF(NOT(ISBLANK(M1290)), M1290, L1290), N1290, Holiday_Dates) &lt;= 0,
                1,
                NETWORKDAYS(IF(NOT(ISBLANK(M1290)), M1290, L1290), N1290, Holiday_Dates)
                - IF(IF(NOT(ISBLANK(M1290)), M1290, L1290) = N1290, 0, 1)
            )
        )
    ),
    ""
)</f>
        <v/>
      </c>
      <c r="S1290" s="385" t="str">
        <f>IFERROR(
    IF(
        OR(ISBLANK(N1290), ISBLANK(O1290)),
        "",
        MAX(
            1,
            IF(
                NETWORKDAYS(N1290, O1290, Holiday_Dates) &lt;= 0,
                1,
                NETWORKDAYS(N1290, O1290, Holiday_Dates) - IF(N1290 = O1290, 0, 1)
            )
        )
    ),
    ""
)</f>
        <v/>
      </c>
      <c r="T1290" s="385"/>
      <c r="U1290" s="385" t="s">
        <v>672</v>
      </c>
      <c r="V1290" s="385" t="s">
        <v>101</v>
      </c>
      <c r="W1290" s="385" t="s">
        <v>1436</v>
      </c>
      <c r="X1290" s="1"/>
    </row>
    <row r="1291" spans="1:24">
      <c r="A1291" s="385" t="s">
        <v>65</v>
      </c>
      <c r="B1291" s="385" t="s">
        <v>511</v>
      </c>
      <c r="C1291" s="385" t="s">
        <v>3023</v>
      </c>
      <c r="D1291" s="385" t="s">
        <v>88</v>
      </c>
      <c r="E1291" s="385"/>
      <c r="F1291" s="385"/>
      <c r="G1291" s="385"/>
      <c r="H1291" s="385">
        <v>2025</v>
      </c>
      <c r="I1291" s="386">
        <v>45729</v>
      </c>
      <c r="J1291" s="30" t="s">
        <v>5222</v>
      </c>
      <c r="K1291" s="385"/>
      <c r="L1291" s="385"/>
      <c r="M1291" s="385"/>
      <c r="N1291" s="385"/>
      <c r="O1291" s="385"/>
      <c r="P1291" s="385" t="str">
        <f>IFERROR(
    IF(
        OR(ISBLANK(I1291), ISBLANK(L1291)),
        "",
        MAX(
            1,
            IF(
                NETWORKDAYS(I1291, L1291, Holiday_Dates) &lt;= 0,
                1,
                NETWORKDAYS(I1291, L1291, Holiday_Dates) - IF(I1291 = L1291, 0, 1)
            )
        )
    ),
    ""
)</f>
        <v/>
      </c>
      <c r="Q1291" s="385" t="str">
        <f>IF(
    OR(ISBLANK(L1291), ISBLANK(M1291)),
    "",
    MAX(
        1,
        IF(
            NETWORKDAYS(L1291, M1291, Holiday_Dates) &lt;= 0,
            1,
            NETWORKDAYS(L1291, M1291, Holiday_Dates) - IF(L1291 = M1291, 0, 1)
        )
    )
)</f>
        <v/>
      </c>
      <c r="R1291" s="385" t="str">
        <f>IFERROR(
    IF(
        OR(ISBLANK(N1291), AND(ISBLANK(L1291), ISBLANK(M1291))),
        "",
        MAX(
            1,
            IF(
                NETWORKDAYS(IF(NOT(ISBLANK(M1291)), M1291, L1291), N1291, Holiday_Dates) &lt;= 0,
                1,
                NETWORKDAYS(IF(NOT(ISBLANK(M1291)), M1291, L1291), N1291, Holiday_Dates)
                - IF(IF(NOT(ISBLANK(M1291)), M1291, L1291) = N1291, 0, 1)
            )
        )
    ),
    ""
)</f>
        <v/>
      </c>
      <c r="S1291" s="385" t="str">
        <f>IFERROR(
    IF(
        OR(ISBLANK(N1291), ISBLANK(O1291)),
        "",
        MAX(
            1,
            IF(
                NETWORKDAYS(N1291, O1291, Holiday_Dates) &lt;= 0,
                1,
                NETWORKDAYS(N1291, O1291, Holiday_Dates) - IF(N1291 = O1291, 0, 1)
            )
        )
    ),
    ""
)</f>
        <v/>
      </c>
      <c r="T1291" s="385"/>
      <c r="U1291" s="385" t="s">
        <v>672</v>
      </c>
      <c r="V1291" s="385" t="s">
        <v>101</v>
      </c>
      <c r="W1291" s="385" t="s">
        <v>1436</v>
      </c>
      <c r="X1291" s="1"/>
    </row>
    <row r="1292" spans="1:24">
      <c r="A1292" s="385" t="s">
        <v>49</v>
      </c>
      <c r="B1292" s="385" t="s">
        <v>2573</v>
      </c>
      <c r="C1292" s="385" t="s">
        <v>2604</v>
      </c>
      <c r="D1292" s="385" t="s">
        <v>88</v>
      </c>
      <c r="E1292" s="385" t="s">
        <v>136</v>
      </c>
      <c r="F1292" s="385"/>
      <c r="G1292" s="385" t="s">
        <v>128</v>
      </c>
      <c r="H1292" s="385"/>
      <c r="I1292" s="385"/>
      <c r="J1292" s="30"/>
      <c r="K1292" s="385" t="s">
        <v>63</v>
      </c>
      <c r="L1292" s="385"/>
      <c r="M1292" s="385"/>
      <c r="N1292" s="385"/>
      <c r="O1292" s="385"/>
      <c r="P1292" s="385" t="str">
        <f>IFERROR(
    IF(
        OR(ISBLANK(I1292), ISBLANK(L1292)),
        "",
        MAX(
            1,
            IF(
                NETWORKDAYS(I1292, L1292, Holiday_Dates) &lt;= 0,
                1,
                NETWORKDAYS(I1292, L1292, Holiday_Dates) - IF(I1292 = L1292, 0, 1)
            )
        )
    ),
    ""
)</f>
        <v/>
      </c>
      <c r="Q1292" s="385" t="str">
        <f>IF(
    OR(ISBLANK(L1292), ISBLANK(M1292)),
    "",
    MAX(
        1,
        IF(
            NETWORKDAYS(L1292, M1292, Holiday_Dates) &lt;= 0,
            1,
            NETWORKDAYS(L1292, M1292, Holiday_Dates) - IF(L1292 = M1292, 0, 1)
        )
    )
)</f>
        <v/>
      </c>
      <c r="R1292" s="385" t="str">
        <f>IFERROR(
    IF(
        OR(ISBLANK(N1292), AND(ISBLANK(L1292), ISBLANK(M1292))),
        "",
        MAX(
            1,
            IF(
                NETWORKDAYS(IF(NOT(ISBLANK(M1292)), M1292, L1292), N1292, Holiday_Dates) &lt;= 0,
                1,
                NETWORKDAYS(IF(NOT(ISBLANK(M1292)), M1292, L1292), N1292, Holiday_Dates)
                - IF(IF(NOT(ISBLANK(M1292)), M1292, L1292) = N1292, 0, 1)
            )
        )
    ),
    ""
)</f>
        <v/>
      </c>
      <c r="S1292" s="385" t="str">
        <f>IFERROR(
    IF(
        OR(ISBLANK(N1292), ISBLANK(O1292)),
        "",
        MAX(
            1,
            IF(
                NETWORKDAYS(N1292, O1292, Holiday_Dates) &lt;= 0,
                1,
                NETWORKDAYS(N1292, O1292, Holiday_Dates) - IF(N1292 = O1292, 0, 1)
            )
        )
    ),
    ""
)</f>
        <v/>
      </c>
      <c r="T1292" s="385"/>
      <c r="U1292" s="385"/>
      <c r="V1292" s="385"/>
      <c r="W1292" s="385" t="s">
        <v>4710</v>
      </c>
      <c r="X1292" s="1"/>
    </row>
    <row r="1293" spans="1:24">
      <c r="A1293" s="385" t="s">
        <v>49</v>
      </c>
      <c r="B1293" s="385" t="s">
        <v>2573</v>
      </c>
      <c r="C1293" s="385" t="s">
        <v>2605</v>
      </c>
      <c r="D1293" s="385" t="s">
        <v>88</v>
      </c>
      <c r="E1293" s="385" t="s">
        <v>136</v>
      </c>
      <c r="F1293" s="385"/>
      <c r="G1293" s="385" t="s">
        <v>128</v>
      </c>
      <c r="H1293" s="385"/>
      <c r="I1293" s="385"/>
      <c r="J1293" s="30"/>
      <c r="K1293" s="385" t="s">
        <v>63</v>
      </c>
      <c r="L1293" s="385"/>
      <c r="M1293" s="385"/>
      <c r="N1293" s="385"/>
      <c r="O1293" s="385"/>
      <c r="P1293" s="385" t="str">
        <f>IFERROR(
    IF(
        OR(ISBLANK(I1293), ISBLANK(L1293)),
        "",
        MAX(
            1,
            IF(
                NETWORKDAYS(I1293, L1293, Holiday_Dates) &lt;= 0,
                1,
                NETWORKDAYS(I1293, L1293, Holiday_Dates) - IF(I1293 = L1293, 0, 1)
            )
        )
    ),
    ""
)</f>
        <v/>
      </c>
      <c r="Q1293" s="385" t="str">
        <f>IF(
    OR(ISBLANK(L1293), ISBLANK(M1293)),
    "",
    MAX(
        1,
        IF(
            NETWORKDAYS(L1293, M1293, Holiday_Dates) &lt;= 0,
            1,
            NETWORKDAYS(L1293, M1293, Holiday_Dates) - IF(L1293 = M1293, 0, 1)
        )
    )
)</f>
        <v/>
      </c>
      <c r="R1293" s="385" t="str">
        <f>IFERROR(
    IF(
        OR(ISBLANK(N1293), AND(ISBLANK(L1293), ISBLANK(M1293))),
        "",
        MAX(
            1,
            IF(
                NETWORKDAYS(IF(NOT(ISBLANK(M1293)), M1293, L1293), N1293, Holiday_Dates) &lt;= 0,
                1,
                NETWORKDAYS(IF(NOT(ISBLANK(M1293)), M1293, L1293), N1293, Holiday_Dates)
                - IF(IF(NOT(ISBLANK(M1293)), M1293, L1293) = N1293, 0, 1)
            )
        )
    ),
    ""
)</f>
        <v/>
      </c>
      <c r="S1293" s="385" t="str">
        <f>IFERROR(
    IF(
        OR(ISBLANK(N1293), ISBLANK(O1293)),
        "",
        MAX(
            1,
            IF(
                NETWORKDAYS(N1293, O1293, Holiday_Dates) &lt;= 0,
                1,
                NETWORKDAYS(N1293, O1293, Holiday_Dates) - IF(N1293 = O1293, 0, 1)
            )
        )
    ),
    ""
)</f>
        <v/>
      </c>
      <c r="T1293" s="385"/>
      <c r="U1293" s="385"/>
      <c r="V1293" s="385"/>
      <c r="W1293" s="385" t="s">
        <v>4710</v>
      </c>
      <c r="X1293" s="1"/>
    </row>
    <row r="1294" spans="1:24">
      <c r="A1294" s="385" t="s">
        <v>65</v>
      </c>
      <c r="B1294" s="385" t="s">
        <v>511</v>
      </c>
      <c r="C1294" s="385" t="s">
        <v>3026</v>
      </c>
      <c r="D1294" s="385" t="s">
        <v>88</v>
      </c>
      <c r="E1294" s="385"/>
      <c r="F1294" s="385"/>
      <c r="G1294" s="385"/>
      <c r="H1294" s="385">
        <v>2025</v>
      </c>
      <c r="I1294" s="386">
        <v>45762</v>
      </c>
      <c r="J1294" s="30" t="s">
        <v>5223</v>
      </c>
      <c r="K1294" s="385"/>
      <c r="L1294" s="385"/>
      <c r="M1294" s="385"/>
      <c r="N1294" s="385"/>
      <c r="O1294" s="385"/>
      <c r="P1294" s="385" t="str">
        <f>IFERROR(
    IF(
        OR(ISBLANK(I1294), ISBLANK(L1294)),
        "",
        MAX(
            1,
            IF(
                NETWORKDAYS(I1294, L1294, Holiday_Dates) &lt;= 0,
                1,
                NETWORKDAYS(I1294, L1294, Holiday_Dates) - IF(I1294 = L1294, 0, 1)
            )
        )
    ),
    ""
)</f>
        <v/>
      </c>
      <c r="Q1294" s="385" t="str">
        <f>IF(
    OR(ISBLANK(L1294), ISBLANK(M1294)),
    "",
    MAX(
        1,
        IF(
            NETWORKDAYS(L1294, M1294, Holiday_Dates) &lt;= 0,
            1,
            NETWORKDAYS(L1294, M1294, Holiday_Dates) - IF(L1294 = M1294, 0, 1)
        )
    )
)</f>
        <v/>
      </c>
      <c r="R1294" s="385" t="str">
        <f>IFERROR(
    IF(
        OR(ISBLANK(N1294), AND(ISBLANK(L1294), ISBLANK(M1294))),
        "",
        MAX(
            1,
            IF(
                NETWORKDAYS(IF(NOT(ISBLANK(M1294)), M1294, L1294), N1294, Holiday_Dates) &lt;= 0,
                1,
                NETWORKDAYS(IF(NOT(ISBLANK(M1294)), M1294, L1294), N1294, Holiday_Dates)
                - IF(IF(NOT(ISBLANK(M1294)), M1294, L1294) = N1294, 0, 1)
            )
        )
    ),
    ""
)</f>
        <v/>
      </c>
      <c r="S1294" s="385" t="str">
        <f>IFERROR(
    IF(
        OR(ISBLANK(N1294), ISBLANK(O1294)),
        "",
        MAX(
            1,
            IF(
                NETWORKDAYS(N1294, O1294, Holiday_Dates) &lt;= 0,
                1,
                NETWORKDAYS(N1294, O1294, Holiday_Dates) - IF(N1294 = O1294, 0, 1)
            )
        )
    ),
    ""
)</f>
        <v/>
      </c>
      <c r="T1294" s="385"/>
      <c r="U1294" s="385" t="s">
        <v>672</v>
      </c>
      <c r="V1294" s="385" t="s">
        <v>101</v>
      </c>
      <c r="W1294" s="385" t="s">
        <v>1436</v>
      </c>
      <c r="X1294" s="1"/>
    </row>
    <row r="1295" spans="1:24">
      <c r="A1295" s="385" t="s">
        <v>65</v>
      </c>
      <c r="B1295" s="385" t="s">
        <v>511</v>
      </c>
      <c r="C1295" s="385" t="s">
        <v>2750</v>
      </c>
      <c r="D1295" s="385" t="s">
        <v>88</v>
      </c>
      <c r="E1295" s="385"/>
      <c r="F1295" s="385"/>
      <c r="G1295" s="385"/>
      <c r="H1295" s="385">
        <v>2024</v>
      </c>
      <c r="I1295" s="386">
        <v>45393</v>
      </c>
      <c r="J1295" s="30"/>
      <c r="K1295" s="385"/>
      <c r="L1295" s="385"/>
      <c r="M1295" s="385"/>
      <c r="N1295" s="385"/>
      <c r="O1295" s="385"/>
      <c r="P1295" s="385" t="str">
        <f>IFERROR(
    IF(
        OR(ISBLANK(I1295), ISBLANK(L1295)),
        "",
        MAX(
            1,
            IF(
                NETWORKDAYS(I1295, L1295, Holiday_Dates) &lt;= 0,
                1,
                NETWORKDAYS(I1295, L1295, Holiday_Dates) - IF(I1295 = L1295, 0, 1)
            )
        )
    ),
    ""
)</f>
        <v/>
      </c>
      <c r="Q1295" s="385" t="str">
        <f>IF(
    OR(ISBLANK(L1295), ISBLANK(M1295)),
    "",
    MAX(
        1,
        IF(
            NETWORKDAYS(L1295, M1295, Holiday_Dates) &lt;= 0,
            1,
            NETWORKDAYS(L1295, M1295, Holiday_Dates) - IF(L1295 = M1295, 0, 1)
        )
    )
)</f>
        <v/>
      </c>
      <c r="R1295" s="385" t="str">
        <f>IFERROR(
    IF(
        OR(ISBLANK(N1295), AND(ISBLANK(L1295), ISBLANK(M1295))),
        "",
        MAX(
            1,
            IF(
                NETWORKDAYS(IF(NOT(ISBLANK(M1295)), M1295, L1295), N1295, Holiday_Dates) &lt;= 0,
                1,
                NETWORKDAYS(IF(NOT(ISBLANK(M1295)), M1295, L1295), N1295, Holiday_Dates)
                - IF(IF(NOT(ISBLANK(M1295)), M1295, L1295) = N1295, 0, 1)
            )
        )
    ),
    ""
)</f>
        <v/>
      </c>
      <c r="S1295" s="385" t="str">
        <f>IFERROR(
    IF(
        OR(ISBLANK(N1295), ISBLANK(O1295)),
        "",
        MAX(
            1,
            IF(
                NETWORKDAYS(N1295, O1295, Holiday_Dates) &lt;= 0,
                1,
                NETWORKDAYS(N1295, O1295, Holiday_Dates) - IF(N1295 = O1295, 0, 1)
            )
        )
    ),
    ""
)</f>
        <v/>
      </c>
      <c r="T1295" s="385"/>
      <c r="U1295" s="385" t="s">
        <v>672</v>
      </c>
      <c r="V1295" s="385"/>
      <c r="W1295" s="385" t="s">
        <v>1436</v>
      </c>
      <c r="X1295" s="1"/>
    </row>
    <row r="1296" spans="1:24">
      <c r="A1296" s="385" t="s">
        <v>49</v>
      </c>
      <c r="B1296" s="385" t="s">
        <v>2722</v>
      </c>
      <c r="C1296" s="385" t="s">
        <v>1067</v>
      </c>
      <c r="D1296" s="385" t="s">
        <v>88</v>
      </c>
      <c r="E1296" s="385" t="s">
        <v>377</v>
      </c>
      <c r="F1296" s="385"/>
      <c r="G1296" s="385" t="s">
        <v>128</v>
      </c>
      <c r="H1296" s="385"/>
      <c r="I1296" s="385"/>
      <c r="J1296" s="30"/>
      <c r="K1296" s="385" t="s">
        <v>63</v>
      </c>
      <c r="L1296" s="385"/>
      <c r="M1296" s="385"/>
      <c r="N1296" s="385"/>
      <c r="O1296" s="385"/>
      <c r="P1296" s="385" t="str">
        <f>IFERROR(
    IF(
        OR(ISBLANK(I1296), ISBLANK(L1296)),
        "",
        MAX(
            1,
            IF(
                NETWORKDAYS(I1296, L1296, Holiday_Dates) &lt;= 0,
                1,
                NETWORKDAYS(I1296, L1296, Holiday_Dates) - IF(I1296 = L1296, 0, 1)
            )
        )
    ),
    ""
)</f>
        <v/>
      </c>
      <c r="Q1296" s="385" t="str">
        <f>IF(
    OR(ISBLANK(L1296), ISBLANK(M1296)),
    "",
    MAX(
        1,
        IF(
            NETWORKDAYS(L1296, M1296, Holiday_Dates) &lt;= 0,
            1,
            NETWORKDAYS(L1296, M1296, Holiday_Dates) - IF(L1296 = M1296, 0, 1)
        )
    )
)</f>
        <v/>
      </c>
      <c r="R1296" s="385" t="str">
        <f>IFERROR(
    IF(
        OR(ISBLANK(N1296), AND(ISBLANK(L1296), ISBLANK(M1296))),
        "",
        MAX(
            1,
            IF(
                NETWORKDAYS(IF(NOT(ISBLANK(M1296)), M1296, L1296), N1296, Holiday_Dates) &lt;= 0,
                1,
                NETWORKDAYS(IF(NOT(ISBLANK(M1296)), M1296, L1296), N1296, Holiday_Dates)
                - IF(IF(NOT(ISBLANK(M1296)), M1296, L1296) = N1296, 0, 1)
            )
        )
    ),
    ""
)</f>
        <v/>
      </c>
      <c r="S1296" s="385" t="str">
        <f>IFERROR(
    IF(
        OR(ISBLANK(N1296), ISBLANK(O1296)),
        "",
        MAX(
            1,
            IF(
                NETWORKDAYS(N1296, O1296, Holiday_Dates) &lt;= 0,
                1,
                NETWORKDAYS(N1296, O1296, Holiday_Dates) - IF(N1296 = O1296, 0, 1)
            )
        )
    ),
    ""
)</f>
        <v/>
      </c>
      <c r="T1296" s="385"/>
      <c r="U1296" s="385"/>
      <c r="V1296" s="385"/>
      <c r="W1296" s="385" t="s">
        <v>4710</v>
      </c>
      <c r="X1296" s="1"/>
    </row>
    <row r="1297" spans="1:24">
      <c r="A1297" s="385" t="s">
        <v>65</v>
      </c>
      <c r="B1297" s="385" t="s">
        <v>511</v>
      </c>
      <c r="C1297" s="385" t="s">
        <v>3076</v>
      </c>
      <c r="D1297" s="385" t="s">
        <v>88</v>
      </c>
      <c r="E1297" s="385"/>
      <c r="F1297" s="385"/>
      <c r="G1297" s="385"/>
      <c r="H1297" s="385">
        <v>2025</v>
      </c>
      <c r="I1297" s="386">
        <v>45770</v>
      </c>
      <c r="J1297" s="30" t="s">
        <v>5224</v>
      </c>
      <c r="K1297" s="385"/>
      <c r="L1297" s="385"/>
      <c r="M1297" s="385"/>
      <c r="N1297" s="385"/>
      <c r="O1297" s="385"/>
      <c r="P1297" s="385" t="str">
        <f>IFERROR(
    IF(
        OR(ISBLANK(I1297), ISBLANK(L1297)),
        "",
        MAX(
            1,
            IF(
                NETWORKDAYS(I1297, L1297, Holiday_Dates) &lt;= 0,
                1,
                NETWORKDAYS(I1297, L1297, Holiday_Dates) - IF(I1297 = L1297, 0, 1)
            )
        )
    ),
    ""
)</f>
        <v/>
      </c>
      <c r="Q1297" s="385" t="str">
        <f>IF(
    OR(ISBLANK(L1297), ISBLANK(M1297)),
    "",
    MAX(
        1,
        IF(
            NETWORKDAYS(L1297, M1297, Holiday_Dates) &lt;= 0,
            1,
            NETWORKDAYS(L1297, M1297, Holiday_Dates) - IF(L1297 = M1297, 0, 1)
        )
    )
)</f>
        <v/>
      </c>
      <c r="R1297" s="385" t="str">
        <f>IFERROR(
    IF(
        OR(ISBLANK(N1297), AND(ISBLANK(L1297), ISBLANK(M1297))),
        "",
        MAX(
            1,
            IF(
                NETWORKDAYS(IF(NOT(ISBLANK(M1297)), M1297, L1297), N1297, Holiday_Dates) &lt;= 0,
                1,
                NETWORKDAYS(IF(NOT(ISBLANK(M1297)), M1297, L1297), N1297, Holiday_Dates)
                - IF(IF(NOT(ISBLANK(M1297)), M1297, L1297) = N1297, 0, 1)
            )
        )
    ),
    ""
)</f>
        <v/>
      </c>
      <c r="S1297" s="385" t="str">
        <f>IFERROR(
    IF(
        OR(ISBLANK(N1297), ISBLANK(O1297)),
        "",
        MAX(
            1,
            IF(
                NETWORKDAYS(N1297, O1297, Holiday_Dates) &lt;= 0,
                1,
                NETWORKDAYS(N1297, O1297, Holiday_Dates) - IF(N1297 = O1297, 0, 1)
            )
        )
    ),
    ""
)</f>
        <v/>
      </c>
      <c r="T1297" s="385"/>
      <c r="U1297" s="385" t="s">
        <v>672</v>
      </c>
      <c r="V1297" s="385" t="s">
        <v>101</v>
      </c>
      <c r="W1297" s="385" t="s">
        <v>1436</v>
      </c>
      <c r="X1297" s="1"/>
    </row>
    <row r="1298" spans="1:24">
      <c r="A1298" s="385" t="s">
        <v>49</v>
      </c>
      <c r="B1298" s="385" t="s">
        <v>2722</v>
      </c>
      <c r="C1298" s="385" t="s">
        <v>2724</v>
      </c>
      <c r="D1298" s="385" t="s">
        <v>88</v>
      </c>
      <c r="E1298" s="385" t="s">
        <v>377</v>
      </c>
      <c r="F1298" s="385"/>
      <c r="G1298" s="385" t="s">
        <v>128</v>
      </c>
      <c r="H1298" s="385"/>
      <c r="I1298" s="385"/>
      <c r="J1298" s="30"/>
      <c r="K1298" s="385" t="s">
        <v>63</v>
      </c>
      <c r="L1298" s="385"/>
      <c r="M1298" s="385"/>
      <c r="N1298" s="385"/>
      <c r="O1298" s="385"/>
      <c r="P1298" s="385" t="str">
        <f>IFERROR(
    IF(
        OR(ISBLANK(I1298), ISBLANK(L1298)),
        "",
        MAX(
            1,
            IF(
                NETWORKDAYS(I1298, L1298, Holiday_Dates) &lt;= 0,
                1,
                NETWORKDAYS(I1298, L1298, Holiday_Dates) - IF(I1298 = L1298, 0, 1)
            )
        )
    ),
    ""
)</f>
        <v/>
      </c>
      <c r="Q1298" s="385" t="str">
        <f>IF(
    OR(ISBLANK(L1298), ISBLANK(M1298)),
    "",
    MAX(
        1,
        IF(
            NETWORKDAYS(L1298, M1298, Holiday_Dates) &lt;= 0,
            1,
            NETWORKDAYS(L1298, M1298, Holiday_Dates) - IF(L1298 = M1298, 0, 1)
        )
    )
)</f>
        <v/>
      </c>
      <c r="R1298" s="385" t="str">
        <f>IFERROR(
    IF(
        OR(ISBLANK(N1298), AND(ISBLANK(L1298), ISBLANK(M1298))),
        "",
        MAX(
            1,
            IF(
                NETWORKDAYS(IF(NOT(ISBLANK(M1298)), M1298, L1298), N1298, Holiday_Dates) &lt;= 0,
                1,
                NETWORKDAYS(IF(NOT(ISBLANK(M1298)), M1298, L1298), N1298, Holiday_Dates)
                - IF(IF(NOT(ISBLANK(M1298)), M1298, L1298) = N1298, 0, 1)
            )
        )
    ),
    ""
)</f>
        <v/>
      </c>
      <c r="S1298" s="385" t="str">
        <f>IFERROR(
    IF(
        OR(ISBLANK(N1298), ISBLANK(O1298)),
        "",
        MAX(
            1,
            IF(
                NETWORKDAYS(N1298, O1298, Holiday_Dates) &lt;= 0,
                1,
                NETWORKDAYS(N1298, O1298, Holiday_Dates) - IF(N1298 = O1298, 0, 1)
            )
        )
    ),
    ""
)</f>
        <v/>
      </c>
      <c r="T1298" s="385"/>
      <c r="U1298" s="385"/>
      <c r="V1298" s="385"/>
      <c r="W1298" s="385" t="s">
        <v>4710</v>
      </c>
      <c r="X1298" s="1"/>
    </row>
    <row r="1299" spans="1:24">
      <c r="A1299" s="385" t="s">
        <v>65</v>
      </c>
      <c r="B1299" s="385" t="s">
        <v>511</v>
      </c>
      <c r="C1299" s="385" t="s">
        <v>3030</v>
      </c>
      <c r="D1299" s="385" t="s">
        <v>88</v>
      </c>
      <c r="E1299" s="385"/>
      <c r="F1299" s="385"/>
      <c r="G1299" s="385"/>
      <c r="H1299" s="385">
        <v>2025</v>
      </c>
      <c r="I1299" s="386">
        <v>45708</v>
      </c>
      <c r="J1299" s="30" t="s">
        <v>5225</v>
      </c>
      <c r="K1299" s="385"/>
      <c r="L1299" s="385"/>
      <c r="M1299" s="385"/>
      <c r="N1299" s="385"/>
      <c r="O1299" s="385"/>
      <c r="P1299" s="385" t="str">
        <f>IFERROR(
    IF(
        OR(ISBLANK(I1299), ISBLANK(L1299)),
        "",
        MAX(
            1,
            IF(
                NETWORKDAYS(I1299, L1299, Holiday_Dates) &lt;= 0,
                1,
                NETWORKDAYS(I1299, L1299, Holiday_Dates) - IF(I1299 = L1299, 0, 1)
            )
        )
    ),
    ""
)</f>
        <v/>
      </c>
      <c r="Q1299" s="385" t="str">
        <f>IF(
    OR(ISBLANK(L1299), ISBLANK(M1299)),
    "",
    MAX(
        1,
        IF(
            NETWORKDAYS(L1299, M1299, Holiday_Dates) &lt;= 0,
            1,
            NETWORKDAYS(L1299, M1299, Holiday_Dates) - IF(L1299 = M1299, 0, 1)
        )
    )
)</f>
        <v/>
      </c>
      <c r="R1299" s="385" t="str">
        <f>IFERROR(
    IF(
        OR(ISBLANK(N1299), AND(ISBLANK(L1299), ISBLANK(M1299))),
        "",
        MAX(
            1,
            IF(
                NETWORKDAYS(IF(NOT(ISBLANK(M1299)), M1299, L1299), N1299, Holiday_Dates) &lt;= 0,
                1,
                NETWORKDAYS(IF(NOT(ISBLANK(M1299)), M1299, L1299), N1299, Holiday_Dates)
                - IF(IF(NOT(ISBLANK(M1299)), M1299, L1299) = N1299, 0, 1)
            )
        )
    ),
    ""
)</f>
        <v/>
      </c>
      <c r="S1299" s="385" t="str">
        <f>IFERROR(
    IF(
        OR(ISBLANK(N1299), ISBLANK(O1299)),
        "",
        MAX(
            1,
            IF(
                NETWORKDAYS(N1299, O1299, Holiday_Dates) &lt;= 0,
                1,
                NETWORKDAYS(N1299, O1299, Holiday_Dates) - IF(N1299 = O1299, 0, 1)
            )
        )
    ),
    ""
)</f>
        <v/>
      </c>
      <c r="T1299" s="385"/>
      <c r="U1299" s="385" t="s">
        <v>672</v>
      </c>
      <c r="V1299" s="385" t="s">
        <v>101</v>
      </c>
      <c r="W1299" s="385" t="s">
        <v>1436</v>
      </c>
      <c r="X1299" s="1"/>
    </row>
    <row r="1300" spans="1:24">
      <c r="A1300" s="385" t="s">
        <v>49</v>
      </c>
      <c r="B1300" s="385" t="s">
        <v>2722</v>
      </c>
      <c r="C1300" s="385" t="s">
        <v>2723</v>
      </c>
      <c r="D1300" s="385" t="s">
        <v>88</v>
      </c>
      <c r="E1300" s="385" t="s">
        <v>377</v>
      </c>
      <c r="F1300" s="385"/>
      <c r="G1300" s="385" t="s">
        <v>128</v>
      </c>
      <c r="H1300" s="385"/>
      <c r="I1300" s="385"/>
      <c r="J1300" s="30"/>
      <c r="K1300" s="385" t="s">
        <v>63</v>
      </c>
      <c r="L1300" s="385"/>
      <c r="M1300" s="385"/>
      <c r="N1300" s="385"/>
      <c r="O1300" s="385"/>
      <c r="P1300" s="385" t="str">
        <f>IFERROR(
    IF(
        OR(ISBLANK(I1300), ISBLANK(L1300)),
        "",
        MAX(
            1,
            IF(
                NETWORKDAYS(I1300, L1300, Holiday_Dates) &lt;= 0,
                1,
                NETWORKDAYS(I1300, L1300, Holiday_Dates) - IF(I1300 = L1300, 0, 1)
            )
        )
    ),
    ""
)</f>
        <v/>
      </c>
      <c r="Q1300" s="385" t="str">
        <f>IF(
    OR(ISBLANK(L1300), ISBLANK(M1300)),
    "",
    MAX(
        1,
        IF(
            NETWORKDAYS(L1300, M1300, Holiday_Dates) &lt;= 0,
            1,
            NETWORKDAYS(L1300, M1300, Holiday_Dates) - IF(L1300 = M1300, 0, 1)
        )
    )
)</f>
        <v/>
      </c>
      <c r="R1300" s="385" t="str">
        <f>IFERROR(
    IF(
        OR(ISBLANK(N1300), AND(ISBLANK(L1300), ISBLANK(M1300))),
        "",
        MAX(
            1,
            IF(
                NETWORKDAYS(IF(NOT(ISBLANK(M1300)), M1300, L1300), N1300, Holiday_Dates) &lt;= 0,
                1,
                NETWORKDAYS(IF(NOT(ISBLANK(M1300)), M1300, L1300), N1300, Holiday_Dates)
                - IF(IF(NOT(ISBLANK(M1300)), M1300, L1300) = N1300, 0, 1)
            )
        )
    ),
    ""
)</f>
        <v/>
      </c>
      <c r="S1300" s="385" t="str">
        <f>IFERROR(
    IF(
        OR(ISBLANK(N1300), ISBLANK(O1300)),
        "",
        MAX(
            1,
            IF(
                NETWORKDAYS(N1300, O1300, Holiday_Dates) &lt;= 0,
                1,
                NETWORKDAYS(N1300, O1300, Holiday_Dates) - IF(N1300 = O1300, 0, 1)
            )
        )
    ),
    ""
)</f>
        <v/>
      </c>
      <c r="T1300" s="385"/>
      <c r="U1300" s="385"/>
      <c r="V1300" s="385"/>
      <c r="W1300" s="385" t="s">
        <v>4710</v>
      </c>
      <c r="X1300" s="1"/>
    </row>
    <row r="1301" spans="1:24">
      <c r="A1301" s="385" t="s">
        <v>49</v>
      </c>
      <c r="B1301" s="385" t="s">
        <v>2722</v>
      </c>
      <c r="C1301" s="385" t="s">
        <v>2725</v>
      </c>
      <c r="D1301" s="385" t="s">
        <v>88</v>
      </c>
      <c r="E1301" s="385" t="s">
        <v>377</v>
      </c>
      <c r="F1301" s="385"/>
      <c r="G1301" s="385" t="s">
        <v>128</v>
      </c>
      <c r="H1301" s="385"/>
      <c r="I1301" s="385"/>
      <c r="J1301" s="30"/>
      <c r="K1301" s="385" t="s">
        <v>63</v>
      </c>
      <c r="L1301" s="385"/>
      <c r="M1301" s="385"/>
      <c r="N1301" s="385"/>
      <c r="O1301" s="385"/>
      <c r="P1301" s="385" t="str">
        <f>IFERROR(
    IF(
        OR(ISBLANK(I1301), ISBLANK(L1301)),
        "",
        MAX(
            1,
            IF(
                NETWORKDAYS(I1301, L1301, Holiday_Dates) &lt;= 0,
                1,
                NETWORKDAYS(I1301, L1301, Holiday_Dates) - IF(I1301 = L1301, 0, 1)
            )
        )
    ),
    ""
)</f>
        <v/>
      </c>
      <c r="Q1301" s="385" t="str">
        <f>IF(
    OR(ISBLANK(L1301), ISBLANK(M1301)),
    "",
    MAX(
        1,
        IF(
            NETWORKDAYS(L1301, M1301, Holiday_Dates) &lt;= 0,
            1,
            NETWORKDAYS(L1301, M1301, Holiday_Dates) - IF(L1301 = M1301, 0, 1)
        )
    )
)</f>
        <v/>
      </c>
      <c r="R1301" s="385" t="str">
        <f>IFERROR(
    IF(
        OR(ISBLANK(N1301), AND(ISBLANK(L1301), ISBLANK(M1301))),
        "",
        MAX(
            1,
            IF(
                NETWORKDAYS(IF(NOT(ISBLANK(M1301)), M1301, L1301), N1301, Holiday_Dates) &lt;= 0,
                1,
                NETWORKDAYS(IF(NOT(ISBLANK(M1301)), M1301, L1301), N1301, Holiday_Dates)
                - IF(IF(NOT(ISBLANK(M1301)), M1301, L1301) = N1301, 0, 1)
            )
        )
    ),
    ""
)</f>
        <v/>
      </c>
      <c r="S1301" s="385" t="str">
        <f>IFERROR(
    IF(
        OR(ISBLANK(N1301), ISBLANK(O1301)),
        "",
        MAX(
            1,
            IF(
                NETWORKDAYS(N1301, O1301, Holiday_Dates) &lt;= 0,
                1,
                NETWORKDAYS(N1301, O1301, Holiday_Dates) - IF(N1301 = O1301, 0, 1)
            )
        )
    ),
    ""
)</f>
        <v/>
      </c>
      <c r="T1301" s="385"/>
      <c r="U1301" s="385"/>
      <c r="V1301" s="385"/>
      <c r="W1301" s="385" t="s">
        <v>4710</v>
      </c>
      <c r="X1301" s="1"/>
    </row>
    <row r="1302" spans="1:24">
      <c r="A1302" s="385" t="s">
        <v>49</v>
      </c>
      <c r="B1302" s="385" t="s">
        <v>2722</v>
      </c>
      <c r="C1302" s="385" t="s">
        <v>2728</v>
      </c>
      <c r="D1302" s="385" t="s">
        <v>88</v>
      </c>
      <c r="E1302" s="385" t="s">
        <v>377</v>
      </c>
      <c r="F1302" s="385"/>
      <c r="G1302" s="385" t="s">
        <v>128</v>
      </c>
      <c r="H1302" s="385"/>
      <c r="I1302" s="385"/>
      <c r="J1302" s="30"/>
      <c r="K1302" s="385" t="s">
        <v>63</v>
      </c>
      <c r="L1302" s="385"/>
      <c r="M1302" s="385"/>
      <c r="N1302" s="385"/>
      <c r="O1302" s="385"/>
      <c r="P1302" s="385" t="str">
        <f>IFERROR(
    IF(
        OR(ISBLANK(I1302), ISBLANK(L1302)),
        "",
        MAX(
            1,
            IF(
                NETWORKDAYS(I1302, L1302, Holiday_Dates) &lt;= 0,
                1,
                NETWORKDAYS(I1302, L1302, Holiday_Dates) - IF(I1302 = L1302, 0, 1)
            )
        )
    ),
    ""
)</f>
        <v/>
      </c>
      <c r="Q1302" s="385" t="str">
        <f>IF(
    OR(ISBLANK(L1302), ISBLANK(M1302)),
    "",
    MAX(
        1,
        IF(
            NETWORKDAYS(L1302, M1302, Holiday_Dates) &lt;= 0,
            1,
            NETWORKDAYS(L1302, M1302, Holiday_Dates) - IF(L1302 = M1302, 0, 1)
        )
    )
)</f>
        <v/>
      </c>
      <c r="R1302" s="385" t="str">
        <f>IFERROR(
    IF(
        OR(ISBLANK(N1302), AND(ISBLANK(L1302), ISBLANK(M1302))),
        "",
        MAX(
            1,
            IF(
                NETWORKDAYS(IF(NOT(ISBLANK(M1302)), M1302, L1302), N1302, Holiday_Dates) &lt;= 0,
                1,
                NETWORKDAYS(IF(NOT(ISBLANK(M1302)), M1302, L1302), N1302, Holiday_Dates)
                - IF(IF(NOT(ISBLANK(M1302)), M1302, L1302) = N1302, 0, 1)
            )
        )
    ),
    ""
)</f>
        <v/>
      </c>
      <c r="S1302" s="385" t="str">
        <f>IFERROR(
    IF(
        OR(ISBLANK(N1302), ISBLANK(O1302)),
        "",
        MAX(
            1,
            IF(
                NETWORKDAYS(N1302, O1302, Holiday_Dates) &lt;= 0,
                1,
                NETWORKDAYS(N1302, O1302, Holiday_Dates) - IF(N1302 = O1302, 0, 1)
            )
        )
    ),
    ""
)</f>
        <v/>
      </c>
      <c r="T1302" s="385"/>
      <c r="U1302" s="385"/>
      <c r="V1302" s="385"/>
      <c r="W1302" s="385" t="s">
        <v>4710</v>
      </c>
      <c r="X1302" s="1"/>
    </row>
    <row r="1303" spans="1:24">
      <c r="A1303" s="385" t="s">
        <v>49</v>
      </c>
      <c r="B1303" s="385" t="s">
        <v>437</v>
      </c>
      <c r="C1303" s="385" t="s">
        <v>770</v>
      </c>
      <c r="D1303" s="385" t="s">
        <v>88</v>
      </c>
      <c r="E1303" s="385" t="s">
        <v>136</v>
      </c>
      <c r="F1303" s="385"/>
      <c r="G1303" s="385" t="s">
        <v>128</v>
      </c>
      <c r="H1303" s="385"/>
      <c r="I1303" s="385"/>
      <c r="J1303" s="30"/>
      <c r="K1303" s="385" t="s">
        <v>63</v>
      </c>
      <c r="L1303" s="385"/>
      <c r="M1303" s="385"/>
      <c r="N1303" s="385"/>
      <c r="O1303" s="385"/>
      <c r="P1303" s="385" t="str">
        <f>IFERROR(
    IF(
        OR(ISBLANK(I1303), ISBLANK(L1303)),
        "",
        MAX(
            1,
            IF(
                NETWORKDAYS(I1303, L1303, Holiday_Dates) &lt;= 0,
                1,
                NETWORKDAYS(I1303, L1303, Holiday_Dates) - IF(I1303 = L1303, 0, 1)
            )
        )
    ),
    ""
)</f>
        <v/>
      </c>
      <c r="Q1303" s="385" t="str">
        <f>IF(
    OR(ISBLANK(L1303), ISBLANK(M1303)),
    "",
    MAX(
        1,
        IF(
            NETWORKDAYS(L1303, M1303, Holiday_Dates) &lt;= 0,
            1,
            NETWORKDAYS(L1303, M1303, Holiday_Dates) - IF(L1303 = M1303, 0, 1)
        )
    )
)</f>
        <v/>
      </c>
      <c r="R1303" s="385" t="str">
        <f>IFERROR(
    IF(
        OR(ISBLANK(N1303), AND(ISBLANK(L1303), ISBLANK(M1303))),
        "",
        MAX(
            1,
            IF(
                NETWORKDAYS(IF(NOT(ISBLANK(M1303)), M1303, L1303), N1303, Holiday_Dates) &lt;= 0,
                1,
                NETWORKDAYS(IF(NOT(ISBLANK(M1303)), M1303, L1303), N1303, Holiday_Dates)
                - IF(IF(NOT(ISBLANK(M1303)), M1303, L1303) = N1303, 0, 1)
            )
        )
    ),
    ""
)</f>
        <v/>
      </c>
      <c r="S1303" s="385" t="str">
        <f>IFERROR(
    IF(
        OR(ISBLANK(N1303), ISBLANK(O1303)),
        "",
        MAX(
            1,
            IF(
                NETWORKDAYS(N1303, O1303, Holiday_Dates) &lt;= 0,
                1,
                NETWORKDAYS(N1303, O1303, Holiday_Dates) - IF(N1303 = O1303, 0, 1)
            )
        )
    ),
    ""
)</f>
        <v/>
      </c>
      <c r="T1303" s="385"/>
      <c r="U1303" s="385"/>
      <c r="V1303" s="385"/>
      <c r="W1303" s="385" t="s">
        <v>4710</v>
      </c>
      <c r="X1303" s="1"/>
    </row>
    <row r="1304" spans="1:24">
      <c r="A1304" s="385" t="s">
        <v>65</v>
      </c>
      <c r="B1304" s="385" t="s">
        <v>511</v>
      </c>
      <c r="C1304" s="385" t="s">
        <v>3034</v>
      </c>
      <c r="D1304" s="385" t="s">
        <v>88</v>
      </c>
      <c r="E1304" s="385"/>
      <c r="F1304" s="385"/>
      <c r="G1304" s="385"/>
      <c r="H1304" s="385">
        <v>2025</v>
      </c>
      <c r="I1304" s="386">
        <v>45751</v>
      </c>
      <c r="J1304" s="30" t="s">
        <v>5226</v>
      </c>
      <c r="K1304" s="385"/>
      <c r="L1304" s="385"/>
      <c r="M1304" s="385"/>
      <c r="N1304" s="385"/>
      <c r="O1304" s="385"/>
      <c r="P1304" s="385" t="str">
        <f>IFERROR(
    IF(
        OR(ISBLANK(I1304), ISBLANK(L1304)),
        "",
        MAX(
            1,
            IF(
                NETWORKDAYS(I1304, L1304, Holiday_Dates) &lt;= 0,
                1,
                NETWORKDAYS(I1304, L1304, Holiday_Dates) - IF(I1304 = L1304, 0, 1)
            )
        )
    ),
    ""
)</f>
        <v/>
      </c>
      <c r="Q1304" s="385" t="str">
        <f>IF(
    OR(ISBLANK(L1304), ISBLANK(M1304)),
    "",
    MAX(
        1,
        IF(
            NETWORKDAYS(L1304, M1304, Holiday_Dates) &lt;= 0,
            1,
            NETWORKDAYS(L1304, M1304, Holiday_Dates) - IF(L1304 = M1304, 0, 1)
        )
    )
)</f>
        <v/>
      </c>
      <c r="R1304" s="385" t="str">
        <f>IFERROR(
    IF(
        OR(ISBLANK(N1304), AND(ISBLANK(L1304), ISBLANK(M1304))),
        "",
        MAX(
            1,
            IF(
                NETWORKDAYS(IF(NOT(ISBLANK(M1304)), M1304, L1304), N1304, Holiday_Dates) &lt;= 0,
                1,
                NETWORKDAYS(IF(NOT(ISBLANK(M1304)), M1304, L1304), N1304, Holiday_Dates)
                - IF(IF(NOT(ISBLANK(M1304)), M1304, L1304) = N1304, 0, 1)
            )
        )
    ),
    ""
)</f>
        <v/>
      </c>
      <c r="S1304" s="385" t="str">
        <f>IFERROR(
    IF(
        OR(ISBLANK(N1304), ISBLANK(O1304)),
        "",
        MAX(
            1,
            IF(
                NETWORKDAYS(N1304, O1304, Holiday_Dates) &lt;= 0,
                1,
                NETWORKDAYS(N1304, O1304, Holiday_Dates) - IF(N1304 = O1304, 0, 1)
            )
        )
    ),
    ""
)</f>
        <v/>
      </c>
      <c r="T1304" s="385"/>
      <c r="U1304" s="385" t="s">
        <v>672</v>
      </c>
      <c r="V1304" s="385" t="s">
        <v>101</v>
      </c>
      <c r="W1304" s="385" t="s">
        <v>1436</v>
      </c>
      <c r="X1304" s="1"/>
    </row>
    <row r="1305" spans="1:24">
      <c r="A1305" s="385" t="s">
        <v>49</v>
      </c>
      <c r="B1305" s="385" t="s">
        <v>437</v>
      </c>
      <c r="C1305" s="385" t="s">
        <v>2461</v>
      </c>
      <c r="D1305" s="385" t="s">
        <v>88</v>
      </c>
      <c r="E1305" s="385" t="s">
        <v>136</v>
      </c>
      <c r="F1305" s="385"/>
      <c r="G1305" s="385" t="s">
        <v>128</v>
      </c>
      <c r="H1305" s="385"/>
      <c r="I1305" s="385"/>
      <c r="J1305" s="30"/>
      <c r="K1305" s="385" t="s">
        <v>63</v>
      </c>
      <c r="L1305" s="385"/>
      <c r="M1305" s="385"/>
      <c r="N1305" s="385"/>
      <c r="O1305" s="385"/>
      <c r="P1305" s="385" t="str">
        <f>IFERROR(
    IF(
        OR(ISBLANK(I1305), ISBLANK(L1305)),
        "",
        MAX(
            1,
            IF(
                NETWORKDAYS(I1305, L1305, Holiday_Dates) &lt;= 0,
                1,
                NETWORKDAYS(I1305, L1305, Holiday_Dates) - IF(I1305 = L1305, 0, 1)
            )
        )
    ),
    ""
)</f>
        <v/>
      </c>
      <c r="Q1305" s="385" t="str">
        <f>IF(
    OR(ISBLANK(L1305), ISBLANK(M1305)),
    "",
    MAX(
        1,
        IF(
            NETWORKDAYS(L1305, M1305, Holiday_Dates) &lt;= 0,
            1,
            NETWORKDAYS(L1305, M1305, Holiday_Dates) - IF(L1305 = M1305, 0, 1)
        )
    )
)</f>
        <v/>
      </c>
      <c r="R1305" s="385" t="str">
        <f>IFERROR(
    IF(
        OR(ISBLANK(N1305), AND(ISBLANK(L1305), ISBLANK(M1305))),
        "",
        MAX(
            1,
            IF(
                NETWORKDAYS(IF(NOT(ISBLANK(M1305)), M1305, L1305), N1305, Holiday_Dates) &lt;= 0,
                1,
                NETWORKDAYS(IF(NOT(ISBLANK(M1305)), M1305, L1305), N1305, Holiday_Dates)
                - IF(IF(NOT(ISBLANK(M1305)), M1305, L1305) = N1305, 0, 1)
            )
        )
    ),
    ""
)</f>
        <v/>
      </c>
      <c r="S1305" s="385" t="str">
        <f>IFERROR(
    IF(
        OR(ISBLANK(N1305), ISBLANK(O1305)),
        "",
        MAX(
            1,
            IF(
                NETWORKDAYS(N1305, O1305, Holiday_Dates) &lt;= 0,
                1,
                NETWORKDAYS(N1305, O1305, Holiday_Dates) - IF(N1305 = O1305, 0, 1)
            )
        )
    ),
    ""
)</f>
        <v/>
      </c>
      <c r="T1305" s="385"/>
      <c r="U1305" s="385"/>
      <c r="V1305" s="385"/>
      <c r="W1305" s="385" t="s">
        <v>4710</v>
      </c>
      <c r="X1305" s="1"/>
    </row>
    <row r="1306" spans="1:24">
      <c r="A1306" s="385" t="s">
        <v>65</v>
      </c>
      <c r="B1306" s="385" t="s">
        <v>511</v>
      </c>
      <c r="C1306" s="385" t="s">
        <v>3036</v>
      </c>
      <c r="D1306" s="385" t="s">
        <v>88</v>
      </c>
      <c r="E1306" s="385"/>
      <c r="F1306" s="385"/>
      <c r="G1306" s="385"/>
      <c r="H1306" s="385">
        <v>2024</v>
      </c>
      <c r="I1306" s="386">
        <v>45561</v>
      </c>
      <c r="J1306" s="30"/>
      <c r="K1306" s="385"/>
      <c r="L1306" s="385"/>
      <c r="M1306" s="385"/>
      <c r="N1306" s="385"/>
      <c r="O1306" s="385"/>
      <c r="P1306" s="385" t="str">
        <f>IFERROR(
    IF(
        OR(ISBLANK(I1306), ISBLANK(L1306)),
        "",
        MAX(
            1,
            IF(
                NETWORKDAYS(I1306, L1306, Holiday_Dates) &lt;= 0,
                1,
                NETWORKDAYS(I1306, L1306, Holiday_Dates) - IF(I1306 = L1306, 0, 1)
            )
        )
    ),
    ""
)</f>
        <v/>
      </c>
      <c r="Q1306" s="385" t="str">
        <f>IF(
    OR(ISBLANK(L1306), ISBLANK(M1306)),
    "",
    MAX(
        1,
        IF(
            NETWORKDAYS(L1306, M1306, Holiday_Dates) &lt;= 0,
            1,
            NETWORKDAYS(L1306, M1306, Holiday_Dates) - IF(L1306 = M1306, 0, 1)
        )
    )
)</f>
        <v/>
      </c>
      <c r="R1306" s="385" t="str">
        <f>IFERROR(
    IF(
        OR(ISBLANK(N1306), AND(ISBLANK(L1306), ISBLANK(M1306))),
        "",
        MAX(
            1,
            IF(
                NETWORKDAYS(IF(NOT(ISBLANK(M1306)), M1306, L1306), N1306, Holiday_Dates) &lt;= 0,
                1,
                NETWORKDAYS(IF(NOT(ISBLANK(M1306)), M1306, L1306), N1306, Holiday_Dates)
                - IF(IF(NOT(ISBLANK(M1306)), M1306, L1306) = N1306, 0, 1)
            )
        )
    ),
    ""
)</f>
        <v/>
      </c>
      <c r="S1306" s="385" t="str">
        <f>IFERROR(
    IF(
        OR(ISBLANK(N1306), ISBLANK(O1306)),
        "",
        MAX(
            1,
            IF(
                NETWORKDAYS(N1306, O1306, Holiday_Dates) &lt;= 0,
                1,
                NETWORKDAYS(N1306, O1306, Holiday_Dates) - IF(N1306 = O1306, 0, 1)
            )
        )
    ),
    ""
)</f>
        <v/>
      </c>
      <c r="T1306" s="385"/>
      <c r="U1306" s="385" t="s">
        <v>4</v>
      </c>
      <c r="V1306" s="385" t="s">
        <v>101</v>
      </c>
      <c r="W1306" s="385" t="s">
        <v>1436</v>
      </c>
      <c r="X1306" s="1"/>
    </row>
    <row r="1307" spans="1:24">
      <c r="A1307" s="385" t="s">
        <v>49</v>
      </c>
      <c r="B1307" s="385" t="s">
        <v>499</v>
      </c>
      <c r="C1307" s="385" t="s">
        <v>2486</v>
      </c>
      <c r="D1307" s="385" t="s">
        <v>88</v>
      </c>
      <c r="E1307" s="385" t="s">
        <v>344</v>
      </c>
      <c r="F1307" s="385"/>
      <c r="G1307" s="385" t="s">
        <v>128</v>
      </c>
      <c r="H1307" s="385"/>
      <c r="I1307" s="385"/>
      <c r="J1307" s="30"/>
      <c r="K1307" s="385" t="s">
        <v>63</v>
      </c>
      <c r="L1307" s="385"/>
      <c r="M1307" s="385"/>
      <c r="N1307" s="385"/>
      <c r="O1307" s="385"/>
      <c r="P1307" s="385" t="str">
        <f>IFERROR(
    IF(
        OR(ISBLANK(I1307), ISBLANK(L1307)),
        "",
        MAX(
            1,
            IF(
                NETWORKDAYS(I1307, L1307, Holiday_Dates) &lt;= 0,
                1,
                NETWORKDAYS(I1307, L1307, Holiday_Dates) - IF(I1307 = L1307, 0, 1)
            )
        )
    ),
    ""
)</f>
        <v/>
      </c>
      <c r="Q1307" s="385" t="str">
        <f>IF(
    OR(ISBLANK(L1307), ISBLANK(M1307)),
    "",
    MAX(
        1,
        IF(
            NETWORKDAYS(L1307, M1307, Holiday_Dates) &lt;= 0,
            1,
            NETWORKDAYS(L1307, M1307, Holiday_Dates) - IF(L1307 = M1307, 0, 1)
        )
    )
)</f>
        <v/>
      </c>
      <c r="R1307" s="385" t="str">
        <f>IFERROR(
    IF(
        OR(ISBLANK(N1307), AND(ISBLANK(L1307), ISBLANK(M1307))),
        "",
        MAX(
            1,
            IF(
                NETWORKDAYS(IF(NOT(ISBLANK(M1307)), M1307, L1307), N1307, Holiday_Dates) &lt;= 0,
                1,
                NETWORKDAYS(IF(NOT(ISBLANK(M1307)), M1307, L1307), N1307, Holiday_Dates)
                - IF(IF(NOT(ISBLANK(M1307)), M1307, L1307) = N1307, 0, 1)
            )
        )
    ),
    ""
)</f>
        <v/>
      </c>
      <c r="S1307" s="385" t="str">
        <f>IFERROR(
    IF(
        OR(ISBLANK(N1307), ISBLANK(O1307)),
        "",
        MAX(
            1,
            IF(
                NETWORKDAYS(N1307, O1307, Holiday_Dates) &lt;= 0,
                1,
                NETWORKDAYS(N1307, O1307, Holiday_Dates) - IF(N1307 = O1307, 0, 1)
            )
        )
    ),
    ""
)</f>
        <v/>
      </c>
      <c r="T1307" s="385"/>
      <c r="U1307" s="385"/>
      <c r="V1307" s="385"/>
      <c r="W1307" s="385" t="s">
        <v>4710</v>
      </c>
      <c r="X1307" s="1"/>
    </row>
    <row r="1308" spans="1:24">
      <c r="A1308" s="385" t="s">
        <v>65</v>
      </c>
      <c r="B1308" s="385" t="s">
        <v>511</v>
      </c>
      <c r="C1308" s="385" t="s">
        <v>3039</v>
      </c>
      <c r="D1308" s="385" t="s">
        <v>88</v>
      </c>
      <c r="E1308" s="385"/>
      <c r="F1308" s="385"/>
      <c r="G1308" s="385"/>
      <c r="H1308" s="385">
        <v>2025</v>
      </c>
      <c r="I1308" s="386">
        <v>45797</v>
      </c>
      <c r="J1308" s="30" t="s">
        <v>5227</v>
      </c>
      <c r="K1308" s="385"/>
      <c r="L1308" s="385"/>
      <c r="M1308" s="385"/>
      <c r="N1308" s="385"/>
      <c r="O1308" s="385"/>
      <c r="P1308" s="385" t="str">
        <f>IFERROR(
    IF(
        OR(ISBLANK(I1308), ISBLANK(L1308)),
        "",
        MAX(
            1,
            IF(
                NETWORKDAYS(I1308, L1308, Holiday_Dates) &lt;= 0,
                1,
                NETWORKDAYS(I1308, L1308, Holiday_Dates) - IF(I1308 = L1308, 0, 1)
            )
        )
    ),
    ""
)</f>
        <v/>
      </c>
      <c r="Q1308" s="385" t="str">
        <f>IF(
    OR(ISBLANK(L1308), ISBLANK(M1308)),
    "",
    MAX(
        1,
        IF(
            NETWORKDAYS(L1308, M1308, Holiday_Dates) &lt;= 0,
            1,
            NETWORKDAYS(L1308, M1308, Holiday_Dates) - IF(L1308 = M1308, 0, 1)
        )
    )
)</f>
        <v/>
      </c>
      <c r="R1308" s="385" t="str">
        <f>IFERROR(
    IF(
        OR(ISBLANK(N1308), AND(ISBLANK(L1308), ISBLANK(M1308))),
        "",
        MAX(
            1,
            IF(
                NETWORKDAYS(IF(NOT(ISBLANK(M1308)), M1308, L1308), N1308, Holiday_Dates) &lt;= 0,
                1,
                NETWORKDAYS(IF(NOT(ISBLANK(M1308)), M1308, L1308), N1308, Holiday_Dates)
                - IF(IF(NOT(ISBLANK(M1308)), M1308, L1308) = N1308, 0, 1)
            )
        )
    ),
    ""
)</f>
        <v/>
      </c>
      <c r="S1308" s="385" t="str">
        <f>IFERROR(
    IF(
        OR(ISBLANK(N1308), ISBLANK(O1308)),
        "",
        MAX(
            1,
            IF(
                NETWORKDAYS(N1308, O1308, Holiday_Dates) &lt;= 0,
                1,
                NETWORKDAYS(N1308, O1308, Holiday_Dates) - IF(N1308 = O1308, 0, 1)
            )
        )
    ),
    ""
)</f>
        <v/>
      </c>
      <c r="T1308" s="385"/>
      <c r="U1308" s="385" t="s">
        <v>672</v>
      </c>
      <c r="V1308" s="385" t="s">
        <v>101</v>
      </c>
      <c r="W1308" s="385" t="s">
        <v>1436</v>
      </c>
      <c r="X1308" s="1"/>
    </row>
    <row r="1309" spans="1:24">
      <c r="A1309" s="385" t="s">
        <v>49</v>
      </c>
      <c r="B1309" s="385" t="s">
        <v>499</v>
      </c>
      <c r="C1309" s="385" t="s">
        <v>2475</v>
      </c>
      <c r="D1309" s="385" t="s">
        <v>88</v>
      </c>
      <c r="E1309" s="385" t="s">
        <v>344</v>
      </c>
      <c r="F1309" s="385"/>
      <c r="G1309" s="385" t="s">
        <v>128</v>
      </c>
      <c r="H1309" s="385"/>
      <c r="I1309" s="385"/>
      <c r="J1309" s="30"/>
      <c r="K1309" s="385" t="s">
        <v>63</v>
      </c>
      <c r="L1309" s="385"/>
      <c r="M1309" s="385"/>
      <c r="N1309" s="385"/>
      <c r="O1309" s="385"/>
      <c r="P1309" s="385" t="str">
        <f>IFERROR(
    IF(
        OR(ISBLANK(I1309), ISBLANK(L1309)),
        "",
        MAX(
            1,
            IF(
                NETWORKDAYS(I1309, L1309, Holiday_Dates) &lt;= 0,
                1,
                NETWORKDAYS(I1309, L1309, Holiday_Dates) - IF(I1309 = L1309, 0, 1)
            )
        )
    ),
    ""
)</f>
        <v/>
      </c>
      <c r="Q1309" s="385" t="str">
        <f>IF(
    OR(ISBLANK(L1309), ISBLANK(M1309)),
    "",
    MAX(
        1,
        IF(
            NETWORKDAYS(L1309, M1309, Holiday_Dates) &lt;= 0,
            1,
            NETWORKDAYS(L1309, M1309, Holiday_Dates) - IF(L1309 = M1309, 0, 1)
        )
    )
)</f>
        <v/>
      </c>
      <c r="R1309" s="385" t="str">
        <f>IFERROR(
    IF(
        OR(ISBLANK(N1309), AND(ISBLANK(L1309), ISBLANK(M1309))),
        "",
        MAX(
            1,
            IF(
                NETWORKDAYS(IF(NOT(ISBLANK(M1309)), M1309, L1309), N1309, Holiday_Dates) &lt;= 0,
                1,
                NETWORKDAYS(IF(NOT(ISBLANK(M1309)), M1309, L1309), N1309, Holiday_Dates)
                - IF(IF(NOT(ISBLANK(M1309)), M1309, L1309) = N1309, 0, 1)
            )
        )
    ),
    ""
)</f>
        <v/>
      </c>
      <c r="S1309" s="385" t="str">
        <f>IFERROR(
    IF(
        OR(ISBLANK(N1309), ISBLANK(O1309)),
        "",
        MAX(
            1,
            IF(
                NETWORKDAYS(N1309, O1309, Holiday_Dates) &lt;= 0,
                1,
                NETWORKDAYS(N1309, O1309, Holiday_Dates) - IF(N1309 = O1309, 0, 1)
            )
        )
    ),
    ""
)</f>
        <v/>
      </c>
      <c r="T1309" s="385"/>
      <c r="U1309" s="385"/>
      <c r="V1309" s="385"/>
      <c r="W1309" s="385" t="s">
        <v>4710</v>
      </c>
      <c r="X1309" s="1"/>
    </row>
    <row r="1310" spans="1:24">
      <c r="A1310" s="385" t="s">
        <v>49</v>
      </c>
      <c r="B1310" s="385" t="s">
        <v>499</v>
      </c>
      <c r="C1310" s="385" t="s">
        <v>2234</v>
      </c>
      <c r="D1310" s="385" t="s">
        <v>88</v>
      </c>
      <c r="E1310" s="385" t="s">
        <v>344</v>
      </c>
      <c r="F1310" s="385"/>
      <c r="G1310" s="385" t="s">
        <v>128</v>
      </c>
      <c r="H1310" s="385"/>
      <c r="I1310" s="385"/>
      <c r="J1310" s="30"/>
      <c r="K1310" s="385" t="s">
        <v>63</v>
      </c>
      <c r="L1310" s="385"/>
      <c r="M1310" s="385"/>
      <c r="N1310" s="385"/>
      <c r="O1310" s="385"/>
      <c r="P1310" s="385" t="str">
        <f>IFERROR(
    IF(
        OR(ISBLANK(I1310), ISBLANK(L1310)),
        "",
        MAX(
            1,
            IF(
                NETWORKDAYS(I1310, L1310, Holiday_Dates) &lt;= 0,
                1,
                NETWORKDAYS(I1310, L1310, Holiday_Dates) - IF(I1310 = L1310, 0, 1)
            )
        )
    ),
    ""
)</f>
        <v/>
      </c>
      <c r="Q1310" s="385" t="str">
        <f>IF(
    OR(ISBLANK(L1310), ISBLANK(M1310)),
    "",
    MAX(
        1,
        IF(
            NETWORKDAYS(L1310, M1310, Holiday_Dates) &lt;= 0,
            1,
            NETWORKDAYS(L1310, M1310, Holiday_Dates) - IF(L1310 = M1310, 0, 1)
        )
    )
)</f>
        <v/>
      </c>
      <c r="R1310" s="385" t="str">
        <f>IFERROR(
    IF(
        OR(ISBLANK(N1310), AND(ISBLANK(L1310), ISBLANK(M1310))),
        "",
        MAX(
            1,
            IF(
                NETWORKDAYS(IF(NOT(ISBLANK(M1310)), M1310, L1310), N1310, Holiday_Dates) &lt;= 0,
                1,
                NETWORKDAYS(IF(NOT(ISBLANK(M1310)), M1310, L1310), N1310, Holiday_Dates)
                - IF(IF(NOT(ISBLANK(M1310)), M1310, L1310) = N1310, 0, 1)
            )
        )
    ),
    ""
)</f>
        <v/>
      </c>
      <c r="S1310" s="385" t="str">
        <f>IFERROR(
    IF(
        OR(ISBLANK(N1310), ISBLANK(O1310)),
        "",
        MAX(
            1,
            IF(
                NETWORKDAYS(N1310, O1310, Holiday_Dates) &lt;= 0,
                1,
                NETWORKDAYS(N1310, O1310, Holiday_Dates) - IF(N1310 = O1310, 0, 1)
            )
        )
    ),
    ""
)</f>
        <v/>
      </c>
      <c r="T1310" s="385"/>
      <c r="U1310" s="385"/>
      <c r="V1310" s="385"/>
      <c r="W1310" s="385" t="s">
        <v>4710</v>
      </c>
      <c r="X1310" s="1"/>
    </row>
    <row r="1311" spans="1:24">
      <c r="A1311" s="385" t="s">
        <v>49</v>
      </c>
      <c r="B1311" s="385" t="s">
        <v>439</v>
      </c>
      <c r="C1311" s="385" t="s">
        <v>2545</v>
      </c>
      <c r="D1311" s="385" t="s">
        <v>88</v>
      </c>
      <c r="E1311" s="385" t="s">
        <v>377</v>
      </c>
      <c r="F1311" s="385"/>
      <c r="G1311" s="385" t="s">
        <v>128</v>
      </c>
      <c r="H1311" s="385"/>
      <c r="I1311" s="385"/>
      <c r="J1311" s="30"/>
      <c r="K1311" s="385" t="s">
        <v>63</v>
      </c>
      <c r="L1311" s="385"/>
      <c r="M1311" s="385"/>
      <c r="N1311" s="385"/>
      <c r="O1311" s="385"/>
      <c r="P1311" s="385" t="str">
        <f>IFERROR(
    IF(
        OR(ISBLANK(I1311), ISBLANK(L1311)),
        "",
        MAX(
            1,
            IF(
                NETWORKDAYS(I1311, L1311, Holiday_Dates) &lt;= 0,
                1,
                NETWORKDAYS(I1311, L1311, Holiday_Dates) - IF(I1311 = L1311, 0, 1)
            )
        )
    ),
    ""
)</f>
        <v/>
      </c>
      <c r="Q1311" s="385" t="str">
        <f>IF(
    OR(ISBLANK(L1311), ISBLANK(M1311)),
    "",
    MAX(
        1,
        IF(
            NETWORKDAYS(L1311, M1311, Holiday_Dates) &lt;= 0,
            1,
            NETWORKDAYS(L1311, M1311, Holiday_Dates) - IF(L1311 = M1311, 0, 1)
        )
    )
)</f>
        <v/>
      </c>
      <c r="R1311" s="385" t="str">
        <f>IFERROR(
    IF(
        OR(ISBLANK(N1311), AND(ISBLANK(L1311), ISBLANK(M1311))),
        "",
        MAX(
            1,
            IF(
                NETWORKDAYS(IF(NOT(ISBLANK(M1311)), M1311, L1311), N1311, Holiday_Dates) &lt;= 0,
                1,
                NETWORKDAYS(IF(NOT(ISBLANK(M1311)), M1311, L1311), N1311, Holiday_Dates)
                - IF(IF(NOT(ISBLANK(M1311)), M1311, L1311) = N1311, 0, 1)
            )
        )
    ),
    ""
)</f>
        <v/>
      </c>
      <c r="S1311" s="385" t="str">
        <f>IFERROR(
    IF(
        OR(ISBLANK(N1311), ISBLANK(O1311)),
        "",
        MAX(
            1,
            IF(
                NETWORKDAYS(N1311, O1311, Holiday_Dates) &lt;= 0,
                1,
                NETWORKDAYS(N1311, O1311, Holiday_Dates) - IF(N1311 = O1311, 0, 1)
            )
        )
    ),
    ""
)</f>
        <v/>
      </c>
      <c r="T1311" s="385"/>
      <c r="U1311" s="385"/>
      <c r="V1311" s="385"/>
      <c r="W1311" s="385" t="s">
        <v>4710</v>
      </c>
      <c r="X1311" s="1"/>
    </row>
    <row r="1312" spans="1:24">
      <c r="A1312" s="385" t="s">
        <v>49</v>
      </c>
      <c r="B1312" s="385" t="s">
        <v>439</v>
      </c>
      <c r="C1312" s="385" t="s">
        <v>2546</v>
      </c>
      <c r="D1312" s="385" t="s">
        <v>88</v>
      </c>
      <c r="E1312" s="385" t="s">
        <v>377</v>
      </c>
      <c r="F1312" s="385"/>
      <c r="G1312" s="385" t="s">
        <v>128</v>
      </c>
      <c r="H1312" s="385"/>
      <c r="I1312" s="385"/>
      <c r="J1312" s="30"/>
      <c r="K1312" s="385" t="s">
        <v>63</v>
      </c>
      <c r="L1312" s="385"/>
      <c r="M1312" s="385"/>
      <c r="N1312" s="385"/>
      <c r="O1312" s="385"/>
      <c r="P1312" s="385" t="str">
        <f>IFERROR(
    IF(
        OR(ISBLANK(I1312), ISBLANK(L1312)),
        "",
        MAX(
            1,
            IF(
                NETWORKDAYS(I1312, L1312, Holiday_Dates) &lt;= 0,
                1,
                NETWORKDAYS(I1312, L1312, Holiday_Dates) - IF(I1312 = L1312, 0, 1)
            )
        )
    ),
    ""
)</f>
        <v/>
      </c>
      <c r="Q1312" s="385" t="str">
        <f>IF(
    OR(ISBLANK(L1312), ISBLANK(M1312)),
    "",
    MAX(
        1,
        IF(
            NETWORKDAYS(L1312, M1312, Holiday_Dates) &lt;= 0,
            1,
            NETWORKDAYS(L1312, M1312, Holiday_Dates) - IF(L1312 = M1312, 0, 1)
        )
    )
)</f>
        <v/>
      </c>
      <c r="R1312" s="385" t="str">
        <f>IFERROR(
    IF(
        OR(ISBLANK(N1312), AND(ISBLANK(L1312), ISBLANK(M1312))),
        "",
        MAX(
            1,
            IF(
                NETWORKDAYS(IF(NOT(ISBLANK(M1312)), M1312, L1312), N1312, Holiday_Dates) &lt;= 0,
                1,
                NETWORKDAYS(IF(NOT(ISBLANK(M1312)), M1312, L1312), N1312, Holiday_Dates)
                - IF(IF(NOT(ISBLANK(M1312)), M1312, L1312) = N1312, 0, 1)
            )
        )
    ),
    ""
)</f>
        <v/>
      </c>
      <c r="S1312" s="385" t="str">
        <f>IFERROR(
    IF(
        OR(ISBLANK(N1312), ISBLANK(O1312)),
        "",
        MAX(
            1,
            IF(
                NETWORKDAYS(N1312, O1312, Holiday_Dates) &lt;= 0,
                1,
                NETWORKDAYS(N1312, O1312, Holiday_Dates) - IF(N1312 = O1312, 0, 1)
            )
        )
    ),
    ""
)</f>
        <v/>
      </c>
      <c r="T1312" s="385"/>
      <c r="U1312" s="385"/>
      <c r="V1312" s="385"/>
      <c r="W1312" s="385" t="s">
        <v>4710</v>
      </c>
      <c r="X1312" s="1"/>
    </row>
    <row r="1313" spans="1:24">
      <c r="A1313" s="385" t="s">
        <v>65</v>
      </c>
      <c r="B1313" s="385" t="s">
        <v>511</v>
      </c>
      <c r="C1313" s="385" t="s">
        <v>3043</v>
      </c>
      <c r="D1313" s="385" t="s">
        <v>88</v>
      </c>
      <c r="E1313" s="385"/>
      <c r="F1313" s="385"/>
      <c r="G1313" s="385"/>
      <c r="H1313" s="385">
        <v>2024</v>
      </c>
      <c r="I1313" s="386">
        <v>45561</v>
      </c>
      <c r="J1313" s="30"/>
      <c r="K1313" s="385"/>
      <c r="L1313" s="385"/>
      <c r="M1313" s="385"/>
      <c r="N1313" s="385"/>
      <c r="O1313" s="385"/>
      <c r="P1313" s="385" t="str">
        <f>IFERROR(
    IF(
        OR(ISBLANK(I1313), ISBLANK(L1313)),
        "",
        MAX(
            1,
            IF(
                NETWORKDAYS(I1313, L1313, Holiday_Dates) &lt;= 0,
                1,
                NETWORKDAYS(I1313, L1313, Holiday_Dates) - IF(I1313 = L1313, 0, 1)
            )
        )
    ),
    ""
)</f>
        <v/>
      </c>
      <c r="Q1313" s="385" t="str">
        <f>IF(
    OR(ISBLANK(L1313), ISBLANK(M1313)),
    "",
    MAX(
        1,
        IF(
            NETWORKDAYS(L1313, M1313, Holiday_Dates) &lt;= 0,
            1,
            NETWORKDAYS(L1313, M1313, Holiday_Dates) - IF(L1313 = M1313, 0, 1)
        )
    )
)</f>
        <v/>
      </c>
      <c r="R1313" s="385" t="str">
        <f>IFERROR(
    IF(
        OR(ISBLANK(N1313), AND(ISBLANK(L1313), ISBLANK(M1313))),
        "",
        MAX(
            1,
            IF(
                NETWORKDAYS(IF(NOT(ISBLANK(M1313)), M1313, L1313), N1313, Holiday_Dates) &lt;= 0,
                1,
                NETWORKDAYS(IF(NOT(ISBLANK(M1313)), M1313, L1313), N1313, Holiday_Dates)
                - IF(IF(NOT(ISBLANK(M1313)), M1313, L1313) = N1313, 0, 1)
            )
        )
    ),
    ""
)</f>
        <v/>
      </c>
      <c r="S1313" s="385" t="str">
        <f>IFERROR(
    IF(
        OR(ISBLANK(N1313), ISBLANK(O1313)),
        "",
        MAX(
            1,
            IF(
                NETWORKDAYS(N1313, O1313, Holiday_Dates) &lt;= 0,
                1,
                NETWORKDAYS(N1313, O1313, Holiday_Dates) - IF(N1313 = O1313, 0, 1)
            )
        )
    ),
    ""
)</f>
        <v/>
      </c>
      <c r="T1313" s="385"/>
      <c r="U1313" s="385" t="s">
        <v>4</v>
      </c>
      <c r="V1313" s="385" t="s">
        <v>101</v>
      </c>
      <c r="W1313" s="385" t="s">
        <v>1436</v>
      </c>
      <c r="X1313" s="1"/>
    </row>
    <row r="1314" spans="1:24">
      <c r="A1314" s="385" t="s">
        <v>49</v>
      </c>
      <c r="B1314" s="385" t="s">
        <v>439</v>
      </c>
      <c r="C1314" s="385" t="s">
        <v>2547</v>
      </c>
      <c r="D1314" s="385" t="s">
        <v>88</v>
      </c>
      <c r="E1314" s="385" t="s">
        <v>377</v>
      </c>
      <c r="F1314" s="385"/>
      <c r="G1314" s="385" t="s">
        <v>128</v>
      </c>
      <c r="H1314" s="385"/>
      <c r="I1314" s="385"/>
      <c r="J1314" s="30"/>
      <c r="K1314" s="385" t="s">
        <v>63</v>
      </c>
      <c r="L1314" s="385"/>
      <c r="M1314" s="385"/>
      <c r="N1314" s="385"/>
      <c r="O1314" s="385"/>
      <c r="P1314" s="385" t="str">
        <f>IFERROR(
    IF(
        OR(ISBLANK(I1314), ISBLANK(L1314)),
        "",
        MAX(
            1,
            IF(
                NETWORKDAYS(I1314, L1314, Holiday_Dates) &lt;= 0,
                1,
                NETWORKDAYS(I1314, L1314, Holiday_Dates) - IF(I1314 = L1314, 0, 1)
            )
        )
    ),
    ""
)</f>
        <v/>
      </c>
      <c r="Q1314" s="385" t="str">
        <f>IF(
    OR(ISBLANK(L1314), ISBLANK(M1314)),
    "",
    MAX(
        1,
        IF(
            NETWORKDAYS(L1314, M1314, Holiday_Dates) &lt;= 0,
            1,
            NETWORKDAYS(L1314, M1314, Holiday_Dates) - IF(L1314 = M1314, 0, 1)
        )
    )
)</f>
        <v/>
      </c>
      <c r="R1314" s="385" t="str">
        <f>IFERROR(
    IF(
        OR(ISBLANK(N1314), AND(ISBLANK(L1314), ISBLANK(M1314))),
        "",
        MAX(
            1,
            IF(
                NETWORKDAYS(IF(NOT(ISBLANK(M1314)), M1314, L1314), N1314, Holiday_Dates) &lt;= 0,
                1,
                NETWORKDAYS(IF(NOT(ISBLANK(M1314)), M1314, L1314), N1314, Holiday_Dates)
                - IF(IF(NOT(ISBLANK(M1314)), M1314, L1314) = N1314, 0, 1)
            )
        )
    ),
    ""
)</f>
        <v/>
      </c>
      <c r="S1314" s="385" t="str">
        <f>IFERROR(
    IF(
        OR(ISBLANK(N1314), ISBLANK(O1314)),
        "",
        MAX(
            1,
            IF(
                NETWORKDAYS(N1314, O1314, Holiday_Dates) &lt;= 0,
                1,
                NETWORKDAYS(N1314, O1314, Holiday_Dates) - IF(N1314 = O1314, 0, 1)
            )
        )
    ),
    ""
)</f>
        <v/>
      </c>
      <c r="T1314" s="385"/>
      <c r="U1314" s="385"/>
      <c r="V1314" s="385"/>
      <c r="W1314" s="385" t="s">
        <v>4710</v>
      </c>
      <c r="X1314" s="1"/>
    </row>
    <row r="1315" spans="1:24">
      <c r="A1315" s="385" t="s">
        <v>49</v>
      </c>
      <c r="B1315" s="385" t="s">
        <v>439</v>
      </c>
      <c r="C1315" s="385" t="s">
        <v>2548</v>
      </c>
      <c r="D1315" s="385" t="s">
        <v>88</v>
      </c>
      <c r="E1315" s="385" t="s">
        <v>377</v>
      </c>
      <c r="F1315" s="385"/>
      <c r="G1315" s="385" t="s">
        <v>128</v>
      </c>
      <c r="H1315" s="385"/>
      <c r="I1315" s="385"/>
      <c r="J1315" s="30"/>
      <c r="K1315" s="385" t="s">
        <v>63</v>
      </c>
      <c r="L1315" s="385"/>
      <c r="M1315" s="385"/>
      <c r="N1315" s="385"/>
      <c r="O1315" s="385"/>
      <c r="P1315" s="385" t="str">
        <f>IFERROR(
    IF(
        OR(ISBLANK(I1315), ISBLANK(L1315)),
        "",
        MAX(
            1,
            IF(
                NETWORKDAYS(I1315, L1315, Holiday_Dates) &lt;= 0,
                1,
                NETWORKDAYS(I1315, L1315, Holiday_Dates) - IF(I1315 = L1315, 0, 1)
            )
        )
    ),
    ""
)</f>
        <v/>
      </c>
      <c r="Q1315" s="385" t="str">
        <f>IF(
    OR(ISBLANK(L1315), ISBLANK(M1315)),
    "",
    MAX(
        1,
        IF(
            NETWORKDAYS(L1315, M1315, Holiday_Dates) &lt;= 0,
            1,
            NETWORKDAYS(L1315, M1315, Holiday_Dates) - IF(L1315 = M1315, 0, 1)
        )
    )
)</f>
        <v/>
      </c>
      <c r="R1315" s="385" t="str">
        <f>IFERROR(
    IF(
        OR(ISBLANK(N1315), AND(ISBLANK(L1315), ISBLANK(M1315))),
        "",
        MAX(
            1,
            IF(
                NETWORKDAYS(IF(NOT(ISBLANK(M1315)), M1315, L1315), N1315, Holiday_Dates) &lt;= 0,
                1,
                NETWORKDAYS(IF(NOT(ISBLANK(M1315)), M1315, L1315), N1315, Holiday_Dates)
                - IF(IF(NOT(ISBLANK(M1315)), M1315, L1315) = N1315, 0, 1)
            )
        )
    ),
    ""
)</f>
        <v/>
      </c>
      <c r="S1315" s="385" t="str">
        <f>IFERROR(
    IF(
        OR(ISBLANK(N1315), ISBLANK(O1315)),
        "",
        MAX(
            1,
            IF(
                NETWORKDAYS(N1315, O1315, Holiday_Dates) &lt;= 0,
                1,
                NETWORKDAYS(N1315, O1315, Holiday_Dates) - IF(N1315 = O1315, 0, 1)
            )
        )
    ),
    ""
)</f>
        <v/>
      </c>
      <c r="T1315" s="385"/>
      <c r="U1315" s="385"/>
      <c r="V1315" s="385"/>
      <c r="W1315" s="385" t="s">
        <v>4710</v>
      </c>
      <c r="X1315" s="1"/>
    </row>
    <row r="1316" spans="1:24">
      <c r="A1316" s="385" t="s">
        <v>49</v>
      </c>
      <c r="B1316" s="385" t="s">
        <v>439</v>
      </c>
      <c r="C1316" s="385" t="s">
        <v>2549</v>
      </c>
      <c r="D1316" s="385" t="s">
        <v>88</v>
      </c>
      <c r="E1316" s="385" t="s">
        <v>377</v>
      </c>
      <c r="F1316" s="385"/>
      <c r="G1316" s="385" t="s">
        <v>128</v>
      </c>
      <c r="H1316" s="385"/>
      <c r="I1316" s="385"/>
      <c r="J1316" s="30"/>
      <c r="K1316" s="385" t="s">
        <v>63</v>
      </c>
      <c r="L1316" s="385"/>
      <c r="M1316" s="385"/>
      <c r="N1316" s="385"/>
      <c r="O1316" s="385"/>
      <c r="P1316" s="385" t="str">
        <f>IFERROR(
    IF(
        OR(ISBLANK(I1316), ISBLANK(L1316)),
        "",
        MAX(
            1,
            IF(
                NETWORKDAYS(I1316, L1316, Holiday_Dates) &lt;= 0,
                1,
                NETWORKDAYS(I1316, L1316, Holiday_Dates) - IF(I1316 = L1316, 0, 1)
            )
        )
    ),
    ""
)</f>
        <v/>
      </c>
      <c r="Q1316" s="385" t="str">
        <f>IF(
    OR(ISBLANK(L1316), ISBLANK(M1316)),
    "",
    MAX(
        1,
        IF(
            NETWORKDAYS(L1316, M1316, Holiday_Dates) &lt;= 0,
            1,
            NETWORKDAYS(L1316, M1316, Holiday_Dates) - IF(L1316 = M1316, 0, 1)
        )
    )
)</f>
        <v/>
      </c>
      <c r="R1316" s="385" t="str">
        <f>IFERROR(
    IF(
        OR(ISBLANK(N1316), AND(ISBLANK(L1316), ISBLANK(M1316))),
        "",
        MAX(
            1,
            IF(
                NETWORKDAYS(IF(NOT(ISBLANK(M1316)), M1316, L1316), N1316, Holiday_Dates) &lt;= 0,
                1,
                NETWORKDAYS(IF(NOT(ISBLANK(M1316)), M1316, L1316), N1316, Holiday_Dates)
                - IF(IF(NOT(ISBLANK(M1316)), M1316, L1316) = N1316, 0, 1)
            )
        )
    ),
    ""
)</f>
        <v/>
      </c>
      <c r="S1316" s="385" t="str">
        <f>IFERROR(
    IF(
        OR(ISBLANK(N1316), ISBLANK(O1316)),
        "",
        MAX(
            1,
            IF(
                NETWORKDAYS(N1316, O1316, Holiday_Dates) &lt;= 0,
                1,
                NETWORKDAYS(N1316, O1316, Holiday_Dates) - IF(N1316 = O1316, 0, 1)
            )
        )
    ),
    ""
)</f>
        <v/>
      </c>
      <c r="T1316" s="385"/>
      <c r="U1316" s="385"/>
      <c r="V1316" s="385"/>
      <c r="W1316" s="385" t="s">
        <v>4710</v>
      </c>
      <c r="X1316" s="1"/>
    </row>
    <row r="1317" spans="1:24">
      <c r="A1317" s="385" t="s">
        <v>65</v>
      </c>
      <c r="B1317" s="385" t="s">
        <v>383</v>
      </c>
      <c r="C1317" s="385" t="s">
        <v>2743</v>
      </c>
      <c r="D1317" s="385" t="s">
        <v>88</v>
      </c>
      <c r="E1317" s="385" t="s">
        <v>140</v>
      </c>
      <c r="F1317" s="385"/>
      <c r="G1317" s="385" t="s">
        <v>130</v>
      </c>
      <c r="H1317" s="385"/>
      <c r="I1317" s="385"/>
      <c r="J1317" s="30"/>
      <c r="K1317" s="385" t="s">
        <v>63</v>
      </c>
      <c r="L1317" s="385"/>
      <c r="M1317" s="385"/>
      <c r="N1317" s="385"/>
      <c r="O1317" s="385"/>
      <c r="P1317" s="385" t="str">
        <f>IFERROR(
    IF(
        OR(ISBLANK(I1317), ISBLANK(L1317)),
        "",
        MAX(
            1,
            IF(
                NETWORKDAYS(I1317, L1317, Holiday_Dates) &lt;= 0,
                1,
                NETWORKDAYS(I1317, L1317, Holiday_Dates) - IF(I1317 = L1317, 0, 1)
            )
        )
    ),
    ""
)</f>
        <v/>
      </c>
      <c r="Q1317" s="385" t="str">
        <f>IF(
    OR(ISBLANK(L1317), ISBLANK(M1317)),
    "",
    MAX(
        1,
        IF(
            NETWORKDAYS(L1317, M1317, Holiday_Dates) &lt;= 0,
            1,
            NETWORKDAYS(L1317, M1317, Holiday_Dates) - IF(L1317 = M1317, 0, 1)
        )
    )
)</f>
        <v/>
      </c>
      <c r="R1317" s="385" t="str">
        <f>IFERROR(
    IF(
        OR(ISBLANK(N1317), AND(ISBLANK(L1317), ISBLANK(M1317))),
        "",
        MAX(
            1,
            IF(
                NETWORKDAYS(IF(NOT(ISBLANK(M1317)), M1317, L1317), N1317, Holiday_Dates) &lt;= 0,
                1,
                NETWORKDAYS(IF(NOT(ISBLANK(M1317)), M1317, L1317), N1317, Holiday_Dates)
                - IF(IF(NOT(ISBLANK(M1317)), M1317, L1317) = N1317, 0, 1)
            )
        )
    ),
    ""
)</f>
        <v/>
      </c>
      <c r="S1317" s="385" t="str">
        <f>IFERROR(
    IF(
        OR(ISBLANK(N1317), ISBLANK(O1317)),
        "",
        MAX(
            1,
            IF(
                NETWORKDAYS(N1317, O1317, Holiday_Dates) &lt;= 0,
                1,
                NETWORKDAYS(N1317, O1317, Holiday_Dates) - IF(N1317 = O1317, 0, 1)
            )
        )
    ),
    ""
)</f>
        <v/>
      </c>
      <c r="T1317" s="385"/>
      <c r="U1317" s="385"/>
      <c r="V1317" s="385"/>
      <c r="W1317" s="385" t="s">
        <v>4710</v>
      </c>
      <c r="X1317" s="1"/>
    </row>
    <row r="1318" spans="1:24">
      <c r="A1318" s="385" t="s">
        <v>65</v>
      </c>
      <c r="B1318" s="385" t="s">
        <v>383</v>
      </c>
      <c r="C1318" s="385" t="s">
        <v>764</v>
      </c>
      <c r="D1318" s="385" t="s">
        <v>88</v>
      </c>
      <c r="E1318" s="385" t="s">
        <v>140</v>
      </c>
      <c r="F1318" s="385"/>
      <c r="G1318" s="385" t="s">
        <v>130</v>
      </c>
      <c r="H1318" s="385"/>
      <c r="I1318" s="385"/>
      <c r="J1318" s="30"/>
      <c r="K1318" s="385" t="s">
        <v>63</v>
      </c>
      <c r="L1318" s="385"/>
      <c r="M1318" s="385"/>
      <c r="N1318" s="385"/>
      <c r="O1318" s="385"/>
      <c r="P1318" s="385" t="str">
        <f>IFERROR(
    IF(
        OR(ISBLANK(I1318), ISBLANK(L1318)),
        "",
        MAX(
            1,
            IF(
                NETWORKDAYS(I1318, L1318, Holiday_Dates) &lt;= 0,
                1,
                NETWORKDAYS(I1318, L1318, Holiday_Dates) - IF(I1318 = L1318, 0, 1)
            )
        )
    ),
    ""
)</f>
        <v/>
      </c>
      <c r="Q1318" s="385" t="str">
        <f>IF(
    OR(ISBLANK(L1318), ISBLANK(M1318)),
    "",
    MAX(
        1,
        IF(
            NETWORKDAYS(L1318, M1318, Holiday_Dates) &lt;= 0,
            1,
            NETWORKDAYS(L1318, M1318, Holiday_Dates) - IF(L1318 = M1318, 0, 1)
        )
    )
)</f>
        <v/>
      </c>
      <c r="R1318" s="385" t="str">
        <f>IFERROR(
    IF(
        OR(ISBLANK(N1318), AND(ISBLANK(L1318), ISBLANK(M1318))),
        "",
        MAX(
            1,
            IF(
                NETWORKDAYS(IF(NOT(ISBLANK(M1318)), M1318, L1318), N1318, Holiday_Dates) &lt;= 0,
                1,
                NETWORKDAYS(IF(NOT(ISBLANK(M1318)), M1318, L1318), N1318, Holiday_Dates)
                - IF(IF(NOT(ISBLANK(M1318)), M1318, L1318) = N1318, 0, 1)
            )
        )
    ),
    ""
)</f>
        <v/>
      </c>
      <c r="S1318" s="385" t="str">
        <f>IFERROR(
    IF(
        OR(ISBLANK(N1318), ISBLANK(O1318)),
        "",
        MAX(
            1,
            IF(
                NETWORKDAYS(N1318, O1318, Holiday_Dates) &lt;= 0,
                1,
                NETWORKDAYS(N1318, O1318, Holiday_Dates) - IF(N1318 = O1318, 0, 1)
            )
        )
    ),
    ""
)</f>
        <v/>
      </c>
      <c r="T1318" s="385"/>
      <c r="U1318" s="385"/>
      <c r="V1318" s="385"/>
      <c r="W1318" s="385" t="s">
        <v>4710</v>
      </c>
      <c r="X1318" s="1"/>
    </row>
    <row r="1319" spans="1:24">
      <c r="A1319" s="385" t="s">
        <v>65</v>
      </c>
      <c r="B1319" s="385" t="s">
        <v>383</v>
      </c>
      <c r="C1319" s="385" t="s">
        <v>1020</v>
      </c>
      <c r="D1319" s="385" t="s">
        <v>88</v>
      </c>
      <c r="E1319" s="385" t="s">
        <v>140</v>
      </c>
      <c r="F1319" s="385"/>
      <c r="G1319" s="385" t="s">
        <v>130</v>
      </c>
      <c r="H1319" s="385"/>
      <c r="I1319" s="385"/>
      <c r="J1319" s="30"/>
      <c r="K1319" s="385" t="s">
        <v>63</v>
      </c>
      <c r="L1319" s="385"/>
      <c r="M1319" s="385"/>
      <c r="N1319" s="385"/>
      <c r="O1319" s="385"/>
      <c r="P1319" s="385" t="str">
        <f>IFERROR(
    IF(
        OR(ISBLANK(I1319), ISBLANK(L1319)),
        "",
        MAX(
            1,
            IF(
                NETWORKDAYS(I1319, L1319, Holiday_Dates) &lt;= 0,
                1,
                NETWORKDAYS(I1319, L1319, Holiday_Dates) - IF(I1319 = L1319, 0, 1)
            )
        )
    ),
    ""
)</f>
        <v/>
      </c>
      <c r="Q1319" s="385" t="str">
        <f>IF(
    OR(ISBLANK(L1319), ISBLANK(M1319)),
    "",
    MAX(
        1,
        IF(
            NETWORKDAYS(L1319, M1319, Holiday_Dates) &lt;= 0,
            1,
            NETWORKDAYS(L1319, M1319, Holiday_Dates) - IF(L1319 = M1319, 0, 1)
        )
    )
)</f>
        <v/>
      </c>
      <c r="R1319" s="385" t="str">
        <f>IFERROR(
    IF(
        OR(ISBLANK(N1319), AND(ISBLANK(L1319), ISBLANK(M1319))),
        "",
        MAX(
            1,
            IF(
                NETWORKDAYS(IF(NOT(ISBLANK(M1319)), M1319, L1319), N1319, Holiday_Dates) &lt;= 0,
                1,
                NETWORKDAYS(IF(NOT(ISBLANK(M1319)), M1319, L1319), N1319, Holiday_Dates)
                - IF(IF(NOT(ISBLANK(M1319)), M1319, L1319) = N1319, 0, 1)
            )
        )
    ),
    ""
)</f>
        <v/>
      </c>
      <c r="S1319" s="385" t="str">
        <f>IFERROR(
    IF(
        OR(ISBLANK(N1319), ISBLANK(O1319)),
        "",
        MAX(
            1,
            IF(
                NETWORKDAYS(N1319, O1319, Holiday_Dates) &lt;= 0,
                1,
                NETWORKDAYS(N1319, O1319, Holiday_Dates) - IF(N1319 = O1319, 0, 1)
            )
        )
    ),
    ""
)</f>
        <v/>
      </c>
      <c r="T1319" s="385"/>
      <c r="U1319" s="385"/>
      <c r="V1319" s="385"/>
      <c r="W1319" s="385" t="s">
        <v>4710</v>
      </c>
      <c r="X1319" s="1"/>
    </row>
    <row r="1320" spans="1:24">
      <c r="A1320" s="385" t="s">
        <v>65</v>
      </c>
      <c r="B1320" s="385" t="s">
        <v>383</v>
      </c>
      <c r="C1320" s="385" t="s">
        <v>2347</v>
      </c>
      <c r="D1320" s="385" t="s">
        <v>88</v>
      </c>
      <c r="E1320" s="385" t="s">
        <v>140</v>
      </c>
      <c r="F1320" s="385"/>
      <c r="G1320" s="385" t="s">
        <v>130</v>
      </c>
      <c r="H1320" s="385"/>
      <c r="I1320" s="385"/>
      <c r="J1320" s="30"/>
      <c r="K1320" s="385" t="s">
        <v>63</v>
      </c>
      <c r="L1320" s="385"/>
      <c r="M1320" s="385"/>
      <c r="N1320" s="385"/>
      <c r="O1320" s="385"/>
      <c r="P1320" s="385" t="str">
        <f>IFERROR(
    IF(
        OR(ISBLANK(I1320), ISBLANK(L1320)),
        "",
        MAX(
            1,
            IF(
                NETWORKDAYS(I1320, L1320, Holiday_Dates) &lt;= 0,
                1,
                NETWORKDAYS(I1320, L1320, Holiday_Dates) - IF(I1320 = L1320, 0, 1)
            )
        )
    ),
    ""
)</f>
        <v/>
      </c>
      <c r="Q1320" s="385" t="str">
        <f>IF(
    OR(ISBLANK(L1320), ISBLANK(M1320)),
    "",
    MAX(
        1,
        IF(
            NETWORKDAYS(L1320, M1320, Holiday_Dates) &lt;= 0,
            1,
            NETWORKDAYS(L1320, M1320, Holiday_Dates) - IF(L1320 = M1320, 0, 1)
        )
    )
)</f>
        <v/>
      </c>
      <c r="R1320" s="385" t="str">
        <f>IFERROR(
    IF(
        OR(ISBLANK(N1320), AND(ISBLANK(L1320), ISBLANK(M1320))),
        "",
        MAX(
            1,
            IF(
                NETWORKDAYS(IF(NOT(ISBLANK(M1320)), M1320, L1320), N1320, Holiday_Dates) &lt;= 0,
                1,
                NETWORKDAYS(IF(NOT(ISBLANK(M1320)), M1320, L1320), N1320, Holiday_Dates)
                - IF(IF(NOT(ISBLANK(M1320)), M1320, L1320) = N1320, 0, 1)
            )
        )
    ),
    ""
)</f>
        <v/>
      </c>
      <c r="S1320" s="385" t="str">
        <f>IFERROR(
    IF(
        OR(ISBLANK(N1320), ISBLANK(O1320)),
        "",
        MAX(
            1,
            IF(
                NETWORKDAYS(N1320, O1320, Holiday_Dates) &lt;= 0,
                1,
                NETWORKDAYS(N1320, O1320, Holiday_Dates) - IF(N1320 = O1320, 0, 1)
            )
        )
    ),
    ""
)</f>
        <v/>
      </c>
      <c r="T1320" s="385"/>
      <c r="U1320" s="385"/>
      <c r="V1320" s="385"/>
      <c r="W1320" s="385" t="s">
        <v>4710</v>
      </c>
      <c r="X1320" s="1"/>
    </row>
    <row r="1321" spans="1:24">
      <c r="A1321" s="385" t="s">
        <v>65</v>
      </c>
      <c r="B1321" s="385" t="s">
        <v>511</v>
      </c>
      <c r="C1321" s="385" t="s">
        <v>3051</v>
      </c>
      <c r="D1321" s="385" t="s">
        <v>88</v>
      </c>
      <c r="E1321" s="385"/>
      <c r="F1321" s="385"/>
      <c r="G1321" s="385"/>
      <c r="H1321" s="385">
        <v>2025</v>
      </c>
      <c r="I1321" s="386">
        <v>45708</v>
      </c>
      <c r="J1321" s="30" t="s">
        <v>5228</v>
      </c>
      <c r="K1321" s="385"/>
      <c r="L1321" s="385"/>
      <c r="M1321" s="385"/>
      <c r="N1321" s="385"/>
      <c r="O1321" s="385"/>
      <c r="P1321" s="385" t="str">
        <f>IFERROR(
    IF(
        OR(ISBLANK(I1321), ISBLANK(L1321)),
        "",
        MAX(
            1,
            IF(
                NETWORKDAYS(I1321, L1321, Holiday_Dates) &lt;= 0,
                1,
                NETWORKDAYS(I1321, L1321, Holiday_Dates) - IF(I1321 = L1321, 0, 1)
            )
        )
    ),
    ""
)</f>
        <v/>
      </c>
      <c r="Q1321" s="385" t="str">
        <f>IF(
    OR(ISBLANK(L1321), ISBLANK(M1321)),
    "",
    MAX(
        1,
        IF(
            NETWORKDAYS(L1321, M1321, Holiday_Dates) &lt;= 0,
            1,
            NETWORKDAYS(L1321, M1321, Holiday_Dates) - IF(L1321 = M1321, 0, 1)
        )
    )
)</f>
        <v/>
      </c>
      <c r="R1321" s="385" t="str">
        <f>IFERROR(
    IF(
        OR(ISBLANK(N1321), AND(ISBLANK(L1321), ISBLANK(M1321))),
        "",
        MAX(
            1,
            IF(
                NETWORKDAYS(IF(NOT(ISBLANK(M1321)), M1321, L1321), N1321, Holiday_Dates) &lt;= 0,
                1,
                NETWORKDAYS(IF(NOT(ISBLANK(M1321)), M1321, L1321), N1321, Holiday_Dates)
                - IF(IF(NOT(ISBLANK(M1321)), M1321, L1321) = N1321, 0, 1)
            )
        )
    ),
    ""
)</f>
        <v/>
      </c>
      <c r="S1321" s="385" t="str">
        <f>IFERROR(
    IF(
        OR(ISBLANK(N1321), ISBLANK(O1321)),
        "",
        MAX(
            1,
            IF(
                NETWORKDAYS(N1321, O1321, Holiday_Dates) &lt;= 0,
                1,
                NETWORKDAYS(N1321, O1321, Holiday_Dates) - IF(N1321 = O1321, 0, 1)
            )
        )
    ),
    ""
)</f>
        <v/>
      </c>
      <c r="T1321" s="385"/>
      <c r="U1321" s="385" t="s">
        <v>672</v>
      </c>
      <c r="V1321" s="385" t="s">
        <v>101</v>
      </c>
      <c r="W1321" s="385" t="s">
        <v>1436</v>
      </c>
      <c r="X1321" s="1"/>
    </row>
    <row r="1322" spans="1:24">
      <c r="A1322" s="385" t="s">
        <v>65</v>
      </c>
      <c r="B1322" s="385" t="s">
        <v>383</v>
      </c>
      <c r="C1322" s="385" t="s">
        <v>2746</v>
      </c>
      <c r="D1322" s="385" t="s">
        <v>88</v>
      </c>
      <c r="E1322" s="385" t="s">
        <v>140</v>
      </c>
      <c r="F1322" s="385"/>
      <c r="G1322" s="385" t="s">
        <v>130</v>
      </c>
      <c r="H1322" s="385"/>
      <c r="I1322" s="385"/>
      <c r="J1322" s="30"/>
      <c r="K1322" s="385" t="s">
        <v>63</v>
      </c>
      <c r="L1322" s="385"/>
      <c r="M1322" s="385"/>
      <c r="N1322" s="385"/>
      <c r="O1322" s="385"/>
      <c r="P1322" s="385" t="str">
        <f>IFERROR(
    IF(
        OR(ISBLANK(I1322), ISBLANK(L1322)),
        "",
        MAX(
            1,
            IF(
                NETWORKDAYS(I1322, L1322, Holiday_Dates) &lt;= 0,
                1,
                NETWORKDAYS(I1322, L1322, Holiday_Dates) - IF(I1322 = L1322, 0, 1)
            )
        )
    ),
    ""
)</f>
        <v/>
      </c>
      <c r="Q1322" s="385" t="str">
        <f>IF(
    OR(ISBLANK(L1322), ISBLANK(M1322)),
    "",
    MAX(
        1,
        IF(
            NETWORKDAYS(L1322, M1322, Holiday_Dates) &lt;= 0,
            1,
            NETWORKDAYS(L1322, M1322, Holiday_Dates) - IF(L1322 = M1322, 0, 1)
        )
    )
)</f>
        <v/>
      </c>
      <c r="R1322" s="385" t="str">
        <f>IFERROR(
    IF(
        OR(ISBLANK(N1322), AND(ISBLANK(L1322), ISBLANK(M1322))),
        "",
        MAX(
            1,
            IF(
                NETWORKDAYS(IF(NOT(ISBLANK(M1322)), M1322, L1322), N1322, Holiday_Dates) &lt;= 0,
                1,
                NETWORKDAYS(IF(NOT(ISBLANK(M1322)), M1322, L1322), N1322, Holiday_Dates)
                - IF(IF(NOT(ISBLANK(M1322)), M1322, L1322) = N1322, 0, 1)
            )
        )
    ),
    ""
)</f>
        <v/>
      </c>
      <c r="S1322" s="385" t="str">
        <f>IFERROR(
    IF(
        OR(ISBLANK(N1322), ISBLANK(O1322)),
        "",
        MAX(
            1,
            IF(
                NETWORKDAYS(N1322, O1322, Holiday_Dates) &lt;= 0,
                1,
                NETWORKDAYS(N1322, O1322, Holiday_Dates) - IF(N1322 = O1322, 0, 1)
            )
        )
    ),
    ""
)</f>
        <v/>
      </c>
      <c r="T1322" s="385"/>
      <c r="U1322" s="385"/>
      <c r="V1322" s="385"/>
      <c r="W1322" s="385" t="s">
        <v>4710</v>
      </c>
      <c r="X1322" s="1"/>
    </row>
    <row r="1323" spans="1:24">
      <c r="A1323" s="385" t="s">
        <v>65</v>
      </c>
      <c r="B1323" s="385" t="s">
        <v>383</v>
      </c>
      <c r="C1323" s="385" t="s">
        <v>2747</v>
      </c>
      <c r="D1323" s="385" t="s">
        <v>88</v>
      </c>
      <c r="E1323" s="385" t="s">
        <v>140</v>
      </c>
      <c r="F1323" s="385"/>
      <c r="G1323" s="385" t="s">
        <v>130</v>
      </c>
      <c r="H1323" s="385"/>
      <c r="I1323" s="385"/>
      <c r="J1323" s="30"/>
      <c r="K1323" s="385" t="s">
        <v>63</v>
      </c>
      <c r="L1323" s="385"/>
      <c r="M1323" s="385"/>
      <c r="N1323" s="385"/>
      <c r="O1323" s="385"/>
      <c r="P1323" s="385" t="str">
        <f>IFERROR(
    IF(
        OR(ISBLANK(I1323), ISBLANK(L1323)),
        "",
        MAX(
            1,
            IF(
                NETWORKDAYS(I1323, L1323, Holiday_Dates) &lt;= 0,
                1,
                NETWORKDAYS(I1323, L1323, Holiday_Dates) - IF(I1323 = L1323, 0, 1)
            )
        )
    ),
    ""
)</f>
        <v/>
      </c>
      <c r="Q1323" s="385" t="str">
        <f>IF(
    OR(ISBLANK(L1323), ISBLANK(M1323)),
    "",
    MAX(
        1,
        IF(
            NETWORKDAYS(L1323, M1323, Holiday_Dates) &lt;= 0,
            1,
            NETWORKDAYS(L1323, M1323, Holiday_Dates) - IF(L1323 = M1323, 0, 1)
        )
    )
)</f>
        <v/>
      </c>
      <c r="R1323" s="385" t="str">
        <f>IFERROR(
    IF(
        OR(ISBLANK(N1323), AND(ISBLANK(L1323), ISBLANK(M1323))),
        "",
        MAX(
            1,
            IF(
                NETWORKDAYS(IF(NOT(ISBLANK(M1323)), M1323, L1323), N1323, Holiday_Dates) &lt;= 0,
                1,
                NETWORKDAYS(IF(NOT(ISBLANK(M1323)), M1323, L1323), N1323, Holiday_Dates)
                - IF(IF(NOT(ISBLANK(M1323)), M1323, L1323) = N1323, 0, 1)
            )
        )
    ),
    ""
)</f>
        <v/>
      </c>
      <c r="S1323" s="385" t="str">
        <f>IFERROR(
    IF(
        OR(ISBLANK(N1323), ISBLANK(O1323)),
        "",
        MAX(
            1,
            IF(
                NETWORKDAYS(N1323, O1323, Holiday_Dates) &lt;= 0,
                1,
                NETWORKDAYS(N1323, O1323, Holiday_Dates) - IF(N1323 = O1323, 0, 1)
            )
        )
    ),
    ""
)</f>
        <v/>
      </c>
      <c r="T1323" s="385"/>
      <c r="U1323" s="385"/>
      <c r="V1323" s="385"/>
      <c r="W1323" s="385" t="s">
        <v>4710</v>
      </c>
      <c r="X1323" s="1"/>
    </row>
    <row r="1324" spans="1:24">
      <c r="A1324" s="385" t="s">
        <v>65</v>
      </c>
      <c r="B1324" s="385" t="s">
        <v>384</v>
      </c>
      <c r="C1324" s="385" t="s">
        <v>2756</v>
      </c>
      <c r="D1324" s="385" t="s">
        <v>88</v>
      </c>
      <c r="E1324" s="385" t="s">
        <v>141</v>
      </c>
      <c r="F1324" s="385"/>
      <c r="G1324" s="385" t="s">
        <v>130</v>
      </c>
      <c r="H1324" s="385"/>
      <c r="I1324" s="385"/>
      <c r="J1324" s="30"/>
      <c r="K1324" s="385" t="s">
        <v>63</v>
      </c>
      <c r="L1324" s="385"/>
      <c r="M1324" s="385"/>
      <c r="N1324" s="385"/>
      <c r="O1324" s="385"/>
      <c r="P1324" s="385" t="str">
        <f>IFERROR(
    IF(
        OR(ISBLANK(I1324), ISBLANK(L1324)),
        "",
        MAX(
            1,
            IF(
                NETWORKDAYS(I1324, L1324, Holiday_Dates) &lt;= 0,
                1,
                NETWORKDAYS(I1324, L1324, Holiday_Dates) - IF(I1324 = L1324, 0, 1)
            )
        )
    ),
    ""
)</f>
        <v/>
      </c>
      <c r="Q1324" s="385" t="str">
        <f>IF(
    OR(ISBLANK(L1324), ISBLANK(M1324)),
    "",
    MAX(
        1,
        IF(
            NETWORKDAYS(L1324, M1324, Holiday_Dates) &lt;= 0,
            1,
            NETWORKDAYS(L1324, M1324, Holiday_Dates) - IF(L1324 = M1324, 0, 1)
        )
    )
)</f>
        <v/>
      </c>
      <c r="R1324" s="385" t="str">
        <f>IFERROR(
    IF(
        OR(ISBLANK(N1324), AND(ISBLANK(L1324), ISBLANK(M1324))),
        "",
        MAX(
            1,
            IF(
                NETWORKDAYS(IF(NOT(ISBLANK(M1324)), M1324, L1324), N1324, Holiday_Dates) &lt;= 0,
                1,
                NETWORKDAYS(IF(NOT(ISBLANK(M1324)), M1324, L1324), N1324, Holiday_Dates)
                - IF(IF(NOT(ISBLANK(M1324)), M1324, L1324) = N1324, 0, 1)
            )
        )
    ),
    ""
)</f>
        <v/>
      </c>
      <c r="S1324" s="385" t="str">
        <f>IFERROR(
    IF(
        OR(ISBLANK(N1324), ISBLANK(O1324)),
        "",
        MAX(
            1,
            IF(
                NETWORKDAYS(N1324, O1324, Holiday_Dates) &lt;= 0,
                1,
                NETWORKDAYS(N1324, O1324, Holiday_Dates) - IF(N1324 = O1324, 0, 1)
            )
        )
    ),
    ""
)</f>
        <v/>
      </c>
      <c r="T1324" s="385"/>
      <c r="U1324" s="385"/>
      <c r="V1324" s="385"/>
      <c r="W1324" s="385" t="s">
        <v>4710</v>
      </c>
      <c r="X1324" s="1"/>
    </row>
    <row r="1325" spans="1:24">
      <c r="A1325" s="385" t="s">
        <v>65</v>
      </c>
      <c r="B1325" s="385" t="s">
        <v>384</v>
      </c>
      <c r="C1325" s="385" t="s">
        <v>2757</v>
      </c>
      <c r="D1325" s="385" t="s">
        <v>88</v>
      </c>
      <c r="E1325" s="385" t="s">
        <v>141</v>
      </c>
      <c r="F1325" s="385"/>
      <c r="G1325" s="385" t="s">
        <v>130</v>
      </c>
      <c r="H1325" s="385"/>
      <c r="I1325" s="385"/>
      <c r="J1325" s="30"/>
      <c r="K1325" s="385" t="s">
        <v>63</v>
      </c>
      <c r="L1325" s="385"/>
      <c r="M1325" s="385"/>
      <c r="N1325" s="385"/>
      <c r="O1325" s="385"/>
      <c r="P1325" s="385" t="str">
        <f>IFERROR(
    IF(
        OR(ISBLANK(I1325), ISBLANK(L1325)),
        "",
        MAX(
            1,
            IF(
                NETWORKDAYS(I1325, L1325, Holiday_Dates) &lt;= 0,
                1,
                NETWORKDAYS(I1325, L1325, Holiday_Dates) - IF(I1325 = L1325, 0, 1)
            )
        )
    ),
    ""
)</f>
        <v/>
      </c>
      <c r="Q1325" s="385" t="str">
        <f>IF(
    OR(ISBLANK(L1325), ISBLANK(M1325)),
    "",
    MAX(
        1,
        IF(
            NETWORKDAYS(L1325, M1325, Holiday_Dates) &lt;= 0,
            1,
            NETWORKDAYS(L1325, M1325, Holiday_Dates) - IF(L1325 = M1325, 0, 1)
        )
    )
)</f>
        <v/>
      </c>
      <c r="R1325" s="385" t="str">
        <f>IFERROR(
    IF(
        OR(ISBLANK(N1325), AND(ISBLANK(L1325), ISBLANK(M1325))),
        "",
        MAX(
            1,
            IF(
                NETWORKDAYS(IF(NOT(ISBLANK(M1325)), M1325, L1325), N1325, Holiday_Dates) &lt;= 0,
                1,
                NETWORKDAYS(IF(NOT(ISBLANK(M1325)), M1325, L1325), N1325, Holiday_Dates)
                - IF(IF(NOT(ISBLANK(M1325)), M1325, L1325) = N1325, 0, 1)
            )
        )
    ),
    ""
)</f>
        <v/>
      </c>
      <c r="S1325" s="385" t="str">
        <f>IFERROR(
    IF(
        OR(ISBLANK(N1325), ISBLANK(O1325)),
        "",
        MAX(
            1,
            IF(
                NETWORKDAYS(N1325, O1325, Holiday_Dates) &lt;= 0,
                1,
                NETWORKDAYS(N1325, O1325, Holiday_Dates) - IF(N1325 = O1325, 0, 1)
            )
        )
    ),
    ""
)</f>
        <v/>
      </c>
      <c r="T1325" s="385"/>
      <c r="U1325" s="385"/>
      <c r="V1325" s="385"/>
      <c r="W1325" s="385" t="s">
        <v>4710</v>
      </c>
      <c r="X1325" s="1"/>
    </row>
    <row r="1326" spans="1:24">
      <c r="A1326" s="385" t="s">
        <v>65</v>
      </c>
      <c r="B1326" s="385" t="s">
        <v>511</v>
      </c>
      <c r="C1326" s="385" t="s">
        <v>3056</v>
      </c>
      <c r="D1326" s="385" t="s">
        <v>88</v>
      </c>
      <c r="E1326" s="385"/>
      <c r="F1326" s="385"/>
      <c r="G1326" s="385"/>
      <c r="H1326" s="385">
        <v>2025</v>
      </c>
      <c r="I1326" s="386">
        <v>45909</v>
      </c>
      <c r="J1326" s="30" t="s">
        <v>5229</v>
      </c>
      <c r="K1326" s="385"/>
      <c r="L1326" s="385"/>
      <c r="M1326" s="385"/>
      <c r="N1326" s="385"/>
      <c r="O1326" s="385"/>
      <c r="P1326" s="385" t="str">
        <f>IFERROR(
    IF(
        OR(ISBLANK(I1326), ISBLANK(L1326)),
        "",
        MAX(
            1,
            IF(
                NETWORKDAYS(I1326, L1326, Holiday_Dates) &lt;= 0,
                1,
                NETWORKDAYS(I1326, L1326, Holiday_Dates) - IF(I1326 = L1326, 0, 1)
            )
        )
    ),
    ""
)</f>
        <v/>
      </c>
      <c r="Q1326" s="385" t="str">
        <f>IF(
    OR(ISBLANK(L1326), ISBLANK(M1326)),
    "",
    MAX(
        1,
        IF(
            NETWORKDAYS(L1326, M1326, Holiday_Dates) &lt;= 0,
            1,
            NETWORKDAYS(L1326, M1326, Holiday_Dates) - IF(L1326 = M1326, 0, 1)
        )
    )
)</f>
        <v/>
      </c>
      <c r="R1326" s="385" t="str">
        <f>IFERROR(
    IF(
        OR(ISBLANK(N1326), AND(ISBLANK(L1326), ISBLANK(M1326))),
        "",
        MAX(
            1,
            IF(
                NETWORKDAYS(IF(NOT(ISBLANK(M1326)), M1326, L1326), N1326, Holiday_Dates) &lt;= 0,
                1,
                NETWORKDAYS(IF(NOT(ISBLANK(M1326)), M1326, L1326), N1326, Holiday_Dates)
                - IF(IF(NOT(ISBLANK(M1326)), M1326, L1326) = N1326, 0, 1)
            )
        )
    ),
    ""
)</f>
        <v/>
      </c>
      <c r="S1326" s="385" t="str">
        <f>IFERROR(
    IF(
        OR(ISBLANK(N1326), ISBLANK(O1326)),
        "",
        MAX(
            1,
            IF(
                NETWORKDAYS(N1326, O1326, Holiday_Dates) &lt;= 0,
                1,
                NETWORKDAYS(N1326, O1326, Holiday_Dates) - IF(N1326 = O1326, 0, 1)
            )
        )
    ),
    ""
)</f>
        <v/>
      </c>
      <c r="T1326" s="385"/>
      <c r="U1326" s="385" t="s">
        <v>672</v>
      </c>
      <c r="V1326" s="385" t="s">
        <v>101</v>
      </c>
      <c r="W1326" s="385" t="s">
        <v>1436</v>
      </c>
      <c r="X1326" s="1"/>
    </row>
    <row r="1327" spans="1:24">
      <c r="A1327" s="385" t="s">
        <v>65</v>
      </c>
      <c r="B1327" s="385" t="s">
        <v>384</v>
      </c>
      <c r="C1327" s="385" t="s">
        <v>2760</v>
      </c>
      <c r="D1327" s="385" t="s">
        <v>88</v>
      </c>
      <c r="E1327" s="385" t="s">
        <v>141</v>
      </c>
      <c r="F1327" s="385"/>
      <c r="G1327" s="385" t="s">
        <v>130</v>
      </c>
      <c r="H1327" s="385"/>
      <c r="I1327" s="385"/>
      <c r="J1327" s="30"/>
      <c r="K1327" s="385" t="s">
        <v>63</v>
      </c>
      <c r="L1327" s="385"/>
      <c r="M1327" s="385"/>
      <c r="N1327" s="385"/>
      <c r="O1327" s="385"/>
      <c r="P1327" s="385" t="str">
        <f>IFERROR(
    IF(
        OR(ISBLANK(I1327), ISBLANK(L1327)),
        "",
        MAX(
            1,
            IF(
                NETWORKDAYS(I1327, L1327, Holiday_Dates) &lt;= 0,
                1,
                NETWORKDAYS(I1327, L1327, Holiday_Dates) - IF(I1327 = L1327, 0, 1)
            )
        )
    ),
    ""
)</f>
        <v/>
      </c>
      <c r="Q1327" s="385" t="str">
        <f>IF(
    OR(ISBLANK(L1327), ISBLANK(M1327)),
    "",
    MAX(
        1,
        IF(
            NETWORKDAYS(L1327, M1327, Holiday_Dates) &lt;= 0,
            1,
            NETWORKDAYS(L1327, M1327, Holiday_Dates) - IF(L1327 = M1327, 0, 1)
        )
    )
)</f>
        <v/>
      </c>
      <c r="R1327" s="385" t="str">
        <f>IFERROR(
    IF(
        OR(ISBLANK(N1327), AND(ISBLANK(L1327), ISBLANK(M1327))),
        "",
        MAX(
            1,
            IF(
                NETWORKDAYS(IF(NOT(ISBLANK(M1327)), M1327, L1327), N1327, Holiday_Dates) &lt;= 0,
                1,
                NETWORKDAYS(IF(NOT(ISBLANK(M1327)), M1327, L1327), N1327, Holiday_Dates)
                - IF(IF(NOT(ISBLANK(M1327)), M1327, L1327) = N1327, 0, 1)
            )
        )
    ),
    ""
)</f>
        <v/>
      </c>
      <c r="S1327" s="385" t="str">
        <f>IFERROR(
    IF(
        OR(ISBLANK(N1327), ISBLANK(O1327)),
        "",
        MAX(
            1,
            IF(
                NETWORKDAYS(N1327, O1327, Holiday_Dates) &lt;= 0,
                1,
                NETWORKDAYS(N1327, O1327, Holiday_Dates) - IF(N1327 = O1327, 0, 1)
            )
        )
    ),
    ""
)</f>
        <v/>
      </c>
      <c r="T1327" s="385"/>
      <c r="U1327" s="385"/>
      <c r="V1327" s="385"/>
      <c r="W1327" s="385" t="s">
        <v>4710</v>
      </c>
      <c r="X1327" s="1"/>
    </row>
    <row r="1328" spans="1:24">
      <c r="A1328" s="385" t="s">
        <v>65</v>
      </c>
      <c r="B1328" s="385" t="s">
        <v>384</v>
      </c>
      <c r="C1328" s="385" t="s">
        <v>2763</v>
      </c>
      <c r="D1328" s="385" t="s">
        <v>88</v>
      </c>
      <c r="E1328" s="385" t="s">
        <v>141</v>
      </c>
      <c r="F1328" s="385"/>
      <c r="G1328" s="385" t="s">
        <v>130</v>
      </c>
      <c r="H1328" s="385"/>
      <c r="I1328" s="385"/>
      <c r="J1328" s="30"/>
      <c r="K1328" s="385" t="s">
        <v>63</v>
      </c>
      <c r="L1328" s="385"/>
      <c r="M1328" s="385"/>
      <c r="N1328" s="385"/>
      <c r="O1328" s="385"/>
      <c r="P1328" s="385" t="str">
        <f>IFERROR(
    IF(
        OR(ISBLANK(I1328), ISBLANK(L1328)),
        "",
        MAX(
            1,
            IF(
                NETWORKDAYS(I1328, L1328, Holiday_Dates) &lt;= 0,
                1,
                NETWORKDAYS(I1328, L1328, Holiday_Dates) - IF(I1328 = L1328, 0, 1)
            )
        )
    ),
    ""
)</f>
        <v/>
      </c>
      <c r="Q1328" s="385" t="str">
        <f>IF(
    OR(ISBLANK(L1328), ISBLANK(M1328)),
    "",
    MAX(
        1,
        IF(
            NETWORKDAYS(L1328, M1328, Holiday_Dates) &lt;= 0,
            1,
            NETWORKDAYS(L1328, M1328, Holiday_Dates) - IF(L1328 = M1328, 0, 1)
        )
    )
)</f>
        <v/>
      </c>
      <c r="R1328" s="385" t="str">
        <f>IFERROR(
    IF(
        OR(ISBLANK(N1328), AND(ISBLANK(L1328), ISBLANK(M1328))),
        "",
        MAX(
            1,
            IF(
                NETWORKDAYS(IF(NOT(ISBLANK(M1328)), M1328, L1328), N1328, Holiday_Dates) &lt;= 0,
                1,
                NETWORKDAYS(IF(NOT(ISBLANK(M1328)), M1328, L1328), N1328, Holiday_Dates)
                - IF(IF(NOT(ISBLANK(M1328)), M1328, L1328) = N1328, 0, 1)
            )
        )
    ),
    ""
)</f>
        <v/>
      </c>
      <c r="S1328" s="385" t="str">
        <f>IFERROR(
    IF(
        OR(ISBLANK(N1328), ISBLANK(O1328)),
        "",
        MAX(
            1,
            IF(
                NETWORKDAYS(N1328, O1328, Holiday_Dates) &lt;= 0,
                1,
                NETWORKDAYS(N1328, O1328, Holiday_Dates) - IF(N1328 = O1328, 0, 1)
            )
        )
    ),
    ""
)</f>
        <v/>
      </c>
      <c r="T1328" s="385"/>
      <c r="U1328" s="385"/>
      <c r="V1328" s="385"/>
      <c r="W1328" s="385" t="s">
        <v>4710</v>
      </c>
      <c r="X1328" s="1"/>
    </row>
    <row r="1329" spans="1:24">
      <c r="A1329" s="385" t="s">
        <v>65</v>
      </c>
      <c r="B1329" s="385" t="s">
        <v>384</v>
      </c>
      <c r="C1329" s="385" t="s">
        <v>2764</v>
      </c>
      <c r="D1329" s="385" t="s">
        <v>88</v>
      </c>
      <c r="E1329" s="385" t="s">
        <v>141</v>
      </c>
      <c r="F1329" s="385"/>
      <c r="G1329" s="385" t="s">
        <v>130</v>
      </c>
      <c r="H1329" s="385"/>
      <c r="I1329" s="385"/>
      <c r="J1329" s="30"/>
      <c r="K1329" s="385" t="s">
        <v>63</v>
      </c>
      <c r="L1329" s="385"/>
      <c r="M1329" s="385"/>
      <c r="N1329" s="385"/>
      <c r="O1329" s="385"/>
      <c r="P1329" s="385" t="str">
        <f>IFERROR(
    IF(
        OR(ISBLANK(I1329), ISBLANK(L1329)),
        "",
        MAX(
            1,
            IF(
                NETWORKDAYS(I1329, L1329, Holiday_Dates) &lt;= 0,
                1,
                NETWORKDAYS(I1329, L1329, Holiday_Dates) - IF(I1329 = L1329, 0, 1)
            )
        )
    ),
    ""
)</f>
        <v/>
      </c>
      <c r="Q1329" s="385" t="str">
        <f>IF(
    OR(ISBLANK(L1329), ISBLANK(M1329)),
    "",
    MAX(
        1,
        IF(
            NETWORKDAYS(L1329, M1329, Holiday_Dates) &lt;= 0,
            1,
            NETWORKDAYS(L1329, M1329, Holiday_Dates) - IF(L1329 = M1329, 0, 1)
        )
    )
)</f>
        <v/>
      </c>
      <c r="R1329" s="385" t="str">
        <f>IFERROR(
    IF(
        OR(ISBLANK(N1329), AND(ISBLANK(L1329), ISBLANK(M1329))),
        "",
        MAX(
            1,
            IF(
                NETWORKDAYS(IF(NOT(ISBLANK(M1329)), M1329, L1329), N1329, Holiday_Dates) &lt;= 0,
                1,
                NETWORKDAYS(IF(NOT(ISBLANK(M1329)), M1329, L1329), N1329, Holiday_Dates)
                - IF(IF(NOT(ISBLANK(M1329)), M1329, L1329) = N1329, 0, 1)
            )
        )
    ),
    ""
)</f>
        <v/>
      </c>
      <c r="S1329" s="385" t="str">
        <f>IFERROR(
    IF(
        OR(ISBLANK(N1329), ISBLANK(O1329)),
        "",
        MAX(
            1,
            IF(
                NETWORKDAYS(N1329, O1329, Holiday_Dates) &lt;= 0,
                1,
                NETWORKDAYS(N1329, O1329, Holiday_Dates) - IF(N1329 = O1329, 0, 1)
            )
        )
    ),
    ""
)</f>
        <v/>
      </c>
      <c r="T1329" s="385"/>
      <c r="U1329" s="385"/>
      <c r="V1329" s="385"/>
      <c r="W1329" s="385" t="s">
        <v>4710</v>
      </c>
      <c r="X1329" s="1"/>
    </row>
    <row r="1330" spans="1:24">
      <c r="A1330" s="385" t="s">
        <v>65</v>
      </c>
      <c r="B1330" s="385" t="s">
        <v>384</v>
      </c>
      <c r="C1330" s="385" t="s">
        <v>2181</v>
      </c>
      <c r="D1330" s="385" t="s">
        <v>88</v>
      </c>
      <c r="E1330" s="385" t="s">
        <v>141</v>
      </c>
      <c r="F1330" s="385"/>
      <c r="G1330" s="385" t="s">
        <v>130</v>
      </c>
      <c r="H1330" s="385"/>
      <c r="I1330" s="385"/>
      <c r="J1330" s="30"/>
      <c r="K1330" s="385" t="s">
        <v>63</v>
      </c>
      <c r="L1330" s="385"/>
      <c r="M1330" s="385"/>
      <c r="N1330" s="385"/>
      <c r="O1330" s="385"/>
      <c r="P1330" s="385" t="str">
        <f>IFERROR(
    IF(
        OR(ISBLANK(I1330), ISBLANK(L1330)),
        "",
        MAX(
            1,
            IF(
                NETWORKDAYS(I1330, L1330, Holiday_Dates) &lt;= 0,
                1,
                NETWORKDAYS(I1330, L1330, Holiday_Dates) - IF(I1330 = L1330, 0, 1)
            )
        )
    ),
    ""
)</f>
        <v/>
      </c>
      <c r="Q1330" s="385" t="str">
        <f>IF(
    OR(ISBLANK(L1330), ISBLANK(M1330)),
    "",
    MAX(
        1,
        IF(
            NETWORKDAYS(L1330, M1330, Holiday_Dates) &lt;= 0,
            1,
            NETWORKDAYS(L1330, M1330, Holiday_Dates) - IF(L1330 = M1330, 0, 1)
        )
    )
)</f>
        <v/>
      </c>
      <c r="R1330" s="385" t="str">
        <f>IFERROR(
    IF(
        OR(ISBLANK(N1330), AND(ISBLANK(L1330), ISBLANK(M1330))),
        "",
        MAX(
            1,
            IF(
                NETWORKDAYS(IF(NOT(ISBLANK(M1330)), M1330, L1330), N1330, Holiday_Dates) &lt;= 0,
                1,
                NETWORKDAYS(IF(NOT(ISBLANK(M1330)), M1330, L1330), N1330, Holiday_Dates)
                - IF(IF(NOT(ISBLANK(M1330)), M1330, L1330) = N1330, 0, 1)
            )
        )
    ),
    ""
)</f>
        <v/>
      </c>
      <c r="S1330" s="385" t="str">
        <f>IFERROR(
    IF(
        OR(ISBLANK(N1330), ISBLANK(O1330)),
        "",
        MAX(
            1,
            IF(
                NETWORKDAYS(N1330, O1330, Holiday_Dates) &lt;= 0,
                1,
                NETWORKDAYS(N1330, O1330, Holiday_Dates) - IF(N1330 = O1330, 0, 1)
            )
        )
    ),
    ""
)</f>
        <v/>
      </c>
      <c r="T1330" s="385"/>
      <c r="U1330" s="385"/>
      <c r="V1330" s="385"/>
      <c r="W1330" s="385" t="s">
        <v>4710</v>
      </c>
      <c r="X1330" s="1"/>
    </row>
    <row r="1331" spans="1:24">
      <c r="A1331" s="385" t="s">
        <v>65</v>
      </c>
      <c r="B1331" s="385" t="s">
        <v>384</v>
      </c>
      <c r="C1331" s="385" t="s">
        <v>2769</v>
      </c>
      <c r="D1331" s="385" t="s">
        <v>88</v>
      </c>
      <c r="E1331" s="385" t="s">
        <v>141</v>
      </c>
      <c r="F1331" s="385"/>
      <c r="G1331" s="385" t="s">
        <v>130</v>
      </c>
      <c r="H1331" s="385"/>
      <c r="I1331" s="385"/>
      <c r="J1331" s="30"/>
      <c r="K1331" s="385" t="s">
        <v>63</v>
      </c>
      <c r="L1331" s="385"/>
      <c r="M1331" s="385"/>
      <c r="N1331" s="385"/>
      <c r="O1331" s="385"/>
      <c r="P1331" s="385" t="str">
        <f>IFERROR(
    IF(
        OR(ISBLANK(I1331), ISBLANK(L1331)),
        "",
        MAX(
            1,
            IF(
                NETWORKDAYS(I1331, L1331, Holiday_Dates) &lt;= 0,
                1,
                NETWORKDAYS(I1331, L1331, Holiday_Dates) - IF(I1331 = L1331, 0, 1)
            )
        )
    ),
    ""
)</f>
        <v/>
      </c>
      <c r="Q1331" s="385" t="str">
        <f>IF(
    OR(ISBLANK(L1331), ISBLANK(M1331)),
    "",
    MAX(
        1,
        IF(
            NETWORKDAYS(L1331, M1331, Holiday_Dates) &lt;= 0,
            1,
            NETWORKDAYS(L1331, M1331, Holiday_Dates) - IF(L1331 = M1331, 0, 1)
        )
    )
)</f>
        <v/>
      </c>
      <c r="R1331" s="385" t="str">
        <f>IFERROR(
    IF(
        OR(ISBLANK(N1331), AND(ISBLANK(L1331), ISBLANK(M1331))),
        "",
        MAX(
            1,
            IF(
                NETWORKDAYS(IF(NOT(ISBLANK(M1331)), M1331, L1331), N1331, Holiday_Dates) &lt;= 0,
                1,
                NETWORKDAYS(IF(NOT(ISBLANK(M1331)), M1331, L1331), N1331, Holiday_Dates)
                - IF(IF(NOT(ISBLANK(M1331)), M1331, L1331) = N1331, 0, 1)
            )
        )
    ),
    ""
)</f>
        <v/>
      </c>
      <c r="S1331" s="385" t="str">
        <f>IFERROR(
    IF(
        OR(ISBLANK(N1331), ISBLANK(O1331)),
        "",
        MAX(
            1,
            IF(
                NETWORKDAYS(N1331, O1331, Holiday_Dates) &lt;= 0,
                1,
                NETWORKDAYS(N1331, O1331, Holiday_Dates) - IF(N1331 = O1331, 0, 1)
            )
        )
    ),
    ""
)</f>
        <v/>
      </c>
      <c r="T1331" s="385"/>
      <c r="U1331" s="385"/>
      <c r="V1331" s="385"/>
      <c r="W1331" s="385" t="s">
        <v>4710</v>
      </c>
      <c r="X1331" s="1"/>
    </row>
    <row r="1332" spans="1:24">
      <c r="A1332" s="385" t="s">
        <v>65</v>
      </c>
      <c r="B1332" s="385" t="s">
        <v>384</v>
      </c>
      <c r="C1332" s="385" t="s">
        <v>2773</v>
      </c>
      <c r="D1332" s="385" t="s">
        <v>88</v>
      </c>
      <c r="E1332" s="385" t="s">
        <v>141</v>
      </c>
      <c r="F1332" s="385"/>
      <c r="G1332" s="385" t="s">
        <v>130</v>
      </c>
      <c r="H1332" s="385"/>
      <c r="I1332" s="385"/>
      <c r="J1332" s="30"/>
      <c r="K1332" s="385" t="s">
        <v>63</v>
      </c>
      <c r="L1332" s="385"/>
      <c r="M1332" s="385"/>
      <c r="N1332" s="385"/>
      <c r="O1332" s="385"/>
      <c r="P1332" s="385" t="str">
        <f>IFERROR(
    IF(
        OR(ISBLANK(I1332), ISBLANK(L1332)),
        "",
        MAX(
            1,
            IF(
                NETWORKDAYS(I1332, L1332, Holiday_Dates) &lt;= 0,
                1,
                NETWORKDAYS(I1332, L1332, Holiday_Dates) - IF(I1332 = L1332, 0, 1)
            )
        )
    ),
    ""
)</f>
        <v/>
      </c>
      <c r="Q1332" s="385" t="str">
        <f>IF(
    OR(ISBLANK(L1332), ISBLANK(M1332)),
    "",
    MAX(
        1,
        IF(
            NETWORKDAYS(L1332, M1332, Holiday_Dates) &lt;= 0,
            1,
            NETWORKDAYS(L1332, M1332, Holiday_Dates) - IF(L1332 = M1332, 0, 1)
        )
    )
)</f>
        <v/>
      </c>
      <c r="R1332" s="385" t="str">
        <f>IFERROR(
    IF(
        OR(ISBLANK(N1332), AND(ISBLANK(L1332), ISBLANK(M1332))),
        "",
        MAX(
            1,
            IF(
                NETWORKDAYS(IF(NOT(ISBLANK(M1332)), M1332, L1332), N1332, Holiday_Dates) &lt;= 0,
                1,
                NETWORKDAYS(IF(NOT(ISBLANK(M1332)), M1332, L1332), N1332, Holiday_Dates)
                - IF(IF(NOT(ISBLANK(M1332)), M1332, L1332) = N1332, 0, 1)
            )
        )
    ),
    ""
)</f>
        <v/>
      </c>
      <c r="S1332" s="385" t="str">
        <f>IFERROR(
    IF(
        OR(ISBLANK(N1332), ISBLANK(O1332)),
        "",
        MAX(
            1,
            IF(
                NETWORKDAYS(N1332, O1332, Holiday_Dates) &lt;= 0,
                1,
                NETWORKDAYS(N1332, O1332, Holiday_Dates) - IF(N1332 = O1332, 0, 1)
            )
        )
    ),
    ""
)</f>
        <v/>
      </c>
      <c r="T1332" s="385"/>
      <c r="U1332" s="385"/>
      <c r="V1332" s="385"/>
      <c r="W1332" s="385" t="s">
        <v>4710</v>
      </c>
      <c r="X1332" s="1"/>
    </row>
    <row r="1333" spans="1:24">
      <c r="A1333" s="385" t="s">
        <v>65</v>
      </c>
      <c r="B1333" s="385" t="s">
        <v>511</v>
      </c>
      <c r="C1333" s="385" t="s">
        <v>3062</v>
      </c>
      <c r="D1333" s="385" t="s">
        <v>88</v>
      </c>
      <c r="E1333" s="385"/>
      <c r="F1333" s="385"/>
      <c r="G1333" s="385"/>
      <c r="H1333" s="385">
        <v>2024</v>
      </c>
      <c r="I1333" s="386">
        <v>45561</v>
      </c>
      <c r="J1333" s="30"/>
      <c r="K1333" s="385"/>
      <c r="L1333" s="385"/>
      <c r="M1333" s="385"/>
      <c r="N1333" s="385"/>
      <c r="O1333" s="385"/>
      <c r="P1333" s="385" t="str">
        <f>IFERROR(
    IF(
        OR(ISBLANK(I1333), ISBLANK(L1333)),
        "",
        MAX(
            1,
            IF(
                NETWORKDAYS(I1333, L1333, Holiday_Dates) &lt;= 0,
                1,
                NETWORKDAYS(I1333, L1333, Holiday_Dates) - IF(I1333 = L1333, 0, 1)
            )
        )
    ),
    ""
)</f>
        <v/>
      </c>
      <c r="Q1333" s="385" t="str">
        <f>IF(
    OR(ISBLANK(L1333), ISBLANK(M1333)),
    "",
    MAX(
        1,
        IF(
            NETWORKDAYS(L1333, M1333, Holiday_Dates) &lt;= 0,
            1,
            NETWORKDAYS(L1333, M1333, Holiday_Dates) - IF(L1333 = M1333, 0, 1)
        )
    )
)</f>
        <v/>
      </c>
      <c r="R1333" s="385" t="str">
        <f>IFERROR(
    IF(
        OR(ISBLANK(N1333), AND(ISBLANK(L1333), ISBLANK(M1333))),
        "",
        MAX(
            1,
            IF(
                NETWORKDAYS(IF(NOT(ISBLANK(M1333)), M1333, L1333), N1333, Holiday_Dates) &lt;= 0,
                1,
                NETWORKDAYS(IF(NOT(ISBLANK(M1333)), M1333, L1333), N1333, Holiday_Dates)
                - IF(IF(NOT(ISBLANK(M1333)), M1333, L1333) = N1333, 0, 1)
            )
        )
    ),
    ""
)</f>
        <v/>
      </c>
      <c r="S1333" s="385" t="str">
        <f>IFERROR(
    IF(
        OR(ISBLANK(N1333), ISBLANK(O1333)),
        "",
        MAX(
            1,
            IF(
                NETWORKDAYS(N1333, O1333, Holiday_Dates) &lt;= 0,
                1,
                NETWORKDAYS(N1333, O1333, Holiday_Dates) - IF(N1333 = O1333, 0, 1)
            )
        )
    ),
    ""
)</f>
        <v/>
      </c>
      <c r="T1333" s="385"/>
      <c r="U1333" s="385" t="s">
        <v>4</v>
      </c>
      <c r="V1333" s="385" t="s">
        <v>101</v>
      </c>
      <c r="W1333" s="385" t="s">
        <v>1436</v>
      </c>
      <c r="X1333" s="1"/>
    </row>
    <row r="1334" spans="1:24">
      <c r="A1334" s="385" t="s">
        <v>65</v>
      </c>
      <c r="B1334" s="385" t="s">
        <v>384</v>
      </c>
      <c r="C1334" s="385" t="s">
        <v>2775</v>
      </c>
      <c r="D1334" s="385" t="s">
        <v>88</v>
      </c>
      <c r="E1334" s="385" t="s">
        <v>141</v>
      </c>
      <c r="F1334" s="385"/>
      <c r="G1334" s="385" t="s">
        <v>130</v>
      </c>
      <c r="H1334" s="385"/>
      <c r="I1334" s="385"/>
      <c r="J1334" s="30"/>
      <c r="K1334" s="385" t="s">
        <v>63</v>
      </c>
      <c r="L1334" s="385"/>
      <c r="M1334" s="385"/>
      <c r="N1334" s="385"/>
      <c r="O1334" s="385"/>
      <c r="P1334" s="385" t="str">
        <f>IFERROR(
    IF(
        OR(ISBLANK(I1334), ISBLANK(L1334)),
        "",
        MAX(
            1,
            IF(
                NETWORKDAYS(I1334, L1334, Holiday_Dates) &lt;= 0,
                1,
                NETWORKDAYS(I1334, L1334, Holiday_Dates) - IF(I1334 = L1334, 0, 1)
            )
        )
    ),
    ""
)</f>
        <v/>
      </c>
      <c r="Q1334" s="385" t="str">
        <f>IF(
    OR(ISBLANK(L1334), ISBLANK(M1334)),
    "",
    MAX(
        1,
        IF(
            NETWORKDAYS(L1334, M1334, Holiday_Dates) &lt;= 0,
            1,
            NETWORKDAYS(L1334, M1334, Holiday_Dates) - IF(L1334 = M1334, 0, 1)
        )
    )
)</f>
        <v/>
      </c>
      <c r="R1334" s="385" t="str">
        <f>IFERROR(
    IF(
        OR(ISBLANK(N1334), AND(ISBLANK(L1334), ISBLANK(M1334))),
        "",
        MAX(
            1,
            IF(
                NETWORKDAYS(IF(NOT(ISBLANK(M1334)), M1334, L1334), N1334, Holiday_Dates) &lt;= 0,
                1,
                NETWORKDAYS(IF(NOT(ISBLANK(M1334)), M1334, L1334), N1334, Holiday_Dates)
                - IF(IF(NOT(ISBLANK(M1334)), M1334, L1334) = N1334, 0, 1)
            )
        )
    ),
    ""
)</f>
        <v/>
      </c>
      <c r="S1334" s="385" t="str">
        <f>IFERROR(
    IF(
        OR(ISBLANK(N1334), ISBLANK(O1334)),
        "",
        MAX(
            1,
            IF(
                NETWORKDAYS(N1334, O1334, Holiday_Dates) &lt;= 0,
                1,
                NETWORKDAYS(N1334, O1334, Holiday_Dates) - IF(N1334 = O1334, 0, 1)
            )
        )
    ),
    ""
)</f>
        <v/>
      </c>
      <c r="T1334" s="385"/>
      <c r="U1334" s="385"/>
      <c r="V1334" s="385"/>
      <c r="W1334" s="385" t="s">
        <v>4710</v>
      </c>
      <c r="X1334" s="1"/>
    </row>
    <row r="1335" spans="1:24">
      <c r="A1335" s="385" t="s">
        <v>65</v>
      </c>
      <c r="B1335" s="385" t="s">
        <v>511</v>
      </c>
      <c r="C1335" s="385" t="s">
        <v>355</v>
      </c>
      <c r="D1335" s="385" t="s">
        <v>88</v>
      </c>
      <c r="E1335" s="385"/>
      <c r="F1335" s="385"/>
      <c r="G1335" s="385"/>
      <c r="H1335" s="385">
        <v>2025</v>
      </c>
      <c r="I1335" s="386">
        <v>45882</v>
      </c>
      <c r="J1335" s="30" t="s">
        <v>5230</v>
      </c>
      <c r="K1335" s="385"/>
      <c r="L1335" s="385"/>
      <c r="M1335" s="385"/>
      <c r="N1335" s="385"/>
      <c r="O1335" s="385"/>
      <c r="P1335" s="385" t="str">
        <f>IFERROR(
    IF(
        OR(ISBLANK(I1335), ISBLANK(L1335)),
        "",
        MAX(
            1,
            IF(
                NETWORKDAYS(I1335, L1335, Holiday_Dates) &lt;= 0,
                1,
                NETWORKDAYS(I1335, L1335, Holiday_Dates) - IF(I1335 = L1335, 0, 1)
            )
        )
    ),
    ""
)</f>
        <v/>
      </c>
      <c r="Q1335" s="385" t="str">
        <f>IF(
    OR(ISBLANK(L1335), ISBLANK(M1335)),
    "",
    MAX(
        1,
        IF(
            NETWORKDAYS(L1335, M1335, Holiday_Dates) &lt;= 0,
            1,
            NETWORKDAYS(L1335, M1335, Holiday_Dates) - IF(L1335 = M1335, 0, 1)
        )
    )
)</f>
        <v/>
      </c>
      <c r="R1335" s="385" t="str">
        <f>IFERROR(
    IF(
        OR(ISBLANK(N1335), AND(ISBLANK(L1335), ISBLANK(M1335))),
        "",
        MAX(
            1,
            IF(
                NETWORKDAYS(IF(NOT(ISBLANK(M1335)), M1335, L1335), N1335, Holiday_Dates) &lt;= 0,
                1,
                NETWORKDAYS(IF(NOT(ISBLANK(M1335)), M1335, L1335), N1335, Holiday_Dates)
                - IF(IF(NOT(ISBLANK(M1335)), M1335, L1335) = N1335, 0, 1)
            )
        )
    ),
    ""
)</f>
        <v/>
      </c>
      <c r="S1335" s="385" t="str">
        <f>IFERROR(
    IF(
        OR(ISBLANK(N1335), ISBLANK(O1335)),
        "",
        MAX(
            1,
            IF(
                NETWORKDAYS(N1335, O1335, Holiday_Dates) &lt;= 0,
                1,
                NETWORKDAYS(N1335, O1335, Holiday_Dates) - IF(N1335 = O1335, 0, 1)
            )
        )
    ),
    ""
)</f>
        <v/>
      </c>
      <c r="T1335" s="385"/>
      <c r="U1335" s="385" t="s">
        <v>672</v>
      </c>
      <c r="V1335" s="385" t="s">
        <v>101</v>
      </c>
      <c r="W1335" s="385" t="s">
        <v>1436</v>
      </c>
      <c r="X1335" s="1"/>
    </row>
    <row r="1336" spans="1:24">
      <c r="A1336" s="385" t="s">
        <v>65</v>
      </c>
      <c r="B1336" s="385" t="s">
        <v>511</v>
      </c>
      <c r="C1336" s="385" t="s">
        <v>440</v>
      </c>
      <c r="D1336" s="385" t="s">
        <v>88</v>
      </c>
      <c r="E1336" s="385"/>
      <c r="F1336" s="385"/>
      <c r="G1336" s="385"/>
      <c r="H1336" s="385">
        <v>2025</v>
      </c>
      <c r="I1336" s="386">
        <v>45882</v>
      </c>
      <c r="J1336" s="30" t="s">
        <v>5231</v>
      </c>
      <c r="K1336" s="385"/>
      <c r="L1336" s="385"/>
      <c r="M1336" s="385"/>
      <c r="N1336" s="385"/>
      <c r="O1336" s="385"/>
      <c r="P1336" s="385" t="str">
        <f>IFERROR(
    IF(
        OR(ISBLANK(I1336), ISBLANK(L1336)),
        "",
        MAX(
            1,
            IF(
                NETWORKDAYS(I1336, L1336, Holiday_Dates) &lt;= 0,
                1,
                NETWORKDAYS(I1336, L1336, Holiday_Dates) - IF(I1336 = L1336, 0, 1)
            )
        )
    ),
    ""
)</f>
        <v/>
      </c>
      <c r="Q1336" s="385" t="str">
        <f>IF(
    OR(ISBLANK(L1336), ISBLANK(M1336)),
    "",
    MAX(
        1,
        IF(
            NETWORKDAYS(L1336, M1336, Holiday_Dates) &lt;= 0,
            1,
            NETWORKDAYS(L1336, M1336, Holiday_Dates) - IF(L1336 = M1336, 0, 1)
        )
    )
)</f>
        <v/>
      </c>
      <c r="R1336" s="385" t="str">
        <f>IFERROR(
    IF(
        OR(ISBLANK(N1336), AND(ISBLANK(L1336), ISBLANK(M1336))),
        "",
        MAX(
            1,
            IF(
                NETWORKDAYS(IF(NOT(ISBLANK(M1336)), M1336, L1336), N1336, Holiday_Dates) &lt;= 0,
                1,
                NETWORKDAYS(IF(NOT(ISBLANK(M1336)), M1336, L1336), N1336, Holiday_Dates)
                - IF(IF(NOT(ISBLANK(M1336)), M1336, L1336) = N1336, 0, 1)
            )
        )
    ),
    ""
)</f>
        <v/>
      </c>
      <c r="S1336" s="385" t="str">
        <f>IFERROR(
    IF(
        OR(ISBLANK(N1336), ISBLANK(O1336)),
        "",
        MAX(
            1,
            IF(
                NETWORKDAYS(N1336, O1336, Holiday_Dates) &lt;= 0,
                1,
                NETWORKDAYS(N1336, O1336, Holiday_Dates) - IF(N1336 = O1336, 0, 1)
            )
        )
    ),
    ""
)</f>
        <v/>
      </c>
      <c r="T1336" s="385"/>
      <c r="U1336" s="385" t="s">
        <v>672</v>
      </c>
      <c r="V1336" s="385" t="s">
        <v>101</v>
      </c>
      <c r="W1336" s="385" t="s">
        <v>1436</v>
      </c>
      <c r="X1336" s="1"/>
    </row>
    <row r="1337" spans="1:24">
      <c r="A1337" s="385" t="s">
        <v>65</v>
      </c>
      <c r="B1337" s="385" t="s">
        <v>511</v>
      </c>
      <c r="C1337" s="385" t="s">
        <v>378</v>
      </c>
      <c r="D1337" s="385" t="s">
        <v>88</v>
      </c>
      <c r="E1337" s="385"/>
      <c r="F1337" s="385"/>
      <c r="G1337" s="385"/>
      <c r="H1337" s="385">
        <v>2025</v>
      </c>
      <c r="I1337" s="386">
        <v>45882</v>
      </c>
      <c r="J1337" s="30" t="s">
        <v>5232</v>
      </c>
      <c r="K1337" s="385"/>
      <c r="L1337" s="385"/>
      <c r="M1337" s="385"/>
      <c r="N1337" s="385"/>
      <c r="O1337" s="385"/>
      <c r="P1337" s="385" t="str">
        <f>IFERROR(
    IF(
        OR(ISBLANK(I1337), ISBLANK(L1337)),
        "",
        MAX(
            1,
            IF(
                NETWORKDAYS(I1337, L1337, Holiday_Dates) &lt;= 0,
                1,
                NETWORKDAYS(I1337, L1337, Holiday_Dates) - IF(I1337 = L1337, 0, 1)
            )
        )
    ),
    ""
)</f>
        <v/>
      </c>
      <c r="Q1337" s="385" t="str">
        <f>IF(
    OR(ISBLANK(L1337), ISBLANK(M1337)),
    "",
    MAX(
        1,
        IF(
            NETWORKDAYS(L1337, M1337, Holiday_Dates) &lt;= 0,
            1,
            NETWORKDAYS(L1337, M1337, Holiday_Dates) - IF(L1337 = M1337, 0, 1)
        )
    )
)</f>
        <v/>
      </c>
      <c r="R1337" s="385" t="str">
        <f>IFERROR(
    IF(
        OR(ISBLANK(N1337), AND(ISBLANK(L1337), ISBLANK(M1337))),
        "",
        MAX(
            1,
            IF(
                NETWORKDAYS(IF(NOT(ISBLANK(M1337)), M1337, L1337), N1337, Holiday_Dates) &lt;= 0,
                1,
                NETWORKDAYS(IF(NOT(ISBLANK(M1337)), M1337, L1337), N1337, Holiday_Dates)
                - IF(IF(NOT(ISBLANK(M1337)), M1337, L1337) = N1337, 0, 1)
            )
        )
    ),
    ""
)</f>
        <v/>
      </c>
      <c r="S1337" s="385" t="str">
        <f>IFERROR(
    IF(
        OR(ISBLANK(N1337), ISBLANK(O1337)),
        "",
        MAX(
            1,
            IF(
                NETWORKDAYS(N1337, O1337, Holiday_Dates) &lt;= 0,
                1,
                NETWORKDAYS(N1337, O1337, Holiday_Dates) - IF(N1337 = O1337, 0, 1)
            )
        )
    ),
    ""
)</f>
        <v/>
      </c>
      <c r="T1337" s="385"/>
      <c r="U1337" s="385" t="s">
        <v>672</v>
      </c>
      <c r="V1337" s="385" t="s">
        <v>101</v>
      </c>
      <c r="W1337" s="385" t="s">
        <v>1436</v>
      </c>
      <c r="X1337" s="1"/>
    </row>
    <row r="1338" spans="1:24">
      <c r="A1338" s="385" t="s">
        <v>65</v>
      </c>
      <c r="B1338" s="385" t="s">
        <v>511</v>
      </c>
      <c r="C1338" s="385" t="s">
        <v>2234</v>
      </c>
      <c r="D1338" s="385" t="s">
        <v>88</v>
      </c>
      <c r="E1338" s="385"/>
      <c r="F1338" s="385"/>
      <c r="G1338" s="385"/>
      <c r="H1338" s="385">
        <v>2024</v>
      </c>
      <c r="I1338" s="386">
        <v>45561</v>
      </c>
      <c r="J1338" s="30"/>
      <c r="K1338" s="385"/>
      <c r="L1338" s="385"/>
      <c r="M1338" s="385"/>
      <c r="N1338" s="385"/>
      <c r="O1338" s="385"/>
      <c r="P1338" s="385" t="str">
        <f>IFERROR(
    IF(
        OR(ISBLANK(I1338), ISBLANK(L1338)),
        "",
        MAX(
            1,
            IF(
                NETWORKDAYS(I1338, L1338, Holiday_Dates) &lt;= 0,
                1,
                NETWORKDAYS(I1338, L1338, Holiday_Dates) - IF(I1338 = L1338, 0, 1)
            )
        )
    ),
    ""
)</f>
        <v/>
      </c>
      <c r="Q1338" s="385" t="str">
        <f>IF(
    OR(ISBLANK(L1338), ISBLANK(M1338)),
    "",
    MAX(
        1,
        IF(
            NETWORKDAYS(L1338, M1338, Holiday_Dates) &lt;= 0,
            1,
            NETWORKDAYS(L1338, M1338, Holiday_Dates) - IF(L1338 = M1338, 0, 1)
        )
    )
)</f>
        <v/>
      </c>
      <c r="R1338" s="385" t="str">
        <f>IFERROR(
    IF(
        OR(ISBLANK(N1338), AND(ISBLANK(L1338), ISBLANK(M1338))),
        "",
        MAX(
            1,
            IF(
                NETWORKDAYS(IF(NOT(ISBLANK(M1338)), M1338, L1338), N1338, Holiday_Dates) &lt;= 0,
                1,
                NETWORKDAYS(IF(NOT(ISBLANK(M1338)), M1338, L1338), N1338, Holiday_Dates)
                - IF(IF(NOT(ISBLANK(M1338)), M1338, L1338) = N1338, 0, 1)
            )
        )
    ),
    ""
)</f>
        <v/>
      </c>
      <c r="S1338" s="385" t="str">
        <f>IFERROR(
    IF(
        OR(ISBLANK(N1338), ISBLANK(O1338)),
        "",
        MAX(
            1,
            IF(
                NETWORKDAYS(N1338, O1338, Holiday_Dates) &lt;= 0,
                1,
                NETWORKDAYS(N1338, O1338, Holiday_Dates) - IF(N1338 = O1338, 0, 1)
            )
        )
    ),
    ""
)</f>
        <v/>
      </c>
      <c r="T1338" s="385"/>
      <c r="U1338" s="385" t="s">
        <v>4</v>
      </c>
      <c r="V1338" s="385" t="s">
        <v>101</v>
      </c>
      <c r="W1338" s="385" t="s">
        <v>1436</v>
      </c>
      <c r="X1338" s="1"/>
    </row>
    <row r="1339" spans="1:24">
      <c r="A1339" s="385" t="s">
        <v>65</v>
      </c>
      <c r="B1339" s="385" t="s">
        <v>3210</v>
      </c>
      <c r="C1339" s="385" t="s">
        <v>2431</v>
      </c>
      <c r="D1339" s="385" t="s">
        <v>88</v>
      </c>
      <c r="E1339" s="385" t="s">
        <v>26</v>
      </c>
      <c r="F1339" s="385"/>
      <c r="G1339" s="385" t="s">
        <v>130</v>
      </c>
      <c r="H1339" s="385"/>
      <c r="I1339" s="385"/>
      <c r="J1339" s="30"/>
      <c r="K1339" s="385" t="s">
        <v>63</v>
      </c>
      <c r="L1339" s="385"/>
      <c r="M1339" s="385"/>
      <c r="N1339" s="385"/>
      <c r="O1339" s="385"/>
      <c r="P1339" s="385" t="str">
        <f>IFERROR(
    IF(
        OR(ISBLANK(I1339), ISBLANK(L1339)),
        "",
        MAX(
            1,
            IF(
                NETWORKDAYS(I1339, L1339, Holiday_Dates) &lt;= 0,
                1,
                NETWORKDAYS(I1339, L1339, Holiday_Dates) - IF(I1339 = L1339, 0, 1)
            )
        )
    ),
    ""
)</f>
        <v/>
      </c>
      <c r="Q1339" s="385" t="str">
        <f>IF(
    OR(ISBLANK(L1339), ISBLANK(M1339)),
    "",
    MAX(
        1,
        IF(
            NETWORKDAYS(L1339, M1339, Holiday_Dates) &lt;= 0,
            1,
            NETWORKDAYS(L1339, M1339, Holiday_Dates) - IF(L1339 = M1339, 0, 1)
        )
    )
)</f>
        <v/>
      </c>
      <c r="R1339" s="385" t="str">
        <f>IFERROR(
    IF(
        OR(ISBLANK(N1339), AND(ISBLANK(L1339), ISBLANK(M1339))),
        "",
        MAX(
            1,
            IF(
                NETWORKDAYS(IF(NOT(ISBLANK(M1339)), M1339, L1339), N1339, Holiday_Dates) &lt;= 0,
                1,
                NETWORKDAYS(IF(NOT(ISBLANK(M1339)), M1339, L1339), N1339, Holiday_Dates)
                - IF(IF(NOT(ISBLANK(M1339)), M1339, L1339) = N1339, 0, 1)
            )
        )
    ),
    ""
)</f>
        <v/>
      </c>
      <c r="S1339" s="385" t="str">
        <f>IFERROR(
    IF(
        OR(ISBLANK(N1339), ISBLANK(O1339)),
        "",
        MAX(
            1,
            IF(
                NETWORKDAYS(N1339, O1339, Holiday_Dates) &lt;= 0,
                1,
                NETWORKDAYS(N1339, O1339, Holiday_Dates) - IF(N1339 = O1339, 0, 1)
            )
        )
    ),
    ""
)</f>
        <v/>
      </c>
      <c r="T1339" s="385"/>
      <c r="U1339" s="385"/>
      <c r="V1339" s="385"/>
      <c r="W1339" s="385" t="s">
        <v>4710</v>
      </c>
      <c r="X1339" s="1"/>
    </row>
    <row r="1340" spans="1:24">
      <c r="A1340" s="385" t="s">
        <v>65</v>
      </c>
      <c r="B1340" s="385" t="s">
        <v>3210</v>
      </c>
      <c r="C1340" s="385" t="s">
        <v>1059</v>
      </c>
      <c r="D1340" s="385" t="s">
        <v>88</v>
      </c>
      <c r="E1340" s="385" t="s">
        <v>26</v>
      </c>
      <c r="F1340" s="385"/>
      <c r="G1340" s="385" t="s">
        <v>130</v>
      </c>
      <c r="H1340" s="385"/>
      <c r="I1340" s="385"/>
      <c r="J1340" s="30"/>
      <c r="K1340" s="385" t="s">
        <v>63</v>
      </c>
      <c r="L1340" s="385"/>
      <c r="M1340" s="385"/>
      <c r="N1340" s="385"/>
      <c r="O1340" s="385"/>
      <c r="P1340" s="385" t="str">
        <f>IFERROR(
    IF(
        OR(ISBLANK(I1340), ISBLANK(L1340)),
        "",
        MAX(
            1,
            IF(
                NETWORKDAYS(I1340, L1340, Holiday_Dates) &lt;= 0,
                1,
                NETWORKDAYS(I1340, L1340, Holiday_Dates) - IF(I1340 = L1340, 0, 1)
            )
        )
    ),
    ""
)</f>
        <v/>
      </c>
      <c r="Q1340" s="385" t="str">
        <f>IF(
    OR(ISBLANK(L1340), ISBLANK(M1340)),
    "",
    MAX(
        1,
        IF(
            NETWORKDAYS(L1340, M1340, Holiday_Dates) &lt;= 0,
            1,
            NETWORKDAYS(L1340, M1340, Holiday_Dates) - IF(L1340 = M1340, 0, 1)
        )
    )
)</f>
        <v/>
      </c>
      <c r="R1340" s="385" t="str">
        <f>IFERROR(
    IF(
        OR(ISBLANK(N1340), AND(ISBLANK(L1340), ISBLANK(M1340))),
        "",
        MAX(
            1,
            IF(
                NETWORKDAYS(IF(NOT(ISBLANK(M1340)), M1340, L1340), N1340, Holiday_Dates) &lt;= 0,
                1,
                NETWORKDAYS(IF(NOT(ISBLANK(M1340)), M1340, L1340), N1340, Holiday_Dates)
                - IF(IF(NOT(ISBLANK(M1340)), M1340, L1340) = N1340, 0, 1)
            )
        )
    ),
    ""
)</f>
        <v/>
      </c>
      <c r="S1340" s="385" t="str">
        <f>IFERROR(
    IF(
        OR(ISBLANK(N1340), ISBLANK(O1340)),
        "",
        MAX(
            1,
            IF(
                NETWORKDAYS(N1340, O1340, Holiday_Dates) &lt;= 0,
                1,
                NETWORKDAYS(N1340, O1340, Holiday_Dates) - IF(N1340 = O1340, 0, 1)
            )
        )
    ),
    ""
)</f>
        <v/>
      </c>
      <c r="T1340" s="385"/>
      <c r="U1340" s="385"/>
      <c r="V1340" s="385"/>
      <c r="W1340" s="385" t="s">
        <v>4710</v>
      </c>
      <c r="X1340" s="1"/>
    </row>
    <row r="1341" spans="1:24">
      <c r="A1341" s="385" t="s">
        <v>65</v>
      </c>
      <c r="B1341" s="385" t="s">
        <v>3210</v>
      </c>
      <c r="C1341" s="385" t="s">
        <v>3216</v>
      </c>
      <c r="D1341" s="385" t="s">
        <v>88</v>
      </c>
      <c r="E1341" s="385" t="s">
        <v>26</v>
      </c>
      <c r="F1341" s="385"/>
      <c r="G1341" s="385" t="s">
        <v>130</v>
      </c>
      <c r="H1341" s="385"/>
      <c r="I1341" s="385"/>
      <c r="J1341" s="30"/>
      <c r="K1341" s="385" t="s">
        <v>63</v>
      </c>
      <c r="L1341" s="385"/>
      <c r="M1341" s="385"/>
      <c r="N1341" s="385"/>
      <c r="O1341" s="385"/>
      <c r="P1341" s="385" t="str">
        <f>IFERROR(
    IF(
        OR(ISBLANK(I1341), ISBLANK(L1341)),
        "",
        MAX(
            1,
            IF(
                NETWORKDAYS(I1341, L1341, Holiday_Dates) &lt;= 0,
                1,
                NETWORKDAYS(I1341, L1341, Holiday_Dates) - IF(I1341 = L1341, 0, 1)
            )
        )
    ),
    ""
)</f>
        <v/>
      </c>
      <c r="Q1341" s="385" t="str">
        <f>IF(
    OR(ISBLANK(L1341), ISBLANK(M1341)),
    "",
    MAX(
        1,
        IF(
            NETWORKDAYS(L1341, M1341, Holiday_Dates) &lt;= 0,
            1,
            NETWORKDAYS(L1341, M1341, Holiday_Dates) - IF(L1341 = M1341, 0, 1)
        )
    )
)</f>
        <v/>
      </c>
      <c r="R1341" s="385" t="str">
        <f>IFERROR(
    IF(
        OR(ISBLANK(N1341), AND(ISBLANK(L1341), ISBLANK(M1341))),
        "",
        MAX(
            1,
            IF(
                NETWORKDAYS(IF(NOT(ISBLANK(M1341)), M1341, L1341), N1341, Holiday_Dates) &lt;= 0,
                1,
                NETWORKDAYS(IF(NOT(ISBLANK(M1341)), M1341, L1341), N1341, Holiday_Dates)
                - IF(IF(NOT(ISBLANK(M1341)), M1341, L1341) = N1341, 0, 1)
            )
        )
    ),
    ""
)</f>
        <v/>
      </c>
      <c r="S1341" s="385" t="str">
        <f>IFERROR(
    IF(
        OR(ISBLANK(N1341), ISBLANK(O1341)),
        "",
        MAX(
            1,
            IF(
                NETWORKDAYS(N1341, O1341, Holiday_Dates) &lt;= 0,
                1,
                NETWORKDAYS(N1341, O1341, Holiday_Dates) - IF(N1341 = O1341, 0, 1)
            )
        )
    ),
    ""
)</f>
        <v/>
      </c>
      <c r="T1341" s="385"/>
      <c r="U1341" s="385"/>
      <c r="V1341" s="385"/>
      <c r="W1341" s="385" t="s">
        <v>4710</v>
      </c>
      <c r="X1341" s="1"/>
    </row>
    <row r="1342" spans="1:24">
      <c r="A1342" s="385" t="s">
        <v>65</v>
      </c>
      <c r="B1342" s="385" t="s">
        <v>511</v>
      </c>
      <c r="C1342" s="385" t="s">
        <v>3066</v>
      </c>
      <c r="D1342" s="385" t="s">
        <v>88</v>
      </c>
      <c r="E1342" s="385"/>
      <c r="F1342" s="385"/>
      <c r="G1342" s="385"/>
      <c r="H1342" s="385">
        <v>2025</v>
      </c>
      <c r="I1342" s="386">
        <v>45777</v>
      </c>
      <c r="J1342" s="30" t="s">
        <v>5233</v>
      </c>
      <c r="K1342" s="385"/>
      <c r="L1342" s="385"/>
      <c r="M1342" s="385"/>
      <c r="N1342" s="385"/>
      <c r="O1342" s="385"/>
      <c r="P1342" s="385" t="str">
        <f>IFERROR(
    IF(
        OR(ISBLANK(I1342), ISBLANK(L1342)),
        "",
        MAX(
            1,
            IF(
                NETWORKDAYS(I1342, L1342, Holiday_Dates) &lt;= 0,
                1,
                NETWORKDAYS(I1342, L1342, Holiday_Dates) - IF(I1342 = L1342, 0, 1)
            )
        )
    ),
    ""
)</f>
        <v/>
      </c>
      <c r="Q1342" s="385" t="str">
        <f>IF(
    OR(ISBLANK(L1342), ISBLANK(M1342)),
    "",
    MAX(
        1,
        IF(
            NETWORKDAYS(L1342, M1342, Holiday_Dates) &lt;= 0,
            1,
            NETWORKDAYS(L1342, M1342, Holiday_Dates) - IF(L1342 = M1342, 0, 1)
        )
    )
)</f>
        <v/>
      </c>
      <c r="R1342" s="385" t="str">
        <f>IFERROR(
    IF(
        OR(ISBLANK(N1342), AND(ISBLANK(L1342), ISBLANK(M1342))),
        "",
        MAX(
            1,
            IF(
                NETWORKDAYS(IF(NOT(ISBLANK(M1342)), M1342, L1342), N1342, Holiday_Dates) &lt;= 0,
                1,
                NETWORKDAYS(IF(NOT(ISBLANK(M1342)), M1342, L1342), N1342, Holiday_Dates)
                - IF(IF(NOT(ISBLANK(M1342)), M1342, L1342) = N1342, 0, 1)
            )
        )
    ),
    ""
)</f>
        <v/>
      </c>
      <c r="S1342" s="385" t="str">
        <f>IFERROR(
    IF(
        OR(ISBLANK(N1342), ISBLANK(O1342)),
        "",
        MAX(
            1,
            IF(
                NETWORKDAYS(N1342, O1342, Holiday_Dates) &lt;= 0,
                1,
                NETWORKDAYS(N1342, O1342, Holiday_Dates) - IF(N1342 = O1342, 0, 1)
            )
        )
    ),
    ""
)</f>
        <v/>
      </c>
      <c r="T1342" s="385"/>
      <c r="U1342" s="385" t="s">
        <v>672</v>
      </c>
      <c r="V1342" s="385" t="s">
        <v>108</v>
      </c>
      <c r="W1342" s="385" t="s">
        <v>1436</v>
      </c>
      <c r="X1342" s="1"/>
    </row>
    <row r="1343" spans="1:24">
      <c r="A1343" s="385" t="s">
        <v>65</v>
      </c>
      <c r="B1343" s="385" t="s">
        <v>507</v>
      </c>
      <c r="C1343" s="385" t="s">
        <v>2914</v>
      </c>
      <c r="D1343" s="385" t="s">
        <v>89</v>
      </c>
      <c r="E1343" s="385" t="s">
        <v>29</v>
      </c>
      <c r="F1343" s="385"/>
      <c r="G1343" s="385" t="s">
        <v>130</v>
      </c>
      <c r="H1343" s="385"/>
      <c r="I1343" s="385"/>
      <c r="J1343" s="30"/>
      <c r="K1343" s="385" t="s">
        <v>63</v>
      </c>
      <c r="L1343" s="385"/>
      <c r="M1343" s="385"/>
      <c r="N1343" s="385"/>
      <c r="O1343" s="385"/>
      <c r="P1343" s="385" t="str">
        <f>IFERROR(
    IF(
        OR(ISBLANK(I1343), ISBLANK(L1343)),
        "",
        MAX(
            1,
            IF(
                NETWORKDAYS(I1343, L1343, Holiday_Dates) &lt;= 0,
                1,
                NETWORKDAYS(I1343, L1343, Holiday_Dates) - IF(I1343 = L1343, 0, 1)
            )
        )
    ),
    ""
)</f>
        <v/>
      </c>
      <c r="Q1343" s="385" t="str">
        <f>IF(
    OR(ISBLANK(L1343), ISBLANK(M1343)),
    "",
    MAX(
        1,
        IF(
            NETWORKDAYS(L1343, M1343, Holiday_Dates) &lt;= 0,
            1,
            NETWORKDAYS(L1343, M1343, Holiday_Dates) - IF(L1343 = M1343, 0, 1)
        )
    )
)</f>
        <v/>
      </c>
      <c r="R1343" s="385" t="str">
        <f>IFERROR(
    IF(
        OR(ISBLANK(N1343), AND(ISBLANK(L1343), ISBLANK(M1343))),
        "",
        MAX(
            1,
            IF(
                NETWORKDAYS(IF(NOT(ISBLANK(M1343)), M1343, L1343), N1343, Holiday_Dates) &lt;= 0,
                1,
                NETWORKDAYS(IF(NOT(ISBLANK(M1343)), M1343, L1343), N1343, Holiday_Dates)
                - IF(IF(NOT(ISBLANK(M1343)), M1343, L1343) = N1343, 0, 1)
            )
        )
    ),
    ""
)</f>
        <v/>
      </c>
      <c r="S1343" s="385" t="str">
        <f>IFERROR(
    IF(
        OR(ISBLANK(N1343), ISBLANK(O1343)),
        "",
        MAX(
            1,
            IF(
                NETWORKDAYS(N1343, O1343, Holiday_Dates) &lt;= 0,
                1,
                NETWORKDAYS(N1343, O1343, Holiday_Dates) - IF(N1343 = O1343, 0, 1)
            )
        )
    ),
    ""
)</f>
        <v/>
      </c>
      <c r="T1343" s="385"/>
      <c r="U1343" s="385"/>
      <c r="V1343" s="385"/>
      <c r="W1343" s="385" t="s">
        <v>4710</v>
      </c>
      <c r="X1343" s="1"/>
    </row>
    <row r="1344" spans="1:24">
      <c r="A1344" s="385" t="s">
        <v>65</v>
      </c>
      <c r="B1344" s="385" t="s">
        <v>511</v>
      </c>
      <c r="C1344" s="385" t="s">
        <v>3068</v>
      </c>
      <c r="D1344" s="385" t="s">
        <v>88</v>
      </c>
      <c r="E1344" s="385"/>
      <c r="F1344" s="385"/>
      <c r="G1344" s="385"/>
      <c r="H1344" s="385">
        <v>2024</v>
      </c>
      <c r="I1344" s="386">
        <v>45561</v>
      </c>
      <c r="J1344" s="30"/>
      <c r="K1344" s="385"/>
      <c r="L1344" s="385"/>
      <c r="M1344" s="385"/>
      <c r="N1344" s="385"/>
      <c r="O1344" s="385"/>
      <c r="P1344" s="385" t="str">
        <f>IFERROR(
    IF(
        OR(ISBLANK(I1344), ISBLANK(L1344)),
        "",
        MAX(
            1,
            IF(
                NETWORKDAYS(I1344, L1344, Holiday_Dates) &lt;= 0,
                1,
                NETWORKDAYS(I1344, L1344, Holiday_Dates) - IF(I1344 = L1344, 0, 1)
            )
        )
    ),
    ""
)</f>
        <v/>
      </c>
      <c r="Q1344" s="385" t="str">
        <f>IF(
    OR(ISBLANK(L1344), ISBLANK(M1344)),
    "",
    MAX(
        1,
        IF(
            NETWORKDAYS(L1344, M1344, Holiday_Dates) &lt;= 0,
            1,
            NETWORKDAYS(L1344, M1344, Holiday_Dates) - IF(L1344 = M1344, 0, 1)
        )
    )
)</f>
        <v/>
      </c>
      <c r="R1344" s="385" t="str">
        <f>IFERROR(
    IF(
        OR(ISBLANK(N1344), AND(ISBLANK(L1344), ISBLANK(M1344))),
        "",
        MAX(
            1,
            IF(
                NETWORKDAYS(IF(NOT(ISBLANK(M1344)), M1344, L1344), N1344, Holiday_Dates) &lt;= 0,
                1,
                NETWORKDAYS(IF(NOT(ISBLANK(M1344)), M1344, L1344), N1344, Holiday_Dates)
                - IF(IF(NOT(ISBLANK(M1344)), M1344, L1344) = N1344, 0, 1)
            )
        )
    ),
    ""
)</f>
        <v/>
      </c>
      <c r="S1344" s="385" t="str">
        <f>IFERROR(
    IF(
        OR(ISBLANK(N1344), ISBLANK(O1344)),
        "",
        MAX(
            1,
            IF(
                NETWORKDAYS(N1344, O1344, Holiday_Dates) &lt;= 0,
                1,
                NETWORKDAYS(N1344, O1344, Holiday_Dates) - IF(N1344 = O1344, 0, 1)
            )
        )
    ),
    ""
)</f>
        <v/>
      </c>
      <c r="T1344" s="385"/>
      <c r="U1344" s="385" t="s">
        <v>4</v>
      </c>
      <c r="V1344" s="385" t="s">
        <v>101</v>
      </c>
      <c r="W1344" s="385" t="s">
        <v>1436</v>
      </c>
      <c r="X1344" s="1"/>
    </row>
    <row r="1345" spans="1:24">
      <c r="A1345" s="385" t="s">
        <v>53</v>
      </c>
      <c r="B1345" s="385" t="s">
        <v>733</v>
      </c>
      <c r="C1345" s="385" t="s">
        <v>4458</v>
      </c>
      <c r="D1345" s="385" t="s">
        <v>89</v>
      </c>
      <c r="E1345" s="385" t="s">
        <v>42</v>
      </c>
      <c r="F1345" s="385"/>
      <c r="G1345" s="385" t="s">
        <v>133</v>
      </c>
      <c r="H1345" s="385"/>
      <c r="I1345" s="385"/>
      <c r="J1345" s="30"/>
      <c r="K1345" s="385" t="s">
        <v>63</v>
      </c>
      <c r="L1345" s="385"/>
      <c r="M1345" s="385"/>
      <c r="N1345" s="385"/>
      <c r="O1345" s="385"/>
      <c r="P1345" s="385" t="str">
        <f>IFERROR(
    IF(
        OR(ISBLANK(I1345), ISBLANK(L1345)),
        "",
        MAX(
            1,
            IF(
                NETWORKDAYS(I1345, L1345, Holiday_Dates) &lt;= 0,
                1,
                NETWORKDAYS(I1345, L1345, Holiday_Dates) - IF(I1345 = L1345, 0, 1)
            )
        )
    ),
    ""
)</f>
        <v/>
      </c>
      <c r="Q1345" s="385" t="str">
        <f>IF(
    OR(ISBLANK(L1345), ISBLANK(M1345)),
    "",
    MAX(
        1,
        IF(
            NETWORKDAYS(L1345, M1345, Holiday_Dates) &lt;= 0,
            1,
            NETWORKDAYS(L1345, M1345, Holiday_Dates) - IF(L1345 = M1345, 0, 1)
        )
    )
)</f>
        <v/>
      </c>
      <c r="R1345" s="385" t="str">
        <f>IFERROR(
    IF(
        OR(ISBLANK(N1345), AND(ISBLANK(L1345), ISBLANK(M1345))),
        "",
        MAX(
            1,
            IF(
                NETWORKDAYS(IF(NOT(ISBLANK(M1345)), M1345, L1345), N1345, Holiday_Dates) &lt;= 0,
                1,
                NETWORKDAYS(IF(NOT(ISBLANK(M1345)), M1345, L1345), N1345, Holiday_Dates)
                - IF(IF(NOT(ISBLANK(M1345)), M1345, L1345) = N1345, 0, 1)
            )
        )
    ),
    ""
)</f>
        <v/>
      </c>
      <c r="S1345" s="385" t="str">
        <f>IFERROR(
    IF(
        OR(ISBLANK(N1345), ISBLANK(O1345)),
        "",
        MAX(
            1,
            IF(
                NETWORKDAYS(N1345, O1345, Holiday_Dates) &lt;= 0,
                1,
                NETWORKDAYS(N1345, O1345, Holiday_Dates) - IF(N1345 = O1345, 0, 1)
            )
        )
    ),
    ""
)</f>
        <v/>
      </c>
      <c r="T1345" s="385"/>
      <c r="U1345" s="385"/>
      <c r="V1345" s="385"/>
      <c r="W1345" s="385" t="s">
        <v>4710</v>
      </c>
      <c r="X1345" s="1"/>
    </row>
    <row r="1346" spans="1:24">
      <c r="A1346" s="385" t="s">
        <v>65</v>
      </c>
      <c r="B1346" s="385" t="s">
        <v>511</v>
      </c>
      <c r="C1346" s="385" t="s">
        <v>3031</v>
      </c>
      <c r="D1346" s="385" t="s">
        <v>88</v>
      </c>
      <c r="E1346" s="385" t="s">
        <v>29</v>
      </c>
      <c r="F1346" s="385"/>
      <c r="G1346" s="385" t="s">
        <v>130</v>
      </c>
      <c r="H1346" s="385"/>
      <c r="I1346" s="385"/>
      <c r="J1346" s="30"/>
      <c r="K1346" s="385" t="s">
        <v>63</v>
      </c>
      <c r="L1346" s="385"/>
      <c r="M1346" s="385"/>
      <c r="N1346" s="385"/>
      <c r="O1346" s="385"/>
      <c r="P1346" s="385" t="str">
        <f>IFERROR(
    IF(
        OR(ISBLANK(I1346), ISBLANK(L1346)),
        "",
        MAX(
            1,
            IF(
                NETWORKDAYS(I1346, L1346, Holiday_Dates) &lt;= 0,
                1,
                NETWORKDAYS(I1346, L1346, Holiday_Dates) - IF(I1346 = L1346, 0, 1)
            )
        )
    ),
    ""
)</f>
        <v/>
      </c>
      <c r="Q1346" s="385" t="str">
        <f>IF(
    OR(ISBLANK(L1346), ISBLANK(M1346)),
    "",
    MAX(
        1,
        IF(
            NETWORKDAYS(L1346, M1346, Holiday_Dates) &lt;= 0,
            1,
            NETWORKDAYS(L1346, M1346, Holiday_Dates) - IF(L1346 = M1346, 0, 1)
        )
    )
)</f>
        <v/>
      </c>
      <c r="R1346" s="385" t="str">
        <f>IFERROR(
    IF(
        OR(ISBLANK(N1346), AND(ISBLANK(L1346), ISBLANK(M1346))),
        "",
        MAX(
            1,
            IF(
                NETWORKDAYS(IF(NOT(ISBLANK(M1346)), M1346, L1346), N1346, Holiday_Dates) &lt;= 0,
                1,
                NETWORKDAYS(IF(NOT(ISBLANK(M1346)), M1346, L1346), N1346, Holiday_Dates)
                - IF(IF(NOT(ISBLANK(M1346)), M1346, L1346) = N1346, 0, 1)
            )
        )
    ),
    ""
)</f>
        <v/>
      </c>
      <c r="S1346" s="385" t="str">
        <f>IFERROR(
    IF(
        OR(ISBLANK(N1346), ISBLANK(O1346)),
        "",
        MAX(
            1,
            IF(
                NETWORKDAYS(N1346, O1346, Holiday_Dates) &lt;= 0,
                1,
                NETWORKDAYS(N1346, O1346, Holiday_Dates) - IF(N1346 = O1346, 0, 1)
            )
        )
    ),
    ""
)</f>
        <v/>
      </c>
      <c r="T1346" s="385"/>
      <c r="U1346" s="385"/>
      <c r="V1346" s="385"/>
      <c r="W1346" s="385" t="s">
        <v>4710</v>
      </c>
      <c r="X1346" s="1"/>
    </row>
    <row r="1347" spans="1:24">
      <c r="A1347" s="385" t="s">
        <v>65</v>
      </c>
      <c r="B1347" s="385" t="s">
        <v>511</v>
      </c>
      <c r="C1347" s="385" t="s">
        <v>3032</v>
      </c>
      <c r="D1347" s="385" t="s">
        <v>88</v>
      </c>
      <c r="E1347" s="385" t="s">
        <v>29</v>
      </c>
      <c r="F1347" s="385"/>
      <c r="G1347" s="385" t="s">
        <v>130</v>
      </c>
      <c r="H1347" s="385"/>
      <c r="I1347" s="385"/>
      <c r="J1347" s="30"/>
      <c r="K1347" s="385" t="s">
        <v>63</v>
      </c>
      <c r="L1347" s="385"/>
      <c r="M1347" s="385"/>
      <c r="N1347" s="385"/>
      <c r="O1347" s="385"/>
      <c r="P1347" s="385" t="str">
        <f>IFERROR(
    IF(
        OR(ISBLANK(I1347), ISBLANK(L1347)),
        "",
        MAX(
            1,
            IF(
                NETWORKDAYS(I1347, L1347, Holiday_Dates) &lt;= 0,
                1,
                NETWORKDAYS(I1347, L1347, Holiday_Dates) - IF(I1347 = L1347, 0, 1)
            )
        )
    ),
    ""
)</f>
        <v/>
      </c>
      <c r="Q1347" s="385" t="str">
        <f>IF(
    OR(ISBLANK(L1347), ISBLANK(M1347)),
    "",
    MAX(
        1,
        IF(
            NETWORKDAYS(L1347, M1347, Holiday_Dates) &lt;= 0,
            1,
            NETWORKDAYS(L1347, M1347, Holiday_Dates) - IF(L1347 = M1347, 0, 1)
        )
    )
)</f>
        <v/>
      </c>
      <c r="R1347" s="385" t="str">
        <f>IFERROR(
    IF(
        OR(ISBLANK(N1347), AND(ISBLANK(L1347), ISBLANK(M1347))),
        "",
        MAX(
            1,
            IF(
                NETWORKDAYS(IF(NOT(ISBLANK(M1347)), M1347, L1347), N1347, Holiday_Dates) &lt;= 0,
                1,
                NETWORKDAYS(IF(NOT(ISBLANK(M1347)), M1347, L1347), N1347, Holiday_Dates)
                - IF(IF(NOT(ISBLANK(M1347)), M1347, L1347) = N1347, 0, 1)
            )
        )
    ),
    ""
)</f>
        <v/>
      </c>
      <c r="S1347" s="385" t="str">
        <f>IFERROR(
    IF(
        OR(ISBLANK(N1347), ISBLANK(O1347)),
        "",
        MAX(
            1,
            IF(
                NETWORKDAYS(N1347, O1347, Holiday_Dates) &lt;= 0,
                1,
                NETWORKDAYS(N1347, O1347, Holiday_Dates) - IF(N1347 = O1347, 0, 1)
            )
        )
    ),
    ""
)</f>
        <v/>
      </c>
      <c r="T1347" s="385"/>
      <c r="U1347" s="385"/>
      <c r="V1347" s="385"/>
      <c r="W1347" s="385" t="s">
        <v>4710</v>
      </c>
      <c r="X1347" s="1"/>
    </row>
    <row r="1348" spans="1:24">
      <c r="A1348" s="385" t="s">
        <v>65</v>
      </c>
      <c r="B1348" s="385" t="s">
        <v>511</v>
      </c>
      <c r="C1348" s="385" t="s">
        <v>368</v>
      </c>
      <c r="D1348" s="385" t="s">
        <v>88</v>
      </c>
      <c r="E1348" s="385" t="s">
        <v>29</v>
      </c>
      <c r="F1348" s="385"/>
      <c r="G1348" s="385" t="s">
        <v>130</v>
      </c>
      <c r="H1348" s="385"/>
      <c r="I1348" s="385"/>
      <c r="J1348" s="30"/>
      <c r="K1348" s="385" t="s">
        <v>63</v>
      </c>
      <c r="L1348" s="385"/>
      <c r="M1348" s="385"/>
      <c r="N1348" s="385"/>
      <c r="O1348" s="385"/>
      <c r="P1348" s="385" t="str">
        <f>IFERROR(
    IF(
        OR(ISBLANK(I1348), ISBLANK(L1348)),
        "",
        MAX(
            1,
            IF(
                NETWORKDAYS(I1348, L1348, Holiday_Dates) &lt;= 0,
                1,
                NETWORKDAYS(I1348, L1348, Holiday_Dates) - IF(I1348 = L1348, 0, 1)
            )
        )
    ),
    ""
)</f>
        <v/>
      </c>
      <c r="Q1348" s="385" t="str">
        <f>IF(
    OR(ISBLANK(L1348), ISBLANK(M1348)),
    "",
    MAX(
        1,
        IF(
            NETWORKDAYS(L1348, M1348, Holiday_Dates) &lt;= 0,
            1,
            NETWORKDAYS(L1348, M1348, Holiday_Dates) - IF(L1348 = M1348, 0, 1)
        )
    )
)</f>
        <v/>
      </c>
      <c r="R1348" s="385" t="str">
        <f>IFERROR(
    IF(
        OR(ISBLANK(N1348), AND(ISBLANK(L1348), ISBLANK(M1348))),
        "",
        MAX(
            1,
            IF(
                NETWORKDAYS(IF(NOT(ISBLANK(M1348)), M1348, L1348), N1348, Holiday_Dates) &lt;= 0,
                1,
                NETWORKDAYS(IF(NOT(ISBLANK(M1348)), M1348, L1348), N1348, Holiday_Dates)
                - IF(IF(NOT(ISBLANK(M1348)), M1348, L1348) = N1348, 0, 1)
            )
        )
    ),
    ""
)</f>
        <v/>
      </c>
      <c r="S1348" s="385" t="str">
        <f>IFERROR(
    IF(
        OR(ISBLANK(N1348), ISBLANK(O1348)),
        "",
        MAX(
            1,
            IF(
                NETWORKDAYS(N1348, O1348, Holiday_Dates) &lt;= 0,
                1,
                NETWORKDAYS(N1348, O1348, Holiday_Dates) - IF(N1348 = O1348, 0, 1)
            )
        )
    ),
    ""
)</f>
        <v/>
      </c>
      <c r="T1348" s="385"/>
      <c r="U1348" s="385"/>
      <c r="V1348" s="385"/>
      <c r="W1348" s="385" t="s">
        <v>4710</v>
      </c>
      <c r="X1348" s="1"/>
    </row>
    <row r="1349" spans="1:24">
      <c r="A1349" s="385" t="s">
        <v>65</v>
      </c>
      <c r="B1349" s="385" t="s">
        <v>511</v>
      </c>
      <c r="C1349" s="385" t="s">
        <v>3074</v>
      </c>
      <c r="D1349" s="385" t="s">
        <v>88</v>
      </c>
      <c r="E1349" s="385"/>
      <c r="F1349" s="385"/>
      <c r="G1349" s="385"/>
      <c r="H1349" s="385">
        <v>2025</v>
      </c>
      <c r="I1349" s="386">
        <v>45729</v>
      </c>
      <c r="J1349" s="30" t="s">
        <v>5234</v>
      </c>
      <c r="K1349" s="385"/>
      <c r="L1349" s="385"/>
      <c r="M1349" s="385"/>
      <c r="N1349" s="385"/>
      <c r="O1349" s="385"/>
      <c r="P1349" s="385" t="str">
        <f>IFERROR(
    IF(
        OR(ISBLANK(I1349), ISBLANK(L1349)),
        "",
        MAX(
            1,
            IF(
                NETWORKDAYS(I1349, L1349, Holiday_Dates) &lt;= 0,
                1,
                NETWORKDAYS(I1349, L1349, Holiday_Dates) - IF(I1349 = L1349, 0, 1)
            )
        )
    ),
    ""
)</f>
        <v/>
      </c>
      <c r="Q1349" s="385" t="str">
        <f>IF(
    OR(ISBLANK(L1349), ISBLANK(M1349)),
    "",
    MAX(
        1,
        IF(
            NETWORKDAYS(L1349, M1349, Holiday_Dates) &lt;= 0,
            1,
            NETWORKDAYS(L1349, M1349, Holiday_Dates) - IF(L1349 = M1349, 0, 1)
        )
    )
)</f>
        <v/>
      </c>
      <c r="R1349" s="385" t="str">
        <f>IFERROR(
    IF(
        OR(ISBLANK(N1349), AND(ISBLANK(L1349), ISBLANK(M1349))),
        "",
        MAX(
            1,
            IF(
                NETWORKDAYS(IF(NOT(ISBLANK(M1349)), M1349, L1349), N1349, Holiday_Dates) &lt;= 0,
                1,
                NETWORKDAYS(IF(NOT(ISBLANK(M1349)), M1349, L1349), N1349, Holiday_Dates)
                - IF(IF(NOT(ISBLANK(M1349)), M1349, L1349) = N1349, 0, 1)
            )
        )
    ),
    ""
)</f>
        <v/>
      </c>
      <c r="S1349" s="385" t="str">
        <f>IFERROR(
    IF(
        OR(ISBLANK(N1349), ISBLANK(O1349)),
        "",
        MAX(
            1,
            IF(
                NETWORKDAYS(N1349, O1349, Holiday_Dates) &lt;= 0,
                1,
                NETWORKDAYS(N1349, O1349, Holiday_Dates) - IF(N1349 = O1349, 0, 1)
            )
        )
    ),
    ""
)</f>
        <v/>
      </c>
      <c r="T1349" s="385"/>
      <c r="U1349" s="385" t="s">
        <v>672</v>
      </c>
      <c r="V1349" s="385" t="s">
        <v>101</v>
      </c>
      <c r="W1349" s="385" t="s">
        <v>1436</v>
      </c>
      <c r="X1349" s="1"/>
    </row>
    <row r="1350" spans="1:24">
      <c r="A1350" s="385" t="s">
        <v>65</v>
      </c>
      <c r="B1350" s="385" t="s">
        <v>511</v>
      </c>
      <c r="C1350" s="385" t="s">
        <v>3033</v>
      </c>
      <c r="D1350" s="385" t="s">
        <v>88</v>
      </c>
      <c r="E1350" s="385" t="s">
        <v>29</v>
      </c>
      <c r="F1350" s="385"/>
      <c r="G1350" s="385" t="s">
        <v>130</v>
      </c>
      <c r="H1350" s="385"/>
      <c r="I1350" s="385"/>
      <c r="J1350" s="30"/>
      <c r="K1350" s="385" t="s">
        <v>63</v>
      </c>
      <c r="L1350" s="385"/>
      <c r="M1350" s="385"/>
      <c r="N1350" s="385"/>
      <c r="O1350" s="385"/>
      <c r="P1350" s="385" t="str">
        <f>IFERROR(
    IF(
        OR(ISBLANK(I1350), ISBLANK(L1350)),
        "",
        MAX(
            1,
            IF(
                NETWORKDAYS(I1350, L1350, Holiday_Dates) &lt;= 0,
                1,
                NETWORKDAYS(I1350, L1350, Holiday_Dates) - IF(I1350 = L1350, 0, 1)
            )
        )
    ),
    ""
)</f>
        <v/>
      </c>
      <c r="Q1350" s="385" t="str">
        <f>IF(
    OR(ISBLANK(L1350), ISBLANK(M1350)),
    "",
    MAX(
        1,
        IF(
            NETWORKDAYS(L1350, M1350, Holiday_Dates) &lt;= 0,
            1,
            NETWORKDAYS(L1350, M1350, Holiday_Dates) - IF(L1350 = M1350, 0, 1)
        )
    )
)</f>
        <v/>
      </c>
      <c r="R1350" s="385" t="str">
        <f>IFERROR(
    IF(
        OR(ISBLANK(N1350), AND(ISBLANK(L1350), ISBLANK(M1350))),
        "",
        MAX(
            1,
            IF(
                NETWORKDAYS(IF(NOT(ISBLANK(M1350)), M1350, L1350), N1350, Holiday_Dates) &lt;= 0,
                1,
                NETWORKDAYS(IF(NOT(ISBLANK(M1350)), M1350, L1350), N1350, Holiday_Dates)
                - IF(IF(NOT(ISBLANK(M1350)), M1350, L1350) = N1350, 0, 1)
            )
        )
    ),
    ""
)</f>
        <v/>
      </c>
      <c r="S1350" s="385" t="str">
        <f>IFERROR(
    IF(
        OR(ISBLANK(N1350), ISBLANK(O1350)),
        "",
        MAX(
            1,
            IF(
                NETWORKDAYS(N1350, O1350, Holiday_Dates) &lt;= 0,
                1,
                NETWORKDAYS(N1350, O1350, Holiday_Dates) - IF(N1350 = O1350, 0, 1)
            )
        )
    ),
    ""
)</f>
        <v/>
      </c>
      <c r="T1350" s="385"/>
      <c r="U1350" s="385"/>
      <c r="V1350" s="385"/>
      <c r="W1350" s="385" t="s">
        <v>4710</v>
      </c>
      <c r="X1350" s="1"/>
    </row>
    <row r="1351" spans="1:24">
      <c r="A1351" s="385" t="s">
        <v>65</v>
      </c>
      <c r="B1351" s="385" t="s">
        <v>345</v>
      </c>
      <c r="C1351" s="385" t="s">
        <v>2951</v>
      </c>
      <c r="D1351" s="385" t="s">
        <v>88</v>
      </c>
      <c r="E1351" s="385"/>
      <c r="F1351" s="385"/>
      <c r="G1351" s="385"/>
      <c r="H1351" s="385">
        <v>2025</v>
      </c>
      <c r="I1351" s="386">
        <v>45741</v>
      </c>
      <c r="J1351" s="30" t="s">
        <v>5235</v>
      </c>
      <c r="K1351" s="385"/>
      <c r="L1351" s="385"/>
      <c r="M1351" s="385"/>
      <c r="N1351" s="385"/>
      <c r="O1351" s="385"/>
      <c r="P1351" s="385" t="str">
        <f>IFERROR(
    IF(
        OR(ISBLANK(I1351), ISBLANK(L1351)),
        "",
        MAX(
            1,
            IF(
                NETWORKDAYS(I1351, L1351, Holiday_Dates) &lt;= 0,
                1,
                NETWORKDAYS(I1351, L1351, Holiday_Dates) - IF(I1351 = L1351, 0, 1)
            )
        )
    ),
    ""
)</f>
        <v/>
      </c>
      <c r="Q1351" s="385" t="str">
        <f>IF(
    OR(ISBLANK(L1351), ISBLANK(M1351)),
    "",
    MAX(
        1,
        IF(
            NETWORKDAYS(L1351, M1351, Holiday_Dates) &lt;= 0,
            1,
            NETWORKDAYS(L1351, M1351, Holiday_Dates) - IF(L1351 = M1351, 0, 1)
        )
    )
)</f>
        <v/>
      </c>
      <c r="R1351" s="385" t="str">
        <f>IFERROR(
    IF(
        OR(ISBLANK(N1351), AND(ISBLANK(L1351), ISBLANK(M1351))),
        "",
        MAX(
            1,
            IF(
                NETWORKDAYS(IF(NOT(ISBLANK(M1351)), M1351, L1351), N1351, Holiday_Dates) &lt;= 0,
                1,
                NETWORKDAYS(IF(NOT(ISBLANK(M1351)), M1351, L1351), N1351, Holiday_Dates)
                - IF(IF(NOT(ISBLANK(M1351)), M1351, L1351) = N1351, 0, 1)
            )
        )
    ),
    ""
)</f>
        <v/>
      </c>
      <c r="S1351" s="385" t="str">
        <f>IFERROR(
    IF(
        OR(ISBLANK(N1351), ISBLANK(O1351)),
        "",
        MAX(
            1,
            IF(
                NETWORKDAYS(N1351, O1351, Holiday_Dates) &lt;= 0,
                1,
                NETWORKDAYS(N1351, O1351, Holiday_Dates) - IF(N1351 = O1351, 0, 1)
            )
        )
    ),
    ""
)</f>
        <v/>
      </c>
      <c r="T1351" s="385"/>
      <c r="U1351" s="385" t="s">
        <v>672</v>
      </c>
      <c r="V1351" s="385" t="s">
        <v>101</v>
      </c>
      <c r="W1351" s="385" t="s">
        <v>1436</v>
      </c>
      <c r="X1351" s="1"/>
    </row>
    <row r="1352" spans="1:24">
      <c r="A1352" s="385" t="s">
        <v>65</v>
      </c>
      <c r="B1352" s="385" t="s">
        <v>345</v>
      </c>
      <c r="C1352" s="385" t="s">
        <v>3077</v>
      </c>
      <c r="D1352" s="385" t="s">
        <v>88</v>
      </c>
      <c r="E1352" s="385"/>
      <c r="F1352" s="385"/>
      <c r="G1352" s="385"/>
      <c r="H1352" s="385">
        <v>2024</v>
      </c>
      <c r="I1352" s="386">
        <v>45408</v>
      </c>
      <c r="J1352" s="30"/>
      <c r="K1352" s="385"/>
      <c r="L1352" s="385"/>
      <c r="M1352" s="385"/>
      <c r="N1352" s="385"/>
      <c r="O1352" s="385"/>
      <c r="P1352" s="385" t="str">
        <f>IFERROR(
    IF(
        OR(ISBLANK(I1352), ISBLANK(L1352)),
        "",
        MAX(
            1,
            IF(
                NETWORKDAYS(I1352, L1352, Holiday_Dates) &lt;= 0,
                1,
                NETWORKDAYS(I1352, L1352, Holiday_Dates) - IF(I1352 = L1352, 0, 1)
            )
        )
    ),
    ""
)</f>
        <v/>
      </c>
      <c r="Q1352" s="385" t="str">
        <f>IF(
    OR(ISBLANK(L1352), ISBLANK(M1352)),
    "",
    MAX(
        1,
        IF(
            NETWORKDAYS(L1352, M1352, Holiday_Dates) &lt;= 0,
            1,
            NETWORKDAYS(L1352, M1352, Holiday_Dates) - IF(L1352 = M1352, 0, 1)
        )
    )
)</f>
        <v/>
      </c>
      <c r="R1352" s="385" t="str">
        <f>IFERROR(
    IF(
        OR(ISBLANK(N1352), AND(ISBLANK(L1352), ISBLANK(M1352))),
        "",
        MAX(
            1,
            IF(
                NETWORKDAYS(IF(NOT(ISBLANK(M1352)), M1352, L1352), N1352, Holiday_Dates) &lt;= 0,
                1,
                NETWORKDAYS(IF(NOT(ISBLANK(M1352)), M1352, L1352), N1352, Holiday_Dates)
                - IF(IF(NOT(ISBLANK(M1352)), M1352, L1352) = N1352, 0, 1)
            )
        )
    ),
    ""
)</f>
        <v/>
      </c>
      <c r="S1352" s="385" t="str">
        <f>IFERROR(
    IF(
        OR(ISBLANK(N1352), ISBLANK(O1352)),
        "",
        MAX(
            1,
            IF(
                NETWORKDAYS(N1352, O1352, Holiday_Dates) &lt;= 0,
                1,
                NETWORKDAYS(N1352, O1352, Holiday_Dates) - IF(N1352 = O1352, 0, 1)
            )
        )
    ),
    ""
)</f>
        <v/>
      </c>
      <c r="T1352" s="385"/>
      <c r="U1352" s="385" t="s">
        <v>672</v>
      </c>
      <c r="V1352" s="385"/>
      <c r="W1352" s="385" t="s">
        <v>1436</v>
      </c>
      <c r="X1352" s="1"/>
    </row>
    <row r="1353" spans="1:24">
      <c r="A1353" s="385" t="s">
        <v>65</v>
      </c>
      <c r="B1353" s="385" t="s">
        <v>345</v>
      </c>
      <c r="C1353" s="385" t="s">
        <v>3089</v>
      </c>
      <c r="D1353" s="385" t="s">
        <v>88</v>
      </c>
      <c r="E1353" s="385"/>
      <c r="F1353" s="385"/>
      <c r="G1353" s="385"/>
      <c r="H1353" s="385">
        <v>2025</v>
      </c>
      <c r="I1353" s="386">
        <v>45828</v>
      </c>
      <c r="J1353" s="30" t="s">
        <v>5236</v>
      </c>
      <c r="K1353" s="385"/>
      <c r="L1353" s="385"/>
      <c r="M1353" s="385"/>
      <c r="N1353" s="385"/>
      <c r="O1353" s="385"/>
      <c r="P1353" s="385" t="str">
        <f>IFERROR(
    IF(
        OR(ISBLANK(I1353), ISBLANK(L1353)),
        "",
        MAX(
            1,
            IF(
                NETWORKDAYS(I1353, L1353, Holiday_Dates) &lt;= 0,
                1,
                NETWORKDAYS(I1353, L1353, Holiday_Dates) - IF(I1353 = L1353, 0, 1)
            )
        )
    ),
    ""
)</f>
        <v/>
      </c>
      <c r="Q1353" s="385" t="str">
        <f>IF(
    OR(ISBLANK(L1353), ISBLANK(M1353)),
    "",
    MAX(
        1,
        IF(
            NETWORKDAYS(L1353, M1353, Holiday_Dates) &lt;= 0,
            1,
            NETWORKDAYS(L1353, M1353, Holiday_Dates) - IF(L1353 = M1353, 0, 1)
        )
    )
)</f>
        <v/>
      </c>
      <c r="R1353" s="385" t="str">
        <f>IFERROR(
    IF(
        OR(ISBLANK(N1353), AND(ISBLANK(L1353), ISBLANK(M1353))),
        "",
        MAX(
            1,
            IF(
                NETWORKDAYS(IF(NOT(ISBLANK(M1353)), M1353, L1353), N1353, Holiday_Dates) &lt;= 0,
                1,
                NETWORKDAYS(IF(NOT(ISBLANK(M1353)), M1353, L1353), N1353, Holiday_Dates)
                - IF(IF(NOT(ISBLANK(M1353)), M1353, L1353) = N1353, 0, 1)
            )
        )
    ),
    ""
)</f>
        <v/>
      </c>
      <c r="S1353" s="385" t="str">
        <f>IFERROR(
    IF(
        OR(ISBLANK(N1353), ISBLANK(O1353)),
        "",
        MAX(
            1,
            IF(
                NETWORKDAYS(N1353, O1353, Holiday_Dates) &lt;= 0,
                1,
                NETWORKDAYS(N1353, O1353, Holiday_Dates) - IF(N1353 = O1353, 0, 1)
            )
        )
    ),
    ""
)</f>
        <v/>
      </c>
      <c r="T1353" s="385"/>
      <c r="U1353" s="385" t="s">
        <v>672</v>
      </c>
      <c r="V1353" s="385" t="s">
        <v>101</v>
      </c>
      <c r="W1353" s="385" t="s">
        <v>1436</v>
      </c>
      <c r="X1353" s="1"/>
    </row>
    <row r="1354" spans="1:24">
      <c r="A1354" s="385" t="s">
        <v>65</v>
      </c>
      <c r="B1354" s="385" t="s">
        <v>345</v>
      </c>
      <c r="C1354" s="385" t="s">
        <v>3079</v>
      </c>
      <c r="D1354" s="385" t="s">
        <v>88</v>
      </c>
      <c r="E1354" s="385"/>
      <c r="F1354" s="385"/>
      <c r="G1354" s="385"/>
      <c r="H1354" s="385">
        <v>2025</v>
      </c>
      <c r="I1354" s="386">
        <v>45741</v>
      </c>
      <c r="J1354" s="30" t="s">
        <v>5237</v>
      </c>
      <c r="K1354" s="385"/>
      <c r="L1354" s="385"/>
      <c r="M1354" s="385"/>
      <c r="N1354" s="385"/>
      <c r="O1354" s="385"/>
      <c r="P1354" s="385" t="str">
        <f>IFERROR(
    IF(
        OR(ISBLANK(I1354), ISBLANK(L1354)),
        "",
        MAX(
            1,
            IF(
                NETWORKDAYS(I1354, L1354, Holiday_Dates) &lt;= 0,
                1,
                NETWORKDAYS(I1354, L1354, Holiday_Dates) - IF(I1354 = L1354, 0, 1)
            )
        )
    ),
    ""
)</f>
        <v/>
      </c>
      <c r="Q1354" s="385" t="str">
        <f>IF(
    OR(ISBLANK(L1354), ISBLANK(M1354)),
    "",
    MAX(
        1,
        IF(
            NETWORKDAYS(L1354, M1354, Holiday_Dates) &lt;= 0,
            1,
            NETWORKDAYS(L1354, M1354, Holiday_Dates) - IF(L1354 = M1354, 0, 1)
        )
    )
)</f>
        <v/>
      </c>
      <c r="R1354" s="385" t="str">
        <f>IFERROR(
    IF(
        OR(ISBLANK(N1354), AND(ISBLANK(L1354), ISBLANK(M1354))),
        "",
        MAX(
            1,
            IF(
                NETWORKDAYS(IF(NOT(ISBLANK(M1354)), M1354, L1354), N1354, Holiday_Dates) &lt;= 0,
                1,
                NETWORKDAYS(IF(NOT(ISBLANK(M1354)), M1354, L1354), N1354, Holiday_Dates)
                - IF(IF(NOT(ISBLANK(M1354)), M1354, L1354) = N1354, 0, 1)
            )
        )
    ),
    ""
)</f>
        <v/>
      </c>
      <c r="S1354" s="385" t="str">
        <f>IFERROR(
    IF(
        OR(ISBLANK(N1354), ISBLANK(O1354)),
        "",
        MAX(
            1,
            IF(
                NETWORKDAYS(N1354, O1354, Holiday_Dates) &lt;= 0,
                1,
                NETWORKDAYS(N1354, O1354, Holiday_Dates) - IF(N1354 = O1354, 0, 1)
            )
        )
    ),
    ""
)</f>
        <v/>
      </c>
      <c r="T1354" s="385"/>
      <c r="U1354" s="385" t="s">
        <v>672</v>
      </c>
      <c r="V1354" s="385" t="s">
        <v>101</v>
      </c>
      <c r="W1354" s="385" t="s">
        <v>1436</v>
      </c>
      <c r="X1354" s="1"/>
    </row>
    <row r="1355" spans="1:24">
      <c r="A1355" s="385" t="s">
        <v>65</v>
      </c>
      <c r="B1355" s="385" t="s">
        <v>345</v>
      </c>
      <c r="C1355" s="385" t="s">
        <v>3080</v>
      </c>
      <c r="D1355" s="385" t="s">
        <v>88</v>
      </c>
      <c r="E1355" s="385"/>
      <c r="F1355" s="385"/>
      <c r="G1355" s="385"/>
      <c r="H1355" s="385">
        <v>2024</v>
      </c>
      <c r="I1355" s="386">
        <v>45604</v>
      </c>
      <c r="J1355" s="30"/>
      <c r="K1355" s="385"/>
      <c r="L1355" s="385"/>
      <c r="M1355" s="385"/>
      <c r="N1355" s="385"/>
      <c r="O1355" s="385"/>
      <c r="P1355" s="385" t="str">
        <f>IFERROR(
    IF(
        OR(ISBLANK(I1355), ISBLANK(L1355)),
        "",
        MAX(
            1,
            IF(
                NETWORKDAYS(I1355, L1355, Holiday_Dates) &lt;= 0,
                1,
                NETWORKDAYS(I1355, L1355, Holiday_Dates) - IF(I1355 = L1355, 0, 1)
            )
        )
    ),
    ""
)</f>
        <v/>
      </c>
      <c r="Q1355" s="385" t="str">
        <f>IF(
    OR(ISBLANK(L1355), ISBLANK(M1355)),
    "",
    MAX(
        1,
        IF(
            NETWORKDAYS(L1355, M1355, Holiday_Dates) &lt;= 0,
            1,
            NETWORKDAYS(L1355, M1355, Holiday_Dates) - IF(L1355 = M1355, 0, 1)
        )
    )
)</f>
        <v/>
      </c>
      <c r="R1355" s="385" t="str">
        <f>IFERROR(
    IF(
        OR(ISBLANK(N1355), AND(ISBLANK(L1355), ISBLANK(M1355))),
        "",
        MAX(
            1,
            IF(
                NETWORKDAYS(IF(NOT(ISBLANK(M1355)), M1355, L1355), N1355, Holiday_Dates) &lt;= 0,
                1,
                NETWORKDAYS(IF(NOT(ISBLANK(M1355)), M1355, L1355), N1355, Holiday_Dates)
                - IF(IF(NOT(ISBLANK(M1355)), M1355, L1355) = N1355, 0, 1)
            )
        )
    ),
    ""
)</f>
        <v/>
      </c>
      <c r="S1355" s="385" t="str">
        <f>IFERROR(
    IF(
        OR(ISBLANK(N1355), ISBLANK(O1355)),
        "",
        MAX(
            1,
            IF(
                NETWORKDAYS(N1355, O1355, Holiday_Dates) &lt;= 0,
                1,
                NETWORKDAYS(N1355, O1355, Holiday_Dates) - IF(N1355 = O1355, 0, 1)
            )
        )
    ),
    ""
)</f>
        <v/>
      </c>
      <c r="T1355" s="385"/>
      <c r="U1355" s="385" t="s">
        <v>4</v>
      </c>
      <c r="V1355" s="385" t="s">
        <v>101</v>
      </c>
      <c r="W1355" s="385" t="s">
        <v>1436</v>
      </c>
      <c r="X1355" s="1"/>
    </row>
    <row r="1356" spans="1:24">
      <c r="A1356" s="385" t="s">
        <v>65</v>
      </c>
      <c r="B1356" s="385" t="s">
        <v>345</v>
      </c>
      <c r="C1356" s="385" t="s">
        <v>3082</v>
      </c>
      <c r="D1356" s="385" t="s">
        <v>88</v>
      </c>
      <c r="E1356" s="385"/>
      <c r="F1356" s="385"/>
      <c r="G1356" s="385"/>
      <c r="H1356" s="385">
        <v>2025</v>
      </c>
      <c r="I1356" s="386">
        <v>45925</v>
      </c>
      <c r="J1356" s="30" t="s">
        <v>5238</v>
      </c>
      <c r="K1356" s="385"/>
      <c r="L1356" s="385"/>
      <c r="M1356" s="385"/>
      <c r="N1356" s="385"/>
      <c r="O1356" s="385"/>
      <c r="P1356" s="385" t="str">
        <f>IFERROR(
    IF(
        OR(ISBLANK(I1356), ISBLANK(L1356)),
        "",
        MAX(
            1,
            IF(
                NETWORKDAYS(I1356, L1356, Holiday_Dates) &lt;= 0,
                1,
                NETWORKDAYS(I1356, L1356, Holiday_Dates) - IF(I1356 = L1356, 0, 1)
            )
        )
    ),
    ""
)</f>
        <v/>
      </c>
      <c r="Q1356" s="385" t="str">
        <f>IF(
    OR(ISBLANK(L1356), ISBLANK(M1356)),
    "",
    MAX(
        1,
        IF(
            NETWORKDAYS(L1356, M1356, Holiday_Dates) &lt;= 0,
            1,
            NETWORKDAYS(L1356, M1356, Holiday_Dates) - IF(L1356 = M1356, 0, 1)
        )
    )
)</f>
        <v/>
      </c>
      <c r="R1356" s="385" t="str">
        <f>IFERROR(
    IF(
        OR(ISBLANK(N1356), AND(ISBLANK(L1356), ISBLANK(M1356))),
        "",
        MAX(
            1,
            IF(
                NETWORKDAYS(IF(NOT(ISBLANK(M1356)), M1356, L1356), N1356, Holiday_Dates) &lt;= 0,
                1,
                NETWORKDAYS(IF(NOT(ISBLANK(M1356)), M1356, L1356), N1356, Holiday_Dates)
                - IF(IF(NOT(ISBLANK(M1356)), M1356, L1356) = N1356, 0, 1)
            )
        )
    ),
    ""
)</f>
        <v/>
      </c>
      <c r="S1356" s="385" t="str">
        <f>IFERROR(
    IF(
        OR(ISBLANK(N1356), ISBLANK(O1356)),
        "",
        MAX(
            1,
            IF(
                NETWORKDAYS(N1356, O1356, Holiday_Dates) &lt;= 0,
                1,
                NETWORKDAYS(N1356, O1356, Holiday_Dates) - IF(N1356 = O1356, 0, 1)
            )
        )
    ),
    ""
)</f>
        <v/>
      </c>
      <c r="T1356" s="385"/>
      <c r="U1356" s="385" t="s">
        <v>672</v>
      </c>
      <c r="V1356" s="385" t="s">
        <v>101</v>
      </c>
      <c r="W1356" s="385" t="s">
        <v>1436</v>
      </c>
      <c r="X1356" s="1"/>
    </row>
    <row r="1357" spans="1:24">
      <c r="A1357" s="385" t="s">
        <v>65</v>
      </c>
      <c r="B1357" s="385" t="s">
        <v>345</v>
      </c>
      <c r="C1357" s="385" t="s">
        <v>766</v>
      </c>
      <c r="D1357" s="385" t="s">
        <v>88</v>
      </c>
      <c r="E1357" s="385"/>
      <c r="F1357" s="385"/>
      <c r="G1357" s="385"/>
      <c r="H1357" s="385">
        <v>2025</v>
      </c>
      <c r="I1357" s="386">
        <v>45807</v>
      </c>
      <c r="J1357" s="30" t="s">
        <v>5239</v>
      </c>
      <c r="K1357" s="385"/>
      <c r="L1357" s="385"/>
      <c r="M1357" s="385"/>
      <c r="N1357" s="385"/>
      <c r="O1357" s="385"/>
      <c r="P1357" s="385" t="str">
        <f>IFERROR(
    IF(
        OR(ISBLANK(I1357), ISBLANK(L1357)),
        "",
        MAX(
            1,
            IF(
                NETWORKDAYS(I1357, L1357, Holiday_Dates) &lt;= 0,
                1,
                NETWORKDAYS(I1357, L1357, Holiday_Dates) - IF(I1357 = L1357, 0, 1)
            )
        )
    ),
    ""
)</f>
        <v/>
      </c>
      <c r="Q1357" s="385" t="str">
        <f>IF(
    OR(ISBLANK(L1357), ISBLANK(M1357)),
    "",
    MAX(
        1,
        IF(
            NETWORKDAYS(L1357, M1357, Holiday_Dates) &lt;= 0,
            1,
            NETWORKDAYS(L1357, M1357, Holiday_Dates) - IF(L1357 = M1357, 0, 1)
        )
    )
)</f>
        <v/>
      </c>
      <c r="R1357" s="385" t="str">
        <f>IFERROR(
    IF(
        OR(ISBLANK(N1357), AND(ISBLANK(L1357), ISBLANK(M1357))),
        "",
        MAX(
            1,
            IF(
                NETWORKDAYS(IF(NOT(ISBLANK(M1357)), M1357, L1357), N1357, Holiday_Dates) &lt;= 0,
                1,
                NETWORKDAYS(IF(NOT(ISBLANK(M1357)), M1357, L1357), N1357, Holiday_Dates)
                - IF(IF(NOT(ISBLANK(M1357)), M1357, L1357) = N1357, 0, 1)
            )
        )
    ),
    ""
)</f>
        <v/>
      </c>
      <c r="S1357" s="385" t="str">
        <f>IFERROR(
    IF(
        OR(ISBLANK(N1357), ISBLANK(O1357)),
        "",
        MAX(
            1,
            IF(
                NETWORKDAYS(N1357, O1357, Holiday_Dates) &lt;= 0,
                1,
                NETWORKDAYS(N1357, O1357, Holiday_Dates) - IF(N1357 = O1357, 0, 1)
            )
        )
    ),
    ""
)</f>
        <v/>
      </c>
      <c r="T1357" s="385"/>
      <c r="U1357" s="385" t="s">
        <v>672</v>
      </c>
      <c r="V1357" s="385" t="s">
        <v>101</v>
      </c>
      <c r="W1357" s="385" t="s">
        <v>1436</v>
      </c>
      <c r="X1357" s="1"/>
    </row>
    <row r="1358" spans="1:24">
      <c r="A1358" s="385" t="s">
        <v>65</v>
      </c>
      <c r="B1358" s="385" t="s">
        <v>345</v>
      </c>
      <c r="C1358" s="385" t="s">
        <v>3083</v>
      </c>
      <c r="D1358" s="385" t="s">
        <v>88</v>
      </c>
      <c r="E1358" s="385"/>
      <c r="F1358" s="385"/>
      <c r="G1358" s="385"/>
      <c r="H1358" s="385">
        <v>2024</v>
      </c>
      <c r="I1358" s="386">
        <v>45414</v>
      </c>
      <c r="J1358" s="30"/>
      <c r="K1358" s="385"/>
      <c r="L1358" s="385"/>
      <c r="M1358" s="385"/>
      <c r="N1358" s="385"/>
      <c r="O1358" s="385"/>
      <c r="P1358" s="385" t="str">
        <f>IFERROR(
    IF(
        OR(ISBLANK(I1358), ISBLANK(L1358)),
        "",
        MAX(
            1,
            IF(
                NETWORKDAYS(I1358, L1358, Holiday_Dates) &lt;= 0,
                1,
                NETWORKDAYS(I1358, L1358, Holiday_Dates) - IF(I1358 = L1358, 0, 1)
            )
        )
    ),
    ""
)</f>
        <v/>
      </c>
      <c r="Q1358" s="385" t="str">
        <f>IF(
    OR(ISBLANK(L1358), ISBLANK(M1358)),
    "",
    MAX(
        1,
        IF(
            NETWORKDAYS(L1358, M1358, Holiday_Dates) &lt;= 0,
            1,
            NETWORKDAYS(L1358, M1358, Holiday_Dates) - IF(L1358 = M1358, 0, 1)
        )
    )
)</f>
        <v/>
      </c>
      <c r="R1358" s="385" t="str">
        <f>IFERROR(
    IF(
        OR(ISBLANK(N1358), AND(ISBLANK(L1358), ISBLANK(M1358))),
        "",
        MAX(
            1,
            IF(
                NETWORKDAYS(IF(NOT(ISBLANK(M1358)), M1358, L1358), N1358, Holiday_Dates) &lt;= 0,
                1,
                NETWORKDAYS(IF(NOT(ISBLANK(M1358)), M1358, L1358), N1358, Holiday_Dates)
                - IF(IF(NOT(ISBLANK(M1358)), M1358, L1358) = N1358, 0, 1)
            )
        )
    ),
    ""
)</f>
        <v/>
      </c>
      <c r="S1358" s="385" t="str">
        <f>IFERROR(
    IF(
        OR(ISBLANK(N1358), ISBLANK(O1358)),
        "",
        MAX(
            1,
            IF(
                NETWORKDAYS(N1358, O1358, Holiday_Dates) &lt;= 0,
                1,
                NETWORKDAYS(N1358, O1358, Holiday_Dates) - IF(N1358 = O1358, 0, 1)
            )
        )
    ),
    ""
)</f>
        <v/>
      </c>
      <c r="T1358" s="385"/>
      <c r="U1358" s="385" t="s">
        <v>672</v>
      </c>
      <c r="V1358" s="385"/>
      <c r="W1358" s="385" t="s">
        <v>1436</v>
      </c>
      <c r="X1358" s="1"/>
    </row>
    <row r="1359" spans="1:24">
      <c r="A1359" s="385" t="s">
        <v>65</v>
      </c>
      <c r="B1359" s="385" t="s">
        <v>345</v>
      </c>
      <c r="C1359" s="385" t="s">
        <v>3085</v>
      </c>
      <c r="D1359" s="385" t="s">
        <v>88</v>
      </c>
      <c r="E1359" s="385"/>
      <c r="F1359" s="385"/>
      <c r="G1359" s="385"/>
      <c r="H1359" s="385">
        <v>2025</v>
      </c>
      <c r="I1359" s="386">
        <v>45769</v>
      </c>
      <c r="J1359" s="30" t="s">
        <v>5240</v>
      </c>
      <c r="K1359" s="385"/>
      <c r="L1359" s="385"/>
      <c r="M1359" s="385"/>
      <c r="N1359" s="385"/>
      <c r="O1359" s="385"/>
      <c r="P1359" s="385" t="str">
        <f>IFERROR(
    IF(
        OR(ISBLANK(I1359), ISBLANK(L1359)),
        "",
        MAX(
            1,
            IF(
                NETWORKDAYS(I1359, L1359, Holiday_Dates) &lt;= 0,
                1,
                NETWORKDAYS(I1359, L1359, Holiday_Dates) - IF(I1359 = L1359, 0, 1)
            )
        )
    ),
    ""
)</f>
        <v/>
      </c>
      <c r="Q1359" s="385" t="str">
        <f>IF(
    OR(ISBLANK(L1359), ISBLANK(M1359)),
    "",
    MAX(
        1,
        IF(
            NETWORKDAYS(L1359, M1359, Holiday_Dates) &lt;= 0,
            1,
            NETWORKDAYS(L1359, M1359, Holiday_Dates) - IF(L1359 = M1359, 0, 1)
        )
    )
)</f>
        <v/>
      </c>
      <c r="R1359" s="385" t="str">
        <f>IFERROR(
    IF(
        OR(ISBLANK(N1359), AND(ISBLANK(L1359), ISBLANK(M1359))),
        "",
        MAX(
            1,
            IF(
                NETWORKDAYS(IF(NOT(ISBLANK(M1359)), M1359, L1359), N1359, Holiday_Dates) &lt;= 0,
                1,
                NETWORKDAYS(IF(NOT(ISBLANK(M1359)), M1359, L1359), N1359, Holiday_Dates)
                - IF(IF(NOT(ISBLANK(M1359)), M1359, L1359) = N1359, 0, 1)
            )
        )
    ),
    ""
)</f>
        <v/>
      </c>
      <c r="S1359" s="385" t="str">
        <f>IFERROR(
    IF(
        OR(ISBLANK(N1359), ISBLANK(O1359)),
        "",
        MAX(
            1,
            IF(
                NETWORKDAYS(N1359, O1359, Holiday_Dates) &lt;= 0,
                1,
                NETWORKDAYS(N1359, O1359, Holiday_Dates) - IF(N1359 = O1359, 0, 1)
            )
        )
    ),
    ""
)</f>
        <v/>
      </c>
      <c r="T1359" s="385"/>
      <c r="U1359" s="385" t="s">
        <v>672</v>
      </c>
      <c r="V1359" s="385" t="s">
        <v>101</v>
      </c>
      <c r="W1359" s="385" t="s">
        <v>1436</v>
      </c>
      <c r="X1359" s="1"/>
    </row>
    <row r="1360" spans="1:24">
      <c r="A1360" s="385" t="s">
        <v>65</v>
      </c>
      <c r="B1360" s="385" t="s">
        <v>345</v>
      </c>
      <c r="C1360" s="385" t="s">
        <v>3086</v>
      </c>
      <c r="D1360" s="385" t="s">
        <v>88</v>
      </c>
      <c r="E1360" s="385"/>
      <c r="F1360" s="385"/>
      <c r="G1360" s="385"/>
      <c r="H1360" s="385">
        <v>2025</v>
      </c>
      <c r="I1360" s="386">
        <v>45939</v>
      </c>
      <c r="J1360" s="30" t="s">
        <v>5241</v>
      </c>
      <c r="K1360" s="385"/>
      <c r="L1360" s="385"/>
      <c r="M1360" s="385"/>
      <c r="N1360" s="385"/>
      <c r="O1360" s="385"/>
      <c r="P1360" s="385" t="str">
        <f>IFERROR(
    IF(
        OR(ISBLANK(I1360), ISBLANK(L1360)),
        "",
        MAX(
            1,
            IF(
                NETWORKDAYS(I1360, L1360, Holiday_Dates) &lt;= 0,
                1,
                NETWORKDAYS(I1360, L1360, Holiday_Dates) - IF(I1360 = L1360, 0, 1)
            )
        )
    ),
    ""
)</f>
        <v/>
      </c>
      <c r="Q1360" s="385" t="str">
        <f>IF(
    OR(ISBLANK(L1360), ISBLANK(M1360)),
    "",
    MAX(
        1,
        IF(
            NETWORKDAYS(L1360, M1360, Holiday_Dates) &lt;= 0,
            1,
            NETWORKDAYS(L1360, M1360, Holiday_Dates) - IF(L1360 = M1360, 0, 1)
        )
    )
)</f>
        <v/>
      </c>
      <c r="R1360" s="385" t="str">
        <f>IFERROR(
    IF(
        OR(ISBLANK(N1360), AND(ISBLANK(L1360), ISBLANK(M1360))),
        "",
        MAX(
            1,
            IF(
                NETWORKDAYS(IF(NOT(ISBLANK(M1360)), M1360, L1360), N1360, Holiday_Dates) &lt;= 0,
                1,
                NETWORKDAYS(IF(NOT(ISBLANK(M1360)), M1360, L1360), N1360, Holiday_Dates)
                - IF(IF(NOT(ISBLANK(M1360)), M1360, L1360) = N1360, 0, 1)
            )
        )
    ),
    ""
)</f>
        <v/>
      </c>
      <c r="S1360" s="385" t="str">
        <f>IFERROR(
    IF(
        OR(ISBLANK(N1360), ISBLANK(O1360)),
        "",
        MAX(
            1,
            IF(
                NETWORKDAYS(N1360, O1360, Holiday_Dates) &lt;= 0,
                1,
                NETWORKDAYS(N1360, O1360, Holiday_Dates) - IF(N1360 = O1360, 0, 1)
            )
        )
    ),
    ""
)</f>
        <v/>
      </c>
      <c r="T1360" s="385"/>
      <c r="U1360" s="385" t="s">
        <v>672</v>
      </c>
      <c r="V1360" s="385" t="s">
        <v>101</v>
      </c>
      <c r="W1360" s="385" t="s">
        <v>1436</v>
      </c>
      <c r="X1360" s="1"/>
    </row>
    <row r="1361" spans="1:24">
      <c r="A1361" s="385" t="s">
        <v>65</v>
      </c>
      <c r="B1361" s="385" t="s">
        <v>345</v>
      </c>
      <c r="C1361" s="385" t="s">
        <v>3087</v>
      </c>
      <c r="D1361" s="385" t="s">
        <v>88</v>
      </c>
      <c r="E1361" s="385"/>
      <c r="F1361" s="385"/>
      <c r="G1361" s="385"/>
      <c r="H1361" s="385">
        <v>2024</v>
      </c>
      <c r="I1361" s="386">
        <v>45324</v>
      </c>
      <c r="J1361" s="30"/>
      <c r="K1361" s="385"/>
      <c r="L1361" s="385"/>
      <c r="M1361" s="385"/>
      <c r="N1361" s="385"/>
      <c r="O1361" s="385"/>
      <c r="P1361" s="385" t="str">
        <f>IFERROR(
    IF(
        OR(ISBLANK(I1361), ISBLANK(L1361)),
        "",
        MAX(
            1,
            IF(
                NETWORKDAYS(I1361, L1361, Holiday_Dates) &lt;= 0,
                1,
                NETWORKDAYS(I1361, L1361, Holiday_Dates) - IF(I1361 = L1361, 0, 1)
            )
        )
    ),
    ""
)</f>
        <v/>
      </c>
      <c r="Q1361" s="385" t="str">
        <f>IF(
    OR(ISBLANK(L1361), ISBLANK(M1361)),
    "",
    MAX(
        1,
        IF(
            NETWORKDAYS(L1361, M1361, Holiday_Dates) &lt;= 0,
            1,
            NETWORKDAYS(L1361, M1361, Holiday_Dates) - IF(L1361 = M1361, 0, 1)
        )
    )
)</f>
        <v/>
      </c>
      <c r="R1361" s="385" t="str">
        <f>IFERROR(
    IF(
        OR(ISBLANK(N1361), AND(ISBLANK(L1361), ISBLANK(M1361))),
        "",
        MAX(
            1,
            IF(
                NETWORKDAYS(IF(NOT(ISBLANK(M1361)), M1361, L1361), N1361, Holiday_Dates) &lt;= 0,
                1,
                NETWORKDAYS(IF(NOT(ISBLANK(M1361)), M1361, L1361), N1361, Holiday_Dates)
                - IF(IF(NOT(ISBLANK(M1361)), M1361, L1361) = N1361, 0, 1)
            )
        )
    ),
    ""
)</f>
        <v/>
      </c>
      <c r="S1361" s="385" t="str">
        <f>IFERROR(
    IF(
        OR(ISBLANK(N1361), ISBLANK(O1361)),
        "",
        MAX(
            1,
            IF(
                NETWORKDAYS(N1361, O1361, Holiday_Dates) &lt;= 0,
                1,
                NETWORKDAYS(N1361, O1361, Holiday_Dates) - IF(N1361 = O1361, 0, 1)
            )
        )
    ),
    ""
)</f>
        <v/>
      </c>
      <c r="T1361" s="385"/>
      <c r="U1361" s="385" t="s">
        <v>672</v>
      </c>
      <c r="V1361" s="385"/>
      <c r="W1361" s="385" t="s">
        <v>1436</v>
      </c>
      <c r="X1361" s="1"/>
    </row>
    <row r="1362" spans="1:24">
      <c r="A1362" s="385" t="s">
        <v>65</v>
      </c>
      <c r="B1362" s="385" t="s">
        <v>345</v>
      </c>
      <c r="C1362" s="385" t="s">
        <v>643</v>
      </c>
      <c r="D1362" s="385" t="s">
        <v>88</v>
      </c>
      <c r="E1362" s="385"/>
      <c r="F1362" s="385"/>
      <c r="G1362" s="385"/>
      <c r="H1362" s="385">
        <v>2025</v>
      </c>
      <c r="I1362" s="386">
        <v>45925</v>
      </c>
      <c r="J1362" s="30" t="s">
        <v>5242</v>
      </c>
      <c r="K1362" s="385"/>
      <c r="L1362" s="385"/>
      <c r="M1362" s="385"/>
      <c r="N1362" s="385"/>
      <c r="O1362" s="385"/>
      <c r="P1362" s="385" t="str">
        <f>IFERROR(
    IF(
        OR(ISBLANK(I1362), ISBLANK(L1362)),
        "",
        MAX(
            1,
            IF(
                NETWORKDAYS(I1362, L1362, Holiday_Dates) &lt;= 0,
                1,
                NETWORKDAYS(I1362, L1362, Holiday_Dates) - IF(I1362 = L1362, 0, 1)
            )
        )
    ),
    ""
)</f>
        <v/>
      </c>
      <c r="Q1362" s="385" t="str">
        <f>IF(
    OR(ISBLANK(L1362), ISBLANK(M1362)),
    "",
    MAX(
        1,
        IF(
            NETWORKDAYS(L1362, M1362, Holiday_Dates) &lt;= 0,
            1,
            NETWORKDAYS(L1362, M1362, Holiday_Dates) - IF(L1362 = M1362, 0, 1)
        )
    )
)</f>
        <v/>
      </c>
      <c r="R1362" s="385" t="str">
        <f>IFERROR(
    IF(
        OR(ISBLANK(N1362), AND(ISBLANK(L1362), ISBLANK(M1362))),
        "",
        MAX(
            1,
            IF(
                NETWORKDAYS(IF(NOT(ISBLANK(M1362)), M1362, L1362), N1362, Holiday_Dates) &lt;= 0,
                1,
                NETWORKDAYS(IF(NOT(ISBLANK(M1362)), M1362, L1362), N1362, Holiday_Dates)
                - IF(IF(NOT(ISBLANK(M1362)), M1362, L1362) = N1362, 0, 1)
            )
        )
    ),
    ""
)</f>
        <v/>
      </c>
      <c r="S1362" s="385" t="str">
        <f>IFERROR(
    IF(
        OR(ISBLANK(N1362), ISBLANK(O1362)),
        "",
        MAX(
            1,
            IF(
                NETWORKDAYS(N1362, O1362, Holiday_Dates) &lt;= 0,
                1,
                NETWORKDAYS(N1362, O1362, Holiday_Dates) - IF(N1362 = O1362, 0, 1)
            )
        )
    ),
    ""
)</f>
        <v/>
      </c>
      <c r="T1362" s="385"/>
      <c r="U1362" s="385" t="s">
        <v>672</v>
      </c>
      <c r="V1362" s="385" t="s">
        <v>101</v>
      </c>
      <c r="W1362" s="385" t="s">
        <v>1436</v>
      </c>
      <c r="X1362" s="1"/>
    </row>
    <row r="1363" spans="1:24">
      <c r="A1363" s="385" t="s">
        <v>65</v>
      </c>
      <c r="B1363" s="385" t="s">
        <v>345</v>
      </c>
      <c r="C1363" s="385" t="s">
        <v>3098</v>
      </c>
      <c r="D1363" s="385" t="s">
        <v>88</v>
      </c>
      <c r="E1363" s="385"/>
      <c r="F1363" s="385"/>
      <c r="G1363" s="385"/>
      <c r="H1363" s="385">
        <v>2025</v>
      </c>
      <c r="I1363" s="386">
        <v>45680</v>
      </c>
      <c r="J1363" s="30" t="s">
        <v>5243</v>
      </c>
      <c r="K1363" s="385"/>
      <c r="L1363" s="385"/>
      <c r="M1363" s="385"/>
      <c r="N1363" s="385"/>
      <c r="O1363" s="385"/>
      <c r="P1363" s="385" t="str">
        <f>IFERROR(
    IF(
        OR(ISBLANK(I1363), ISBLANK(L1363)),
        "",
        MAX(
            1,
            IF(
                NETWORKDAYS(I1363, L1363, Holiday_Dates) &lt;= 0,
                1,
                NETWORKDAYS(I1363, L1363, Holiday_Dates) - IF(I1363 = L1363, 0, 1)
            )
        )
    ),
    ""
)</f>
        <v/>
      </c>
      <c r="Q1363" s="385" t="str">
        <f>IF(
    OR(ISBLANK(L1363), ISBLANK(M1363)),
    "",
    MAX(
        1,
        IF(
            NETWORKDAYS(L1363, M1363, Holiday_Dates) &lt;= 0,
            1,
            NETWORKDAYS(L1363, M1363, Holiday_Dates) - IF(L1363 = M1363, 0, 1)
        )
    )
)</f>
        <v/>
      </c>
      <c r="R1363" s="385" t="str">
        <f>IFERROR(
    IF(
        OR(ISBLANK(N1363), AND(ISBLANK(L1363), ISBLANK(M1363))),
        "",
        MAX(
            1,
            IF(
                NETWORKDAYS(IF(NOT(ISBLANK(M1363)), M1363, L1363), N1363, Holiday_Dates) &lt;= 0,
                1,
                NETWORKDAYS(IF(NOT(ISBLANK(M1363)), M1363, L1363), N1363, Holiday_Dates)
                - IF(IF(NOT(ISBLANK(M1363)), M1363, L1363) = N1363, 0, 1)
            )
        )
    ),
    ""
)</f>
        <v/>
      </c>
      <c r="S1363" s="385" t="str">
        <f>IFERROR(
    IF(
        OR(ISBLANK(N1363), ISBLANK(O1363)),
        "",
        MAX(
            1,
            IF(
                NETWORKDAYS(N1363, O1363, Holiday_Dates) &lt;= 0,
                1,
                NETWORKDAYS(N1363, O1363, Holiday_Dates) - IF(N1363 = O1363, 0, 1)
            )
        )
    ),
    ""
)</f>
        <v/>
      </c>
      <c r="T1363" s="385"/>
      <c r="U1363" s="385" t="s">
        <v>4</v>
      </c>
      <c r="V1363" s="385" t="s">
        <v>101</v>
      </c>
      <c r="W1363" s="385" t="s">
        <v>1436</v>
      </c>
      <c r="X1363" s="1"/>
    </row>
    <row r="1364" spans="1:24">
      <c r="A1364" s="385" t="s">
        <v>65</v>
      </c>
      <c r="B1364" s="385" t="s">
        <v>345</v>
      </c>
      <c r="C1364" s="385" t="s">
        <v>3093</v>
      </c>
      <c r="D1364" s="385" t="s">
        <v>88</v>
      </c>
      <c r="E1364" s="385"/>
      <c r="F1364" s="385"/>
      <c r="G1364" s="385"/>
      <c r="H1364" s="385">
        <v>2025</v>
      </c>
      <c r="I1364" s="386">
        <v>45741</v>
      </c>
      <c r="J1364" s="30" t="s">
        <v>5244</v>
      </c>
      <c r="K1364" s="385"/>
      <c r="L1364" s="385"/>
      <c r="M1364" s="385"/>
      <c r="N1364" s="385"/>
      <c r="O1364" s="385"/>
      <c r="P1364" s="385" t="str">
        <f>IFERROR(
    IF(
        OR(ISBLANK(I1364), ISBLANK(L1364)),
        "",
        MAX(
            1,
            IF(
                NETWORKDAYS(I1364, L1364, Holiday_Dates) &lt;= 0,
                1,
                NETWORKDAYS(I1364, L1364, Holiday_Dates) - IF(I1364 = L1364, 0, 1)
            )
        )
    ),
    ""
)</f>
        <v/>
      </c>
      <c r="Q1364" s="385" t="str">
        <f>IF(
    OR(ISBLANK(L1364), ISBLANK(M1364)),
    "",
    MAX(
        1,
        IF(
            NETWORKDAYS(L1364, M1364, Holiday_Dates) &lt;= 0,
            1,
            NETWORKDAYS(L1364, M1364, Holiday_Dates) - IF(L1364 = M1364, 0, 1)
        )
    )
)</f>
        <v/>
      </c>
      <c r="R1364" s="385" t="str">
        <f>IFERROR(
    IF(
        OR(ISBLANK(N1364), AND(ISBLANK(L1364), ISBLANK(M1364))),
        "",
        MAX(
            1,
            IF(
                NETWORKDAYS(IF(NOT(ISBLANK(M1364)), M1364, L1364), N1364, Holiday_Dates) &lt;= 0,
                1,
                NETWORKDAYS(IF(NOT(ISBLANK(M1364)), M1364, L1364), N1364, Holiday_Dates)
                - IF(IF(NOT(ISBLANK(M1364)), M1364, L1364) = N1364, 0, 1)
            )
        )
    ),
    ""
)</f>
        <v/>
      </c>
      <c r="S1364" s="385" t="str">
        <f>IFERROR(
    IF(
        OR(ISBLANK(N1364), ISBLANK(O1364)),
        "",
        MAX(
            1,
            IF(
                NETWORKDAYS(N1364, O1364, Holiday_Dates) &lt;= 0,
                1,
                NETWORKDAYS(N1364, O1364, Holiday_Dates) - IF(N1364 = O1364, 0, 1)
            )
        )
    ),
    ""
)</f>
        <v/>
      </c>
      <c r="T1364" s="385"/>
      <c r="U1364" s="385" t="s">
        <v>672</v>
      </c>
      <c r="V1364" s="385" t="s">
        <v>101</v>
      </c>
      <c r="W1364" s="385" t="s">
        <v>1436</v>
      </c>
      <c r="X1364" s="1"/>
    </row>
    <row r="1365" spans="1:24">
      <c r="A1365" s="385" t="s">
        <v>65</v>
      </c>
      <c r="B1365" s="385" t="s">
        <v>345</v>
      </c>
      <c r="C1365" s="385" t="s">
        <v>3092</v>
      </c>
      <c r="D1365" s="385" t="s">
        <v>88</v>
      </c>
      <c r="E1365" s="385"/>
      <c r="F1365" s="385"/>
      <c r="G1365" s="385"/>
      <c r="H1365" s="385">
        <v>2025</v>
      </c>
      <c r="I1365" s="386">
        <v>45742</v>
      </c>
      <c r="J1365" s="30" t="s">
        <v>5245</v>
      </c>
      <c r="K1365" s="385"/>
      <c r="L1365" s="385"/>
      <c r="M1365" s="385"/>
      <c r="N1365" s="385"/>
      <c r="O1365" s="385"/>
      <c r="P1365" s="385" t="str">
        <f>IFERROR(
    IF(
        OR(ISBLANK(I1365), ISBLANK(L1365)),
        "",
        MAX(
            1,
            IF(
                NETWORKDAYS(I1365, L1365, Holiday_Dates) &lt;= 0,
                1,
                NETWORKDAYS(I1365, L1365, Holiday_Dates) - IF(I1365 = L1365, 0, 1)
            )
        )
    ),
    ""
)</f>
        <v/>
      </c>
      <c r="Q1365" s="385" t="str">
        <f>IF(
    OR(ISBLANK(L1365), ISBLANK(M1365)),
    "",
    MAX(
        1,
        IF(
            NETWORKDAYS(L1365, M1365, Holiday_Dates) &lt;= 0,
            1,
            NETWORKDAYS(L1365, M1365, Holiday_Dates) - IF(L1365 = M1365, 0, 1)
        )
    )
)</f>
        <v/>
      </c>
      <c r="R1365" s="385" t="str">
        <f>IFERROR(
    IF(
        OR(ISBLANK(N1365), AND(ISBLANK(L1365), ISBLANK(M1365))),
        "",
        MAX(
            1,
            IF(
                NETWORKDAYS(IF(NOT(ISBLANK(M1365)), M1365, L1365), N1365, Holiday_Dates) &lt;= 0,
                1,
                NETWORKDAYS(IF(NOT(ISBLANK(M1365)), M1365, L1365), N1365, Holiday_Dates)
                - IF(IF(NOT(ISBLANK(M1365)), M1365, L1365) = N1365, 0, 1)
            )
        )
    ),
    ""
)</f>
        <v/>
      </c>
      <c r="S1365" s="385" t="str">
        <f>IFERROR(
    IF(
        OR(ISBLANK(N1365), ISBLANK(O1365)),
        "",
        MAX(
            1,
            IF(
                NETWORKDAYS(N1365, O1365, Holiday_Dates) &lt;= 0,
                1,
                NETWORKDAYS(N1365, O1365, Holiday_Dates) - IF(N1365 = O1365, 0, 1)
            )
        )
    ),
    ""
)</f>
        <v/>
      </c>
      <c r="T1365" s="385"/>
      <c r="U1365" s="385" t="s">
        <v>672</v>
      </c>
      <c r="V1365" s="385" t="s">
        <v>101</v>
      </c>
      <c r="W1365" s="385" t="s">
        <v>1436</v>
      </c>
      <c r="X1365" s="1"/>
    </row>
    <row r="1366" spans="1:24">
      <c r="A1366" s="385" t="s">
        <v>65</v>
      </c>
      <c r="B1366" s="385" t="s">
        <v>345</v>
      </c>
      <c r="C1366" s="385" t="s">
        <v>3094</v>
      </c>
      <c r="D1366" s="385" t="s">
        <v>88</v>
      </c>
      <c r="E1366" s="385"/>
      <c r="F1366" s="385"/>
      <c r="G1366" s="385"/>
      <c r="H1366" s="385">
        <v>2025</v>
      </c>
      <c r="I1366" s="386">
        <v>45769</v>
      </c>
      <c r="J1366" s="30" t="s">
        <v>5246</v>
      </c>
      <c r="K1366" s="385"/>
      <c r="L1366" s="385"/>
      <c r="M1366" s="385"/>
      <c r="N1366" s="385"/>
      <c r="O1366" s="385"/>
      <c r="P1366" s="385" t="str">
        <f>IFERROR(
    IF(
        OR(ISBLANK(I1366), ISBLANK(L1366)),
        "",
        MAX(
            1,
            IF(
                NETWORKDAYS(I1366, L1366, Holiday_Dates) &lt;= 0,
                1,
                NETWORKDAYS(I1366, L1366, Holiday_Dates) - IF(I1366 = L1366, 0, 1)
            )
        )
    ),
    ""
)</f>
        <v/>
      </c>
      <c r="Q1366" s="385" t="str">
        <f>IF(
    OR(ISBLANK(L1366), ISBLANK(M1366)),
    "",
    MAX(
        1,
        IF(
            NETWORKDAYS(L1366, M1366, Holiday_Dates) &lt;= 0,
            1,
            NETWORKDAYS(L1366, M1366, Holiday_Dates) - IF(L1366 = M1366, 0, 1)
        )
    )
)</f>
        <v/>
      </c>
      <c r="R1366" s="385" t="str">
        <f>IFERROR(
    IF(
        OR(ISBLANK(N1366), AND(ISBLANK(L1366), ISBLANK(M1366))),
        "",
        MAX(
            1,
            IF(
                NETWORKDAYS(IF(NOT(ISBLANK(M1366)), M1366, L1366), N1366, Holiday_Dates) &lt;= 0,
                1,
                NETWORKDAYS(IF(NOT(ISBLANK(M1366)), M1366, L1366), N1366, Holiday_Dates)
                - IF(IF(NOT(ISBLANK(M1366)), M1366, L1366) = N1366, 0, 1)
            )
        )
    ),
    ""
)</f>
        <v/>
      </c>
      <c r="S1366" s="385" t="str">
        <f>IFERROR(
    IF(
        OR(ISBLANK(N1366), ISBLANK(O1366)),
        "",
        MAX(
            1,
            IF(
                NETWORKDAYS(N1366, O1366, Holiday_Dates) &lt;= 0,
                1,
                NETWORKDAYS(N1366, O1366, Holiday_Dates) - IF(N1366 = O1366, 0, 1)
            )
        )
    ),
    ""
)</f>
        <v/>
      </c>
      <c r="T1366" s="385"/>
      <c r="U1366" s="385" t="s">
        <v>672</v>
      </c>
      <c r="V1366" s="385" t="s">
        <v>101</v>
      </c>
      <c r="W1366" s="385" t="s">
        <v>1436</v>
      </c>
      <c r="X1366" s="1"/>
    </row>
    <row r="1367" spans="1:24">
      <c r="A1367" s="385" t="s">
        <v>65</v>
      </c>
      <c r="B1367" s="385" t="s">
        <v>345</v>
      </c>
      <c r="C1367" s="385" t="s">
        <v>3096</v>
      </c>
      <c r="D1367" s="385" t="s">
        <v>88</v>
      </c>
      <c r="E1367" s="385"/>
      <c r="F1367" s="385"/>
      <c r="G1367" s="385"/>
      <c r="H1367" s="385">
        <v>2024</v>
      </c>
      <c r="I1367" s="386">
        <v>45408</v>
      </c>
      <c r="J1367" s="30"/>
      <c r="K1367" s="385"/>
      <c r="L1367" s="385"/>
      <c r="M1367" s="385"/>
      <c r="N1367" s="385"/>
      <c r="O1367" s="385"/>
      <c r="P1367" s="385" t="str">
        <f>IFERROR(
    IF(
        OR(ISBLANK(I1367), ISBLANK(L1367)),
        "",
        MAX(
            1,
            IF(
                NETWORKDAYS(I1367, L1367, Holiday_Dates) &lt;= 0,
                1,
                NETWORKDAYS(I1367, L1367, Holiday_Dates) - IF(I1367 = L1367, 0, 1)
            )
        )
    ),
    ""
)</f>
        <v/>
      </c>
      <c r="Q1367" s="385" t="str">
        <f>IF(
    OR(ISBLANK(L1367), ISBLANK(M1367)),
    "",
    MAX(
        1,
        IF(
            NETWORKDAYS(L1367, M1367, Holiday_Dates) &lt;= 0,
            1,
            NETWORKDAYS(L1367, M1367, Holiday_Dates) - IF(L1367 = M1367, 0, 1)
        )
    )
)</f>
        <v/>
      </c>
      <c r="R1367" s="385" t="str">
        <f>IFERROR(
    IF(
        OR(ISBLANK(N1367), AND(ISBLANK(L1367), ISBLANK(M1367))),
        "",
        MAX(
            1,
            IF(
                NETWORKDAYS(IF(NOT(ISBLANK(M1367)), M1367, L1367), N1367, Holiday_Dates) &lt;= 0,
                1,
                NETWORKDAYS(IF(NOT(ISBLANK(M1367)), M1367, L1367), N1367, Holiday_Dates)
                - IF(IF(NOT(ISBLANK(M1367)), M1367, L1367) = N1367, 0, 1)
            )
        )
    ),
    ""
)</f>
        <v/>
      </c>
      <c r="S1367" s="385" t="str">
        <f>IFERROR(
    IF(
        OR(ISBLANK(N1367), ISBLANK(O1367)),
        "",
        MAX(
            1,
            IF(
                NETWORKDAYS(N1367, O1367, Holiday_Dates) &lt;= 0,
                1,
                NETWORKDAYS(N1367, O1367, Holiday_Dates) - IF(N1367 = O1367, 0, 1)
            )
        )
    ),
    ""
)</f>
        <v/>
      </c>
      <c r="T1367" s="385"/>
      <c r="U1367" s="385" t="s">
        <v>672</v>
      </c>
      <c r="V1367" s="385"/>
      <c r="W1367" s="385" t="s">
        <v>1436</v>
      </c>
      <c r="X1367" s="1"/>
    </row>
    <row r="1368" spans="1:24">
      <c r="A1368" s="385" t="s">
        <v>65</v>
      </c>
      <c r="B1368" s="385" t="s">
        <v>345</v>
      </c>
      <c r="C1368" s="385" t="s">
        <v>427</v>
      </c>
      <c r="D1368" s="385" t="s">
        <v>88</v>
      </c>
      <c r="E1368" s="385"/>
      <c r="F1368" s="385"/>
      <c r="G1368" s="385"/>
      <c r="H1368" s="385">
        <v>2024</v>
      </c>
      <c r="I1368" s="386">
        <v>45408</v>
      </c>
      <c r="J1368" s="30"/>
      <c r="K1368" s="385"/>
      <c r="L1368" s="385"/>
      <c r="M1368" s="385"/>
      <c r="N1368" s="385"/>
      <c r="O1368" s="385"/>
      <c r="P1368" s="385" t="str">
        <f>IFERROR(
    IF(
        OR(ISBLANK(I1368), ISBLANK(L1368)),
        "",
        MAX(
            1,
            IF(
                NETWORKDAYS(I1368, L1368, Holiday_Dates) &lt;= 0,
                1,
                NETWORKDAYS(I1368, L1368, Holiday_Dates) - IF(I1368 = L1368, 0, 1)
            )
        )
    ),
    ""
)</f>
        <v/>
      </c>
      <c r="Q1368" s="385" t="str">
        <f>IF(
    OR(ISBLANK(L1368), ISBLANK(M1368)),
    "",
    MAX(
        1,
        IF(
            NETWORKDAYS(L1368, M1368, Holiday_Dates) &lt;= 0,
            1,
            NETWORKDAYS(L1368, M1368, Holiday_Dates) - IF(L1368 = M1368, 0, 1)
        )
    )
)</f>
        <v/>
      </c>
      <c r="R1368" s="385" t="str">
        <f>IFERROR(
    IF(
        OR(ISBLANK(N1368), AND(ISBLANK(L1368), ISBLANK(M1368))),
        "",
        MAX(
            1,
            IF(
                NETWORKDAYS(IF(NOT(ISBLANK(M1368)), M1368, L1368), N1368, Holiday_Dates) &lt;= 0,
                1,
                NETWORKDAYS(IF(NOT(ISBLANK(M1368)), M1368, L1368), N1368, Holiday_Dates)
                - IF(IF(NOT(ISBLANK(M1368)), M1368, L1368) = N1368, 0, 1)
            )
        )
    ),
    ""
)</f>
        <v/>
      </c>
      <c r="S1368" s="385" t="str">
        <f>IFERROR(
    IF(
        OR(ISBLANK(N1368), ISBLANK(O1368)),
        "",
        MAX(
            1,
            IF(
                NETWORKDAYS(N1368, O1368, Holiday_Dates) &lt;= 0,
                1,
                NETWORKDAYS(N1368, O1368, Holiday_Dates) - IF(N1368 = O1368, 0, 1)
            )
        )
    ),
    ""
)</f>
        <v/>
      </c>
      <c r="T1368" s="385"/>
      <c r="U1368" s="385" t="s">
        <v>672</v>
      </c>
      <c r="V1368" s="385"/>
      <c r="W1368" s="385" t="s">
        <v>1436</v>
      </c>
      <c r="X1368" s="1"/>
    </row>
    <row r="1369" spans="1:24">
      <c r="A1369" s="385" t="s">
        <v>65</v>
      </c>
      <c r="B1369" s="385" t="s">
        <v>345</v>
      </c>
      <c r="C1369" s="385" t="s">
        <v>3090</v>
      </c>
      <c r="D1369" s="385" t="s">
        <v>88</v>
      </c>
      <c r="E1369" s="385"/>
      <c r="F1369" s="385"/>
      <c r="G1369" s="385"/>
      <c r="H1369" s="385">
        <v>2024</v>
      </c>
      <c r="I1369" s="386">
        <v>45414</v>
      </c>
      <c r="J1369" s="30"/>
      <c r="K1369" s="385"/>
      <c r="L1369" s="385"/>
      <c r="M1369" s="385"/>
      <c r="N1369" s="385"/>
      <c r="O1369" s="385"/>
      <c r="P1369" s="385" t="str">
        <f>IFERROR(
    IF(
        OR(ISBLANK(I1369), ISBLANK(L1369)),
        "",
        MAX(
            1,
            IF(
                NETWORKDAYS(I1369, L1369, Holiday_Dates) &lt;= 0,
                1,
                NETWORKDAYS(I1369, L1369, Holiday_Dates) - IF(I1369 = L1369, 0, 1)
            )
        )
    ),
    ""
)</f>
        <v/>
      </c>
      <c r="Q1369" s="385" t="str">
        <f>IF(
    OR(ISBLANK(L1369), ISBLANK(M1369)),
    "",
    MAX(
        1,
        IF(
            NETWORKDAYS(L1369, M1369, Holiday_Dates) &lt;= 0,
            1,
            NETWORKDAYS(L1369, M1369, Holiday_Dates) - IF(L1369 = M1369, 0, 1)
        )
    )
)</f>
        <v/>
      </c>
      <c r="R1369" s="385" t="str">
        <f>IFERROR(
    IF(
        OR(ISBLANK(N1369), AND(ISBLANK(L1369), ISBLANK(M1369))),
        "",
        MAX(
            1,
            IF(
                NETWORKDAYS(IF(NOT(ISBLANK(M1369)), M1369, L1369), N1369, Holiday_Dates) &lt;= 0,
                1,
                NETWORKDAYS(IF(NOT(ISBLANK(M1369)), M1369, L1369), N1369, Holiday_Dates)
                - IF(IF(NOT(ISBLANK(M1369)), M1369, L1369) = N1369, 0, 1)
            )
        )
    ),
    ""
)</f>
        <v/>
      </c>
      <c r="S1369" s="385" t="str">
        <f>IFERROR(
    IF(
        OR(ISBLANK(N1369), ISBLANK(O1369)),
        "",
        MAX(
            1,
            IF(
                NETWORKDAYS(N1369, O1369, Holiday_Dates) &lt;= 0,
                1,
                NETWORKDAYS(N1369, O1369, Holiday_Dates) - IF(N1369 = O1369, 0, 1)
            )
        )
    ),
    ""
)</f>
        <v/>
      </c>
      <c r="T1369" s="385"/>
      <c r="U1369" s="385" t="s">
        <v>672</v>
      </c>
      <c r="V1369" s="385"/>
      <c r="W1369" s="385" t="s">
        <v>1436</v>
      </c>
      <c r="X1369" s="1"/>
    </row>
    <row r="1370" spans="1:24">
      <c r="A1370" s="385" t="s">
        <v>65</v>
      </c>
      <c r="B1370" s="385" t="s">
        <v>345</v>
      </c>
      <c r="C1370" s="385" t="s">
        <v>1873</v>
      </c>
      <c r="D1370" s="385" t="s">
        <v>88</v>
      </c>
      <c r="E1370" s="385"/>
      <c r="F1370" s="385"/>
      <c r="G1370" s="385"/>
      <c r="H1370" s="385">
        <v>2025</v>
      </c>
      <c r="I1370" s="386">
        <v>45769</v>
      </c>
      <c r="J1370" s="30" t="s">
        <v>5247</v>
      </c>
      <c r="K1370" s="385"/>
      <c r="L1370" s="385"/>
      <c r="M1370" s="385"/>
      <c r="N1370" s="385"/>
      <c r="O1370" s="385"/>
      <c r="P1370" s="385" t="str">
        <f>IFERROR(
    IF(
        OR(ISBLANK(I1370), ISBLANK(L1370)),
        "",
        MAX(
            1,
            IF(
                NETWORKDAYS(I1370, L1370, Holiday_Dates) &lt;= 0,
                1,
                NETWORKDAYS(I1370, L1370, Holiday_Dates) - IF(I1370 = L1370, 0, 1)
            )
        )
    ),
    ""
)</f>
        <v/>
      </c>
      <c r="Q1370" s="385" t="str">
        <f>IF(
    OR(ISBLANK(L1370), ISBLANK(M1370)),
    "",
    MAX(
        1,
        IF(
            NETWORKDAYS(L1370, M1370, Holiday_Dates) &lt;= 0,
            1,
            NETWORKDAYS(L1370, M1370, Holiday_Dates) - IF(L1370 = M1370, 0, 1)
        )
    )
)</f>
        <v/>
      </c>
      <c r="R1370" s="385" t="str">
        <f>IFERROR(
    IF(
        OR(ISBLANK(N1370), AND(ISBLANK(L1370), ISBLANK(M1370))),
        "",
        MAX(
            1,
            IF(
                NETWORKDAYS(IF(NOT(ISBLANK(M1370)), M1370, L1370), N1370, Holiday_Dates) &lt;= 0,
                1,
                NETWORKDAYS(IF(NOT(ISBLANK(M1370)), M1370, L1370), N1370, Holiday_Dates)
                - IF(IF(NOT(ISBLANK(M1370)), M1370, L1370) = N1370, 0, 1)
            )
        )
    ),
    ""
)</f>
        <v/>
      </c>
      <c r="S1370" s="385" t="str">
        <f>IFERROR(
    IF(
        OR(ISBLANK(N1370), ISBLANK(O1370)),
        "",
        MAX(
            1,
            IF(
                NETWORKDAYS(N1370, O1370, Holiday_Dates) &lt;= 0,
                1,
                NETWORKDAYS(N1370, O1370, Holiday_Dates) - IF(N1370 = O1370, 0, 1)
            )
        )
    ),
    ""
)</f>
        <v/>
      </c>
      <c r="T1370" s="385"/>
      <c r="U1370" s="385" t="s">
        <v>672</v>
      </c>
      <c r="V1370" s="385" t="s">
        <v>101</v>
      </c>
      <c r="W1370" s="385" t="s">
        <v>1436</v>
      </c>
      <c r="X1370" s="1"/>
    </row>
    <row r="1371" spans="1:24">
      <c r="A1371" s="385" t="s">
        <v>65</v>
      </c>
      <c r="B1371" s="385" t="s">
        <v>345</v>
      </c>
      <c r="C1371" s="385" t="s">
        <v>2234</v>
      </c>
      <c r="D1371" s="385" t="s">
        <v>88</v>
      </c>
      <c r="E1371" s="385"/>
      <c r="F1371" s="385"/>
      <c r="G1371" s="385"/>
      <c r="H1371" s="385">
        <v>2025</v>
      </c>
      <c r="I1371" s="386">
        <v>45925</v>
      </c>
      <c r="J1371" s="30" t="s">
        <v>5248</v>
      </c>
      <c r="K1371" s="385"/>
      <c r="L1371" s="385"/>
      <c r="M1371" s="385"/>
      <c r="N1371" s="385"/>
      <c r="O1371" s="385"/>
      <c r="P1371" s="385" t="str">
        <f>IFERROR(
    IF(
        OR(ISBLANK(I1371), ISBLANK(L1371)),
        "",
        MAX(
            1,
            IF(
                NETWORKDAYS(I1371, L1371, Holiday_Dates) &lt;= 0,
                1,
                NETWORKDAYS(I1371, L1371, Holiday_Dates) - IF(I1371 = L1371, 0, 1)
            )
        )
    ),
    ""
)</f>
        <v/>
      </c>
      <c r="Q1371" s="385" t="str">
        <f>IF(
    OR(ISBLANK(L1371), ISBLANK(M1371)),
    "",
    MAX(
        1,
        IF(
            NETWORKDAYS(L1371, M1371, Holiday_Dates) &lt;= 0,
            1,
            NETWORKDAYS(L1371, M1371, Holiday_Dates) - IF(L1371 = M1371, 0, 1)
        )
    )
)</f>
        <v/>
      </c>
      <c r="R1371" s="385" t="str">
        <f>IFERROR(
    IF(
        OR(ISBLANK(N1371), AND(ISBLANK(L1371), ISBLANK(M1371))),
        "",
        MAX(
            1,
            IF(
                NETWORKDAYS(IF(NOT(ISBLANK(M1371)), M1371, L1371), N1371, Holiday_Dates) &lt;= 0,
                1,
                NETWORKDAYS(IF(NOT(ISBLANK(M1371)), M1371, L1371), N1371, Holiday_Dates)
                - IF(IF(NOT(ISBLANK(M1371)), M1371, L1371) = N1371, 0, 1)
            )
        )
    ),
    ""
)</f>
        <v/>
      </c>
      <c r="S1371" s="385" t="str">
        <f>IFERROR(
    IF(
        OR(ISBLANK(N1371), ISBLANK(O1371)),
        "",
        MAX(
            1,
            IF(
                NETWORKDAYS(N1371, O1371, Holiday_Dates) &lt;= 0,
                1,
                NETWORKDAYS(N1371, O1371, Holiday_Dates) - IF(N1371 = O1371, 0, 1)
            )
        )
    ),
    ""
)</f>
        <v/>
      </c>
      <c r="T1371" s="385"/>
      <c r="U1371" s="385" t="s">
        <v>672</v>
      </c>
      <c r="V1371" s="385" t="s">
        <v>101</v>
      </c>
      <c r="W1371" s="385" t="s">
        <v>1436</v>
      </c>
      <c r="X1371" s="1"/>
    </row>
    <row r="1372" spans="1:24">
      <c r="A1372" s="385" t="s">
        <v>65</v>
      </c>
      <c r="B1372" s="385" t="s">
        <v>345</v>
      </c>
      <c r="C1372" s="385" t="s">
        <v>653</v>
      </c>
      <c r="D1372" s="385" t="s">
        <v>88</v>
      </c>
      <c r="E1372" s="385"/>
      <c r="F1372" s="385"/>
      <c r="G1372" s="385"/>
      <c r="H1372" s="385">
        <v>2025</v>
      </c>
      <c r="I1372" s="386">
        <v>45891</v>
      </c>
      <c r="J1372" s="30" t="s">
        <v>5249</v>
      </c>
      <c r="K1372" s="385"/>
      <c r="L1372" s="385"/>
      <c r="M1372" s="385"/>
      <c r="N1372" s="385"/>
      <c r="O1372" s="385"/>
      <c r="P1372" s="385" t="str">
        <f>IFERROR(
    IF(
        OR(ISBLANK(I1372), ISBLANK(L1372)),
        "",
        MAX(
            1,
            IF(
                NETWORKDAYS(I1372, L1372, Holiday_Dates) &lt;= 0,
                1,
                NETWORKDAYS(I1372, L1372, Holiday_Dates) - IF(I1372 = L1372, 0, 1)
            )
        )
    ),
    ""
)</f>
        <v/>
      </c>
      <c r="Q1372" s="385" t="str">
        <f>IF(
    OR(ISBLANK(L1372), ISBLANK(M1372)),
    "",
    MAX(
        1,
        IF(
            NETWORKDAYS(L1372, M1372, Holiday_Dates) &lt;= 0,
            1,
            NETWORKDAYS(L1372, M1372, Holiday_Dates) - IF(L1372 = M1372, 0, 1)
        )
    )
)</f>
        <v/>
      </c>
      <c r="R1372" s="385" t="str">
        <f>IFERROR(
    IF(
        OR(ISBLANK(N1372), AND(ISBLANK(L1372), ISBLANK(M1372))),
        "",
        MAX(
            1,
            IF(
                NETWORKDAYS(IF(NOT(ISBLANK(M1372)), M1372, L1372), N1372, Holiday_Dates) &lt;= 0,
                1,
                NETWORKDAYS(IF(NOT(ISBLANK(M1372)), M1372, L1372), N1372, Holiday_Dates)
                - IF(IF(NOT(ISBLANK(M1372)), M1372, L1372) = N1372, 0, 1)
            )
        )
    ),
    ""
)</f>
        <v/>
      </c>
      <c r="S1372" s="385" t="str">
        <f>IFERROR(
    IF(
        OR(ISBLANK(N1372), ISBLANK(O1372)),
        "",
        MAX(
            1,
            IF(
                NETWORKDAYS(N1372, O1372, Holiday_Dates) &lt;= 0,
                1,
                NETWORKDAYS(N1372, O1372, Holiday_Dates) - IF(N1372 = O1372, 0, 1)
            )
        )
    ),
    ""
)</f>
        <v/>
      </c>
      <c r="T1372" s="385"/>
      <c r="U1372" s="385" t="s">
        <v>672</v>
      </c>
      <c r="V1372" s="385" t="s">
        <v>101</v>
      </c>
      <c r="W1372" s="385" t="s">
        <v>1436</v>
      </c>
      <c r="X1372" s="1"/>
    </row>
    <row r="1373" spans="1:24">
      <c r="A1373" s="385" t="s">
        <v>65</v>
      </c>
      <c r="B1373" s="385" t="s">
        <v>345</v>
      </c>
      <c r="C1373" s="385" t="s">
        <v>539</v>
      </c>
      <c r="D1373" s="385" t="s">
        <v>88</v>
      </c>
      <c r="E1373" s="385"/>
      <c r="F1373" s="385"/>
      <c r="G1373" s="385"/>
      <c r="H1373" s="385">
        <v>2024</v>
      </c>
      <c r="I1373" s="386">
        <v>45324</v>
      </c>
      <c r="J1373" s="30"/>
      <c r="K1373" s="385"/>
      <c r="L1373" s="385"/>
      <c r="M1373" s="385"/>
      <c r="N1373" s="385"/>
      <c r="O1373" s="385"/>
      <c r="P1373" s="385" t="str">
        <f>IFERROR(
    IF(
        OR(ISBLANK(I1373), ISBLANK(L1373)),
        "",
        MAX(
            1,
            IF(
                NETWORKDAYS(I1373, L1373, Holiday_Dates) &lt;= 0,
                1,
                NETWORKDAYS(I1373, L1373, Holiday_Dates) - IF(I1373 = L1373, 0, 1)
            )
        )
    ),
    ""
)</f>
        <v/>
      </c>
      <c r="Q1373" s="385" t="str">
        <f>IF(
    OR(ISBLANK(L1373), ISBLANK(M1373)),
    "",
    MAX(
        1,
        IF(
            NETWORKDAYS(L1373, M1373, Holiday_Dates) &lt;= 0,
            1,
            NETWORKDAYS(L1373, M1373, Holiday_Dates) - IF(L1373 = M1373, 0, 1)
        )
    )
)</f>
        <v/>
      </c>
      <c r="R1373" s="385" t="str">
        <f>IFERROR(
    IF(
        OR(ISBLANK(N1373), AND(ISBLANK(L1373), ISBLANK(M1373))),
        "",
        MAX(
            1,
            IF(
                NETWORKDAYS(IF(NOT(ISBLANK(M1373)), M1373, L1373), N1373, Holiday_Dates) &lt;= 0,
                1,
                NETWORKDAYS(IF(NOT(ISBLANK(M1373)), M1373, L1373), N1373, Holiday_Dates)
                - IF(IF(NOT(ISBLANK(M1373)), M1373, L1373) = N1373, 0, 1)
            )
        )
    ),
    ""
)</f>
        <v/>
      </c>
      <c r="S1373" s="385" t="str">
        <f>IFERROR(
    IF(
        OR(ISBLANK(N1373), ISBLANK(O1373)),
        "",
        MAX(
            1,
            IF(
                NETWORKDAYS(N1373, O1373, Holiday_Dates) &lt;= 0,
                1,
                NETWORKDAYS(N1373, O1373, Holiday_Dates) - IF(N1373 = O1373, 0, 1)
            )
        )
    ),
    ""
)</f>
        <v/>
      </c>
      <c r="T1373" s="385"/>
      <c r="U1373" s="385" t="s">
        <v>672</v>
      </c>
      <c r="V1373" s="385"/>
      <c r="W1373" s="385" t="s">
        <v>1436</v>
      </c>
      <c r="X1373" s="1"/>
    </row>
    <row r="1374" spans="1:24">
      <c r="A1374" s="385" t="s">
        <v>65</v>
      </c>
      <c r="B1374" s="385" t="s">
        <v>345</v>
      </c>
      <c r="C1374" s="385" t="s">
        <v>3101</v>
      </c>
      <c r="D1374" s="385" t="s">
        <v>88</v>
      </c>
      <c r="E1374" s="385"/>
      <c r="F1374" s="385"/>
      <c r="G1374" s="385"/>
      <c r="H1374" s="385">
        <v>2025</v>
      </c>
      <c r="I1374" s="386">
        <v>45856</v>
      </c>
      <c r="J1374" s="30" t="s">
        <v>5250</v>
      </c>
      <c r="K1374" s="385"/>
      <c r="L1374" s="385"/>
      <c r="M1374" s="385"/>
      <c r="N1374" s="385"/>
      <c r="O1374" s="385"/>
      <c r="P1374" s="385" t="str">
        <f>IFERROR(
    IF(
        OR(ISBLANK(I1374), ISBLANK(L1374)),
        "",
        MAX(
            1,
            IF(
                NETWORKDAYS(I1374, L1374, Holiday_Dates) &lt;= 0,
                1,
                NETWORKDAYS(I1374, L1374, Holiday_Dates) - IF(I1374 = L1374, 0, 1)
            )
        )
    ),
    ""
)</f>
        <v/>
      </c>
      <c r="Q1374" s="385" t="str">
        <f>IF(
    OR(ISBLANK(L1374), ISBLANK(M1374)),
    "",
    MAX(
        1,
        IF(
            NETWORKDAYS(L1374, M1374, Holiday_Dates) &lt;= 0,
            1,
            NETWORKDAYS(L1374, M1374, Holiday_Dates) - IF(L1374 = M1374, 0, 1)
        )
    )
)</f>
        <v/>
      </c>
      <c r="R1374" s="385" t="str">
        <f>IFERROR(
    IF(
        OR(ISBLANK(N1374), AND(ISBLANK(L1374), ISBLANK(M1374))),
        "",
        MAX(
            1,
            IF(
                NETWORKDAYS(IF(NOT(ISBLANK(M1374)), M1374, L1374), N1374, Holiday_Dates) &lt;= 0,
                1,
                NETWORKDAYS(IF(NOT(ISBLANK(M1374)), M1374, L1374), N1374, Holiday_Dates)
                - IF(IF(NOT(ISBLANK(M1374)), M1374, L1374) = N1374, 0, 1)
            )
        )
    ),
    ""
)</f>
        <v/>
      </c>
      <c r="S1374" s="385" t="str">
        <f>IFERROR(
    IF(
        OR(ISBLANK(N1374), ISBLANK(O1374)),
        "",
        MAX(
            1,
            IF(
                NETWORKDAYS(N1374, O1374, Holiday_Dates) &lt;= 0,
                1,
                NETWORKDAYS(N1374, O1374, Holiday_Dates) - IF(N1374 = O1374, 0, 1)
            )
        )
    ),
    ""
)</f>
        <v/>
      </c>
      <c r="T1374" s="385"/>
      <c r="U1374" s="385" t="s">
        <v>672</v>
      </c>
      <c r="V1374" s="385" t="s">
        <v>101</v>
      </c>
      <c r="W1374" s="385" t="s">
        <v>1436</v>
      </c>
      <c r="X1374" s="1"/>
    </row>
    <row r="1375" spans="1:24">
      <c r="A1375" s="385" t="s">
        <v>65</v>
      </c>
      <c r="B1375" s="385" t="s">
        <v>345</v>
      </c>
      <c r="C1375" s="385" t="s">
        <v>3102</v>
      </c>
      <c r="D1375" s="385" t="s">
        <v>88</v>
      </c>
      <c r="E1375" s="385"/>
      <c r="F1375" s="385"/>
      <c r="G1375" s="385"/>
      <c r="H1375" s="385">
        <v>2025</v>
      </c>
      <c r="I1375" s="386">
        <v>45856</v>
      </c>
      <c r="J1375" s="30" t="s">
        <v>5251</v>
      </c>
      <c r="K1375" s="385"/>
      <c r="L1375" s="385"/>
      <c r="M1375" s="385"/>
      <c r="N1375" s="385"/>
      <c r="O1375" s="385"/>
      <c r="P1375" s="385" t="str">
        <f>IFERROR(
    IF(
        OR(ISBLANK(I1375), ISBLANK(L1375)),
        "",
        MAX(
            1,
            IF(
                NETWORKDAYS(I1375, L1375, Holiday_Dates) &lt;= 0,
                1,
                NETWORKDAYS(I1375, L1375, Holiday_Dates) - IF(I1375 = L1375, 0, 1)
            )
        )
    ),
    ""
)</f>
        <v/>
      </c>
      <c r="Q1375" s="385" t="str">
        <f>IF(
    OR(ISBLANK(L1375), ISBLANK(M1375)),
    "",
    MAX(
        1,
        IF(
            NETWORKDAYS(L1375, M1375, Holiday_Dates) &lt;= 0,
            1,
            NETWORKDAYS(L1375, M1375, Holiday_Dates) - IF(L1375 = M1375, 0, 1)
        )
    )
)</f>
        <v/>
      </c>
      <c r="R1375" s="385" t="str">
        <f>IFERROR(
    IF(
        OR(ISBLANK(N1375), AND(ISBLANK(L1375), ISBLANK(M1375))),
        "",
        MAX(
            1,
            IF(
                NETWORKDAYS(IF(NOT(ISBLANK(M1375)), M1375, L1375), N1375, Holiday_Dates) &lt;= 0,
                1,
                NETWORKDAYS(IF(NOT(ISBLANK(M1375)), M1375, L1375), N1375, Holiday_Dates)
                - IF(IF(NOT(ISBLANK(M1375)), M1375, L1375) = N1375, 0, 1)
            )
        )
    ),
    ""
)</f>
        <v/>
      </c>
      <c r="S1375" s="385" t="str">
        <f>IFERROR(
    IF(
        OR(ISBLANK(N1375), ISBLANK(O1375)),
        "",
        MAX(
            1,
            IF(
                NETWORKDAYS(N1375, O1375, Holiday_Dates) &lt;= 0,
                1,
                NETWORKDAYS(N1375, O1375, Holiday_Dates) - IF(N1375 = O1375, 0, 1)
            )
        )
    ),
    ""
)</f>
        <v/>
      </c>
      <c r="T1375" s="385"/>
      <c r="U1375" s="385" t="s">
        <v>672</v>
      </c>
      <c r="V1375" s="385" t="s">
        <v>101</v>
      </c>
      <c r="W1375" s="385" t="s">
        <v>1436</v>
      </c>
      <c r="X1375" s="1"/>
    </row>
    <row r="1376" spans="1:24">
      <c r="A1376" s="385" t="s">
        <v>65</v>
      </c>
      <c r="B1376" s="385" t="s">
        <v>345</v>
      </c>
      <c r="C1376" s="385" t="s">
        <v>2667</v>
      </c>
      <c r="D1376" s="385" t="s">
        <v>88</v>
      </c>
      <c r="E1376" s="385"/>
      <c r="F1376" s="385"/>
      <c r="G1376" s="385"/>
      <c r="H1376" s="385">
        <v>2024</v>
      </c>
      <c r="I1376" s="386">
        <v>45462</v>
      </c>
      <c r="J1376" s="30"/>
      <c r="K1376" s="385"/>
      <c r="L1376" s="385"/>
      <c r="M1376" s="385"/>
      <c r="N1376" s="385"/>
      <c r="O1376" s="385"/>
      <c r="P1376" s="385" t="str">
        <f>IFERROR(
    IF(
        OR(ISBLANK(I1376), ISBLANK(L1376)),
        "",
        MAX(
            1,
            IF(
                NETWORKDAYS(I1376, L1376, Holiday_Dates) &lt;= 0,
                1,
                NETWORKDAYS(I1376, L1376, Holiday_Dates) - IF(I1376 = L1376, 0, 1)
            )
        )
    ),
    ""
)</f>
        <v/>
      </c>
      <c r="Q1376" s="385" t="str">
        <f>IF(
    OR(ISBLANK(L1376), ISBLANK(M1376)),
    "",
    MAX(
        1,
        IF(
            NETWORKDAYS(L1376, M1376, Holiday_Dates) &lt;= 0,
            1,
            NETWORKDAYS(L1376, M1376, Holiday_Dates) - IF(L1376 = M1376, 0, 1)
        )
    )
)</f>
        <v/>
      </c>
      <c r="R1376" s="385" t="str">
        <f>IFERROR(
    IF(
        OR(ISBLANK(N1376), AND(ISBLANK(L1376), ISBLANK(M1376))),
        "",
        MAX(
            1,
            IF(
                NETWORKDAYS(IF(NOT(ISBLANK(M1376)), M1376, L1376), N1376, Holiday_Dates) &lt;= 0,
                1,
                NETWORKDAYS(IF(NOT(ISBLANK(M1376)), M1376, L1376), N1376, Holiday_Dates)
                - IF(IF(NOT(ISBLANK(M1376)), M1376, L1376) = N1376, 0, 1)
            )
        )
    ),
    ""
)</f>
        <v/>
      </c>
      <c r="S1376" s="385" t="str">
        <f>IFERROR(
    IF(
        OR(ISBLANK(N1376), ISBLANK(O1376)),
        "",
        MAX(
            1,
            IF(
                NETWORKDAYS(N1376, O1376, Holiday_Dates) &lt;= 0,
                1,
                NETWORKDAYS(N1376, O1376, Holiday_Dates) - IF(N1376 = O1376, 0, 1)
            )
        )
    ),
    ""
)</f>
        <v/>
      </c>
      <c r="T1376" s="385"/>
      <c r="U1376" s="385" t="s">
        <v>4</v>
      </c>
      <c r="V1376" s="385" t="s">
        <v>101</v>
      </c>
      <c r="W1376" s="385" t="s">
        <v>1436</v>
      </c>
      <c r="X1376" s="1"/>
    </row>
    <row r="1377" spans="1:24">
      <c r="A1377" s="385" t="s">
        <v>65</v>
      </c>
      <c r="B1377" s="385" t="s">
        <v>345</v>
      </c>
      <c r="C1377" s="385" t="s">
        <v>3095</v>
      </c>
      <c r="D1377" s="385" t="s">
        <v>88</v>
      </c>
      <c r="E1377" s="385"/>
      <c r="F1377" s="385"/>
      <c r="G1377" s="385"/>
      <c r="H1377" s="385">
        <v>2025</v>
      </c>
      <c r="I1377" s="386">
        <v>45769</v>
      </c>
      <c r="J1377" s="30" t="s">
        <v>5252</v>
      </c>
      <c r="K1377" s="385"/>
      <c r="L1377" s="385"/>
      <c r="M1377" s="385"/>
      <c r="N1377" s="385"/>
      <c r="O1377" s="385"/>
      <c r="P1377" s="385" t="str">
        <f>IFERROR(
    IF(
        OR(ISBLANK(I1377), ISBLANK(L1377)),
        "",
        MAX(
            1,
            IF(
                NETWORKDAYS(I1377, L1377, Holiday_Dates) &lt;= 0,
                1,
                NETWORKDAYS(I1377, L1377, Holiday_Dates) - IF(I1377 = L1377, 0, 1)
            )
        )
    ),
    ""
)</f>
        <v/>
      </c>
      <c r="Q1377" s="385" t="str">
        <f>IF(
    OR(ISBLANK(L1377), ISBLANK(M1377)),
    "",
    MAX(
        1,
        IF(
            NETWORKDAYS(L1377, M1377, Holiday_Dates) &lt;= 0,
            1,
            NETWORKDAYS(L1377, M1377, Holiday_Dates) - IF(L1377 = M1377, 0, 1)
        )
    )
)</f>
        <v/>
      </c>
      <c r="R1377" s="385" t="str">
        <f>IFERROR(
    IF(
        OR(ISBLANK(N1377), AND(ISBLANK(L1377), ISBLANK(M1377))),
        "",
        MAX(
            1,
            IF(
                NETWORKDAYS(IF(NOT(ISBLANK(M1377)), M1377, L1377), N1377, Holiday_Dates) &lt;= 0,
                1,
                NETWORKDAYS(IF(NOT(ISBLANK(M1377)), M1377, L1377), N1377, Holiday_Dates)
                - IF(IF(NOT(ISBLANK(M1377)), M1377, L1377) = N1377, 0, 1)
            )
        )
    ),
    ""
)</f>
        <v/>
      </c>
      <c r="S1377" s="385" t="str">
        <f>IFERROR(
    IF(
        OR(ISBLANK(N1377), ISBLANK(O1377)),
        "",
        MAX(
            1,
            IF(
                NETWORKDAYS(N1377, O1377, Holiday_Dates) &lt;= 0,
                1,
                NETWORKDAYS(N1377, O1377, Holiday_Dates) - IF(N1377 = O1377, 0, 1)
            )
        )
    ),
    ""
)</f>
        <v/>
      </c>
      <c r="T1377" s="385"/>
      <c r="U1377" s="385" t="s">
        <v>672</v>
      </c>
      <c r="V1377" s="385" t="s">
        <v>685</v>
      </c>
      <c r="W1377" s="385" t="s">
        <v>1436</v>
      </c>
      <c r="X1377" s="1"/>
    </row>
    <row r="1378" spans="1:24">
      <c r="A1378" s="385" t="s">
        <v>65</v>
      </c>
      <c r="B1378" s="385" t="s">
        <v>511</v>
      </c>
      <c r="C1378" s="385" t="s">
        <v>3035</v>
      </c>
      <c r="D1378" s="385" t="s">
        <v>88</v>
      </c>
      <c r="E1378" s="385" t="s">
        <v>29</v>
      </c>
      <c r="F1378" s="385"/>
      <c r="G1378" s="385" t="s">
        <v>130</v>
      </c>
      <c r="H1378" s="385"/>
      <c r="I1378" s="385"/>
      <c r="J1378" s="30"/>
      <c r="K1378" s="385" t="s">
        <v>63</v>
      </c>
      <c r="L1378" s="385"/>
      <c r="M1378" s="385"/>
      <c r="N1378" s="385"/>
      <c r="O1378" s="385"/>
      <c r="P1378" s="385" t="str">
        <f>IFERROR(
    IF(
        OR(ISBLANK(I1378), ISBLANK(L1378)),
        "",
        MAX(
            1,
            IF(
                NETWORKDAYS(I1378, L1378, Holiday_Dates) &lt;= 0,
                1,
                NETWORKDAYS(I1378, L1378, Holiday_Dates) - IF(I1378 = L1378, 0, 1)
            )
        )
    ),
    ""
)</f>
        <v/>
      </c>
      <c r="Q1378" s="385" t="str">
        <f>IF(
    OR(ISBLANK(L1378), ISBLANK(M1378)),
    "",
    MAX(
        1,
        IF(
            NETWORKDAYS(L1378, M1378, Holiday_Dates) &lt;= 0,
            1,
            NETWORKDAYS(L1378, M1378, Holiday_Dates) - IF(L1378 = M1378, 0, 1)
        )
    )
)</f>
        <v/>
      </c>
      <c r="R1378" s="385" t="str">
        <f>IFERROR(
    IF(
        OR(ISBLANK(N1378), AND(ISBLANK(L1378), ISBLANK(M1378))),
        "",
        MAX(
            1,
            IF(
                NETWORKDAYS(IF(NOT(ISBLANK(M1378)), M1378, L1378), N1378, Holiday_Dates) &lt;= 0,
                1,
                NETWORKDAYS(IF(NOT(ISBLANK(M1378)), M1378, L1378), N1378, Holiday_Dates)
                - IF(IF(NOT(ISBLANK(M1378)), M1378, L1378) = N1378, 0, 1)
            )
        )
    ),
    ""
)</f>
        <v/>
      </c>
      <c r="S1378" s="385" t="str">
        <f>IFERROR(
    IF(
        OR(ISBLANK(N1378), ISBLANK(O1378)),
        "",
        MAX(
            1,
            IF(
                NETWORKDAYS(N1378, O1378, Holiday_Dates) &lt;= 0,
                1,
                NETWORKDAYS(N1378, O1378, Holiday_Dates) - IF(N1378 = O1378, 0, 1)
            )
        )
    ),
    ""
)</f>
        <v/>
      </c>
      <c r="T1378" s="385"/>
      <c r="U1378" s="385"/>
      <c r="V1378" s="385"/>
      <c r="W1378" s="385" t="s">
        <v>4710</v>
      </c>
      <c r="X1378" s="1"/>
    </row>
    <row r="1379" spans="1:24">
      <c r="A1379" s="385" t="s">
        <v>65</v>
      </c>
      <c r="B1379" s="385" t="s">
        <v>347</v>
      </c>
      <c r="C1379" s="385" t="s">
        <v>1437</v>
      </c>
      <c r="D1379" s="385" t="s">
        <v>88</v>
      </c>
      <c r="E1379" s="385"/>
      <c r="F1379" s="385"/>
      <c r="G1379" s="385"/>
      <c r="H1379" s="385">
        <v>2025</v>
      </c>
      <c r="I1379" s="386">
        <v>45891</v>
      </c>
      <c r="J1379" s="30" t="s">
        <v>5253</v>
      </c>
      <c r="K1379" s="385"/>
      <c r="L1379" s="385"/>
      <c r="M1379" s="385"/>
      <c r="N1379" s="385"/>
      <c r="O1379" s="385"/>
      <c r="P1379" s="385" t="str">
        <f>IFERROR(
    IF(
        OR(ISBLANK(I1379), ISBLANK(L1379)),
        "",
        MAX(
            1,
            IF(
                NETWORKDAYS(I1379, L1379, Holiday_Dates) &lt;= 0,
                1,
                NETWORKDAYS(I1379, L1379, Holiday_Dates) - IF(I1379 = L1379, 0, 1)
            )
        )
    ),
    ""
)</f>
        <v/>
      </c>
      <c r="Q1379" s="385" t="str">
        <f>IF(
    OR(ISBLANK(L1379), ISBLANK(M1379)),
    "",
    MAX(
        1,
        IF(
            NETWORKDAYS(L1379, M1379, Holiday_Dates) &lt;= 0,
            1,
            NETWORKDAYS(L1379, M1379, Holiday_Dates) - IF(L1379 = M1379, 0, 1)
        )
    )
)</f>
        <v/>
      </c>
      <c r="R1379" s="385" t="str">
        <f>IFERROR(
    IF(
        OR(ISBLANK(N1379), AND(ISBLANK(L1379), ISBLANK(M1379))),
        "",
        MAX(
            1,
            IF(
                NETWORKDAYS(IF(NOT(ISBLANK(M1379)), M1379, L1379), N1379, Holiday_Dates) &lt;= 0,
                1,
                NETWORKDAYS(IF(NOT(ISBLANK(M1379)), M1379, L1379), N1379, Holiday_Dates)
                - IF(IF(NOT(ISBLANK(M1379)), M1379, L1379) = N1379, 0, 1)
            )
        )
    ),
    ""
)</f>
        <v/>
      </c>
      <c r="S1379" s="385" t="str">
        <f>IFERROR(
    IF(
        OR(ISBLANK(N1379), ISBLANK(O1379)),
        "",
        MAX(
            1,
            IF(
                NETWORKDAYS(N1379, O1379, Holiday_Dates) &lt;= 0,
                1,
                NETWORKDAYS(N1379, O1379, Holiday_Dates) - IF(N1379 = O1379, 0, 1)
            )
        )
    ),
    ""
)</f>
        <v/>
      </c>
      <c r="T1379" s="385"/>
      <c r="U1379" s="385" t="s">
        <v>4</v>
      </c>
      <c r="V1379" s="385" t="s">
        <v>101</v>
      </c>
      <c r="W1379" s="385" t="s">
        <v>1436</v>
      </c>
      <c r="X1379" s="1"/>
    </row>
    <row r="1380" spans="1:24">
      <c r="A1380" s="385" t="s">
        <v>65</v>
      </c>
      <c r="B1380" s="385" t="s">
        <v>511</v>
      </c>
      <c r="C1380" s="385" t="s">
        <v>3038</v>
      </c>
      <c r="D1380" s="385" t="s">
        <v>88</v>
      </c>
      <c r="E1380" s="385" t="s">
        <v>29</v>
      </c>
      <c r="F1380" s="385"/>
      <c r="G1380" s="385" t="s">
        <v>130</v>
      </c>
      <c r="H1380" s="385"/>
      <c r="I1380" s="385"/>
      <c r="J1380" s="30"/>
      <c r="K1380" s="385" t="s">
        <v>63</v>
      </c>
      <c r="L1380" s="385"/>
      <c r="M1380" s="385"/>
      <c r="N1380" s="385"/>
      <c r="O1380" s="385"/>
      <c r="P1380" s="385" t="str">
        <f>IFERROR(
    IF(
        OR(ISBLANK(I1380), ISBLANK(L1380)),
        "",
        MAX(
            1,
            IF(
                NETWORKDAYS(I1380, L1380, Holiday_Dates) &lt;= 0,
                1,
                NETWORKDAYS(I1380, L1380, Holiday_Dates) - IF(I1380 = L1380, 0, 1)
            )
        )
    ),
    ""
)</f>
        <v/>
      </c>
      <c r="Q1380" s="385" t="str">
        <f>IF(
    OR(ISBLANK(L1380), ISBLANK(M1380)),
    "",
    MAX(
        1,
        IF(
            NETWORKDAYS(L1380, M1380, Holiday_Dates) &lt;= 0,
            1,
            NETWORKDAYS(L1380, M1380, Holiday_Dates) - IF(L1380 = M1380, 0, 1)
        )
    )
)</f>
        <v/>
      </c>
      <c r="R1380" s="385" t="str">
        <f>IFERROR(
    IF(
        OR(ISBLANK(N1380), AND(ISBLANK(L1380), ISBLANK(M1380))),
        "",
        MAX(
            1,
            IF(
                NETWORKDAYS(IF(NOT(ISBLANK(M1380)), M1380, L1380), N1380, Holiday_Dates) &lt;= 0,
                1,
                NETWORKDAYS(IF(NOT(ISBLANK(M1380)), M1380, L1380), N1380, Holiday_Dates)
                - IF(IF(NOT(ISBLANK(M1380)), M1380, L1380) = N1380, 0, 1)
            )
        )
    ),
    ""
)</f>
        <v/>
      </c>
      <c r="S1380" s="385" t="str">
        <f>IFERROR(
    IF(
        OR(ISBLANK(N1380), ISBLANK(O1380)),
        "",
        MAX(
            1,
            IF(
                NETWORKDAYS(N1380, O1380, Holiday_Dates) &lt;= 0,
                1,
                NETWORKDAYS(N1380, O1380, Holiday_Dates) - IF(N1380 = O1380, 0, 1)
            )
        )
    ),
    ""
)</f>
        <v/>
      </c>
      <c r="T1380" s="385"/>
      <c r="U1380" s="385"/>
      <c r="V1380" s="385"/>
      <c r="W1380" s="385" t="s">
        <v>4710</v>
      </c>
      <c r="X1380" s="1"/>
    </row>
    <row r="1381" spans="1:24">
      <c r="A1381" s="385" t="s">
        <v>65</v>
      </c>
      <c r="B1381" s="385" t="s">
        <v>511</v>
      </c>
      <c r="C1381" s="385" t="s">
        <v>3040</v>
      </c>
      <c r="D1381" s="385" t="s">
        <v>88</v>
      </c>
      <c r="E1381" s="385" t="s">
        <v>29</v>
      </c>
      <c r="F1381" s="385"/>
      <c r="G1381" s="385" t="s">
        <v>130</v>
      </c>
      <c r="H1381" s="385"/>
      <c r="I1381" s="385"/>
      <c r="J1381" s="30"/>
      <c r="K1381" s="385" t="s">
        <v>63</v>
      </c>
      <c r="L1381" s="385"/>
      <c r="M1381" s="385"/>
      <c r="N1381" s="385"/>
      <c r="O1381" s="385"/>
      <c r="P1381" s="385" t="str">
        <f>IFERROR(
    IF(
        OR(ISBLANK(I1381), ISBLANK(L1381)),
        "",
        MAX(
            1,
            IF(
                NETWORKDAYS(I1381, L1381, Holiday_Dates) &lt;= 0,
                1,
                NETWORKDAYS(I1381, L1381, Holiday_Dates) - IF(I1381 = L1381, 0, 1)
            )
        )
    ),
    ""
)</f>
        <v/>
      </c>
      <c r="Q1381" s="385" t="str">
        <f>IF(
    OR(ISBLANK(L1381), ISBLANK(M1381)),
    "",
    MAX(
        1,
        IF(
            NETWORKDAYS(L1381, M1381, Holiday_Dates) &lt;= 0,
            1,
            NETWORKDAYS(L1381, M1381, Holiday_Dates) - IF(L1381 = M1381, 0, 1)
        )
    )
)</f>
        <v/>
      </c>
      <c r="R1381" s="385" t="str">
        <f>IFERROR(
    IF(
        OR(ISBLANK(N1381), AND(ISBLANK(L1381), ISBLANK(M1381))),
        "",
        MAX(
            1,
            IF(
                NETWORKDAYS(IF(NOT(ISBLANK(M1381)), M1381, L1381), N1381, Holiday_Dates) &lt;= 0,
                1,
                NETWORKDAYS(IF(NOT(ISBLANK(M1381)), M1381, L1381), N1381, Holiday_Dates)
                - IF(IF(NOT(ISBLANK(M1381)), M1381, L1381) = N1381, 0, 1)
            )
        )
    ),
    ""
)</f>
        <v/>
      </c>
      <c r="S1381" s="385" t="str">
        <f>IFERROR(
    IF(
        OR(ISBLANK(N1381), ISBLANK(O1381)),
        "",
        MAX(
            1,
            IF(
                NETWORKDAYS(N1381, O1381, Holiday_Dates) &lt;= 0,
                1,
                NETWORKDAYS(N1381, O1381, Holiday_Dates) - IF(N1381 = O1381, 0, 1)
            )
        )
    ),
    ""
)</f>
        <v/>
      </c>
      <c r="T1381" s="385"/>
      <c r="U1381" s="385"/>
      <c r="V1381" s="385"/>
      <c r="W1381" s="385" t="s">
        <v>4710</v>
      </c>
      <c r="X1381" s="1"/>
    </row>
    <row r="1382" spans="1:24">
      <c r="A1382" s="385" t="s">
        <v>65</v>
      </c>
      <c r="B1382" s="385" t="s">
        <v>511</v>
      </c>
      <c r="C1382" s="385" t="s">
        <v>3041</v>
      </c>
      <c r="D1382" s="385" t="s">
        <v>88</v>
      </c>
      <c r="E1382" s="385" t="s">
        <v>29</v>
      </c>
      <c r="F1382" s="385"/>
      <c r="G1382" s="385" t="s">
        <v>130</v>
      </c>
      <c r="H1382" s="385"/>
      <c r="I1382" s="385"/>
      <c r="J1382" s="30"/>
      <c r="K1382" s="385" t="s">
        <v>63</v>
      </c>
      <c r="L1382" s="385"/>
      <c r="M1382" s="385"/>
      <c r="N1382" s="385"/>
      <c r="O1382" s="385"/>
      <c r="P1382" s="385" t="str">
        <f>IFERROR(
    IF(
        OR(ISBLANK(I1382), ISBLANK(L1382)),
        "",
        MAX(
            1,
            IF(
                NETWORKDAYS(I1382, L1382, Holiday_Dates) &lt;= 0,
                1,
                NETWORKDAYS(I1382, L1382, Holiday_Dates) - IF(I1382 = L1382, 0, 1)
            )
        )
    ),
    ""
)</f>
        <v/>
      </c>
      <c r="Q1382" s="385" t="str">
        <f>IF(
    OR(ISBLANK(L1382), ISBLANK(M1382)),
    "",
    MAX(
        1,
        IF(
            NETWORKDAYS(L1382, M1382, Holiday_Dates) &lt;= 0,
            1,
            NETWORKDAYS(L1382, M1382, Holiday_Dates) - IF(L1382 = M1382, 0, 1)
        )
    )
)</f>
        <v/>
      </c>
      <c r="R1382" s="385" t="str">
        <f>IFERROR(
    IF(
        OR(ISBLANK(N1382), AND(ISBLANK(L1382), ISBLANK(M1382))),
        "",
        MAX(
            1,
            IF(
                NETWORKDAYS(IF(NOT(ISBLANK(M1382)), M1382, L1382), N1382, Holiday_Dates) &lt;= 0,
                1,
                NETWORKDAYS(IF(NOT(ISBLANK(M1382)), M1382, L1382), N1382, Holiday_Dates)
                - IF(IF(NOT(ISBLANK(M1382)), M1382, L1382) = N1382, 0, 1)
            )
        )
    ),
    ""
)</f>
        <v/>
      </c>
      <c r="S1382" s="385" t="str">
        <f>IFERROR(
    IF(
        OR(ISBLANK(N1382), ISBLANK(O1382)),
        "",
        MAX(
            1,
            IF(
                NETWORKDAYS(N1382, O1382, Holiday_Dates) &lt;= 0,
                1,
                NETWORKDAYS(N1382, O1382, Holiday_Dates) - IF(N1382 = O1382, 0, 1)
            )
        )
    ),
    ""
)</f>
        <v/>
      </c>
      <c r="T1382" s="385"/>
      <c r="U1382" s="385"/>
      <c r="V1382" s="385"/>
      <c r="W1382" s="385" t="s">
        <v>4710</v>
      </c>
      <c r="X1382" s="1"/>
    </row>
    <row r="1383" spans="1:24">
      <c r="A1383" s="385" t="s">
        <v>65</v>
      </c>
      <c r="B1383" s="385" t="s">
        <v>347</v>
      </c>
      <c r="C1383" s="385" t="s">
        <v>3112</v>
      </c>
      <c r="D1383" s="385" t="s">
        <v>88</v>
      </c>
      <c r="E1383" s="385" t="s">
        <v>141</v>
      </c>
      <c r="F1383" s="385"/>
      <c r="G1383" s="385" t="s">
        <v>130</v>
      </c>
      <c r="H1383" s="385"/>
      <c r="I1383" s="385"/>
      <c r="J1383" s="30"/>
      <c r="K1383" s="385" t="s">
        <v>63</v>
      </c>
      <c r="L1383" s="385"/>
      <c r="M1383" s="385"/>
      <c r="N1383" s="385"/>
      <c r="O1383" s="385"/>
      <c r="P1383" s="385" t="str">
        <f>IFERROR(
    IF(
        OR(ISBLANK(I1383), ISBLANK(L1383)),
        "",
        MAX(
            1,
            IF(
                NETWORKDAYS(I1383, L1383, Holiday_Dates) &lt;= 0,
                1,
                NETWORKDAYS(I1383, L1383, Holiday_Dates) - IF(I1383 = L1383, 0, 1)
            )
        )
    ),
    ""
)</f>
        <v/>
      </c>
      <c r="Q1383" s="385" t="str">
        <f>IF(
    OR(ISBLANK(L1383), ISBLANK(M1383)),
    "",
    MAX(
        1,
        IF(
            NETWORKDAYS(L1383, M1383, Holiday_Dates) &lt;= 0,
            1,
            NETWORKDAYS(L1383, M1383, Holiday_Dates) - IF(L1383 = M1383, 0, 1)
        )
    )
)</f>
        <v/>
      </c>
      <c r="R1383" s="385" t="str">
        <f>IFERROR(
    IF(
        OR(ISBLANK(N1383), AND(ISBLANK(L1383), ISBLANK(M1383))),
        "",
        MAX(
            1,
            IF(
                NETWORKDAYS(IF(NOT(ISBLANK(M1383)), M1383, L1383), N1383, Holiday_Dates) &lt;= 0,
                1,
                NETWORKDAYS(IF(NOT(ISBLANK(M1383)), M1383, L1383), N1383, Holiday_Dates)
                - IF(IF(NOT(ISBLANK(M1383)), M1383, L1383) = N1383, 0, 1)
            )
        )
    ),
    ""
)</f>
        <v/>
      </c>
      <c r="S1383" s="385" t="str">
        <f>IFERROR(
    IF(
        OR(ISBLANK(N1383), ISBLANK(O1383)),
        "",
        MAX(
            1,
            IF(
                NETWORKDAYS(N1383, O1383, Holiday_Dates) &lt;= 0,
                1,
                NETWORKDAYS(N1383, O1383, Holiday_Dates) - IF(N1383 = O1383, 0, 1)
            )
        )
    ),
    ""
)</f>
        <v/>
      </c>
      <c r="T1383" s="385"/>
      <c r="U1383" s="385"/>
      <c r="V1383" s="385"/>
      <c r="W1383" s="385" t="s">
        <v>4710</v>
      </c>
      <c r="X1383" s="1"/>
    </row>
    <row r="1384" spans="1:24">
      <c r="A1384" s="385" t="s">
        <v>65</v>
      </c>
      <c r="B1384" s="385" t="s">
        <v>388</v>
      </c>
      <c r="C1384" s="385" t="s">
        <v>3306</v>
      </c>
      <c r="D1384" s="385" t="s">
        <v>88</v>
      </c>
      <c r="E1384" s="385" t="s">
        <v>26</v>
      </c>
      <c r="F1384" s="385"/>
      <c r="G1384" s="385" t="s">
        <v>130</v>
      </c>
      <c r="H1384" s="385"/>
      <c r="I1384" s="385"/>
      <c r="J1384" s="30"/>
      <c r="K1384" s="385" t="s">
        <v>63</v>
      </c>
      <c r="L1384" s="385"/>
      <c r="M1384" s="385"/>
      <c r="N1384" s="385"/>
      <c r="O1384" s="385"/>
      <c r="P1384" s="385" t="str">
        <f>IFERROR(
    IF(
        OR(ISBLANK(I1384), ISBLANK(L1384)),
        "",
        MAX(
            1,
            IF(
                NETWORKDAYS(I1384, L1384, Holiday_Dates) &lt;= 0,
                1,
                NETWORKDAYS(I1384, L1384, Holiday_Dates) - IF(I1384 = L1384, 0, 1)
            )
        )
    ),
    ""
)</f>
        <v/>
      </c>
      <c r="Q1384" s="385" t="str">
        <f>IF(
    OR(ISBLANK(L1384), ISBLANK(M1384)),
    "",
    MAX(
        1,
        IF(
            NETWORKDAYS(L1384, M1384, Holiday_Dates) &lt;= 0,
            1,
            NETWORKDAYS(L1384, M1384, Holiday_Dates) - IF(L1384 = M1384, 0, 1)
        )
    )
)</f>
        <v/>
      </c>
      <c r="R1384" s="385" t="str">
        <f>IFERROR(
    IF(
        OR(ISBLANK(N1384), AND(ISBLANK(L1384), ISBLANK(M1384))),
        "",
        MAX(
            1,
            IF(
                NETWORKDAYS(IF(NOT(ISBLANK(M1384)), M1384, L1384), N1384, Holiday_Dates) &lt;= 0,
                1,
                NETWORKDAYS(IF(NOT(ISBLANK(M1384)), M1384, L1384), N1384, Holiday_Dates)
                - IF(IF(NOT(ISBLANK(M1384)), M1384, L1384) = N1384, 0, 1)
            )
        )
    ),
    ""
)</f>
        <v/>
      </c>
      <c r="S1384" s="385" t="str">
        <f>IFERROR(
    IF(
        OR(ISBLANK(N1384), ISBLANK(O1384)),
        "",
        MAX(
            1,
            IF(
                NETWORKDAYS(N1384, O1384, Holiday_Dates) &lt;= 0,
                1,
                NETWORKDAYS(N1384, O1384, Holiday_Dates) - IF(N1384 = O1384, 0, 1)
            )
        )
    ),
    ""
)</f>
        <v/>
      </c>
      <c r="T1384" s="385"/>
      <c r="U1384" s="385"/>
      <c r="V1384" s="385"/>
      <c r="W1384" s="385" t="s">
        <v>4710</v>
      </c>
      <c r="X1384" s="1"/>
    </row>
    <row r="1385" spans="1:24">
      <c r="A1385" s="385" t="s">
        <v>65</v>
      </c>
      <c r="B1385" s="385" t="s">
        <v>388</v>
      </c>
      <c r="C1385" s="385" t="s">
        <v>3309</v>
      </c>
      <c r="D1385" s="385" t="s">
        <v>88</v>
      </c>
      <c r="E1385" s="385" t="s">
        <v>26</v>
      </c>
      <c r="F1385" s="385"/>
      <c r="G1385" s="385" t="s">
        <v>130</v>
      </c>
      <c r="H1385" s="385"/>
      <c r="I1385" s="385"/>
      <c r="J1385" s="30"/>
      <c r="K1385" s="385" t="s">
        <v>63</v>
      </c>
      <c r="L1385" s="385"/>
      <c r="M1385" s="385"/>
      <c r="N1385" s="385"/>
      <c r="O1385" s="385"/>
      <c r="P1385" s="385" t="str">
        <f>IFERROR(
    IF(
        OR(ISBLANK(I1385), ISBLANK(L1385)),
        "",
        MAX(
            1,
            IF(
                NETWORKDAYS(I1385, L1385, Holiday_Dates) &lt;= 0,
                1,
                NETWORKDAYS(I1385, L1385, Holiday_Dates) - IF(I1385 = L1385, 0, 1)
            )
        )
    ),
    ""
)</f>
        <v/>
      </c>
      <c r="Q1385" s="385" t="str">
        <f>IF(
    OR(ISBLANK(L1385), ISBLANK(M1385)),
    "",
    MAX(
        1,
        IF(
            NETWORKDAYS(L1385, M1385, Holiday_Dates) &lt;= 0,
            1,
            NETWORKDAYS(L1385, M1385, Holiday_Dates) - IF(L1385 = M1385, 0, 1)
        )
    )
)</f>
        <v/>
      </c>
      <c r="R1385" s="385" t="str">
        <f>IFERROR(
    IF(
        OR(ISBLANK(N1385), AND(ISBLANK(L1385), ISBLANK(M1385))),
        "",
        MAX(
            1,
            IF(
                NETWORKDAYS(IF(NOT(ISBLANK(M1385)), M1385, L1385), N1385, Holiday_Dates) &lt;= 0,
                1,
                NETWORKDAYS(IF(NOT(ISBLANK(M1385)), M1385, L1385), N1385, Holiday_Dates)
                - IF(IF(NOT(ISBLANK(M1385)), M1385, L1385) = N1385, 0, 1)
            )
        )
    ),
    ""
)</f>
        <v/>
      </c>
      <c r="S1385" s="385" t="str">
        <f>IFERROR(
    IF(
        OR(ISBLANK(N1385), ISBLANK(O1385)),
        "",
        MAX(
            1,
            IF(
                NETWORKDAYS(N1385, O1385, Holiday_Dates) &lt;= 0,
                1,
                NETWORKDAYS(N1385, O1385, Holiday_Dates) - IF(N1385 = O1385, 0, 1)
            )
        )
    ),
    ""
)</f>
        <v/>
      </c>
      <c r="T1385" s="385"/>
      <c r="U1385" s="385"/>
      <c r="V1385" s="385"/>
      <c r="W1385" s="385" t="s">
        <v>4710</v>
      </c>
      <c r="X1385" s="1"/>
    </row>
    <row r="1386" spans="1:24">
      <c r="A1386" s="385" t="s">
        <v>65</v>
      </c>
      <c r="B1386" s="385" t="s">
        <v>388</v>
      </c>
      <c r="C1386" s="385" t="s">
        <v>2777</v>
      </c>
      <c r="D1386" s="385" t="s">
        <v>88</v>
      </c>
      <c r="E1386" s="385" t="s">
        <v>26</v>
      </c>
      <c r="F1386" s="385"/>
      <c r="G1386" s="385" t="s">
        <v>130</v>
      </c>
      <c r="H1386" s="385"/>
      <c r="I1386" s="385"/>
      <c r="J1386" s="30"/>
      <c r="K1386" s="385" t="s">
        <v>63</v>
      </c>
      <c r="L1386" s="385"/>
      <c r="M1386" s="385"/>
      <c r="N1386" s="385"/>
      <c r="O1386" s="385"/>
      <c r="P1386" s="385" t="str">
        <f>IFERROR(
    IF(
        OR(ISBLANK(I1386), ISBLANK(L1386)),
        "",
        MAX(
            1,
            IF(
                NETWORKDAYS(I1386, L1386, Holiday_Dates) &lt;= 0,
                1,
                NETWORKDAYS(I1386, L1386, Holiday_Dates) - IF(I1386 = L1386, 0, 1)
            )
        )
    ),
    ""
)</f>
        <v/>
      </c>
      <c r="Q1386" s="385" t="str">
        <f>IF(
    OR(ISBLANK(L1386), ISBLANK(M1386)),
    "",
    MAX(
        1,
        IF(
            NETWORKDAYS(L1386, M1386, Holiday_Dates) &lt;= 0,
            1,
            NETWORKDAYS(L1386, M1386, Holiday_Dates) - IF(L1386 = M1386, 0, 1)
        )
    )
)</f>
        <v/>
      </c>
      <c r="R1386" s="385" t="str">
        <f>IFERROR(
    IF(
        OR(ISBLANK(N1386), AND(ISBLANK(L1386), ISBLANK(M1386))),
        "",
        MAX(
            1,
            IF(
                NETWORKDAYS(IF(NOT(ISBLANK(M1386)), M1386, L1386), N1386, Holiday_Dates) &lt;= 0,
                1,
                NETWORKDAYS(IF(NOT(ISBLANK(M1386)), M1386, L1386), N1386, Holiday_Dates)
                - IF(IF(NOT(ISBLANK(M1386)), M1386, L1386) = N1386, 0, 1)
            )
        )
    ),
    ""
)</f>
        <v/>
      </c>
      <c r="S1386" s="385" t="str">
        <f>IFERROR(
    IF(
        OR(ISBLANK(N1386), ISBLANK(O1386)),
        "",
        MAX(
            1,
            IF(
                NETWORKDAYS(N1386, O1386, Holiday_Dates) &lt;= 0,
                1,
                NETWORKDAYS(N1386, O1386, Holiday_Dates) - IF(N1386 = O1386, 0, 1)
            )
        )
    ),
    ""
)</f>
        <v/>
      </c>
      <c r="T1386" s="385"/>
      <c r="U1386" s="385"/>
      <c r="V1386" s="385"/>
      <c r="W1386" s="385" t="s">
        <v>4710</v>
      </c>
      <c r="X1386" s="1"/>
    </row>
    <row r="1387" spans="1:24">
      <c r="A1387" s="385" t="s">
        <v>65</v>
      </c>
      <c r="B1387" s="385" t="s">
        <v>347</v>
      </c>
      <c r="C1387" s="385" t="s">
        <v>1073</v>
      </c>
      <c r="D1387" s="385" t="s">
        <v>88</v>
      </c>
      <c r="E1387" s="385"/>
      <c r="F1387" s="385"/>
      <c r="G1387" s="385"/>
      <c r="H1387" s="385">
        <v>2024</v>
      </c>
      <c r="I1387" s="386">
        <v>45377</v>
      </c>
      <c r="J1387" s="30"/>
      <c r="K1387" s="385"/>
      <c r="L1387" s="385"/>
      <c r="M1387" s="385"/>
      <c r="N1387" s="385"/>
      <c r="O1387" s="385"/>
      <c r="P1387" s="385" t="str">
        <f>IFERROR(
    IF(
        OR(ISBLANK(I1387), ISBLANK(L1387)),
        "",
        MAX(
            1,
            IF(
                NETWORKDAYS(I1387, L1387, Holiday_Dates) &lt;= 0,
                1,
                NETWORKDAYS(I1387, L1387, Holiday_Dates) - IF(I1387 = L1387, 0, 1)
            )
        )
    ),
    ""
)</f>
        <v/>
      </c>
      <c r="Q1387" s="385" t="str">
        <f>IF(
    OR(ISBLANK(L1387), ISBLANK(M1387)),
    "",
    MAX(
        1,
        IF(
            NETWORKDAYS(L1387, M1387, Holiday_Dates) &lt;= 0,
            1,
            NETWORKDAYS(L1387, M1387, Holiday_Dates) - IF(L1387 = M1387, 0, 1)
        )
    )
)</f>
        <v/>
      </c>
      <c r="R1387" s="385" t="str">
        <f>IFERROR(
    IF(
        OR(ISBLANK(N1387), AND(ISBLANK(L1387), ISBLANK(M1387))),
        "",
        MAX(
            1,
            IF(
                NETWORKDAYS(IF(NOT(ISBLANK(M1387)), M1387, L1387), N1387, Holiday_Dates) &lt;= 0,
                1,
                NETWORKDAYS(IF(NOT(ISBLANK(M1387)), M1387, L1387), N1387, Holiday_Dates)
                - IF(IF(NOT(ISBLANK(M1387)), M1387, L1387) = N1387, 0, 1)
            )
        )
    ),
    ""
)</f>
        <v/>
      </c>
      <c r="S1387" s="385" t="str">
        <f>IFERROR(
    IF(
        OR(ISBLANK(N1387), ISBLANK(O1387)),
        "",
        MAX(
            1,
            IF(
                NETWORKDAYS(N1387, O1387, Holiday_Dates) &lt;= 0,
                1,
                NETWORKDAYS(N1387, O1387, Holiday_Dates) - IF(N1387 = O1387, 0, 1)
            )
        )
    ),
    ""
)</f>
        <v/>
      </c>
      <c r="T1387" s="385"/>
      <c r="U1387" s="385" t="s">
        <v>672</v>
      </c>
      <c r="V1387" s="385"/>
      <c r="W1387" s="385" t="s">
        <v>1436</v>
      </c>
      <c r="X1387" s="1"/>
    </row>
    <row r="1388" spans="1:24">
      <c r="A1388" s="385" t="s">
        <v>65</v>
      </c>
      <c r="B1388" s="385" t="s">
        <v>388</v>
      </c>
      <c r="C1388" s="385" t="s">
        <v>3314</v>
      </c>
      <c r="D1388" s="385" t="s">
        <v>88</v>
      </c>
      <c r="E1388" s="385" t="s">
        <v>26</v>
      </c>
      <c r="F1388" s="385"/>
      <c r="G1388" s="385" t="s">
        <v>130</v>
      </c>
      <c r="H1388" s="385"/>
      <c r="I1388" s="385"/>
      <c r="J1388" s="30"/>
      <c r="K1388" s="385" t="s">
        <v>63</v>
      </c>
      <c r="L1388" s="385"/>
      <c r="M1388" s="385"/>
      <c r="N1388" s="385"/>
      <c r="O1388" s="385"/>
      <c r="P1388" s="385" t="str">
        <f>IFERROR(
    IF(
        OR(ISBLANK(I1388), ISBLANK(L1388)),
        "",
        MAX(
            1,
            IF(
                NETWORKDAYS(I1388, L1388, Holiday_Dates) &lt;= 0,
                1,
                NETWORKDAYS(I1388, L1388, Holiday_Dates) - IF(I1388 = L1388, 0, 1)
            )
        )
    ),
    ""
)</f>
        <v/>
      </c>
      <c r="Q1388" s="385" t="str">
        <f>IF(
    OR(ISBLANK(L1388), ISBLANK(M1388)),
    "",
    MAX(
        1,
        IF(
            NETWORKDAYS(L1388, M1388, Holiday_Dates) &lt;= 0,
            1,
            NETWORKDAYS(L1388, M1388, Holiday_Dates) - IF(L1388 = M1388, 0, 1)
        )
    )
)</f>
        <v/>
      </c>
      <c r="R1388" s="385" t="str">
        <f>IFERROR(
    IF(
        OR(ISBLANK(N1388), AND(ISBLANK(L1388), ISBLANK(M1388))),
        "",
        MAX(
            1,
            IF(
                NETWORKDAYS(IF(NOT(ISBLANK(M1388)), M1388, L1388), N1388, Holiday_Dates) &lt;= 0,
                1,
                NETWORKDAYS(IF(NOT(ISBLANK(M1388)), M1388, L1388), N1388, Holiday_Dates)
                - IF(IF(NOT(ISBLANK(M1388)), M1388, L1388) = N1388, 0, 1)
            )
        )
    ),
    ""
)</f>
        <v/>
      </c>
      <c r="S1388" s="385" t="str">
        <f>IFERROR(
    IF(
        OR(ISBLANK(N1388), ISBLANK(O1388)),
        "",
        MAX(
            1,
            IF(
                NETWORKDAYS(N1388, O1388, Holiday_Dates) &lt;= 0,
                1,
                NETWORKDAYS(N1388, O1388, Holiday_Dates) - IF(N1388 = O1388, 0, 1)
            )
        )
    ),
    ""
)</f>
        <v/>
      </c>
      <c r="T1388" s="385"/>
      <c r="U1388" s="385"/>
      <c r="V1388" s="385"/>
      <c r="W1388" s="385" t="s">
        <v>4710</v>
      </c>
      <c r="X1388" s="1"/>
    </row>
    <row r="1389" spans="1:24">
      <c r="A1389" s="385" t="s">
        <v>65</v>
      </c>
      <c r="B1389" s="385" t="s">
        <v>388</v>
      </c>
      <c r="C1389" s="385" t="s">
        <v>3315</v>
      </c>
      <c r="D1389" s="385" t="s">
        <v>88</v>
      </c>
      <c r="E1389" s="385" t="s">
        <v>26</v>
      </c>
      <c r="F1389" s="385"/>
      <c r="G1389" s="385" t="s">
        <v>130</v>
      </c>
      <c r="H1389" s="385"/>
      <c r="I1389" s="385"/>
      <c r="J1389" s="30"/>
      <c r="K1389" s="385" t="s">
        <v>63</v>
      </c>
      <c r="L1389" s="385"/>
      <c r="M1389" s="385"/>
      <c r="N1389" s="385"/>
      <c r="O1389" s="385"/>
      <c r="P1389" s="385" t="str">
        <f>IFERROR(
    IF(
        OR(ISBLANK(I1389), ISBLANK(L1389)),
        "",
        MAX(
            1,
            IF(
                NETWORKDAYS(I1389, L1389, Holiday_Dates) &lt;= 0,
                1,
                NETWORKDAYS(I1389, L1389, Holiday_Dates) - IF(I1389 = L1389, 0, 1)
            )
        )
    ),
    ""
)</f>
        <v/>
      </c>
      <c r="Q1389" s="385" t="str">
        <f>IF(
    OR(ISBLANK(L1389), ISBLANK(M1389)),
    "",
    MAX(
        1,
        IF(
            NETWORKDAYS(L1389, M1389, Holiday_Dates) &lt;= 0,
            1,
            NETWORKDAYS(L1389, M1389, Holiday_Dates) - IF(L1389 = M1389, 0, 1)
        )
    )
)</f>
        <v/>
      </c>
      <c r="R1389" s="385" t="str">
        <f>IFERROR(
    IF(
        OR(ISBLANK(N1389), AND(ISBLANK(L1389), ISBLANK(M1389))),
        "",
        MAX(
            1,
            IF(
                NETWORKDAYS(IF(NOT(ISBLANK(M1389)), M1389, L1389), N1389, Holiday_Dates) &lt;= 0,
                1,
                NETWORKDAYS(IF(NOT(ISBLANK(M1389)), M1389, L1389), N1389, Holiday_Dates)
                - IF(IF(NOT(ISBLANK(M1389)), M1389, L1389) = N1389, 0, 1)
            )
        )
    ),
    ""
)</f>
        <v/>
      </c>
      <c r="S1389" s="385" t="str">
        <f>IFERROR(
    IF(
        OR(ISBLANK(N1389), ISBLANK(O1389)),
        "",
        MAX(
            1,
            IF(
                NETWORKDAYS(N1389, O1389, Holiday_Dates) &lt;= 0,
                1,
                NETWORKDAYS(N1389, O1389, Holiday_Dates) - IF(N1389 = O1389, 0, 1)
            )
        )
    ),
    ""
)</f>
        <v/>
      </c>
      <c r="T1389" s="385"/>
      <c r="U1389" s="385"/>
      <c r="V1389" s="385"/>
      <c r="W1389" s="385" t="s">
        <v>4710</v>
      </c>
      <c r="X1389" s="1"/>
    </row>
    <row r="1390" spans="1:24">
      <c r="A1390" s="385" t="s">
        <v>65</v>
      </c>
      <c r="B1390" s="385" t="s">
        <v>388</v>
      </c>
      <c r="C1390" s="385" t="s">
        <v>3321</v>
      </c>
      <c r="D1390" s="385" t="s">
        <v>88</v>
      </c>
      <c r="E1390" s="385" t="s">
        <v>26</v>
      </c>
      <c r="F1390" s="385"/>
      <c r="G1390" s="385" t="s">
        <v>130</v>
      </c>
      <c r="H1390" s="385"/>
      <c r="I1390" s="385"/>
      <c r="J1390" s="30"/>
      <c r="K1390" s="385" t="s">
        <v>63</v>
      </c>
      <c r="L1390" s="385"/>
      <c r="M1390" s="385"/>
      <c r="N1390" s="385"/>
      <c r="O1390" s="385"/>
      <c r="P1390" s="385" t="str">
        <f>IFERROR(
    IF(
        OR(ISBLANK(I1390), ISBLANK(L1390)),
        "",
        MAX(
            1,
            IF(
                NETWORKDAYS(I1390, L1390, Holiday_Dates) &lt;= 0,
                1,
                NETWORKDAYS(I1390, L1390, Holiday_Dates) - IF(I1390 = L1390, 0, 1)
            )
        )
    ),
    ""
)</f>
        <v/>
      </c>
      <c r="Q1390" s="385" t="str">
        <f>IF(
    OR(ISBLANK(L1390), ISBLANK(M1390)),
    "",
    MAX(
        1,
        IF(
            NETWORKDAYS(L1390, M1390, Holiday_Dates) &lt;= 0,
            1,
            NETWORKDAYS(L1390, M1390, Holiday_Dates) - IF(L1390 = M1390, 0, 1)
        )
    )
)</f>
        <v/>
      </c>
      <c r="R1390" s="385" t="str">
        <f>IFERROR(
    IF(
        OR(ISBLANK(N1390), AND(ISBLANK(L1390), ISBLANK(M1390))),
        "",
        MAX(
            1,
            IF(
                NETWORKDAYS(IF(NOT(ISBLANK(M1390)), M1390, L1390), N1390, Holiday_Dates) &lt;= 0,
                1,
                NETWORKDAYS(IF(NOT(ISBLANK(M1390)), M1390, L1390), N1390, Holiday_Dates)
                - IF(IF(NOT(ISBLANK(M1390)), M1390, L1390) = N1390, 0, 1)
            )
        )
    ),
    ""
)</f>
        <v/>
      </c>
      <c r="S1390" s="385" t="str">
        <f>IFERROR(
    IF(
        OR(ISBLANK(N1390), ISBLANK(O1390)),
        "",
        MAX(
            1,
            IF(
                NETWORKDAYS(N1390, O1390, Holiday_Dates) &lt;= 0,
                1,
                NETWORKDAYS(N1390, O1390, Holiday_Dates) - IF(N1390 = O1390, 0, 1)
            )
        )
    ),
    ""
)</f>
        <v/>
      </c>
      <c r="T1390" s="385"/>
      <c r="U1390" s="385"/>
      <c r="V1390" s="385"/>
      <c r="W1390" s="385" t="s">
        <v>4710</v>
      </c>
      <c r="X1390" s="1"/>
    </row>
    <row r="1391" spans="1:24">
      <c r="A1391" s="385" t="s">
        <v>65</v>
      </c>
      <c r="B1391" s="385" t="s">
        <v>347</v>
      </c>
      <c r="C1391" s="385" t="s">
        <v>3090</v>
      </c>
      <c r="D1391" s="385" t="s">
        <v>88</v>
      </c>
      <c r="E1391" s="385"/>
      <c r="F1391" s="385"/>
      <c r="G1391" s="385"/>
      <c r="H1391" s="385">
        <v>2025</v>
      </c>
      <c r="I1391" s="386">
        <v>45939</v>
      </c>
      <c r="J1391" s="30" t="s">
        <v>5254</v>
      </c>
      <c r="K1391" s="385"/>
      <c r="L1391" s="385"/>
      <c r="M1391" s="385"/>
      <c r="N1391" s="385"/>
      <c r="O1391" s="385"/>
      <c r="P1391" s="385" t="str">
        <f>IFERROR(
    IF(
        OR(ISBLANK(I1391), ISBLANK(L1391)),
        "",
        MAX(
            1,
            IF(
                NETWORKDAYS(I1391, L1391, Holiday_Dates) &lt;= 0,
                1,
                NETWORKDAYS(I1391, L1391, Holiday_Dates) - IF(I1391 = L1391, 0, 1)
            )
        )
    ),
    ""
)</f>
        <v/>
      </c>
      <c r="Q1391" s="385" t="str">
        <f>IF(
    OR(ISBLANK(L1391), ISBLANK(M1391)),
    "",
    MAX(
        1,
        IF(
            NETWORKDAYS(L1391, M1391, Holiday_Dates) &lt;= 0,
            1,
            NETWORKDAYS(L1391, M1391, Holiday_Dates) - IF(L1391 = M1391, 0, 1)
        )
    )
)</f>
        <v/>
      </c>
      <c r="R1391" s="385" t="str">
        <f>IFERROR(
    IF(
        OR(ISBLANK(N1391), AND(ISBLANK(L1391), ISBLANK(M1391))),
        "",
        MAX(
            1,
            IF(
                NETWORKDAYS(IF(NOT(ISBLANK(M1391)), M1391, L1391), N1391, Holiday_Dates) &lt;= 0,
                1,
                NETWORKDAYS(IF(NOT(ISBLANK(M1391)), M1391, L1391), N1391, Holiday_Dates)
                - IF(IF(NOT(ISBLANK(M1391)), M1391, L1391) = N1391, 0, 1)
            )
        )
    ),
    ""
)</f>
        <v/>
      </c>
      <c r="S1391" s="385" t="str">
        <f>IFERROR(
    IF(
        OR(ISBLANK(N1391), ISBLANK(O1391)),
        "",
        MAX(
            1,
            IF(
                NETWORKDAYS(N1391, O1391, Holiday_Dates) &lt;= 0,
                1,
                NETWORKDAYS(N1391, O1391, Holiday_Dates) - IF(N1391 = O1391, 0, 1)
            )
        )
    ),
    ""
)</f>
        <v/>
      </c>
      <c r="T1391" s="385"/>
      <c r="U1391" s="385" t="s">
        <v>672</v>
      </c>
      <c r="V1391" s="385" t="s">
        <v>101</v>
      </c>
      <c r="W1391" s="385" t="s">
        <v>1436</v>
      </c>
      <c r="X1391" s="1"/>
    </row>
    <row r="1392" spans="1:24">
      <c r="A1392" s="385" t="s">
        <v>65</v>
      </c>
      <c r="B1392" s="385" t="s">
        <v>388</v>
      </c>
      <c r="C1392" s="385" t="s">
        <v>3322</v>
      </c>
      <c r="D1392" s="385" t="s">
        <v>88</v>
      </c>
      <c r="E1392" s="385" t="s">
        <v>26</v>
      </c>
      <c r="F1392" s="385"/>
      <c r="G1392" s="385" t="s">
        <v>130</v>
      </c>
      <c r="H1392" s="385"/>
      <c r="I1392" s="385"/>
      <c r="J1392" s="30"/>
      <c r="K1392" s="385" t="s">
        <v>63</v>
      </c>
      <c r="L1392" s="385"/>
      <c r="M1392" s="385"/>
      <c r="N1392" s="385"/>
      <c r="O1392" s="385"/>
      <c r="P1392" s="385" t="str">
        <f>IFERROR(
    IF(
        OR(ISBLANK(I1392), ISBLANK(L1392)),
        "",
        MAX(
            1,
            IF(
                NETWORKDAYS(I1392, L1392, Holiday_Dates) &lt;= 0,
                1,
                NETWORKDAYS(I1392, L1392, Holiday_Dates) - IF(I1392 = L1392, 0, 1)
            )
        )
    ),
    ""
)</f>
        <v/>
      </c>
      <c r="Q1392" s="385" t="str">
        <f>IF(
    OR(ISBLANK(L1392), ISBLANK(M1392)),
    "",
    MAX(
        1,
        IF(
            NETWORKDAYS(L1392, M1392, Holiday_Dates) &lt;= 0,
            1,
            NETWORKDAYS(L1392, M1392, Holiday_Dates) - IF(L1392 = M1392, 0, 1)
        )
    )
)</f>
        <v/>
      </c>
      <c r="R1392" s="385" t="str">
        <f>IFERROR(
    IF(
        OR(ISBLANK(N1392), AND(ISBLANK(L1392), ISBLANK(M1392))),
        "",
        MAX(
            1,
            IF(
                NETWORKDAYS(IF(NOT(ISBLANK(M1392)), M1392, L1392), N1392, Holiday_Dates) &lt;= 0,
                1,
                NETWORKDAYS(IF(NOT(ISBLANK(M1392)), M1392, L1392), N1392, Holiday_Dates)
                - IF(IF(NOT(ISBLANK(M1392)), M1392, L1392) = N1392, 0, 1)
            )
        )
    ),
    ""
)</f>
        <v/>
      </c>
      <c r="S1392" s="385" t="str">
        <f>IFERROR(
    IF(
        OR(ISBLANK(N1392), ISBLANK(O1392)),
        "",
        MAX(
            1,
            IF(
                NETWORKDAYS(N1392, O1392, Holiday_Dates) &lt;= 0,
                1,
                NETWORKDAYS(N1392, O1392, Holiday_Dates) - IF(N1392 = O1392, 0, 1)
            )
        )
    ),
    ""
)</f>
        <v/>
      </c>
      <c r="T1392" s="385"/>
      <c r="U1392" s="385"/>
      <c r="V1392" s="385"/>
      <c r="W1392" s="385" t="s">
        <v>4710</v>
      </c>
      <c r="X1392" s="1"/>
    </row>
    <row r="1393" spans="1:24">
      <c r="A1393" s="385" t="s">
        <v>65</v>
      </c>
      <c r="B1393" s="385" t="s">
        <v>347</v>
      </c>
      <c r="C1393" s="385" t="s">
        <v>653</v>
      </c>
      <c r="D1393" s="385" t="s">
        <v>88</v>
      </c>
      <c r="E1393" s="385"/>
      <c r="F1393" s="385"/>
      <c r="G1393" s="385"/>
      <c r="H1393" s="385">
        <v>2024</v>
      </c>
      <c r="I1393" s="386">
        <v>45351</v>
      </c>
      <c r="J1393" s="30"/>
      <c r="K1393" s="385"/>
      <c r="L1393" s="385"/>
      <c r="M1393" s="385"/>
      <c r="N1393" s="385"/>
      <c r="O1393" s="385"/>
      <c r="P1393" s="385" t="str">
        <f>IFERROR(
    IF(
        OR(ISBLANK(I1393), ISBLANK(L1393)),
        "",
        MAX(
            1,
            IF(
                NETWORKDAYS(I1393, L1393, Holiday_Dates) &lt;= 0,
                1,
                NETWORKDAYS(I1393, L1393, Holiday_Dates) - IF(I1393 = L1393, 0, 1)
            )
        )
    ),
    ""
)</f>
        <v/>
      </c>
      <c r="Q1393" s="385" t="str">
        <f>IF(
    OR(ISBLANK(L1393), ISBLANK(M1393)),
    "",
    MAX(
        1,
        IF(
            NETWORKDAYS(L1393, M1393, Holiday_Dates) &lt;= 0,
            1,
            NETWORKDAYS(L1393, M1393, Holiday_Dates) - IF(L1393 = M1393, 0, 1)
        )
    )
)</f>
        <v/>
      </c>
      <c r="R1393" s="385" t="str">
        <f>IFERROR(
    IF(
        OR(ISBLANK(N1393), AND(ISBLANK(L1393), ISBLANK(M1393))),
        "",
        MAX(
            1,
            IF(
                NETWORKDAYS(IF(NOT(ISBLANK(M1393)), M1393, L1393), N1393, Holiday_Dates) &lt;= 0,
                1,
                NETWORKDAYS(IF(NOT(ISBLANK(M1393)), M1393, L1393), N1393, Holiday_Dates)
                - IF(IF(NOT(ISBLANK(M1393)), M1393, L1393) = N1393, 0, 1)
            )
        )
    ),
    ""
)</f>
        <v/>
      </c>
      <c r="S1393" s="385" t="str">
        <f>IFERROR(
    IF(
        OR(ISBLANK(N1393), ISBLANK(O1393)),
        "",
        MAX(
            1,
            IF(
                NETWORKDAYS(N1393, O1393, Holiday_Dates) &lt;= 0,
                1,
                NETWORKDAYS(N1393, O1393, Holiday_Dates) - IF(N1393 = O1393, 0, 1)
            )
        )
    ),
    ""
)</f>
        <v/>
      </c>
      <c r="T1393" s="385"/>
      <c r="U1393" s="385" t="s">
        <v>672</v>
      </c>
      <c r="V1393" s="385"/>
      <c r="W1393" s="385" t="s">
        <v>1436</v>
      </c>
      <c r="X1393" s="1"/>
    </row>
    <row r="1394" spans="1:24">
      <c r="A1394" s="385" t="s">
        <v>65</v>
      </c>
      <c r="B1394" s="385" t="s">
        <v>388</v>
      </c>
      <c r="C1394" s="385" t="s">
        <v>3323</v>
      </c>
      <c r="D1394" s="385" t="s">
        <v>88</v>
      </c>
      <c r="E1394" s="385" t="s">
        <v>26</v>
      </c>
      <c r="F1394" s="385"/>
      <c r="G1394" s="385" t="s">
        <v>130</v>
      </c>
      <c r="H1394" s="385"/>
      <c r="I1394" s="385"/>
      <c r="J1394" s="30"/>
      <c r="K1394" s="385" t="s">
        <v>63</v>
      </c>
      <c r="L1394" s="385"/>
      <c r="M1394" s="385"/>
      <c r="N1394" s="385"/>
      <c r="O1394" s="385"/>
      <c r="P1394" s="385" t="str">
        <f>IFERROR(
    IF(
        OR(ISBLANK(I1394), ISBLANK(L1394)),
        "",
        MAX(
            1,
            IF(
                NETWORKDAYS(I1394, L1394, Holiday_Dates) &lt;= 0,
                1,
                NETWORKDAYS(I1394, L1394, Holiday_Dates) - IF(I1394 = L1394, 0, 1)
            )
        )
    ),
    ""
)</f>
        <v/>
      </c>
      <c r="Q1394" s="385" t="str">
        <f>IF(
    OR(ISBLANK(L1394), ISBLANK(M1394)),
    "",
    MAX(
        1,
        IF(
            NETWORKDAYS(L1394, M1394, Holiday_Dates) &lt;= 0,
            1,
            NETWORKDAYS(L1394, M1394, Holiday_Dates) - IF(L1394 = M1394, 0, 1)
        )
    )
)</f>
        <v/>
      </c>
      <c r="R1394" s="385" t="str">
        <f>IFERROR(
    IF(
        OR(ISBLANK(N1394), AND(ISBLANK(L1394), ISBLANK(M1394))),
        "",
        MAX(
            1,
            IF(
                NETWORKDAYS(IF(NOT(ISBLANK(M1394)), M1394, L1394), N1394, Holiday_Dates) &lt;= 0,
                1,
                NETWORKDAYS(IF(NOT(ISBLANK(M1394)), M1394, L1394), N1394, Holiday_Dates)
                - IF(IF(NOT(ISBLANK(M1394)), M1394, L1394) = N1394, 0, 1)
            )
        )
    ),
    ""
)</f>
        <v/>
      </c>
      <c r="S1394" s="385" t="str">
        <f>IFERROR(
    IF(
        OR(ISBLANK(N1394), ISBLANK(O1394)),
        "",
        MAX(
            1,
            IF(
                NETWORKDAYS(N1394, O1394, Holiday_Dates) &lt;= 0,
                1,
                NETWORKDAYS(N1394, O1394, Holiday_Dates) - IF(N1394 = O1394, 0, 1)
            )
        )
    ),
    ""
)</f>
        <v/>
      </c>
      <c r="T1394" s="385"/>
      <c r="U1394" s="385"/>
      <c r="V1394" s="385"/>
      <c r="W1394" s="385" t="s">
        <v>4710</v>
      </c>
      <c r="X1394" s="1"/>
    </row>
    <row r="1395" spans="1:24">
      <c r="A1395" s="385" t="s">
        <v>65</v>
      </c>
      <c r="B1395" s="385" t="s">
        <v>388</v>
      </c>
      <c r="C1395" s="385" t="s">
        <v>3335</v>
      </c>
      <c r="D1395" s="385" t="s">
        <v>88</v>
      </c>
      <c r="E1395" s="385" t="s">
        <v>26</v>
      </c>
      <c r="F1395" s="385"/>
      <c r="G1395" s="385" t="s">
        <v>130</v>
      </c>
      <c r="H1395" s="385"/>
      <c r="I1395" s="385"/>
      <c r="J1395" s="30"/>
      <c r="K1395" s="385" t="s">
        <v>63</v>
      </c>
      <c r="L1395" s="385"/>
      <c r="M1395" s="385"/>
      <c r="N1395" s="385"/>
      <c r="O1395" s="385"/>
      <c r="P1395" s="385" t="str">
        <f>IFERROR(
    IF(
        OR(ISBLANK(I1395), ISBLANK(L1395)),
        "",
        MAX(
            1,
            IF(
                NETWORKDAYS(I1395, L1395, Holiday_Dates) &lt;= 0,
                1,
                NETWORKDAYS(I1395, L1395, Holiday_Dates) - IF(I1395 = L1395, 0, 1)
            )
        )
    ),
    ""
)</f>
        <v/>
      </c>
      <c r="Q1395" s="385" t="str">
        <f>IF(
    OR(ISBLANK(L1395), ISBLANK(M1395)),
    "",
    MAX(
        1,
        IF(
            NETWORKDAYS(L1395, M1395, Holiday_Dates) &lt;= 0,
            1,
            NETWORKDAYS(L1395, M1395, Holiday_Dates) - IF(L1395 = M1395, 0, 1)
        )
    )
)</f>
        <v/>
      </c>
      <c r="R1395" s="385" t="str">
        <f>IFERROR(
    IF(
        OR(ISBLANK(N1395), AND(ISBLANK(L1395), ISBLANK(M1395))),
        "",
        MAX(
            1,
            IF(
                NETWORKDAYS(IF(NOT(ISBLANK(M1395)), M1395, L1395), N1395, Holiday_Dates) &lt;= 0,
                1,
                NETWORKDAYS(IF(NOT(ISBLANK(M1395)), M1395, L1395), N1395, Holiday_Dates)
                - IF(IF(NOT(ISBLANK(M1395)), M1395, L1395) = N1395, 0, 1)
            )
        )
    ),
    ""
)</f>
        <v/>
      </c>
      <c r="S1395" s="385" t="str">
        <f>IFERROR(
    IF(
        OR(ISBLANK(N1395), ISBLANK(O1395)),
        "",
        MAX(
            1,
            IF(
                NETWORKDAYS(N1395, O1395, Holiday_Dates) &lt;= 0,
                1,
                NETWORKDAYS(N1395, O1395, Holiday_Dates) - IF(N1395 = O1395, 0, 1)
            )
        )
    ),
    ""
)</f>
        <v/>
      </c>
      <c r="T1395" s="385"/>
      <c r="U1395" s="385"/>
      <c r="V1395" s="385"/>
      <c r="W1395" s="385" t="s">
        <v>4710</v>
      </c>
      <c r="X1395" s="1"/>
    </row>
    <row r="1396" spans="1:24">
      <c r="A1396" s="385" t="s">
        <v>65</v>
      </c>
      <c r="B1396" s="385" t="s">
        <v>512</v>
      </c>
      <c r="C1396" s="385" t="s">
        <v>3113</v>
      </c>
      <c r="D1396" s="385" t="s">
        <v>88</v>
      </c>
      <c r="E1396" s="385"/>
      <c r="F1396" s="385"/>
      <c r="G1396" s="385"/>
      <c r="H1396" s="385">
        <v>2025</v>
      </c>
      <c r="I1396" s="386">
        <v>45729</v>
      </c>
      <c r="J1396" s="30" t="s">
        <v>5255</v>
      </c>
      <c r="K1396" s="385"/>
      <c r="L1396" s="385"/>
      <c r="M1396" s="385"/>
      <c r="N1396" s="385"/>
      <c r="O1396" s="385"/>
      <c r="P1396" s="385" t="str">
        <f>IFERROR(
    IF(
        OR(ISBLANK(I1396), ISBLANK(L1396)),
        "",
        MAX(
            1,
            IF(
                NETWORKDAYS(I1396, L1396, Holiday_Dates) &lt;= 0,
                1,
                NETWORKDAYS(I1396, L1396, Holiday_Dates) - IF(I1396 = L1396, 0, 1)
            )
        )
    ),
    ""
)</f>
        <v/>
      </c>
      <c r="Q1396" s="385" t="str">
        <f>IF(
    OR(ISBLANK(L1396), ISBLANK(M1396)),
    "",
    MAX(
        1,
        IF(
            NETWORKDAYS(L1396, M1396, Holiday_Dates) &lt;= 0,
            1,
            NETWORKDAYS(L1396, M1396, Holiday_Dates) - IF(L1396 = M1396, 0, 1)
        )
    )
)</f>
        <v/>
      </c>
      <c r="R1396" s="385" t="str">
        <f>IFERROR(
    IF(
        OR(ISBLANK(N1396), AND(ISBLANK(L1396), ISBLANK(M1396))),
        "",
        MAX(
            1,
            IF(
                NETWORKDAYS(IF(NOT(ISBLANK(M1396)), M1396, L1396), N1396, Holiday_Dates) &lt;= 0,
                1,
                NETWORKDAYS(IF(NOT(ISBLANK(M1396)), M1396, L1396), N1396, Holiday_Dates)
                - IF(IF(NOT(ISBLANK(M1396)), M1396, L1396) = N1396, 0, 1)
            )
        )
    ),
    ""
)</f>
        <v/>
      </c>
      <c r="S1396" s="385" t="str">
        <f>IFERROR(
    IF(
        OR(ISBLANK(N1396), ISBLANK(O1396)),
        "",
        MAX(
            1,
            IF(
                NETWORKDAYS(N1396, O1396, Holiday_Dates) &lt;= 0,
                1,
                NETWORKDAYS(N1396, O1396, Holiday_Dates) - IF(N1396 = O1396, 0, 1)
            )
        )
    ),
    ""
)</f>
        <v/>
      </c>
      <c r="T1396" s="385"/>
      <c r="U1396" s="385" t="s">
        <v>672</v>
      </c>
      <c r="V1396" s="385" t="s">
        <v>101</v>
      </c>
      <c r="W1396" s="385" t="s">
        <v>1436</v>
      </c>
      <c r="X1396" s="1"/>
    </row>
    <row r="1397" spans="1:24">
      <c r="A1397" s="385" t="s">
        <v>65</v>
      </c>
      <c r="B1397" s="385" t="s">
        <v>512</v>
      </c>
      <c r="C1397" s="385" t="s">
        <v>1087</v>
      </c>
      <c r="D1397" s="385" t="s">
        <v>88</v>
      </c>
      <c r="E1397" s="385"/>
      <c r="F1397" s="385"/>
      <c r="G1397" s="385"/>
      <c r="H1397" s="385">
        <v>2025</v>
      </c>
      <c r="I1397" s="386">
        <v>45700</v>
      </c>
      <c r="J1397" s="30" t="s">
        <v>5256</v>
      </c>
      <c r="K1397" s="385"/>
      <c r="L1397" s="385"/>
      <c r="M1397" s="385"/>
      <c r="N1397" s="385"/>
      <c r="O1397" s="385"/>
      <c r="P1397" s="385" t="str">
        <f>IFERROR(
    IF(
        OR(ISBLANK(I1397), ISBLANK(L1397)),
        "",
        MAX(
            1,
            IF(
                NETWORKDAYS(I1397, L1397, Holiday_Dates) &lt;= 0,
                1,
                NETWORKDAYS(I1397, L1397, Holiday_Dates) - IF(I1397 = L1397, 0, 1)
            )
        )
    ),
    ""
)</f>
        <v/>
      </c>
      <c r="Q1397" s="385" t="str">
        <f>IF(
    OR(ISBLANK(L1397), ISBLANK(M1397)),
    "",
    MAX(
        1,
        IF(
            NETWORKDAYS(L1397, M1397, Holiday_Dates) &lt;= 0,
            1,
            NETWORKDAYS(L1397, M1397, Holiday_Dates) - IF(L1397 = M1397, 0, 1)
        )
    )
)</f>
        <v/>
      </c>
      <c r="R1397" s="385" t="str">
        <f>IFERROR(
    IF(
        OR(ISBLANK(N1397), AND(ISBLANK(L1397), ISBLANK(M1397))),
        "",
        MAX(
            1,
            IF(
                NETWORKDAYS(IF(NOT(ISBLANK(M1397)), M1397, L1397), N1397, Holiday_Dates) &lt;= 0,
                1,
                NETWORKDAYS(IF(NOT(ISBLANK(M1397)), M1397, L1397), N1397, Holiday_Dates)
                - IF(IF(NOT(ISBLANK(M1397)), M1397, L1397) = N1397, 0, 1)
            )
        )
    ),
    ""
)</f>
        <v/>
      </c>
      <c r="S1397" s="385" t="str">
        <f>IFERROR(
    IF(
        OR(ISBLANK(N1397), ISBLANK(O1397)),
        "",
        MAX(
            1,
            IF(
                NETWORKDAYS(N1397, O1397, Holiday_Dates) &lt;= 0,
                1,
                NETWORKDAYS(N1397, O1397, Holiday_Dates) - IF(N1397 = O1397, 0, 1)
            )
        )
    ),
    ""
)</f>
        <v/>
      </c>
      <c r="T1397" s="385"/>
      <c r="U1397" s="385" t="s">
        <v>672</v>
      </c>
      <c r="V1397" s="385" t="s">
        <v>101</v>
      </c>
      <c r="W1397" s="385" t="s">
        <v>1436</v>
      </c>
      <c r="X1397" s="1"/>
    </row>
    <row r="1398" spans="1:24">
      <c r="A1398" s="385" t="s">
        <v>65</v>
      </c>
      <c r="B1398" s="385" t="s">
        <v>388</v>
      </c>
      <c r="C1398" s="385" t="s">
        <v>3342</v>
      </c>
      <c r="D1398" s="385" t="s">
        <v>88</v>
      </c>
      <c r="E1398" s="385" t="s">
        <v>26</v>
      </c>
      <c r="F1398" s="385"/>
      <c r="G1398" s="385" t="s">
        <v>130</v>
      </c>
      <c r="H1398" s="385"/>
      <c r="I1398" s="385"/>
      <c r="J1398" s="30"/>
      <c r="K1398" s="385" t="s">
        <v>63</v>
      </c>
      <c r="L1398" s="385"/>
      <c r="M1398" s="385"/>
      <c r="N1398" s="385"/>
      <c r="O1398" s="385"/>
      <c r="P1398" s="385" t="str">
        <f>IFERROR(
    IF(
        OR(ISBLANK(I1398), ISBLANK(L1398)),
        "",
        MAX(
            1,
            IF(
                NETWORKDAYS(I1398, L1398, Holiday_Dates) &lt;= 0,
                1,
                NETWORKDAYS(I1398, L1398, Holiday_Dates) - IF(I1398 = L1398, 0, 1)
            )
        )
    ),
    ""
)</f>
        <v/>
      </c>
      <c r="Q1398" s="385" t="str">
        <f>IF(
    OR(ISBLANK(L1398), ISBLANK(M1398)),
    "",
    MAX(
        1,
        IF(
            NETWORKDAYS(L1398, M1398, Holiday_Dates) &lt;= 0,
            1,
            NETWORKDAYS(L1398, M1398, Holiday_Dates) - IF(L1398 = M1398, 0, 1)
        )
    )
)</f>
        <v/>
      </c>
      <c r="R1398" s="385" t="str">
        <f>IFERROR(
    IF(
        OR(ISBLANK(N1398), AND(ISBLANK(L1398), ISBLANK(M1398))),
        "",
        MAX(
            1,
            IF(
                NETWORKDAYS(IF(NOT(ISBLANK(M1398)), M1398, L1398), N1398, Holiday_Dates) &lt;= 0,
                1,
                NETWORKDAYS(IF(NOT(ISBLANK(M1398)), M1398, L1398), N1398, Holiday_Dates)
                - IF(IF(NOT(ISBLANK(M1398)), M1398, L1398) = N1398, 0, 1)
            )
        )
    ),
    ""
)</f>
        <v/>
      </c>
      <c r="S1398" s="385" t="str">
        <f>IFERROR(
    IF(
        OR(ISBLANK(N1398), ISBLANK(O1398)),
        "",
        MAX(
            1,
            IF(
                NETWORKDAYS(N1398, O1398, Holiday_Dates) &lt;= 0,
                1,
                NETWORKDAYS(N1398, O1398, Holiday_Dates) - IF(N1398 = O1398, 0, 1)
            )
        )
    ),
    ""
)</f>
        <v/>
      </c>
      <c r="T1398" s="385"/>
      <c r="U1398" s="385"/>
      <c r="V1398" s="385"/>
      <c r="W1398" s="385" t="s">
        <v>4710</v>
      </c>
      <c r="X1398" s="1"/>
    </row>
    <row r="1399" spans="1:24">
      <c r="A1399" s="385" t="s">
        <v>65</v>
      </c>
      <c r="B1399" s="385" t="s">
        <v>522</v>
      </c>
      <c r="C1399" s="385" t="s">
        <v>2788</v>
      </c>
      <c r="D1399" s="385" t="s">
        <v>88</v>
      </c>
      <c r="E1399" s="385" t="s">
        <v>141</v>
      </c>
      <c r="F1399" s="385"/>
      <c r="G1399" s="385" t="s">
        <v>130</v>
      </c>
      <c r="H1399" s="385"/>
      <c r="I1399" s="385"/>
      <c r="J1399" s="30"/>
      <c r="K1399" s="385" t="s">
        <v>63</v>
      </c>
      <c r="L1399" s="385"/>
      <c r="M1399" s="385"/>
      <c r="N1399" s="385"/>
      <c r="O1399" s="385"/>
      <c r="P1399" s="385" t="str">
        <f>IFERROR(
    IF(
        OR(ISBLANK(I1399), ISBLANK(L1399)),
        "",
        MAX(
            1,
            IF(
                NETWORKDAYS(I1399, L1399, Holiday_Dates) &lt;= 0,
                1,
                NETWORKDAYS(I1399, L1399, Holiday_Dates) - IF(I1399 = L1399, 0, 1)
            )
        )
    ),
    ""
)</f>
        <v/>
      </c>
      <c r="Q1399" s="385" t="str">
        <f>IF(
    OR(ISBLANK(L1399), ISBLANK(M1399)),
    "",
    MAX(
        1,
        IF(
            NETWORKDAYS(L1399, M1399, Holiday_Dates) &lt;= 0,
            1,
            NETWORKDAYS(L1399, M1399, Holiday_Dates) - IF(L1399 = M1399, 0, 1)
        )
    )
)</f>
        <v/>
      </c>
      <c r="R1399" s="385" t="str">
        <f>IFERROR(
    IF(
        OR(ISBLANK(N1399), AND(ISBLANK(L1399), ISBLANK(M1399))),
        "",
        MAX(
            1,
            IF(
                NETWORKDAYS(IF(NOT(ISBLANK(M1399)), M1399, L1399), N1399, Holiday_Dates) &lt;= 0,
                1,
                NETWORKDAYS(IF(NOT(ISBLANK(M1399)), M1399, L1399), N1399, Holiday_Dates)
                - IF(IF(NOT(ISBLANK(M1399)), M1399, L1399) = N1399, 0, 1)
            )
        )
    ),
    ""
)</f>
        <v/>
      </c>
      <c r="S1399" s="385" t="str">
        <f>IFERROR(
    IF(
        OR(ISBLANK(N1399), ISBLANK(O1399)),
        "",
        MAX(
            1,
            IF(
                NETWORKDAYS(N1399, O1399, Holiday_Dates) &lt;= 0,
                1,
                NETWORKDAYS(N1399, O1399, Holiday_Dates) - IF(N1399 = O1399, 0, 1)
            )
        )
    ),
    ""
)</f>
        <v/>
      </c>
      <c r="T1399" s="385"/>
      <c r="U1399" s="385"/>
      <c r="V1399" s="385"/>
      <c r="W1399" s="385" t="s">
        <v>4710</v>
      </c>
      <c r="X1399" s="1"/>
    </row>
    <row r="1400" spans="1:24">
      <c r="A1400" s="385" t="s">
        <v>65</v>
      </c>
      <c r="B1400" s="385" t="s">
        <v>522</v>
      </c>
      <c r="C1400" s="385" t="s">
        <v>3349</v>
      </c>
      <c r="D1400" s="385" t="s">
        <v>88</v>
      </c>
      <c r="E1400" s="385" t="s">
        <v>141</v>
      </c>
      <c r="F1400" s="385"/>
      <c r="G1400" s="385" t="s">
        <v>130</v>
      </c>
      <c r="H1400" s="385"/>
      <c r="I1400" s="385"/>
      <c r="J1400" s="30"/>
      <c r="K1400" s="385" t="s">
        <v>63</v>
      </c>
      <c r="L1400" s="385"/>
      <c r="M1400" s="385"/>
      <c r="N1400" s="385"/>
      <c r="O1400" s="385"/>
      <c r="P1400" s="385" t="str">
        <f>IFERROR(
    IF(
        OR(ISBLANK(I1400), ISBLANK(L1400)),
        "",
        MAX(
            1,
            IF(
                NETWORKDAYS(I1400, L1400, Holiday_Dates) &lt;= 0,
                1,
                NETWORKDAYS(I1400, L1400, Holiday_Dates) - IF(I1400 = L1400, 0, 1)
            )
        )
    ),
    ""
)</f>
        <v/>
      </c>
      <c r="Q1400" s="385" t="str">
        <f>IF(
    OR(ISBLANK(L1400), ISBLANK(M1400)),
    "",
    MAX(
        1,
        IF(
            NETWORKDAYS(L1400, M1400, Holiday_Dates) &lt;= 0,
            1,
            NETWORKDAYS(L1400, M1400, Holiday_Dates) - IF(L1400 = M1400, 0, 1)
        )
    )
)</f>
        <v/>
      </c>
      <c r="R1400" s="385" t="str">
        <f>IFERROR(
    IF(
        OR(ISBLANK(N1400), AND(ISBLANK(L1400), ISBLANK(M1400))),
        "",
        MAX(
            1,
            IF(
                NETWORKDAYS(IF(NOT(ISBLANK(M1400)), M1400, L1400), N1400, Holiday_Dates) &lt;= 0,
                1,
                NETWORKDAYS(IF(NOT(ISBLANK(M1400)), M1400, L1400), N1400, Holiday_Dates)
                - IF(IF(NOT(ISBLANK(M1400)), M1400, L1400) = N1400, 0, 1)
            )
        )
    ),
    ""
)</f>
        <v/>
      </c>
      <c r="S1400" s="385" t="str">
        <f>IFERROR(
    IF(
        OR(ISBLANK(N1400), ISBLANK(O1400)),
        "",
        MAX(
            1,
            IF(
                NETWORKDAYS(N1400, O1400, Holiday_Dates) &lt;= 0,
                1,
                NETWORKDAYS(N1400, O1400, Holiday_Dates) - IF(N1400 = O1400, 0, 1)
            )
        )
    ),
    ""
)</f>
        <v/>
      </c>
      <c r="T1400" s="385"/>
      <c r="U1400" s="385"/>
      <c r="V1400" s="385"/>
      <c r="W1400" s="385" t="s">
        <v>4710</v>
      </c>
      <c r="X1400" s="1"/>
    </row>
    <row r="1401" spans="1:24">
      <c r="A1401" s="385" t="s">
        <v>65</v>
      </c>
      <c r="B1401" s="385" t="s">
        <v>522</v>
      </c>
      <c r="C1401" s="385" t="s">
        <v>3350</v>
      </c>
      <c r="D1401" s="385" t="s">
        <v>88</v>
      </c>
      <c r="E1401" s="385" t="s">
        <v>141</v>
      </c>
      <c r="F1401" s="385"/>
      <c r="G1401" s="385" t="s">
        <v>130</v>
      </c>
      <c r="H1401" s="385"/>
      <c r="I1401" s="385"/>
      <c r="J1401" s="30"/>
      <c r="K1401" s="385" t="s">
        <v>63</v>
      </c>
      <c r="L1401" s="385"/>
      <c r="M1401" s="385"/>
      <c r="N1401" s="385"/>
      <c r="O1401" s="385"/>
      <c r="P1401" s="385" t="str">
        <f>IFERROR(
    IF(
        OR(ISBLANK(I1401), ISBLANK(L1401)),
        "",
        MAX(
            1,
            IF(
                NETWORKDAYS(I1401, L1401, Holiday_Dates) &lt;= 0,
                1,
                NETWORKDAYS(I1401, L1401, Holiday_Dates) - IF(I1401 = L1401, 0, 1)
            )
        )
    ),
    ""
)</f>
        <v/>
      </c>
      <c r="Q1401" s="385" t="str">
        <f>IF(
    OR(ISBLANK(L1401), ISBLANK(M1401)),
    "",
    MAX(
        1,
        IF(
            NETWORKDAYS(L1401, M1401, Holiday_Dates) &lt;= 0,
            1,
            NETWORKDAYS(L1401, M1401, Holiday_Dates) - IF(L1401 = M1401, 0, 1)
        )
    )
)</f>
        <v/>
      </c>
      <c r="R1401" s="385" t="str">
        <f>IFERROR(
    IF(
        OR(ISBLANK(N1401), AND(ISBLANK(L1401), ISBLANK(M1401))),
        "",
        MAX(
            1,
            IF(
                NETWORKDAYS(IF(NOT(ISBLANK(M1401)), M1401, L1401), N1401, Holiday_Dates) &lt;= 0,
                1,
                NETWORKDAYS(IF(NOT(ISBLANK(M1401)), M1401, L1401), N1401, Holiday_Dates)
                - IF(IF(NOT(ISBLANK(M1401)), M1401, L1401) = N1401, 0, 1)
            )
        )
    ),
    ""
)</f>
        <v/>
      </c>
      <c r="S1401" s="385" t="str">
        <f>IFERROR(
    IF(
        OR(ISBLANK(N1401), ISBLANK(O1401)),
        "",
        MAX(
            1,
            IF(
                NETWORKDAYS(N1401, O1401, Holiday_Dates) &lt;= 0,
                1,
                NETWORKDAYS(N1401, O1401, Holiday_Dates) - IF(N1401 = O1401, 0, 1)
            )
        )
    ),
    ""
)</f>
        <v/>
      </c>
      <c r="T1401" s="385"/>
      <c r="U1401" s="385"/>
      <c r="V1401" s="385"/>
      <c r="W1401" s="385" t="s">
        <v>4710</v>
      </c>
      <c r="X1401" s="1"/>
    </row>
    <row r="1402" spans="1:24">
      <c r="A1402" s="385" t="s">
        <v>65</v>
      </c>
      <c r="B1402" s="385" t="s">
        <v>512</v>
      </c>
      <c r="C1402" s="385" t="s">
        <v>764</v>
      </c>
      <c r="D1402" s="385" t="s">
        <v>88</v>
      </c>
      <c r="E1402" s="385"/>
      <c r="F1402" s="385"/>
      <c r="G1402" s="385"/>
      <c r="H1402" s="385">
        <v>2025</v>
      </c>
      <c r="I1402" s="386">
        <v>45876</v>
      </c>
      <c r="J1402" s="30" t="s">
        <v>5257</v>
      </c>
      <c r="K1402" s="385"/>
      <c r="L1402" s="385"/>
      <c r="M1402" s="385"/>
      <c r="N1402" s="385"/>
      <c r="O1402" s="385"/>
      <c r="P1402" s="385" t="str">
        <f>IFERROR(
    IF(
        OR(ISBLANK(I1402), ISBLANK(L1402)),
        "",
        MAX(
            1,
            IF(
                NETWORKDAYS(I1402, L1402, Holiday_Dates) &lt;= 0,
                1,
                NETWORKDAYS(I1402, L1402, Holiday_Dates) - IF(I1402 = L1402, 0, 1)
            )
        )
    ),
    ""
)</f>
        <v/>
      </c>
      <c r="Q1402" s="385" t="str">
        <f>IF(
    OR(ISBLANK(L1402), ISBLANK(M1402)),
    "",
    MAX(
        1,
        IF(
            NETWORKDAYS(L1402, M1402, Holiday_Dates) &lt;= 0,
            1,
            NETWORKDAYS(L1402, M1402, Holiday_Dates) - IF(L1402 = M1402, 0, 1)
        )
    )
)</f>
        <v/>
      </c>
      <c r="R1402" s="385" t="str">
        <f>IFERROR(
    IF(
        OR(ISBLANK(N1402), AND(ISBLANK(L1402), ISBLANK(M1402))),
        "",
        MAX(
            1,
            IF(
                NETWORKDAYS(IF(NOT(ISBLANK(M1402)), M1402, L1402), N1402, Holiday_Dates) &lt;= 0,
                1,
                NETWORKDAYS(IF(NOT(ISBLANK(M1402)), M1402, L1402), N1402, Holiday_Dates)
                - IF(IF(NOT(ISBLANK(M1402)), M1402, L1402) = N1402, 0, 1)
            )
        )
    ),
    ""
)</f>
        <v/>
      </c>
      <c r="S1402" s="385" t="str">
        <f>IFERROR(
    IF(
        OR(ISBLANK(N1402), ISBLANK(O1402)),
        "",
        MAX(
            1,
            IF(
                NETWORKDAYS(N1402, O1402, Holiday_Dates) &lt;= 0,
                1,
                NETWORKDAYS(N1402, O1402, Holiday_Dates) - IF(N1402 = O1402, 0, 1)
            )
        )
    ),
    ""
)</f>
        <v/>
      </c>
      <c r="T1402" s="385"/>
      <c r="U1402" s="385" t="s">
        <v>672</v>
      </c>
      <c r="V1402" s="385" t="s">
        <v>101</v>
      </c>
      <c r="W1402" s="385" t="s">
        <v>1436</v>
      </c>
      <c r="X1402" s="1"/>
    </row>
    <row r="1403" spans="1:24">
      <c r="A1403" s="385" t="s">
        <v>65</v>
      </c>
      <c r="B1403" s="385" t="s">
        <v>522</v>
      </c>
      <c r="C1403" s="385" t="s">
        <v>3351</v>
      </c>
      <c r="D1403" s="385" t="s">
        <v>88</v>
      </c>
      <c r="E1403" s="385" t="s">
        <v>141</v>
      </c>
      <c r="F1403" s="385"/>
      <c r="G1403" s="385" t="s">
        <v>130</v>
      </c>
      <c r="H1403" s="385"/>
      <c r="I1403" s="385"/>
      <c r="J1403" s="30"/>
      <c r="K1403" s="385" t="s">
        <v>63</v>
      </c>
      <c r="L1403" s="385"/>
      <c r="M1403" s="385"/>
      <c r="N1403" s="385"/>
      <c r="O1403" s="385"/>
      <c r="P1403" s="385" t="str">
        <f>IFERROR(
    IF(
        OR(ISBLANK(I1403), ISBLANK(L1403)),
        "",
        MAX(
            1,
            IF(
                NETWORKDAYS(I1403, L1403, Holiday_Dates) &lt;= 0,
                1,
                NETWORKDAYS(I1403, L1403, Holiday_Dates) - IF(I1403 = L1403, 0, 1)
            )
        )
    ),
    ""
)</f>
        <v/>
      </c>
      <c r="Q1403" s="385" t="str">
        <f>IF(
    OR(ISBLANK(L1403), ISBLANK(M1403)),
    "",
    MAX(
        1,
        IF(
            NETWORKDAYS(L1403, M1403, Holiday_Dates) &lt;= 0,
            1,
            NETWORKDAYS(L1403, M1403, Holiday_Dates) - IF(L1403 = M1403, 0, 1)
        )
    )
)</f>
        <v/>
      </c>
      <c r="R1403" s="385" t="str">
        <f>IFERROR(
    IF(
        OR(ISBLANK(N1403), AND(ISBLANK(L1403), ISBLANK(M1403))),
        "",
        MAX(
            1,
            IF(
                NETWORKDAYS(IF(NOT(ISBLANK(M1403)), M1403, L1403), N1403, Holiday_Dates) &lt;= 0,
                1,
                NETWORKDAYS(IF(NOT(ISBLANK(M1403)), M1403, L1403), N1403, Holiday_Dates)
                - IF(IF(NOT(ISBLANK(M1403)), M1403, L1403) = N1403, 0, 1)
            )
        )
    ),
    ""
)</f>
        <v/>
      </c>
      <c r="S1403" s="385" t="str">
        <f>IFERROR(
    IF(
        OR(ISBLANK(N1403), ISBLANK(O1403)),
        "",
        MAX(
            1,
            IF(
                NETWORKDAYS(N1403, O1403, Holiday_Dates) &lt;= 0,
                1,
                NETWORKDAYS(N1403, O1403, Holiday_Dates) - IF(N1403 = O1403, 0, 1)
            )
        )
    ),
    ""
)</f>
        <v/>
      </c>
      <c r="T1403" s="385"/>
      <c r="U1403" s="385"/>
      <c r="V1403" s="385"/>
      <c r="W1403" s="385" t="s">
        <v>4710</v>
      </c>
      <c r="X1403" s="1"/>
    </row>
    <row r="1404" spans="1:24">
      <c r="A1404" s="385" t="s">
        <v>65</v>
      </c>
      <c r="B1404" s="385" t="s">
        <v>512</v>
      </c>
      <c r="C1404" s="385" t="s">
        <v>2186</v>
      </c>
      <c r="D1404" s="385" t="s">
        <v>88</v>
      </c>
      <c r="E1404" s="385"/>
      <c r="F1404" s="385"/>
      <c r="G1404" s="385"/>
      <c r="H1404" s="385">
        <v>2025</v>
      </c>
      <c r="I1404" s="386">
        <v>45700</v>
      </c>
      <c r="J1404" s="30" t="s">
        <v>5258</v>
      </c>
      <c r="K1404" s="385"/>
      <c r="L1404" s="385"/>
      <c r="M1404" s="385"/>
      <c r="N1404" s="385"/>
      <c r="O1404" s="385"/>
      <c r="P1404" s="385" t="str">
        <f>IFERROR(
    IF(
        OR(ISBLANK(I1404), ISBLANK(L1404)),
        "",
        MAX(
            1,
            IF(
                NETWORKDAYS(I1404, L1404, Holiday_Dates) &lt;= 0,
                1,
                NETWORKDAYS(I1404, L1404, Holiday_Dates) - IF(I1404 = L1404, 0, 1)
            )
        )
    ),
    ""
)</f>
        <v/>
      </c>
      <c r="Q1404" s="385" t="str">
        <f>IF(
    OR(ISBLANK(L1404), ISBLANK(M1404)),
    "",
    MAX(
        1,
        IF(
            NETWORKDAYS(L1404, M1404, Holiday_Dates) &lt;= 0,
            1,
            NETWORKDAYS(L1404, M1404, Holiday_Dates) - IF(L1404 = M1404, 0, 1)
        )
    )
)</f>
        <v/>
      </c>
      <c r="R1404" s="385" t="str">
        <f>IFERROR(
    IF(
        OR(ISBLANK(N1404), AND(ISBLANK(L1404), ISBLANK(M1404))),
        "",
        MAX(
            1,
            IF(
                NETWORKDAYS(IF(NOT(ISBLANK(M1404)), M1404, L1404), N1404, Holiday_Dates) &lt;= 0,
                1,
                NETWORKDAYS(IF(NOT(ISBLANK(M1404)), M1404, L1404), N1404, Holiday_Dates)
                - IF(IF(NOT(ISBLANK(M1404)), M1404, L1404) = N1404, 0, 1)
            )
        )
    ),
    ""
)</f>
        <v/>
      </c>
      <c r="S1404" s="385" t="str">
        <f>IFERROR(
    IF(
        OR(ISBLANK(N1404), ISBLANK(O1404)),
        "",
        MAX(
            1,
            IF(
                NETWORKDAYS(N1404, O1404, Holiday_Dates) &lt;= 0,
                1,
                NETWORKDAYS(N1404, O1404, Holiday_Dates) - IF(N1404 = O1404, 0, 1)
            )
        )
    ),
    ""
)</f>
        <v/>
      </c>
      <c r="T1404" s="385"/>
      <c r="U1404" s="385" t="s">
        <v>672</v>
      </c>
      <c r="V1404" s="385" t="s">
        <v>101</v>
      </c>
      <c r="W1404" s="385" t="s">
        <v>1436</v>
      </c>
      <c r="X1404" s="1"/>
    </row>
    <row r="1405" spans="1:24">
      <c r="A1405" s="385" t="s">
        <v>65</v>
      </c>
      <c r="B1405" s="385" t="s">
        <v>512</v>
      </c>
      <c r="C1405" s="385" t="s">
        <v>3117</v>
      </c>
      <c r="D1405" s="385" t="s">
        <v>88</v>
      </c>
      <c r="E1405" s="385"/>
      <c r="F1405" s="385"/>
      <c r="G1405" s="385"/>
      <c r="H1405" s="385">
        <v>2025</v>
      </c>
      <c r="I1405" s="386">
        <v>45792</v>
      </c>
      <c r="J1405" s="30" t="s">
        <v>5259</v>
      </c>
      <c r="K1405" s="385"/>
      <c r="L1405" s="385"/>
      <c r="M1405" s="385"/>
      <c r="N1405" s="385"/>
      <c r="O1405" s="385"/>
      <c r="P1405" s="385" t="str">
        <f>IFERROR(
    IF(
        OR(ISBLANK(I1405), ISBLANK(L1405)),
        "",
        MAX(
            1,
            IF(
                NETWORKDAYS(I1405, L1405, Holiday_Dates) &lt;= 0,
                1,
                NETWORKDAYS(I1405, L1405, Holiday_Dates) - IF(I1405 = L1405, 0, 1)
            )
        )
    ),
    ""
)</f>
        <v/>
      </c>
      <c r="Q1405" s="385" t="str">
        <f>IF(
    OR(ISBLANK(L1405), ISBLANK(M1405)),
    "",
    MAX(
        1,
        IF(
            NETWORKDAYS(L1405, M1405, Holiday_Dates) &lt;= 0,
            1,
            NETWORKDAYS(L1405, M1405, Holiday_Dates) - IF(L1405 = M1405, 0, 1)
        )
    )
)</f>
        <v/>
      </c>
      <c r="R1405" s="385" t="str">
        <f>IFERROR(
    IF(
        OR(ISBLANK(N1405), AND(ISBLANK(L1405), ISBLANK(M1405))),
        "",
        MAX(
            1,
            IF(
                NETWORKDAYS(IF(NOT(ISBLANK(M1405)), M1405, L1405), N1405, Holiday_Dates) &lt;= 0,
                1,
                NETWORKDAYS(IF(NOT(ISBLANK(M1405)), M1405, L1405), N1405, Holiday_Dates)
                - IF(IF(NOT(ISBLANK(M1405)), M1405, L1405) = N1405, 0, 1)
            )
        )
    ),
    ""
)</f>
        <v/>
      </c>
      <c r="S1405" s="385" t="str">
        <f>IFERROR(
    IF(
        OR(ISBLANK(N1405), ISBLANK(O1405)),
        "",
        MAX(
            1,
            IF(
                NETWORKDAYS(N1405, O1405, Holiday_Dates) &lt;= 0,
                1,
                NETWORKDAYS(N1405, O1405, Holiday_Dates) - IF(N1405 = O1405, 0, 1)
            )
        )
    ),
    ""
)</f>
        <v/>
      </c>
      <c r="T1405" s="385"/>
      <c r="U1405" s="385" t="s">
        <v>672</v>
      </c>
      <c r="V1405" s="385" t="s">
        <v>101</v>
      </c>
      <c r="W1405" s="385" t="s">
        <v>1436</v>
      </c>
      <c r="X1405" s="1"/>
    </row>
    <row r="1406" spans="1:24">
      <c r="A1406" s="385" t="s">
        <v>65</v>
      </c>
      <c r="B1406" s="385" t="s">
        <v>522</v>
      </c>
      <c r="C1406" s="385" t="s">
        <v>3352</v>
      </c>
      <c r="D1406" s="385" t="s">
        <v>88</v>
      </c>
      <c r="E1406" s="385" t="s">
        <v>141</v>
      </c>
      <c r="F1406" s="385"/>
      <c r="G1406" s="385" t="s">
        <v>130</v>
      </c>
      <c r="H1406" s="385"/>
      <c r="I1406" s="385"/>
      <c r="J1406" s="30"/>
      <c r="K1406" s="385" t="s">
        <v>63</v>
      </c>
      <c r="L1406" s="385"/>
      <c r="M1406" s="385"/>
      <c r="N1406" s="385"/>
      <c r="O1406" s="385"/>
      <c r="P1406" s="385" t="str">
        <f>IFERROR(
    IF(
        OR(ISBLANK(I1406), ISBLANK(L1406)),
        "",
        MAX(
            1,
            IF(
                NETWORKDAYS(I1406, L1406, Holiday_Dates) &lt;= 0,
                1,
                NETWORKDAYS(I1406, L1406, Holiday_Dates) - IF(I1406 = L1406, 0, 1)
            )
        )
    ),
    ""
)</f>
        <v/>
      </c>
      <c r="Q1406" s="385" t="str">
        <f>IF(
    OR(ISBLANK(L1406), ISBLANK(M1406)),
    "",
    MAX(
        1,
        IF(
            NETWORKDAYS(L1406, M1406, Holiday_Dates) &lt;= 0,
            1,
            NETWORKDAYS(L1406, M1406, Holiday_Dates) - IF(L1406 = M1406, 0, 1)
        )
    )
)</f>
        <v/>
      </c>
      <c r="R1406" s="385" t="str">
        <f>IFERROR(
    IF(
        OR(ISBLANK(N1406), AND(ISBLANK(L1406), ISBLANK(M1406))),
        "",
        MAX(
            1,
            IF(
                NETWORKDAYS(IF(NOT(ISBLANK(M1406)), M1406, L1406), N1406, Holiday_Dates) &lt;= 0,
                1,
                NETWORKDAYS(IF(NOT(ISBLANK(M1406)), M1406, L1406), N1406, Holiday_Dates)
                - IF(IF(NOT(ISBLANK(M1406)), M1406, L1406) = N1406, 0, 1)
            )
        )
    ),
    ""
)</f>
        <v/>
      </c>
      <c r="S1406" s="385" t="str">
        <f>IFERROR(
    IF(
        OR(ISBLANK(N1406), ISBLANK(O1406)),
        "",
        MAX(
            1,
            IF(
                NETWORKDAYS(N1406, O1406, Holiday_Dates) &lt;= 0,
                1,
                NETWORKDAYS(N1406, O1406, Holiday_Dates) - IF(N1406 = O1406, 0, 1)
            )
        )
    ),
    ""
)</f>
        <v/>
      </c>
      <c r="T1406" s="385"/>
      <c r="U1406" s="385"/>
      <c r="V1406" s="385"/>
      <c r="W1406" s="385" t="s">
        <v>4710</v>
      </c>
      <c r="X1406" s="1"/>
    </row>
    <row r="1407" spans="1:24">
      <c r="A1407" s="385" t="s">
        <v>65</v>
      </c>
      <c r="B1407" s="385" t="s">
        <v>514</v>
      </c>
      <c r="C1407" s="385" t="s">
        <v>1724</v>
      </c>
      <c r="D1407" s="385" t="s">
        <v>88</v>
      </c>
      <c r="E1407" s="385"/>
      <c r="F1407" s="385"/>
      <c r="G1407" s="385"/>
      <c r="H1407" s="385">
        <v>2024</v>
      </c>
      <c r="I1407" s="386">
        <v>45504</v>
      </c>
      <c r="J1407" s="30"/>
      <c r="K1407" s="385"/>
      <c r="L1407" s="385"/>
      <c r="M1407" s="385"/>
      <c r="N1407" s="385"/>
      <c r="O1407" s="385"/>
      <c r="P1407" s="385" t="str">
        <f>IFERROR(
    IF(
        OR(ISBLANK(I1407), ISBLANK(L1407)),
        "",
        MAX(
            1,
            IF(
                NETWORKDAYS(I1407, L1407, Holiday_Dates) &lt;= 0,
                1,
                NETWORKDAYS(I1407, L1407, Holiday_Dates) - IF(I1407 = L1407, 0, 1)
            )
        )
    ),
    ""
)</f>
        <v/>
      </c>
      <c r="Q1407" s="385" t="str">
        <f>IF(
    OR(ISBLANK(L1407), ISBLANK(M1407)),
    "",
    MAX(
        1,
        IF(
            NETWORKDAYS(L1407, M1407, Holiday_Dates) &lt;= 0,
            1,
            NETWORKDAYS(L1407, M1407, Holiday_Dates) - IF(L1407 = M1407, 0, 1)
        )
    )
)</f>
        <v/>
      </c>
      <c r="R1407" s="385" t="str">
        <f>IFERROR(
    IF(
        OR(ISBLANK(N1407), AND(ISBLANK(L1407), ISBLANK(M1407))),
        "",
        MAX(
            1,
            IF(
                NETWORKDAYS(IF(NOT(ISBLANK(M1407)), M1407, L1407), N1407, Holiday_Dates) &lt;= 0,
                1,
                NETWORKDAYS(IF(NOT(ISBLANK(M1407)), M1407, L1407), N1407, Holiday_Dates)
                - IF(IF(NOT(ISBLANK(M1407)), M1407, L1407) = N1407, 0, 1)
            )
        )
    ),
    ""
)</f>
        <v/>
      </c>
      <c r="S1407" s="385" t="str">
        <f>IFERROR(
    IF(
        OR(ISBLANK(N1407), ISBLANK(O1407)),
        "",
        MAX(
            1,
            IF(
                NETWORKDAYS(N1407, O1407, Holiday_Dates) &lt;= 0,
                1,
                NETWORKDAYS(N1407, O1407, Holiday_Dates) - IF(N1407 = O1407, 0, 1)
            )
        )
    ),
    ""
)</f>
        <v/>
      </c>
      <c r="T1407" s="385"/>
      <c r="U1407" s="385" t="s">
        <v>4</v>
      </c>
      <c r="V1407" s="385" t="s">
        <v>101</v>
      </c>
      <c r="W1407" s="385" t="s">
        <v>1436</v>
      </c>
      <c r="X1407" s="1"/>
    </row>
    <row r="1408" spans="1:24">
      <c r="A1408" s="385" t="s">
        <v>65</v>
      </c>
      <c r="B1408" s="385" t="s">
        <v>514</v>
      </c>
      <c r="C1408" s="385" t="s">
        <v>3138</v>
      </c>
      <c r="D1408" s="385" t="s">
        <v>88</v>
      </c>
      <c r="E1408" s="385"/>
      <c r="F1408" s="385"/>
      <c r="G1408" s="385"/>
      <c r="H1408" s="385">
        <v>2024</v>
      </c>
      <c r="I1408" s="386">
        <v>45419</v>
      </c>
      <c r="J1408" s="30"/>
      <c r="K1408" s="385"/>
      <c r="L1408" s="385"/>
      <c r="M1408" s="385"/>
      <c r="N1408" s="385"/>
      <c r="O1408" s="385"/>
      <c r="P1408" s="385" t="str">
        <f>IFERROR(
    IF(
        OR(ISBLANK(I1408), ISBLANK(L1408)),
        "",
        MAX(
            1,
            IF(
                NETWORKDAYS(I1408, L1408, Holiday_Dates) &lt;= 0,
                1,
                NETWORKDAYS(I1408, L1408, Holiday_Dates) - IF(I1408 = L1408, 0, 1)
            )
        )
    ),
    ""
)</f>
        <v/>
      </c>
      <c r="Q1408" s="385" t="str">
        <f>IF(
    OR(ISBLANK(L1408), ISBLANK(M1408)),
    "",
    MAX(
        1,
        IF(
            NETWORKDAYS(L1408, M1408, Holiday_Dates) &lt;= 0,
            1,
            NETWORKDAYS(L1408, M1408, Holiday_Dates) - IF(L1408 = M1408, 0, 1)
        )
    )
)</f>
        <v/>
      </c>
      <c r="R1408" s="385" t="str">
        <f>IFERROR(
    IF(
        OR(ISBLANK(N1408), AND(ISBLANK(L1408), ISBLANK(M1408))),
        "",
        MAX(
            1,
            IF(
                NETWORKDAYS(IF(NOT(ISBLANK(M1408)), M1408, L1408), N1408, Holiday_Dates) &lt;= 0,
                1,
                NETWORKDAYS(IF(NOT(ISBLANK(M1408)), M1408, L1408), N1408, Holiday_Dates)
                - IF(IF(NOT(ISBLANK(M1408)), M1408, L1408) = N1408, 0, 1)
            )
        )
    ),
    ""
)</f>
        <v/>
      </c>
      <c r="S1408" s="385" t="str">
        <f>IFERROR(
    IF(
        OR(ISBLANK(N1408), ISBLANK(O1408)),
        "",
        MAX(
            1,
            IF(
                NETWORKDAYS(N1408, O1408, Holiday_Dates) &lt;= 0,
                1,
                NETWORKDAYS(N1408, O1408, Holiday_Dates) - IF(N1408 = O1408, 0, 1)
            )
        )
    ),
    ""
)</f>
        <v/>
      </c>
      <c r="T1408" s="385"/>
      <c r="U1408" s="385" t="s">
        <v>672</v>
      </c>
      <c r="V1408" s="385"/>
      <c r="W1408" s="385" t="s">
        <v>1436</v>
      </c>
      <c r="X1408" s="1"/>
    </row>
    <row r="1409" spans="1:24">
      <c r="A1409" s="385" t="s">
        <v>65</v>
      </c>
      <c r="B1409" s="385" t="s">
        <v>514</v>
      </c>
      <c r="C1409" s="385" t="s">
        <v>3119</v>
      </c>
      <c r="D1409" s="385" t="s">
        <v>88</v>
      </c>
      <c r="E1409" s="385"/>
      <c r="F1409" s="385"/>
      <c r="G1409" s="385"/>
      <c r="H1409" s="385">
        <v>2024</v>
      </c>
      <c r="I1409" s="386">
        <v>45397</v>
      </c>
      <c r="J1409" s="30"/>
      <c r="K1409" s="385"/>
      <c r="L1409" s="385"/>
      <c r="M1409" s="385"/>
      <c r="N1409" s="385"/>
      <c r="O1409" s="385"/>
      <c r="P1409" s="385" t="str">
        <f>IFERROR(
    IF(
        OR(ISBLANK(I1409), ISBLANK(L1409)),
        "",
        MAX(
            1,
            IF(
                NETWORKDAYS(I1409, L1409, Holiday_Dates) &lt;= 0,
                1,
                NETWORKDAYS(I1409, L1409, Holiday_Dates) - IF(I1409 = L1409, 0, 1)
            )
        )
    ),
    ""
)</f>
        <v/>
      </c>
      <c r="Q1409" s="385" t="str">
        <f>IF(
    OR(ISBLANK(L1409), ISBLANK(M1409)),
    "",
    MAX(
        1,
        IF(
            NETWORKDAYS(L1409, M1409, Holiday_Dates) &lt;= 0,
            1,
            NETWORKDAYS(L1409, M1409, Holiday_Dates) - IF(L1409 = M1409, 0, 1)
        )
    )
)</f>
        <v/>
      </c>
      <c r="R1409" s="385" t="str">
        <f>IFERROR(
    IF(
        OR(ISBLANK(N1409), AND(ISBLANK(L1409), ISBLANK(M1409))),
        "",
        MAX(
            1,
            IF(
                NETWORKDAYS(IF(NOT(ISBLANK(M1409)), M1409, L1409), N1409, Holiday_Dates) &lt;= 0,
                1,
                NETWORKDAYS(IF(NOT(ISBLANK(M1409)), M1409, L1409), N1409, Holiday_Dates)
                - IF(IF(NOT(ISBLANK(M1409)), M1409, L1409) = N1409, 0, 1)
            )
        )
    ),
    ""
)</f>
        <v/>
      </c>
      <c r="S1409" s="385" t="str">
        <f>IFERROR(
    IF(
        OR(ISBLANK(N1409), ISBLANK(O1409)),
        "",
        MAX(
            1,
            IF(
                NETWORKDAYS(N1409, O1409, Holiday_Dates) &lt;= 0,
                1,
                NETWORKDAYS(N1409, O1409, Holiday_Dates) - IF(N1409 = O1409, 0, 1)
            )
        )
    ),
    ""
)</f>
        <v/>
      </c>
      <c r="T1409" s="385"/>
      <c r="U1409" s="385" t="s">
        <v>672</v>
      </c>
      <c r="V1409" s="385"/>
      <c r="W1409" s="385" t="s">
        <v>1436</v>
      </c>
      <c r="X1409" s="1"/>
    </row>
    <row r="1410" spans="1:24">
      <c r="A1410" s="385" t="s">
        <v>65</v>
      </c>
      <c r="B1410" s="385" t="s">
        <v>514</v>
      </c>
      <c r="C1410" s="385" t="s">
        <v>3121</v>
      </c>
      <c r="D1410" s="385" t="s">
        <v>88</v>
      </c>
      <c r="E1410" s="385"/>
      <c r="F1410" s="385"/>
      <c r="G1410" s="385"/>
      <c r="H1410" s="385">
        <v>2024</v>
      </c>
      <c r="I1410" s="392">
        <v>45397</v>
      </c>
      <c r="J1410" s="30"/>
      <c r="K1410" s="385"/>
      <c r="L1410" s="385"/>
      <c r="M1410" s="385"/>
      <c r="N1410" s="385"/>
      <c r="O1410" s="385"/>
      <c r="P1410" s="385" t="str">
        <f>IFERROR(
    IF(
        OR(ISBLANK(I1410), ISBLANK(L1410)),
        "",
        MAX(
            1,
            IF(
                NETWORKDAYS(I1410, L1410, Holiday_Dates) &lt;= 0,
                1,
                NETWORKDAYS(I1410, L1410, Holiday_Dates) - IF(I1410 = L1410, 0, 1)
            )
        )
    ),
    ""
)</f>
        <v/>
      </c>
      <c r="Q1410" s="385" t="str">
        <f>IF(
    OR(ISBLANK(L1410), ISBLANK(M1410)),
    "",
    MAX(
        1,
        IF(
            NETWORKDAYS(L1410, M1410, Holiday_Dates) &lt;= 0,
            1,
            NETWORKDAYS(L1410, M1410, Holiday_Dates) - IF(L1410 = M1410, 0, 1)
        )
    )
)</f>
        <v/>
      </c>
      <c r="R1410" s="385" t="str">
        <f>IFERROR(
    IF(
        OR(ISBLANK(N1410), AND(ISBLANK(L1410), ISBLANK(M1410))),
        "",
        MAX(
            1,
            IF(
                NETWORKDAYS(IF(NOT(ISBLANK(M1410)), M1410, L1410), N1410, Holiday_Dates) &lt;= 0,
                1,
                NETWORKDAYS(IF(NOT(ISBLANK(M1410)), M1410, L1410), N1410, Holiday_Dates)
                - IF(IF(NOT(ISBLANK(M1410)), M1410, L1410) = N1410, 0, 1)
            )
        )
    ),
    ""
)</f>
        <v/>
      </c>
      <c r="S1410" s="385" t="str">
        <f>IFERROR(
    IF(
        OR(ISBLANK(N1410), ISBLANK(O1410)),
        "",
        MAX(
            1,
            IF(
                NETWORKDAYS(N1410, O1410, Holiday_Dates) &lt;= 0,
                1,
                NETWORKDAYS(N1410, O1410, Holiday_Dates) - IF(N1410 = O1410, 0, 1)
            )
        )
    ),
    ""
)</f>
        <v/>
      </c>
      <c r="T1410" s="385"/>
      <c r="U1410" s="385" t="s">
        <v>4</v>
      </c>
      <c r="V1410" s="385" t="s">
        <v>101</v>
      </c>
      <c r="W1410" s="385" t="s">
        <v>1436</v>
      </c>
      <c r="X1410" s="1"/>
    </row>
    <row r="1411" spans="1:24">
      <c r="A1411" s="385" t="s">
        <v>65</v>
      </c>
      <c r="B1411" s="385" t="s">
        <v>514</v>
      </c>
      <c r="C1411" s="385" t="s">
        <v>3123</v>
      </c>
      <c r="D1411" s="385" t="s">
        <v>88</v>
      </c>
      <c r="E1411" s="385"/>
      <c r="F1411" s="385"/>
      <c r="G1411" s="385"/>
      <c r="H1411" s="385">
        <v>2025</v>
      </c>
      <c r="I1411" s="386">
        <v>45876</v>
      </c>
      <c r="J1411" s="30" t="s">
        <v>5260</v>
      </c>
      <c r="K1411" s="385"/>
      <c r="L1411" s="385"/>
      <c r="M1411" s="385"/>
      <c r="N1411" s="385"/>
      <c r="O1411" s="385"/>
      <c r="P1411" s="385" t="str">
        <f>IFERROR(
    IF(
        OR(ISBLANK(I1411), ISBLANK(L1411)),
        "",
        MAX(
            1,
            IF(
                NETWORKDAYS(I1411, L1411, Holiday_Dates) &lt;= 0,
                1,
                NETWORKDAYS(I1411, L1411, Holiday_Dates) - IF(I1411 = L1411, 0, 1)
            )
        )
    ),
    ""
)</f>
        <v/>
      </c>
      <c r="Q1411" s="385" t="str">
        <f>IF(
    OR(ISBLANK(L1411), ISBLANK(M1411)),
    "",
    MAX(
        1,
        IF(
            NETWORKDAYS(L1411, M1411, Holiday_Dates) &lt;= 0,
            1,
            NETWORKDAYS(L1411, M1411, Holiday_Dates) - IF(L1411 = M1411, 0, 1)
        )
    )
)</f>
        <v/>
      </c>
      <c r="R1411" s="385" t="str">
        <f>IFERROR(
    IF(
        OR(ISBLANK(N1411), AND(ISBLANK(L1411), ISBLANK(M1411))),
        "",
        MAX(
            1,
            IF(
                NETWORKDAYS(IF(NOT(ISBLANK(M1411)), M1411, L1411), N1411, Holiday_Dates) &lt;= 0,
                1,
                NETWORKDAYS(IF(NOT(ISBLANK(M1411)), M1411, L1411), N1411, Holiday_Dates)
                - IF(IF(NOT(ISBLANK(M1411)), M1411, L1411) = N1411, 0, 1)
            )
        )
    ),
    ""
)</f>
        <v/>
      </c>
      <c r="S1411" s="385" t="str">
        <f>IFERROR(
    IF(
        OR(ISBLANK(N1411), ISBLANK(O1411)),
        "",
        MAX(
            1,
            IF(
                NETWORKDAYS(N1411, O1411, Holiday_Dates) &lt;= 0,
                1,
                NETWORKDAYS(N1411, O1411, Holiday_Dates) - IF(N1411 = O1411, 0, 1)
            )
        )
    ),
    ""
)</f>
        <v/>
      </c>
      <c r="T1411" s="385"/>
      <c r="U1411" s="385" t="s">
        <v>4</v>
      </c>
      <c r="V1411" s="385" t="s">
        <v>101</v>
      </c>
      <c r="W1411" s="385" t="s">
        <v>1436</v>
      </c>
      <c r="X1411" s="1"/>
    </row>
    <row r="1412" spans="1:24">
      <c r="A1412" s="385" t="s">
        <v>65</v>
      </c>
      <c r="B1412" s="385" t="s">
        <v>514</v>
      </c>
      <c r="C1412" s="385" t="s">
        <v>3124</v>
      </c>
      <c r="D1412" s="385" t="s">
        <v>88</v>
      </c>
      <c r="E1412" s="385"/>
      <c r="F1412" s="385"/>
      <c r="G1412" s="385"/>
      <c r="H1412" s="385">
        <v>2025</v>
      </c>
      <c r="I1412" s="386">
        <v>45940</v>
      </c>
      <c r="J1412" s="30" t="s">
        <v>5261</v>
      </c>
      <c r="K1412" s="385"/>
      <c r="L1412" s="385"/>
      <c r="M1412" s="385"/>
      <c r="N1412" s="385"/>
      <c r="O1412" s="385"/>
      <c r="P1412" s="385" t="str">
        <f>IFERROR(
    IF(
        OR(ISBLANK(I1412), ISBLANK(L1412)),
        "",
        MAX(
            1,
            IF(
                NETWORKDAYS(I1412, L1412, Holiday_Dates) &lt;= 0,
                1,
                NETWORKDAYS(I1412, L1412, Holiday_Dates) - IF(I1412 = L1412, 0, 1)
            )
        )
    ),
    ""
)</f>
        <v/>
      </c>
      <c r="Q1412" s="385" t="str">
        <f>IF(
    OR(ISBLANK(L1412), ISBLANK(M1412)),
    "",
    MAX(
        1,
        IF(
            NETWORKDAYS(L1412, M1412, Holiday_Dates) &lt;= 0,
            1,
            NETWORKDAYS(L1412, M1412, Holiday_Dates) - IF(L1412 = M1412, 0, 1)
        )
    )
)</f>
        <v/>
      </c>
      <c r="R1412" s="385" t="str">
        <f>IFERROR(
    IF(
        OR(ISBLANK(N1412), AND(ISBLANK(L1412), ISBLANK(M1412))),
        "",
        MAX(
            1,
            IF(
                NETWORKDAYS(IF(NOT(ISBLANK(M1412)), M1412, L1412), N1412, Holiday_Dates) &lt;= 0,
                1,
                NETWORKDAYS(IF(NOT(ISBLANK(M1412)), M1412, L1412), N1412, Holiday_Dates)
                - IF(IF(NOT(ISBLANK(M1412)), M1412, L1412) = N1412, 0, 1)
            )
        )
    ),
    ""
)</f>
        <v/>
      </c>
      <c r="S1412" s="385" t="str">
        <f>IFERROR(
    IF(
        OR(ISBLANK(N1412), ISBLANK(O1412)),
        "",
        MAX(
            1,
            IF(
                NETWORKDAYS(N1412, O1412, Holiday_Dates) &lt;= 0,
                1,
                NETWORKDAYS(N1412, O1412, Holiday_Dates) - IF(N1412 = O1412, 0, 1)
            )
        )
    ),
    ""
)</f>
        <v/>
      </c>
      <c r="T1412" s="385"/>
      <c r="U1412" s="385" t="s">
        <v>4</v>
      </c>
      <c r="V1412" s="385" t="s">
        <v>108</v>
      </c>
      <c r="W1412" s="385" t="s">
        <v>1436</v>
      </c>
      <c r="X1412" s="1"/>
    </row>
    <row r="1413" spans="1:24">
      <c r="A1413" s="385" t="s">
        <v>65</v>
      </c>
      <c r="B1413" s="385" t="s">
        <v>514</v>
      </c>
      <c r="C1413" s="385" t="s">
        <v>2899</v>
      </c>
      <c r="D1413" s="385" t="s">
        <v>88</v>
      </c>
      <c r="E1413" s="385"/>
      <c r="F1413" s="385"/>
      <c r="G1413" s="385"/>
      <c r="H1413" s="385">
        <v>2024</v>
      </c>
      <c r="I1413" s="386">
        <v>45419</v>
      </c>
      <c r="J1413" s="30"/>
      <c r="K1413" s="385"/>
      <c r="L1413" s="385"/>
      <c r="M1413" s="385"/>
      <c r="N1413" s="385"/>
      <c r="O1413" s="385"/>
      <c r="P1413" s="385" t="str">
        <f>IFERROR(
    IF(
        OR(ISBLANK(I1413), ISBLANK(L1413)),
        "",
        MAX(
            1,
            IF(
                NETWORKDAYS(I1413, L1413, Holiday_Dates) &lt;= 0,
                1,
                NETWORKDAYS(I1413, L1413, Holiday_Dates) - IF(I1413 = L1413, 0, 1)
            )
        )
    ),
    ""
)</f>
        <v/>
      </c>
      <c r="Q1413" s="385" t="str">
        <f>IF(
    OR(ISBLANK(L1413), ISBLANK(M1413)),
    "",
    MAX(
        1,
        IF(
            NETWORKDAYS(L1413, M1413, Holiday_Dates) &lt;= 0,
            1,
            NETWORKDAYS(L1413, M1413, Holiday_Dates) - IF(L1413 = M1413, 0, 1)
        )
    )
)</f>
        <v/>
      </c>
      <c r="R1413" s="385" t="str">
        <f>IFERROR(
    IF(
        OR(ISBLANK(N1413), AND(ISBLANK(L1413), ISBLANK(M1413))),
        "",
        MAX(
            1,
            IF(
                NETWORKDAYS(IF(NOT(ISBLANK(M1413)), M1413, L1413), N1413, Holiday_Dates) &lt;= 0,
                1,
                NETWORKDAYS(IF(NOT(ISBLANK(M1413)), M1413, L1413), N1413, Holiday_Dates)
                - IF(IF(NOT(ISBLANK(M1413)), M1413, L1413) = N1413, 0, 1)
            )
        )
    ),
    ""
)</f>
        <v/>
      </c>
      <c r="S1413" s="385" t="str">
        <f>IFERROR(
    IF(
        OR(ISBLANK(N1413), ISBLANK(O1413)),
        "",
        MAX(
            1,
            IF(
                NETWORKDAYS(N1413, O1413, Holiday_Dates) &lt;= 0,
                1,
                NETWORKDAYS(N1413, O1413, Holiday_Dates) - IF(N1413 = O1413, 0, 1)
            )
        )
    ),
    ""
)</f>
        <v/>
      </c>
      <c r="T1413" s="385"/>
      <c r="U1413" s="385" t="s">
        <v>672</v>
      </c>
      <c r="V1413" s="385"/>
      <c r="W1413" s="385" t="s">
        <v>1436</v>
      </c>
      <c r="X1413" s="1"/>
    </row>
    <row r="1414" spans="1:24">
      <c r="A1414" s="385" t="s">
        <v>65</v>
      </c>
      <c r="B1414" s="385" t="s">
        <v>514</v>
      </c>
      <c r="C1414" s="385" t="s">
        <v>3126</v>
      </c>
      <c r="D1414" s="385" t="s">
        <v>88</v>
      </c>
      <c r="E1414" s="385"/>
      <c r="F1414" s="385"/>
      <c r="G1414" s="385"/>
      <c r="H1414" s="385">
        <v>2025</v>
      </c>
      <c r="I1414" s="386">
        <v>45805</v>
      </c>
      <c r="J1414" s="30" t="s">
        <v>5262</v>
      </c>
      <c r="K1414" s="385"/>
      <c r="L1414" s="385"/>
      <c r="M1414" s="385"/>
      <c r="N1414" s="385"/>
      <c r="O1414" s="385"/>
      <c r="P1414" s="385" t="str">
        <f>IFERROR(
    IF(
        OR(ISBLANK(I1414), ISBLANK(L1414)),
        "",
        MAX(
            1,
            IF(
                NETWORKDAYS(I1414, L1414, Holiday_Dates) &lt;= 0,
                1,
                NETWORKDAYS(I1414, L1414, Holiday_Dates) - IF(I1414 = L1414, 0, 1)
            )
        )
    ),
    ""
)</f>
        <v/>
      </c>
      <c r="Q1414" s="385" t="str">
        <f>IF(
    OR(ISBLANK(L1414), ISBLANK(M1414)),
    "",
    MAX(
        1,
        IF(
            NETWORKDAYS(L1414, M1414, Holiday_Dates) &lt;= 0,
            1,
            NETWORKDAYS(L1414, M1414, Holiday_Dates) - IF(L1414 = M1414, 0, 1)
        )
    )
)</f>
        <v/>
      </c>
      <c r="R1414" s="385" t="str">
        <f>IFERROR(
    IF(
        OR(ISBLANK(N1414), AND(ISBLANK(L1414), ISBLANK(M1414))),
        "",
        MAX(
            1,
            IF(
                NETWORKDAYS(IF(NOT(ISBLANK(M1414)), M1414, L1414), N1414, Holiday_Dates) &lt;= 0,
                1,
                NETWORKDAYS(IF(NOT(ISBLANK(M1414)), M1414, L1414), N1414, Holiday_Dates)
                - IF(IF(NOT(ISBLANK(M1414)), M1414, L1414) = N1414, 0, 1)
            )
        )
    ),
    ""
)</f>
        <v/>
      </c>
      <c r="S1414" s="385" t="str">
        <f>IFERROR(
    IF(
        OR(ISBLANK(N1414), ISBLANK(O1414)),
        "",
        MAX(
            1,
            IF(
                NETWORKDAYS(N1414, O1414, Holiday_Dates) &lt;= 0,
                1,
                NETWORKDAYS(N1414, O1414, Holiday_Dates) - IF(N1414 = O1414, 0, 1)
            )
        )
    ),
    ""
)</f>
        <v/>
      </c>
      <c r="T1414" s="385"/>
      <c r="U1414" s="385" t="s">
        <v>4</v>
      </c>
      <c r="V1414" s="385" t="s">
        <v>113</v>
      </c>
      <c r="W1414" s="385" t="s">
        <v>1436</v>
      </c>
      <c r="X1414" s="1"/>
    </row>
    <row r="1415" spans="1:24">
      <c r="A1415" s="385" t="s">
        <v>65</v>
      </c>
      <c r="B1415" s="385" t="s">
        <v>522</v>
      </c>
      <c r="C1415" s="385" t="s">
        <v>3353</v>
      </c>
      <c r="D1415" s="385" t="s">
        <v>88</v>
      </c>
      <c r="E1415" s="385" t="s">
        <v>141</v>
      </c>
      <c r="F1415" s="385"/>
      <c r="G1415" s="385" t="s">
        <v>130</v>
      </c>
      <c r="H1415" s="385"/>
      <c r="I1415" s="385"/>
      <c r="J1415" s="30"/>
      <c r="K1415" s="385" t="s">
        <v>63</v>
      </c>
      <c r="L1415" s="385"/>
      <c r="M1415" s="385"/>
      <c r="N1415" s="385"/>
      <c r="O1415" s="385"/>
      <c r="P1415" s="385" t="str">
        <f>IFERROR(
    IF(
        OR(ISBLANK(I1415), ISBLANK(L1415)),
        "",
        MAX(
            1,
            IF(
                NETWORKDAYS(I1415, L1415, Holiday_Dates) &lt;= 0,
                1,
                NETWORKDAYS(I1415, L1415, Holiday_Dates) - IF(I1415 = L1415, 0, 1)
            )
        )
    ),
    ""
)</f>
        <v/>
      </c>
      <c r="Q1415" s="385" t="str">
        <f>IF(
    OR(ISBLANK(L1415), ISBLANK(M1415)),
    "",
    MAX(
        1,
        IF(
            NETWORKDAYS(L1415, M1415, Holiday_Dates) &lt;= 0,
            1,
            NETWORKDAYS(L1415, M1415, Holiday_Dates) - IF(L1415 = M1415, 0, 1)
        )
    )
)</f>
        <v/>
      </c>
      <c r="R1415" s="385" t="str">
        <f>IFERROR(
    IF(
        OR(ISBLANK(N1415), AND(ISBLANK(L1415), ISBLANK(M1415))),
        "",
        MAX(
            1,
            IF(
                NETWORKDAYS(IF(NOT(ISBLANK(M1415)), M1415, L1415), N1415, Holiday_Dates) &lt;= 0,
                1,
                NETWORKDAYS(IF(NOT(ISBLANK(M1415)), M1415, L1415), N1415, Holiday_Dates)
                - IF(IF(NOT(ISBLANK(M1415)), M1415, L1415) = N1415, 0, 1)
            )
        )
    ),
    ""
)</f>
        <v/>
      </c>
      <c r="S1415" s="385" t="str">
        <f>IFERROR(
    IF(
        OR(ISBLANK(N1415), ISBLANK(O1415)),
        "",
        MAX(
            1,
            IF(
                NETWORKDAYS(N1415, O1415, Holiday_Dates) &lt;= 0,
                1,
                NETWORKDAYS(N1415, O1415, Holiday_Dates) - IF(N1415 = O1415, 0, 1)
            )
        )
    ),
    ""
)</f>
        <v/>
      </c>
      <c r="T1415" s="385"/>
      <c r="U1415" s="385"/>
      <c r="V1415" s="385"/>
      <c r="W1415" s="385" t="s">
        <v>4710</v>
      </c>
      <c r="X1415" s="1"/>
    </row>
    <row r="1416" spans="1:24">
      <c r="A1416" s="385" t="s">
        <v>65</v>
      </c>
      <c r="B1416" s="385" t="s">
        <v>522</v>
      </c>
      <c r="C1416" s="385" t="s">
        <v>3354</v>
      </c>
      <c r="D1416" s="385" t="s">
        <v>88</v>
      </c>
      <c r="E1416" s="385" t="s">
        <v>141</v>
      </c>
      <c r="F1416" s="385"/>
      <c r="G1416" s="385" t="s">
        <v>130</v>
      </c>
      <c r="H1416" s="385"/>
      <c r="I1416" s="385"/>
      <c r="J1416" s="30"/>
      <c r="K1416" s="385" t="s">
        <v>63</v>
      </c>
      <c r="L1416" s="385"/>
      <c r="M1416" s="385"/>
      <c r="N1416" s="385"/>
      <c r="O1416" s="385"/>
      <c r="P1416" s="385" t="str">
        <f>IFERROR(
    IF(
        OR(ISBLANK(I1416), ISBLANK(L1416)),
        "",
        MAX(
            1,
            IF(
                NETWORKDAYS(I1416, L1416, Holiday_Dates) &lt;= 0,
                1,
                NETWORKDAYS(I1416, L1416, Holiday_Dates) - IF(I1416 = L1416, 0, 1)
            )
        )
    ),
    ""
)</f>
        <v/>
      </c>
      <c r="Q1416" s="385" t="str">
        <f>IF(
    OR(ISBLANK(L1416), ISBLANK(M1416)),
    "",
    MAX(
        1,
        IF(
            NETWORKDAYS(L1416, M1416, Holiday_Dates) &lt;= 0,
            1,
            NETWORKDAYS(L1416, M1416, Holiday_Dates) - IF(L1416 = M1416, 0, 1)
        )
    )
)</f>
        <v/>
      </c>
      <c r="R1416" s="385" t="str">
        <f>IFERROR(
    IF(
        OR(ISBLANK(N1416), AND(ISBLANK(L1416), ISBLANK(M1416))),
        "",
        MAX(
            1,
            IF(
                NETWORKDAYS(IF(NOT(ISBLANK(M1416)), M1416, L1416), N1416, Holiday_Dates) &lt;= 0,
                1,
                NETWORKDAYS(IF(NOT(ISBLANK(M1416)), M1416, L1416), N1416, Holiday_Dates)
                - IF(IF(NOT(ISBLANK(M1416)), M1416, L1416) = N1416, 0, 1)
            )
        )
    ),
    ""
)</f>
        <v/>
      </c>
      <c r="S1416" s="385" t="str">
        <f>IFERROR(
    IF(
        OR(ISBLANK(N1416), ISBLANK(O1416)),
        "",
        MAX(
            1,
            IF(
                NETWORKDAYS(N1416, O1416, Holiday_Dates) &lt;= 0,
                1,
                NETWORKDAYS(N1416, O1416, Holiday_Dates) - IF(N1416 = O1416, 0, 1)
            )
        )
    ),
    ""
)</f>
        <v/>
      </c>
      <c r="T1416" s="385"/>
      <c r="U1416" s="385"/>
      <c r="V1416" s="385"/>
      <c r="W1416" s="385" t="s">
        <v>4710</v>
      </c>
      <c r="X1416" s="1"/>
    </row>
    <row r="1417" spans="1:24">
      <c r="A1417" s="385" t="s">
        <v>65</v>
      </c>
      <c r="B1417" s="385" t="s">
        <v>514</v>
      </c>
      <c r="C1417" s="385" t="s">
        <v>2953</v>
      </c>
      <c r="D1417" s="385" t="s">
        <v>88</v>
      </c>
      <c r="E1417" s="385"/>
      <c r="F1417" s="385"/>
      <c r="G1417" s="385"/>
      <c r="H1417" s="385">
        <v>2025</v>
      </c>
      <c r="I1417" s="386">
        <v>45937</v>
      </c>
      <c r="J1417" s="30" t="s">
        <v>5263</v>
      </c>
      <c r="K1417" s="385"/>
      <c r="L1417" s="385"/>
      <c r="M1417" s="385"/>
      <c r="N1417" s="385"/>
      <c r="O1417" s="385"/>
      <c r="P1417" s="385" t="str">
        <f>IFERROR(
    IF(
        OR(ISBLANK(I1417), ISBLANK(L1417)),
        "",
        MAX(
            1,
            IF(
                NETWORKDAYS(I1417, L1417, Holiday_Dates) &lt;= 0,
                1,
                NETWORKDAYS(I1417, L1417, Holiday_Dates) - IF(I1417 = L1417, 0, 1)
            )
        )
    ),
    ""
)</f>
        <v/>
      </c>
      <c r="Q1417" s="385" t="str">
        <f>IF(
    OR(ISBLANK(L1417), ISBLANK(M1417)),
    "",
    MAX(
        1,
        IF(
            NETWORKDAYS(L1417, M1417, Holiday_Dates) &lt;= 0,
            1,
            NETWORKDAYS(L1417, M1417, Holiday_Dates) - IF(L1417 = M1417, 0, 1)
        )
    )
)</f>
        <v/>
      </c>
      <c r="R1417" s="385" t="str">
        <f>IFERROR(
    IF(
        OR(ISBLANK(N1417), AND(ISBLANK(L1417), ISBLANK(M1417))),
        "",
        MAX(
            1,
            IF(
                NETWORKDAYS(IF(NOT(ISBLANK(M1417)), M1417, L1417), N1417, Holiday_Dates) &lt;= 0,
                1,
                NETWORKDAYS(IF(NOT(ISBLANK(M1417)), M1417, L1417), N1417, Holiday_Dates)
                - IF(IF(NOT(ISBLANK(M1417)), M1417, L1417) = N1417, 0, 1)
            )
        )
    ),
    ""
)</f>
        <v/>
      </c>
      <c r="S1417" s="385" t="str">
        <f>IFERROR(
    IF(
        OR(ISBLANK(N1417), ISBLANK(O1417)),
        "",
        MAX(
            1,
            IF(
                NETWORKDAYS(N1417, O1417, Holiday_Dates) &lt;= 0,
                1,
                NETWORKDAYS(N1417, O1417, Holiday_Dates) - IF(N1417 = O1417, 0, 1)
            )
        )
    ),
    ""
)</f>
        <v/>
      </c>
      <c r="T1417" s="385"/>
      <c r="U1417" s="385" t="s">
        <v>4</v>
      </c>
      <c r="V1417" s="385" t="s">
        <v>101</v>
      </c>
      <c r="W1417" s="385" t="s">
        <v>1436</v>
      </c>
      <c r="X1417" s="1"/>
    </row>
    <row r="1418" spans="1:24">
      <c r="A1418" s="385" t="s">
        <v>65</v>
      </c>
      <c r="B1418" s="385" t="s">
        <v>522</v>
      </c>
      <c r="C1418" s="385" t="s">
        <v>3355</v>
      </c>
      <c r="D1418" s="385" t="s">
        <v>88</v>
      </c>
      <c r="E1418" s="385" t="s">
        <v>141</v>
      </c>
      <c r="F1418" s="385"/>
      <c r="G1418" s="385" t="s">
        <v>130</v>
      </c>
      <c r="H1418" s="385"/>
      <c r="I1418" s="385"/>
      <c r="J1418" s="30"/>
      <c r="K1418" s="385" t="s">
        <v>63</v>
      </c>
      <c r="L1418" s="385"/>
      <c r="M1418" s="385"/>
      <c r="N1418" s="385"/>
      <c r="O1418" s="385"/>
      <c r="P1418" s="385" t="str">
        <f>IFERROR(
    IF(
        OR(ISBLANK(I1418), ISBLANK(L1418)),
        "",
        MAX(
            1,
            IF(
                NETWORKDAYS(I1418, L1418, Holiday_Dates) &lt;= 0,
                1,
                NETWORKDAYS(I1418, L1418, Holiday_Dates) - IF(I1418 = L1418, 0, 1)
            )
        )
    ),
    ""
)</f>
        <v/>
      </c>
      <c r="Q1418" s="385" t="str">
        <f>IF(
    OR(ISBLANK(L1418), ISBLANK(M1418)),
    "",
    MAX(
        1,
        IF(
            NETWORKDAYS(L1418, M1418, Holiday_Dates) &lt;= 0,
            1,
            NETWORKDAYS(L1418, M1418, Holiday_Dates) - IF(L1418 = M1418, 0, 1)
        )
    )
)</f>
        <v/>
      </c>
      <c r="R1418" s="385" t="str">
        <f>IFERROR(
    IF(
        OR(ISBLANK(N1418), AND(ISBLANK(L1418), ISBLANK(M1418))),
        "",
        MAX(
            1,
            IF(
                NETWORKDAYS(IF(NOT(ISBLANK(M1418)), M1418, L1418), N1418, Holiday_Dates) &lt;= 0,
                1,
                NETWORKDAYS(IF(NOT(ISBLANK(M1418)), M1418, L1418), N1418, Holiday_Dates)
                - IF(IF(NOT(ISBLANK(M1418)), M1418, L1418) = N1418, 0, 1)
            )
        )
    ),
    ""
)</f>
        <v/>
      </c>
      <c r="S1418" s="385" t="str">
        <f>IFERROR(
    IF(
        OR(ISBLANK(N1418), ISBLANK(O1418)),
        "",
        MAX(
            1,
            IF(
                NETWORKDAYS(N1418, O1418, Holiday_Dates) &lt;= 0,
                1,
                NETWORKDAYS(N1418, O1418, Holiday_Dates) - IF(N1418 = O1418, 0, 1)
            )
        )
    ),
    ""
)</f>
        <v/>
      </c>
      <c r="T1418" s="385"/>
      <c r="U1418" s="385"/>
      <c r="V1418" s="385"/>
      <c r="W1418" s="385" t="s">
        <v>4710</v>
      </c>
      <c r="X1418" s="1"/>
    </row>
    <row r="1419" spans="1:24">
      <c r="A1419" s="385" t="s">
        <v>65</v>
      </c>
      <c r="B1419" s="385" t="s">
        <v>514</v>
      </c>
      <c r="C1419" s="385" t="s">
        <v>3130</v>
      </c>
      <c r="D1419" s="385" t="s">
        <v>88</v>
      </c>
      <c r="E1419" s="385"/>
      <c r="F1419" s="385"/>
      <c r="G1419" s="385"/>
      <c r="H1419" s="385">
        <v>2025</v>
      </c>
      <c r="I1419" s="386">
        <v>45876</v>
      </c>
      <c r="J1419" s="30" t="s">
        <v>5264</v>
      </c>
      <c r="K1419" s="385"/>
      <c r="L1419" s="385"/>
      <c r="M1419" s="385"/>
      <c r="N1419" s="385"/>
      <c r="O1419" s="385"/>
      <c r="P1419" s="385" t="str">
        <f>IFERROR(
    IF(
        OR(ISBLANK(I1419), ISBLANK(L1419)),
        "",
        MAX(
            1,
            IF(
                NETWORKDAYS(I1419, L1419, Holiday_Dates) &lt;= 0,
                1,
                NETWORKDAYS(I1419, L1419, Holiday_Dates) - IF(I1419 = L1419, 0, 1)
            )
        )
    ),
    ""
)</f>
        <v/>
      </c>
      <c r="Q1419" s="385" t="str">
        <f>IF(
    OR(ISBLANK(L1419), ISBLANK(M1419)),
    "",
    MAX(
        1,
        IF(
            NETWORKDAYS(L1419, M1419, Holiday_Dates) &lt;= 0,
            1,
            NETWORKDAYS(L1419, M1419, Holiday_Dates) - IF(L1419 = M1419, 0, 1)
        )
    )
)</f>
        <v/>
      </c>
      <c r="R1419" s="385" t="str">
        <f>IFERROR(
    IF(
        OR(ISBLANK(N1419), AND(ISBLANK(L1419), ISBLANK(M1419))),
        "",
        MAX(
            1,
            IF(
                NETWORKDAYS(IF(NOT(ISBLANK(M1419)), M1419, L1419), N1419, Holiday_Dates) &lt;= 0,
                1,
                NETWORKDAYS(IF(NOT(ISBLANK(M1419)), M1419, L1419), N1419, Holiday_Dates)
                - IF(IF(NOT(ISBLANK(M1419)), M1419, L1419) = N1419, 0, 1)
            )
        )
    ),
    ""
)</f>
        <v/>
      </c>
      <c r="S1419" s="385" t="str">
        <f>IFERROR(
    IF(
        OR(ISBLANK(N1419), ISBLANK(O1419)),
        "",
        MAX(
            1,
            IF(
                NETWORKDAYS(N1419, O1419, Holiday_Dates) &lt;= 0,
                1,
                NETWORKDAYS(N1419, O1419, Holiday_Dates) - IF(N1419 = O1419, 0, 1)
            )
        )
    ),
    ""
)</f>
        <v/>
      </c>
      <c r="T1419" s="385"/>
      <c r="U1419" s="385" t="s">
        <v>4</v>
      </c>
      <c r="V1419" s="385" t="s">
        <v>101</v>
      </c>
      <c r="W1419" s="385" t="s">
        <v>1436</v>
      </c>
      <c r="X1419" s="1"/>
    </row>
    <row r="1420" spans="1:24">
      <c r="A1420" s="385" t="s">
        <v>65</v>
      </c>
      <c r="B1420" s="385" t="s">
        <v>514</v>
      </c>
      <c r="C1420" s="385" t="s">
        <v>284</v>
      </c>
      <c r="D1420" s="385" t="s">
        <v>88</v>
      </c>
      <c r="E1420" s="385"/>
      <c r="F1420" s="385"/>
      <c r="G1420" s="385"/>
      <c r="H1420" s="385">
        <v>2024</v>
      </c>
      <c r="I1420" s="386">
        <v>45504</v>
      </c>
      <c r="J1420" s="30"/>
      <c r="K1420" s="385"/>
      <c r="L1420" s="385"/>
      <c r="M1420" s="385"/>
      <c r="N1420" s="385"/>
      <c r="O1420" s="385"/>
      <c r="P1420" s="385" t="str">
        <f>IFERROR(
    IF(
        OR(ISBLANK(I1420), ISBLANK(L1420)),
        "",
        MAX(
            1,
            IF(
                NETWORKDAYS(I1420, L1420, Holiday_Dates) &lt;= 0,
                1,
                NETWORKDAYS(I1420, L1420, Holiday_Dates) - IF(I1420 = L1420, 0, 1)
            )
        )
    ),
    ""
)</f>
        <v/>
      </c>
      <c r="Q1420" s="385" t="str">
        <f>IF(
    OR(ISBLANK(L1420), ISBLANK(M1420)),
    "",
    MAX(
        1,
        IF(
            NETWORKDAYS(L1420, M1420, Holiday_Dates) &lt;= 0,
            1,
            NETWORKDAYS(L1420, M1420, Holiday_Dates) - IF(L1420 = M1420, 0, 1)
        )
    )
)</f>
        <v/>
      </c>
      <c r="R1420" s="385" t="str">
        <f>IFERROR(
    IF(
        OR(ISBLANK(N1420), AND(ISBLANK(L1420), ISBLANK(M1420))),
        "",
        MAX(
            1,
            IF(
                NETWORKDAYS(IF(NOT(ISBLANK(M1420)), M1420, L1420), N1420, Holiday_Dates) &lt;= 0,
                1,
                NETWORKDAYS(IF(NOT(ISBLANK(M1420)), M1420, L1420), N1420, Holiday_Dates)
                - IF(IF(NOT(ISBLANK(M1420)), M1420, L1420) = N1420, 0, 1)
            )
        )
    ),
    ""
)</f>
        <v/>
      </c>
      <c r="S1420" s="385" t="str">
        <f>IFERROR(
    IF(
        OR(ISBLANK(N1420), ISBLANK(O1420)),
        "",
        MAX(
            1,
            IF(
                NETWORKDAYS(N1420, O1420, Holiday_Dates) &lt;= 0,
                1,
                NETWORKDAYS(N1420, O1420, Holiday_Dates) - IF(N1420 = O1420, 0, 1)
            )
        )
    ),
    ""
)</f>
        <v/>
      </c>
      <c r="T1420" s="385"/>
      <c r="U1420" s="385" t="s">
        <v>4</v>
      </c>
      <c r="V1420" s="385" t="s">
        <v>101</v>
      </c>
      <c r="W1420" s="385" t="s">
        <v>1436</v>
      </c>
      <c r="X1420" s="1"/>
    </row>
    <row r="1421" spans="1:24">
      <c r="A1421" s="385" t="s">
        <v>65</v>
      </c>
      <c r="B1421" s="385" t="s">
        <v>514</v>
      </c>
      <c r="C1421" s="385" t="s">
        <v>550</v>
      </c>
      <c r="D1421" s="385" t="s">
        <v>88</v>
      </c>
      <c r="E1421" s="385"/>
      <c r="F1421" s="385"/>
      <c r="G1421" s="385"/>
      <c r="H1421" s="385">
        <v>2024</v>
      </c>
      <c r="I1421" s="386">
        <v>45419</v>
      </c>
      <c r="J1421" s="30"/>
      <c r="K1421" s="385"/>
      <c r="L1421" s="385"/>
      <c r="M1421" s="385"/>
      <c r="N1421" s="385"/>
      <c r="O1421" s="385"/>
      <c r="P1421" s="385" t="str">
        <f>IFERROR(
    IF(
        OR(ISBLANK(I1421), ISBLANK(L1421)),
        "",
        MAX(
            1,
            IF(
                NETWORKDAYS(I1421, L1421, Holiday_Dates) &lt;= 0,
                1,
                NETWORKDAYS(I1421, L1421, Holiday_Dates) - IF(I1421 = L1421, 0, 1)
            )
        )
    ),
    ""
)</f>
        <v/>
      </c>
      <c r="Q1421" s="385" t="str">
        <f>IF(
    OR(ISBLANK(L1421), ISBLANK(M1421)),
    "",
    MAX(
        1,
        IF(
            NETWORKDAYS(L1421, M1421, Holiday_Dates) &lt;= 0,
            1,
            NETWORKDAYS(L1421, M1421, Holiday_Dates) - IF(L1421 = M1421, 0, 1)
        )
    )
)</f>
        <v/>
      </c>
      <c r="R1421" s="385" t="str">
        <f>IFERROR(
    IF(
        OR(ISBLANK(N1421), AND(ISBLANK(L1421), ISBLANK(M1421))),
        "",
        MAX(
            1,
            IF(
                NETWORKDAYS(IF(NOT(ISBLANK(M1421)), M1421, L1421), N1421, Holiday_Dates) &lt;= 0,
                1,
                NETWORKDAYS(IF(NOT(ISBLANK(M1421)), M1421, L1421), N1421, Holiday_Dates)
                - IF(IF(NOT(ISBLANK(M1421)), M1421, L1421) = N1421, 0, 1)
            )
        )
    ),
    ""
)</f>
        <v/>
      </c>
      <c r="S1421" s="385" t="str">
        <f>IFERROR(
    IF(
        OR(ISBLANK(N1421), ISBLANK(O1421)),
        "",
        MAX(
            1,
            IF(
                NETWORKDAYS(N1421, O1421, Holiday_Dates) &lt;= 0,
                1,
                NETWORKDAYS(N1421, O1421, Holiday_Dates) - IF(N1421 = O1421, 0, 1)
            )
        )
    ),
    ""
)</f>
        <v/>
      </c>
      <c r="T1421" s="385"/>
      <c r="U1421" s="385" t="s">
        <v>672</v>
      </c>
      <c r="V1421" s="385"/>
      <c r="W1421" s="385" t="s">
        <v>1436</v>
      </c>
      <c r="X1421" s="1"/>
    </row>
    <row r="1422" spans="1:24">
      <c r="A1422" s="385" t="s">
        <v>51</v>
      </c>
      <c r="B1422" s="385" t="s">
        <v>1364</v>
      </c>
      <c r="C1422" s="385" t="s">
        <v>3509</v>
      </c>
      <c r="D1422" s="385" t="s">
        <v>88</v>
      </c>
      <c r="E1422" s="385" t="s">
        <v>33</v>
      </c>
      <c r="F1422" s="385"/>
      <c r="G1422" s="385" t="s">
        <v>239</v>
      </c>
      <c r="H1422" s="385"/>
      <c r="I1422" s="385"/>
      <c r="J1422" s="30"/>
      <c r="K1422" s="385" t="s">
        <v>63</v>
      </c>
      <c r="L1422" s="385"/>
      <c r="M1422" s="385"/>
      <c r="N1422" s="385"/>
      <c r="O1422" s="385"/>
      <c r="P1422" s="385" t="str">
        <f>IFERROR(
    IF(
        OR(ISBLANK(I1422), ISBLANK(L1422)),
        "",
        MAX(
            1,
            IF(
                NETWORKDAYS(I1422, L1422, Holiday_Dates) &lt;= 0,
                1,
                NETWORKDAYS(I1422, L1422, Holiday_Dates) - IF(I1422 = L1422, 0, 1)
            )
        )
    ),
    ""
)</f>
        <v/>
      </c>
      <c r="Q1422" s="385" t="str">
        <f>IF(
    OR(ISBLANK(L1422), ISBLANK(M1422)),
    "",
    MAX(
        1,
        IF(
            NETWORKDAYS(L1422, M1422, Holiday_Dates) &lt;= 0,
            1,
            NETWORKDAYS(L1422, M1422, Holiday_Dates) - IF(L1422 = M1422, 0, 1)
        )
    )
)</f>
        <v/>
      </c>
      <c r="R1422" s="385" t="str">
        <f>IFERROR(
    IF(
        OR(ISBLANK(N1422), AND(ISBLANK(L1422), ISBLANK(M1422))),
        "",
        MAX(
            1,
            IF(
                NETWORKDAYS(IF(NOT(ISBLANK(M1422)), M1422, L1422), N1422, Holiday_Dates) &lt;= 0,
                1,
                NETWORKDAYS(IF(NOT(ISBLANK(M1422)), M1422, L1422), N1422, Holiday_Dates)
                - IF(IF(NOT(ISBLANK(M1422)), M1422, L1422) = N1422, 0, 1)
            )
        )
    ),
    ""
)</f>
        <v/>
      </c>
      <c r="S1422" s="385" t="str">
        <f>IFERROR(
    IF(
        OR(ISBLANK(N1422), ISBLANK(O1422)),
        "",
        MAX(
            1,
            IF(
                NETWORKDAYS(N1422, O1422, Holiday_Dates) &lt;= 0,
                1,
                NETWORKDAYS(N1422, O1422, Holiday_Dates) - IF(N1422 = O1422, 0, 1)
            )
        )
    ),
    ""
)</f>
        <v/>
      </c>
      <c r="T1422" s="385"/>
      <c r="U1422" s="385"/>
      <c r="V1422" s="385"/>
      <c r="W1422" s="385" t="s">
        <v>4710</v>
      </c>
      <c r="X1422" s="1"/>
    </row>
    <row r="1423" spans="1:24">
      <c r="A1423" s="385" t="s">
        <v>65</v>
      </c>
      <c r="B1423" s="385" t="s">
        <v>514</v>
      </c>
      <c r="C1423" s="385" t="s">
        <v>717</v>
      </c>
      <c r="D1423" s="385" t="s">
        <v>88</v>
      </c>
      <c r="E1423" s="385"/>
      <c r="F1423" s="385"/>
      <c r="G1423" s="385"/>
      <c r="H1423" s="385">
        <v>2024</v>
      </c>
      <c r="I1423" s="386">
        <v>45611</v>
      </c>
      <c r="J1423" s="30"/>
      <c r="K1423" s="385"/>
      <c r="L1423" s="385"/>
      <c r="M1423" s="385"/>
      <c r="N1423" s="385"/>
      <c r="O1423" s="385"/>
      <c r="P1423" s="385" t="str">
        <f>IFERROR(
    IF(
        OR(ISBLANK(I1423), ISBLANK(L1423)),
        "",
        MAX(
            1,
            IF(
                NETWORKDAYS(I1423, L1423, Holiday_Dates) &lt;= 0,
                1,
                NETWORKDAYS(I1423, L1423, Holiday_Dates) - IF(I1423 = L1423, 0, 1)
            )
        )
    ),
    ""
)</f>
        <v/>
      </c>
      <c r="Q1423" s="385" t="str">
        <f>IF(
    OR(ISBLANK(L1423), ISBLANK(M1423)),
    "",
    MAX(
        1,
        IF(
            NETWORKDAYS(L1423, M1423, Holiday_Dates) &lt;= 0,
            1,
            NETWORKDAYS(L1423, M1423, Holiday_Dates) - IF(L1423 = M1423, 0, 1)
        )
    )
)</f>
        <v/>
      </c>
      <c r="R1423" s="385" t="str">
        <f>IFERROR(
    IF(
        OR(ISBLANK(N1423), AND(ISBLANK(L1423), ISBLANK(M1423))),
        "",
        MAX(
            1,
            IF(
                NETWORKDAYS(IF(NOT(ISBLANK(M1423)), M1423, L1423), N1423, Holiday_Dates) &lt;= 0,
                1,
                NETWORKDAYS(IF(NOT(ISBLANK(M1423)), M1423, L1423), N1423, Holiday_Dates)
                - IF(IF(NOT(ISBLANK(M1423)), M1423, L1423) = N1423, 0, 1)
            )
        )
    ),
    ""
)</f>
        <v/>
      </c>
      <c r="S1423" s="385" t="str">
        <f>IFERROR(
    IF(
        OR(ISBLANK(N1423), ISBLANK(O1423)),
        "",
        MAX(
            1,
            IF(
                NETWORKDAYS(N1423, O1423, Holiday_Dates) &lt;= 0,
                1,
                NETWORKDAYS(N1423, O1423, Holiday_Dates) - IF(N1423 = O1423, 0, 1)
            )
        )
    ),
    ""
)</f>
        <v/>
      </c>
      <c r="T1423" s="385"/>
      <c r="U1423" s="385" t="s">
        <v>4</v>
      </c>
      <c r="V1423" s="385" t="s">
        <v>101</v>
      </c>
      <c r="W1423" s="385" t="s">
        <v>1436</v>
      </c>
      <c r="X1423" s="1"/>
    </row>
    <row r="1424" spans="1:24">
      <c r="A1424" s="385" t="s">
        <v>51</v>
      </c>
      <c r="B1424" s="385" t="s">
        <v>1364</v>
      </c>
      <c r="C1424" s="385" t="s">
        <v>2395</v>
      </c>
      <c r="D1424" s="385" t="s">
        <v>88</v>
      </c>
      <c r="E1424" s="385" t="s">
        <v>33</v>
      </c>
      <c r="F1424" s="385"/>
      <c r="G1424" s="385" t="s">
        <v>239</v>
      </c>
      <c r="H1424" s="385"/>
      <c r="I1424" s="385"/>
      <c r="J1424" s="30"/>
      <c r="K1424" s="385" t="s">
        <v>63</v>
      </c>
      <c r="L1424" s="385"/>
      <c r="M1424" s="385"/>
      <c r="N1424" s="385"/>
      <c r="O1424" s="385"/>
      <c r="P1424" s="385" t="str">
        <f>IFERROR(
    IF(
        OR(ISBLANK(I1424), ISBLANK(L1424)),
        "",
        MAX(
            1,
            IF(
                NETWORKDAYS(I1424, L1424, Holiday_Dates) &lt;= 0,
                1,
                NETWORKDAYS(I1424, L1424, Holiday_Dates) - IF(I1424 = L1424, 0, 1)
            )
        )
    ),
    ""
)</f>
        <v/>
      </c>
      <c r="Q1424" s="385" t="str">
        <f>IF(
    OR(ISBLANK(L1424), ISBLANK(M1424)),
    "",
    MAX(
        1,
        IF(
            NETWORKDAYS(L1424, M1424, Holiday_Dates) &lt;= 0,
            1,
            NETWORKDAYS(L1424, M1424, Holiday_Dates) - IF(L1424 = M1424, 0, 1)
        )
    )
)</f>
        <v/>
      </c>
      <c r="R1424" s="385" t="str">
        <f>IFERROR(
    IF(
        OR(ISBLANK(N1424), AND(ISBLANK(L1424), ISBLANK(M1424))),
        "",
        MAX(
            1,
            IF(
                NETWORKDAYS(IF(NOT(ISBLANK(M1424)), M1424, L1424), N1424, Holiday_Dates) &lt;= 0,
                1,
                NETWORKDAYS(IF(NOT(ISBLANK(M1424)), M1424, L1424), N1424, Holiday_Dates)
                - IF(IF(NOT(ISBLANK(M1424)), M1424, L1424) = N1424, 0, 1)
            )
        )
    ),
    ""
)</f>
        <v/>
      </c>
      <c r="S1424" s="385" t="str">
        <f>IFERROR(
    IF(
        OR(ISBLANK(N1424), ISBLANK(O1424)),
        "",
        MAX(
            1,
            IF(
                NETWORKDAYS(N1424, O1424, Holiday_Dates) &lt;= 0,
                1,
                NETWORKDAYS(N1424, O1424, Holiday_Dates) - IF(N1424 = O1424, 0, 1)
            )
        )
    ),
    ""
)</f>
        <v/>
      </c>
      <c r="T1424" s="385"/>
      <c r="U1424" s="385"/>
      <c r="V1424" s="385"/>
      <c r="W1424" s="385" t="s">
        <v>4710</v>
      </c>
      <c r="X1424" s="1"/>
    </row>
    <row r="1425" spans="1:24">
      <c r="A1425" s="385" t="s">
        <v>65</v>
      </c>
      <c r="B1425" s="385" t="s">
        <v>514</v>
      </c>
      <c r="C1425" s="385" t="s">
        <v>2235</v>
      </c>
      <c r="D1425" s="385" t="s">
        <v>88</v>
      </c>
      <c r="E1425" s="385"/>
      <c r="F1425" s="385"/>
      <c r="G1425" s="385"/>
      <c r="H1425" s="385">
        <v>2025</v>
      </c>
      <c r="I1425" s="386">
        <v>45940</v>
      </c>
      <c r="J1425" s="30" t="s">
        <v>5265</v>
      </c>
      <c r="K1425" s="385"/>
      <c r="L1425" s="385"/>
      <c r="M1425" s="385"/>
      <c r="N1425" s="385"/>
      <c r="O1425" s="385"/>
      <c r="P1425" s="385" t="str">
        <f>IFERROR(
    IF(
        OR(ISBLANK(I1425), ISBLANK(L1425)),
        "",
        MAX(
            1,
            IF(
                NETWORKDAYS(I1425, L1425, Holiday_Dates) &lt;= 0,
                1,
                NETWORKDAYS(I1425, L1425, Holiday_Dates) - IF(I1425 = L1425, 0, 1)
            )
        )
    ),
    ""
)</f>
        <v/>
      </c>
      <c r="Q1425" s="385" t="str">
        <f>IF(
    OR(ISBLANK(L1425), ISBLANK(M1425)),
    "",
    MAX(
        1,
        IF(
            NETWORKDAYS(L1425, M1425, Holiday_Dates) &lt;= 0,
            1,
            NETWORKDAYS(L1425, M1425, Holiday_Dates) - IF(L1425 = M1425, 0, 1)
        )
    )
)</f>
        <v/>
      </c>
      <c r="R1425" s="385" t="str">
        <f>IFERROR(
    IF(
        OR(ISBLANK(N1425), AND(ISBLANK(L1425), ISBLANK(M1425))),
        "",
        MAX(
            1,
            IF(
                NETWORKDAYS(IF(NOT(ISBLANK(M1425)), M1425, L1425), N1425, Holiday_Dates) &lt;= 0,
                1,
                NETWORKDAYS(IF(NOT(ISBLANK(M1425)), M1425, L1425), N1425, Holiday_Dates)
                - IF(IF(NOT(ISBLANK(M1425)), M1425, L1425) = N1425, 0, 1)
            )
        )
    ),
    ""
)</f>
        <v/>
      </c>
      <c r="S1425" s="385" t="str">
        <f>IFERROR(
    IF(
        OR(ISBLANK(N1425), ISBLANK(O1425)),
        "",
        MAX(
            1,
            IF(
                NETWORKDAYS(N1425, O1425, Holiday_Dates) &lt;= 0,
                1,
                NETWORKDAYS(N1425, O1425, Holiday_Dates) - IF(N1425 = O1425, 0, 1)
            )
        )
    ),
    ""
)</f>
        <v/>
      </c>
      <c r="T1425" s="385"/>
      <c r="U1425" s="385" t="s">
        <v>4</v>
      </c>
      <c r="V1425" s="385" t="s">
        <v>101</v>
      </c>
      <c r="W1425" s="385" t="s">
        <v>1436</v>
      </c>
      <c r="X1425" s="1"/>
    </row>
    <row r="1426" spans="1:24">
      <c r="A1426" s="385" t="s">
        <v>65</v>
      </c>
      <c r="B1426" s="385" t="s">
        <v>514</v>
      </c>
      <c r="C1426" s="385" t="s">
        <v>360</v>
      </c>
      <c r="D1426" s="385" t="s">
        <v>88</v>
      </c>
      <c r="E1426" s="385"/>
      <c r="F1426" s="385"/>
      <c r="G1426" s="385"/>
      <c r="H1426" s="385">
        <v>2024</v>
      </c>
      <c r="I1426" s="386">
        <v>45387</v>
      </c>
      <c r="J1426" s="30"/>
      <c r="K1426" s="385"/>
      <c r="L1426" s="385"/>
      <c r="M1426" s="385"/>
      <c r="N1426" s="385"/>
      <c r="O1426" s="385"/>
      <c r="P1426" s="385" t="str">
        <f>IFERROR(
    IF(
        OR(ISBLANK(I1426), ISBLANK(L1426)),
        "",
        MAX(
            1,
            IF(
                NETWORKDAYS(I1426, L1426, Holiday_Dates) &lt;= 0,
                1,
                NETWORKDAYS(I1426, L1426, Holiday_Dates) - IF(I1426 = L1426, 0, 1)
            )
        )
    ),
    ""
)</f>
        <v/>
      </c>
      <c r="Q1426" s="385" t="str">
        <f>IF(
    OR(ISBLANK(L1426), ISBLANK(M1426)),
    "",
    MAX(
        1,
        IF(
            NETWORKDAYS(L1426, M1426, Holiday_Dates) &lt;= 0,
            1,
            NETWORKDAYS(L1426, M1426, Holiday_Dates) - IF(L1426 = M1426, 0, 1)
        )
    )
)</f>
        <v/>
      </c>
      <c r="R1426" s="385" t="str">
        <f>IFERROR(
    IF(
        OR(ISBLANK(N1426), AND(ISBLANK(L1426), ISBLANK(M1426))),
        "",
        MAX(
            1,
            IF(
                NETWORKDAYS(IF(NOT(ISBLANK(M1426)), M1426, L1426), N1426, Holiday_Dates) &lt;= 0,
                1,
                NETWORKDAYS(IF(NOT(ISBLANK(M1426)), M1426, L1426), N1426, Holiday_Dates)
                - IF(IF(NOT(ISBLANK(M1426)), M1426, L1426) = N1426, 0, 1)
            )
        )
    ),
    ""
)</f>
        <v/>
      </c>
      <c r="S1426" s="385" t="str">
        <f>IFERROR(
    IF(
        OR(ISBLANK(N1426), ISBLANK(O1426)),
        "",
        MAX(
            1,
            IF(
                NETWORKDAYS(N1426, O1426, Holiday_Dates) &lt;= 0,
                1,
                NETWORKDAYS(N1426, O1426, Holiday_Dates) - IF(N1426 = O1426, 0, 1)
            )
        )
    ),
    ""
)</f>
        <v/>
      </c>
      <c r="T1426" s="385"/>
      <c r="U1426" s="385" t="s">
        <v>672</v>
      </c>
      <c r="V1426" s="385"/>
      <c r="W1426" s="385" t="s">
        <v>1436</v>
      </c>
      <c r="X1426" s="1"/>
    </row>
    <row r="1427" spans="1:24">
      <c r="A1427" s="385" t="s">
        <v>65</v>
      </c>
      <c r="B1427" s="385" t="s">
        <v>514</v>
      </c>
      <c r="C1427" s="385" t="s">
        <v>3137</v>
      </c>
      <c r="D1427" s="385" t="s">
        <v>88</v>
      </c>
      <c r="E1427" s="385"/>
      <c r="F1427" s="385"/>
      <c r="G1427" s="385"/>
      <c r="H1427" s="385">
        <v>2025</v>
      </c>
      <c r="I1427" s="386">
        <v>45940</v>
      </c>
      <c r="J1427" s="30" t="s">
        <v>5266</v>
      </c>
      <c r="K1427" s="385"/>
      <c r="L1427" s="385"/>
      <c r="M1427" s="385"/>
      <c r="N1427" s="385"/>
      <c r="O1427" s="385"/>
      <c r="P1427" s="385" t="str">
        <f>IFERROR(
    IF(
        OR(ISBLANK(I1427), ISBLANK(L1427)),
        "",
        MAX(
            1,
            IF(
                NETWORKDAYS(I1427, L1427, Holiday_Dates) &lt;= 0,
                1,
                NETWORKDAYS(I1427, L1427, Holiday_Dates) - IF(I1427 = L1427, 0, 1)
            )
        )
    ),
    ""
)</f>
        <v/>
      </c>
      <c r="Q1427" s="385" t="str">
        <f>IF(
    OR(ISBLANK(L1427), ISBLANK(M1427)),
    "",
    MAX(
        1,
        IF(
            NETWORKDAYS(L1427, M1427, Holiday_Dates) &lt;= 0,
            1,
            NETWORKDAYS(L1427, M1427, Holiday_Dates) - IF(L1427 = M1427, 0, 1)
        )
    )
)</f>
        <v/>
      </c>
      <c r="R1427" s="385" t="str">
        <f>IFERROR(
    IF(
        OR(ISBLANK(N1427), AND(ISBLANK(L1427), ISBLANK(M1427))),
        "",
        MAX(
            1,
            IF(
                NETWORKDAYS(IF(NOT(ISBLANK(M1427)), M1427, L1427), N1427, Holiday_Dates) &lt;= 0,
                1,
                NETWORKDAYS(IF(NOT(ISBLANK(M1427)), M1427, L1427), N1427, Holiday_Dates)
                - IF(IF(NOT(ISBLANK(M1427)), M1427, L1427) = N1427, 0, 1)
            )
        )
    ),
    ""
)</f>
        <v/>
      </c>
      <c r="S1427" s="385" t="str">
        <f>IFERROR(
    IF(
        OR(ISBLANK(N1427), ISBLANK(O1427)),
        "",
        MAX(
            1,
            IF(
                NETWORKDAYS(N1427, O1427, Holiday_Dates) &lt;= 0,
                1,
                NETWORKDAYS(N1427, O1427, Holiday_Dates) - IF(N1427 = O1427, 0, 1)
            )
        )
    ),
    ""
)</f>
        <v/>
      </c>
      <c r="T1427" s="385"/>
      <c r="U1427" s="385" t="s">
        <v>4</v>
      </c>
      <c r="V1427" s="385" t="s">
        <v>101</v>
      </c>
      <c r="W1427" s="385" t="s">
        <v>1436</v>
      </c>
      <c r="X1427" s="1"/>
    </row>
    <row r="1428" spans="1:24">
      <c r="A1428" s="385" t="s">
        <v>65</v>
      </c>
      <c r="B1428" s="385" t="s">
        <v>295</v>
      </c>
      <c r="C1428" s="385" t="s">
        <v>3140</v>
      </c>
      <c r="D1428" s="385" t="s">
        <v>88</v>
      </c>
      <c r="E1428" s="385"/>
      <c r="F1428" s="385"/>
      <c r="G1428" s="385"/>
      <c r="H1428" s="385">
        <v>2025</v>
      </c>
      <c r="I1428" s="386">
        <v>45847</v>
      </c>
      <c r="J1428" s="30" t="s">
        <v>5267</v>
      </c>
      <c r="K1428" s="385"/>
      <c r="L1428" s="385"/>
      <c r="M1428" s="385"/>
      <c r="N1428" s="385"/>
      <c r="O1428" s="385"/>
      <c r="P1428" s="385" t="str">
        <f>IFERROR(
    IF(
        OR(ISBLANK(I1428), ISBLANK(L1428)),
        "",
        MAX(
            1,
            IF(
                NETWORKDAYS(I1428, L1428, Holiday_Dates) &lt;= 0,
                1,
                NETWORKDAYS(I1428, L1428, Holiday_Dates) - IF(I1428 = L1428, 0, 1)
            )
        )
    ),
    ""
)</f>
        <v/>
      </c>
      <c r="Q1428" s="385" t="str">
        <f>IF(
    OR(ISBLANK(L1428), ISBLANK(M1428)),
    "",
    MAX(
        1,
        IF(
            NETWORKDAYS(L1428, M1428, Holiday_Dates) &lt;= 0,
            1,
            NETWORKDAYS(L1428, M1428, Holiday_Dates) - IF(L1428 = M1428, 0, 1)
        )
    )
)</f>
        <v/>
      </c>
      <c r="R1428" s="385" t="str">
        <f>IFERROR(
    IF(
        OR(ISBLANK(N1428), AND(ISBLANK(L1428), ISBLANK(M1428))),
        "",
        MAX(
            1,
            IF(
                NETWORKDAYS(IF(NOT(ISBLANK(M1428)), M1428, L1428), N1428, Holiday_Dates) &lt;= 0,
                1,
                NETWORKDAYS(IF(NOT(ISBLANK(M1428)), M1428, L1428), N1428, Holiday_Dates)
                - IF(IF(NOT(ISBLANK(M1428)), M1428, L1428) = N1428, 0, 1)
            )
        )
    ),
    ""
)</f>
        <v/>
      </c>
      <c r="S1428" s="385" t="str">
        <f>IFERROR(
    IF(
        OR(ISBLANK(N1428), ISBLANK(O1428)),
        "",
        MAX(
            1,
            IF(
                NETWORKDAYS(N1428, O1428, Holiday_Dates) &lt;= 0,
                1,
                NETWORKDAYS(N1428, O1428, Holiday_Dates) - IF(N1428 = O1428, 0, 1)
            )
        )
    ),
    ""
)</f>
        <v/>
      </c>
      <c r="T1428" s="385"/>
      <c r="U1428" s="385" t="s">
        <v>672</v>
      </c>
      <c r="V1428" s="385" t="s">
        <v>101</v>
      </c>
      <c r="W1428" s="385" t="s">
        <v>1436</v>
      </c>
      <c r="X1428" s="1"/>
    </row>
    <row r="1429" spans="1:24">
      <c r="A1429" s="385" t="s">
        <v>65</v>
      </c>
      <c r="B1429" s="385" t="s">
        <v>295</v>
      </c>
      <c r="C1429" s="385" t="s">
        <v>3141</v>
      </c>
      <c r="D1429" s="385" t="s">
        <v>88</v>
      </c>
      <c r="E1429" s="385"/>
      <c r="F1429" s="385"/>
      <c r="G1429" s="385"/>
      <c r="H1429" s="385">
        <v>2024</v>
      </c>
      <c r="I1429" s="386">
        <v>45517</v>
      </c>
      <c r="J1429" s="30"/>
      <c r="K1429" s="385"/>
      <c r="L1429" s="385"/>
      <c r="M1429" s="385"/>
      <c r="N1429" s="385"/>
      <c r="O1429" s="385"/>
      <c r="P1429" s="385" t="str">
        <f>IFERROR(
    IF(
        OR(ISBLANK(I1429), ISBLANK(L1429)),
        "",
        MAX(
            1,
            IF(
                NETWORKDAYS(I1429, L1429, Holiday_Dates) &lt;= 0,
                1,
                NETWORKDAYS(I1429, L1429, Holiday_Dates) - IF(I1429 = L1429, 0, 1)
            )
        )
    ),
    ""
)</f>
        <v/>
      </c>
      <c r="Q1429" s="385" t="str">
        <f>IF(
    OR(ISBLANK(L1429), ISBLANK(M1429)),
    "",
    MAX(
        1,
        IF(
            NETWORKDAYS(L1429, M1429, Holiday_Dates) &lt;= 0,
            1,
            NETWORKDAYS(L1429, M1429, Holiday_Dates) - IF(L1429 = M1429, 0, 1)
        )
    )
)</f>
        <v/>
      </c>
      <c r="R1429" s="385" t="str">
        <f>IFERROR(
    IF(
        OR(ISBLANK(N1429), AND(ISBLANK(L1429), ISBLANK(M1429))),
        "",
        MAX(
            1,
            IF(
                NETWORKDAYS(IF(NOT(ISBLANK(M1429)), M1429, L1429), N1429, Holiday_Dates) &lt;= 0,
                1,
                NETWORKDAYS(IF(NOT(ISBLANK(M1429)), M1429, L1429), N1429, Holiday_Dates)
                - IF(IF(NOT(ISBLANK(M1429)), M1429, L1429) = N1429, 0, 1)
            )
        )
    ),
    ""
)</f>
        <v/>
      </c>
      <c r="S1429" s="385" t="str">
        <f>IFERROR(
    IF(
        OR(ISBLANK(N1429), ISBLANK(O1429)),
        "",
        MAX(
            1,
            IF(
                NETWORKDAYS(N1429, O1429, Holiday_Dates) &lt;= 0,
                1,
                NETWORKDAYS(N1429, O1429, Holiday_Dates) - IF(N1429 = O1429, 0, 1)
            )
        )
    ),
    ""
)</f>
        <v/>
      </c>
      <c r="T1429" s="385"/>
      <c r="U1429" s="385" t="s">
        <v>4</v>
      </c>
      <c r="V1429" s="385" t="s">
        <v>101</v>
      </c>
      <c r="W1429" s="385" t="s">
        <v>1436</v>
      </c>
      <c r="X1429" s="1"/>
    </row>
    <row r="1430" spans="1:24">
      <c r="A1430" s="385" t="s">
        <v>65</v>
      </c>
      <c r="B1430" s="385" t="s">
        <v>295</v>
      </c>
      <c r="C1430" s="385" t="s">
        <v>3143</v>
      </c>
      <c r="D1430" s="385" t="s">
        <v>88</v>
      </c>
      <c r="E1430" s="385"/>
      <c r="F1430" s="385"/>
      <c r="G1430" s="385"/>
      <c r="H1430" s="385">
        <v>2025</v>
      </c>
      <c r="I1430" s="386">
        <v>45695</v>
      </c>
      <c r="J1430" s="30" t="s">
        <v>5268</v>
      </c>
      <c r="K1430" s="385"/>
      <c r="L1430" s="385"/>
      <c r="M1430" s="385"/>
      <c r="N1430" s="385"/>
      <c r="O1430" s="385"/>
      <c r="P1430" s="385" t="str">
        <f>IFERROR(
    IF(
        OR(ISBLANK(I1430), ISBLANK(L1430)),
        "",
        MAX(
            1,
            IF(
                NETWORKDAYS(I1430, L1430, Holiday_Dates) &lt;= 0,
                1,
                NETWORKDAYS(I1430, L1430, Holiday_Dates) - IF(I1430 = L1430, 0, 1)
            )
        )
    ),
    ""
)</f>
        <v/>
      </c>
      <c r="Q1430" s="385" t="str">
        <f>IF(
    OR(ISBLANK(L1430), ISBLANK(M1430)),
    "",
    MAX(
        1,
        IF(
            NETWORKDAYS(L1430, M1430, Holiday_Dates) &lt;= 0,
            1,
            NETWORKDAYS(L1430, M1430, Holiday_Dates) - IF(L1430 = M1430, 0, 1)
        )
    )
)</f>
        <v/>
      </c>
      <c r="R1430" s="385" t="str">
        <f>IFERROR(
    IF(
        OR(ISBLANK(N1430), AND(ISBLANK(L1430), ISBLANK(M1430))),
        "",
        MAX(
            1,
            IF(
                NETWORKDAYS(IF(NOT(ISBLANK(M1430)), M1430, L1430), N1430, Holiday_Dates) &lt;= 0,
                1,
                NETWORKDAYS(IF(NOT(ISBLANK(M1430)), M1430, L1430), N1430, Holiday_Dates)
                - IF(IF(NOT(ISBLANK(M1430)), M1430, L1430) = N1430, 0, 1)
            )
        )
    ),
    ""
)</f>
        <v/>
      </c>
      <c r="S1430" s="385" t="str">
        <f>IFERROR(
    IF(
        OR(ISBLANK(N1430), ISBLANK(O1430)),
        "",
        MAX(
            1,
            IF(
                NETWORKDAYS(N1430, O1430, Holiday_Dates) &lt;= 0,
                1,
                NETWORKDAYS(N1430, O1430, Holiday_Dates) - IF(N1430 = O1430, 0, 1)
            )
        )
    ),
    ""
)</f>
        <v/>
      </c>
      <c r="T1430" s="385"/>
      <c r="U1430" s="385" t="s">
        <v>672</v>
      </c>
      <c r="V1430" s="385" t="s">
        <v>101</v>
      </c>
      <c r="W1430" s="385" t="s">
        <v>1436</v>
      </c>
      <c r="X1430" s="1"/>
    </row>
    <row r="1431" spans="1:24">
      <c r="A1431" s="385" t="s">
        <v>51</v>
      </c>
      <c r="B1431" s="385" t="s">
        <v>1364</v>
      </c>
      <c r="C1431" s="385" t="s">
        <v>3513</v>
      </c>
      <c r="D1431" s="385" t="s">
        <v>88</v>
      </c>
      <c r="E1431" s="385" t="s">
        <v>33</v>
      </c>
      <c r="F1431" s="385"/>
      <c r="G1431" s="385" t="s">
        <v>239</v>
      </c>
      <c r="H1431" s="385"/>
      <c r="I1431" s="385"/>
      <c r="J1431" s="30"/>
      <c r="K1431" s="385" t="s">
        <v>63</v>
      </c>
      <c r="L1431" s="385"/>
      <c r="M1431" s="385"/>
      <c r="N1431" s="385"/>
      <c r="O1431" s="385"/>
      <c r="P1431" s="385" t="str">
        <f>IFERROR(
    IF(
        OR(ISBLANK(I1431), ISBLANK(L1431)),
        "",
        MAX(
            1,
            IF(
                NETWORKDAYS(I1431, L1431, Holiday_Dates) &lt;= 0,
                1,
                NETWORKDAYS(I1431, L1431, Holiday_Dates) - IF(I1431 = L1431, 0, 1)
            )
        )
    ),
    ""
)</f>
        <v/>
      </c>
      <c r="Q1431" s="385" t="str">
        <f>IF(
    OR(ISBLANK(L1431), ISBLANK(M1431)),
    "",
    MAX(
        1,
        IF(
            NETWORKDAYS(L1431, M1431, Holiday_Dates) &lt;= 0,
            1,
            NETWORKDAYS(L1431, M1431, Holiday_Dates) - IF(L1431 = M1431, 0, 1)
        )
    )
)</f>
        <v/>
      </c>
      <c r="R1431" s="385" t="str">
        <f>IFERROR(
    IF(
        OR(ISBLANK(N1431), AND(ISBLANK(L1431), ISBLANK(M1431))),
        "",
        MAX(
            1,
            IF(
                NETWORKDAYS(IF(NOT(ISBLANK(M1431)), M1431, L1431), N1431, Holiday_Dates) &lt;= 0,
                1,
                NETWORKDAYS(IF(NOT(ISBLANK(M1431)), M1431, L1431), N1431, Holiday_Dates)
                - IF(IF(NOT(ISBLANK(M1431)), M1431, L1431) = N1431, 0, 1)
            )
        )
    ),
    ""
)</f>
        <v/>
      </c>
      <c r="S1431" s="385" t="str">
        <f>IFERROR(
    IF(
        OR(ISBLANK(N1431), ISBLANK(O1431)),
        "",
        MAX(
            1,
            IF(
                NETWORKDAYS(N1431, O1431, Holiday_Dates) &lt;= 0,
                1,
                NETWORKDAYS(N1431, O1431, Holiday_Dates) - IF(N1431 = O1431, 0, 1)
            )
        )
    ),
    ""
)</f>
        <v/>
      </c>
      <c r="T1431" s="385"/>
      <c r="U1431" s="385"/>
      <c r="V1431" s="385"/>
      <c r="W1431" s="385" t="s">
        <v>4710</v>
      </c>
      <c r="X1431" s="1"/>
    </row>
    <row r="1432" spans="1:24">
      <c r="A1432" s="385" t="s">
        <v>65</v>
      </c>
      <c r="B1432" s="385" t="s">
        <v>295</v>
      </c>
      <c r="C1432" s="385" t="s">
        <v>3148</v>
      </c>
      <c r="D1432" s="385" t="s">
        <v>88</v>
      </c>
      <c r="E1432" s="385"/>
      <c r="F1432" s="385"/>
      <c r="G1432" s="385"/>
      <c r="H1432" s="385">
        <v>2025</v>
      </c>
      <c r="I1432" s="386">
        <v>45727</v>
      </c>
      <c r="J1432" s="30" t="s">
        <v>5269</v>
      </c>
      <c r="K1432" s="385"/>
      <c r="L1432" s="385"/>
      <c r="M1432" s="385"/>
      <c r="N1432" s="385"/>
      <c r="O1432" s="385"/>
      <c r="P1432" s="385" t="str">
        <f>IFERROR(
    IF(
        OR(ISBLANK(I1432), ISBLANK(L1432)),
        "",
        MAX(
            1,
            IF(
                NETWORKDAYS(I1432, L1432, Holiday_Dates) &lt;= 0,
                1,
                NETWORKDAYS(I1432, L1432, Holiday_Dates) - IF(I1432 = L1432, 0, 1)
            )
        )
    ),
    ""
)</f>
        <v/>
      </c>
      <c r="Q1432" s="385" t="str">
        <f>IF(
    OR(ISBLANK(L1432), ISBLANK(M1432)),
    "",
    MAX(
        1,
        IF(
            NETWORKDAYS(L1432, M1432, Holiday_Dates) &lt;= 0,
            1,
            NETWORKDAYS(L1432, M1432, Holiday_Dates) - IF(L1432 = M1432, 0, 1)
        )
    )
)</f>
        <v/>
      </c>
      <c r="R1432" s="385" t="str">
        <f>IFERROR(
    IF(
        OR(ISBLANK(N1432), AND(ISBLANK(L1432), ISBLANK(M1432))),
        "",
        MAX(
            1,
            IF(
                NETWORKDAYS(IF(NOT(ISBLANK(M1432)), M1432, L1432), N1432, Holiday_Dates) &lt;= 0,
                1,
                NETWORKDAYS(IF(NOT(ISBLANK(M1432)), M1432, L1432), N1432, Holiday_Dates)
                - IF(IF(NOT(ISBLANK(M1432)), M1432, L1432) = N1432, 0, 1)
            )
        )
    ),
    ""
)</f>
        <v/>
      </c>
      <c r="S1432" s="385" t="str">
        <f>IFERROR(
    IF(
        OR(ISBLANK(N1432), ISBLANK(O1432)),
        "",
        MAX(
            1,
            IF(
                NETWORKDAYS(N1432, O1432, Holiday_Dates) &lt;= 0,
                1,
                NETWORKDAYS(N1432, O1432, Holiday_Dates) - IF(N1432 = O1432, 0, 1)
            )
        )
    ),
    ""
)</f>
        <v/>
      </c>
      <c r="T1432" s="385"/>
      <c r="U1432" s="385" t="s">
        <v>672</v>
      </c>
      <c r="V1432" s="385" t="s">
        <v>101</v>
      </c>
      <c r="W1432" s="385" t="s">
        <v>1436</v>
      </c>
      <c r="X1432" s="1"/>
    </row>
    <row r="1433" spans="1:24">
      <c r="A1433" s="385" t="s">
        <v>51</v>
      </c>
      <c r="B1433" s="385" t="s">
        <v>1364</v>
      </c>
      <c r="C1433" s="385" t="s">
        <v>3514</v>
      </c>
      <c r="D1433" s="385" t="s">
        <v>88</v>
      </c>
      <c r="E1433" s="385" t="s">
        <v>33</v>
      </c>
      <c r="F1433" s="385"/>
      <c r="G1433" s="385" t="s">
        <v>239</v>
      </c>
      <c r="H1433" s="385"/>
      <c r="I1433" s="385"/>
      <c r="J1433" s="30"/>
      <c r="K1433" s="385" t="s">
        <v>63</v>
      </c>
      <c r="L1433" s="385"/>
      <c r="M1433" s="385"/>
      <c r="N1433" s="385"/>
      <c r="O1433" s="385"/>
      <c r="P1433" s="385" t="str">
        <f>IFERROR(
    IF(
        OR(ISBLANK(I1433), ISBLANK(L1433)),
        "",
        MAX(
            1,
            IF(
                NETWORKDAYS(I1433, L1433, Holiday_Dates) &lt;= 0,
                1,
                NETWORKDAYS(I1433, L1433, Holiday_Dates) - IF(I1433 = L1433, 0, 1)
            )
        )
    ),
    ""
)</f>
        <v/>
      </c>
      <c r="Q1433" s="385" t="str">
        <f>IF(
    OR(ISBLANK(L1433), ISBLANK(M1433)),
    "",
    MAX(
        1,
        IF(
            NETWORKDAYS(L1433, M1433, Holiday_Dates) &lt;= 0,
            1,
            NETWORKDAYS(L1433, M1433, Holiday_Dates) - IF(L1433 = M1433, 0, 1)
        )
    )
)</f>
        <v/>
      </c>
      <c r="R1433" s="385" t="str">
        <f>IFERROR(
    IF(
        OR(ISBLANK(N1433), AND(ISBLANK(L1433), ISBLANK(M1433))),
        "",
        MAX(
            1,
            IF(
                NETWORKDAYS(IF(NOT(ISBLANK(M1433)), M1433, L1433), N1433, Holiday_Dates) &lt;= 0,
                1,
                NETWORKDAYS(IF(NOT(ISBLANK(M1433)), M1433, L1433), N1433, Holiday_Dates)
                - IF(IF(NOT(ISBLANK(M1433)), M1433, L1433) = N1433, 0, 1)
            )
        )
    ),
    ""
)</f>
        <v/>
      </c>
      <c r="S1433" s="385" t="str">
        <f>IFERROR(
    IF(
        OR(ISBLANK(N1433), ISBLANK(O1433)),
        "",
        MAX(
            1,
            IF(
                NETWORKDAYS(N1433, O1433, Holiday_Dates) &lt;= 0,
                1,
                NETWORKDAYS(N1433, O1433, Holiday_Dates) - IF(N1433 = O1433, 0, 1)
            )
        )
    ),
    ""
)</f>
        <v/>
      </c>
      <c r="T1433" s="385"/>
      <c r="U1433" s="385"/>
      <c r="V1433" s="385"/>
      <c r="W1433" s="385" t="s">
        <v>4710</v>
      </c>
      <c r="X1433" s="1"/>
    </row>
    <row r="1434" spans="1:24">
      <c r="A1434" s="385" t="s">
        <v>65</v>
      </c>
      <c r="B1434" s="385" t="s">
        <v>295</v>
      </c>
      <c r="C1434" s="385" t="s">
        <v>1006</v>
      </c>
      <c r="D1434" s="385" t="s">
        <v>88</v>
      </c>
      <c r="E1434" s="385"/>
      <c r="F1434" s="385"/>
      <c r="G1434" s="385"/>
      <c r="H1434" s="385">
        <v>2024</v>
      </c>
      <c r="I1434" s="386">
        <v>45518</v>
      </c>
      <c r="J1434" s="30"/>
      <c r="K1434" s="385"/>
      <c r="L1434" s="385"/>
      <c r="M1434" s="385"/>
      <c r="N1434" s="385"/>
      <c r="O1434" s="385"/>
      <c r="P1434" s="385" t="str">
        <f>IFERROR(
    IF(
        OR(ISBLANK(I1434), ISBLANK(L1434)),
        "",
        MAX(
            1,
            IF(
                NETWORKDAYS(I1434, L1434, Holiday_Dates) &lt;= 0,
                1,
                NETWORKDAYS(I1434, L1434, Holiday_Dates) - IF(I1434 = L1434, 0, 1)
            )
        )
    ),
    ""
)</f>
        <v/>
      </c>
      <c r="Q1434" s="385" t="str">
        <f>IF(
    OR(ISBLANK(L1434), ISBLANK(M1434)),
    "",
    MAX(
        1,
        IF(
            NETWORKDAYS(L1434, M1434, Holiday_Dates) &lt;= 0,
            1,
            NETWORKDAYS(L1434, M1434, Holiday_Dates) - IF(L1434 = M1434, 0, 1)
        )
    )
)</f>
        <v/>
      </c>
      <c r="R1434" s="385" t="str">
        <f>IFERROR(
    IF(
        OR(ISBLANK(N1434), AND(ISBLANK(L1434), ISBLANK(M1434))),
        "",
        MAX(
            1,
            IF(
                NETWORKDAYS(IF(NOT(ISBLANK(M1434)), M1434, L1434), N1434, Holiday_Dates) &lt;= 0,
                1,
                NETWORKDAYS(IF(NOT(ISBLANK(M1434)), M1434, L1434), N1434, Holiday_Dates)
                - IF(IF(NOT(ISBLANK(M1434)), M1434, L1434) = N1434, 0, 1)
            )
        )
    ),
    ""
)</f>
        <v/>
      </c>
      <c r="S1434" s="385" t="str">
        <f>IFERROR(
    IF(
        OR(ISBLANK(N1434), ISBLANK(O1434)),
        "",
        MAX(
            1,
            IF(
                NETWORKDAYS(N1434, O1434, Holiday_Dates) &lt;= 0,
                1,
                NETWORKDAYS(N1434, O1434, Holiday_Dates) - IF(N1434 = O1434, 0, 1)
            )
        )
    ),
    ""
)</f>
        <v/>
      </c>
      <c r="T1434" s="385"/>
      <c r="U1434" s="385" t="s">
        <v>4</v>
      </c>
      <c r="V1434" s="385" t="s">
        <v>101</v>
      </c>
      <c r="W1434" s="385" t="s">
        <v>1436</v>
      </c>
      <c r="X1434" s="1"/>
    </row>
    <row r="1435" spans="1:24">
      <c r="A1435" s="385" t="s">
        <v>65</v>
      </c>
      <c r="B1435" s="385" t="s">
        <v>295</v>
      </c>
      <c r="C1435" s="385" t="s">
        <v>3152</v>
      </c>
      <c r="D1435" s="385" t="s">
        <v>88</v>
      </c>
      <c r="E1435" s="385"/>
      <c r="F1435" s="385"/>
      <c r="G1435" s="385"/>
      <c r="H1435" s="385">
        <v>2024</v>
      </c>
      <c r="I1435" s="386">
        <v>45541</v>
      </c>
      <c r="J1435" s="30"/>
      <c r="K1435" s="385"/>
      <c r="L1435" s="385"/>
      <c r="M1435" s="385"/>
      <c r="N1435" s="385"/>
      <c r="O1435" s="385"/>
      <c r="P1435" s="385" t="str">
        <f>IFERROR(
    IF(
        OR(ISBLANK(I1435), ISBLANK(L1435)),
        "",
        MAX(
            1,
            IF(
                NETWORKDAYS(I1435, L1435, Holiday_Dates) &lt;= 0,
                1,
                NETWORKDAYS(I1435, L1435, Holiday_Dates) - IF(I1435 = L1435, 0, 1)
            )
        )
    ),
    ""
)</f>
        <v/>
      </c>
      <c r="Q1435" s="385" t="str">
        <f>IF(
    OR(ISBLANK(L1435), ISBLANK(M1435)),
    "",
    MAX(
        1,
        IF(
            NETWORKDAYS(L1435, M1435, Holiday_Dates) &lt;= 0,
            1,
            NETWORKDAYS(L1435, M1435, Holiday_Dates) - IF(L1435 = M1435, 0, 1)
        )
    )
)</f>
        <v/>
      </c>
      <c r="R1435" s="385" t="str">
        <f>IFERROR(
    IF(
        OR(ISBLANK(N1435), AND(ISBLANK(L1435), ISBLANK(M1435))),
        "",
        MAX(
            1,
            IF(
                NETWORKDAYS(IF(NOT(ISBLANK(M1435)), M1435, L1435), N1435, Holiday_Dates) &lt;= 0,
                1,
                NETWORKDAYS(IF(NOT(ISBLANK(M1435)), M1435, L1435), N1435, Holiday_Dates)
                - IF(IF(NOT(ISBLANK(M1435)), M1435, L1435) = N1435, 0, 1)
            )
        )
    ),
    ""
)</f>
        <v/>
      </c>
      <c r="S1435" s="385" t="str">
        <f>IFERROR(
    IF(
        OR(ISBLANK(N1435), ISBLANK(O1435)),
        "",
        MAX(
            1,
            IF(
                NETWORKDAYS(N1435, O1435, Holiday_Dates) &lt;= 0,
                1,
                NETWORKDAYS(N1435, O1435, Holiday_Dates) - IF(N1435 = O1435, 0, 1)
            )
        )
    ),
    ""
)</f>
        <v/>
      </c>
      <c r="T1435" s="385"/>
      <c r="U1435" s="385" t="s">
        <v>4</v>
      </c>
      <c r="V1435" s="385" t="s">
        <v>101</v>
      </c>
      <c r="W1435" s="385" t="s">
        <v>1436</v>
      </c>
      <c r="X1435" s="1"/>
    </row>
    <row r="1436" spans="1:24">
      <c r="A1436" s="385" t="s">
        <v>65</v>
      </c>
      <c r="B1436" s="385" t="s">
        <v>295</v>
      </c>
      <c r="C1436" s="385" t="s">
        <v>3145</v>
      </c>
      <c r="D1436" s="385" t="s">
        <v>88</v>
      </c>
      <c r="E1436" s="385"/>
      <c r="F1436" s="385"/>
      <c r="G1436" s="385"/>
      <c r="H1436" s="385">
        <v>2024</v>
      </c>
      <c r="I1436" s="386">
        <v>45541</v>
      </c>
      <c r="J1436" s="30"/>
      <c r="K1436" s="385"/>
      <c r="L1436" s="385"/>
      <c r="M1436" s="385"/>
      <c r="N1436" s="385"/>
      <c r="O1436" s="385"/>
      <c r="P1436" s="385" t="str">
        <f>IFERROR(
    IF(
        OR(ISBLANK(I1436), ISBLANK(L1436)),
        "",
        MAX(
            1,
            IF(
                NETWORKDAYS(I1436, L1436, Holiday_Dates) &lt;= 0,
                1,
                NETWORKDAYS(I1436, L1436, Holiday_Dates) - IF(I1436 = L1436, 0, 1)
            )
        )
    ),
    ""
)</f>
        <v/>
      </c>
      <c r="Q1436" s="385" t="str">
        <f>IF(
    OR(ISBLANK(L1436), ISBLANK(M1436)),
    "",
    MAX(
        1,
        IF(
            NETWORKDAYS(L1436, M1436, Holiday_Dates) &lt;= 0,
            1,
            NETWORKDAYS(L1436, M1436, Holiday_Dates) - IF(L1436 = M1436, 0, 1)
        )
    )
)</f>
        <v/>
      </c>
      <c r="R1436" s="385" t="str">
        <f>IFERROR(
    IF(
        OR(ISBLANK(N1436), AND(ISBLANK(L1436), ISBLANK(M1436))),
        "",
        MAX(
            1,
            IF(
                NETWORKDAYS(IF(NOT(ISBLANK(M1436)), M1436, L1436), N1436, Holiday_Dates) &lt;= 0,
                1,
                NETWORKDAYS(IF(NOT(ISBLANK(M1436)), M1436, L1436), N1436, Holiday_Dates)
                - IF(IF(NOT(ISBLANK(M1436)), M1436, L1436) = N1436, 0, 1)
            )
        )
    ),
    ""
)</f>
        <v/>
      </c>
      <c r="S1436" s="385" t="str">
        <f>IFERROR(
    IF(
        OR(ISBLANK(N1436), ISBLANK(O1436)),
        "",
        MAX(
            1,
            IF(
                NETWORKDAYS(N1436, O1436, Holiday_Dates) &lt;= 0,
                1,
                NETWORKDAYS(N1436, O1436, Holiday_Dates) - IF(N1436 = O1436, 0, 1)
            )
        )
    ),
    ""
)</f>
        <v/>
      </c>
      <c r="T1436" s="385"/>
      <c r="U1436" s="385" t="s">
        <v>4</v>
      </c>
      <c r="V1436" s="385" t="s">
        <v>101</v>
      </c>
      <c r="W1436" s="385" t="s">
        <v>1436</v>
      </c>
      <c r="X1436" s="1"/>
    </row>
    <row r="1437" spans="1:24">
      <c r="A1437" s="385" t="s">
        <v>65</v>
      </c>
      <c r="B1437" s="385" t="s">
        <v>295</v>
      </c>
      <c r="C1437" s="385" t="s">
        <v>3154</v>
      </c>
      <c r="D1437" s="385" t="s">
        <v>88</v>
      </c>
      <c r="E1437" s="385"/>
      <c r="F1437" s="385"/>
      <c r="G1437" s="385"/>
      <c r="H1437" s="385">
        <v>2025</v>
      </c>
      <c r="I1437" s="386">
        <v>45695</v>
      </c>
      <c r="J1437" s="30" t="s">
        <v>5270</v>
      </c>
      <c r="K1437" s="385"/>
      <c r="L1437" s="385"/>
      <c r="M1437" s="385"/>
      <c r="N1437" s="385"/>
      <c r="O1437" s="385"/>
      <c r="P1437" s="385" t="str">
        <f>IFERROR(
    IF(
        OR(ISBLANK(I1437), ISBLANK(L1437)),
        "",
        MAX(
            1,
            IF(
                NETWORKDAYS(I1437, L1437, Holiday_Dates) &lt;= 0,
                1,
                NETWORKDAYS(I1437, L1437, Holiday_Dates) - IF(I1437 = L1437, 0, 1)
            )
        )
    ),
    ""
)</f>
        <v/>
      </c>
      <c r="Q1437" s="385" t="str">
        <f>IF(
    OR(ISBLANK(L1437), ISBLANK(M1437)),
    "",
    MAX(
        1,
        IF(
            NETWORKDAYS(L1437, M1437, Holiday_Dates) &lt;= 0,
            1,
            NETWORKDAYS(L1437, M1437, Holiday_Dates) - IF(L1437 = M1437, 0, 1)
        )
    )
)</f>
        <v/>
      </c>
      <c r="R1437" s="385" t="str">
        <f>IFERROR(
    IF(
        OR(ISBLANK(N1437), AND(ISBLANK(L1437), ISBLANK(M1437))),
        "",
        MAX(
            1,
            IF(
                NETWORKDAYS(IF(NOT(ISBLANK(M1437)), M1437, L1437), N1437, Holiday_Dates) &lt;= 0,
                1,
                NETWORKDAYS(IF(NOT(ISBLANK(M1437)), M1437, L1437), N1437, Holiday_Dates)
                - IF(IF(NOT(ISBLANK(M1437)), M1437, L1437) = N1437, 0, 1)
            )
        )
    ),
    ""
)</f>
        <v/>
      </c>
      <c r="S1437" s="385" t="str">
        <f>IFERROR(
    IF(
        OR(ISBLANK(N1437), ISBLANK(O1437)),
        "",
        MAX(
            1,
            IF(
                NETWORKDAYS(N1437, O1437, Holiday_Dates) &lt;= 0,
                1,
                NETWORKDAYS(N1437, O1437, Holiday_Dates) - IF(N1437 = O1437, 0, 1)
            )
        )
    ),
    ""
)</f>
        <v/>
      </c>
      <c r="T1437" s="385"/>
      <c r="U1437" s="385" t="s">
        <v>672</v>
      </c>
      <c r="V1437" s="385" t="s">
        <v>101</v>
      </c>
      <c r="W1437" s="385" t="s">
        <v>1436</v>
      </c>
      <c r="X1437" s="1"/>
    </row>
    <row r="1438" spans="1:24">
      <c r="A1438" s="385" t="s">
        <v>65</v>
      </c>
      <c r="B1438" s="385" t="s">
        <v>295</v>
      </c>
      <c r="C1438" s="385" t="s">
        <v>3155</v>
      </c>
      <c r="D1438" s="385" t="s">
        <v>88</v>
      </c>
      <c r="E1438" s="385"/>
      <c r="F1438" s="385"/>
      <c r="G1438" s="385"/>
      <c r="H1438" s="385">
        <v>2025</v>
      </c>
      <c r="I1438" s="386">
        <v>45918</v>
      </c>
      <c r="J1438" s="30" t="s">
        <v>5271</v>
      </c>
      <c r="K1438" s="385"/>
      <c r="L1438" s="385"/>
      <c r="M1438" s="385"/>
      <c r="N1438" s="385"/>
      <c r="O1438" s="385"/>
      <c r="P1438" s="385" t="str">
        <f>IFERROR(
    IF(
        OR(ISBLANK(I1438), ISBLANK(L1438)),
        "",
        MAX(
            1,
            IF(
                NETWORKDAYS(I1438, L1438, Holiday_Dates) &lt;= 0,
                1,
                NETWORKDAYS(I1438, L1438, Holiday_Dates) - IF(I1438 = L1438, 0, 1)
            )
        )
    ),
    ""
)</f>
        <v/>
      </c>
      <c r="Q1438" s="385" t="str">
        <f>IF(
    OR(ISBLANK(L1438), ISBLANK(M1438)),
    "",
    MAX(
        1,
        IF(
            NETWORKDAYS(L1438, M1438, Holiday_Dates) &lt;= 0,
            1,
            NETWORKDAYS(L1438, M1438, Holiday_Dates) - IF(L1438 = M1438, 0, 1)
        )
    )
)</f>
        <v/>
      </c>
      <c r="R1438" s="385" t="str">
        <f>IFERROR(
    IF(
        OR(ISBLANK(N1438), AND(ISBLANK(L1438), ISBLANK(M1438))),
        "",
        MAX(
            1,
            IF(
                NETWORKDAYS(IF(NOT(ISBLANK(M1438)), M1438, L1438), N1438, Holiday_Dates) &lt;= 0,
                1,
                NETWORKDAYS(IF(NOT(ISBLANK(M1438)), M1438, L1438), N1438, Holiday_Dates)
                - IF(IF(NOT(ISBLANK(M1438)), M1438, L1438) = N1438, 0, 1)
            )
        )
    ),
    ""
)</f>
        <v/>
      </c>
      <c r="S1438" s="385" t="str">
        <f>IFERROR(
    IF(
        OR(ISBLANK(N1438), ISBLANK(O1438)),
        "",
        MAX(
            1,
            IF(
                NETWORKDAYS(N1438, O1438, Holiday_Dates) &lt;= 0,
                1,
                NETWORKDAYS(N1438, O1438, Holiday_Dates) - IF(N1438 = O1438, 0, 1)
            )
        )
    ),
    ""
)</f>
        <v/>
      </c>
      <c r="T1438" s="385"/>
      <c r="U1438" s="385" t="s">
        <v>672</v>
      </c>
      <c r="V1438" s="385" t="s">
        <v>101</v>
      </c>
      <c r="W1438" s="385" t="s">
        <v>1436</v>
      </c>
      <c r="X1438" s="1"/>
    </row>
    <row r="1439" spans="1:24">
      <c r="A1439" s="385" t="s">
        <v>65</v>
      </c>
      <c r="B1439" s="385" t="s">
        <v>295</v>
      </c>
      <c r="C1439" s="385" t="s">
        <v>3156</v>
      </c>
      <c r="D1439" s="385" t="s">
        <v>88</v>
      </c>
      <c r="E1439" s="385"/>
      <c r="F1439" s="385"/>
      <c r="G1439" s="385"/>
      <c r="H1439" s="385">
        <v>2025</v>
      </c>
      <c r="I1439" s="386">
        <v>45700</v>
      </c>
      <c r="J1439" s="30" t="s">
        <v>5272</v>
      </c>
      <c r="K1439" s="385"/>
      <c r="L1439" s="385"/>
      <c r="M1439" s="385"/>
      <c r="N1439" s="385"/>
      <c r="O1439" s="385"/>
      <c r="P1439" s="385" t="str">
        <f>IFERROR(
    IF(
        OR(ISBLANK(I1439), ISBLANK(L1439)),
        "",
        MAX(
            1,
            IF(
                NETWORKDAYS(I1439, L1439, Holiday_Dates) &lt;= 0,
                1,
                NETWORKDAYS(I1439, L1439, Holiday_Dates) - IF(I1439 = L1439, 0, 1)
            )
        )
    ),
    ""
)</f>
        <v/>
      </c>
      <c r="Q1439" s="385" t="str">
        <f>IF(
    OR(ISBLANK(L1439), ISBLANK(M1439)),
    "",
    MAX(
        1,
        IF(
            NETWORKDAYS(L1439, M1439, Holiday_Dates) &lt;= 0,
            1,
            NETWORKDAYS(L1439, M1439, Holiday_Dates) - IF(L1439 = M1439, 0, 1)
        )
    )
)</f>
        <v/>
      </c>
      <c r="R1439" s="385" t="str">
        <f>IFERROR(
    IF(
        OR(ISBLANK(N1439), AND(ISBLANK(L1439), ISBLANK(M1439))),
        "",
        MAX(
            1,
            IF(
                NETWORKDAYS(IF(NOT(ISBLANK(M1439)), M1439, L1439), N1439, Holiday_Dates) &lt;= 0,
                1,
                NETWORKDAYS(IF(NOT(ISBLANK(M1439)), M1439, L1439), N1439, Holiday_Dates)
                - IF(IF(NOT(ISBLANK(M1439)), M1439, L1439) = N1439, 0, 1)
            )
        )
    ),
    ""
)</f>
        <v/>
      </c>
      <c r="S1439" s="385" t="str">
        <f>IFERROR(
    IF(
        OR(ISBLANK(N1439), ISBLANK(O1439)),
        "",
        MAX(
            1,
            IF(
                NETWORKDAYS(N1439, O1439, Holiday_Dates) &lt;= 0,
                1,
                NETWORKDAYS(N1439, O1439, Holiday_Dates) - IF(N1439 = O1439, 0, 1)
            )
        )
    ),
    ""
)</f>
        <v/>
      </c>
      <c r="T1439" s="385"/>
      <c r="U1439" s="385" t="s">
        <v>672</v>
      </c>
      <c r="V1439" s="385" t="s">
        <v>101</v>
      </c>
      <c r="W1439" s="385" t="s">
        <v>1436</v>
      </c>
      <c r="X1439" s="1"/>
    </row>
    <row r="1440" spans="1:24">
      <c r="A1440" s="385" t="s">
        <v>51</v>
      </c>
      <c r="B1440" s="385" t="s">
        <v>1364</v>
      </c>
      <c r="C1440" s="385" t="s">
        <v>3515</v>
      </c>
      <c r="D1440" s="385" t="s">
        <v>88</v>
      </c>
      <c r="E1440" s="385" t="s">
        <v>33</v>
      </c>
      <c r="F1440" s="385"/>
      <c r="G1440" s="385" t="s">
        <v>239</v>
      </c>
      <c r="H1440" s="385"/>
      <c r="I1440" s="385"/>
      <c r="J1440" s="30"/>
      <c r="K1440" s="385" t="s">
        <v>63</v>
      </c>
      <c r="L1440" s="385"/>
      <c r="M1440" s="385"/>
      <c r="N1440" s="385"/>
      <c r="O1440" s="385"/>
      <c r="P1440" s="385" t="str">
        <f>IFERROR(
    IF(
        OR(ISBLANK(I1440), ISBLANK(L1440)),
        "",
        MAX(
            1,
            IF(
                NETWORKDAYS(I1440, L1440, Holiday_Dates) &lt;= 0,
                1,
                NETWORKDAYS(I1440, L1440, Holiday_Dates) - IF(I1440 = L1440, 0, 1)
            )
        )
    ),
    ""
)</f>
        <v/>
      </c>
      <c r="Q1440" s="385" t="str">
        <f>IF(
    OR(ISBLANK(L1440), ISBLANK(M1440)),
    "",
    MAX(
        1,
        IF(
            NETWORKDAYS(L1440, M1440, Holiday_Dates) &lt;= 0,
            1,
            NETWORKDAYS(L1440, M1440, Holiday_Dates) - IF(L1440 = M1440, 0, 1)
        )
    )
)</f>
        <v/>
      </c>
      <c r="R1440" s="385" t="str">
        <f>IFERROR(
    IF(
        OR(ISBLANK(N1440), AND(ISBLANK(L1440), ISBLANK(M1440))),
        "",
        MAX(
            1,
            IF(
                NETWORKDAYS(IF(NOT(ISBLANK(M1440)), M1440, L1440), N1440, Holiday_Dates) &lt;= 0,
                1,
                NETWORKDAYS(IF(NOT(ISBLANK(M1440)), M1440, L1440), N1440, Holiday_Dates)
                - IF(IF(NOT(ISBLANK(M1440)), M1440, L1440) = N1440, 0, 1)
            )
        )
    ),
    ""
)</f>
        <v/>
      </c>
      <c r="S1440" s="385" t="str">
        <f>IFERROR(
    IF(
        OR(ISBLANK(N1440), ISBLANK(O1440)),
        "",
        MAX(
            1,
            IF(
                NETWORKDAYS(N1440, O1440, Holiday_Dates) &lt;= 0,
                1,
                NETWORKDAYS(N1440, O1440, Holiday_Dates) - IF(N1440 = O1440, 0, 1)
            )
        )
    ),
    ""
)</f>
        <v/>
      </c>
      <c r="T1440" s="385"/>
      <c r="U1440" s="385"/>
      <c r="V1440" s="385"/>
      <c r="W1440" s="385" t="s">
        <v>4710</v>
      </c>
      <c r="X1440" s="1"/>
    </row>
    <row r="1441" spans="1:24">
      <c r="A1441" s="385" t="s">
        <v>51</v>
      </c>
      <c r="B1441" s="385" t="s">
        <v>534</v>
      </c>
      <c r="C1441" s="385" t="s">
        <v>3697</v>
      </c>
      <c r="D1441" s="385" t="s">
        <v>88</v>
      </c>
      <c r="E1441" s="385" t="s">
        <v>32</v>
      </c>
      <c r="F1441" s="385"/>
      <c r="G1441" s="385" t="s">
        <v>133</v>
      </c>
      <c r="H1441" s="385"/>
      <c r="I1441" s="385"/>
      <c r="J1441" s="30"/>
      <c r="K1441" s="385" t="s">
        <v>63</v>
      </c>
      <c r="L1441" s="385"/>
      <c r="M1441" s="385"/>
      <c r="N1441" s="385"/>
      <c r="O1441" s="385"/>
      <c r="P1441" s="385" t="str">
        <f>IFERROR(
    IF(
        OR(ISBLANK(I1441), ISBLANK(L1441)),
        "",
        MAX(
            1,
            IF(
                NETWORKDAYS(I1441, L1441, Holiday_Dates) &lt;= 0,
                1,
                NETWORKDAYS(I1441, L1441, Holiday_Dates) - IF(I1441 = L1441, 0, 1)
            )
        )
    ),
    ""
)</f>
        <v/>
      </c>
      <c r="Q1441" s="385" t="str">
        <f>IF(
    OR(ISBLANK(L1441), ISBLANK(M1441)),
    "",
    MAX(
        1,
        IF(
            NETWORKDAYS(L1441, M1441, Holiday_Dates) &lt;= 0,
            1,
            NETWORKDAYS(L1441, M1441, Holiday_Dates) - IF(L1441 = M1441, 0, 1)
        )
    )
)</f>
        <v/>
      </c>
      <c r="R1441" s="385" t="str">
        <f>IFERROR(
    IF(
        OR(ISBLANK(N1441), AND(ISBLANK(L1441), ISBLANK(M1441))),
        "",
        MAX(
            1,
            IF(
                NETWORKDAYS(IF(NOT(ISBLANK(M1441)), M1441, L1441), N1441, Holiday_Dates) &lt;= 0,
                1,
                NETWORKDAYS(IF(NOT(ISBLANK(M1441)), M1441, L1441), N1441, Holiday_Dates)
                - IF(IF(NOT(ISBLANK(M1441)), M1441, L1441) = N1441, 0, 1)
            )
        )
    ),
    ""
)</f>
        <v/>
      </c>
      <c r="S1441" s="385" t="str">
        <f>IFERROR(
    IF(
        OR(ISBLANK(N1441), ISBLANK(O1441)),
        "",
        MAX(
            1,
            IF(
                NETWORKDAYS(N1441, O1441, Holiday_Dates) &lt;= 0,
                1,
                NETWORKDAYS(N1441, O1441, Holiday_Dates) - IF(N1441 = O1441, 0, 1)
            )
        )
    ),
    ""
)</f>
        <v/>
      </c>
      <c r="T1441" s="385"/>
      <c r="U1441" s="385"/>
      <c r="V1441" s="385"/>
      <c r="W1441" s="385" t="s">
        <v>4710</v>
      </c>
      <c r="X1441" s="1"/>
    </row>
    <row r="1442" spans="1:24">
      <c r="A1442" s="385" t="s">
        <v>65</v>
      </c>
      <c r="B1442" s="385" t="s">
        <v>295</v>
      </c>
      <c r="C1442" s="385" t="s">
        <v>1091</v>
      </c>
      <c r="D1442" s="385" t="s">
        <v>88</v>
      </c>
      <c r="E1442" s="385"/>
      <c r="F1442" s="385"/>
      <c r="G1442" s="385"/>
      <c r="H1442" s="385">
        <v>2025</v>
      </c>
      <c r="I1442" s="386">
        <v>45757</v>
      </c>
      <c r="J1442" s="30" t="s">
        <v>5273</v>
      </c>
      <c r="K1442" s="385"/>
      <c r="L1442" s="385"/>
      <c r="M1442" s="385"/>
      <c r="N1442" s="385"/>
      <c r="O1442" s="385"/>
      <c r="P1442" s="385" t="str">
        <f>IFERROR(
    IF(
        OR(ISBLANK(I1442), ISBLANK(L1442)),
        "",
        MAX(
            1,
            IF(
                NETWORKDAYS(I1442, L1442, Holiday_Dates) &lt;= 0,
                1,
                NETWORKDAYS(I1442, L1442, Holiday_Dates) - IF(I1442 = L1442, 0, 1)
            )
        )
    ),
    ""
)</f>
        <v/>
      </c>
      <c r="Q1442" s="385" t="str">
        <f>IF(
    OR(ISBLANK(L1442), ISBLANK(M1442)),
    "",
    MAX(
        1,
        IF(
            NETWORKDAYS(L1442, M1442, Holiday_Dates) &lt;= 0,
            1,
            NETWORKDAYS(L1442, M1442, Holiday_Dates) - IF(L1442 = M1442, 0, 1)
        )
    )
)</f>
        <v/>
      </c>
      <c r="R1442" s="385" t="str">
        <f>IFERROR(
    IF(
        OR(ISBLANK(N1442), AND(ISBLANK(L1442), ISBLANK(M1442))),
        "",
        MAX(
            1,
            IF(
                NETWORKDAYS(IF(NOT(ISBLANK(M1442)), M1442, L1442), N1442, Holiday_Dates) &lt;= 0,
                1,
                NETWORKDAYS(IF(NOT(ISBLANK(M1442)), M1442, L1442), N1442, Holiday_Dates)
                - IF(IF(NOT(ISBLANK(M1442)), M1442, L1442) = N1442, 0, 1)
            )
        )
    ),
    ""
)</f>
        <v/>
      </c>
      <c r="S1442" s="385" t="str">
        <f>IFERROR(
    IF(
        OR(ISBLANK(N1442), ISBLANK(O1442)),
        "",
        MAX(
            1,
            IF(
                NETWORKDAYS(N1442, O1442, Holiday_Dates) &lt;= 0,
                1,
                NETWORKDAYS(N1442, O1442, Holiday_Dates) - IF(N1442 = O1442, 0, 1)
            )
        )
    ),
    ""
)</f>
        <v/>
      </c>
      <c r="T1442" s="385"/>
      <c r="U1442" s="385" t="s">
        <v>672</v>
      </c>
      <c r="V1442" s="385" t="s">
        <v>101</v>
      </c>
      <c r="W1442" s="385" t="s">
        <v>1436</v>
      </c>
      <c r="X1442" s="1"/>
    </row>
    <row r="1443" spans="1:24">
      <c r="A1443" s="385" t="s">
        <v>51</v>
      </c>
      <c r="B1443" s="385" t="s">
        <v>534</v>
      </c>
      <c r="C1443" s="385" t="s">
        <v>1923</v>
      </c>
      <c r="D1443" s="385" t="s">
        <v>88</v>
      </c>
      <c r="E1443" s="385" t="s">
        <v>32</v>
      </c>
      <c r="F1443" s="385"/>
      <c r="G1443" s="385" t="s">
        <v>133</v>
      </c>
      <c r="H1443" s="385"/>
      <c r="I1443" s="385"/>
      <c r="J1443" s="30"/>
      <c r="K1443" s="385" t="s">
        <v>63</v>
      </c>
      <c r="L1443" s="385"/>
      <c r="M1443" s="385"/>
      <c r="N1443" s="385"/>
      <c r="O1443" s="385"/>
      <c r="P1443" s="385" t="str">
        <f>IFERROR(
    IF(
        OR(ISBLANK(I1443), ISBLANK(L1443)),
        "",
        MAX(
            1,
            IF(
                NETWORKDAYS(I1443, L1443, Holiday_Dates) &lt;= 0,
                1,
                NETWORKDAYS(I1443, L1443, Holiday_Dates) - IF(I1443 = L1443, 0, 1)
            )
        )
    ),
    ""
)</f>
        <v/>
      </c>
      <c r="Q1443" s="385" t="str">
        <f>IF(
    OR(ISBLANK(L1443), ISBLANK(M1443)),
    "",
    MAX(
        1,
        IF(
            NETWORKDAYS(L1443, M1443, Holiday_Dates) &lt;= 0,
            1,
            NETWORKDAYS(L1443, M1443, Holiday_Dates) - IF(L1443 = M1443, 0, 1)
        )
    )
)</f>
        <v/>
      </c>
      <c r="R1443" s="385" t="str">
        <f>IFERROR(
    IF(
        OR(ISBLANK(N1443), AND(ISBLANK(L1443), ISBLANK(M1443))),
        "",
        MAX(
            1,
            IF(
                NETWORKDAYS(IF(NOT(ISBLANK(M1443)), M1443, L1443), N1443, Holiday_Dates) &lt;= 0,
                1,
                NETWORKDAYS(IF(NOT(ISBLANK(M1443)), M1443, L1443), N1443, Holiday_Dates)
                - IF(IF(NOT(ISBLANK(M1443)), M1443, L1443) = N1443, 0, 1)
            )
        )
    ),
    ""
)</f>
        <v/>
      </c>
      <c r="S1443" s="385" t="str">
        <f>IFERROR(
    IF(
        OR(ISBLANK(N1443), ISBLANK(O1443)),
        "",
        MAX(
            1,
            IF(
                NETWORKDAYS(N1443, O1443, Holiday_Dates) &lt;= 0,
                1,
                NETWORKDAYS(N1443, O1443, Holiday_Dates) - IF(N1443 = O1443, 0, 1)
            )
        )
    ),
    ""
)</f>
        <v/>
      </c>
      <c r="T1443" s="385"/>
      <c r="U1443" s="385"/>
      <c r="V1443" s="385"/>
      <c r="W1443" s="385" t="s">
        <v>4710</v>
      </c>
      <c r="X1443" s="1"/>
    </row>
    <row r="1444" spans="1:24">
      <c r="A1444" s="385" t="s">
        <v>65</v>
      </c>
      <c r="B1444" s="385" t="s">
        <v>295</v>
      </c>
      <c r="C1444" s="385" t="s">
        <v>3158</v>
      </c>
      <c r="D1444" s="385" t="s">
        <v>88</v>
      </c>
      <c r="E1444" s="385"/>
      <c r="F1444" s="385"/>
      <c r="G1444" s="385"/>
      <c r="H1444" s="385">
        <v>2025</v>
      </c>
      <c r="I1444" s="386">
        <v>45744</v>
      </c>
      <c r="J1444" s="30" t="s">
        <v>5274</v>
      </c>
      <c r="K1444" s="385"/>
      <c r="L1444" s="385"/>
      <c r="M1444" s="385"/>
      <c r="N1444" s="385"/>
      <c r="O1444" s="385"/>
      <c r="P1444" s="385" t="str">
        <f>IFERROR(
    IF(
        OR(ISBLANK(I1444), ISBLANK(L1444)),
        "",
        MAX(
            1,
            IF(
                NETWORKDAYS(I1444, L1444, Holiday_Dates) &lt;= 0,
                1,
                NETWORKDAYS(I1444, L1444, Holiday_Dates) - IF(I1444 = L1444, 0, 1)
            )
        )
    ),
    ""
)</f>
        <v/>
      </c>
      <c r="Q1444" s="385" t="str">
        <f>IF(
    OR(ISBLANK(L1444), ISBLANK(M1444)),
    "",
    MAX(
        1,
        IF(
            NETWORKDAYS(L1444, M1444, Holiday_Dates) &lt;= 0,
            1,
            NETWORKDAYS(L1444, M1444, Holiday_Dates) - IF(L1444 = M1444, 0, 1)
        )
    )
)</f>
        <v/>
      </c>
      <c r="R1444" s="385" t="str">
        <f>IFERROR(
    IF(
        OR(ISBLANK(N1444), AND(ISBLANK(L1444), ISBLANK(M1444))),
        "",
        MAX(
            1,
            IF(
                NETWORKDAYS(IF(NOT(ISBLANK(M1444)), M1444, L1444), N1444, Holiday_Dates) &lt;= 0,
                1,
                NETWORKDAYS(IF(NOT(ISBLANK(M1444)), M1444, L1444), N1444, Holiday_Dates)
                - IF(IF(NOT(ISBLANK(M1444)), M1444, L1444) = N1444, 0, 1)
            )
        )
    ),
    ""
)</f>
        <v/>
      </c>
      <c r="S1444" s="385" t="str">
        <f>IFERROR(
    IF(
        OR(ISBLANK(N1444), ISBLANK(O1444)),
        "",
        MAX(
            1,
            IF(
                NETWORKDAYS(N1444, O1444, Holiday_Dates) &lt;= 0,
                1,
                NETWORKDAYS(N1444, O1444, Holiday_Dates) - IF(N1444 = O1444, 0, 1)
            )
        )
    ),
    ""
)</f>
        <v/>
      </c>
      <c r="T1444" s="385"/>
      <c r="U1444" s="385" t="s">
        <v>672</v>
      </c>
      <c r="V1444" s="385" t="s">
        <v>101</v>
      </c>
      <c r="W1444" s="385" t="s">
        <v>1436</v>
      </c>
      <c r="X1444" s="1"/>
    </row>
    <row r="1445" spans="1:24">
      <c r="A1445" s="385" t="s">
        <v>65</v>
      </c>
      <c r="B1445" s="385" t="s">
        <v>295</v>
      </c>
      <c r="C1445" s="385" t="s">
        <v>3159</v>
      </c>
      <c r="D1445" s="385" t="s">
        <v>88</v>
      </c>
      <c r="E1445" s="385"/>
      <c r="F1445" s="385"/>
      <c r="G1445" s="385"/>
      <c r="H1445" s="385">
        <v>2025</v>
      </c>
      <c r="I1445" s="386">
        <v>45744</v>
      </c>
      <c r="J1445" s="30" t="s">
        <v>5275</v>
      </c>
      <c r="K1445" s="385"/>
      <c r="L1445" s="385"/>
      <c r="M1445" s="385"/>
      <c r="N1445" s="385"/>
      <c r="O1445" s="385"/>
      <c r="P1445" s="385" t="str">
        <f>IFERROR(
    IF(
        OR(ISBLANK(I1445), ISBLANK(L1445)),
        "",
        MAX(
            1,
            IF(
                NETWORKDAYS(I1445, L1445, Holiday_Dates) &lt;= 0,
                1,
                NETWORKDAYS(I1445, L1445, Holiday_Dates) - IF(I1445 = L1445, 0, 1)
            )
        )
    ),
    ""
)</f>
        <v/>
      </c>
      <c r="Q1445" s="385" t="str">
        <f>IF(
    OR(ISBLANK(L1445), ISBLANK(M1445)),
    "",
    MAX(
        1,
        IF(
            NETWORKDAYS(L1445, M1445, Holiday_Dates) &lt;= 0,
            1,
            NETWORKDAYS(L1445, M1445, Holiday_Dates) - IF(L1445 = M1445, 0, 1)
        )
    )
)</f>
        <v/>
      </c>
      <c r="R1445" s="385" t="str">
        <f>IFERROR(
    IF(
        OR(ISBLANK(N1445), AND(ISBLANK(L1445), ISBLANK(M1445))),
        "",
        MAX(
            1,
            IF(
                NETWORKDAYS(IF(NOT(ISBLANK(M1445)), M1445, L1445), N1445, Holiday_Dates) &lt;= 0,
                1,
                NETWORKDAYS(IF(NOT(ISBLANK(M1445)), M1445, L1445), N1445, Holiday_Dates)
                - IF(IF(NOT(ISBLANK(M1445)), M1445, L1445) = N1445, 0, 1)
            )
        )
    ),
    ""
)</f>
        <v/>
      </c>
      <c r="S1445" s="385" t="str">
        <f>IFERROR(
    IF(
        OR(ISBLANK(N1445), ISBLANK(O1445)),
        "",
        MAX(
            1,
            IF(
                NETWORKDAYS(N1445, O1445, Holiday_Dates) &lt;= 0,
                1,
                NETWORKDAYS(N1445, O1445, Holiday_Dates) - IF(N1445 = O1445, 0, 1)
            )
        )
    ),
    ""
)</f>
        <v/>
      </c>
      <c r="T1445" s="385"/>
      <c r="U1445" s="385" t="s">
        <v>672</v>
      </c>
      <c r="V1445" s="385" t="s">
        <v>101</v>
      </c>
      <c r="W1445" s="385" t="s">
        <v>1436</v>
      </c>
      <c r="X1445" s="1"/>
    </row>
    <row r="1446" spans="1:24">
      <c r="A1446" s="385" t="s">
        <v>65</v>
      </c>
      <c r="B1446" s="385" t="s">
        <v>295</v>
      </c>
      <c r="C1446" s="385" t="s">
        <v>1074</v>
      </c>
      <c r="D1446" s="385" t="s">
        <v>88</v>
      </c>
      <c r="E1446" s="385"/>
      <c r="F1446" s="385"/>
      <c r="G1446" s="385"/>
      <c r="H1446" s="385">
        <v>2024</v>
      </c>
      <c r="I1446" s="386">
        <v>45385</v>
      </c>
      <c r="J1446" s="30"/>
      <c r="K1446" s="385"/>
      <c r="L1446" s="385"/>
      <c r="M1446" s="385"/>
      <c r="N1446" s="385"/>
      <c r="O1446" s="385"/>
      <c r="P1446" s="385" t="str">
        <f>IFERROR(
    IF(
        OR(ISBLANK(I1446), ISBLANK(L1446)),
        "",
        MAX(
            1,
            IF(
                NETWORKDAYS(I1446, L1446, Holiday_Dates) &lt;= 0,
                1,
                NETWORKDAYS(I1446, L1446, Holiday_Dates) - IF(I1446 = L1446, 0, 1)
            )
        )
    ),
    ""
)</f>
        <v/>
      </c>
      <c r="Q1446" s="385" t="str">
        <f>IF(
    OR(ISBLANK(L1446), ISBLANK(M1446)),
    "",
    MAX(
        1,
        IF(
            NETWORKDAYS(L1446, M1446, Holiday_Dates) &lt;= 0,
            1,
            NETWORKDAYS(L1446, M1446, Holiday_Dates) - IF(L1446 = M1446, 0, 1)
        )
    )
)</f>
        <v/>
      </c>
      <c r="R1446" s="385" t="str">
        <f>IFERROR(
    IF(
        OR(ISBLANK(N1446), AND(ISBLANK(L1446), ISBLANK(M1446))),
        "",
        MAX(
            1,
            IF(
                NETWORKDAYS(IF(NOT(ISBLANK(M1446)), M1446, L1446), N1446, Holiday_Dates) &lt;= 0,
                1,
                NETWORKDAYS(IF(NOT(ISBLANK(M1446)), M1446, L1446), N1446, Holiday_Dates)
                - IF(IF(NOT(ISBLANK(M1446)), M1446, L1446) = N1446, 0, 1)
            )
        )
    ),
    ""
)</f>
        <v/>
      </c>
      <c r="S1446" s="385" t="str">
        <f>IFERROR(
    IF(
        OR(ISBLANK(N1446), ISBLANK(O1446)),
        "",
        MAX(
            1,
            IF(
                NETWORKDAYS(N1446, O1446, Holiday_Dates) &lt;= 0,
                1,
                NETWORKDAYS(N1446, O1446, Holiday_Dates) - IF(N1446 = O1446, 0, 1)
            )
        )
    ),
    ""
)</f>
        <v/>
      </c>
      <c r="T1446" s="385"/>
      <c r="U1446" s="385" t="s">
        <v>672</v>
      </c>
      <c r="V1446" s="385"/>
      <c r="W1446" s="385" t="s">
        <v>1436</v>
      </c>
      <c r="X1446" s="1"/>
    </row>
    <row r="1447" spans="1:24">
      <c r="A1447" s="385" t="s">
        <v>65</v>
      </c>
      <c r="B1447" s="385" t="s">
        <v>295</v>
      </c>
      <c r="C1447" s="385" t="s">
        <v>3161</v>
      </c>
      <c r="D1447" s="385" t="s">
        <v>88</v>
      </c>
      <c r="E1447" s="385"/>
      <c r="F1447" s="385"/>
      <c r="G1447" s="385"/>
      <c r="H1447" s="385">
        <v>2025</v>
      </c>
      <c r="I1447" s="386">
        <v>45918</v>
      </c>
      <c r="J1447" s="30" t="s">
        <v>5276</v>
      </c>
      <c r="K1447" s="385"/>
      <c r="L1447" s="385"/>
      <c r="M1447" s="385"/>
      <c r="N1447" s="385"/>
      <c r="O1447" s="385"/>
      <c r="P1447" s="385" t="str">
        <f>IFERROR(
    IF(
        OR(ISBLANK(I1447), ISBLANK(L1447)),
        "",
        MAX(
            1,
            IF(
                NETWORKDAYS(I1447, L1447, Holiday_Dates) &lt;= 0,
                1,
                NETWORKDAYS(I1447, L1447, Holiday_Dates) - IF(I1447 = L1447, 0, 1)
            )
        )
    ),
    ""
)</f>
        <v/>
      </c>
      <c r="Q1447" s="385" t="str">
        <f>IF(
    OR(ISBLANK(L1447), ISBLANK(M1447)),
    "",
    MAX(
        1,
        IF(
            NETWORKDAYS(L1447, M1447, Holiday_Dates) &lt;= 0,
            1,
            NETWORKDAYS(L1447, M1447, Holiday_Dates) - IF(L1447 = M1447, 0, 1)
        )
    )
)</f>
        <v/>
      </c>
      <c r="R1447" s="385" t="str">
        <f>IFERROR(
    IF(
        OR(ISBLANK(N1447), AND(ISBLANK(L1447), ISBLANK(M1447))),
        "",
        MAX(
            1,
            IF(
                NETWORKDAYS(IF(NOT(ISBLANK(M1447)), M1447, L1447), N1447, Holiday_Dates) &lt;= 0,
                1,
                NETWORKDAYS(IF(NOT(ISBLANK(M1447)), M1447, L1447), N1447, Holiday_Dates)
                - IF(IF(NOT(ISBLANK(M1447)), M1447, L1447) = N1447, 0, 1)
            )
        )
    ),
    ""
)</f>
        <v/>
      </c>
      <c r="S1447" s="385" t="str">
        <f>IFERROR(
    IF(
        OR(ISBLANK(N1447), ISBLANK(O1447)),
        "",
        MAX(
            1,
            IF(
                NETWORKDAYS(N1447, O1447, Holiday_Dates) &lt;= 0,
                1,
                NETWORKDAYS(N1447, O1447, Holiday_Dates) - IF(N1447 = O1447, 0, 1)
            )
        )
    ),
    ""
)</f>
        <v/>
      </c>
      <c r="T1447" s="385"/>
      <c r="U1447" s="385" t="s">
        <v>672</v>
      </c>
      <c r="V1447" s="385" t="s">
        <v>101</v>
      </c>
      <c r="W1447" s="385" t="s">
        <v>1436</v>
      </c>
      <c r="X1447" s="1"/>
    </row>
    <row r="1448" spans="1:24">
      <c r="A1448" s="385" t="s">
        <v>51</v>
      </c>
      <c r="B1448" s="385" t="s">
        <v>534</v>
      </c>
      <c r="C1448" s="385" t="s">
        <v>3698</v>
      </c>
      <c r="D1448" s="385" t="s">
        <v>88</v>
      </c>
      <c r="E1448" s="385" t="s">
        <v>32</v>
      </c>
      <c r="F1448" s="385"/>
      <c r="G1448" s="385" t="s">
        <v>133</v>
      </c>
      <c r="H1448" s="385"/>
      <c r="I1448" s="385"/>
      <c r="J1448" s="30"/>
      <c r="K1448" s="385" t="s">
        <v>63</v>
      </c>
      <c r="L1448" s="385"/>
      <c r="M1448" s="385"/>
      <c r="N1448" s="385"/>
      <c r="O1448" s="385"/>
      <c r="P1448" s="385" t="str">
        <f>IFERROR(
    IF(
        OR(ISBLANK(I1448), ISBLANK(L1448)),
        "",
        MAX(
            1,
            IF(
                NETWORKDAYS(I1448, L1448, Holiday_Dates) &lt;= 0,
                1,
                NETWORKDAYS(I1448, L1448, Holiday_Dates) - IF(I1448 = L1448, 0, 1)
            )
        )
    ),
    ""
)</f>
        <v/>
      </c>
      <c r="Q1448" s="385" t="str">
        <f>IF(
    OR(ISBLANK(L1448), ISBLANK(M1448)),
    "",
    MAX(
        1,
        IF(
            NETWORKDAYS(L1448, M1448, Holiday_Dates) &lt;= 0,
            1,
            NETWORKDAYS(L1448, M1448, Holiday_Dates) - IF(L1448 = M1448, 0, 1)
        )
    )
)</f>
        <v/>
      </c>
      <c r="R1448" s="385" t="str">
        <f>IFERROR(
    IF(
        OR(ISBLANK(N1448), AND(ISBLANK(L1448), ISBLANK(M1448))),
        "",
        MAX(
            1,
            IF(
                NETWORKDAYS(IF(NOT(ISBLANK(M1448)), M1448, L1448), N1448, Holiday_Dates) &lt;= 0,
                1,
                NETWORKDAYS(IF(NOT(ISBLANK(M1448)), M1448, L1448), N1448, Holiday_Dates)
                - IF(IF(NOT(ISBLANK(M1448)), M1448, L1448) = N1448, 0, 1)
            )
        )
    ),
    ""
)</f>
        <v/>
      </c>
      <c r="S1448" s="385" t="str">
        <f>IFERROR(
    IF(
        OR(ISBLANK(N1448), ISBLANK(O1448)),
        "",
        MAX(
            1,
            IF(
                NETWORKDAYS(N1448, O1448, Holiday_Dates) &lt;= 0,
                1,
                NETWORKDAYS(N1448, O1448, Holiday_Dates) - IF(N1448 = O1448, 0, 1)
            )
        )
    ),
    ""
)</f>
        <v/>
      </c>
      <c r="T1448" s="385"/>
      <c r="U1448" s="385"/>
      <c r="V1448" s="385"/>
      <c r="W1448" s="385" t="s">
        <v>4710</v>
      </c>
      <c r="X1448" s="1"/>
    </row>
    <row r="1449" spans="1:24">
      <c r="A1449" s="385" t="s">
        <v>65</v>
      </c>
      <c r="B1449" s="385" t="s">
        <v>295</v>
      </c>
      <c r="C1449" s="385" t="s">
        <v>881</v>
      </c>
      <c r="D1449" s="385" t="s">
        <v>88</v>
      </c>
      <c r="E1449" s="385"/>
      <c r="F1449" s="385"/>
      <c r="G1449" s="385"/>
      <c r="H1449" s="385">
        <v>2025</v>
      </c>
      <c r="I1449" s="386">
        <v>45727</v>
      </c>
      <c r="J1449" s="30" t="s">
        <v>5277</v>
      </c>
      <c r="K1449" s="385"/>
      <c r="L1449" s="385"/>
      <c r="M1449" s="385"/>
      <c r="N1449" s="385"/>
      <c r="O1449" s="385"/>
      <c r="P1449" s="385" t="str">
        <f>IFERROR(
    IF(
        OR(ISBLANK(I1449), ISBLANK(L1449)),
        "",
        MAX(
            1,
            IF(
                NETWORKDAYS(I1449, L1449, Holiday_Dates) &lt;= 0,
                1,
                NETWORKDAYS(I1449, L1449, Holiday_Dates) - IF(I1449 = L1449, 0, 1)
            )
        )
    ),
    ""
)</f>
        <v/>
      </c>
      <c r="Q1449" s="385" t="str">
        <f>IF(
    OR(ISBLANK(L1449), ISBLANK(M1449)),
    "",
    MAX(
        1,
        IF(
            NETWORKDAYS(L1449, M1449, Holiday_Dates) &lt;= 0,
            1,
            NETWORKDAYS(L1449, M1449, Holiday_Dates) - IF(L1449 = M1449, 0, 1)
        )
    )
)</f>
        <v/>
      </c>
      <c r="R1449" s="385" t="str">
        <f>IFERROR(
    IF(
        OR(ISBLANK(N1449), AND(ISBLANK(L1449), ISBLANK(M1449))),
        "",
        MAX(
            1,
            IF(
                NETWORKDAYS(IF(NOT(ISBLANK(M1449)), M1449, L1449), N1449, Holiday_Dates) &lt;= 0,
                1,
                NETWORKDAYS(IF(NOT(ISBLANK(M1449)), M1449, L1449), N1449, Holiday_Dates)
                - IF(IF(NOT(ISBLANK(M1449)), M1449, L1449) = N1449, 0, 1)
            )
        )
    ),
    ""
)</f>
        <v/>
      </c>
      <c r="S1449" s="385" t="str">
        <f>IFERROR(
    IF(
        OR(ISBLANK(N1449), ISBLANK(O1449)),
        "",
        MAX(
            1,
            IF(
                NETWORKDAYS(N1449, O1449, Holiday_Dates) &lt;= 0,
                1,
                NETWORKDAYS(N1449, O1449, Holiday_Dates) - IF(N1449 = O1449, 0, 1)
            )
        )
    ),
    ""
)</f>
        <v/>
      </c>
      <c r="T1449" s="385"/>
      <c r="U1449" s="385" t="s">
        <v>672</v>
      </c>
      <c r="V1449" s="385" t="s">
        <v>101</v>
      </c>
      <c r="W1449" s="385" t="s">
        <v>1436</v>
      </c>
      <c r="X1449" s="1"/>
    </row>
    <row r="1450" spans="1:24">
      <c r="A1450" s="385" t="s">
        <v>65</v>
      </c>
      <c r="B1450" s="385" t="s">
        <v>295</v>
      </c>
      <c r="C1450" s="385" t="s">
        <v>2234</v>
      </c>
      <c r="D1450" s="385" t="s">
        <v>88</v>
      </c>
      <c r="E1450" s="385"/>
      <c r="F1450" s="385"/>
      <c r="G1450" s="385"/>
      <c r="H1450" s="385">
        <v>2025</v>
      </c>
      <c r="I1450" s="386">
        <v>45730</v>
      </c>
      <c r="J1450" s="30" t="s">
        <v>5278</v>
      </c>
      <c r="K1450" s="385"/>
      <c r="L1450" s="385"/>
      <c r="M1450" s="385"/>
      <c r="N1450" s="385"/>
      <c r="O1450" s="385"/>
      <c r="P1450" s="385" t="str">
        <f>IFERROR(
    IF(
        OR(ISBLANK(I1450), ISBLANK(L1450)),
        "",
        MAX(
            1,
            IF(
                NETWORKDAYS(I1450, L1450, Holiday_Dates) &lt;= 0,
                1,
                NETWORKDAYS(I1450, L1450, Holiday_Dates) - IF(I1450 = L1450, 0, 1)
            )
        )
    ),
    ""
)</f>
        <v/>
      </c>
      <c r="Q1450" s="385" t="str">
        <f>IF(
    OR(ISBLANK(L1450), ISBLANK(M1450)),
    "",
    MAX(
        1,
        IF(
            NETWORKDAYS(L1450, M1450, Holiday_Dates) &lt;= 0,
            1,
            NETWORKDAYS(L1450, M1450, Holiday_Dates) - IF(L1450 = M1450, 0, 1)
        )
    )
)</f>
        <v/>
      </c>
      <c r="R1450" s="385" t="str">
        <f>IFERROR(
    IF(
        OR(ISBLANK(N1450), AND(ISBLANK(L1450), ISBLANK(M1450))),
        "",
        MAX(
            1,
            IF(
                NETWORKDAYS(IF(NOT(ISBLANK(M1450)), M1450, L1450), N1450, Holiday_Dates) &lt;= 0,
                1,
                NETWORKDAYS(IF(NOT(ISBLANK(M1450)), M1450, L1450), N1450, Holiday_Dates)
                - IF(IF(NOT(ISBLANK(M1450)), M1450, L1450) = N1450, 0, 1)
            )
        )
    ),
    ""
)</f>
        <v/>
      </c>
      <c r="S1450" s="385" t="str">
        <f>IFERROR(
    IF(
        OR(ISBLANK(N1450), ISBLANK(O1450)),
        "",
        MAX(
            1,
            IF(
                NETWORKDAYS(N1450, O1450, Holiday_Dates) &lt;= 0,
                1,
                NETWORKDAYS(N1450, O1450, Holiday_Dates) - IF(N1450 = O1450, 0, 1)
            )
        )
    ),
    ""
)</f>
        <v/>
      </c>
      <c r="T1450" s="385"/>
      <c r="U1450" s="385" t="s">
        <v>672</v>
      </c>
      <c r="V1450" s="385" t="s">
        <v>101</v>
      </c>
      <c r="W1450" s="385" t="s">
        <v>1436</v>
      </c>
      <c r="X1450" s="1"/>
    </row>
    <row r="1451" spans="1:24">
      <c r="A1451" s="385" t="s">
        <v>65</v>
      </c>
      <c r="B1451" s="385" t="s">
        <v>295</v>
      </c>
      <c r="C1451" s="385" t="s">
        <v>526</v>
      </c>
      <c r="D1451" s="385" t="s">
        <v>88</v>
      </c>
      <c r="E1451" s="385"/>
      <c r="F1451" s="385"/>
      <c r="G1451" s="385"/>
      <c r="H1451" s="385">
        <v>2025</v>
      </c>
      <c r="I1451" s="386">
        <v>45714</v>
      </c>
      <c r="J1451" s="30" t="s">
        <v>5279</v>
      </c>
      <c r="K1451" s="385"/>
      <c r="L1451" s="385"/>
      <c r="M1451" s="385"/>
      <c r="N1451" s="385"/>
      <c r="O1451" s="385"/>
      <c r="P1451" s="385" t="str">
        <f>IFERROR(
    IF(
        OR(ISBLANK(I1451), ISBLANK(L1451)),
        "",
        MAX(
            1,
            IF(
                NETWORKDAYS(I1451, L1451, Holiday_Dates) &lt;= 0,
                1,
                NETWORKDAYS(I1451, L1451, Holiday_Dates) - IF(I1451 = L1451, 0, 1)
            )
        )
    ),
    ""
)</f>
        <v/>
      </c>
      <c r="Q1451" s="385" t="str">
        <f>IF(
    OR(ISBLANK(L1451), ISBLANK(M1451)),
    "",
    MAX(
        1,
        IF(
            NETWORKDAYS(L1451, M1451, Holiday_Dates) &lt;= 0,
            1,
            NETWORKDAYS(L1451, M1451, Holiday_Dates) - IF(L1451 = M1451, 0, 1)
        )
    )
)</f>
        <v/>
      </c>
      <c r="R1451" s="385" t="str">
        <f>IFERROR(
    IF(
        OR(ISBLANK(N1451), AND(ISBLANK(L1451), ISBLANK(M1451))),
        "",
        MAX(
            1,
            IF(
                NETWORKDAYS(IF(NOT(ISBLANK(M1451)), M1451, L1451), N1451, Holiday_Dates) &lt;= 0,
                1,
                NETWORKDAYS(IF(NOT(ISBLANK(M1451)), M1451, L1451), N1451, Holiday_Dates)
                - IF(IF(NOT(ISBLANK(M1451)), M1451, L1451) = N1451, 0, 1)
            )
        )
    ),
    ""
)</f>
        <v/>
      </c>
      <c r="S1451" s="385" t="str">
        <f>IFERROR(
    IF(
        OR(ISBLANK(N1451), ISBLANK(O1451)),
        "",
        MAX(
            1,
            IF(
                NETWORKDAYS(N1451, O1451, Holiday_Dates) &lt;= 0,
                1,
                NETWORKDAYS(N1451, O1451, Holiday_Dates) - IF(N1451 = O1451, 0, 1)
            )
        )
    ),
    ""
)</f>
        <v/>
      </c>
      <c r="T1451" s="385"/>
      <c r="U1451" s="385" t="s">
        <v>672</v>
      </c>
      <c r="V1451" s="385" t="s">
        <v>101</v>
      </c>
      <c r="W1451" s="385" t="s">
        <v>1436</v>
      </c>
      <c r="X1451" s="1"/>
    </row>
    <row r="1452" spans="1:24">
      <c r="A1452" s="385" t="s">
        <v>51</v>
      </c>
      <c r="B1452" s="385" t="s">
        <v>534</v>
      </c>
      <c r="C1452" s="385" t="s">
        <v>3699</v>
      </c>
      <c r="D1452" s="385" t="s">
        <v>88</v>
      </c>
      <c r="E1452" s="385" t="s">
        <v>32</v>
      </c>
      <c r="F1452" s="385"/>
      <c r="G1452" s="385" t="s">
        <v>133</v>
      </c>
      <c r="H1452" s="385"/>
      <c r="I1452" s="385"/>
      <c r="J1452" s="30"/>
      <c r="K1452" s="385" t="s">
        <v>63</v>
      </c>
      <c r="L1452" s="385"/>
      <c r="M1452" s="385"/>
      <c r="N1452" s="385"/>
      <c r="O1452" s="385"/>
      <c r="P1452" s="385" t="str">
        <f>IFERROR(
    IF(
        OR(ISBLANK(I1452), ISBLANK(L1452)),
        "",
        MAX(
            1,
            IF(
                NETWORKDAYS(I1452, L1452, Holiday_Dates) &lt;= 0,
                1,
                NETWORKDAYS(I1452, L1452, Holiday_Dates) - IF(I1452 = L1452, 0, 1)
            )
        )
    ),
    ""
)</f>
        <v/>
      </c>
      <c r="Q1452" s="385" t="str">
        <f>IF(
    OR(ISBLANK(L1452), ISBLANK(M1452)),
    "",
    MAX(
        1,
        IF(
            NETWORKDAYS(L1452, M1452, Holiday_Dates) &lt;= 0,
            1,
            NETWORKDAYS(L1452, M1452, Holiday_Dates) - IF(L1452 = M1452, 0, 1)
        )
    )
)</f>
        <v/>
      </c>
      <c r="R1452" s="385" t="str">
        <f>IFERROR(
    IF(
        OR(ISBLANK(N1452), AND(ISBLANK(L1452), ISBLANK(M1452))),
        "",
        MAX(
            1,
            IF(
                NETWORKDAYS(IF(NOT(ISBLANK(M1452)), M1452, L1452), N1452, Holiday_Dates) &lt;= 0,
                1,
                NETWORKDAYS(IF(NOT(ISBLANK(M1452)), M1452, L1452), N1452, Holiday_Dates)
                - IF(IF(NOT(ISBLANK(M1452)), M1452, L1452) = N1452, 0, 1)
            )
        )
    ),
    ""
)</f>
        <v/>
      </c>
      <c r="S1452" s="385" t="str">
        <f>IFERROR(
    IF(
        OR(ISBLANK(N1452), ISBLANK(O1452)),
        "",
        MAX(
            1,
            IF(
                NETWORKDAYS(N1452, O1452, Holiday_Dates) &lt;= 0,
                1,
                NETWORKDAYS(N1452, O1452, Holiday_Dates) - IF(N1452 = O1452, 0, 1)
            )
        )
    ),
    ""
)</f>
        <v/>
      </c>
      <c r="T1452" s="385"/>
      <c r="U1452" s="385"/>
      <c r="V1452" s="385"/>
      <c r="W1452" s="385" t="s">
        <v>4710</v>
      </c>
      <c r="X1452" s="1"/>
    </row>
    <row r="1453" spans="1:24">
      <c r="A1453" s="385" t="s">
        <v>51</v>
      </c>
      <c r="B1453" s="385" t="s">
        <v>534</v>
      </c>
      <c r="C1453" s="385" t="s">
        <v>3700</v>
      </c>
      <c r="D1453" s="385" t="s">
        <v>88</v>
      </c>
      <c r="E1453" s="385" t="s">
        <v>32</v>
      </c>
      <c r="F1453" s="385"/>
      <c r="G1453" s="385" t="s">
        <v>133</v>
      </c>
      <c r="H1453" s="385"/>
      <c r="I1453" s="385"/>
      <c r="J1453" s="30"/>
      <c r="K1453" s="385" t="s">
        <v>63</v>
      </c>
      <c r="L1453" s="385"/>
      <c r="M1453" s="385"/>
      <c r="N1453" s="385"/>
      <c r="O1453" s="385"/>
      <c r="P1453" s="385" t="str">
        <f>IFERROR(
    IF(
        OR(ISBLANK(I1453), ISBLANK(L1453)),
        "",
        MAX(
            1,
            IF(
                NETWORKDAYS(I1453, L1453, Holiday_Dates) &lt;= 0,
                1,
                NETWORKDAYS(I1453, L1453, Holiday_Dates) - IF(I1453 = L1453, 0, 1)
            )
        )
    ),
    ""
)</f>
        <v/>
      </c>
      <c r="Q1453" s="385" t="str">
        <f>IF(
    OR(ISBLANK(L1453), ISBLANK(M1453)),
    "",
    MAX(
        1,
        IF(
            NETWORKDAYS(L1453, M1453, Holiday_Dates) &lt;= 0,
            1,
            NETWORKDAYS(L1453, M1453, Holiday_Dates) - IF(L1453 = M1453, 0, 1)
        )
    )
)</f>
        <v/>
      </c>
      <c r="R1453" s="385" t="str">
        <f>IFERROR(
    IF(
        OR(ISBLANK(N1453), AND(ISBLANK(L1453), ISBLANK(M1453))),
        "",
        MAX(
            1,
            IF(
                NETWORKDAYS(IF(NOT(ISBLANK(M1453)), M1453, L1453), N1453, Holiday_Dates) &lt;= 0,
                1,
                NETWORKDAYS(IF(NOT(ISBLANK(M1453)), M1453, L1453), N1453, Holiday_Dates)
                - IF(IF(NOT(ISBLANK(M1453)), M1453, L1453) = N1453, 0, 1)
            )
        )
    ),
    ""
)</f>
        <v/>
      </c>
      <c r="S1453" s="385" t="str">
        <f>IFERROR(
    IF(
        OR(ISBLANK(N1453), ISBLANK(O1453)),
        "",
        MAX(
            1,
            IF(
                NETWORKDAYS(N1453, O1453, Holiday_Dates) &lt;= 0,
                1,
                NETWORKDAYS(N1453, O1453, Holiday_Dates) - IF(N1453 = O1453, 0, 1)
            )
        )
    ),
    ""
)</f>
        <v/>
      </c>
      <c r="T1453" s="385"/>
      <c r="U1453" s="385"/>
      <c r="V1453" s="385"/>
      <c r="W1453" s="385" t="s">
        <v>4710</v>
      </c>
      <c r="X1453" s="1"/>
    </row>
    <row r="1454" spans="1:24">
      <c r="A1454" s="385" t="s">
        <v>51</v>
      </c>
      <c r="B1454" s="385" t="s">
        <v>535</v>
      </c>
      <c r="C1454" s="385" t="s">
        <v>2647</v>
      </c>
      <c r="D1454" s="385" t="s">
        <v>88</v>
      </c>
      <c r="E1454" s="385" t="s">
        <v>32</v>
      </c>
      <c r="F1454" s="385"/>
      <c r="G1454" s="385" t="s">
        <v>133</v>
      </c>
      <c r="H1454" s="385"/>
      <c r="I1454" s="385"/>
      <c r="J1454" s="30"/>
      <c r="K1454" s="385" t="s">
        <v>63</v>
      </c>
      <c r="L1454" s="385"/>
      <c r="M1454" s="385"/>
      <c r="N1454" s="385"/>
      <c r="O1454" s="385"/>
      <c r="P1454" s="385" t="str">
        <f>IFERROR(
    IF(
        OR(ISBLANK(I1454), ISBLANK(L1454)),
        "",
        MAX(
            1,
            IF(
                NETWORKDAYS(I1454, L1454, Holiday_Dates) &lt;= 0,
                1,
                NETWORKDAYS(I1454, L1454, Holiday_Dates) - IF(I1454 = L1454, 0, 1)
            )
        )
    ),
    ""
)</f>
        <v/>
      </c>
      <c r="Q1454" s="385" t="str">
        <f>IF(
    OR(ISBLANK(L1454), ISBLANK(M1454)),
    "",
    MAX(
        1,
        IF(
            NETWORKDAYS(L1454, M1454, Holiday_Dates) &lt;= 0,
            1,
            NETWORKDAYS(L1454, M1454, Holiday_Dates) - IF(L1454 = M1454, 0, 1)
        )
    )
)</f>
        <v/>
      </c>
      <c r="R1454" s="385" t="str">
        <f>IFERROR(
    IF(
        OR(ISBLANK(N1454), AND(ISBLANK(L1454), ISBLANK(M1454))),
        "",
        MAX(
            1,
            IF(
                NETWORKDAYS(IF(NOT(ISBLANK(M1454)), M1454, L1454), N1454, Holiday_Dates) &lt;= 0,
                1,
                NETWORKDAYS(IF(NOT(ISBLANK(M1454)), M1454, L1454), N1454, Holiday_Dates)
                - IF(IF(NOT(ISBLANK(M1454)), M1454, L1454) = N1454, 0, 1)
            )
        )
    ),
    ""
)</f>
        <v/>
      </c>
      <c r="S1454" s="385" t="str">
        <f>IFERROR(
    IF(
        OR(ISBLANK(N1454), ISBLANK(O1454)),
        "",
        MAX(
            1,
            IF(
                NETWORKDAYS(N1454, O1454, Holiday_Dates) &lt;= 0,
                1,
                NETWORKDAYS(N1454, O1454, Holiday_Dates) - IF(N1454 = O1454, 0, 1)
            )
        )
    ),
    ""
)</f>
        <v/>
      </c>
      <c r="T1454" s="385"/>
      <c r="U1454" s="385"/>
      <c r="V1454" s="385"/>
      <c r="W1454" s="385" t="s">
        <v>4710</v>
      </c>
      <c r="X1454" s="1"/>
    </row>
    <row r="1455" spans="1:24">
      <c r="A1455" s="385" t="s">
        <v>51</v>
      </c>
      <c r="B1455" s="385" t="s">
        <v>535</v>
      </c>
      <c r="C1455" s="385" t="s">
        <v>3716</v>
      </c>
      <c r="D1455" s="385" t="s">
        <v>88</v>
      </c>
      <c r="E1455" s="385" t="s">
        <v>32</v>
      </c>
      <c r="F1455" s="385"/>
      <c r="G1455" s="385" t="s">
        <v>133</v>
      </c>
      <c r="H1455" s="385"/>
      <c r="I1455" s="385"/>
      <c r="J1455" s="30"/>
      <c r="K1455" s="385" t="s">
        <v>63</v>
      </c>
      <c r="L1455" s="385"/>
      <c r="M1455" s="385"/>
      <c r="N1455" s="385"/>
      <c r="O1455" s="385"/>
      <c r="P1455" s="385" t="str">
        <f>IFERROR(
    IF(
        OR(ISBLANK(I1455), ISBLANK(L1455)),
        "",
        MAX(
            1,
            IF(
                NETWORKDAYS(I1455, L1455, Holiday_Dates) &lt;= 0,
                1,
                NETWORKDAYS(I1455, L1455, Holiday_Dates) - IF(I1455 = L1455, 0, 1)
            )
        )
    ),
    ""
)</f>
        <v/>
      </c>
      <c r="Q1455" s="385" t="str">
        <f>IF(
    OR(ISBLANK(L1455), ISBLANK(M1455)),
    "",
    MAX(
        1,
        IF(
            NETWORKDAYS(L1455, M1455, Holiday_Dates) &lt;= 0,
            1,
            NETWORKDAYS(L1455, M1455, Holiday_Dates) - IF(L1455 = M1455, 0, 1)
        )
    )
)</f>
        <v/>
      </c>
      <c r="R1455" s="385" t="str">
        <f>IFERROR(
    IF(
        OR(ISBLANK(N1455), AND(ISBLANK(L1455), ISBLANK(M1455))),
        "",
        MAX(
            1,
            IF(
                NETWORKDAYS(IF(NOT(ISBLANK(M1455)), M1455, L1455), N1455, Holiday_Dates) &lt;= 0,
                1,
                NETWORKDAYS(IF(NOT(ISBLANK(M1455)), M1455, L1455), N1455, Holiday_Dates)
                - IF(IF(NOT(ISBLANK(M1455)), M1455, L1455) = N1455, 0, 1)
            )
        )
    ),
    ""
)</f>
        <v/>
      </c>
      <c r="S1455" s="385" t="str">
        <f>IFERROR(
    IF(
        OR(ISBLANK(N1455), ISBLANK(O1455)),
        "",
        MAX(
            1,
            IF(
                NETWORKDAYS(N1455, O1455, Holiday_Dates) &lt;= 0,
                1,
                NETWORKDAYS(N1455, O1455, Holiday_Dates) - IF(N1455 = O1455, 0, 1)
            )
        )
    ),
    ""
)</f>
        <v/>
      </c>
      <c r="T1455" s="385"/>
      <c r="U1455" s="385"/>
      <c r="V1455" s="385"/>
      <c r="W1455" s="385" t="s">
        <v>4710</v>
      </c>
      <c r="X1455" s="1"/>
    </row>
    <row r="1456" spans="1:24">
      <c r="A1456" s="385" t="s">
        <v>51</v>
      </c>
      <c r="B1456" s="385" t="s">
        <v>535</v>
      </c>
      <c r="C1456" s="385" t="s">
        <v>3719</v>
      </c>
      <c r="D1456" s="385" t="s">
        <v>88</v>
      </c>
      <c r="E1456" s="385" t="s">
        <v>32</v>
      </c>
      <c r="F1456" s="385"/>
      <c r="G1456" s="385" t="s">
        <v>133</v>
      </c>
      <c r="H1456" s="385"/>
      <c r="I1456" s="385"/>
      <c r="J1456" s="30"/>
      <c r="K1456" s="385" t="s">
        <v>63</v>
      </c>
      <c r="L1456" s="385"/>
      <c r="M1456" s="385"/>
      <c r="N1456" s="385"/>
      <c r="O1456" s="385"/>
      <c r="P1456" s="385" t="str">
        <f>IFERROR(
    IF(
        OR(ISBLANK(I1456), ISBLANK(L1456)),
        "",
        MAX(
            1,
            IF(
                NETWORKDAYS(I1456, L1456, Holiday_Dates) &lt;= 0,
                1,
                NETWORKDAYS(I1456, L1456, Holiday_Dates) - IF(I1456 = L1456, 0, 1)
            )
        )
    ),
    ""
)</f>
        <v/>
      </c>
      <c r="Q1456" s="385" t="str">
        <f>IF(
    OR(ISBLANK(L1456), ISBLANK(M1456)),
    "",
    MAX(
        1,
        IF(
            NETWORKDAYS(L1456, M1456, Holiday_Dates) &lt;= 0,
            1,
            NETWORKDAYS(L1456, M1456, Holiday_Dates) - IF(L1456 = M1456, 0, 1)
        )
    )
)</f>
        <v/>
      </c>
      <c r="R1456" s="385" t="str">
        <f>IFERROR(
    IF(
        OR(ISBLANK(N1456), AND(ISBLANK(L1456), ISBLANK(M1456))),
        "",
        MAX(
            1,
            IF(
                NETWORKDAYS(IF(NOT(ISBLANK(M1456)), M1456, L1456), N1456, Holiday_Dates) &lt;= 0,
                1,
                NETWORKDAYS(IF(NOT(ISBLANK(M1456)), M1456, L1456), N1456, Holiday_Dates)
                - IF(IF(NOT(ISBLANK(M1456)), M1456, L1456) = N1456, 0, 1)
            )
        )
    ),
    ""
)</f>
        <v/>
      </c>
      <c r="S1456" s="385" t="str">
        <f>IFERROR(
    IF(
        OR(ISBLANK(N1456), ISBLANK(O1456)),
        "",
        MAX(
            1,
            IF(
                NETWORKDAYS(N1456, O1456, Holiday_Dates) &lt;= 0,
                1,
                NETWORKDAYS(N1456, O1456, Holiday_Dates) - IF(N1456 = O1456, 0, 1)
            )
        )
    ),
    ""
)</f>
        <v/>
      </c>
      <c r="T1456" s="385"/>
      <c r="U1456" s="385"/>
      <c r="V1456" s="385"/>
      <c r="W1456" s="385" t="s">
        <v>4710</v>
      </c>
      <c r="X1456" s="1"/>
    </row>
    <row r="1457" spans="1:24">
      <c r="A1457" s="385" t="s">
        <v>51</v>
      </c>
      <c r="B1457" s="385" t="s">
        <v>535</v>
      </c>
      <c r="C1457" s="385" t="s">
        <v>439</v>
      </c>
      <c r="D1457" s="385" t="s">
        <v>88</v>
      </c>
      <c r="E1457" s="385" t="s">
        <v>32</v>
      </c>
      <c r="F1457" s="385"/>
      <c r="G1457" s="385" t="s">
        <v>133</v>
      </c>
      <c r="H1457" s="385"/>
      <c r="I1457" s="385"/>
      <c r="J1457" s="30"/>
      <c r="K1457" s="385" t="s">
        <v>63</v>
      </c>
      <c r="L1457" s="385"/>
      <c r="M1457" s="385"/>
      <c r="N1457" s="385"/>
      <c r="O1457" s="385"/>
      <c r="P1457" s="385" t="str">
        <f>IFERROR(
    IF(
        OR(ISBLANK(I1457), ISBLANK(L1457)),
        "",
        MAX(
            1,
            IF(
                NETWORKDAYS(I1457, L1457, Holiday_Dates) &lt;= 0,
                1,
                NETWORKDAYS(I1457, L1457, Holiday_Dates) - IF(I1457 = L1457, 0, 1)
            )
        )
    ),
    ""
)</f>
        <v/>
      </c>
      <c r="Q1457" s="385" t="str">
        <f>IF(
    OR(ISBLANK(L1457), ISBLANK(M1457)),
    "",
    MAX(
        1,
        IF(
            NETWORKDAYS(L1457, M1457, Holiday_Dates) &lt;= 0,
            1,
            NETWORKDAYS(L1457, M1457, Holiday_Dates) - IF(L1457 = M1457, 0, 1)
        )
    )
)</f>
        <v/>
      </c>
      <c r="R1457" s="385" t="str">
        <f>IFERROR(
    IF(
        OR(ISBLANK(N1457), AND(ISBLANK(L1457), ISBLANK(M1457))),
        "",
        MAX(
            1,
            IF(
                NETWORKDAYS(IF(NOT(ISBLANK(M1457)), M1457, L1457), N1457, Holiday_Dates) &lt;= 0,
                1,
                NETWORKDAYS(IF(NOT(ISBLANK(M1457)), M1457, L1457), N1457, Holiday_Dates)
                - IF(IF(NOT(ISBLANK(M1457)), M1457, L1457) = N1457, 0, 1)
            )
        )
    ),
    ""
)</f>
        <v/>
      </c>
      <c r="S1457" s="385" t="str">
        <f>IFERROR(
    IF(
        OR(ISBLANK(N1457), ISBLANK(O1457)),
        "",
        MAX(
            1,
            IF(
                NETWORKDAYS(N1457, O1457, Holiday_Dates) &lt;= 0,
                1,
                NETWORKDAYS(N1457, O1457, Holiday_Dates) - IF(N1457 = O1457, 0, 1)
            )
        )
    ),
    ""
)</f>
        <v/>
      </c>
      <c r="T1457" s="385"/>
      <c r="U1457" s="385"/>
      <c r="V1457" s="385"/>
      <c r="W1457" s="385" t="s">
        <v>4710</v>
      </c>
      <c r="X1457" s="1"/>
    </row>
    <row r="1458" spans="1:24">
      <c r="A1458" s="385" t="s">
        <v>51</v>
      </c>
      <c r="B1458" s="385" t="s">
        <v>535</v>
      </c>
      <c r="C1458" s="385" t="s">
        <v>427</v>
      </c>
      <c r="D1458" s="385" t="s">
        <v>88</v>
      </c>
      <c r="E1458" s="385" t="s">
        <v>32</v>
      </c>
      <c r="F1458" s="385"/>
      <c r="G1458" s="385" t="s">
        <v>133</v>
      </c>
      <c r="H1458" s="385"/>
      <c r="I1458" s="385"/>
      <c r="J1458" s="30"/>
      <c r="K1458" s="385" t="s">
        <v>63</v>
      </c>
      <c r="L1458" s="385"/>
      <c r="M1458" s="385"/>
      <c r="N1458" s="385"/>
      <c r="O1458" s="385"/>
      <c r="P1458" s="385" t="str">
        <f>IFERROR(
    IF(
        OR(ISBLANK(I1458), ISBLANK(L1458)),
        "",
        MAX(
            1,
            IF(
                NETWORKDAYS(I1458, L1458, Holiday_Dates) &lt;= 0,
                1,
                NETWORKDAYS(I1458, L1458, Holiday_Dates) - IF(I1458 = L1458, 0, 1)
            )
        )
    ),
    ""
)</f>
        <v/>
      </c>
      <c r="Q1458" s="385" t="str">
        <f>IF(
    OR(ISBLANK(L1458), ISBLANK(M1458)),
    "",
    MAX(
        1,
        IF(
            NETWORKDAYS(L1458, M1458, Holiday_Dates) &lt;= 0,
            1,
            NETWORKDAYS(L1458, M1458, Holiday_Dates) - IF(L1458 = M1458, 0, 1)
        )
    )
)</f>
        <v/>
      </c>
      <c r="R1458" s="385" t="str">
        <f>IFERROR(
    IF(
        OR(ISBLANK(N1458), AND(ISBLANK(L1458), ISBLANK(M1458))),
        "",
        MAX(
            1,
            IF(
                NETWORKDAYS(IF(NOT(ISBLANK(M1458)), M1458, L1458), N1458, Holiday_Dates) &lt;= 0,
                1,
                NETWORKDAYS(IF(NOT(ISBLANK(M1458)), M1458, L1458), N1458, Holiday_Dates)
                - IF(IF(NOT(ISBLANK(M1458)), M1458, L1458) = N1458, 0, 1)
            )
        )
    ),
    ""
)</f>
        <v/>
      </c>
      <c r="S1458" s="385" t="str">
        <f>IFERROR(
    IF(
        OR(ISBLANK(N1458), ISBLANK(O1458)),
        "",
        MAX(
            1,
            IF(
                NETWORKDAYS(N1458, O1458, Holiday_Dates) &lt;= 0,
                1,
                NETWORKDAYS(N1458, O1458, Holiday_Dates) - IF(N1458 = O1458, 0, 1)
            )
        )
    ),
    ""
)</f>
        <v/>
      </c>
      <c r="T1458" s="385"/>
      <c r="U1458" s="385"/>
      <c r="V1458" s="385"/>
      <c r="W1458" s="385" t="s">
        <v>4710</v>
      </c>
      <c r="X1458" s="1"/>
    </row>
    <row r="1459" spans="1:24">
      <c r="A1459" s="385" t="s">
        <v>51</v>
      </c>
      <c r="B1459" s="385" t="s">
        <v>312</v>
      </c>
      <c r="C1459" s="385" t="s">
        <v>763</v>
      </c>
      <c r="D1459" s="385" t="s">
        <v>88</v>
      </c>
      <c r="E1459" s="385" t="s">
        <v>142</v>
      </c>
      <c r="F1459" s="385"/>
      <c r="G1459" s="385" t="s">
        <v>239</v>
      </c>
      <c r="H1459" s="385"/>
      <c r="I1459" s="385"/>
      <c r="J1459" s="30"/>
      <c r="K1459" s="385" t="s">
        <v>63</v>
      </c>
      <c r="L1459" s="385"/>
      <c r="M1459" s="385"/>
      <c r="N1459" s="385"/>
      <c r="O1459" s="385"/>
      <c r="P1459" s="385" t="str">
        <f>IFERROR(
    IF(
        OR(ISBLANK(I1459), ISBLANK(L1459)),
        "",
        MAX(
            1,
            IF(
                NETWORKDAYS(I1459, L1459, Holiday_Dates) &lt;= 0,
                1,
                NETWORKDAYS(I1459, L1459, Holiday_Dates) - IF(I1459 = L1459, 0, 1)
            )
        )
    ),
    ""
)</f>
        <v/>
      </c>
      <c r="Q1459" s="385" t="str">
        <f>IF(
    OR(ISBLANK(L1459), ISBLANK(M1459)),
    "",
    MAX(
        1,
        IF(
            NETWORKDAYS(L1459, M1459, Holiday_Dates) &lt;= 0,
            1,
            NETWORKDAYS(L1459, M1459, Holiday_Dates) - IF(L1459 = M1459, 0, 1)
        )
    )
)</f>
        <v/>
      </c>
      <c r="R1459" s="385" t="str">
        <f>IFERROR(
    IF(
        OR(ISBLANK(N1459), AND(ISBLANK(L1459), ISBLANK(M1459))),
        "",
        MAX(
            1,
            IF(
                NETWORKDAYS(IF(NOT(ISBLANK(M1459)), M1459, L1459), N1459, Holiday_Dates) &lt;= 0,
                1,
                NETWORKDAYS(IF(NOT(ISBLANK(M1459)), M1459, L1459), N1459, Holiday_Dates)
                - IF(IF(NOT(ISBLANK(M1459)), M1459, L1459) = N1459, 0, 1)
            )
        )
    ),
    ""
)</f>
        <v/>
      </c>
      <c r="S1459" s="385" t="str">
        <f>IFERROR(
    IF(
        OR(ISBLANK(N1459), ISBLANK(O1459)),
        "",
        MAX(
            1,
            IF(
                NETWORKDAYS(N1459, O1459, Holiday_Dates) &lt;= 0,
                1,
                NETWORKDAYS(N1459, O1459, Holiday_Dates) - IF(N1459 = O1459, 0, 1)
            )
        )
    ),
    ""
)</f>
        <v/>
      </c>
      <c r="T1459" s="385"/>
      <c r="U1459" s="385"/>
      <c r="V1459" s="385"/>
      <c r="W1459" s="385" t="s">
        <v>4710</v>
      </c>
      <c r="X1459" s="1"/>
    </row>
    <row r="1460" spans="1:24">
      <c r="A1460" s="385" t="s">
        <v>51</v>
      </c>
      <c r="B1460" s="385" t="s">
        <v>312</v>
      </c>
      <c r="C1460" s="385" t="s">
        <v>3747</v>
      </c>
      <c r="D1460" s="385" t="s">
        <v>88</v>
      </c>
      <c r="E1460" s="385" t="s">
        <v>142</v>
      </c>
      <c r="F1460" s="385"/>
      <c r="G1460" s="385" t="s">
        <v>239</v>
      </c>
      <c r="H1460" s="385"/>
      <c r="I1460" s="385"/>
      <c r="J1460" s="30"/>
      <c r="K1460" s="385" t="s">
        <v>63</v>
      </c>
      <c r="L1460" s="385"/>
      <c r="M1460" s="385"/>
      <c r="N1460" s="385"/>
      <c r="O1460" s="385"/>
      <c r="P1460" s="385" t="str">
        <f>IFERROR(
    IF(
        OR(ISBLANK(I1460), ISBLANK(L1460)),
        "",
        MAX(
            1,
            IF(
                NETWORKDAYS(I1460, L1460, Holiday_Dates) &lt;= 0,
                1,
                NETWORKDAYS(I1460, L1460, Holiday_Dates) - IF(I1460 = L1460, 0, 1)
            )
        )
    ),
    ""
)</f>
        <v/>
      </c>
      <c r="Q1460" s="385" t="str">
        <f>IF(
    OR(ISBLANK(L1460), ISBLANK(M1460)),
    "",
    MAX(
        1,
        IF(
            NETWORKDAYS(L1460, M1460, Holiday_Dates) &lt;= 0,
            1,
            NETWORKDAYS(L1460, M1460, Holiday_Dates) - IF(L1460 = M1460, 0, 1)
        )
    )
)</f>
        <v/>
      </c>
      <c r="R1460" s="385" t="str">
        <f>IFERROR(
    IF(
        OR(ISBLANK(N1460), AND(ISBLANK(L1460), ISBLANK(M1460))),
        "",
        MAX(
            1,
            IF(
                NETWORKDAYS(IF(NOT(ISBLANK(M1460)), M1460, L1460), N1460, Holiday_Dates) &lt;= 0,
                1,
                NETWORKDAYS(IF(NOT(ISBLANK(M1460)), M1460, L1460), N1460, Holiday_Dates)
                - IF(IF(NOT(ISBLANK(M1460)), M1460, L1460) = N1460, 0, 1)
            )
        )
    ),
    ""
)</f>
        <v/>
      </c>
      <c r="S1460" s="385" t="str">
        <f>IFERROR(
    IF(
        OR(ISBLANK(N1460), ISBLANK(O1460)),
        "",
        MAX(
            1,
            IF(
                NETWORKDAYS(N1460, O1460, Holiday_Dates) &lt;= 0,
                1,
                NETWORKDAYS(N1460, O1460, Holiday_Dates) - IF(N1460 = O1460, 0, 1)
            )
        )
    ),
    ""
)</f>
        <v/>
      </c>
      <c r="T1460" s="385"/>
      <c r="U1460" s="385"/>
      <c r="V1460" s="385"/>
      <c r="W1460" s="385" t="s">
        <v>4710</v>
      </c>
      <c r="X1460" s="1"/>
    </row>
    <row r="1461" spans="1:24">
      <c r="A1461" s="385" t="s">
        <v>51</v>
      </c>
      <c r="B1461" s="385" t="s">
        <v>312</v>
      </c>
      <c r="C1461" s="385" t="s">
        <v>3749</v>
      </c>
      <c r="D1461" s="385" t="s">
        <v>88</v>
      </c>
      <c r="E1461" s="385" t="s">
        <v>142</v>
      </c>
      <c r="F1461" s="385"/>
      <c r="G1461" s="385" t="s">
        <v>239</v>
      </c>
      <c r="H1461" s="385"/>
      <c r="I1461" s="385"/>
      <c r="J1461" s="30"/>
      <c r="K1461" s="385" t="s">
        <v>63</v>
      </c>
      <c r="L1461" s="385"/>
      <c r="M1461" s="385"/>
      <c r="N1461" s="385"/>
      <c r="O1461" s="385"/>
      <c r="P1461" s="385" t="str">
        <f>IFERROR(
    IF(
        OR(ISBLANK(I1461), ISBLANK(L1461)),
        "",
        MAX(
            1,
            IF(
                NETWORKDAYS(I1461, L1461, Holiday_Dates) &lt;= 0,
                1,
                NETWORKDAYS(I1461, L1461, Holiday_Dates) - IF(I1461 = L1461, 0, 1)
            )
        )
    ),
    ""
)</f>
        <v/>
      </c>
      <c r="Q1461" s="385" t="str">
        <f>IF(
    OR(ISBLANK(L1461), ISBLANK(M1461)),
    "",
    MAX(
        1,
        IF(
            NETWORKDAYS(L1461, M1461, Holiday_Dates) &lt;= 0,
            1,
            NETWORKDAYS(L1461, M1461, Holiday_Dates) - IF(L1461 = M1461, 0, 1)
        )
    )
)</f>
        <v/>
      </c>
      <c r="R1461" s="385" t="str">
        <f>IFERROR(
    IF(
        OR(ISBLANK(N1461), AND(ISBLANK(L1461), ISBLANK(M1461))),
        "",
        MAX(
            1,
            IF(
                NETWORKDAYS(IF(NOT(ISBLANK(M1461)), M1461, L1461), N1461, Holiday_Dates) &lt;= 0,
                1,
                NETWORKDAYS(IF(NOT(ISBLANK(M1461)), M1461, L1461), N1461, Holiday_Dates)
                - IF(IF(NOT(ISBLANK(M1461)), M1461, L1461) = N1461, 0, 1)
            )
        )
    ),
    ""
)</f>
        <v/>
      </c>
      <c r="S1461" s="385" t="str">
        <f>IFERROR(
    IF(
        OR(ISBLANK(N1461), ISBLANK(O1461)),
        "",
        MAX(
            1,
            IF(
                NETWORKDAYS(N1461, O1461, Holiday_Dates) &lt;= 0,
                1,
                NETWORKDAYS(N1461, O1461, Holiday_Dates) - IF(N1461 = O1461, 0, 1)
            )
        )
    ),
    ""
)</f>
        <v/>
      </c>
      <c r="T1461" s="385"/>
      <c r="U1461" s="385"/>
      <c r="V1461" s="385"/>
      <c r="W1461" s="385" t="s">
        <v>4710</v>
      </c>
      <c r="X1461" s="1"/>
    </row>
    <row r="1462" spans="1:24">
      <c r="A1462" s="385" t="s">
        <v>51</v>
      </c>
      <c r="B1462" s="385" t="s">
        <v>312</v>
      </c>
      <c r="C1462" s="385" t="s">
        <v>3754</v>
      </c>
      <c r="D1462" s="385" t="s">
        <v>88</v>
      </c>
      <c r="E1462" s="385" t="s">
        <v>142</v>
      </c>
      <c r="F1462" s="385"/>
      <c r="G1462" s="385" t="s">
        <v>239</v>
      </c>
      <c r="H1462" s="385"/>
      <c r="I1462" s="385"/>
      <c r="J1462" s="30"/>
      <c r="K1462" s="385" t="s">
        <v>63</v>
      </c>
      <c r="L1462" s="385"/>
      <c r="M1462" s="385"/>
      <c r="N1462" s="385"/>
      <c r="O1462" s="385"/>
      <c r="P1462" s="385" t="str">
        <f>IFERROR(
    IF(
        OR(ISBLANK(I1462), ISBLANK(L1462)),
        "",
        MAX(
            1,
            IF(
                NETWORKDAYS(I1462, L1462, Holiday_Dates) &lt;= 0,
                1,
                NETWORKDAYS(I1462, L1462, Holiday_Dates) - IF(I1462 = L1462, 0, 1)
            )
        )
    ),
    ""
)</f>
        <v/>
      </c>
      <c r="Q1462" s="385" t="str">
        <f>IF(
    OR(ISBLANK(L1462), ISBLANK(M1462)),
    "",
    MAX(
        1,
        IF(
            NETWORKDAYS(L1462, M1462, Holiday_Dates) &lt;= 0,
            1,
            NETWORKDAYS(L1462, M1462, Holiday_Dates) - IF(L1462 = M1462, 0, 1)
        )
    )
)</f>
        <v/>
      </c>
      <c r="R1462" s="385" t="str">
        <f>IFERROR(
    IF(
        OR(ISBLANK(N1462), AND(ISBLANK(L1462), ISBLANK(M1462))),
        "",
        MAX(
            1,
            IF(
                NETWORKDAYS(IF(NOT(ISBLANK(M1462)), M1462, L1462), N1462, Holiday_Dates) &lt;= 0,
                1,
                NETWORKDAYS(IF(NOT(ISBLANK(M1462)), M1462, L1462), N1462, Holiday_Dates)
                - IF(IF(NOT(ISBLANK(M1462)), M1462, L1462) = N1462, 0, 1)
            )
        )
    ),
    ""
)</f>
        <v/>
      </c>
      <c r="S1462" s="385" t="str">
        <f>IFERROR(
    IF(
        OR(ISBLANK(N1462), ISBLANK(O1462)),
        "",
        MAX(
            1,
            IF(
                NETWORKDAYS(N1462, O1462, Holiday_Dates) &lt;= 0,
                1,
                NETWORKDAYS(N1462, O1462, Holiday_Dates) - IF(N1462 = O1462, 0, 1)
            )
        )
    ),
    ""
)</f>
        <v/>
      </c>
      <c r="T1462" s="385"/>
      <c r="U1462" s="385"/>
      <c r="V1462" s="385"/>
      <c r="W1462" s="385" t="s">
        <v>4710</v>
      </c>
      <c r="X1462" s="1"/>
    </row>
    <row r="1463" spans="1:24">
      <c r="A1463" s="385" t="s">
        <v>51</v>
      </c>
      <c r="B1463" s="385" t="s">
        <v>312</v>
      </c>
      <c r="C1463" s="385" t="s">
        <v>3752</v>
      </c>
      <c r="D1463" s="385" t="s">
        <v>88</v>
      </c>
      <c r="E1463" s="385" t="s">
        <v>142</v>
      </c>
      <c r="F1463" s="385"/>
      <c r="G1463" s="385" t="s">
        <v>239</v>
      </c>
      <c r="H1463" s="385"/>
      <c r="I1463" s="385"/>
      <c r="J1463" s="30"/>
      <c r="K1463" s="385" t="s">
        <v>63</v>
      </c>
      <c r="L1463" s="385"/>
      <c r="M1463" s="385"/>
      <c r="N1463" s="385"/>
      <c r="O1463" s="385"/>
      <c r="P1463" s="385" t="str">
        <f>IFERROR(
    IF(
        OR(ISBLANK(I1463), ISBLANK(L1463)),
        "",
        MAX(
            1,
            IF(
                NETWORKDAYS(I1463, L1463, Holiday_Dates) &lt;= 0,
                1,
                NETWORKDAYS(I1463, L1463, Holiday_Dates) - IF(I1463 = L1463, 0, 1)
            )
        )
    ),
    ""
)</f>
        <v/>
      </c>
      <c r="Q1463" s="385" t="str">
        <f>IF(
    OR(ISBLANK(L1463), ISBLANK(M1463)),
    "",
    MAX(
        1,
        IF(
            NETWORKDAYS(L1463, M1463, Holiday_Dates) &lt;= 0,
            1,
            NETWORKDAYS(L1463, M1463, Holiday_Dates) - IF(L1463 = M1463, 0, 1)
        )
    )
)</f>
        <v/>
      </c>
      <c r="R1463" s="385" t="str">
        <f>IFERROR(
    IF(
        OR(ISBLANK(N1463), AND(ISBLANK(L1463), ISBLANK(M1463))),
        "",
        MAX(
            1,
            IF(
                NETWORKDAYS(IF(NOT(ISBLANK(M1463)), M1463, L1463), N1463, Holiday_Dates) &lt;= 0,
                1,
                NETWORKDAYS(IF(NOT(ISBLANK(M1463)), M1463, L1463), N1463, Holiday_Dates)
                - IF(IF(NOT(ISBLANK(M1463)), M1463, L1463) = N1463, 0, 1)
            )
        )
    ),
    ""
)</f>
        <v/>
      </c>
      <c r="S1463" s="385" t="str">
        <f>IFERROR(
    IF(
        OR(ISBLANK(N1463), ISBLANK(O1463)),
        "",
        MAX(
            1,
            IF(
                NETWORKDAYS(N1463, O1463, Holiday_Dates) &lt;= 0,
                1,
                NETWORKDAYS(N1463, O1463, Holiday_Dates) - IF(N1463 = O1463, 0, 1)
            )
        )
    ),
    ""
)</f>
        <v/>
      </c>
      <c r="T1463" s="385"/>
      <c r="U1463" s="385"/>
      <c r="V1463" s="385"/>
      <c r="W1463" s="385" t="s">
        <v>4710</v>
      </c>
      <c r="X1463" s="1"/>
    </row>
    <row r="1464" spans="1:24">
      <c r="A1464" s="385" t="s">
        <v>51</v>
      </c>
      <c r="B1464" s="385" t="s">
        <v>537</v>
      </c>
      <c r="C1464" s="385" t="s">
        <v>250</v>
      </c>
      <c r="D1464" s="385" t="s">
        <v>88</v>
      </c>
      <c r="E1464" s="385" t="s">
        <v>32</v>
      </c>
      <c r="F1464" s="385"/>
      <c r="G1464" s="385" t="s">
        <v>133</v>
      </c>
      <c r="H1464" s="385"/>
      <c r="I1464" s="385"/>
      <c r="J1464" s="30"/>
      <c r="K1464" s="385" t="s">
        <v>63</v>
      </c>
      <c r="L1464" s="385"/>
      <c r="M1464" s="385"/>
      <c r="N1464" s="385"/>
      <c r="O1464" s="385"/>
      <c r="P1464" s="385" t="str">
        <f>IFERROR(
    IF(
        OR(ISBLANK(I1464), ISBLANK(L1464)),
        "",
        MAX(
            1,
            IF(
                NETWORKDAYS(I1464, L1464, Holiday_Dates) &lt;= 0,
                1,
                NETWORKDAYS(I1464, L1464, Holiday_Dates) - IF(I1464 = L1464, 0, 1)
            )
        )
    ),
    ""
)</f>
        <v/>
      </c>
      <c r="Q1464" s="385" t="str">
        <f>IF(
    OR(ISBLANK(L1464), ISBLANK(M1464)),
    "",
    MAX(
        1,
        IF(
            NETWORKDAYS(L1464, M1464, Holiday_Dates) &lt;= 0,
            1,
            NETWORKDAYS(L1464, M1464, Holiday_Dates) - IF(L1464 = M1464, 0, 1)
        )
    )
)</f>
        <v/>
      </c>
      <c r="R1464" s="385" t="str">
        <f>IFERROR(
    IF(
        OR(ISBLANK(N1464), AND(ISBLANK(L1464), ISBLANK(M1464))),
        "",
        MAX(
            1,
            IF(
                NETWORKDAYS(IF(NOT(ISBLANK(M1464)), M1464, L1464), N1464, Holiday_Dates) &lt;= 0,
                1,
                NETWORKDAYS(IF(NOT(ISBLANK(M1464)), M1464, L1464), N1464, Holiday_Dates)
                - IF(IF(NOT(ISBLANK(M1464)), M1464, L1464) = N1464, 0, 1)
            )
        )
    ),
    ""
)</f>
        <v/>
      </c>
      <c r="S1464" s="385" t="str">
        <f>IFERROR(
    IF(
        OR(ISBLANK(N1464), ISBLANK(O1464)),
        "",
        MAX(
            1,
            IF(
                NETWORKDAYS(N1464, O1464, Holiday_Dates) &lt;= 0,
                1,
                NETWORKDAYS(N1464, O1464, Holiday_Dates) - IF(N1464 = O1464, 0, 1)
            )
        )
    ),
    ""
)</f>
        <v/>
      </c>
      <c r="T1464" s="385"/>
      <c r="U1464" s="385"/>
      <c r="V1464" s="385"/>
      <c r="W1464" s="385" t="s">
        <v>4710</v>
      </c>
      <c r="X1464" s="1"/>
    </row>
    <row r="1465" spans="1:24">
      <c r="A1465" s="385" t="s">
        <v>51</v>
      </c>
      <c r="B1465" s="385" t="s">
        <v>537</v>
      </c>
      <c r="C1465" s="385" t="s">
        <v>3760</v>
      </c>
      <c r="D1465" s="385" t="s">
        <v>88</v>
      </c>
      <c r="E1465" s="385" t="s">
        <v>32</v>
      </c>
      <c r="F1465" s="385"/>
      <c r="G1465" s="385" t="s">
        <v>133</v>
      </c>
      <c r="H1465" s="385"/>
      <c r="I1465" s="385"/>
      <c r="J1465" s="30"/>
      <c r="K1465" s="385" t="s">
        <v>63</v>
      </c>
      <c r="L1465" s="385"/>
      <c r="M1465" s="385"/>
      <c r="N1465" s="385"/>
      <c r="O1465" s="385"/>
      <c r="P1465" s="385" t="str">
        <f>IFERROR(
    IF(
        OR(ISBLANK(I1465), ISBLANK(L1465)),
        "",
        MAX(
            1,
            IF(
                NETWORKDAYS(I1465, L1465, Holiday_Dates) &lt;= 0,
                1,
                NETWORKDAYS(I1465, L1465, Holiday_Dates) - IF(I1465 = L1465, 0, 1)
            )
        )
    ),
    ""
)</f>
        <v/>
      </c>
      <c r="Q1465" s="385" t="str">
        <f>IF(
    OR(ISBLANK(L1465), ISBLANK(M1465)),
    "",
    MAX(
        1,
        IF(
            NETWORKDAYS(L1465, M1465, Holiday_Dates) &lt;= 0,
            1,
            NETWORKDAYS(L1465, M1465, Holiday_Dates) - IF(L1465 = M1465, 0, 1)
        )
    )
)</f>
        <v/>
      </c>
      <c r="R1465" s="385" t="str">
        <f>IFERROR(
    IF(
        OR(ISBLANK(N1465), AND(ISBLANK(L1465), ISBLANK(M1465))),
        "",
        MAX(
            1,
            IF(
                NETWORKDAYS(IF(NOT(ISBLANK(M1465)), M1465, L1465), N1465, Holiday_Dates) &lt;= 0,
                1,
                NETWORKDAYS(IF(NOT(ISBLANK(M1465)), M1465, L1465), N1465, Holiday_Dates)
                - IF(IF(NOT(ISBLANK(M1465)), M1465, L1465) = N1465, 0, 1)
            )
        )
    ),
    ""
)</f>
        <v/>
      </c>
      <c r="S1465" s="385" t="str">
        <f>IFERROR(
    IF(
        OR(ISBLANK(N1465), ISBLANK(O1465)),
        "",
        MAX(
            1,
            IF(
                NETWORKDAYS(N1465, O1465, Holiday_Dates) &lt;= 0,
                1,
                NETWORKDAYS(N1465, O1465, Holiday_Dates) - IF(N1465 = O1465, 0, 1)
            )
        )
    ),
    ""
)</f>
        <v/>
      </c>
      <c r="T1465" s="385"/>
      <c r="U1465" s="385"/>
      <c r="V1465" s="385"/>
      <c r="W1465" s="385" t="s">
        <v>4710</v>
      </c>
      <c r="X1465" s="1"/>
    </row>
    <row r="1466" spans="1:24">
      <c r="A1466" s="385" t="s">
        <v>51</v>
      </c>
      <c r="B1466" s="385" t="s">
        <v>537</v>
      </c>
      <c r="C1466" s="385" t="s">
        <v>3761</v>
      </c>
      <c r="D1466" s="385" t="s">
        <v>88</v>
      </c>
      <c r="E1466" s="385" t="s">
        <v>32</v>
      </c>
      <c r="F1466" s="385"/>
      <c r="G1466" s="385" t="s">
        <v>133</v>
      </c>
      <c r="H1466" s="385"/>
      <c r="I1466" s="385"/>
      <c r="J1466" s="30"/>
      <c r="K1466" s="385" t="s">
        <v>63</v>
      </c>
      <c r="L1466" s="385"/>
      <c r="M1466" s="385"/>
      <c r="N1466" s="385"/>
      <c r="O1466" s="385"/>
      <c r="P1466" s="385" t="str">
        <f>IFERROR(
    IF(
        OR(ISBLANK(I1466), ISBLANK(L1466)),
        "",
        MAX(
            1,
            IF(
                NETWORKDAYS(I1466, L1466, Holiday_Dates) &lt;= 0,
                1,
                NETWORKDAYS(I1466, L1466, Holiday_Dates) - IF(I1466 = L1466, 0, 1)
            )
        )
    ),
    ""
)</f>
        <v/>
      </c>
      <c r="Q1466" s="385" t="str">
        <f>IF(
    OR(ISBLANK(L1466), ISBLANK(M1466)),
    "",
    MAX(
        1,
        IF(
            NETWORKDAYS(L1466, M1466, Holiday_Dates) &lt;= 0,
            1,
            NETWORKDAYS(L1466, M1466, Holiday_Dates) - IF(L1466 = M1466, 0, 1)
        )
    )
)</f>
        <v/>
      </c>
      <c r="R1466" s="385" t="str">
        <f>IFERROR(
    IF(
        OR(ISBLANK(N1466), AND(ISBLANK(L1466), ISBLANK(M1466))),
        "",
        MAX(
            1,
            IF(
                NETWORKDAYS(IF(NOT(ISBLANK(M1466)), M1466, L1466), N1466, Holiday_Dates) &lt;= 0,
                1,
                NETWORKDAYS(IF(NOT(ISBLANK(M1466)), M1466, L1466), N1466, Holiday_Dates)
                - IF(IF(NOT(ISBLANK(M1466)), M1466, L1466) = N1466, 0, 1)
            )
        )
    ),
    ""
)</f>
        <v/>
      </c>
      <c r="S1466" s="385" t="str">
        <f>IFERROR(
    IF(
        OR(ISBLANK(N1466), ISBLANK(O1466)),
        "",
        MAX(
            1,
            IF(
                NETWORKDAYS(N1466, O1466, Holiday_Dates) &lt;= 0,
                1,
                NETWORKDAYS(N1466, O1466, Holiday_Dates) - IF(N1466 = O1466, 0, 1)
            )
        )
    ),
    ""
)</f>
        <v/>
      </c>
      <c r="T1466" s="385"/>
      <c r="U1466" s="385"/>
      <c r="V1466" s="385"/>
      <c r="W1466" s="385" t="s">
        <v>4710</v>
      </c>
      <c r="X1466" s="1"/>
    </row>
    <row r="1467" spans="1:24">
      <c r="A1467" s="385" t="s">
        <v>51</v>
      </c>
      <c r="B1467" s="385" t="s">
        <v>537</v>
      </c>
      <c r="C1467" s="385" t="s">
        <v>3386</v>
      </c>
      <c r="D1467" s="385" t="s">
        <v>88</v>
      </c>
      <c r="E1467" s="385" t="s">
        <v>32</v>
      </c>
      <c r="F1467" s="385"/>
      <c r="G1467" s="385" t="s">
        <v>133</v>
      </c>
      <c r="H1467" s="385"/>
      <c r="I1467" s="385"/>
      <c r="J1467" s="30"/>
      <c r="K1467" s="385" t="s">
        <v>63</v>
      </c>
      <c r="L1467" s="385"/>
      <c r="M1467" s="385"/>
      <c r="N1467" s="385"/>
      <c r="O1467" s="385"/>
      <c r="P1467" s="385" t="str">
        <f>IFERROR(
    IF(
        OR(ISBLANK(I1467), ISBLANK(L1467)),
        "",
        MAX(
            1,
            IF(
                NETWORKDAYS(I1467, L1467, Holiday_Dates) &lt;= 0,
                1,
                NETWORKDAYS(I1467, L1467, Holiday_Dates) - IF(I1467 = L1467, 0, 1)
            )
        )
    ),
    ""
)</f>
        <v/>
      </c>
      <c r="Q1467" s="385" t="str">
        <f>IF(
    OR(ISBLANK(L1467), ISBLANK(M1467)),
    "",
    MAX(
        1,
        IF(
            NETWORKDAYS(L1467, M1467, Holiday_Dates) &lt;= 0,
            1,
            NETWORKDAYS(L1467, M1467, Holiday_Dates) - IF(L1467 = M1467, 0, 1)
        )
    )
)</f>
        <v/>
      </c>
      <c r="R1467" s="385" t="str">
        <f>IFERROR(
    IF(
        OR(ISBLANK(N1467), AND(ISBLANK(L1467), ISBLANK(M1467))),
        "",
        MAX(
            1,
            IF(
                NETWORKDAYS(IF(NOT(ISBLANK(M1467)), M1467, L1467), N1467, Holiday_Dates) &lt;= 0,
                1,
                NETWORKDAYS(IF(NOT(ISBLANK(M1467)), M1467, L1467), N1467, Holiday_Dates)
                - IF(IF(NOT(ISBLANK(M1467)), M1467, L1467) = N1467, 0, 1)
            )
        )
    ),
    ""
)</f>
        <v/>
      </c>
      <c r="S1467" s="385" t="str">
        <f>IFERROR(
    IF(
        OR(ISBLANK(N1467), ISBLANK(O1467)),
        "",
        MAX(
            1,
            IF(
                NETWORKDAYS(N1467, O1467, Holiday_Dates) &lt;= 0,
                1,
                NETWORKDAYS(N1467, O1467, Holiday_Dates) - IF(N1467 = O1467, 0, 1)
            )
        )
    ),
    ""
)</f>
        <v/>
      </c>
      <c r="T1467" s="385"/>
      <c r="U1467" s="385"/>
      <c r="V1467" s="385"/>
      <c r="W1467" s="385" t="s">
        <v>4710</v>
      </c>
      <c r="X1467" s="1"/>
    </row>
    <row r="1468" spans="1:24">
      <c r="A1468" s="385" t="s">
        <v>51</v>
      </c>
      <c r="B1468" s="385" t="s">
        <v>537</v>
      </c>
      <c r="C1468" s="385" t="s">
        <v>3763</v>
      </c>
      <c r="D1468" s="385" t="s">
        <v>88</v>
      </c>
      <c r="E1468" s="385" t="s">
        <v>32</v>
      </c>
      <c r="F1468" s="385"/>
      <c r="G1468" s="385" t="s">
        <v>133</v>
      </c>
      <c r="H1468" s="385"/>
      <c r="I1468" s="385"/>
      <c r="J1468" s="30"/>
      <c r="K1468" s="385" t="s">
        <v>63</v>
      </c>
      <c r="L1468" s="385"/>
      <c r="M1468" s="385"/>
      <c r="N1468" s="385"/>
      <c r="O1468" s="385"/>
      <c r="P1468" s="385" t="str">
        <f>IFERROR(
    IF(
        OR(ISBLANK(I1468), ISBLANK(L1468)),
        "",
        MAX(
            1,
            IF(
                NETWORKDAYS(I1468, L1468, Holiday_Dates) &lt;= 0,
                1,
                NETWORKDAYS(I1468, L1468, Holiday_Dates) - IF(I1468 = L1468, 0, 1)
            )
        )
    ),
    ""
)</f>
        <v/>
      </c>
      <c r="Q1468" s="385" t="str">
        <f>IF(
    OR(ISBLANK(L1468), ISBLANK(M1468)),
    "",
    MAX(
        1,
        IF(
            NETWORKDAYS(L1468, M1468, Holiday_Dates) &lt;= 0,
            1,
            NETWORKDAYS(L1468, M1468, Holiday_Dates) - IF(L1468 = M1468, 0, 1)
        )
    )
)</f>
        <v/>
      </c>
      <c r="R1468" s="385" t="str">
        <f>IFERROR(
    IF(
        OR(ISBLANK(N1468), AND(ISBLANK(L1468), ISBLANK(M1468))),
        "",
        MAX(
            1,
            IF(
                NETWORKDAYS(IF(NOT(ISBLANK(M1468)), M1468, L1468), N1468, Holiday_Dates) &lt;= 0,
                1,
                NETWORKDAYS(IF(NOT(ISBLANK(M1468)), M1468, L1468), N1468, Holiday_Dates)
                - IF(IF(NOT(ISBLANK(M1468)), M1468, L1468) = N1468, 0, 1)
            )
        )
    ),
    ""
)</f>
        <v/>
      </c>
      <c r="S1468" s="385" t="str">
        <f>IFERROR(
    IF(
        OR(ISBLANK(N1468), ISBLANK(O1468)),
        "",
        MAX(
            1,
            IF(
                NETWORKDAYS(N1468, O1468, Holiday_Dates) &lt;= 0,
                1,
                NETWORKDAYS(N1468, O1468, Holiday_Dates) - IF(N1468 = O1468, 0, 1)
            )
        )
    ),
    ""
)</f>
        <v/>
      </c>
      <c r="T1468" s="385"/>
      <c r="U1468" s="385"/>
      <c r="V1468" s="385"/>
      <c r="W1468" s="385" t="s">
        <v>4710</v>
      </c>
      <c r="X1468" s="1"/>
    </row>
    <row r="1469" spans="1:24">
      <c r="A1469" s="385" t="s">
        <v>51</v>
      </c>
      <c r="B1469" s="385" t="s">
        <v>537</v>
      </c>
      <c r="C1469" s="385" t="s">
        <v>440</v>
      </c>
      <c r="D1469" s="385" t="s">
        <v>88</v>
      </c>
      <c r="E1469" s="385" t="s">
        <v>32</v>
      </c>
      <c r="F1469" s="385"/>
      <c r="G1469" s="385" t="s">
        <v>133</v>
      </c>
      <c r="H1469" s="385"/>
      <c r="I1469" s="385"/>
      <c r="J1469" s="30"/>
      <c r="K1469" s="385" t="s">
        <v>63</v>
      </c>
      <c r="L1469" s="385"/>
      <c r="M1469" s="385"/>
      <c r="N1469" s="385"/>
      <c r="O1469" s="385"/>
      <c r="P1469" s="385" t="str">
        <f>IFERROR(
    IF(
        OR(ISBLANK(I1469), ISBLANK(L1469)),
        "",
        MAX(
            1,
            IF(
                NETWORKDAYS(I1469, L1469, Holiday_Dates) &lt;= 0,
                1,
                NETWORKDAYS(I1469, L1469, Holiday_Dates) - IF(I1469 = L1469, 0, 1)
            )
        )
    ),
    ""
)</f>
        <v/>
      </c>
      <c r="Q1469" s="385" t="str">
        <f>IF(
    OR(ISBLANK(L1469), ISBLANK(M1469)),
    "",
    MAX(
        1,
        IF(
            NETWORKDAYS(L1469, M1469, Holiday_Dates) &lt;= 0,
            1,
            NETWORKDAYS(L1469, M1469, Holiday_Dates) - IF(L1469 = M1469, 0, 1)
        )
    )
)</f>
        <v/>
      </c>
      <c r="R1469" s="385" t="str">
        <f>IFERROR(
    IF(
        OR(ISBLANK(N1469), AND(ISBLANK(L1469), ISBLANK(M1469))),
        "",
        MAX(
            1,
            IF(
                NETWORKDAYS(IF(NOT(ISBLANK(M1469)), M1469, L1469), N1469, Holiday_Dates) &lt;= 0,
                1,
                NETWORKDAYS(IF(NOT(ISBLANK(M1469)), M1469, L1469), N1469, Holiday_Dates)
                - IF(IF(NOT(ISBLANK(M1469)), M1469, L1469) = N1469, 0, 1)
            )
        )
    ),
    ""
)</f>
        <v/>
      </c>
      <c r="S1469" s="385" t="str">
        <f>IFERROR(
    IF(
        OR(ISBLANK(N1469), ISBLANK(O1469)),
        "",
        MAX(
            1,
            IF(
                NETWORKDAYS(N1469, O1469, Holiday_Dates) &lt;= 0,
                1,
                NETWORKDAYS(N1469, O1469, Holiday_Dates) - IF(N1469 = O1469, 0, 1)
            )
        )
    ),
    ""
)</f>
        <v/>
      </c>
      <c r="T1469" s="385"/>
      <c r="U1469" s="385"/>
      <c r="V1469" s="385"/>
      <c r="W1469" s="385" t="s">
        <v>4710</v>
      </c>
      <c r="X1469" s="1"/>
    </row>
    <row r="1470" spans="1:24">
      <c r="A1470" s="385" t="s">
        <v>51</v>
      </c>
      <c r="B1470" s="385" t="s">
        <v>537</v>
      </c>
      <c r="C1470" s="385" t="s">
        <v>717</v>
      </c>
      <c r="D1470" s="385" t="s">
        <v>88</v>
      </c>
      <c r="E1470" s="385" t="s">
        <v>32</v>
      </c>
      <c r="F1470" s="385"/>
      <c r="G1470" s="385" t="s">
        <v>133</v>
      </c>
      <c r="H1470" s="385"/>
      <c r="I1470" s="385"/>
      <c r="J1470" s="30"/>
      <c r="K1470" s="385" t="s">
        <v>63</v>
      </c>
      <c r="L1470" s="385"/>
      <c r="M1470" s="385"/>
      <c r="N1470" s="385"/>
      <c r="O1470" s="385"/>
      <c r="P1470" s="385" t="str">
        <f>IFERROR(
    IF(
        OR(ISBLANK(I1470), ISBLANK(L1470)),
        "",
        MAX(
            1,
            IF(
                NETWORKDAYS(I1470, L1470, Holiday_Dates) &lt;= 0,
                1,
                NETWORKDAYS(I1470, L1470, Holiday_Dates) - IF(I1470 = L1470, 0, 1)
            )
        )
    ),
    ""
)</f>
        <v/>
      </c>
      <c r="Q1470" s="385" t="str">
        <f>IF(
    OR(ISBLANK(L1470), ISBLANK(M1470)),
    "",
    MAX(
        1,
        IF(
            NETWORKDAYS(L1470, M1470, Holiday_Dates) &lt;= 0,
            1,
            NETWORKDAYS(L1470, M1470, Holiday_Dates) - IF(L1470 = M1470, 0, 1)
        )
    )
)</f>
        <v/>
      </c>
      <c r="R1470" s="385" t="str">
        <f>IFERROR(
    IF(
        OR(ISBLANK(N1470), AND(ISBLANK(L1470), ISBLANK(M1470))),
        "",
        MAX(
            1,
            IF(
                NETWORKDAYS(IF(NOT(ISBLANK(M1470)), M1470, L1470), N1470, Holiday_Dates) &lt;= 0,
                1,
                NETWORKDAYS(IF(NOT(ISBLANK(M1470)), M1470, L1470), N1470, Holiday_Dates)
                - IF(IF(NOT(ISBLANK(M1470)), M1470, L1470) = N1470, 0, 1)
            )
        )
    ),
    ""
)</f>
        <v/>
      </c>
      <c r="S1470" s="385" t="str">
        <f>IFERROR(
    IF(
        OR(ISBLANK(N1470), ISBLANK(O1470)),
        "",
        MAX(
            1,
            IF(
                NETWORKDAYS(N1470, O1470, Holiday_Dates) &lt;= 0,
                1,
                NETWORKDAYS(N1470, O1470, Holiday_Dates) - IF(N1470 = O1470, 0, 1)
            )
        )
    ),
    ""
)</f>
        <v/>
      </c>
      <c r="T1470" s="385"/>
      <c r="U1470" s="385"/>
      <c r="V1470" s="385"/>
      <c r="W1470" s="385" t="s">
        <v>4710</v>
      </c>
      <c r="X1470" s="1"/>
    </row>
    <row r="1471" spans="1:24">
      <c r="A1471" s="385" t="s">
        <v>51</v>
      </c>
      <c r="B1471" s="385" t="s">
        <v>537</v>
      </c>
      <c r="C1471" s="385" t="s">
        <v>1873</v>
      </c>
      <c r="D1471" s="385" t="s">
        <v>88</v>
      </c>
      <c r="E1471" s="385" t="s">
        <v>32</v>
      </c>
      <c r="F1471" s="385"/>
      <c r="G1471" s="385" t="s">
        <v>133</v>
      </c>
      <c r="H1471" s="385"/>
      <c r="I1471" s="385"/>
      <c r="J1471" s="30"/>
      <c r="K1471" s="385" t="s">
        <v>63</v>
      </c>
      <c r="L1471" s="385"/>
      <c r="M1471" s="385"/>
      <c r="N1471" s="385"/>
      <c r="O1471" s="385"/>
      <c r="P1471" s="385" t="str">
        <f>IFERROR(
    IF(
        OR(ISBLANK(I1471), ISBLANK(L1471)),
        "",
        MAX(
            1,
            IF(
                NETWORKDAYS(I1471, L1471, Holiday_Dates) &lt;= 0,
                1,
                NETWORKDAYS(I1471, L1471, Holiday_Dates) - IF(I1471 = L1471, 0, 1)
            )
        )
    ),
    ""
)</f>
        <v/>
      </c>
      <c r="Q1471" s="385" t="str">
        <f>IF(
    OR(ISBLANK(L1471), ISBLANK(M1471)),
    "",
    MAX(
        1,
        IF(
            NETWORKDAYS(L1471, M1471, Holiday_Dates) &lt;= 0,
            1,
            NETWORKDAYS(L1471, M1471, Holiday_Dates) - IF(L1471 = M1471, 0, 1)
        )
    )
)</f>
        <v/>
      </c>
      <c r="R1471" s="385" t="str">
        <f>IFERROR(
    IF(
        OR(ISBLANK(N1471), AND(ISBLANK(L1471), ISBLANK(M1471))),
        "",
        MAX(
            1,
            IF(
                NETWORKDAYS(IF(NOT(ISBLANK(M1471)), M1471, L1471), N1471, Holiday_Dates) &lt;= 0,
                1,
                NETWORKDAYS(IF(NOT(ISBLANK(M1471)), M1471, L1471), N1471, Holiday_Dates)
                - IF(IF(NOT(ISBLANK(M1471)), M1471, L1471) = N1471, 0, 1)
            )
        )
    ),
    ""
)</f>
        <v/>
      </c>
      <c r="S1471" s="385" t="str">
        <f>IFERROR(
    IF(
        OR(ISBLANK(N1471), ISBLANK(O1471)),
        "",
        MAX(
            1,
            IF(
                NETWORKDAYS(N1471, O1471, Holiday_Dates) &lt;= 0,
                1,
                NETWORKDAYS(N1471, O1471, Holiday_Dates) - IF(N1471 = O1471, 0, 1)
            )
        )
    ),
    ""
)</f>
        <v/>
      </c>
      <c r="T1471" s="385"/>
      <c r="U1471" s="385"/>
      <c r="V1471" s="385"/>
      <c r="W1471" s="385" t="s">
        <v>4710</v>
      </c>
      <c r="X1471" s="1"/>
    </row>
    <row r="1472" spans="1:24">
      <c r="A1472" s="385" t="s">
        <v>51</v>
      </c>
      <c r="B1472" s="385" t="s">
        <v>1658</v>
      </c>
      <c r="C1472" s="385" t="s">
        <v>2347</v>
      </c>
      <c r="D1472" s="385" t="s">
        <v>88</v>
      </c>
      <c r="E1472" s="385" t="s">
        <v>33</v>
      </c>
      <c r="F1472" s="385"/>
      <c r="G1472" s="385" t="s">
        <v>239</v>
      </c>
      <c r="H1472" s="385"/>
      <c r="I1472" s="385"/>
      <c r="J1472" s="30"/>
      <c r="K1472" s="385" t="s">
        <v>63</v>
      </c>
      <c r="L1472" s="385"/>
      <c r="M1472" s="385"/>
      <c r="N1472" s="385"/>
      <c r="O1472" s="385"/>
      <c r="P1472" s="385" t="str">
        <f>IFERROR(
    IF(
        OR(ISBLANK(I1472), ISBLANK(L1472)),
        "",
        MAX(
            1,
            IF(
                NETWORKDAYS(I1472, L1472, Holiday_Dates) &lt;= 0,
                1,
                NETWORKDAYS(I1472, L1472, Holiday_Dates) - IF(I1472 = L1472, 0, 1)
            )
        )
    ),
    ""
)</f>
        <v/>
      </c>
      <c r="Q1472" s="385" t="str">
        <f>IF(
    OR(ISBLANK(L1472), ISBLANK(M1472)),
    "",
    MAX(
        1,
        IF(
            NETWORKDAYS(L1472, M1472, Holiday_Dates) &lt;= 0,
            1,
            NETWORKDAYS(L1472, M1472, Holiday_Dates) - IF(L1472 = M1472, 0, 1)
        )
    )
)</f>
        <v/>
      </c>
      <c r="R1472" s="385" t="str">
        <f>IFERROR(
    IF(
        OR(ISBLANK(N1472), AND(ISBLANK(L1472), ISBLANK(M1472))),
        "",
        MAX(
            1,
            IF(
                NETWORKDAYS(IF(NOT(ISBLANK(M1472)), M1472, L1472), N1472, Holiday_Dates) &lt;= 0,
                1,
                NETWORKDAYS(IF(NOT(ISBLANK(M1472)), M1472, L1472), N1472, Holiday_Dates)
                - IF(IF(NOT(ISBLANK(M1472)), M1472, L1472) = N1472, 0, 1)
            )
        )
    ),
    ""
)</f>
        <v/>
      </c>
      <c r="S1472" s="385" t="str">
        <f>IFERROR(
    IF(
        OR(ISBLANK(N1472), ISBLANK(O1472)),
        "",
        MAX(
            1,
            IF(
                NETWORKDAYS(N1472, O1472, Holiday_Dates) &lt;= 0,
                1,
                NETWORKDAYS(N1472, O1472, Holiday_Dates) - IF(N1472 = O1472, 0, 1)
            )
        )
    ),
    ""
)</f>
        <v/>
      </c>
      <c r="T1472" s="385"/>
      <c r="U1472" s="385"/>
      <c r="V1472" s="385"/>
      <c r="W1472" s="385" t="s">
        <v>4710</v>
      </c>
      <c r="X1472" s="1"/>
    </row>
    <row r="1473" spans="1:24">
      <c r="A1473" s="385" t="s">
        <v>52</v>
      </c>
      <c r="B1473" s="385" t="s">
        <v>250</v>
      </c>
      <c r="C1473" s="385" t="s">
        <v>3982</v>
      </c>
      <c r="D1473" s="385" t="s">
        <v>88</v>
      </c>
      <c r="E1473" s="385" t="s">
        <v>39</v>
      </c>
      <c r="F1473" s="385"/>
      <c r="G1473" s="385" t="s">
        <v>28</v>
      </c>
      <c r="H1473" s="385"/>
      <c r="I1473" s="385"/>
      <c r="J1473" s="30"/>
      <c r="K1473" s="385" t="s">
        <v>63</v>
      </c>
      <c r="L1473" s="385"/>
      <c r="M1473" s="385"/>
      <c r="N1473" s="385"/>
      <c r="O1473" s="385"/>
      <c r="P1473" s="385" t="str">
        <f>IFERROR(
    IF(
        OR(ISBLANK(I1473), ISBLANK(L1473)),
        "",
        MAX(
            1,
            IF(
                NETWORKDAYS(I1473, L1473, Holiday_Dates) &lt;= 0,
                1,
                NETWORKDAYS(I1473, L1473, Holiday_Dates) - IF(I1473 = L1473, 0, 1)
            )
        )
    ),
    ""
)</f>
        <v/>
      </c>
      <c r="Q1473" s="385" t="str">
        <f>IF(
    OR(ISBLANK(L1473), ISBLANK(M1473)),
    "",
    MAX(
        1,
        IF(
            NETWORKDAYS(L1473, M1473, Holiday_Dates) &lt;= 0,
            1,
            NETWORKDAYS(L1473, M1473, Holiday_Dates) - IF(L1473 = M1473, 0, 1)
        )
    )
)</f>
        <v/>
      </c>
      <c r="R1473" s="385" t="str">
        <f>IFERROR(
    IF(
        OR(ISBLANK(N1473), AND(ISBLANK(L1473), ISBLANK(M1473))),
        "",
        MAX(
            1,
            IF(
                NETWORKDAYS(IF(NOT(ISBLANK(M1473)), M1473, L1473), N1473, Holiday_Dates) &lt;= 0,
                1,
                NETWORKDAYS(IF(NOT(ISBLANK(M1473)), M1473, L1473), N1473, Holiday_Dates)
                - IF(IF(NOT(ISBLANK(M1473)), M1473, L1473) = N1473, 0, 1)
            )
        )
    ),
    ""
)</f>
        <v/>
      </c>
      <c r="S1473" s="385" t="str">
        <f>IFERROR(
    IF(
        OR(ISBLANK(N1473), ISBLANK(O1473)),
        "",
        MAX(
            1,
            IF(
                NETWORKDAYS(N1473, O1473, Holiday_Dates) &lt;= 0,
                1,
                NETWORKDAYS(N1473, O1473, Holiday_Dates) - IF(N1473 = O1473, 0, 1)
            )
        )
    ),
    ""
)</f>
        <v/>
      </c>
      <c r="T1473" s="385"/>
      <c r="U1473" s="385"/>
      <c r="V1473" s="385"/>
      <c r="W1473" s="385" t="s">
        <v>4710</v>
      </c>
      <c r="X1473" s="1"/>
    </row>
    <row r="1474" spans="1:24">
      <c r="A1474" s="385" t="s">
        <v>52</v>
      </c>
      <c r="B1474" s="385" t="s">
        <v>250</v>
      </c>
      <c r="C1474" s="385" t="s">
        <v>3983</v>
      </c>
      <c r="D1474" s="385" t="s">
        <v>88</v>
      </c>
      <c r="E1474" s="385" t="s">
        <v>39</v>
      </c>
      <c r="F1474" s="385"/>
      <c r="G1474" s="385" t="s">
        <v>28</v>
      </c>
      <c r="H1474" s="385"/>
      <c r="I1474" s="385"/>
      <c r="J1474" s="30"/>
      <c r="K1474" s="385" t="s">
        <v>63</v>
      </c>
      <c r="L1474" s="385"/>
      <c r="M1474" s="385"/>
      <c r="N1474" s="385"/>
      <c r="O1474" s="385"/>
      <c r="P1474" s="385" t="str">
        <f>IFERROR(
    IF(
        OR(ISBLANK(I1474), ISBLANK(L1474)),
        "",
        MAX(
            1,
            IF(
                NETWORKDAYS(I1474, L1474, Holiday_Dates) &lt;= 0,
                1,
                NETWORKDAYS(I1474, L1474, Holiday_Dates) - IF(I1474 = L1474, 0, 1)
            )
        )
    ),
    ""
)</f>
        <v/>
      </c>
      <c r="Q1474" s="385" t="str">
        <f>IF(
    OR(ISBLANK(L1474), ISBLANK(M1474)),
    "",
    MAX(
        1,
        IF(
            NETWORKDAYS(L1474, M1474, Holiday_Dates) &lt;= 0,
            1,
            NETWORKDAYS(L1474, M1474, Holiday_Dates) - IF(L1474 = M1474, 0, 1)
        )
    )
)</f>
        <v/>
      </c>
      <c r="R1474" s="385" t="str">
        <f>IFERROR(
    IF(
        OR(ISBLANK(N1474), AND(ISBLANK(L1474), ISBLANK(M1474))),
        "",
        MAX(
            1,
            IF(
                NETWORKDAYS(IF(NOT(ISBLANK(M1474)), M1474, L1474), N1474, Holiday_Dates) &lt;= 0,
                1,
                NETWORKDAYS(IF(NOT(ISBLANK(M1474)), M1474, L1474), N1474, Holiday_Dates)
                - IF(IF(NOT(ISBLANK(M1474)), M1474, L1474) = N1474, 0, 1)
            )
        )
    ),
    ""
)</f>
        <v/>
      </c>
      <c r="S1474" s="385" t="str">
        <f>IFERROR(
    IF(
        OR(ISBLANK(N1474), ISBLANK(O1474)),
        "",
        MAX(
            1,
            IF(
                NETWORKDAYS(N1474, O1474, Holiday_Dates) &lt;= 0,
                1,
                NETWORKDAYS(N1474, O1474, Holiday_Dates) - IF(N1474 = O1474, 0, 1)
            )
        )
    ),
    ""
)</f>
        <v/>
      </c>
      <c r="T1474" s="385"/>
      <c r="U1474" s="385"/>
      <c r="V1474" s="385"/>
      <c r="W1474" s="385" t="s">
        <v>4710</v>
      </c>
      <c r="X1474" s="1"/>
    </row>
    <row r="1475" spans="1:24">
      <c r="A1475" s="385" t="s">
        <v>52</v>
      </c>
      <c r="B1475" s="385" t="s">
        <v>250</v>
      </c>
      <c r="C1475" s="385" t="s">
        <v>3984</v>
      </c>
      <c r="D1475" s="385" t="s">
        <v>88</v>
      </c>
      <c r="E1475" s="385" t="s">
        <v>39</v>
      </c>
      <c r="F1475" s="385"/>
      <c r="G1475" s="385" t="s">
        <v>28</v>
      </c>
      <c r="H1475" s="385"/>
      <c r="I1475" s="385"/>
      <c r="J1475" s="30"/>
      <c r="K1475" s="385" t="s">
        <v>63</v>
      </c>
      <c r="L1475" s="385"/>
      <c r="M1475" s="385"/>
      <c r="N1475" s="385"/>
      <c r="O1475" s="385"/>
      <c r="P1475" s="385" t="str">
        <f>IFERROR(
    IF(
        OR(ISBLANK(I1475), ISBLANK(L1475)),
        "",
        MAX(
            1,
            IF(
                NETWORKDAYS(I1475, L1475, Holiday_Dates) &lt;= 0,
                1,
                NETWORKDAYS(I1475, L1475, Holiday_Dates) - IF(I1475 = L1475, 0, 1)
            )
        )
    ),
    ""
)</f>
        <v/>
      </c>
      <c r="Q1475" s="385" t="str">
        <f>IF(
    OR(ISBLANK(L1475), ISBLANK(M1475)),
    "",
    MAX(
        1,
        IF(
            NETWORKDAYS(L1475, M1475, Holiday_Dates) &lt;= 0,
            1,
            NETWORKDAYS(L1475, M1475, Holiday_Dates) - IF(L1475 = M1475, 0, 1)
        )
    )
)</f>
        <v/>
      </c>
      <c r="R1475" s="385" t="str">
        <f>IFERROR(
    IF(
        OR(ISBLANK(N1475), AND(ISBLANK(L1475), ISBLANK(M1475))),
        "",
        MAX(
            1,
            IF(
                NETWORKDAYS(IF(NOT(ISBLANK(M1475)), M1475, L1475), N1475, Holiday_Dates) &lt;= 0,
                1,
                NETWORKDAYS(IF(NOT(ISBLANK(M1475)), M1475, L1475), N1475, Holiday_Dates)
                - IF(IF(NOT(ISBLANK(M1475)), M1475, L1475) = N1475, 0, 1)
            )
        )
    ),
    ""
)</f>
        <v/>
      </c>
      <c r="S1475" s="385" t="str">
        <f>IFERROR(
    IF(
        OR(ISBLANK(N1475), ISBLANK(O1475)),
        "",
        MAX(
            1,
            IF(
                NETWORKDAYS(N1475, O1475, Holiday_Dates) &lt;= 0,
                1,
                NETWORKDAYS(N1475, O1475, Holiday_Dates) - IF(N1475 = O1475, 0, 1)
            )
        )
    ),
    ""
)</f>
        <v/>
      </c>
      <c r="T1475" s="385"/>
      <c r="U1475" s="385"/>
      <c r="V1475" s="385"/>
      <c r="W1475" s="385" t="s">
        <v>4710</v>
      </c>
      <c r="X1475" s="1"/>
    </row>
    <row r="1476" spans="1:24">
      <c r="A1476" s="385" t="s">
        <v>52</v>
      </c>
      <c r="B1476" s="385" t="s">
        <v>250</v>
      </c>
      <c r="C1476" s="385" t="s">
        <v>3987</v>
      </c>
      <c r="D1476" s="385" t="s">
        <v>88</v>
      </c>
      <c r="E1476" s="385" t="s">
        <v>39</v>
      </c>
      <c r="F1476" s="385"/>
      <c r="G1476" s="385" t="s">
        <v>28</v>
      </c>
      <c r="H1476" s="385"/>
      <c r="I1476" s="385"/>
      <c r="J1476" s="30"/>
      <c r="K1476" s="385" t="s">
        <v>63</v>
      </c>
      <c r="L1476" s="385"/>
      <c r="M1476" s="385"/>
      <c r="N1476" s="385"/>
      <c r="O1476" s="385"/>
      <c r="P1476" s="385" t="str">
        <f>IFERROR(
    IF(
        OR(ISBLANK(I1476), ISBLANK(L1476)),
        "",
        MAX(
            1,
            IF(
                NETWORKDAYS(I1476, L1476, Holiday_Dates) &lt;= 0,
                1,
                NETWORKDAYS(I1476, L1476, Holiday_Dates) - IF(I1476 = L1476, 0, 1)
            )
        )
    ),
    ""
)</f>
        <v/>
      </c>
      <c r="Q1476" s="385" t="str">
        <f>IF(
    OR(ISBLANK(L1476), ISBLANK(M1476)),
    "",
    MAX(
        1,
        IF(
            NETWORKDAYS(L1476, M1476, Holiday_Dates) &lt;= 0,
            1,
            NETWORKDAYS(L1476, M1476, Holiday_Dates) - IF(L1476 = M1476, 0, 1)
        )
    )
)</f>
        <v/>
      </c>
      <c r="R1476" s="385" t="str">
        <f>IFERROR(
    IF(
        OR(ISBLANK(N1476), AND(ISBLANK(L1476), ISBLANK(M1476))),
        "",
        MAX(
            1,
            IF(
                NETWORKDAYS(IF(NOT(ISBLANK(M1476)), M1476, L1476), N1476, Holiday_Dates) &lt;= 0,
                1,
                NETWORKDAYS(IF(NOT(ISBLANK(M1476)), M1476, L1476), N1476, Holiday_Dates)
                - IF(IF(NOT(ISBLANK(M1476)), M1476, L1476) = N1476, 0, 1)
            )
        )
    ),
    ""
)</f>
        <v/>
      </c>
      <c r="S1476" s="385" t="str">
        <f>IFERROR(
    IF(
        OR(ISBLANK(N1476), ISBLANK(O1476)),
        "",
        MAX(
            1,
            IF(
                NETWORKDAYS(N1476, O1476, Holiday_Dates) &lt;= 0,
                1,
                NETWORKDAYS(N1476, O1476, Holiday_Dates) - IF(N1476 = O1476, 0, 1)
            )
        )
    ),
    ""
)</f>
        <v/>
      </c>
      <c r="T1476" s="385"/>
      <c r="U1476" s="385"/>
      <c r="V1476" s="385"/>
      <c r="W1476" s="385" t="s">
        <v>4710</v>
      </c>
      <c r="X1476" s="1"/>
    </row>
    <row r="1477" spans="1:24">
      <c r="A1477" s="385" t="s">
        <v>52</v>
      </c>
      <c r="B1477" s="385" t="s">
        <v>250</v>
      </c>
      <c r="C1477" s="385" t="s">
        <v>3988</v>
      </c>
      <c r="D1477" s="385" t="s">
        <v>88</v>
      </c>
      <c r="E1477" s="385" t="s">
        <v>39</v>
      </c>
      <c r="F1477" s="385"/>
      <c r="G1477" s="385" t="s">
        <v>28</v>
      </c>
      <c r="H1477" s="385"/>
      <c r="I1477" s="385"/>
      <c r="J1477" s="30"/>
      <c r="K1477" s="385" t="s">
        <v>63</v>
      </c>
      <c r="L1477" s="385"/>
      <c r="M1477" s="385"/>
      <c r="N1477" s="385"/>
      <c r="O1477" s="385"/>
      <c r="P1477" s="385" t="str">
        <f>IFERROR(
    IF(
        OR(ISBLANK(I1477), ISBLANK(L1477)),
        "",
        MAX(
            1,
            IF(
                NETWORKDAYS(I1477, L1477, Holiday_Dates) &lt;= 0,
                1,
                NETWORKDAYS(I1477, L1477, Holiday_Dates) - IF(I1477 = L1477, 0, 1)
            )
        )
    ),
    ""
)</f>
        <v/>
      </c>
      <c r="Q1477" s="385" t="str">
        <f>IF(
    OR(ISBLANK(L1477), ISBLANK(M1477)),
    "",
    MAX(
        1,
        IF(
            NETWORKDAYS(L1477, M1477, Holiday_Dates) &lt;= 0,
            1,
            NETWORKDAYS(L1477, M1477, Holiday_Dates) - IF(L1477 = M1477, 0, 1)
        )
    )
)</f>
        <v/>
      </c>
      <c r="R1477" s="385" t="str">
        <f>IFERROR(
    IF(
        OR(ISBLANK(N1477), AND(ISBLANK(L1477), ISBLANK(M1477))),
        "",
        MAX(
            1,
            IF(
                NETWORKDAYS(IF(NOT(ISBLANK(M1477)), M1477, L1477), N1477, Holiday_Dates) &lt;= 0,
                1,
                NETWORKDAYS(IF(NOT(ISBLANK(M1477)), M1477, L1477), N1477, Holiday_Dates)
                - IF(IF(NOT(ISBLANK(M1477)), M1477, L1477) = N1477, 0, 1)
            )
        )
    ),
    ""
)</f>
        <v/>
      </c>
      <c r="S1477" s="385" t="str">
        <f>IFERROR(
    IF(
        OR(ISBLANK(N1477), ISBLANK(O1477)),
        "",
        MAX(
            1,
            IF(
                NETWORKDAYS(N1477, O1477, Holiday_Dates) &lt;= 0,
                1,
                NETWORKDAYS(N1477, O1477, Holiday_Dates) - IF(N1477 = O1477, 0, 1)
            )
        )
    ),
    ""
)</f>
        <v/>
      </c>
      <c r="T1477" s="385"/>
      <c r="U1477" s="385"/>
      <c r="V1477" s="385"/>
      <c r="W1477" s="385" t="s">
        <v>4710</v>
      </c>
      <c r="X1477" s="1"/>
    </row>
    <row r="1478" spans="1:24">
      <c r="A1478" s="385" t="s">
        <v>52</v>
      </c>
      <c r="B1478" s="385" t="s">
        <v>4231</v>
      </c>
      <c r="C1478" s="385" t="s">
        <v>3877</v>
      </c>
      <c r="D1478" s="385" t="s">
        <v>88</v>
      </c>
      <c r="E1478" s="385" t="s">
        <v>37</v>
      </c>
      <c r="F1478" s="385"/>
      <c r="G1478" s="385" t="s">
        <v>28</v>
      </c>
      <c r="H1478" s="385"/>
      <c r="I1478" s="385"/>
      <c r="J1478" s="30"/>
      <c r="K1478" s="385" t="s">
        <v>63</v>
      </c>
      <c r="L1478" s="385"/>
      <c r="M1478" s="385"/>
      <c r="N1478" s="385"/>
      <c r="O1478" s="385"/>
      <c r="P1478" s="385" t="str">
        <f>IFERROR(
    IF(
        OR(ISBLANK(I1478), ISBLANK(L1478)),
        "",
        MAX(
            1,
            IF(
                NETWORKDAYS(I1478, L1478, Holiday_Dates) &lt;= 0,
                1,
                NETWORKDAYS(I1478, L1478, Holiday_Dates) - IF(I1478 = L1478, 0, 1)
            )
        )
    ),
    ""
)</f>
        <v/>
      </c>
      <c r="Q1478" s="385" t="str">
        <f>IF(
    OR(ISBLANK(L1478), ISBLANK(M1478)),
    "",
    MAX(
        1,
        IF(
            NETWORKDAYS(L1478, M1478, Holiday_Dates) &lt;= 0,
            1,
            NETWORKDAYS(L1478, M1478, Holiday_Dates) - IF(L1478 = M1478, 0, 1)
        )
    )
)</f>
        <v/>
      </c>
      <c r="R1478" s="385" t="str">
        <f>IFERROR(
    IF(
        OR(ISBLANK(N1478), AND(ISBLANK(L1478), ISBLANK(M1478))),
        "",
        MAX(
            1,
            IF(
                NETWORKDAYS(IF(NOT(ISBLANK(M1478)), M1478, L1478), N1478, Holiday_Dates) &lt;= 0,
                1,
                NETWORKDAYS(IF(NOT(ISBLANK(M1478)), M1478, L1478), N1478, Holiday_Dates)
                - IF(IF(NOT(ISBLANK(M1478)), M1478, L1478) = N1478, 0, 1)
            )
        )
    ),
    ""
)</f>
        <v/>
      </c>
      <c r="S1478" s="385" t="str">
        <f>IFERROR(
    IF(
        OR(ISBLANK(N1478), ISBLANK(O1478)),
        "",
        MAX(
            1,
            IF(
                NETWORKDAYS(N1478, O1478, Holiday_Dates) &lt;= 0,
                1,
                NETWORKDAYS(N1478, O1478, Holiday_Dates) - IF(N1478 = O1478, 0, 1)
            )
        )
    ),
    ""
)</f>
        <v/>
      </c>
      <c r="T1478" s="385"/>
      <c r="U1478" s="385"/>
      <c r="V1478" s="385"/>
      <c r="W1478" s="385" t="s">
        <v>4710</v>
      </c>
      <c r="X1478" s="1"/>
    </row>
    <row r="1479" spans="1:24">
      <c r="A1479" s="385" t="s">
        <v>65</v>
      </c>
      <c r="B1479" s="385" t="s">
        <v>518</v>
      </c>
      <c r="C1479" s="385" t="s">
        <v>3234</v>
      </c>
      <c r="D1479" s="385" t="s">
        <v>88</v>
      </c>
      <c r="E1479" s="385"/>
      <c r="F1479" s="385"/>
      <c r="G1479" s="385"/>
      <c r="H1479" s="385">
        <v>2024</v>
      </c>
      <c r="I1479" s="386">
        <v>45469</v>
      </c>
      <c r="J1479" s="30"/>
      <c r="K1479" s="385"/>
      <c r="L1479" s="385"/>
      <c r="M1479" s="385"/>
      <c r="N1479" s="385"/>
      <c r="O1479" s="385"/>
      <c r="P1479" s="385" t="str">
        <f>IFERROR(
    IF(
        OR(ISBLANK(I1479), ISBLANK(L1479)),
        "",
        MAX(
            1,
            IF(
                NETWORKDAYS(I1479, L1479, Holiday_Dates) &lt;= 0,
                1,
                NETWORKDAYS(I1479, L1479, Holiday_Dates) - IF(I1479 = L1479, 0, 1)
            )
        )
    ),
    ""
)</f>
        <v/>
      </c>
      <c r="Q1479" s="385" t="str">
        <f>IF(
    OR(ISBLANK(L1479), ISBLANK(M1479)),
    "",
    MAX(
        1,
        IF(
            NETWORKDAYS(L1479, M1479, Holiday_Dates) &lt;= 0,
            1,
            NETWORKDAYS(L1479, M1479, Holiday_Dates) - IF(L1479 = M1479, 0, 1)
        )
    )
)</f>
        <v/>
      </c>
      <c r="R1479" s="385" t="str">
        <f>IFERROR(
    IF(
        OR(ISBLANK(N1479), AND(ISBLANK(L1479), ISBLANK(M1479))),
        "",
        MAX(
            1,
            IF(
                NETWORKDAYS(IF(NOT(ISBLANK(M1479)), M1479, L1479), N1479, Holiday_Dates) &lt;= 0,
                1,
                NETWORKDAYS(IF(NOT(ISBLANK(M1479)), M1479, L1479), N1479, Holiday_Dates)
                - IF(IF(NOT(ISBLANK(M1479)), M1479, L1479) = N1479, 0, 1)
            )
        )
    ),
    ""
)</f>
        <v/>
      </c>
      <c r="S1479" s="385" t="str">
        <f>IFERROR(
    IF(
        OR(ISBLANK(N1479), ISBLANK(O1479)),
        "",
        MAX(
            1,
            IF(
                NETWORKDAYS(N1479, O1479, Holiday_Dates) &lt;= 0,
                1,
                NETWORKDAYS(N1479, O1479, Holiday_Dates) - IF(N1479 = O1479, 0, 1)
            )
        )
    ),
    ""
)</f>
        <v/>
      </c>
      <c r="T1479" s="385"/>
      <c r="U1479" s="385" t="s">
        <v>4</v>
      </c>
      <c r="V1479" s="385" t="s">
        <v>101</v>
      </c>
      <c r="W1479" s="385" t="s">
        <v>1436</v>
      </c>
      <c r="X1479" s="1"/>
    </row>
    <row r="1480" spans="1:24">
      <c r="A1480" s="385" t="s">
        <v>52</v>
      </c>
      <c r="B1480" s="385" t="s">
        <v>4231</v>
      </c>
      <c r="C1480" s="385" t="s">
        <v>4252</v>
      </c>
      <c r="D1480" s="385" t="s">
        <v>88</v>
      </c>
      <c r="E1480" s="385" t="s">
        <v>37</v>
      </c>
      <c r="F1480" s="385"/>
      <c r="G1480" s="385" t="s">
        <v>28</v>
      </c>
      <c r="H1480" s="385"/>
      <c r="I1480" s="385"/>
      <c r="J1480" s="30"/>
      <c r="K1480" s="385" t="s">
        <v>63</v>
      </c>
      <c r="L1480" s="385"/>
      <c r="M1480" s="385"/>
      <c r="N1480" s="385"/>
      <c r="O1480" s="385"/>
      <c r="P1480" s="385" t="str">
        <f>IFERROR(
    IF(
        OR(ISBLANK(I1480), ISBLANK(L1480)),
        "",
        MAX(
            1,
            IF(
                NETWORKDAYS(I1480, L1480, Holiday_Dates) &lt;= 0,
                1,
                NETWORKDAYS(I1480, L1480, Holiday_Dates) - IF(I1480 = L1480, 0, 1)
            )
        )
    ),
    ""
)</f>
        <v/>
      </c>
      <c r="Q1480" s="385" t="str">
        <f>IF(
    OR(ISBLANK(L1480), ISBLANK(M1480)),
    "",
    MAX(
        1,
        IF(
            NETWORKDAYS(L1480, M1480, Holiday_Dates) &lt;= 0,
            1,
            NETWORKDAYS(L1480, M1480, Holiday_Dates) - IF(L1480 = M1480, 0, 1)
        )
    )
)</f>
        <v/>
      </c>
      <c r="R1480" s="385" t="str">
        <f>IFERROR(
    IF(
        OR(ISBLANK(N1480), AND(ISBLANK(L1480), ISBLANK(M1480))),
        "",
        MAX(
            1,
            IF(
                NETWORKDAYS(IF(NOT(ISBLANK(M1480)), M1480, L1480), N1480, Holiday_Dates) &lt;= 0,
                1,
                NETWORKDAYS(IF(NOT(ISBLANK(M1480)), M1480, L1480), N1480, Holiday_Dates)
                - IF(IF(NOT(ISBLANK(M1480)), M1480, L1480) = N1480, 0, 1)
            )
        )
    ),
    ""
)</f>
        <v/>
      </c>
      <c r="S1480" s="385" t="str">
        <f>IFERROR(
    IF(
        OR(ISBLANK(N1480), ISBLANK(O1480)),
        "",
        MAX(
            1,
            IF(
                NETWORKDAYS(N1480, O1480, Holiday_Dates) &lt;= 0,
                1,
                NETWORKDAYS(N1480, O1480, Holiday_Dates) - IF(N1480 = O1480, 0, 1)
            )
        )
    ),
    ""
)</f>
        <v/>
      </c>
      <c r="T1480" s="385"/>
      <c r="U1480" s="385"/>
      <c r="V1480" s="385"/>
      <c r="W1480" s="385" t="s">
        <v>4710</v>
      </c>
      <c r="X1480" s="1"/>
    </row>
    <row r="1481" spans="1:24">
      <c r="A1481" s="385" t="s">
        <v>52</v>
      </c>
      <c r="B1481" s="385" t="s">
        <v>4231</v>
      </c>
      <c r="C1481" s="385" t="s">
        <v>4253</v>
      </c>
      <c r="D1481" s="385" t="s">
        <v>88</v>
      </c>
      <c r="E1481" s="385" t="s">
        <v>37</v>
      </c>
      <c r="F1481" s="385"/>
      <c r="G1481" s="385" t="s">
        <v>28</v>
      </c>
      <c r="H1481" s="385"/>
      <c r="I1481" s="385"/>
      <c r="J1481" s="30"/>
      <c r="K1481" s="385" t="s">
        <v>63</v>
      </c>
      <c r="L1481" s="385"/>
      <c r="M1481" s="385"/>
      <c r="N1481" s="385"/>
      <c r="O1481" s="385"/>
      <c r="P1481" s="385" t="str">
        <f>IFERROR(
    IF(
        OR(ISBLANK(I1481), ISBLANK(L1481)),
        "",
        MAX(
            1,
            IF(
                NETWORKDAYS(I1481, L1481, Holiday_Dates) &lt;= 0,
                1,
                NETWORKDAYS(I1481, L1481, Holiday_Dates) - IF(I1481 = L1481, 0, 1)
            )
        )
    ),
    ""
)</f>
        <v/>
      </c>
      <c r="Q1481" s="385" t="str">
        <f>IF(
    OR(ISBLANK(L1481), ISBLANK(M1481)),
    "",
    MAX(
        1,
        IF(
            NETWORKDAYS(L1481, M1481, Holiday_Dates) &lt;= 0,
            1,
            NETWORKDAYS(L1481, M1481, Holiday_Dates) - IF(L1481 = M1481, 0, 1)
        )
    )
)</f>
        <v/>
      </c>
      <c r="R1481" s="385" t="str">
        <f>IFERROR(
    IF(
        OR(ISBLANK(N1481), AND(ISBLANK(L1481), ISBLANK(M1481))),
        "",
        MAX(
            1,
            IF(
                NETWORKDAYS(IF(NOT(ISBLANK(M1481)), M1481, L1481), N1481, Holiday_Dates) &lt;= 0,
                1,
                NETWORKDAYS(IF(NOT(ISBLANK(M1481)), M1481, L1481), N1481, Holiday_Dates)
                - IF(IF(NOT(ISBLANK(M1481)), M1481, L1481) = N1481, 0, 1)
            )
        )
    ),
    ""
)</f>
        <v/>
      </c>
      <c r="S1481" s="385" t="str">
        <f>IFERROR(
    IF(
        OR(ISBLANK(N1481), ISBLANK(O1481)),
        "",
        MAX(
            1,
            IF(
                NETWORKDAYS(N1481, O1481, Holiday_Dates) &lt;= 0,
                1,
                NETWORKDAYS(N1481, O1481, Holiday_Dates) - IF(N1481 = O1481, 0, 1)
            )
        )
    ),
    ""
)</f>
        <v/>
      </c>
      <c r="T1481" s="385"/>
      <c r="U1481" s="385"/>
      <c r="V1481" s="385"/>
      <c r="W1481" s="385" t="s">
        <v>4710</v>
      </c>
      <c r="X1481" s="1"/>
    </row>
    <row r="1482" spans="1:24">
      <c r="A1482" s="385" t="s">
        <v>65</v>
      </c>
      <c r="B1482" s="385" t="s">
        <v>518</v>
      </c>
      <c r="C1482" s="385" t="s">
        <v>728</v>
      </c>
      <c r="D1482" s="385" t="s">
        <v>88</v>
      </c>
      <c r="E1482" s="385"/>
      <c r="F1482" s="385"/>
      <c r="G1482" s="385"/>
      <c r="H1482" s="385">
        <v>2024</v>
      </c>
      <c r="I1482" s="386">
        <v>45470</v>
      </c>
      <c r="J1482" s="30"/>
      <c r="K1482" s="385"/>
      <c r="L1482" s="385"/>
      <c r="M1482" s="385"/>
      <c r="N1482" s="385"/>
      <c r="O1482" s="385"/>
      <c r="P1482" s="385" t="str">
        <f>IFERROR(
    IF(
        OR(ISBLANK(I1482), ISBLANK(L1482)),
        "",
        MAX(
            1,
            IF(
                NETWORKDAYS(I1482, L1482, Holiday_Dates) &lt;= 0,
                1,
                NETWORKDAYS(I1482, L1482, Holiday_Dates) - IF(I1482 = L1482, 0, 1)
            )
        )
    ),
    ""
)</f>
        <v/>
      </c>
      <c r="Q1482" s="385" t="str">
        <f>IF(
    OR(ISBLANK(L1482), ISBLANK(M1482)),
    "",
    MAX(
        1,
        IF(
            NETWORKDAYS(L1482, M1482, Holiday_Dates) &lt;= 0,
            1,
            NETWORKDAYS(L1482, M1482, Holiday_Dates) - IF(L1482 = M1482, 0, 1)
        )
    )
)</f>
        <v/>
      </c>
      <c r="R1482" s="385" t="str">
        <f>IFERROR(
    IF(
        OR(ISBLANK(N1482), AND(ISBLANK(L1482), ISBLANK(M1482))),
        "",
        MAX(
            1,
            IF(
                NETWORKDAYS(IF(NOT(ISBLANK(M1482)), M1482, L1482), N1482, Holiday_Dates) &lt;= 0,
                1,
                NETWORKDAYS(IF(NOT(ISBLANK(M1482)), M1482, L1482), N1482, Holiday_Dates)
                - IF(IF(NOT(ISBLANK(M1482)), M1482, L1482) = N1482, 0, 1)
            )
        )
    ),
    ""
)</f>
        <v/>
      </c>
      <c r="S1482" s="385" t="str">
        <f>IFERROR(
    IF(
        OR(ISBLANK(N1482), ISBLANK(O1482)),
        "",
        MAX(
            1,
            IF(
                NETWORKDAYS(N1482, O1482, Holiday_Dates) &lt;= 0,
                1,
                NETWORKDAYS(N1482, O1482, Holiday_Dates) - IF(N1482 = O1482, 0, 1)
            )
        )
    ),
    ""
)</f>
        <v/>
      </c>
      <c r="T1482" s="385"/>
      <c r="U1482" s="385" t="s">
        <v>4</v>
      </c>
      <c r="V1482" s="385" t="s">
        <v>101</v>
      </c>
      <c r="W1482" s="385" t="s">
        <v>1436</v>
      </c>
      <c r="X1482" s="1"/>
    </row>
    <row r="1483" spans="1:24">
      <c r="A1483" s="385" t="s">
        <v>52</v>
      </c>
      <c r="B1483" s="385" t="s">
        <v>4231</v>
      </c>
      <c r="C1483" s="385" t="s">
        <v>4254</v>
      </c>
      <c r="D1483" s="385" t="s">
        <v>88</v>
      </c>
      <c r="E1483" s="385" t="s">
        <v>37</v>
      </c>
      <c r="F1483" s="385"/>
      <c r="G1483" s="385" t="s">
        <v>28</v>
      </c>
      <c r="H1483" s="385"/>
      <c r="I1483" s="386"/>
      <c r="J1483" s="30"/>
      <c r="K1483" s="385" t="s">
        <v>63</v>
      </c>
      <c r="L1483" s="385"/>
      <c r="M1483" s="385"/>
      <c r="N1483" s="385"/>
      <c r="O1483" s="385"/>
      <c r="P1483" s="385" t="str">
        <f>IFERROR(
    IF(
        OR(ISBLANK(I1483), ISBLANK(L1483)),
        "",
        MAX(
            1,
            IF(
                NETWORKDAYS(I1483, L1483, Holiday_Dates) &lt;= 0,
                1,
                NETWORKDAYS(I1483, L1483, Holiday_Dates) - IF(I1483 = L1483, 0, 1)
            )
        )
    ),
    ""
)</f>
        <v/>
      </c>
      <c r="Q1483" s="385" t="str">
        <f>IF(
    OR(ISBLANK(L1483), ISBLANK(M1483)),
    "",
    MAX(
        1,
        IF(
            NETWORKDAYS(L1483, M1483, Holiday_Dates) &lt;= 0,
            1,
            NETWORKDAYS(L1483, M1483, Holiday_Dates) - IF(L1483 = M1483, 0, 1)
        )
    )
)</f>
        <v/>
      </c>
      <c r="R1483" s="385" t="str">
        <f>IFERROR(
    IF(
        OR(ISBLANK(N1483), AND(ISBLANK(L1483), ISBLANK(M1483))),
        "",
        MAX(
            1,
            IF(
                NETWORKDAYS(IF(NOT(ISBLANK(M1483)), M1483, L1483), N1483, Holiday_Dates) &lt;= 0,
                1,
                NETWORKDAYS(IF(NOT(ISBLANK(M1483)), M1483, L1483), N1483, Holiday_Dates)
                - IF(IF(NOT(ISBLANK(M1483)), M1483, L1483) = N1483, 0, 1)
            )
        )
    ),
    ""
)</f>
        <v/>
      </c>
      <c r="S1483" s="385" t="str">
        <f>IFERROR(
    IF(
        OR(ISBLANK(N1483), ISBLANK(O1483)),
        "",
        MAX(
            1,
            IF(
                NETWORKDAYS(N1483, O1483, Holiday_Dates) &lt;= 0,
                1,
                NETWORKDAYS(N1483, O1483, Holiday_Dates) - IF(N1483 = O1483, 0, 1)
            )
        )
    ),
    ""
)</f>
        <v/>
      </c>
      <c r="T1483" s="385"/>
      <c r="U1483" s="385"/>
      <c r="V1483" s="385"/>
      <c r="W1483" s="385" t="s">
        <v>4710</v>
      </c>
      <c r="X1483" s="1"/>
    </row>
    <row r="1484" spans="1:24">
      <c r="A1484" s="385" t="s">
        <v>52</v>
      </c>
      <c r="B1484" s="385" t="s">
        <v>4231</v>
      </c>
      <c r="C1484" s="385" t="s">
        <v>3588</v>
      </c>
      <c r="D1484" s="385" t="s">
        <v>88</v>
      </c>
      <c r="E1484" s="385" t="s">
        <v>37</v>
      </c>
      <c r="F1484" s="385"/>
      <c r="G1484" s="385" t="s">
        <v>28</v>
      </c>
      <c r="H1484" s="385"/>
      <c r="I1484" s="385"/>
      <c r="J1484" s="30"/>
      <c r="K1484" s="385" t="s">
        <v>63</v>
      </c>
      <c r="L1484" s="385"/>
      <c r="M1484" s="385"/>
      <c r="N1484" s="385"/>
      <c r="O1484" s="385"/>
      <c r="P1484" s="385" t="str">
        <f>IFERROR(
    IF(
        OR(ISBLANK(I1484), ISBLANK(L1484)),
        "",
        MAX(
            1,
            IF(
                NETWORKDAYS(I1484, L1484, Holiday_Dates) &lt;= 0,
                1,
                NETWORKDAYS(I1484, L1484, Holiday_Dates) - IF(I1484 = L1484, 0, 1)
            )
        )
    ),
    ""
)</f>
        <v/>
      </c>
      <c r="Q1484" s="385" t="str">
        <f>IF(
    OR(ISBLANK(L1484), ISBLANK(M1484)),
    "",
    MAX(
        1,
        IF(
            NETWORKDAYS(L1484, M1484, Holiday_Dates) &lt;= 0,
            1,
            NETWORKDAYS(L1484, M1484, Holiday_Dates) - IF(L1484 = M1484, 0, 1)
        )
    )
)</f>
        <v/>
      </c>
      <c r="R1484" s="385" t="str">
        <f>IFERROR(
    IF(
        OR(ISBLANK(N1484), AND(ISBLANK(L1484), ISBLANK(M1484))),
        "",
        MAX(
            1,
            IF(
                NETWORKDAYS(IF(NOT(ISBLANK(M1484)), M1484, L1484), N1484, Holiday_Dates) &lt;= 0,
                1,
                NETWORKDAYS(IF(NOT(ISBLANK(M1484)), M1484, L1484), N1484, Holiday_Dates)
                - IF(IF(NOT(ISBLANK(M1484)), M1484, L1484) = N1484, 0, 1)
            )
        )
    ),
    ""
)</f>
        <v/>
      </c>
      <c r="S1484" s="385" t="str">
        <f>IFERROR(
    IF(
        OR(ISBLANK(N1484), ISBLANK(O1484)),
        "",
        MAX(
            1,
            IF(
                NETWORKDAYS(N1484, O1484, Holiday_Dates) &lt;= 0,
                1,
                NETWORKDAYS(N1484, O1484, Holiday_Dates) - IF(N1484 = O1484, 0, 1)
            )
        )
    ),
    ""
)</f>
        <v/>
      </c>
      <c r="T1484" s="385"/>
      <c r="U1484" s="385"/>
      <c r="V1484" s="385"/>
      <c r="W1484" s="385" t="s">
        <v>4710</v>
      </c>
      <c r="X1484" s="1"/>
    </row>
    <row r="1485" spans="1:24">
      <c r="A1485" s="385" t="s">
        <v>52</v>
      </c>
      <c r="B1485" s="385" t="s">
        <v>4231</v>
      </c>
      <c r="C1485" s="385" t="s">
        <v>4255</v>
      </c>
      <c r="D1485" s="385" t="s">
        <v>88</v>
      </c>
      <c r="E1485" s="385" t="s">
        <v>37</v>
      </c>
      <c r="F1485" s="385"/>
      <c r="G1485" s="385" t="s">
        <v>28</v>
      </c>
      <c r="H1485" s="385"/>
      <c r="I1485" s="385"/>
      <c r="J1485" s="30"/>
      <c r="K1485" s="385" t="s">
        <v>63</v>
      </c>
      <c r="L1485" s="385"/>
      <c r="M1485" s="385"/>
      <c r="N1485" s="385"/>
      <c r="O1485" s="385"/>
      <c r="P1485" s="385" t="str">
        <f>IFERROR(
    IF(
        OR(ISBLANK(I1485), ISBLANK(L1485)),
        "",
        MAX(
            1,
            IF(
                NETWORKDAYS(I1485, L1485, Holiday_Dates) &lt;= 0,
                1,
                NETWORKDAYS(I1485, L1485, Holiday_Dates) - IF(I1485 = L1485, 0, 1)
            )
        )
    ),
    ""
)</f>
        <v/>
      </c>
      <c r="Q1485" s="385" t="str">
        <f>IF(
    OR(ISBLANK(L1485), ISBLANK(M1485)),
    "",
    MAX(
        1,
        IF(
            NETWORKDAYS(L1485, M1485, Holiday_Dates) &lt;= 0,
            1,
            NETWORKDAYS(L1485, M1485, Holiday_Dates) - IF(L1485 = M1485, 0, 1)
        )
    )
)</f>
        <v/>
      </c>
      <c r="R1485" s="385" t="str">
        <f>IFERROR(
    IF(
        OR(ISBLANK(N1485), AND(ISBLANK(L1485), ISBLANK(M1485))),
        "",
        MAX(
            1,
            IF(
                NETWORKDAYS(IF(NOT(ISBLANK(M1485)), M1485, L1485), N1485, Holiday_Dates) &lt;= 0,
                1,
                NETWORKDAYS(IF(NOT(ISBLANK(M1485)), M1485, L1485), N1485, Holiday_Dates)
                - IF(IF(NOT(ISBLANK(M1485)), M1485, L1485) = N1485, 0, 1)
            )
        )
    ),
    ""
)</f>
        <v/>
      </c>
      <c r="S1485" s="385" t="str">
        <f>IFERROR(
    IF(
        OR(ISBLANK(N1485), ISBLANK(O1485)),
        "",
        MAX(
            1,
            IF(
                NETWORKDAYS(N1485, O1485, Holiday_Dates) &lt;= 0,
                1,
                NETWORKDAYS(N1485, O1485, Holiday_Dates) - IF(N1485 = O1485, 0, 1)
            )
        )
    ),
    ""
)</f>
        <v/>
      </c>
      <c r="T1485" s="385"/>
      <c r="U1485" s="385"/>
      <c r="V1485" s="385"/>
      <c r="W1485" s="385" t="s">
        <v>4710</v>
      </c>
      <c r="X1485" s="1"/>
    </row>
    <row r="1486" spans="1:24">
      <c r="A1486" s="385" t="s">
        <v>65</v>
      </c>
      <c r="B1486" s="385" t="s">
        <v>518</v>
      </c>
      <c r="C1486" s="385" t="s">
        <v>3238</v>
      </c>
      <c r="D1486" s="385" t="s">
        <v>88</v>
      </c>
      <c r="E1486" s="385"/>
      <c r="F1486" s="385"/>
      <c r="G1486" s="385"/>
      <c r="H1486" s="385">
        <v>2024</v>
      </c>
      <c r="I1486" s="386">
        <v>45469</v>
      </c>
      <c r="J1486" s="30"/>
      <c r="K1486" s="385"/>
      <c r="L1486" s="385"/>
      <c r="M1486" s="385"/>
      <c r="N1486" s="385"/>
      <c r="O1486" s="385"/>
      <c r="P1486" s="385" t="str">
        <f>IFERROR(
    IF(
        OR(ISBLANK(I1486), ISBLANK(L1486)),
        "",
        MAX(
            1,
            IF(
                NETWORKDAYS(I1486, L1486, Holiday_Dates) &lt;= 0,
                1,
                NETWORKDAYS(I1486, L1486, Holiday_Dates) - IF(I1486 = L1486, 0, 1)
            )
        )
    ),
    ""
)</f>
        <v/>
      </c>
      <c r="Q1486" s="385" t="str">
        <f>IF(
    OR(ISBLANK(L1486), ISBLANK(M1486)),
    "",
    MAX(
        1,
        IF(
            NETWORKDAYS(L1486, M1486, Holiday_Dates) &lt;= 0,
            1,
            NETWORKDAYS(L1486, M1486, Holiday_Dates) - IF(L1486 = M1486, 0, 1)
        )
    )
)</f>
        <v/>
      </c>
      <c r="R1486" s="385" t="str">
        <f>IFERROR(
    IF(
        OR(ISBLANK(N1486), AND(ISBLANK(L1486), ISBLANK(M1486))),
        "",
        MAX(
            1,
            IF(
                NETWORKDAYS(IF(NOT(ISBLANK(M1486)), M1486, L1486), N1486, Holiday_Dates) &lt;= 0,
                1,
                NETWORKDAYS(IF(NOT(ISBLANK(M1486)), M1486, L1486), N1486, Holiday_Dates)
                - IF(IF(NOT(ISBLANK(M1486)), M1486, L1486) = N1486, 0, 1)
            )
        )
    ),
    ""
)</f>
        <v/>
      </c>
      <c r="S1486" s="385" t="str">
        <f>IFERROR(
    IF(
        OR(ISBLANK(N1486), ISBLANK(O1486)),
        "",
        MAX(
            1,
            IF(
                NETWORKDAYS(N1486, O1486, Holiday_Dates) &lt;= 0,
                1,
                NETWORKDAYS(N1486, O1486, Holiday_Dates) - IF(N1486 = O1486, 0, 1)
            )
        )
    ),
    ""
)</f>
        <v/>
      </c>
      <c r="T1486" s="385"/>
      <c r="U1486" s="385" t="s">
        <v>4</v>
      </c>
      <c r="V1486" s="385" t="s">
        <v>101</v>
      </c>
      <c r="W1486" s="385" t="s">
        <v>1436</v>
      </c>
      <c r="X1486" s="1"/>
    </row>
    <row r="1487" spans="1:24">
      <c r="A1487" s="385" t="s">
        <v>65</v>
      </c>
      <c r="B1487" s="385" t="s">
        <v>979</v>
      </c>
      <c r="C1487" s="385" t="s">
        <v>980</v>
      </c>
      <c r="D1487" s="385" t="s">
        <v>88</v>
      </c>
      <c r="E1487" s="385"/>
      <c r="F1487" s="385"/>
      <c r="G1487" s="385"/>
      <c r="H1487" s="385">
        <v>2024</v>
      </c>
      <c r="I1487" s="386">
        <v>45510</v>
      </c>
      <c r="J1487" s="30"/>
      <c r="K1487" s="385"/>
      <c r="L1487" s="385"/>
      <c r="M1487" s="385"/>
      <c r="N1487" s="385"/>
      <c r="O1487" s="385"/>
      <c r="P1487" s="385" t="str">
        <f>IFERROR(
    IF(
        OR(ISBLANK(I1487), ISBLANK(L1487)),
        "",
        MAX(
            1,
            IF(
                NETWORKDAYS(I1487, L1487, Holiday_Dates) &lt;= 0,
                1,
                NETWORKDAYS(I1487, L1487, Holiday_Dates) - IF(I1487 = L1487, 0, 1)
            )
        )
    ),
    ""
)</f>
        <v/>
      </c>
      <c r="Q1487" s="385" t="str">
        <f>IF(
    OR(ISBLANK(L1487), ISBLANK(M1487)),
    "",
    MAX(
        1,
        IF(
            NETWORKDAYS(L1487, M1487, Holiday_Dates) &lt;= 0,
            1,
            NETWORKDAYS(L1487, M1487, Holiday_Dates) - IF(L1487 = M1487, 0, 1)
        )
    )
)</f>
        <v/>
      </c>
      <c r="R1487" s="385" t="str">
        <f>IFERROR(
    IF(
        OR(ISBLANK(N1487), AND(ISBLANK(L1487), ISBLANK(M1487))),
        "",
        MAX(
            1,
            IF(
                NETWORKDAYS(IF(NOT(ISBLANK(M1487)), M1487, L1487), N1487, Holiday_Dates) &lt;= 0,
                1,
                NETWORKDAYS(IF(NOT(ISBLANK(M1487)), M1487, L1487), N1487, Holiday_Dates)
                - IF(IF(NOT(ISBLANK(M1487)), M1487, L1487) = N1487, 0, 1)
            )
        )
    ),
    ""
)</f>
        <v/>
      </c>
      <c r="S1487" s="385" t="str">
        <f>IFERROR(
    IF(
        OR(ISBLANK(N1487), ISBLANK(O1487)),
        "",
        MAX(
            1,
            IF(
                NETWORKDAYS(N1487, O1487, Holiday_Dates) &lt;= 0,
                1,
                NETWORKDAYS(N1487, O1487, Holiday_Dates) - IF(N1487 = O1487, 0, 1)
            )
        )
    ),
    ""
)</f>
        <v/>
      </c>
      <c r="T1487" s="385"/>
      <c r="U1487" s="385" t="s">
        <v>672</v>
      </c>
      <c r="V1487" s="385" t="s">
        <v>101</v>
      </c>
      <c r="W1487" s="385" t="s">
        <v>1436</v>
      </c>
      <c r="X1487" s="1"/>
    </row>
    <row r="1488" spans="1:24">
      <c r="A1488" s="385" t="s">
        <v>65</v>
      </c>
      <c r="B1488" s="385" t="s">
        <v>979</v>
      </c>
      <c r="C1488" s="385" t="s">
        <v>3241</v>
      </c>
      <c r="D1488" s="385" t="s">
        <v>88</v>
      </c>
      <c r="E1488" s="385"/>
      <c r="F1488" s="385"/>
      <c r="G1488" s="385"/>
      <c r="H1488" s="385">
        <v>2025</v>
      </c>
      <c r="I1488" s="386">
        <v>45750</v>
      </c>
      <c r="J1488" s="30" t="s">
        <v>5280</v>
      </c>
      <c r="K1488" s="385"/>
      <c r="L1488" s="385"/>
      <c r="M1488" s="385"/>
      <c r="N1488" s="385"/>
      <c r="O1488" s="385"/>
      <c r="P1488" s="385" t="str">
        <f>IFERROR(
    IF(
        OR(ISBLANK(I1488), ISBLANK(L1488)),
        "",
        MAX(
            1,
            IF(
                NETWORKDAYS(I1488, L1488, Holiday_Dates) &lt;= 0,
                1,
                NETWORKDAYS(I1488, L1488, Holiday_Dates) - IF(I1488 = L1488, 0, 1)
            )
        )
    ),
    ""
)</f>
        <v/>
      </c>
      <c r="Q1488" s="385" t="str">
        <f>IF(
    OR(ISBLANK(L1488), ISBLANK(M1488)),
    "",
    MAX(
        1,
        IF(
            NETWORKDAYS(L1488, M1488, Holiday_Dates) &lt;= 0,
            1,
            NETWORKDAYS(L1488, M1488, Holiday_Dates) - IF(L1488 = M1488, 0, 1)
        )
    )
)</f>
        <v/>
      </c>
      <c r="R1488" s="385" t="str">
        <f>IFERROR(
    IF(
        OR(ISBLANK(N1488), AND(ISBLANK(L1488), ISBLANK(M1488))),
        "",
        MAX(
            1,
            IF(
                NETWORKDAYS(IF(NOT(ISBLANK(M1488)), M1488, L1488), N1488, Holiday_Dates) &lt;= 0,
                1,
                NETWORKDAYS(IF(NOT(ISBLANK(M1488)), M1488, L1488), N1488, Holiday_Dates)
                - IF(IF(NOT(ISBLANK(M1488)), M1488, L1488) = N1488, 0, 1)
            )
        )
    ),
    ""
)</f>
        <v/>
      </c>
      <c r="S1488" s="385" t="str">
        <f>IFERROR(
    IF(
        OR(ISBLANK(N1488), ISBLANK(O1488)),
        "",
        MAX(
            1,
            IF(
                NETWORKDAYS(N1488, O1488, Holiday_Dates) &lt;= 0,
                1,
                NETWORKDAYS(N1488, O1488, Holiday_Dates) - IF(N1488 = O1488, 0, 1)
            )
        )
    ),
    ""
)</f>
        <v/>
      </c>
      <c r="T1488" s="385"/>
      <c r="U1488" s="385" t="s">
        <v>672</v>
      </c>
      <c r="V1488" s="385" t="s">
        <v>101</v>
      </c>
      <c r="W1488" s="385" t="s">
        <v>1436</v>
      </c>
      <c r="X1488" s="1"/>
    </row>
    <row r="1489" spans="1:24">
      <c r="A1489" s="385" t="s">
        <v>65</v>
      </c>
      <c r="B1489" s="385" t="s">
        <v>979</v>
      </c>
      <c r="C1489" s="385" t="s">
        <v>2409</v>
      </c>
      <c r="D1489" s="385" t="s">
        <v>88</v>
      </c>
      <c r="E1489" s="385"/>
      <c r="F1489" s="385"/>
      <c r="G1489" s="385"/>
      <c r="H1489" s="385">
        <v>2025</v>
      </c>
      <c r="I1489" s="386">
        <v>45931</v>
      </c>
      <c r="J1489" s="30" t="s">
        <v>5281</v>
      </c>
      <c r="K1489" s="385"/>
      <c r="L1489" s="385"/>
      <c r="M1489" s="385"/>
      <c r="N1489" s="385"/>
      <c r="O1489" s="385"/>
      <c r="P1489" s="385" t="str">
        <f>IFERROR(
    IF(
        OR(ISBLANK(I1489), ISBLANK(L1489)),
        "",
        MAX(
            1,
            IF(
                NETWORKDAYS(I1489, L1489, Holiday_Dates) &lt;= 0,
                1,
                NETWORKDAYS(I1489, L1489, Holiday_Dates) - IF(I1489 = L1489, 0, 1)
            )
        )
    ),
    ""
)</f>
        <v/>
      </c>
      <c r="Q1489" s="385" t="str">
        <f>IF(
    OR(ISBLANK(L1489), ISBLANK(M1489)),
    "",
    MAX(
        1,
        IF(
            NETWORKDAYS(L1489, M1489, Holiday_Dates) &lt;= 0,
            1,
            NETWORKDAYS(L1489, M1489, Holiday_Dates) - IF(L1489 = M1489, 0, 1)
        )
    )
)</f>
        <v/>
      </c>
      <c r="R1489" s="385" t="str">
        <f>IFERROR(
    IF(
        OR(ISBLANK(N1489), AND(ISBLANK(L1489), ISBLANK(M1489))),
        "",
        MAX(
            1,
            IF(
                NETWORKDAYS(IF(NOT(ISBLANK(M1489)), M1489, L1489), N1489, Holiday_Dates) &lt;= 0,
                1,
                NETWORKDAYS(IF(NOT(ISBLANK(M1489)), M1489, L1489), N1489, Holiday_Dates)
                - IF(IF(NOT(ISBLANK(M1489)), M1489, L1489) = N1489, 0, 1)
            )
        )
    ),
    ""
)</f>
        <v/>
      </c>
      <c r="S1489" s="385" t="str">
        <f>IFERROR(
    IF(
        OR(ISBLANK(N1489), ISBLANK(O1489)),
        "",
        MAX(
            1,
            IF(
                NETWORKDAYS(N1489, O1489, Holiday_Dates) &lt;= 0,
                1,
                NETWORKDAYS(N1489, O1489, Holiday_Dates) - IF(N1489 = O1489, 0, 1)
            )
        )
    ),
    ""
)</f>
        <v/>
      </c>
      <c r="T1489" s="385"/>
      <c r="U1489" s="385" t="s">
        <v>672</v>
      </c>
      <c r="V1489" s="385" t="s">
        <v>101</v>
      </c>
      <c r="W1489" s="385" t="s">
        <v>1436</v>
      </c>
      <c r="X1489" s="1"/>
    </row>
    <row r="1490" spans="1:24">
      <c r="A1490" s="385" t="s">
        <v>65</v>
      </c>
      <c r="B1490" s="385" t="s">
        <v>979</v>
      </c>
      <c r="C1490" s="385" t="s">
        <v>2410</v>
      </c>
      <c r="D1490" s="385" t="s">
        <v>88</v>
      </c>
      <c r="E1490" s="385"/>
      <c r="F1490" s="385"/>
      <c r="G1490" s="385"/>
      <c r="H1490" s="385">
        <v>2025</v>
      </c>
      <c r="I1490" s="386">
        <v>45931</v>
      </c>
      <c r="J1490" s="30" t="s">
        <v>5282</v>
      </c>
      <c r="K1490" s="385"/>
      <c r="L1490" s="385"/>
      <c r="M1490" s="385"/>
      <c r="N1490" s="385"/>
      <c r="O1490" s="385"/>
      <c r="P1490" s="385" t="str">
        <f>IFERROR(
    IF(
        OR(ISBLANK(I1490), ISBLANK(L1490)),
        "",
        MAX(
            1,
            IF(
                NETWORKDAYS(I1490, L1490, Holiday_Dates) &lt;= 0,
                1,
                NETWORKDAYS(I1490, L1490, Holiday_Dates) - IF(I1490 = L1490, 0, 1)
            )
        )
    ),
    ""
)</f>
        <v/>
      </c>
      <c r="Q1490" s="385" t="str">
        <f>IF(
    OR(ISBLANK(L1490), ISBLANK(M1490)),
    "",
    MAX(
        1,
        IF(
            NETWORKDAYS(L1490, M1490, Holiday_Dates) &lt;= 0,
            1,
            NETWORKDAYS(L1490, M1490, Holiday_Dates) - IF(L1490 = M1490, 0, 1)
        )
    )
)</f>
        <v/>
      </c>
      <c r="R1490" s="385" t="str">
        <f>IFERROR(
    IF(
        OR(ISBLANK(N1490), AND(ISBLANK(L1490), ISBLANK(M1490))),
        "",
        MAX(
            1,
            IF(
                NETWORKDAYS(IF(NOT(ISBLANK(M1490)), M1490, L1490), N1490, Holiday_Dates) &lt;= 0,
                1,
                NETWORKDAYS(IF(NOT(ISBLANK(M1490)), M1490, L1490), N1490, Holiday_Dates)
                - IF(IF(NOT(ISBLANK(M1490)), M1490, L1490) = N1490, 0, 1)
            )
        )
    ),
    ""
)</f>
        <v/>
      </c>
      <c r="S1490" s="385" t="str">
        <f>IFERROR(
    IF(
        OR(ISBLANK(N1490), ISBLANK(O1490)),
        "",
        MAX(
            1,
            IF(
                NETWORKDAYS(N1490, O1490, Holiday_Dates) &lt;= 0,
                1,
                NETWORKDAYS(N1490, O1490, Holiday_Dates) - IF(N1490 = O1490, 0, 1)
            )
        )
    ),
    ""
)</f>
        <v/>
      </c>
      <c r="T1490" s="385"/>
      <c r="U1490" s="385" t="s">
        <v>672</v>
      </c>
      <c r="V1490" s="385" t="s">
        <v>101</v>
      </c>
      <c r="W1490" s="385" t="s">
        <v>1436</v>
      </c>
      <c r="X1490" s="1"/>
    </row>
    <row r="1491" spans="1:24">
      <c r="A1491" s="385" t="s">
        <v>65</v>
      </c>
      <c r="B1491" s="385" t="s">
        <v>979</v>
      </c>
      <c r="C1491" s="385" t="s">
        <v>3242</v>
      </c>
      <c r="D1491" s="385" t="s">
        <v>88</v>
      </c>
      <c r="E1491" s="385"/>
      <c r="F1491" s="385"/>
      <c r="G1491" s="385"/>
      <c r="H1491" s="385">
        <v>2025</v>
      </c>
      <c r="I1491" s="386">
        <v>45931</v>
      </c>
      <c r="J1491" s="30" t="s">
        <v>5283</v>
      </c>
      <c r="K1491" s="385"/>
      <c r="L1491" s="385"/>
      <c r="M1491" s="385"/>
      <c r="N1491" s="385"/>
      <c r="O1491" s="385"/>
      <c r="P1491" s="385" t="str">
        <f>IFERROR(
    IF(
        OR(ISBLANK(I1491), ISBLANK(L1491)),
        "",
        MAX(
            1,
            IF(
                NETWORKDAYS(I1491, L1491, Holiday_Dates) &lt;= 0,
                1,
                NETWORKDAYS(I1491, L1491, Holiday_Dates) - IF(I1491 = L1491, 0, 1)
            )
        )
    ),
    ""
)</f>
        <v/>
      </c>
      <c r="Q1491" s="385" t="str">
        <f>IF(
    OR(ISBLANK(L1491), ISBLANK(M1491)),
    "",
    MAX(
        1,
        IF(
            NETWORKDAYS(L1491, M1491, Holiday_Dates) &lt;= 0,
            1,
            NETWORKDAYS(L1491, M1491, Holiday_Dates) - IF(L1491 = M1491, 0, 1)
        )
    )
)</f>
        <v/>
      </c>
      <c r="R1491" s="385" t="str">
        <f>IFERROR(
    IF(
        OR(ISBLANK(N1491), AND(ISBLANK(L1491), ISBLANK(M1491))),
        "",
        MAX(
            1,
            IF(
                NETWORKDAYS(IF(NOT(ISBLANK(M1491)), M1491, L1491), N1491, Holiday_Dates) &lt;= 0,
                1,
                NETWORKDAYS(IF(NOT(ISBLANK(M1491)), M1491, L1491), N1491, Holiday_Dates)
                - IF(IF(NOT(ISBLANK(M1491)), M1491, L1491) = N1491, 0, 1)
            )
        )
    ),
    ""
)</f>
        <v/>
      </c>
      <c r="S1491" s="385" t="str">
        <f>IFERROR(
    IF(
        OR(ISBLANK(N1491), ISBLANK(O1491)),
        "",
        MAX(
            1,
            IF(
                NETWORKDAYS(N1491, O1491, Holiday_Dates) &lt;= 0,
                1,
                NETWORKDAYS(N1491, O1491, Holiday_Dates) - IF(N1491 = O1491, 0, 1)
            )
        )
    ),
    ""
)</f>
        <v/>
      </c>
      <c r="T1491" s="385"/>
      <c r="U1491" s="385" t="s">
        <v>672</v>
      </c>
      <c r="V1491" s="385" t="s">
        <v>101</v>
      </c>
      <c r="W1491" s="385" t="s">
        <v>1436</v>
      </c>
      <c r="X1491" s="1"/>
    </row>
    <row r="1492" spans="1:24">
      <c r="A1492" s="385" t="s">
        <v>65</v>
      </c>
      <c r="B1492" s="385" t="s">
        <v>979</v>
      </c>
      <c r="C1492" s="385" t="s">
        <v>3243</v>
      </c>
      <c r="D1492" s="385" t="s">
        <v>88</v>
      </c>
      <c r="E1492" s="385"/>
      <c r="F1492" s="385"/>
      <c r="G1492" s="385"/>
      <c r="H1492" s="385">
        <v>2024</v>
      </c>
      <c r="I1492" s="386">
        <v>45552</v>
      </c>
      <c r="J1492" s="30"/>
      <c r="K1492" s="385"/>
      <c r="L1492" s="385"/>
      <c r="M1492" s="385"/>
      <c r="N1492" s="385"/>
      <c r="O1492" s="385"/>
      <c r="P1492" s="385" t="str">
        <f>IFERROR(
    IF(
        OR(ISBLANK(I1492), ISBLANK(L1492)),
        "",
        MAX(
            1,
            IF(
                NETWORKDAYS(I1492, L1492, Holiday_Dates) &lt;= 0,
                1,
                NETWORKDAYS(I1492, L1492, Holiday_Dates) - IF(I1492 = L1492, 0, 1)
            )
        )
    ),
    ""
)</f>
        <v/>
      </c>
      <c r="Q1492" s="385" t="str">
        <f>IF(
    OR(ISBLANK(L1492), ISBLANK(M1492)),
    "",
    MAX(
        1,
        IF(
            NETWORKDAYS(L1492, M1492, Holiday_Dates) &lt;= 0,
            1,
            NETWORKDAYS(L1492, M1492, Holiday_Dates) - IF(L1492 = M1492, 0, 1)
        )
    )
)</f>
        <v/>
      </c>
      <c r="R1492" s="385" t="str">
        <f>IFERROR(
    IF(
        OR(ISBLANK(N1492), AND(ISBLANK(L1492), ISBLANK(M1492))),
        "",
        MAX(
            1,
            IF(
                NETWORKDAYS(IF(NOT(ISBLANK(M1492)), M1492, L1492), N1492, Holiday_Dates) &lt;= 0,
                1,
                NETWORKDAYS(IF(NOT(ISBLANK(M1492)), M1492, L1492), N1492, Holiday_Dates)
                - IF(IF(NOT(ISBLANK(M1492)), M1492, L1492) = N1492, 0, 1)
            )
        )
    ),
    ""
)</f>
        <v/>
      </c>
      <c r="S1492" s="385" t="str">
        <f>IFERROR(
    IF(
        OR(ISBLANK(N1492), ISBLANK(O1492)),
        "",
        MAX(
            1,
            IF(
                NETWORKDAYS(N1492, O1492, Holiday_Dates) &lt;= 0,
                1,
                NETWORKDAYS(N1492, O1492, Holiday_Dates) - IF(N1492 = O1492, 0, 1)
            )
        )
    ),
    ""
)</f>
        <v/>
      </c>
      <c r="T1492" s="385"/>
      <c r="U1492" s="385" t="s">
        <v>4</v>
      </c>
      <c r="V1492" s="385" t="s">
        <v>101</v>
      </c>
      <c r="W1492" s="385" t="s">
        <v>1436</v>
      </c>
      <c r="X1492" s="1"/>
    </row>
    <row r="1493" spans="1:24">
      <c r="A1493" s="385" t="s">
        <v>52</v>
      </c>
      <c r="B1493" s="385" t="s">
        <v>4231</v>
      </c>
      <c r="C1493" s="385" t="s">
        <v>4257</v>
      </c>
      <c r="D1493" s="385" t="s">
        <v>88</v>
      </c>
      <c r="E1493" s="385" t="s">
        <v>37</v>
      </c>
      <c r="F1493" s="385"/>
      <c r="G1493" s="385" t="s">
        <v>28</v>
      </c>
      <c r="H1493" s="385"/>
      <c r="I1493" s="385"/>
      <c r="J1493" s="30"/>
      <c r="K1493" s="385" t="s">
        <v>63</v>
      </c>
      <c r="L1493" s="385"/>
      <c r="M1493" s="385"/>
      <c r="N1493" s="385"/>
      <c r="O1493" s="385"/>
      <c r="P1493" s="385" t="str">
        <f>IFERROR(
    IF(
        OR(ISBLANK(I1493), ISBLANK(L1493)),
        "",
        MAX(
            1,
            IF(
                NETWORKDAYS(I1493, L1493, Holiday_Dates) &lt;= 0,
                1,
                NETWORKDAYS(I1493, L1493, Holiday_Dates) - IF(I1493 = L1493, 0, 1)
            )
        )
    ),
    ""
)</f>
        <v/>
      </c>
      <c r="Q1493" s="385" t="str">
        <f>IF(
    OR(ISBLANK(L1493), ISBLANK(M1493)),
    "",
    MAX(
        1,
        IF(
            NETWORKDAYS(L1493, M1493, Holiday_Dates) &lt;= 0,
            1,
            NETWORKDAYS(L1493, M1493, Holiday_Dates) - IF(L1493 = M1493, 0, 1)
        )
    )
)</f>
        <v/>
      </c>
      <c r="R1493" s="385" t="str">
        <f>IFERROR(
    IF(
        OR(ISBLANK(N1493), AND(ISBLANK(L1493), ISBLANK(M1493))),
        "",
        MAX(
            1,
            IF(
                NETWORKDAYS(IF(NOT(ISBLANK(M1493)), M1493, L1493), N1493, Holiday_Dates) &lt;= 0,
                1,
                NETWORKDAYS(IF(NOT(ISBLANK(M1493)), M1493, L1493), N1493, Holiday_Dates)
                - IF(IF(NOT(ISBLANK(M1493)), M1493, L1493) = N1493, 0, 1)
            )
        )
    ),
    ""
)</f>
        <v/>
      </c>
      <c r="S1493" s="385" t="str">
        <f>IFERROR(
    IF(
        OR(ISBLANK(N1493), ISBLANK(O1493)),
        "",
        MAX(
            1,
            IF(
                NETWORKDAYS(N1493, O1493, Holiday_Dates) &lt;= 0,
                1,
                NETWORKDAYS(N1493, O1493, Holiday_Dates) - IF(N1493 = O1493, 0, 1)
            )
        )
    ),
    ""
)</f>
        <v/>
      </c>
      <c r="T1493" s="385"/>
      <c r="U1493" s="385"/>
      <c r="V1493" s="385"/>
      <c r="W1493" s="385" t="s">
        <v>4710</v>
      </c>
      <c r="X1493" s="1"/>
    </row>
    <row r="1494" spans="1:24">
      <c r="A1494" s="385" t="s">
        <v>65</v>
      </c>
      <c r="B1494" s="385" t="s">
        <v>979</v>
      </c>
      <c r="C1494" s="385" t="s">
        <v>3246</v>
      </c>
      <c r="D1494" s="385" t="s">
        <v>88</v>
      </c>
      <c r="E1494" s="385"/>
      <c r="F1494" s="385"/>
      <c r="G1494" s="385"/>
      <c r="H1494" s="385">
        <v>2024</v>
      </c>
      <c r="I1494" s="386">
        <v>45426</v>
      </c>
      <c r="J1494" s="30"/>
      <c r="K1494" s="385"/>
      <c r="L1494" s="385"/>
      <c r="M1494" s="385"/>
      <c r="N1494" s="385"/>
      <c r="O1494" s="385"/>
      <c r="P1494" s="385" t="str">
        <f>IFERROR(
    IF(
        OR(ISBLANK(I1494), ISBLANK(L1494)),
        "",
        MAX(
            1,
            IF(
                NETWORKDAYS(I1494, L1494, Holiday_Dates) &lt;= 0,
                1,
                NETWORKDAYS(I1494, L1494, Holiday_Dates) - IF(I1494 = L1494, 0, 1)
            )
        )
    ),
    ""
)</f>
        <v/>
      </c>
      <c r="Q1494" s="385" t="str">
        <f>IF(
    OR(ISBLANK(L1494), ISBLANK(M1494)),
    "",
    MAX(
        1,
        IF(
            NETWORKDAYS(L1494, M1494, Holiday_Dates) &lt;= 0,
            1,
            NETWORKDAYS(L1494, M1494, Holiday_Dates) - IF(L1494 = M1494, 0, 1)
        )
    )
)</f>
        <v/>
      </c>
      <c r="R1494" s="385" t="str">
        <f>IFERROR(
    IF(
        OR(ISBLANK(N1494), AND(ISBLANK(L1494), ISBLANK(M1494))),
        "",
        MAX(
            1,
            IF(
                NETWORKDAYS(IF(NOT(ISBLANK(M1494)), M1494, L1494), N1494, Holiday_Dates) &lt;= 0,
                1,
                NETWORKDAYS(IF(NOT(ISBLANK(M1494)), M1494, L1494), N1494, Holiday_Dates)
                - IF(IF(NOT(ISBLANK(M1494)), M1494, L1494) = N1494, 0, 1)
            )
        )
    ),
    ""
)</f>
        <v/>
      </c>
      <c r="S1494" s="385" t="str">
        <f>IFERROR(
    IF(
        OR(ISBLANK(N1494), ISBLANK(O1494)),
        "",
        MAX(
            1,
            IF(
                NETWORKDAYS(N1494, O1494, Holiday_Dates) &lt;= 0,
                1,
                NETWORKDAYS(N1494, O1494, Holiday_Dates) - IF(N1494 = O1494, 0, 1)
            )
        )
    ),
    ""
)</f>
        <v/>
      </c>
      <c r="T1494" s="385"/>
      <c r="U1494" s="385" t="s">
        <v>672</v>
      </c>
      <c r="V1494" s="385"/>
      <c r="W1494" s="385" t="s">
        <v>1436</v>
      </c>
      <c r="X1494" s="1"/>
    </row>
    <row r="1495" spans="1:24">
      <c r="A1495" s="385" t="s">
        <v>65</v>
      </c>
      <c r="B1495" s="385" t="s">
        <v>979</v>
      </c>
      <c r="C1495" s="385" t="s">
        <v>1658</v>
      </c>
      <c r="D1495" s="385" t="s">
        <v>88</v>
      </c>
      <c r="E1495" s="385"/>
      <c r="F1495" s="385"/>
      <c r="G1495" s="385"/>
      <c r="H1495" s="385">
        <v>2025</v>
      </c>
      <c r="I1495" s="386">
        <v>45743</v>
      </c>
      <c r="J1495" s="30" t="s">
        <v>5284</v>
      </c>
      <c r="K1495" s="385"/>
      <c r="L1495" s="385"/>
      <c r="M1495" s="385"/>
      <c r="N1495" s="385"/>
      <c r="O1495" s="385"/>
      <c r="P1495" s="385" t="str">
        <f>IFERROR(
    IF(
        OR(ISBLANK(I1495), ISBLANK(L1495)),
        "",
        MAX(
            1,
            IF(
                NETWORKDAYS(I1495, L1495, Holiday_Dates) &lt;= 0,
                1,
                NETWORKDAYS(I1495, L1495, Holiday_Dates) - IF(I1495 = L1495, 0, 1)
            )
        )
    ),
    ""
)</f>
        <v/>
      </c>
      <c r="Q1495" s="385" t="str">
        <f>IF(
    OR(ISBLANK(L1495), ISBLANK(M1495)),
    "",
    MAX(
        1,
        IF(
            NETWORKDAYS(L1495, M1495, Holiday_Dates) &lt;= 0,
            1,
            NETWORKDAYS(L1495, M1495, Holiday_Dates) - IF(L1495 = M1495, 0, 1)
        )
    )
)</f>
        <v/>
      </c>
      <c r="R1495" s="385" t="str">
        <f>IFERROR(
    IF(
        OR(ISBLANK(N1495), AND(ISBLANK(L1495), ISBLANK(M1495))),
        "",
        MAX(
            1,
            IF(
                NETWORKDAYS(IF(NOT(ISBLANK(M1495)), M1495, L1495), N1495, Holiday_Dates) &lt;= 0,
                1,
                NETWORKDAYS(IF(NOT(ISBLANK(M1495)), M1495, L1495), N1495, Holiday_Dates)
                - IF(IF(NOT(ISBLANK(M1495)), M1495, L1495) = N1495, 0, 1)
            )
        )
    ),
    ""
)</f>
        <v/>
      </c>
      <c r="S1495" s="385" t="str">
        <f>IFERROR(
    IF(
        OR(ISBLANK(N1495), ISBLANK(O1495)),
        "",
        MAX(
            1,
            IF(
                NETWORKDAYS(N1495, O1495, Holiday_Dates) &lt;= 0,
                1,
                NETWORKDAYS(N1495, O1495, Holiday_Dates) - IF(N1495 = O1495, 0, 1)
            )
        )
    ),
    ""
)</f>
        <v/>
      </c>
      <c r="T1495" s="385"/>
      <c r="U1495" s="385" t="s">
        <v>672</v>
      </c>
      <c r="V1495" s="385" t="s">
        <v>101</v>
      </c>
      <c r="W1495" s="385" t="s">
        <v>1436</v>
      </c>
      <c r="X1495" s="1"/>
    </row>
    <row r="1496" spans="1:24">
      <c r="A1496" s="385" t="s">
        <v>52</v>
      </c>
      <c r="B1496" s="385" t="s">
        <v>4231</v>
      </c>
      <c r="C1496" s="385" t="s">
        <v>2823</v>
      </c>
      <c r="D1496" s="385" t="s">
        <v>88</v>
      </c>
      <c r="E1496" s="385" t="s">
        <v>37</v>
      </c>
      <c r="F1496" s="385"/>
      <c r="G1496" s="385" t="s">
        <v>28</v>
      </c>
      <c r="H1496" s="385"/>
      <c r="I1496" s="385"/>
      <c r="J1496" s="30"/>
      <c r="K1496" s="385" t="s">
        <v>63</v>
      </c>
      <c r="L1496" s="385"/>
      <c r="M1496" s="385"/>
      <c r="N1496" s="385"/>
      <c r="O1496" s="385"/>
      <c r="P1496" s="385" t="str">
        <f>IFERROR(
    IF(
        OR(ISBLANK(I1496), ISBLANK(L1496)),
        "",
        MAX(
            1,
            IF(
                NETWORKDAYS(I1496, L1496, Holiday_Dates) &lt;= 0,
                1,
                NETWORKDAYS(I1496, L1496, Holiday_Dates) - IF(I1496 = L1496, 0, 1)
            )
        )
    ),
    ""
)</f>
        <v/>
      </c>
      <c r="Q1496" s="385" t="str">
        <f>IF(
    OR(ISBLANK(L1496), ISBLANK(M1496)),
    "",
    MAX(
        1,
        IF(
            NETWORKDAYS(L1496, M1496, Holiday_Dates) &lt;= 0,
            1,
            NETWORKDAYS(L1496, M1496, Holiday_Dates) - IF(L1496 = M1496, 0, 1)
        )
    )
)</f>
        <v/>
      </c>
      <c r="R1496" s="385" t="str">
        <f>IFERROR(
    IF(
        OR(ISBLANK(N1496), AND(ISBLANK(L1496), ISBLANK(M1496))),
        "",
        MAX(
            1,
            IF(
                NETWORKDAYS(IF(NOT(ISBLANK(M1496)), M1496, L1496), N1496, Holiday_Dates) &lt;= 0,
                1,
                NETWORKDAYS(IF(NOT(ISBLANK(M1496)), M1496, L1496), N1496, Holiday_Dates)
                - IF(IF(NOT(ISBLANK(M1496)), M1496, L1496) = N1496, 0, 1)
            )
        )
    ),
    ""
)</f>
        <v/>
      </c>
      <c r="S1496" s="385" t="str">
        <f>IFERROR(
    IF(
        OR(ISBLANK(N1496), ISBLANK(O1496)),
        "",
        MAX(
            1,
            IF(
                NETWORKDAYS(N1496, O1496, Holiday_Dates) &lt;= 0,
                1,
                NETWORKDAYS(N1496, O1496, Holiday_Dates) - IF(N1496 = O1496, 0, 1)
            )
        )
    ),
    ""
)</f>
        <v/>
      </c>
      <c r="T1496" s="385"/>
      <c r="U1496" s="385"/>
      <c r="V1496" s="385"/>
      <c r="W1496" s="385" t="s">
        <v>4710</v>
      </c>
      <c r="X1496" s="1"/>
    </row>
    <row r="1497" spans="1:24">
      <c r="A1497" s="385" t="s">
        <v>65</v>
      </c>
      <c r="B1497" s="385" t="s">
        <v>410</v>
      </c>
      <c r="C1497" s="385" t="s">
        <v>1433</v>
      </c>
      <c r="D1497" s="385" t="s">
        <v>88</v>
      </c>
      <c r="E1497" s="385"/>
      <c r="F1497" s="385"/>
      <c r="G1497" s="385"/>
      <c r="H1497" s="385">
        <v>2025</v>
      </c>
      <c r="I1497" s="386">
        <v>45967</v>
      </c>
      <c r="J1497" s="30" t="s">
        <v>5285</v>
      </c>
      <c r="K1497" s="385"/>
      <c r="L1497" s="385"/>
      <c r="M1497" s="385"/>
      <c r="N1497" s="385"/>
      <c r="O1497" s="385"/>
      <c r="P1497" s="385" t="str">
        <f>IFERROR(
    IF(
        OR(ISBLANK(I1497), ISBLANK(L1497)),
        "",
        MAX(
            1,
            IF(
                NETWORKDAYS(I1497, L1497, Holiday_Dates) &lt;= 0,
                1,
                NETWORKDAYS(I1497, L1497, Holiday_Dates) - IF(I1497 = L1497, 0, 1)
            )
        )
    ),
    ""
)</f>
        <v/>
      </c>
      <c r="Q1497" s="385" t="str">
        <f>IF(
    OR(ISBLANK(L1497), ISBLANK(M1497)),
    "",
    MAX(
        1,
        IF(
            NETWORKDAYS(L1497, M1497, Holiday_Dates) &lt;= 0,
            1,
            NETWORKDAYS(L1497, M1497, Holiday_Dates) - IF(L1497 = M1497, 0, 1)
        )
    )
)</f>
        <v/>
      </c>
      <c r="R1497" s="385" t="str">
        <f>IFERROR(
    IF(
        OR(ISBLANK(N1497), AND(ISBLANK(L1497), ISBLANK(M1497))),
        "",
        MAX(
            1,
            IF(
                NETWORKDAYS(IF(NOT(ISBLANK(M1497)), M1497, L1497), N1497, Holiday_Dates) &lt;= 0,
                1,
                NETWORKDAYS(IF(NOT(ISBLANK(M1497)), M1497, L1497), N1497, Holiday_Dates)
                - IF(IF(NOT(ISBLANK(M1497)), M1497, L1497) = N1497, 0, 1)
            )
        )
    ),
    ""
)</f>
        <v/>
      </c>
      <c r="S1497" s="385" t="str">
        <f>IFERROR(
    IF(
        OR(ISBLANK(N1497), ISBLANK(O1497)),
        "",
        MAX(
            1,
            IF(
                NETWORKDAYS(N1497, O1497, Holiday_Dates) &lt;= 0,
                1,
                NETWORKDAYS(N1497, O1497, Holiday_Dates) - IF(N1497 = O1497, 0, 1)
            )
        )
    ),
    ""
)</f>
        <v/>
      </c>
      <c r="T1497" s="385"/>
      <c r="U1497" s="385" t="s">
        <v>672</v>
      </c>
      <c r="V1497" s="385" t="s">
        <v>101</v>
      </c>
      <c r="W1497" s="385" t="s">
        <v>1436</v>
      </c>
      <c r="X1497" s="1"/>
    </row>
    <row r="1498" spans="1:24">
      <c r="A1498" s="385" t="s">
        <v>65</v>
      </c>
      <c r="B1498" s="385" t="s">
        <v>410</v>
      </c>
      <c r="C1498" s="385" t="s">
        <v>1437</v>
      </c>
      <c r="D1498" s="385" t="s">
        <v>88</v>
      </c>
      <c r="E1498" s="385"/>
      <c r="F1498" s="385"/>
      <c r="G1498" s="385"/>
      <c r="H1498" s="385">
        <v>2025</v>
      </c>
      <c r="I1498" s="386">
        <v>45967</v>
      </c>
      <c r="J1498" s="30" t="s">
        <v>5286</v>
      </c>
      <c r="K1498" s="385"/>
      <c r="L1498" s="385"/>
      <c r="M1498" s="385"/>
      <c r="N1498" s="385"/>
      <c r="O1498" s="385"/>
      <c r="P1498" s="385" t="str">
        <f>IFERROR(
    IF(
        OR(ISBLANK(I1498), ISBLANK(L1498)),
        "",
        MAX(
            1,
            IF(
                NETWORKDAYS(I1498, L1498, Holiday_Dates) &lt;= 0,
                1,
                NETWORKDAYS(I1498, L1498, Holiday_Dates) - IF(I1498 = L1498, 0, 1)
            )
        )
    ),
    ""
)</f>
        <v/>
      </c>
      <c r="Q1498" s="385" t="str">
        <f>IF(
    OR(ISBLANK(L1498), ISBLANK(M1498)),
    "",
    MAX(
        1,
        IF(
            NETWORKDAYS(L1498, M1498, Holiday_Dates) &lt;= 0,
            1,
            NETWORKDAYS(L1498, M1498, Holiday_Dates) - IF(L1498 = M1498, 0, 1)
        )
    )
)</f>
        <v/>
      </c>
      <c r="R1498" s="385" t="str">
        <f>IFERROR(
    IF(
        OR(ISBLANK(N1498), AND(ISBLANK(L1498), ISBLANK(M1498))),
        "",
        MAX(
            1,
            IF(
                NETWORKDAYS(IF(NOT(ISBLANK(M1498)), M1498, L1498), N1498, Holiday_Dates) &lt;= 0,
                1,
                NETWORKDAYS(IF(NOT(ISBLANK(M1498)), M1498, L1498), N1498, Holiday_Dates)
                - IF(IF(NOT(ISBLANK(M1498)), M1498, L1498) = N1498, 0, 1)
            )
        )
    ),
    ""
)</f>
        <v/>
      </c>
      <c r="S1498" s="385" t="str">
        <f>IFERROR(
    IF(
        OR(ISBLANK(N1498), ISBLANK(O1498)),
        "",
        MAX(
            1,
            IF(
                NETWORKDAYS(N1498, O1498, Holiday_Dates) &lt;= 0,
                1,
                NETWORKDAYS(N1498, O1498, Holiday_Dates) - IF(N1498 = O1498, 0, 1)
            )
        )
    ),
    ""
)</f>
        <v/>
      </c>
      <c r="T1498" s="385"/>
      <c r="U1498" s="385" t="s">
        <v>672</v>
      </c>
      <c r="V1498" s="385" t="s">
        <v>101</v>
      </c>
      <c r="W1498" s="385" t="s">
        <v>1436</v>
      </c>
      <c r="X1498" s="1"/>
    </row>
    <row r="1499" spans="1:24">
      <c r="A1499" s="385" t="s">
        <v>65</v>
      </c>
      <c r="B1499" s="385" t="s">
        <v>410</v>
      </c>
      <c r="C1499" s="385" t="s">
        <v>3248</v>
      </c>
      <c r="D1499" s="385" t="s">
        <v>88</v>
      </c>
      <c r="E1499" s="385"/>
      <c r="F1499" s="385"/>
      <c r="G1499" s="385"/>
      <c r="H1499" s="385">
        <v>2025</v>
      </c>
      <c r="I1499" s="386">
        <v>45695</v>
      </c>
      <c r="J1499" s="30" t="s">
        <v>5287</v>
      </c>
      <c r="K1499" s="385"/>
      <c r="L1499" s="385"/>
      <c r="M1499" s="385"/>
      <c r="N1499" s="385"/>
      <c r="O1499" s="385"/>
      <c r="P1499" s="385" t="str">
        <f>IFERROR(
    IF(
        OR(ISBLANK(I1499), ISBLANK(L1499)),
        "",
        MAX(
            1,
            IF(
                NETWORKDAYS(I1499, L1499, Holiday_Dates) &lt;= 0,
                1,
                NETWORKDAYS(I1499, L1499, Holiday_Dates) - IF(I1499 = L1499, 0, 1)
            )
        )
    ),
    ""
)</f>
        <v/>
      </c>
      <c r="Q1499" s="385" t="str">
        <f>IF(
    OR(ISBLANK(L1499), ISBLANK(M1499)),
    "",
    MAX(
        1,
        IF(
            NETWORKDAYS(L1499, M1499, Holiday_Dates) &lt;= 0,
            1,
            NETWORKDAYS(L1499, M1499, Holiday_Dates) - IF(L1499 = M1499, 0, 1)
        )
    )
)</f>
        <v/>
      </c>
      <c r="R1499" s="385" t="str">
        <f>IFERROR(
    IF(
        OR(ISBLANK(N1499), AND(ISBLANK(L1499), ISBLANK(M1499))),
        "",
        MAX(
            1,
            IF(
                NETWORKDAYS(IF(NOT(ISBLANK(M1499)), M1499, L1499), N1499, Holiday_Dates) &lt;= 0,
                1,
                NETWORKDAYS(IF(NOT(ISBLANK(M1499)), M1499, L1499), N1499, Holiday_Dates)
                - IF(IF(NOT(ISBLANK(M1499)), M1499, L1499) = N1499, 0, 1)
            )
        )
    ),
    ""
)</f>
        <v/>
      </c>
      <c r="S1499" s="385" t="str">
        <f>IFERROR(
    IF(
        OR(ISBLANK(N1499), ISBLANK(O1499)),
        "",
        MAX(
            1,
            IF(
                NETWORKDAYS(N1499, O1499, Holiday_Dates) &lt;= 0,
                1,
                NETWORKDAYS(N1499, O1499, Holiday_Dates) - IF(N1499 = O1499, 0, 1)
            )
        )
    ),
    ""
)</f>
        <v/>
      </c>
      <c r="T1499" s="385"/>
      <c r="U1499" s="385" t="s">
        <v>672</v>
      </c>
      <c r="V1499" s="385" t="s">
        <v>101</v>
      </c>
      <c r="W1499" s="385" t="s">
        <v>1436</v>
      </c>
      <c r="X1499" s="1"/>
    </row>
    <row r="1500" spans="1:24">
      <c r="A1500" s="385" t="s">
        <v>65</v>
      </c>
      <c r="B1500" s="385" t="s">
        <v>410</v>
      </c>
      <c r="C1500" s="385" t="s">
        <v>3249</v>
      </c>
      <c r="D1500" s="385" t="s">
        <v>88</v>
      </c>
      <c r="E1500" s="385"/>
      <c r="F1500" s="385"/>
      <c r="G1500" s="385"/>
      <c r="H1500" s="385">
        <v>2025</v>
      </c>
      <c r="I1500" s="386">
        <v>45967</v>
      </c>
      <c r="J1500" s="30" t="s">
        <v>5288</v>
      </c>
      <c r="K1500" s="385"/>
      <c r="L1500" s="385"/>
      <c r="M1500" s="385"/>
      <c r="N1500" s="385"/>
      <c r="O1500" s="385"/>
      <c r="P1500" s="385" t="str">
        <f>IFERROR(
    IF(
        OR(ISBLANK(I1500), ISBLANK(L1500)),
        "",
        MAX(
            1,
            IF(
                NETWORKDAYS(I1500, L1500, Holiday_Dates) &lt;= 0,
                1,
                NETWORKDAYS(I1500, L1500, Holiday_Dates) - IF(I1500 = L1500, 0, 1)
            )
        )
    ),
    ""
)</f>
        <v/>
      </c>
      <c r="Q1500" s="385" t="str">
        <f>IF(
    OR(ISBLANK(L1500), ISBLANK(M1500)),
    "",
    MAX(
        1,
        IF(
            NETWORKDAYS(L1500, M1500, Holiday_Dates) &lt;= 0,
            1,
            NETWORKDAYS(L1500, M1500, Holiday_Dates) - IF(L1500 = M1500, 0, 1)
        )
    )
)</f>
        <v/>
      </c>
      <c r="R1500" s="385" t="str">
        <f>IFERROR(
    IF(
        OR(ISBLANK(N1500), AND(ISBLANK(L1500), ISBLANK(M1500))),
        "",
        MAX(
            1,
            IF(
                NETWORKDAYS(IF(NOT(ISBLANK(M1500)), M1500, L1500), N1500, Holiday_Dates) &lt;= 0,
                1,
                NETWORKDAYS(IF(NOT(ISBLANK(M1500)), M1500, L1500), N1500, Holiday_Dates)
                - IF(IF(NOT(ISBLANK(M1500)), M1500, L1500) = N1500, 0, 1)
            )
        )
    ),
    ""
)</f>
        <v/>
      </c>
      <c r="S1500" s="385" t="str">
        <f>IFERROR(
    IF(
        OR(ISBLANK(N1500), ISBLANK(O1500)),
        "",
        MAX(
            1,
            IF(
                NETWORKDAYS(N1500, O1500, Holiday_Dates) &lt;= 0,
                1,
                NETWORKDAYS(N1500, O1500, Holiday_Dates) - IF(N1500 = O1500, 0, 1)
            )
        )
    ),
    ""
)</f>
        <v/>
      </c>
      <c r="T1500" s="385"/>
      <c r="U1500" s="385" t="s">
        <v>672</v>
      </c>
      <c r="V1500" s="385" t="s">
        <v>101</v>
      </c>
      <c r="W1500" s="385" t="s">
        <v>1436</v>
      </c>
      <c r="X1500" s="1"/>
    </row>
    <row r="1501" spans="1:24">
      <c r="A1501" s="385" t="s">
        <v>65</v>
      </c>
      <c r="B1501" s="385" t="s">
        <v>410</v>
      </c>
      <c r="C1501" s="385" t="s">
        <v>2575</v>
      </c>
      <c r="D1501" s="385" t="s">
        <v>88</v>
      </c>
      <c r="E1501" s="385"/>
      <c r="F1501" s="385"/>
      <c r="G1501" s="385"/>
      <c r="H1501" s="385">
        <v>2025</v>
      </c>
      <c r="I1501" s="386">
        <v>45695</v>
      </c>
      <c r="J1501" s="30" t="s">
        <v>5289</v>
      </c>
      <c r="K1501" s="385"/>
      <c r="L1501" s="385"/>
      <c r="M1501" s="385"/>
      <c r="N1501" s="385"/>
      <c r="O1501" s="385"/>
      <c r="P1501" s="385" t="str">
        <f>IFERROR(
    IF(
        OR(ISBLANK(I1501), ISBLANK(L1501)),
        "",
        MAX(
            1,
            IF(
                NETWORKDAYS(I1501, L1501, Holiday_Dates) &lt;= 0,
                1,
                NETWORKDAYS(I1501, L1501, Holiday_Dates) - IF(I1501 = L1501, 0, 1)
            )
        )
    ),
    ""
)</f>
        <v/>
      </c>
      <c r="Q1501" s="385" t="str">
        <f>IF(
    OR(ISBLANK(L1501), ISBLANK(M1501)),
    "",
    MAX(
        1,
        IF(
            NETWORKDAYS(L1501, M1501, Holiday_Dates) &lt;= 0,
            1,
            NETWORKDAYS(L1501, M1501, Holiday_Dates) - IF(L1501 = M1501, 0, 1)
        )
    )
)</f>
        <v/>
      </c>
      <c r="R1501" s="385" t="str">
        <f>IFERROR(
    IF(
        OR(ISBLANK(N1501), AND(ISBLANK(L1501), ISBLANK(M1501))),
        "",
        MAX(
            1,
            IF(
                NETWORKDAYS(IF(NOT(ISBLANK(M1501)), M1501, L1501), N1501, Holiday_Dates) &lt;= 0,
                1,
                NETWORKDAYS(IF(NOT(ISBLANK(M1501)), M1501, L1501), N1501, Holiday_Dates)
                - IF(IF(NOT(ISBLANK(M1501)), M1501, L1501) = N1501, 0, 1)
            )
        )
    ),
    ""
)</f>
        <v/>
      </c>
      <c r="S1501" s="385" t="str">
        <f>IFERROR(
    IF(
        OR(ISBLANK(N1501), ISBLANK(O1501)),
        "",
        MAX(
            1,
            IF(
                NETWORKDAYS(N1501, O1501, Holiday_Dates) &lt;= 0,
                1,
                NETWORKDAYS(N1501, O1501, Holiday_Dates) - IF(N1501 = O1501, 0, 1)
            )
        )
    ),
    ""
)</f>
        <v/>
      </c>
      <c r="T1501" s="385"/>
      <c r="U1501" s="385" t="s">
        <v>672</v>
      </c>
      <c r="V1501" s="385" t="s">
        <v>101</v>
      </c>
      <c r="W1501" s="385" t="s">
        <v>1436</v>
      </c>
      <c r="X1501" s="1"/>
    </row>
    <row r="1502" spans="1:24">
      <c r="A1502" s="385" t="s">
        <v>52</v>
      </c>
      <c r="B1502" s="385" t="s">
        <v>4231</v>
      </c>
      <c r="C1502" s="385" t="s">
        <v>3129</v>
      </c>
      <c r="D1502" s="385" t="s">
        <v>88</v>
      </c>
      <c r="E1502" s="385" t="s">
        <v>37</v>
      </c>
      <c r="F1502" s="385"/>
      <c r="G1502" s="385" t="s">
        <v>28</v>
      </c>
      <c r="H1502" s="385"/>
      <c r="I1502" s="385"/>
      <c r="J1502" s="30"/>
      <c r="K1502" s="385" t="s">
        <v>63</v>
      </c>
      <c r="L1502" s="385"/>
      <c r="M1502" s="385"/>
      <c r="N1502" s="385"/>
      <c r="O1502" s="385"/>
      <c r="P1502" s="385" t="str">
        <f>IFERROR(
    IF(
        OR(ISBLANK(I1502), ISBLANK(L1502)),
        "",
        MAX(
            1,
            IF(
                NETWORKDAYS(I1502, L1502, Holiday_Dates) &lt;= 0,
                1,
                NETWORKDAYS(I1502, L1502, Holiday_Dates) - IF(I1502 = L1502, 0, 1)
            )
        )
    ),
    ""
)</f>
        <v/>
      </c>
      <c r="Q1502" s="385" t="str">
        <f>IF(
    OR(ISBLANK(L1502), ISBLANK(M1502)),
    "",
    MAX(
        1,
        IF(
            NETWORKDAYS(L1502, M1502, Holiday_Dates) &lt;= 0,
            1,
            NETWORKDAYS(L1502, M1502, Holiday_Dates) - IF(L1502 = M1502, 0, 1)
        )
    )
)</f>
        <v/>
      </c>
      <c r="R1502" s="385" t="str">
        <f>IFERROR(
    IF(
        OR(ISBLANK(N1502), AND(ISBLANK(L1502), ISBLANK(M1502))),
        "",
        MAX(
            1,
            IF(
                NETWORKDAYS(IF(NOT(ISBLANK(M1502)), M1502, L1502), N1502, Holiday_Dates) &lt;= 0,
                1,
                NETWORKDAYS(IF(NOT(ISBLANK(M1502)), M1502, L1502), N1502, Holiday_Dates)
                - IF(IF(NOT(ISBLANK(M1502)), M1502, L1502) = N1502, 0, 1)
            )
        )
    ),
    ""
)</f>
        <v/>
      </c>
      <c r="S1502" s="385" t="str">
        <f>IFERROR(
    IF(
        OR(ISBLANK(N1502), ISBLANK(O1502)),
        "",
        MAX(
            1,
            IF(
                NETWORKDAYS(N1502, O1502, Holiday_Dates) &lt;= 0,
                1,
                NETWORKDAYS(N1502, O1502, Holiday_Dates) - IF(N1502 = O1502, 0, 1)
            )
        )
    ),
    ""
)</f>
        <v/>
      </c>
      <c r="T1502" s="385"/>
      <c r="U1502" s="385"/>
      <c r="V1502" s="385"/>
      <c r="W1502" s="385" t="s">
        <v>4710</v>
      </c>
      <c r="X1502" s="1"/>
    </row>
    <row r="1503" spans="1:24">
      <c r="A1503" s="385" t="s">
        <v>52</v>
      </c>
      <c r="B1503" s="385" t="s">
        <v>4231</v>
      </c>
      <c r="C1503" s="385" t="s">
        <v>1059</v>
      </c>
      <c r="D1503" s="385" t="s">
        <v>88</v>
      </c>
      <c r="E1503" s="385" t="s">
        <v>37</v>
      </c>
      <c r="F1503" s="385"/>
      <c r="G1503" s="385" t="s">
        <v>28</v>
      </c>
      <c r="H1503" s="385"/>
      <c r="I1503" s="385"/>
      <c r="J1503" s="30"/>
      <c r="K1503" s="385" t="s">
        <v>63</v>
      </c>
      <c r="L1503" s="385"/>
      <c r="M1503" s="385"/>
      <c r="N1503" s="385"/>
      <c r="O1503" s="385"/>
      <c r="P1503" s="385" t="str">
        <f>IFERROR(
    IF(
        OR(ISBLANK(I1503), ISBLANK(L1503)),
        "",
        MAX(
            1,
            IF(
                NETWORKDAYS(I1503, L1503, Holiday_Dates) &lt;= 0,
                1,
                NETWORKDAYS(I1503, L1503, Holiday_Dates) - IF(I1503 = L1503, 0, 1)
            )
        )
    ),
    ""
)</f>
        <v/>
      </c>
      <c r="Q1503" s="385" t="str">
        <f>IF(
    OR(ISBLANK(L1503), ISBLANK(M1503)),
    "",
    MAX(
        1,
        IF(
            NETWORKDAYS(L1503, M1503, Holiday_Dates) &lt;= 0,
            1,
            NETWORKDAYS(L1503, M1503, Holiday_Dates) - IF(L1503 = M1503, 0, 1)
        )
    )
)</f>
        <v/>
      </c>
      <c r="R1503" s="385" t="str">
        <f>IFERROR(
    IF(
        OR(ISBLANK(N1503), AND(ISBLANK(L1503), ISBLANK(M1503))),
        "",
        MAX(
            1,
            IF(
                NETWORKDAYS(IF(NOT(ISBLANK(M1503)), M1503, L1503), N1503, Holiday_Dates) &lt;= 0,
                1,
                NETWORKDAYS(IF(NOT(ISBLANK(M1503)), M1503, L1503), N1503, Holiday_Dates)
                - IF(IF(NOT(ISBLANK(M1503)), M1503, L1503) = N1503, 0, 1)
            )
        )
    ),
    ""
)</f>
        <v/>
      </c>
      <c r="S1503" s="385" t="str">
        <f>IFERROR(
    IF(
        OR(ISBLANK(N1503), ISBLANK(O1503)),
        "",
        MAX(
            1,
            IF(
                NETWORKDAYS(N1503, O1503, Holiday_Dates) &lt;= 0,
                1,
                NETWORKDAYS(N1503, O1503, Holiday_Dates) - IF(N1503 = O1503, 0, 1)
            )
        )
    ),
    ""
)</f>
        <v/>
      </c>
      <c r="T1503" s="385"/>
      <c r="U1503" s="385"/>
      <c r="V1503" s="385"/>
      <c r="W1503" s="385" t="s">
        <v>4710</v>
      </c>
      <c r="X1503" s="1"/>
    </row>
    <row r="1504" spans="1:24">
      <c r="A1504" s="385" t="s">
        <v>65</v>
      </c>
      <c r="B1504" s="385" t="s">
        <v>410</v>
      </c>
      <c r="C1504" s="385" t="s">
        <v>3252</v>
      </c>
      <c r="D1504" s="385" t="s">
        <v>88</v>
      </c>
      <c r="E1504" s="385"/>
      <c r="F1504" s="385"/>
      <c r="G1504" s="385"/>
      <c r="H1504" s="385">
        <v>2025</v>
      </c>
      <c r="I1504" s="386">
        <v>45918</v>
      </c>
      <c r="J1504" s="30" t="s">
        <v>5290</v>
      </c>
      <c r="K1504" s="385"/>
      <c r="L1504" s="385"/>
      <c r="M1504" s="385"/>
      <c r="N1504" s="385"/>
      <c r="O1504" s="385"/>
      <c r="P1504" s="385" t="str">
        <f>IFERROR(
    IF(
        OR(ISBLANK(I1504), ISBLANK(L1504)),
        "",
        MAX(
            1,
            IF(
                NETWORKDAYS(I1504, L1504, Holiday_Dates) &lt;= 0,
                1,
                NETWORKDAYS(I1504, L1504, Holiday_Dates) - IF(I1504 = L1504, 0, 1)
            )
        )
    ),
    ""
)</f>
        <v/>
      </c>
      <c r="Q1504" s="385" t="str">
        <f>IF(
    OR(ISBLANK(L1504), ISBLANK(M1504)),
    "",
    MAX(
        1,
        IF(
            NETWORKDAYS(L1504, M1504, Holiday_Dates) &lt;= 0,
            1,
            NETWORKDAYS(L1504, M1504, Holiday_Dates) - IF(L1504 = M1504, 0, 1)
        )
    )
)</f>
        <v/>
      </c>
      <c r="R1504" s="385" t="str">
        <f>IFERROR(
    IF(
        OR(ISBLANK(N1504), AND(ISBLANK(L1504), ISBLANK(M1504))),
        "",
        MAX(
            1,
            IF(
                NETWORKDAYS(IF(NOT(ISBLANK(M1504)), M1504, L1504), N1504, Holiday_Dates) &lt;= 0,
                1,
                NETWORKDAYS(IF(NOT(ISBLANK(M1504)), M1504, L1504), N1504, Holiday_Dates)
                - IF(IF(NOT(ISBLANK(M1504)), M1504, L1504) = N1504, 0, 1)
            )
        )
    ),
    ""
)</f>
        <v/>
      </c>
      <c r="S1504" s="385" t="str">
        <f>IFERROR(
    IF(
        OR(ISBLANK(N1504), ISBLANK(O1504)),
        "",
        MAX(
            1,
            IF(
                NETWORKDAYS(N1504, O1504, Holiday_Dates) &lt;= 0,
                1,
                NETWORKDAYS(N1504, O1504, Holiday_Dates) - IF(N1504 = O1504, 0, 1)
            )
        )
    ),
    ""
)</f>
        <v/>
      </c>
      <c r="T1504" s="385"/>
      <c r="U1504" s="385" t="s">
        <v>672</v>
      </c>
      <c r="V1504" s="385" t="s">
        <v>101</v>
      </c>
      <c r="W1504" s="385" t="s">
        <v>1436</v>
      </c>
      <c r="X1504" s="1"/>
    </row>
    <row r="1505" spans="1:24">
      <c r="A1505" s="385" t="s">
        <v>65</v>
      </c>
      <c r="B1505" s="385" t="s">
        <v>410</v>
      </c>
      <c r="C1505" s="385" t="s">
        <v>3253</v>
      </c>
      <c r="D1505" s="385" t="s">
        <v>88</v>
      </c>
      <c r="E1505" s="385"/>
      <c r="F1505" s="385"/>
      <c r="G1505" s="385"/>
      <c r="H1505" s="385">
        <v>2025</v>
      </c>
      <c r="I1505" s="386">
        <v>45932</v>
      </c>
      <c r="J1505" s="30" t="s">
        <v>5291</v>
      </c>
      <c r="K1505" s="385"/>
      <c r="L1505" s="385"/>
      <c r="M1505" s="385"/>
      <c r="N1505" s="385"/>
      <c r="O1505" s="385"/>
      <c r="P1505" s="385" t="str">
        <f>IFERROR(
    IF(
        OR(ISBLANK(I1505), ISBLANK(L1505)),
        "",
        MAX(
            1,
            IF(
                NETWORKDAYS(I1505, L1505, Holiday_Dates) &lt;= 0,
                1,
                NETWORKDAYS(I1505, L1505, Holiday_Dates) - IF(I1505 = L1505, 0, 1)
            )
        )
    ),
    ""
)</f>
        <v/>
      </c>
      <c r="Q1505" s="385" t="str">
        <f>IF(
    OR(ISBLANK(L1505), ISBLANK(M1505)),
    "",
    MAX(
        1,
        IF(
            NETWORKDAYS(L1505, M1505, Holiday_Dates) &lt;= 0,
            1,
            NETWORKDAYS(L1505, M1505, Holiday_Dates) - IF(L1505 = M1505, 0, 1)
        )
    )
)</f>
        <v/>
      </c>
      <c r="R1505" s="385" t="str">
        <f>IFERROR(
    IF(
        OR(ISBLANK(N1505), AND(ISBLANK(L1505), ISBLANK(M1505))),
        "",
        MAX(
            1,
            IF(
                NETWORKDAYS(IF(NOT(ISBLANK(M1505)), M1505, L1505), N1505, Holiday_Dates) &lt;= 0,
                1,
                NETWORKDAYS(IF(NOT(ISBLANK(M1505)), M1505, L1505), N1505, Holiday_Dates)
                - IF(IF(NOT(ISBLANK(M1505)), M1505, L1505) = N1505, 0, 1)
            )
        )
    ),
    ""
)</f>
        <v/>
      </c>
      <c r="S1505" s="385" t="str">
        <f>IFERROR(
    IF(
        OR(ISBLANK(N1505), ISBLANK(O1505)),
        "",
        MAX(
            1,
            IF(
                NETWORKDAYS(N1505, O1505, Holiday_Dates) &lt;= 0,
                1,
                NETWORKDAYS(N1505, O1505, Holiday_Dates) - IF(N1505 = O1505, 0, 1)
            )
        )
    ),
    ""
)</f>
        <v/>
      </c>
      <c r="T1505" s="385"/>
      <c r="U1505" s="385" t="s">
        <v>672</v>
      </c>
      <c r="V1505" s="385" t="s">
        <v>101</v>
      </c>
      <c r="W1505" s="385" t="s">
        <v>1436</v>
      </c>
      <c r="X1505" s="1"/>
    </row>
    <row r="1506" spans="1:24">
      <c r="A1506" s="385" t="s">
        <v>65</v>
      </c>
      <c r="B1506" s="385" t="s">
        <v>410</v>
      </c>
      <c r="C1506" s="385" t="s">
        <v>3254</v>
      </c>
      <c r="D1506" s="385" t="s">
        <v>88</v>
      </c>
      <c r="E1506" s="385"/>
      <c r="F1506" s="385"/>
      <c r="G1506" s="385"/>
      <c r="H1506" s="385">
        <v>2025</v>
      </c>
      <c r="I1506" s="386">
        <v>45932</v>
      </c>
      <c r="J1506" s="30" t="s">
        <v>5292</v>
      </c>
      <c r="K1506" s="385"/>
      <c r="L1506" s="385"/>
      <c r="M1506" s="385"/>
      <c r="N1506" s="385"/>
      <c r="O1506" s="385"/>
      <c r="P1506" s="385" t="str">
        <f>IFERROR(
    IF(
        OR(ISBLANK(I1506), ISBLANK(L1506)),
        "",
        MAX(
            1,
            IF(
                NETWORKDAYS(I1506, L1506, Holiday_Dates) &lt;= 0,
                1,
                NETWORKDAYS(I1506, L1506, Holiday_Dates) - IF(I1506 = L1506, 0, 1)
            )
        )
    ),
    ""
)</f>
        <v/>
      </c>
      <c r="Q1506" s="385" t="str">
        <f>IF(
    OR(ISBLANK(L1506), ISBLANK(M1506)),
    "",
    MAX(
        1,
        IF(
            NETWORKDAYS(L1506, M1506, Holiday_Dates) &lt;= 0,
            1,
            NETWORKDAYS(L1506, M1506, Holiday_Dates) - IF(L1506 = M1506, 0, 1)
        )
    )
)</f>
        <v/>
      </c>
      <c r="R1506" s="385" t="str">
        <f>IFERROR(
    IF(
        OR(ISBLANK(N1506), AND(ISBLANK(L1506), ISBLANK(M1506))),
        "",
        MAX(
            1,
            IF(
                NETWORKDAYS(IF(NOT(ISBLANK(M1506)), M1506, L1506), N1506, Holiday_Dates) &lt;= 0,
                1,
                NETWORKDAYS(IF(NOT(ISBLANK(M1506)), M1506, L1506), N1506, Holiday_Dates)
                - IF(IF(NOT(ISBLANK(M1506)), M1506, L1506) = N1506, 0, 1)
            )
        )
    ),
    ""
)</f>
        <v/>
      </c>
      <c r="S1506" s="385" t="str">
        <f>IFERROR(
    IF(
        OR(ISBLANK(N1506), ISBLANK(O1506)),
        "",
        MAX(
            1,
            IF(
                NETWORKDAYS(N1506, O1506, Holiday_Dates) &lt;= 0,
                1,
                NETWORKDAYS(N1506, O1506, Holiday_Dates) - IF(N1506 = O1506, 0, 1)
            )
        )
    ),
    ""
)</f>
        <v/>
      </c>
      <c r="T1506" s="385"/>
      <c r="U1506" s="385" t="s">
        <v>672</v>
      </c>
      <c r="V1506" s="385" t="s">
        <v>101</v>
      </c>
      <c r="W1506" s="385" t="s">
        <v>1436</v>
      </c>
      <c r="X1506" s="1"/>
    </row>
    <row r="1507" spans="1:24">
      <c r="A1507" s="385" t="s">
        <v>52</v>
      </c>
      <c r="B1507" s="385" t="s">
        <v>4231</v>
      </c>
      <c r="C1507" s="385" t="s">
        <v>1371</v>
      </c>
      <c r="D1507" s="385" t="s">
        <v>88</v>
      </c>
      <c r="E1507" s="385" t="s">
        <v>37</v>
      </c>
      <c r="F1507" s="385"/>
      <c r="G1507" s="385" t="s">
        <v>28</v>
      </c>
      <c r="H1507" s="385"/>
      <c r="I1507" s="385"/>
      <c r="J1507" s="30"/>
      <c r="K1507" s="385" t="s">
        <v>63</v>
      </c>
      <c r="L1507" s="385"/>
      <c r="M1507" s="385"/>
      <c r="N1507" s="385"/>
      <c r="O1507" s="385"/>
      <c r="P1507" s="385" t="str">
        <f>IFERROR(
    IF(
        OR(ISBLANK(I1507), ISBLANK(L1507)),
        "",
        MAX(
            1,
            IF(
                NETWORKDAYS(I1507, L1507, Holiday_Dates) &lt;= 0,
                1,
                NETWORKDAYS(I1507, L1507, Holiday_Dates) - IF(I1507 = L1507, 0, 1)
            )
        )
    ),
    ""
)</f>
        <v/>
      </c>
      <c r="Q1507" s="385" t="str">
        <f>IF(
    OR(ISBLANK(L1507), ISBLANK(M1507)),
    "",
    MAX(
        1,
        IF(
            NETWORKDAYS(L1507, M1507, Holiday_Dates) &lt;= 0,
            1,
            NETWORKDAYS(L1507, M1507, Holiday_Dates) - IF(L1507 = M1507, 0, 1)
        )
    )
)</f>
        <v/>
      </c>
      <c r="R1507" s="385" t="str">
        <f>IFERROR(
    IF(
        OR(ISBLANK(N1507), AND(ISBLANK(L1507), ISBLANK(M1507))),
        "",
        MAX(
            1,
            IF(
                NETWORKDAYS(IF(NOT(ISBLANK(M1507)), M1507, L1507), N1507, Holiday_Dates) &lt;= 0,
                1,
                NETWORKDAYS(IF(NOT(ISBLANK(M1507)), M1507, L1507), N1507, Holiday_Dates)
                - IF(IF(NOT(ISBLANK(M1507)), M1507, L1507) = N1507, 0, 1)
            )
        )
    ),
    ""
)</f>
        <v/>
      </c>
      <c r="S1507" s="385" t="str">
        <f>IFERROR(
    IF(
        OR(ISBLANK(N1507), ISBLANK(O1507)),
        "",
        MAX(
            1,
            IF(
                NETWORKDAYS(N1507, O1507, Holiday_Dates) &lt;= 0,
                1,
                NETWORKDAYS(N1507, O1507, Holiday_Dates) - IF(N1507 = O1507, 0, 1)
            )
        )
    ),
    ""
)</f>
        <v/>
      </c>
      <c r="T1507" s="385"/>
      <c r="U1507" s="385"/>
      <c r="V1507" s="385"/>
      <c r="W1507" s="385" t="s">
        <v>4710</v>
      </c>
      <c r="X1507" s="1"/>
    </row>
    <row r="1508" spans="1:24">
      <c r="A1508" s="385" t="s">
        <v>65</v>
      </c>
      <c r="B1508" s="385" t="s">
        <v>410</v>
      </c>
      <c r="C1508" s="385" t="s">
        <v>440</v>
      </c>
      <c r="D1508" s="385" t="s">
        <v>88</v>
      </c>
      <c r="E1508" s="385"/>
      <c r="F1508" s="385"/>
      <c r="G1508" s="385"/>
      <c r="H1508" s="385">
        <v>2025</v>
      </c>
      <c r="I1508" s="386">
        <v>45855</v>
      </c>
      <c r="J1508" s="30" t="s">
        <v>5293</v>
      </c>
      <c r="K1508" s="385"/>
      <c r="L1508" s="385"/>
      <c r="M1508" s="385"/>
      <c r="N1508" s="385"/>
      <c r="O1508" s="385"/>
      <c r="P1508" s="385" t="str">
        <f>IFERROR(
    IF(
        OR(ISBLANK(I1508), ISBLANK(L1508)),
        "",
        MAX(
            1,
            IF(
                NETWORKDAYS(I1508, L1508, Holiday_Dates) &lt;= 0,
                1,
                NETWORKDAYS(I1508, L1508, Holiday_Dates) - IF(I1508 = L1508, 0, 1)
            )
        )
    ),
    ""
)</f>
        <v/>
      </c>
      <c r="Q1508" s="385" t="str">
        <f>IF(
    OR(ISBLANK(L1508), ISBLANK(M1508)),
    "",
    MAX(
        1,
        IF(
            NETWORKDAYS(L1508, M1508, Holiday_Dates) &lt;= 0,
            1,
            NETWORKDAYS(L1508, M1508, Holiday_Dates) - IF(L1508 = M1508, 0, 1)
        )
    )
)</f>
        <v/>
      </c>
      <c r="R1508" s="385" t="str">
        <f>IFERROR(
    IF(
        OR(ISBLANK(N1508), AND(ISBLANK(L1508), ISBLANK(M1508))),
        "",
        MAX(
            1,
            IF(
                NETWORKDAYS(IF(NOT(ISBLANK(M1508)), M1508, L1508), N1508, Holiday_Dates) &lt;= 0,
                1,
                NETWORKDAYS(IF(NOT(ISBLANK(M1508)), M1508, L1508), N1508, Holiday_Dates)
                - IF(IF(NOT(ISBLANK(M1508)), M1508, L1508) = N1508, 0, 1)
            )
        )
    ),
    ""
)</f>
        <v/>
      </c>
      <c r="S1508" s="385" t="str">
        <f>IFERROR(
    IF(
        OR(ISBLANK(N1508), ISBLANK(O1508)),
        "",
        MAX(
            1,
            IF(
                NETWORKDAYS(N1508, O1508, Holiday_Dates) &lt;= 0,
                1,
                NETWORKDAYS(N1508, O1508, Holiday_Dates) - IF(N1508 = O1508, 0, 1)
            )
        )
    ),
    ""
)</f>
        <v/>
      </c>
      <c r="T1508" s="385"/>
      <c r="U1508" s="385" t="s">
        <v>672</v>
      </c>
      <c r="V1508" s="385" t="s">
        <v>101</v>
      </c>
      <c r="W1508" s="385" t="s">
        <v>1436</v>
      </c>
      <c r="X1508" s="1"/>
    </row>
    <row r="1509" spans="1:24">
      <c r="A1509" s="385" t="s">
        <v>52</v>
      </c>
      <c r="B1509" s="385" t="s">
        <v>4231</v>
      </c>
      <c r="C1509" s="385" t="s">
        <v>4258</v>
      </c>
      <c r="D1509" s="385" t="s">
        <v>88</v>
      </c>
      <c r="E1509" s="385" t="s">
        <v>37</v>
      </c>
      <c r="F1509" s="385"/>
      <c r="G1509" s="385" t="s">
        <v>28</v>
      </c>
      <c r="H1509" s="385"/>
      <c r="I1509" s="385"/>
      <c r="J1509" s="30"/>
      <c r="K1509" s="385" t="s">
        <v>63</v>
      </c>
      <c r="L1509" s="385"/>
      <c r="M1509" s="385"/>
      <c r="N1509" s="385"/>
      <c r="O1509" s="385"/>
      <c r="P1509" s="385" t="str">
        <f>IFERROR(
    IF(
        OR(ISBLANK(I1509), ISBLANK(L1509)),
        "",
        MAX(
            1,
            IF(
                NETWORKDAYS(I1509, L1509, Holiday_Dates) &lt;= 0,
                1,
                NETWORKDAYS(I1509, L1509, Holiday_Dates) - IF(I1509 = L1509, 0, 1)
            )
        )
    ),
    ""
)</f>
        <v/>
      </c>
      <c r="Q1509" s="385" t="str">
        <f>IF(
    OR(ISBLANK(L1509), ISBLANK(M1509)),
    "",
    MAX(
        1,
        IF(
            NETWORKDAYS(L1509, M1509, Holiday_Dates) &lt;= 0,
            1,
            NETWORKDAYS(L1509, M1509, Holiday_Dates) - IF(L1509 = M1509, 0, 1)
        )
    )
)</f>
        <v/>
      </c>
      <c r="R1509" s="385" t="str">
        <f>IFERROR(
    IF(
        OR(ISBLANK(N1509), AND(ISBLANK(L1509), ISBLANK(M1509))),
        "",
        MAX(
            1,
            IF(
                NETWORKDAYS(IF(NOT(ISBLANK(M1509)), M1509, L1509), N1509, Holiday_Dates) &lt;= 0,
                1,
                NETWORKDAYS(IF(NOT(ISBLANK(M1509)), M1509, L1509), N1509, Holiday_Dates)
                - IF(IF(NOT(ISBLANK(M1509)), M1509, L1509) = N1509, 0, 1)
            )
        )
    ),
    ""
)</f>
        <v/>
      </c>
      <c r="S1509" s="385" t="str">
        <f>IFERROR(
    IF(
        OR(ISBLANK(N1509), ISBLANK(O1509)),
        "",
        MAX(
            1,
            IF(
                NETWORKDAYS(N1509, O1509, Holiday_Dates) &lt;= 0,
                1,
                NETWORKDAYS(N1509, O1509, Holiday_Dates) - IF(N1509 = O1509, 0, 1)
            )
        )
    ),
    ""
)</f>
        <v/>
      </c>
      <c r="T1509" s="385"/>
      <c r="U1509" s="385"/>
      <c r="V1509" s="385"/>
      <c r="W1509" s="385" t="s">
        <v>4710</v>
      </c>
      <c r="X1509" s="1"/>
    </row>
    <row r="1510" spans="1:24">
      <c r="A1510" s="385" t="s">
        <v>52</v>
      </c>
      <c r="B1510" s="385" t="s">
        <v>4231</v>
      </c>
      <c r="C1510" s="385" t="s">
        <v>4274</v>
      </c>
      <c r="D1510" s="385" t="s">
        <v>88</v>
      </c>
      <c r="E1510" s="385" t="s">
        <v>37</v>
      </c>
      <c r="F1510" s="385"/>
      <c r="G1510" s="385" t="s">
        <v>28</v>
      </c>
      <c r="H1510" s="385"/>
      <c r="I1510" s="385"/>
      <c r="J1510" s="30"/>
      <c r="K1510" s="385" t="s">
        <v>63</v>
      </c>
      <c r="L1510" s="385"/>
      <c r="M1510" s="385"/>
      <c r="N1510" s="385"/>
      <c r="O1510" s="385"/>
      <c r="P1510" s="385" t="str">
        <f>IFERROR(
    IF(
        OR(ISBLANK(I1510), ISBLANK(L1510)),
        "",
        MAX(
            1,
            IF(
                NETWORKDAYS(I1510, L1510, Holiday_Dates) &lt;= 0,
                1,
                NETWORKDAYS(I1510, L1510, Holiday_Dates) - IF(I1510 = L1510, 0, 1)
            )
        )
    ),
    ""
)</f>
        <v/>
      </c>
      <c r="Q1510" s="385" t="str">
        <f>IF(
    OR(ISBLANK(L1510), ISBLANK(M1510)),
    "",
    MAX(
        1,
        IF(
            NETWORKDAYS(L1510, M1510, Holiday_Dates) &lt;= 0,
            1,
            NETWORKDAYS(L1510, M1510, Holiday_Dates) - IF(L1510 = M1510, 0, 1)
        )
    )
)</f>
        <v/>
      </c>
      <c r="R1510" s="385" t="str">
        <f>IFERROR(
    IF(
        OR(ISBLANK(N1510), AND(ISBLANK(L1510), ISBLANK(M1510))),
        "",
        MAX(
            1,
            IF(
                NETWORKDAYS(IF(NOT(ISBLANK(M1510)), M1510, L1510), N1510, Holiday_Dates) &lt;= 0,
                1,
                NETWORKDAYS(IF(NOT(ISBLANK(M1510)), M1510, L1510), N1510, Holiday_Dates)
                - IF(IF(NOT(ISBLANK(M1510)), M1510, L1510) = N1510, 0, 1)
            )
        )
    ),
    ""
)</f>
        <v/>
      </c>
      <c r="S1510" s="385" t="str">
        <f>IFERROR(
    IF(
        OR(ISBLANK(N1510), ISBLANK(O1510)),
        "",
        MAX(
            1,
            IF(
                NETWORKDAYS(N1510, O1510, Holiday_Dates) &lt;= 0,
                1,
                NETWORKDAYS(N1510, O1510, Holiday_Dates) - IF(N1510 = O1510, 0, 1)
            )
        )
    ),
    ""
)</f>
        <v/>
      </c>
      <c r="T1510" s="385"/>
      <c r="U1510" s="385"/>
      <c r="V1510" s="385"/>
      <c r="W1510" s="385" t="s">
        <v>4710</v>
      </c>
      <c r="X1510" s="1"/>
    </row>
    <row r="1511" spans="1:24">
      <c r="A1511" s="385" t="s">
        <v>52</v>
      </c>
      <c r="B1511" s="385" t="s">
        <v>4231</v>
      </c>
      <c r="C1511" s="385" t="s">
        <v>4259</v>
      </c>
      <c r="D1511" s="385" t="s">
        <v>88</v>
      </c>
      <c r="E1511" s="385" t="s">
        <v>37</v>
      </c>
      <c r="F1511" s="385"/>
      <c r="G1511" s="385" t="s">
        <v>28</v>
      </c>
      <c r="H1511" s="385"/>
      <c r="I1511" s="385"/>
      <c r="J1511" s="30"/>
      <c r="K1511" s="385" t="s">
        <v>63</v>
      </c>
      <c r="L1511" s="385"/>
      <c r="M1511" s="385"/>
      <c r="N1511" s="385"/>
      <c r="O1511" s="385"/>
      <c r="P1511" s="385" t="str">
        <f>IFERROR(
    IF(
        OR(ISBLANK(I1511), ISBLANK(L1511)),
        "",
        MAX(
            1,
            IF(
                NETWORKDAYS(I1511, L1511, Holiday_Dates) &lt;= 0,
                1,
                NETWORKDAYS(I1511, L1511, Holiday_Dates) - IF(I1511 = L1511, 0, 1)
            )
        )
    ),
    ""
)</f>
        <v/>
      </c>
      <c r="Q1511" s="385" t="str">
        <f>IF(
    OR(ISBLANK(L1511), ISBLANK(M1511)),
    "",
    MAX(
        1,
        IF(
            NETWORKDAYS(L1511, M1511, Holiday_Dates) &lt;= 0,
            1,
            NETWORKDAYS(L1511, M1511, Holiday_Dates) - IF(L1511 = M1511, 0, 1)
        )
    )
)</f>
        <v/>
      </c>
      <c r="R1511" s="385" t="str">
        <f>IFERROR(
    IF(
        OR(ISBLANK(N1511), AND(ISBLANK(L1511), ISBLANK(M1511))),
        "",
        MAX(
            1,
            IF(
                NETWORKDAYS(IF(NOT(ISBLANK(M1511)), M1511, L1511), N1511, Holiday_Dates) &lt;= 0,
                1,
                NETWORKDAYS(IF(NOT(ISBLANK(M1511)), M1511, L1511), N1511, Holiday_Dates)
                - IF(IF(NOT(ISBLANK(M1511)), M1511, L1511) = N1511, 0, 1)
            )
        )
    ),
    ""
)</f>
        <v/>
      </c>
      <c r="S1511" s="385" t="str">
        <f>IFERROR(
    IF(
        OR(ISBLANK(N1511), ISBLANK(O1511)),
        "",
        MAX(
            1,
            IF(
                NETWORKDAYS(N1511, O1511, Holiday_Dates) &lt;= 0,
                1,
                NETWORKDAYS(N1511, O1511, Holiday_Dates) - IF(N1511 = O1511, 0, 1)
            )
        )
    ),
    ""
)</f>
        <v/>
      </c>
      <c r="T1511" s="385"/>
      <c r="U1511" s="385"/>
      <c r="V1511" s="385"/>
      <c r="W1511" s="385" t="s">
        <v>4710</v>
      </c>
      <c r="X1511" s="1"/>
    </row>
    <row r="1512" spans="1:24">
      <c r="A1512" s="385" t="s">
        <v>52</v>
      </c>
      <c r="B1512" s="385" t="s">
        <v>4231</v>
      </c>
      <c r="C1512" s="385" t="s">
        <v>4260</v>
      </c>
      <c r="D1512" s="385" t="s">
        <v>88</v>
      </c>
      <c r="E1512" s="385" t="s">
        <v>37</v>
      </c>
      <c r="F1512" s="385"/>
      <c r="G1512" s="385" t="s">
        <v>28</v>
      </c>
      <c r="H1512" s="385"/>
      <c r="I1512" s="385"/>
      <c r="J1512" s="30"/>
      <c r="K1512" s="385" t="s">
        <v>63</v>
      </c>
      <c r="L1512" s="385"/>
      <c r="M1512" s="385"/>
      <c r="N1512" s="385"/>
      <c r="O1512" s="385"/>
      <c r="P1512" s="385"/>
      <c r="Q1512" s="385"/>
      <c r="R1512" s="385"/>
      <c r="S1512" s="385"/>
      <c r="T1512" s="385"/>
      <c r="U1512" s="385"/>
      <c r="V1512" s="385"/>
      <c r="W1512" s="385" t="s">
        <v>4710</v>
      </c>
      <c r="X1512" s="1"/>
    </row>
    <row r="1513" spans="1:24">
      <c r="A1513" s="385" t="s">
        <v>65</v>
      </c>
      <c r="B1513" s="385" t="s">
        <v>444</v>
      </c>
      <c r="C1513" s="385" t="s">
        <v>3256</v>
      </c>
      <c r="D1513" s="385" t="s">
        <v>88</v>
      </c>
      <c r="E1513" s="385"/>
      <c r="F1513" s="385"/>
      <c r="G1513" s="385"/>
      <c r="H1513" s="385">
        <v>2024</v>
      </c>
      <c r="I1513" s="386">
        <v>45568</v>
      </c>
      <c r="J1513" s="30"/>
      <c r="K1513" s="385"/>
      <c r="L1513" s="385"/>
      <c r="M1513" s="385"/>
      <c r="N1513" s="385"/>
      <c r="O1513" s="385"/>
      <c r="P1513" s="385" t="str">
        <f>IFERROR(
    IF(
        OR(ISBLANK(I1513), ISBLANK(L1513)),
        "",
        MAX(
            1,
            IF(
                NETWORKDAYS(I1513, L1513, Holiday_Dates) &lt;= 0,
                1,
                NETWORKDAYS(I1513, L1513, Holiday_Dates) - IF(I1513 = L1513, 0, 1)
            )
        )
    ),
    ""
)</f>
        <v/>
      </c>
      <c r="Q1513" s="385" t="str">
        <f>IF(
    OR(ISBLANK(L1513), ISBLANK(M1513)),
    "",
    MAX(
        1,
        IF(
            NETWORKDAYS(L1513, M1513, Holiday_Dates) &lt;= 0,
            1,
            NETWORKDAYS(L1513, M1513, Holiday_Dates) - IF(L1513 = M1513, 0, 1)
        )
    )
)</f>
        <v/>
      </c>
      <c r="R1513" s="385" t="str">
        <f>IFERROR(
    IF(
        OR(ISBLANK(N1513), AND(ISBLANK(L1513), ISBLANK(M1513))),
        "",
        MAX(
            1,
            IF(
                NETWORKDAYS(IF(NOT(ISBLANK(M1513)), M1513, L1513), N1513, Holiday_Dates) &lt;= 0,
                1,
                NETWORKDAYS(IF(NOT(ISBLANK(M1513)), M1513, L1513), N1513, Holiday_Dates)
                - IF(IF(NOT(ISBLANK(M1513)), M1513, L1513) = N1513, 0, 1)
            )
        )
    ),
    ""
)</f>
        <v/>
      </c>
      <c r="S1513" s="385" t="str">
        <f>IFERROR(
    IF(
        OR(ISBLANK(N1513), ISBLANK(O1513)),
        "",
        MAX(
            1,
            IF(
                NETWORKDAYS(N1513, O1513, Holiday_Dates) &lt;= 0,
                1,
                NETWORKDAYS(N1513, O1513, Holiday_Dates) - IF(N1513 = O1513, 0, 1)
            )
        )
    ),
    ""
)</f>
        <v/>
      </c>
      <c r="T1513" s="385"/>
      <c r="U1513" s="385" t="s">
        <v>4</v>
      </c>
      <c r="V1513" s="385" t="s">
        <v>101</v>
      </c>
      <c r="W1513" s="385" t="s">
        <v>1436</v>
      </c>
      <c r="X1513" s="1"/>
    </row>
    <row r="1514" spans="1:24">
      <c r="A1514" s="608" t="s">
        <v>65</v>
      </c>
      <c r="B1514" s="608" t="s">
        <v>516</v>
      </c>
      <c r="C1514" s="608" t="s">
        <v>3194</v>
      </c>
      <c r="D1514" s="608" t="s">
        <v>89</v>
      </c>
      <c r="E1514" s="608" t="s">
        <v>29</v>
      </c>
      <c r="F1514" s="608"/>
      <c r="G1514" s="608" t="s">
        <v>130</v>
      </c>
      <c r="H1514" s="608"/>
      <c r="I1514" s="672">
        <v>46084</v>
      </c>
      <c r="J1514" s="671" t="s">
        <v>5294</v>
      </c>
      <c r="K1514" s="608" t="s">
        <v>45</v>
      </c>
      <c r="L1514" s="672">
        <v>46084</v>
      </c>
      <c r="M1514" s="608"/>
      <c r="N1514" s="672">
        <v>46088</v>
      </c>
      <c r="O1514" s="672">
        <v>46091</v>
      </c>
      <c r="P1514" s="608"/>
      <c r="Q1514" s="608"/>
      <c r="R1514" s="608"/>
      <c r="S1514" s="608"/>
      <c r="T1514" s="608" t="s">
        <v>929</v>
      </c>
      <c r="U1514" s="608" t="s">
        <v>672</v>
      </c>
      <c r="V1514" s="608" t="s">
        <v>101</v>
      </c>
      <c r="W1514" s="385" t="s">
        <v>4710</v>
      </c>
      <c r="X1514" s="673" t="s">
        <v>5295</v>
      </c>
    </row>
    <row r="1515" spans="1:24">
      <c r="A1515" s="385" t="s">
        <v>65</v>
      </c>
      <c r="B1515" s="385" t="s">
        <v>444</v>
      </c>
      <c r="C1515" s="385" t="s">
        <v>3258</v>
      </c>
      <c r="D1515" s="385" t="s">
        <v>88</v>
      </c>
      <c r="E1515" s="385"/>
      <c r="F1515" s="385"/>
      <c r="G1515" s="385"/>
      <c r="H1515" s="385">
        <v>2024</v>
      </c>
      <c r="I1515" s="386">
        <v>45470</v>
      </c>
      <c r="J1515" s="30"/>
      <c r="K1515" s="385"/>
      <c r="L1515" s="385"/>
      <c r="M1515" s="385"/>
      <c r="N1515" s="385"/>
      <c r="O1515" s="385"/>
      <c r="P1515" s="385" t="str">
        <f>IFERROR(
    IF(
        OR(ISBLANK(I1515), ISBLANK(L1515)),
        "",
        MAX(
            1,
            IF(
                NETWORKDAYS(I1515, L1515, Holiday_Dates) &lt;= 0,
                1,
                NETWORKDAYS(I1515, L1515, Holiday_Dates) - IF(I1515 = L1515, 0, 1)
            )
        )
    ),
    ""
)</f>
        <v/>
      </c>
      <c r="Q1515" s="385" t="str">
        <f>IF(
    OR(ISBLANK(L1515), ISBLANK(M1515)),
    "",
    MAX(
        1,
        IF(
            NETWORKDAYS(L1515, M1515, Holiday_Dates) &lt;= 0,
            1,
            NETWORKDAYS(L1515, M1515, Holiday_Dates) - IF(L1515 = M1515, 0, 1)
        )
    )
)</f>
        <v/>
      </c>
      <c r="R1515" s="385" t="str">
        <f>IFERROR(
    IF(
        OR(ISBLANK(N1515), AND(ISBLANK(L1515), ISBLANK(M1515))),
        "",
        MAX(
            1,
            IF(
                NETWORKDAYS(IF(NOT(ISBLANK(M1515)), M1515, L1515), N1515, Holiday_Dates) &lt;= 0,
                1,
                NETWORKDAYS(IF(NOT(ISBLANK(M1515)), M1515, L1515), N1515, Holiday_Dates)
                - IF(IF(NOT(ISBLANK(M1515)), M1515, L1515) = N1515, 0, 1)
            )
        )
    ),
    ""
)</f>
        <v/>
      </c>
      <c r="S1515" s="385" t="str">
        <f>IFERROR(
    IF(
        OR(ISBLANK(N1515), ISBLANK(O1515)),
        "",
        MAX(
            1,
            IF(
                NETWORKDAYS(N1515, O1515, Holiday_Dates) &lt;= 0,
                1,
                NETWORKDAYS(N1515, O1515, Holiday_Dates) - IF(N1515 = O1515, 0, 1)
            )
        )
    ),
    ""
)</f>
        <v/>
      </c>
      <c r="T1515" s="385"/>
      <c r="U1515" s="385" t="s">
        <v>4</v>
      </c>
      <c r="V1515" s="385" t="s">
        <v>101</v>
      </c>
      <c r="W1515" s="385" t="s">
        <v>1436</v>
      </c>
      <c r="X1515" s="1"/>
    </row>
    <row r="1516" spans="1:24">
      <c r="A1516" s="385" t="s">
        <v>65</v>
      </c>
      <c r="B1516" s="385" t="s">
        <v>444</v>
      </c>
      <c r="C1516" s="385" t="s">
        <v>3260</v>
      </c>
      <c r="D1516" s="385" t="s">
        <v>88</v>
      </c>
      <c r="E1516" s="385"/>
      <c r="F1516" s="385"/>
      <c r="G1516" s="385"/>
      <c r="H1516" s="385">
        <v>2024</v>
      </c>
      <c r="I1516" s="386">
        <v>45568</v>
      </c>
      <c r="J1516" s="30"/>
      <c r="K1516" s="385"/>
      <c r="L1516" s="385"/>
      <c r="M1516" s="385"/>
      <c r="N1516" s="385"/>
      <c r="O1516" s="385"/>
      <c r="P1516" s="385" t="str">
        <f>IFERROR(
    IF(
        OR(ISBLANK(I1516), ISBLANK(L1516)),
        "",
        MAX(
            1,
            IF(
                NETWORKDAYS(I1516, L1516, Holiday_Dates) &lt;= 0,
                1,
                NETWORKDAYS(I1516, L1516, Holiday_Dates) - IF(I1516 = L1516, 0, 1)
            )
        )
    ),
    ""
)</f>
        <v/>
      </c>
      <c r="Q1516" s="385" t="str">
        <f>IF(
    OR(ISBLANK(L1516), ISBLANK(M1516)),
    "",
    MAX(
        1,
        IF(
            NETWORKDAYS(L1516, M1516, Holiday_Dates) &lt;= 0,
            1,
            NETWORKDAYS(L1516, M1516, Holiday_Dates) - IF(L1516 = M1516, 0, 1)
        )
    )
)</f>
        <v/>
      </c>
      <c r="R1516" s="385" t="str">
        <f>IFERROR(
    IF(
        OR(ISBLANK(N1516), AND(ISBLANK(L1516), ISBLANK(M1516))),
        "",
        MAX(
            1,
            IF(
                NETWORKDAYS(IF(NOT(ISBLANK(M1516)), M1516, L1516), N1516, Holiday_Dates) &lt;= 0,
                1,
                NETWORKDAYS(IF(NOT(ISBLANK(M1516)), M1516, L1516), N1516, Holiday_Dates)
                - IF(IF(NOT(ISBLANK(M1516)), M1516, L1516) = N1516, 0, 1)
            )
        )
    ),
    ""
)</f>
        <v/>
      </c>
      <c r="S1516" s="385" t="str">
        <f>IFERROR(
    IF(
        OR(ISBLANK(N1516), ISBLANK(O1516)),
        "",
        MAX(
            1,
            IF(
                NETWORKDAYS(N1516, O1516, Holiday_Dates) &lt;= 0,
                1,
                NETWORKDAYS(N1516, O1516, Holiday_Dates) - IF(N1516 = O1516, 0, 1)
            )
        )
    ),
    ""
)</f>
        <v/>
      </c>
      <c r="T1516" s="385"/>
      <c r="U1516" s="385" t="s">
        <v>4</v>
      </c>
      <c r="V1516" s="385" t="s">
        <v>101</v>
      </c>
      <c r="W1516" s="385" t="s">
        <v>1436</v>
      </c>
      <c r="X1516" s="1"/>
    </row>
    <row r="1517" spans="1:24">
      <c r="A1517" s="385" t="s">
        <v>65</v>
      </c>
      <c r="B1517" s="385" t="s">
        <v>444</v>
      </c>
      <c r="C1517" s="385" t="s">
        <v>3262</v>
      </c>
      <c r="D1517" s="385" t="s">
        <v>88</v>
      </c>
      <c r="E1517" s="385"/>
      <c r="F1517" s="385"/>
      <c r="G1517" s="385"/>
      <c r="H1517" s="385">
        <v>2024</v>
      </c>
      <c r="I1517" s="386">
        <v>45496</v>
      </c>
      <c r="J1517" s="30"/>
      <c r="K1517" s="385"/>
      <c r="L1517" s="385"/>
      <c r="M1517" s="385"/>
      <c r="N1517" s="385"/>
      <c r="O1517" s="385"/>
      <c r="P1517" s="385" t="str">
        <f>IFERROR(
    IF(
        OR(ISBLANK(I1517), ISBLANK(L1517)),
        "",
        MAX(
            1,
            IF(
                NETWORKDAYS(I1517, L1517, Holiday_Dates) &lt;= 0,
                1,
                NETWORKDAYS(I1517, L1517, Holiday_Dates) - IF(I1517 = L1517, 0, 1)
            )
        )
    ),
    ""
)</f>
        <v/>
      </c>
      <c r="Q1517" s="385" t="str">
        <f>IF(
    OR(ISBLANK(L1517), ISBLANK(M1517)),
    "",
    MAX(
        1,
        IF(
            NETWORKDAYS(L1517, M1517, Holiday_Dates) &lt;= 0,
            1,
            NETWORKDAYS(L1517, M1517, Holiday_Dates) - IF(L1517 = M1517, 0, 1)
        )
    )
)</f>
        <v/>
      </c>
      <c r="R1517" s="385" t="str">
        <f>IFERROR(
    IF(
        OR(ISBLANK(N1517), AND(ISBLANK(L1517), ISBLANK(M1517))),
        "",
        MAX(
            1,
            IF(
                NETWORKDAYS(IF(NOT(ISBLANK(M1517)), M1517, L1517), N1517, Holiday_Dates) &lt;= 0,
                1,
                NETWORKDAYS(IF(NOT(ISBLANK(M1517)), M1517, L1517), N1517, Holiday_Dates)
                - IF(IF(NOT(ISBLANK(M1517)), M1517, L1517) = N1517, 0, 1)
            )
        )
    ),
    ""
)</f>
        <v/>
      </c>
      <c r="S1517" s="385" t="str">
        <f>IFERROR(
    IF(
        OR(ISBLANK(N1517), ISBLANK(O1517)),
        "",
        MAX(
            1,
            IF(
                NETWORKDAYS(N1517, O1517, Holiday_Dates) &lt;= 0,
                1,
                NETWORKDAYS(N1517, O1517, Holiday_Dates) - IF(N1517 = O1517, 0, 1)
            )
        )
    ),
    ""
)</f>
        <v/>
      </c>
      <c r="T1517" s="385"/>
      <c r="U1517" s="385" t="s">
        <v>4</v>
      </c>
      <c r="V1517" s="385" t="s">
        <v>101</v>
      </c>
      <c r="W1517" s="385" t="s">
        <v>1436</v>
      </c>
      <c r="X1517" s="1"/>
    </row>
    <row r="1518" spans="1:24">
      <c r="A1518" s="385" t="s">
        <v>65</v>
      </c>
      <c r="B1518" s="385" t="s">
        <v>444</v>
      </c>
      <c r="C1518" s="385" t="s">
        <v>3264</v>
      </c>
      <c r="D1518" s="385" t="s">
        <v>88</v>
      </c>
      <c r="E1518" s="385"/>
      <c r="F1518" s="385"/>
      <c r="G1518" s="385"/>
      <c r="H1518" s="385">
        <v>2025</v>
      </c>
      <c r="I1518" s="386">
        <v>45910</v>
      </c>
      <c r="J1518" s="30" t="s">
        <v>5296</v>
      </c>
      <c r="K1518" s="385"/>
      <c r="L1518" s="385"/>
      <c r="M1518" s="385"/>
      <c r="N1518" s="385"/>
      <c r="O1518" s="385"/>
      <c r="P1518" s="385" t="str">
        <f>IFERROR(
    IF(
        OR(ISBLANK(I1518), ISBLANK(L1518)),
        "",
        MAX(
            1,
            IF(
                NETWORKDAYS(I1518, L1518, Holiday_Dates) &lt;= 0,
                1,
                NETWORKDAYS(I1518, L1518, Holiday_Dates) - IF(I1518 = L1518, 0, 1)
            )
        )
    ),
    ""
)</f>
        <v/>
      </c>
      <c r="Q1518" s="385" t="str">
        <f>IF(
    OR(ISBLANK(L1518), ISBLANK(M1518)),
    "",
    MAX(
        1,
        IF(
            NETWORKDAYS(L1518, M1518, Holiday_Dates) &lt;= 0,
            1,
            NETWORKDAYS(L1518, M1518, Holiday_Dates) - IF(L1518 = M1518, 0, 1)
        )
    )
)</f>
        <v/>
      </c>
      <c r="R1518" s="385" t="str">
        <f>IFERROR(
    IF(
        OR(ISBLANK(N1518), AND(ISBLANK(L1518), ISBLANK(M1518))),
        "",
        MAX(
            1,
            IF(
                NETWORKDAYS(IF(NOT(ISBLANK(M1518)), M1518, L1518), N1518, Holiday_Dates) &lt;= 0,
                1,
                NETWORKDAYS(IF(NOT(ISBLANK(M1518)), M1518, L1518), N1518, Holiday_Dates)
                - IF(IF(NOT(ISBLANK(M1518)), M1518, L1518) = N1518, 0, 1)
            )
        )
    ),
    ""
)</f>
        <v/>
      </c>
      <c r="S1518" s="385" t="str">
        <f>IFERROR(
    IF(
        OR(ISBLANK(N1518), ISBLANK(O1518)),
        "",
        MAX(
            1,
            IF(
                NETWORKDAYS(N1518, O1518, Holiday_Dates) &lt;= 0,
                1,
                NETWORKDAYS(N1518, O1518, Holiday_Dates) - IF(N1518 = O1518, 0, 1)
            )
        )
    ),
    ""
)</f>
        <v/>
      </c>
      <c r="T1518" s="385"/>
      <c r="U1518" s="385" t="s">
        <v>4</v>
      </c>
      <c r="V1518" s="385" t="s">
        <v>101</v>
      </c>
      <c r="W1518" s="385" t="s">
        <v>1436</v>
      </c>
      <c r="X1518" s="1"/>
    </row>
    <row r="1519" spans="1:24">
      <c r="A1519" s="388" t="s">
        <v>65</v>
      </c>
      <c r="B1519" s="388" t="s">
        <v>516</v>
      </c>
      <c r="C1519" s="388" t="s">
        <v>3195</v>
      </c>
      <c r="D1519" s="388" t="s">
        <v>89</v>
      </c>
      <c r="E1519" s="388" t="s">
        <v>29</v>
      </c>
      <c r="F1519" s="385"/>
      <c r="G1519" s="385" t="s">
        <v>130</v>
      </c>
      <c r="H1519" s="385"/>
      <c r="I1519" s="385"/>
      <c r="J1519" s="30"/>
      <c r="K1519" s="388" t="s">
        <v>64</v>
      </c>
      <c r="L1519" s="385"/>
      <c r="M1519" s="385"/>
      <c r="N1519" s="385"/>
      <c r="O1519" s="385"/>
      <c r="P1519" s="385"/>
      <c r="Q1519" s="385"/>
      <c r="R1519" s="385"/>
      <c r="S1519" s="385"/>
      <c r="T1519" s="385"/>
      <c r="U1519" s="385"/>
      <c r="V1519" s="385"/>
      <c r="W1519" s="385" t="s">
        <v>4710</v>
      </c>
      <c r="X1519" s="1"/>
    </row>
    <row r="1520" spans="1:24">
      <c r="A1520" s="385" t="s">
        <v>49</v>
      </c>
      <c r="B1520" s="385" t="s">
        <v>492</v>
      </c>
      <c r="C1520" s="385" t="s">
        <v>2312</v>
      </c>
      <c r="D1520" s="385" t="s">
        <v>88</v>
      </c>
      <c r="E1520" s="385" t="s">
        <v>344</v>
      </c>
      <c r="F1520" s="385"/>
      <c r="G1520" s="385" t="s">
        <v>128</v>
      </c>
      <c r="H1520" s="385"/>
      <c r="I1520" s="385"/>
      <c r="J1520" s="30"/>
      <c r="K1520" s="385" t="s">
        <v>64</v>
      </c>
      <c r="L1520" s="385"/>
      <c r="M1520" s="385"/>
      <c r="N1520" s="385"/>
      <c r="O1520" s="385"/>
      <c r="P1520" s="385"/>
      <c r="Q1520" s="385"/>
      <c r="R1520" s="385"/>
      <c r="S1520" s="385"/>
      <c r="T1520" s="385"/>
      <c r="U1520" s="385"/>
      <c r="V1520" s="385"/>
      <c r="W1520" s="385" t="s">
        <v>4710</v>
      </c>
      <c r="X1520" s="1"/>
    </row>
    <row r="1521" spans="1:24">
      <c r="A1521" s="385" t="s">
        <v>65</v>
      </c>
      <c r="B1521" s="385" t="s">
        <v>444</v>
      </c>
      <c r="C1521" s="385" t="s">
        <v>3268</v>
      </c>
      <c r="D1521" s="385" t="s">
        <v>88</v>
      </c>
      <c r="E1521" s="385"/>
      <c r="F1521" s="385"/>
      <c r="G1521" s="385"/>
      <c r="H1521" s="385">
        <v>2024</v>
      </c>
      <c r="I1521" s="386">
        <v>45568</v>
      </c>
      <c r="J1521" s="30"/>
      <c r="K1521" s="385"/>
      <c r="L1521" s="385"/>
      <c r="M1521" s="385"/>
      <c r="N1521" s="385"/>
      <c r="O1521" s="385"/>
      <c r="P1521" s="385" t="str">
        <f>IFERROR(
    IF(
        OR(ISBLANK(I1521), ISBLANK(L1521)),
        "",
        MAX(
            1,
            IF(
                NETWORKDAYS(I1521, L1521, Holiday_Dates) &lt;= 0,
                1,
                NETWORKDAYS(I1521, L1521, Holiday_Dates) - IF(I1521 = L1521, 0, 1)
            )
        )
    ),
    ""
)</f>
        <v/>
      </c>
      <c r="Q1521" s="385" t="str">
        <f>IF(
    OR(ISBLANK(L1521), ISBLANK(M1521)),
    "",
    MAX(
        1,
        IF(
            NETWORKDAYS(L1521, M1521, Holiday_Dates) &lt;= 0,
            1,
            NETWORKDAYS(L1521, M1521, Holiday_Dates) - IF(L1521 = M1521, 0, 1)
        )
    )
)</f>
        <v/>
      </c>
      <c r="R1521" s="385" t="str">
        <f>IFERROR(
    IF(
        OR(ISBLANK(N1521), AND(ISBLANK(L1521), ISBLANK(M1521))),
        "",
        MAX(
            1,
            IF(
                NETWORKDAYS(IF(NOT(ISBLANK(M1521)), M1521, L1521), N1521, Holiday_Dates) &lt;= 0,
                1,
                NETWORKDAYS(IF(NOT(ISBLANK(M1521)), M1521, L1521), N1521, Holiday_Dates)
                - IF(IF(NOT(ISBLANK(M1521)), M1521, L1521) = N1521, 0, 1)
            )
        )
    ),
    ""
)</f>
        <v/>
      </c>
      <c r="S1521" s="385" t="str">
        <f>IFERROR(
    IF(
        OR(ISBLANK(N1521), ISBLANK(O1521)),
        "",
        MAX(
            1,
            IF(
                NETWORKDAYS(N1521, O1521, Holiday_Dates) &lt;= 0,
                1,
                NETWORKDAYS(N1521, O1521, Holiday_Dates) - IF(N1521 = O1521, 0, 1)
            )
        )
    ),
    ""
)</f>
        <v/>
      </c>
      <c r="T1521" s="385"/>
      <c r="U1521" s="385" t="s">
        <v>4</v>
      </c>
      <c r="V1521" s="385" t="s">
        <v>101</v>
      </c>
      <c r="W1521" s="385" t="s">
        <v>1436</v>
      </c>
      <c r="X1521" s="1"/>
    </row>
    <row r="1522" spans="1:24">
      <c r="A1522" s="385" t="s">
        <v>65</v>
      </c>
      <c r="B1522" s="385" t="s">
        <v>444</v>
      </c>
      <c r="C1522" s="385" t="s">
        <v>3270</v>
      </c>
      <c r="D1522" s="385" t="s">
        <v>88</v>
      </c>
      <c r="E1522" s="385"/>
      <c r="F1522" s="385"/>
      <c r="G1522" s="385"/>
      <c r="H1522" s="385">
        <v>2024</v>
      </c>
      <c r="I1522" s="386">
        <v>45568</v>
      </c>
      <c r="J1522" s="30"/>
      <c r="K1522" s="385"/>
      <c r="L1522" s="385"/>
      <c r="M1522" s="385"/>
      <c r="N1522" s="385"/>
      <c r="O1522" s="385"/>
      <c r="P1522" s="385" t="str">
        <f>IFERROR(
    IF(
        OR(ISBLANK(I1522), ISBLANK(L1522)),
        "",
        MAX(
            1,
            IF(
                NETWORKDAYS(I1522, L1522, Holiday_Dates) &lt;= 0,
                1,
                NETWORKDAYS(I1522, L1522, Holiday_Dates) - IF(I1522 = L1522, 0, 1)
            )
        )
    ),
    ""
)</f>
        <v/>
      </c>
      <c r="Q1522" s="385" t="str">
        <f>IF(
    OR(ISBLANK(L1522), ISBLANK(M1522)),
    "",
    MAX(
        1,
        IF(
            NETWORKDAYS(L1522, M1522, Holiday_Dates) &lt;= 0,
            1,
            NETWORKDAYS(L1522, M1522, Holiday_Dates) - IF(L1522 = M1522, 0, 1)
        )
    )
)</f>
        <v/>
      </c>
      <c r="R1522" s="385" t="str">
        <f>IFERROR(
    IF(
        OR(ISBLANK(N1522), AND(ISBLANK(L1522), ISBLANK(M1522))),
        "",
        MAX(
            1,
            IF(
                NETWORKDAYS(IF(NOT(ISBLANK(M1522)), M1522, L1522), N1522, Holiday_Dates) &lt;= 0,
                1,
                NETWORKDAYS(IF(NOT(ISBLANK(M1522)), M1522, L1522), N1522, Holiday_Dates)
                - IF(IF(NOT(ISBLANK(M1522)), M1522, L1522) = N1522, 0, 1)
            )
        )
    ),
    ""
)</f>
        <v/>
      </c>
      <c r="S1522" s="385" t="str">
        <f>IFERROR(
    IF(
        OR(ISBLANK(N1522), ISBLANK(O1522)),
        "",
        MAX(
            1,
            IF(
                NETWORKDAYS(N1522, O1522, Holiday_Dates) &lt;= 0,
                1,
                NETWORKDAYS(N1522, O1522, Holiday_Dates) - IF(N1522 = O1522, 0, 1)
            )
        )
    ),
    ""
)</f>
        <v/>
      </c>
      <c r="T1522" s="385"/>
      <c r="U1522" s="385" t="s">
        <v>4</v>
      </c>
      <c r="V1522" s="385" t="s">
        <v>101</v>
      </c>
      <c r="W1522" s="385" t="s">
        <v>1436</v>
      </c>
      <c r="X1522" s="1"/>
    </row>
    <row r="1523" spans="1:24">
      <c r="A1523" s="385" t="s">
        <v>65</v>
      </c>
      <c r="B1523" s="385" t="s">
        <v>444</v>
      </c>
      <c r="C1523" s="385" t="s">
        <v>2899</v>
      </c>
      <c r="D1523" s="385" t="s">
        <v>88</v>
      </c>
      <c r="E1523" s="385"/>
      <c r="F1523" s="385"/>
      <c r="G1523" s="385"/>
      <c r="H1523" s="385">
        <v>2025</v>
      </c>
      <c r="I1523" s="386">
        <v>45910</v>
      </c>
      <c r="J1523" s="30" t="s">
        <v>5297</v>
      </c>
      <c r="K1523" s="385"/>
      <c r="L1523" s="385"/>
      <c r="M1523" s="385"/>
      <c r="N1523" s="385"/>
      <c r="O1523" s="385"/>
      <c r="P1523" s="385" t="str">
        <f>IFERROR(
    IF(
        OR(ISBLANK(I1523), ISBLANK(L1523)),
        "",
        MAX(
            1,
            IF(
                NETWORKDAYS(I1523, L1523, Holiday_Dates) &lt;= 0,
                1,
                NETWORKDAYS(I1523, L1523, Holiday_Dates) - IF(I1523 = L1523, 0, 1)
            )
        )
    ),
    ""
)</f>
        <v/>
      </c>
      <c r="Q1523" s="385" t="str">
        <f>IF(
    OR(ISBLANK(L1523), ISBLANK(M1523)),
    "",
    MAX(
        1,
        IF(
            NETWORKDAYS(L1523, M1523, Holiday_Dates) &lt;= 0,
            1,
            NETWORKDAYS(L1523, M1523, Holiday_Dates) - IF(L1523 = M1523, 0, 1)
        )
    )
)</f>
        <v/>
      </c>
      <c r="R1523" s="385" t="str">
        <f>IFERROR(
    IF(
        OR(ISBLANK(N1523), AND(ISBLANK(L1523), ISBLANK(M1523))),
        "",
        MAX(
            1,
            IF(
                NETWORKDAYS(IF(NOT(ISBLANK(M1523)), M1523, L1523), N1523, Holiday_Dates) &lt;= 0,
                1,
                NETWORKDAYS(IF(NOT(ISBLANK(M1523)), M1523, L1523), N1523, Holiday_Dates)
                - IF(IF(NOT(ISBLANK(M1523)), M1523, L1523) = N1523, 0, 1)
            )
        )
    ),
    ""
)</f>
        <v/>
      </c>
      <c r="S1523" s="385" t="str">
        <f>IFERROR(
    IF(
        OR(ISBLANK(N1523), ISBLANK(O1523)),
        "",
        MAX(
            1,
            IF(
                NETWORKDAYS(N1523, O1523, Holiday_Dates) &lt;= 0,
                1,
                NETWORKDAYS(N1523, O1523, Holiday_Dates) - IF(N1523 = O1523, 0, 1)
            )
        )
    ),
    ""
)</f>
        <v/>
      </c>
      <c r="T1523" s="385"/>
      <c r="U1523" s="385" t="s">
        <v>4</v>
      </c>
      <c r="V1523" s="385" t="s">
        <v>101</v>
      </c>
      <c r="W1523" s="385" t="s">
        <v>1436</v>
      </c>
      <c r="X1523" s="1"/>
    </row>
    <row r="1524" spans="1:24">
      <c r="A1524" s="385" t="s">
        <v>65</v>
      </c>
      <c r="B1524" s="385" t="s">
        <v>444</v>
      </c>
      <c r="C1524" s="385" t="s">
        <v>3272</v>
      </c>
      <c r="D1524" s="385" t="s">
        <v>88</v>
      </c>
      <c r="E1524" s="385"/>
      <c r="F1524" s="385"/>
      <c r="G1524" s="385"/>
      <c r="H1524" s="385">
        <v>2025</v>
      </c>
      <c r="I1524" s="386">
        <v>45804</v>
      </c>
      <c r="J1524" s="30" t="s">
        <v>5298</v>
      </c>
      <c r="K1524" s="385"/>
      <c r="L1524" s="385"/>
      <c r="M1524" s="385"/>
      <c r="N1524" s="385"/>
      <c r="O1524" s="385"/>
      <c r="P1524" s="385" t="str">
        <f>IFERROR(
    IF(
        OR(ISBLANK(I1524), ISBLANK(L1524)),
        "",
        MAX(
            1,
            IF(
                NETWORKDAYS(I1524, L1524, Holiday_Dates) &lt;= 0,
                1,
                NETWORKDAYS(I1524, L1524, Holiday_Dates) - IF(I1524 = L1524, 0, 1)
            )
        )
    ),
    ""
)</f>
        <v/>
      </c>
      <c r="Q1524" s="385" t="str">
        <f>IF(
    OR(ISBLANK(L1524), ISBLANK(M1524)),
    "",
    MAX(
        1,
        IF(
            NETWORKDAYS(L1524, M1524, Holiday_Dates) &lt;= 0,
            1,
            NETWORKDAYS(L1524, M1524, Holiday_Dates) - IF(L1524 = M1524, 0, 1)
        )
    )
)</f>
        <v/>
      </c>
      <c r="R1524" s="385" t="str">
        <f>IFERROR(
    IF(
        OR(ISBLANK(N1524), AND(ISBLANK(L1524), ISBLANK(M1524))),
        "",
        MAX(
            1,
            IF(
                NETWORKDAYS(IF(NOT(ISBLANK(M1524)), M1524, L1524), N1524, Holiday_Dates) &lt;= 0,
                1,
                NETWORKDAYS(IF(NOT(ISBLANK(M1524)), M1524, L1524), N1524, Holiday_Dates)
                - IF(IF(NOT(ISBLANK(M1524)), M1524, L1524) = N1524, 0, 1)
            )
        )
    ),
    ""
)</f>
        <v/>
      </c>
      <c r="S1524" s="385" t="str">
        <f>IFERROR(
    IF(
        OR(ISBLANK(N1524), ISBLANK(O1524)),
        "",
        MAX(
            1,
            IF(
                NETWORKDAYS(N1524, O1524, Holiday_Dates) &lt;= 0,
                1,
                NETWORKDAYS(N1524, O1524, Holiday_Dates) - IF(N1524 = O1524, 0, 1)
            )
        )
    ),
    ""
)</f>
        <v/>
      </c>
      <c r="T1524" s="385"/>
      <c r="U1524" s="385" t="s">
        <v>672</v>
      </c>
      <c r="V1524" s="385" t="s">
        <v>101</v>
      </c>
      <c r="W1524" s="385" t="s">
        <v>1436</v>
      </c>
      <c r="X1524" s="1"/>
    </row>
    <row r="1525" spans="1:24">
      <c r="A1525" s="385" t="s">
        <v>49</v>
      </c>
      <c r="B1525" s="385" t="s">
        <v>492</v>
      </c>
      <c r="C1525" s="385" t="s">
        <v>2313</v>
      </c>
      <c r="D1525" s="385" t="s">
        <v>88</v>
      </c>
      <c r="E1525" s="385" t="s">
        <v>344</v>
      </c>
      <c r="F1525" s="385"/>
      <c r="G1525" s="385" t="s">
        <v>128</v>
      </c>
      <c r="H1525" s="385"/>
      <c r="I1525" s="385"/>
      <c r="J1525" s="30"/>
      <c r="K1525" s="385" t="s">
        <v>64</v>
      </c>
      <c r="L1525" s="385"/>
      <c r="M1525" s="385"/>
      <c r="N1525" s="385"/>
      <c r="O1525" s="385"/>
      <c r="P1525" s="385"/>
      <c r="Q1525" s="385"/>
      <c r="R1525" s="385"/>
      <c r="S1525" s="385"/>
      <c r="T1525" s="385"/>
      <c r="U1525" s="385"/>
      <c r="V1525" s="385"/>
      <c r="W1525" s="385" t="s">
        <v>4710</v>
      </c>
      <c r="X1525" s="1"/>
    </row>
    <row r="1526" spans="1:24">
      <c r="A1526" s="385" t="s">
        <v>65</v>
      </c>
      <c r="B1526" s="385" t="s">
        <v>444</v>
      </c>
      <c r="C1526" s="385" t="s">
        <v>3273</v>
      </c>
      <c r="D1526" s="385" t="s">
        <v>88</v>
      </c>
      <c r="E1526" s="385"/>
      <c r="F1526" s="385"/>
      <c r="G1526" s="385"/>
      <c r="H1526" s="385">
        <v>2024</v>
      </c>
      <c r="I1526" s="386">
        <v>45568</v>
      </c>
      <c r="J1526" s="30"/>
      <c r="K1526" s="385"/>
      <c r="L1526" s="385"/>
      <c r="M1526" s="385"/>
      <c r="N1526" s="385"/>
      <c r="O1526" s="385"/>
      <c r="P1526" s="385" t="str">
        <f>IFERROR(
    IF(
        OR(ISBLANK(I1526), ISBLANK(L1526)),
        "",
        MAX(
            1,
            IF(
                NETWORKDAYS(I1526, L1526, Holiday_Dates) &lt;= 0,
                1,
                NETWORKDAYS(I1526, L1526, Holiday_Dates) - IF(I1526 = L1526, 0, 1)
            )
        )
    ),
    ""
)</f>
        <v/>
      </c>
      <c r="Q1526" s="385" t="str">
        <f>IF(
    OR(ISBLANK(L1526), ISBLANK(M1526)),
    "",
    MAX(
        1,
        IF(
            NETWORKDAYS(L1526, M1526, Holiday_Dates) &lt;= 0,
            1,
            NETWORKDAYS(L1526, M1526, Holiday_Dates) - IF(L1526 = M1526, 0, 1)
        )
    )
)</f>
        <v/>
      </c>
      <c r="R1526" s="385" t="str">
        <f>IFERROR(
    IF(
        OR(ISBLANK(N1526), AND(ISBLANK(L1526), ISBLANK(M1526))),
        "",
        MAX(
            1,
            IF(
                NETWORKDAYS(IF(NOT(ISBLANK(M1526)), M1526, L1526), N1526, Holiday_Dates) &lt;= 0,
                1,
                NETWORKDAYS(IF(NOT(ISBLANK(M1526)), M1526, L1526), N1526, Holiday_Dates)
                - IF(IF(NOT(ISBLANK(M1526)), M1526, L1526) = N1526, 0, 1)
            )
        )
    ),
    ""
)</f>
        <v/>
      </c>
      <c r="S1526" s="385" t="str">
        <f>IFERROR(
    IF(
        OR(ISBLANK(N1526), ISBLANK(O1526)),
        "",
        MAX(
            1,
            IF(
                NETWORKDAYS(N1526, O1526, Holiday_Dates) &lt;= 0,
                1,
                NETWORKDAYS(N1526, O1526, Holiday_Dates) - IF(N1526 = O1526, 0, 1)
            )
        )
    ),
    ""
)</f>
        <v/>
      </c>
      <c r="T1526" s="385"/>
      <c r="U1526" s="385" t="s">
        <v>4</v>
      </c>
      <c r="V1526" s="385" t="s">
        <v>101</v>
      </c>
      <c r="W1526" s="385" t="s">
        <v>1436</v>
      </c>
      <c r="X1526" s="1"/>
    </row>
    <row r="1527" spans="1:24">
      <c r="A1527" s="385" t="s">
        <v>65</v>
      </c>
      <c r="B1527" s="385" t="s">
        <v>444</v>
      </c>
      <c r="C1527" s="385" t="s">
        <v>3275</v>
      </c>
      <c r="D1527" s="385" t="s">
        <v>88</v>
      </c>
      <c r="E1527" s="385"/>
      <c r="F1527" s="385"/>
      <c r="G1527" s="385"/>
      <c r="H1527" s="385">
        <v>2024</v>
      </c>
      <c r="I1527" s="386">
        <v>45568</v>
      </c>
      <c r="J1527" s="30"/>
      <c r="K1527" s="385"/>
      <c r="L1527" s="385"/>
      <c r="M1527" s="385"/>
      <c r="N1527" s="385"/>
      <c r="O1527" s="385"/>
      <c r="P1527" s="385" t="str">
        <f>IFERROR(
    IF(
        OR(ISBLANK(I1527), ISBLANK(L1527)),
        "",
        MAX(
            1,
            IF(
                NETWORKDAYS(I1527, L1527, Holiday_Dates) &lt;= 0,
                1,
                NETWORKDAYS(I1527, L1527, Holiday_Dates) - IF(I1527 = L1527, 0, 1)
            )
        )
    ),
    ""
)</f>
        <v/>
      </c>
      <c r="Q1527" s="385" t="str">
        <f>IF(
    OR(ISBLANK(L1527), ISBLANK(M1527)),
    "",
    MAX(
        1,
        IF(
            NETWORKDAYS(L1527, M1527, Holiday_Dates) &lt;= 0,
            1,
            NETWORKDAYS(L1527, M1527, Holiday_Dates) - IF(L1527 = M1527, 0, 1)
        )
    )
)</f>
        <v/>
      </c>
      <c r="R1527" s="385" t="str">
        <f>IFERROR(
    IF(
        OR(ISBLANK(N1527), AND(ISBLANK(L1527), ISBLANK(M1527))),
        "",
        MAX(
            1,
            IF(
                NETWORKDAYS(IF(NOT(ISBLANK(M1527)), M1527, L1527), N1527, Holiday_Dates) &lt;= 0,
                1,
                NETWORKDAYS(IF(NOT(ISBLANK(M1527)), M1527, L1527), N1527, Holiday_Dates)
                - IF(IF(NOT(ISBLANK(M1527)), M1527, L1527) = N1527, 0, 1)
            )
        )
    ),
    ""
)</f>
        <v/>
      </c>
      <c r="S1527" s="385" t="str">
        <f>IFERROR(
    IF(
        OR(ISBLANK(N1527), ISBLANK(O1527)),
        "",
        MAX(
            1,
            IF(
                NETWORKDAYS(N1527, O1527, Holiday_Dates) &lt;= 0,
                1,
                NETWORKDAYS(N1527, O1527, Holiday_Dates) - IF(N1527 = O1527, 0, 1)
            )
        )
    ),
    ""
)</f>
        <v/>
      </c>
      <c r="T1527" s="385"/>
      <c r="U1527" s="385" t="s">
        <v>4</v>
      </c>
      <c r="V1527" s="385" t="s">
        <v>101</v>
      </c>
      <c r="W1527" s="385" t="s">
        <v>1436</v>
      </c>
      <c r="X1527" s="1"/>
    </row>
    <row r="1528" spans="1:24">
      <c r="A1528" s="385" t="s">
        <v>49</v>
      </c>
      <c r="B1528" s="385" t="s">
        <v>492</v>
      </c>
      <c r="C1528" s="385" t="s">
        <v>2314</v>
      </c>
      <c r="D1528" s="385" t="s">
        <v>88</v>
      </c>
      <c r="E1528" s="385" t="s">
        <v>344</v>
      </c>
      <c r="F1528" s="385"/>
      <c r="G1528" s="385" t="s">
        <v>128</v>
      </c>
      <c r="H1528" s="385"/>
      <c r="I1528" s="385"/>
      <c r="J1528" s="30"/>
      <c r="K1528" s="385" t="s">
        <v>64</v>
      </c>
      <c r="L1528" s="385"/>
      <c r="M1528" s="385"/>
      <c r="N1528" s="385"/>
      <c r="O1528" s="385"/>
      <c r="P1528" s="385"/>
      <c r="Q1528" s="385"/>
      <c r="R1528" s="385"/>
      <c r="S1528" s="385"/>
      <c r="T1528" s="385"/>
      <c r="U1528" s="385"/>
      <c r="V1528" s="385"/>
      <c r="W1528" s="385" t="s">
        <v>4710</v>
      </c>
      <c r="X1528" s="1"/>
    </row>
    <row r="1529" spans="1:24">
      <c r="A1529" s="385" t="s">
        <v>49</v>
      </c>
      <c r="B1529" s="385" t="s">
        <v>492</v>
      </c>
      <c r="C1529" s="385" t="s">
        <v>2316</v>
      </c>
      <c r="D1529" s="385" t="s">
        <v>88</v>
      </c>
      <c r="E1529" s="385" t="s">
        <v>344</v>
      </c>
      <c r="F1529" s="385"/>
      <c r="G1529" s="385" t="s">
        <v>128</v>
      </c>
      <c r="H1529" s="385"/>
      <c r="I1529" s="385"/>
      <c r="J1529" s="30"/>
      <c r="K1529" s="385" t="s">
        <v>64</v>
      </c>
      <c r="L1529" s="385"/>
      <c r="M1529" s="385"/>
      <c r="N1529" s="385"/>
      <c r="O1529" s="385"/>
      <c r="P1529" s="385" t="str">
        <f>IFERROR(
    IF(
        OR(ISBLANK(I1529), ISBLANK(L1529)),
        "",
        MAX(
            1,
            IF(
                NETWORKDAYS(I1529, L1529, Holiday_Dates) &lt;= 0,
                1,
                NETWORKDAYS(I1529, L1529, Holiday_Dates) - IF(I1529 = L1529, 0, 1)
            )
        )
    ),
    ""
)</f>
        <v/>
      </c>
      <c r="Q1529" s="385" t="str">
        <f>IF(
    OR(ISBLANK(L1529), ISBLANK(M1529)),
    "",
    MAX(
        1,
        IF(
            NETWORKDAYS(L1529, M1529, Holiday_Dates) &lt;= 0,
            1,
            NETWORKDAYS(L1529, M1529, Holiday_Dates) - IF(L1529 = M1529, 0, 1)
        )
    )
)</f>
        <v/>
      </c>
      <c r="R1529" s="385" t="str">
        <f>IFERROR(
    IF(
        OR(ISBLANK(N1529), AND(ISBLANK(L1529), ISBLANK(M1529))),
        "",
        MAX(
            1,
            IF(
                NETWORKDAYS(IF(NOT(ISBLANK(M1529)), M1529, L1529), N1529, Holiday_Dates) &lt;= 0,
                1,
                NETWORKDAYS(IF(NOT(ISBLANK(M1529)), M1529, L1529), N1529, Holiday_Dates)
                - IF(IF(NOT(ISBLANK(M1529)), M1529, L1529) = N1529, 0, 1)
            )
        )
    ),
    ""
)</f>
        <v/>
      </c>
      <c r="S1529" s="385" t="str">
        <f>IFERROR(
    IF(
        OR(ISBLANK(N1529), ISBLANK(O1529)),
        "",
        MAX(
            1,
            IF(
                NETWORKDAYS(N1529, O1529, Holiday_Dates) &lt;= 0,
                1,
                NETWORKDAYS(N1529, O1529, Holiday_Dates) - IF(N1529 = O1529, 0, 1)
            )
        )
    ),
    ""
)</f>
        <v/>
      </c>
      <c r="T1529" s="385"/>
      <c r="U1529" s="385"/>
      <c r="V1529" s="385"/>
      <c r="W1529" s="385" t="s">
        <v>4710</v>
      </c>
      <c r="X1529" s="1"/>
    </row>
    <row r="1530" spans="1:24">
      <c r="A1530" s="385" t="s">
        <v>49</v>
      </c>
      <c r="B1530" s="385" t="s">
        <v>492</v>
      </c>
      <c r="C1530" s="385" t="s">
        <v>427</v>
      </c>
      <c r="D1530" s="385" t="s">
        <v>88</v>
      </c>
      <c r="E1530" s="385" t="s">
        <v>344</v>
      </c>
      <c r="F1530" s="385"/>
      <c r="G1530" s="385" t="s">
        <v>128</v>
      </c>
      <c r="H1530" s="385"/>
      <c r="I1530" s="385"/>
      <c r="J1530" s="30"/>
      <c r="K1530" s="385" t="s">
        <v>64</v>
      </c>
      <c r="L1530" s="385"/>
      <c r="M1530" s="385"/>
      <c r="N1530" s="385"/>
      <c r="O1530" s="385"/>
      <c r="P1530" s="385" t="str">
        <f>IFERROR(
    IF(
        OR(ISBLANK(I1530), ISBLANK(L1530)),
        "",
        MAX(
            1,
            IF(
                NETWORKDAYS(I1530, L1530, Holiday_Dates) &lt;= 0,
                1,
                NETWORKDAYS(I1530, L1530, Holiday_Dates) - IF(I1530 = L1530, 0, 1)
            )
        )
    ),
    ""
)</f>
        <v/>
      </c>
      <c r="Q1530" s="385" t="str">
        <f>IF(
    OR(ISBLANK(L1530), ISBLANK(M1530)),
    "",
    MAX(
        1,
        IF(
            NETWORKDAYS(L1530, M1530, Holiday_Dates) &lt;= 0,
            1,
            NETWORKDAYS(L1530, M1530, Holiday_Dates) - IF(L1530 = M1530, 0, 1)
        )
    )
)</f>
        <v/>
      </c>
      <c r="R1530" s="385" t="str">
        <f>IFERROR(
    IF(
        OR(ISBLANK(N1530), AND(ISBLANK(L1530), ISBLANK(M1530))),
        "",
        MAX(
            1,
            IF(
                NETWORKDAYS(IF(NOT(ISBLANK(M1530)), M1530, L1530), N1530, Holiday_Dates) &lt;= 0,
                1,
                NETWORKDAYS(IF(NOT(ISBLANK(M1530)), M1530, L1530), N1530, Holiday_Dates)
                - IF(IF(NOT(ISBLANK(M1530)), M1530, L1530) = N1530, 0, 1)
            )
        )
    ),
    ""
)</f>
        <v/>
      </c>
      <c r="S1530" s="385" t="str">
        <f>IFERROR(
    IF(
        OR(ISBLANK(N1530), ISBLANK(O1530)),
        "",
        MAX(
            1,
            IF(
                NETWORKDAYS(N1530, O1530, Holiday_Dates) &lt;= 0,
                1,
                NETWORKDAYS(N1530, O1530, Holiday_Dates) - IF(N1530 = O1530, 0, 1)
            )
        )
    ),
    ""
)</f>
        <v/>
      </c>
      <c r="T1530" s="385"/>
      <c r="U1530" s="385"/>
      <c r="V1530" s="385"/>
      <c r="W1530" s="385" t="s">
        <v>4710</v>
      </c>
      <c r="X1530" s="1"/>
    </row>
    <row r="1531" spans="1:24">
      <c r="A1531" s="385" t="s">
        <v>49</v>
      </c>
      <c r="B1531" s="385" t="s">
        <v>2573</v>
      </c>
      <c r="C1531" s="385" t="s">
        <v>2610</v>
      </c>
      <c r="D1531" s="385" t="s">
        <v>88</v>
      </c>
      <c r="E1531" s="385" t="s">
        <v>136</v>
      </c>
      <c r="F1531" s="385"/>
      <c r="G1531" s="385" t="s">
        <v>128</v>
      </c>
      <c r="H1531" s="385"/>
      <c r="I1531" s="385"/>
      <c r="J1531" s="30"/>
      <c r="K1531" s="385" t="s">
        <v>64</v>
      </c>
      <c r="L1531" s="385"/>
      <c r="M1531" s="385"/>
      <c r="N1531" s="385"/>
      <c r="O1531" s="385"/>
      <c r="P1531" s="385" t="str">
        <f>IFERROR(
    IF(
        OR(ISBLANK(I1531), ISBLANK(L1531)),
        "",
        MAX(
            1,
            IF(
                NETWORKDAYS(I1531, L1531, Holiday_Dates) &lt;= 0,
                1,
                NETWORKDAYS(I1531, L1531, Holiday_Dates) - IF(I1531 = L1531, 0, 1)
            )
        )
    ),
    ""
)</f>
        <v/>
      </c>
      <c r="Q1531" s="385" t="str">
        <f>IF(
    OR(ISBLANK(L1531), ISBLANK(M1531)),
    "",
    MAX(
        1,
        IF(
            NETWORKDAYS(L1531, M1531, Holiday_Dates) &lt;= 0,
            1,
            NETWORKDAYS(L1531, M1531, Holiday_Dates) - IF(L1531 = M1531, 0, 1)
        )
    )
)</f>
        <v/>
      </c>
      <c r="R1531" s="385" t="str">
        <f>IFERROR(
    IF(
        OR(ISBLANK(N1531), AND(ISBLANK(L1531), ISBLANK(M1531))),
        "",
        MAX(
            1,
            IF(
                NETWORKDAYS(IF(NOT(ISBLANK(M1531)), M1531, L1531), N1531, Holiday_Dates) &lt;= 0,
                1,
                NETWORKDAYS(IF(NOT(ISBLANK(M1531)), M1531, L1531), N1531, Holiday_Dates)
                - IF(IF(NOT(ISBLANK(M1531)), M1531, L1531) = N1531, 0, 1)
            )
        )
    ),
    ""
)</f>
        <v/>
      </c>
      <c r="S1531" s="385" t="str">
        <f>IFERROR(
    IF(
        OR(ISBLANK(N1531), ISBLANK(O1531)),
        "",
        MAX(
            1,
            IF(
                NETWORKDAYS(N1531, O1531, Holiday_Dates) &lt;= 0,
                1,
                NETWORKDAYS(N1531, O1531, Holiday_Dates) - IF(N1531 = O1531, 0, 1)
            )
        )
    ),
    ""
)</f>
        <v/>
      </c>
      <c r="T1531" s="385"/>
      <c r="U1531" s="385"/>
      <c r="V1531" s="385"/>
      <c r="W1531" s="385" t="s">
        <v>4710</v>
      </c>
      <c r="X1531" s="1"/>
    </row>
    <row r="1532" spans="1:24">
      <c r="A1532" s="385" t="s">
        <v>49</v>
      </c>
      <c r="B1532" s="385" t="s">
        <v>2573</v>
      </c>
      <c r="C1532" s="385" t="s">
        <v>2612</v>
      </c>
      <c r="D1532" s="385" t="s">
        <v>88</v>
      </c>
      <c r="E1532" s="385" t="s">
        <v>136</v>
      </c>
      <c r="F1532" s="385"/>
      <c r="G1532" s="385" t="s">
        <v>128</v>
      </c>
      <c r="H1532" s="385"/>
      <c r="I1532" s="385"/>
      <c r="J1532" s="30"/>
      <c r="K1532" s="385" t="s">
        <v>64</v>
      </c>
      <c r="L1532" s="385"/>
      <c r="M1532" s="385"/>
      <c r="N1532" s="385"/>
      <c r="O1532" s="385"/>
      <c r="P1532" s="385" t="str">
        <f>IFERROR(
    IF(
        OR(ISBLANK(I1532), ISBLANK(L1532)),
        "",
        MAX(
            1,
            IF(
                NETWORKDAYS(I1532, L1532, Holiday_Dates) &lt;= 0,
                1,
                NETWORKDAYS(I1532, L1532, Holiday_Dates) - IF(I1532 = L1532, 0, 1)
            )
        )
    ),
    ""
)</f>
        <v/>
      </c>
      <c r="Q1532" s="385" t="str">
        <f>IF(
    OR(ISBLANK(L1532), ISBLANK(M1532)),
    "",
    MAX(
        1,
        IF(
            NETWORKDAYS(L1532, M1532, Holiday_Dates) &lt;= 0,
            1,
            NETWORKDAYS(L1532, M1532, Holiday_Dates) - IF(L1532 = M1532, 0, 1)
        )
    )
)</f>
        <v/>
      </c>
      <c r="R1532" s="385" t="str">
        <f>IFERROR(
    IF(
        OR(ISBLANK(N1532), AND(ISBLANK(L1532), ISBLANK(M1532))),
        "",
        MAX(
            1,
            IF(
                NETWORKDAYS(IF(NOT(ISBLANK(M1532)), M1532, L1532), N1532, Holiday_Dates) &lt;= 0,
                1,
                NETWORKDAYS(IF(NOT(ISBLANK(M1532)), M1532, L1532), N1532, Holiday_Dates)
                - IF(IF(NOT(ISBLANK(M1532)), M1532, L1532) = N1532, 0, 1)
            )
        )
    ),
    ""
)</f>
        <v/>
      </c>
      <c r="S1532" s="385" t="str">
        <f>IFERROR(
    IF(
        OR(ISBLANK(N1532), ISBLANK(O1532)),
        "",
        MAX(
            1,
            IF(
                NETWORKDAYS(N1532, O1532, Holiday_Dates) &lt;= 0,
                1,
                NETWORKDAYS(N1532, O1532, Holiday_Dates) - IF(N1532 = O1532, 0, 1)
            )
        )
    ),
    ""
)</f>
        <v/>
      </c>
      <c r="T1532" s="385"/>
      <c r="U1532" s="385"/>
      <c r="V1532" s="385"/>
      <c r="W1532" s="385" t="s">
        <v>4710</v>
      </c>
      <c r="X1532" s="1"/>
    </row>
    <row r="1533" spans="1:24">
      <c r="A1533" s="385" t="s">
        <v>49</v>
      </c>
      <c r="B1533" s="385" t="s">
        <v>2573</v>
      </c>
      <c r="C1533" s="385" t="s">
        <v>881</v>
      </c>
      <c r="D1533" s="385" t="s">
        <v>88</v>
      </c>
      <c r="E1533" s="385" t="s">
        <v>136</v>
      </c>
      <c r="F1533" s="385"/>
      <c r="G1533" s="385" t="s">
        <v>128</v>
      </c>
      <c r="H1533" s="385"/>
      <c r="I1533" s="385"/>
      <c r="J1533" s="30"/>
      <c r="K1533" s="385" t="s">
        <v>64</v>
      </c>
      <c r="L1533" s="385"/>
      <c r="M1533" s="385"/>
      <c r="N1533" s="385"/>
      <c r="O1533" s="385"/>
      <c r="P1533" s="385" t="str">
        <f>IFERROR(
    IF(
        OR(ISBLANK(I1533), ISBLANK(L1533)),
        "",
        MAX(
            1,
            IF(
                NETWORKDAYS(I1533, L1533, Holiday_Dates) &lt;= 0,
                1,
                NETWORKDAYS(I1533, L1533, Holiday_Dates) - IF(I1533 = L1533, 0, 1)
            )
        )
    ),
    ""
)</f>
        <v/>
      </c>
      <c r="Q1533" s="385" t="str">
        <f>IF(
    OR(ISBLANK(L1533), ISBLANK(M1533)),
    "",
    MAX(
        1,
        IF(
            NETWORKDAYS(L1533, M1533, Holiday_Dates) &lt;= 0,
            1,
            NETWORKDAYS(L1533, M1533, Holiday_Dates) - IF(L1533 = M1533, 0, 1)
        )
    )
)</f>
        <v/>
      </c>
      <c r="R1533" s="385" t="str">
        <f>IFERROR(
    IF(
        OR(ISBLANK(N1533), AND(ISBLANK(L1533), ISBLANK(M1533))),
        "",
        MAX(
            1,
            IF(
                NETWORKDAYS(IF(NOT(ISBLANK(M1533)), M1533, L1533), N1533, Holiday_Dates) &lt;= 0,
                1,
                NETWORKDAYS(IF(NOT(ISBLANK(M1533)), M1533, L1533), N1533, Holiday_Dates)
                - IF(IF(NOT(ISBLANK(M1533)), M1533, L1533) = N1533, 0, 1)
            )
        )
    ),
    ""
)</f>
        <v/>
      </c>
      <c r="S1533" s="385" t="str">
        <f>IFERROR(
    IF(
        OR(ISBLANK(N1533), ISBLANK(O1533)),
        "",
        MAX(
            1,
            IF(
                NETWORKDAYS(N1533, O1533, Holiday_Dates) &lt;= 0,
                1,
                NETWORKDAYS(N1533, O1533, Holiday_Dates) - IF(N1533 = O1533, 0, 1)
            )
        )
    ),
    ""
)</f>
        <v/>
      </c>
      <c r="T1533" s="385"/>
      <c r="U1533" s="385"/>
      <c r="V1533" s="385"/>
      <c r="W1533" s="385" t="s">
        <v>4710</v>
      </c>
      <c r="X1533" s="1"/>
    </row>
    <row r="1534" spans="1:24">
      <c r="A1534" s="385" t="s">
        <v>65</v>
      </c>
      <c r="B1534" s="385" t="s">
        <v>444</v>
      </c>
      <c r="C1534" s="385" t="s">
        <v>3278</v>
      </c>
      <c r="D1534" s="385" t="s">
        <v>88</v>
      </c>
      <c r="E1534" s="385"/>
      <c r="F1534" s="385"/>
      <c r="G1534" s="385"/>
      <c r="H1534" s="385">
        <v>2025</v>
      </c>
      <c r="I1534" s="386">
        <v>45910</v>
      </c>
      <c r="J1534" s="30" t="s">
        <v>5299</v>
      </c>
      <c r="K1534" s="385"/>
      <c r="L1534" s="385"/>
      <c r="M1534" s="385"/>
      <c r="N1534" s="385"/>
      <c r="O1534" s="385"/>
      <c r="P1534" s="385" t="str">
        <f>IFERROR(
    IF(
        OR(ISBLANK(I1534), ISBLANK(L1534)),
        "",
        MAX(
            1,
            IF(
                NETWORKDAYS(I1534, L1534, Holiday_Dates) &lt;= 0,
                1,
                NETWORKDAYS(I1534, L1534, Holiday_Dates) - IF(I1534 = L1534, 0, 1)
            )
        )
    ),
    ""
)</f>
        <v/>
      </c>
      <c r="Q1534" s="385" t="str">
        <f>IF(
    OR(ISBLANK(L1534), ISBLANK(M1534)),
    "",
    MAX(
        1,
        IF(
            NETWORKDAYS(L1534, M1534, Holiday_Dates) &lt;= 0,
            1,
            NETWORKDAYS(L1534, M1534, Holiday_Dates) - IF(L1534 = M1534, 0, 1)
        )
    )
)</f>
        <v/>
      </c>
      <c r="R1534" s="385" t="str">
        <f>IFERROR(
    IF(
        OR(ISBLANK(N1534), AND(ISBLANK(L1534), ISBLANK(M1534))),
        "",
        MAX(
            1,
            IF(
                NETWORKDAYS(IF(NOT(ISBLANK(M1534)), M1534, L1534), N1534, Holiday_Dates) &lt;= 0,
                1,
                NETWORKDAYS(IF(NOT(ISBLANK(M1534)), M1534, L1534), N1534, Holiday_Dates)
                - IF(IF(NOT(ISBLANK(M1534)), M1534, L1534) = N1534, 0, 1)
            )
        )
    ),
    ""
)</f>
        <v/>
      </c>
      <c r="S1534" s="385" t="str">
        <f>IFERROR(
    IF(
        OR(ISBLANK(N1534), ISBLANK(O1534)),
        "",
        MAX(
            1,
            IF(
                NETWORKDAYS(N1534, O1534, Holiday_Dates) &lt;= 0,
                1,
                NETWORKDAYS(N1534, O1534, Holiday_Dates) - IF(N1534 = O1534, 0, 1)
            )
        )
    ),
    ""
)</f>
        <v/>
      </c>
      <c r="T1534" s="385"/>
      <c r="U1534" s="385" t="s">
        <v>4</v>
      </c>
      <c r="V1534" s="385" t="s">
        <v>101</v>
      </c>
      <c r="W1534" s="385" t="s">
        <v>1436</v>
      </c>
      <c r="X1534" s="1"/>
    </row>
    <row r="1535" spans="1:24">
      <c r="A1535" s="385" t="s">
        <v>49</v>
      </c>
      <c r="B1535" s="385" t="s">
        <v>2573</v>
      </c>
      <c r="C1535" s="385" t="s">
        <v>2234</v>
      </c>
      <c r="D1535" s="385" t="s">
        <v>88</v>
      </c>
      <c r="E1535" s="385" t="s">
        <v>136</v>
      </c>
      <c r="F1535" s="385"/>
      <c r="G1535" s="385" t="s">
        <v>128</v>
      </c>
      <c r="H1535" s="385"/>
      <c r="I1535" s="385"/>
      <c r="J1535" s="30"/>
      <c r="K1535" s="385" t="s">
        <v>64</v>
      </c>
      <c r="L1535" s="385"/>
      <c r="M1535" s="385"/>
      <c r="N1535" s="385"/>
      <c r="O1535" s="385"/>
      <c r="P1535" s="385" t="str">
        <f>IFERROR(
    IF(
        OR(ISBLANK(I1535), ISBLANK(L1535)),
        "",
        MAX(
            1,
            IF(
                NETWORKDAYS(I1535, L1535, Holiday_Dates) &lt;= 0,
                1,
                NETWORKDAYS(I1535, L1535, Holiday_Dates) - IF(I1535 = L1535, 0, 1)
            )
        )
    ),
    ""
)</f>
        <v/>
      </c>
      <c r="Q1535" s="385" t="str">
        <f>IF(
    OR(ISBLANK(L1535), ISBLANK(M1535)),
    "",
    MAX(
        1,
        IF(
            NETWORKDAYS(L1535, M1535, Holiday_Dates) &lt;= 0,
            1,
            NETWORKDAYS(L1535, M1535, Holiday_Dates) - IF(L1535 = M1535, 0, 1)
        )
    )
)</f>
        <v/>
      </c>
      <c r="R1535" s="385" t="str">
        <f>IFERROR(
    IF(
        OR(ISBLANK(N1535), AND(ISBLANK(L1535), ISBLANK(M1535))),
        "",
        MAX(
            1,
            IF(
                NETWORKDAYS(IF(NOT(ISBLANK(M1535)), M1535, L1535), N1535, Holiday_Dates) &lt;= 0,
                1,
                NETWORKDAYS(IF(NOT(ISBLANK(M1535)), M1535, L1535), N1535, Holiday_Dates)
                - IF(IF(NOT(ISBLANK(M1535)), M1535, L1535) = N1535, 0, 1)
            )
        )
    ),
    ""
)</f>
        <v/>
      </c>
      <c r="S1535" s="385" t="str">
        <f>IFERROR(
    IF(
        OR(ISBLANK(N1535), ISBLANK(O1535)),
        "",
        MAX(
            1,
            IF(
                NETWORKDAYS(N1535, O1535, Holiday_Dates) &lt;= 0,
                1,
                NETWORKDAYS(N1535, O1535, Holiday_Dates) - IF(N1535 = O1535, 0, 1)
            )
        )
    ),
    ""
)</f>
        <v/>
      </c>
      <c r="T1535" s="385"/>
      <c r="U1535" s="385"/>
      <c r="V1535" s="385"/>
      <c r="W1535" s="385" t="s">
        <v>4710</v>
      </c>
      <c r="X1535" s="1"/>
    </row>
    <row r="1536" spans="1:24">
      <c r="A1536" s="385" t="s">
        <v>65</v>
      </c>
      <c r="B1536" s="385" t="s">
        <v>444</v>
      </c>
      <c r="C1536" s="385" t="s">
        <v>2345</v>
      </c>
      <c r="D1536" s="385" t="s">
        <v>88</v>
      </c>
      <c r="E1536" s="385"/>
      <c r="F1536" s="385"/>
      <c r="G1536" s="385"/>
      <c r="H1536" s="385">
        <v>2024</v>
      </c>
      <c r="I1536" s="386">
        <v>45496</v>
      </c>
      <c r="J1536" s="30"/>
      <c r="K1536" s="385"/>
      <c r="L1536" s="385"/>
      <c r="M1536" s="385"/>
      <c r="N1536" s="385"/>
      <c r="O1536" s="385"/>
      <c r="P1536" s="385" t="str">
        <f>IFERROR(
    IF(
        OR(ISBLANK(I1536), ISBLANK(L1536)),
        "",
        MAX(
            1,
            IF(
                NETWORKDAYS(I1536, L1536, Holiday_Dates) &lt;= 0,
                1,
                NETWORKDAYS(I1536, L1536, Holiday_Dates) - IF(I1536 = L1536, 0, 1)
            )
        )
    ),
    ""
)</f>
        <v/>
      </c>
      <c r="Q1536" s="385" t="str">
        <f>IF(
    OR(ISBLANK(L1536), ISBLANK(M1536)),
    "",
    MAX(
        1,
        IF(
            NETWORKDAYS(L1536, M1536, Holiday_Dates) &lt;= 0,
            1,
            NETWORKDAYS(L1536, M1536, Holiday_Dates) - IF(L1536 = M1536, 0, 1)
        )
    )
)</f>
        <v/>
      </c>
      <c r="R1536" s="385" t="str">
        <f>IFERROR(
    IF(
        OR(ISBLANK(N1536), AND(ISBLANK(L1536), ISBLANK(M1536))),
        "",
        MAX(
            1,
            IF(
                NETWORKDAYS(IF(NOT(ISBLANK(M1536)), M1536, L1536), N1536, Holiday_Dates) &lt;= 0,
                1,
                NETWORKDAYS(IF(NOT(ISBLANK(M1536)), M1536, L1536), N1536, Holiday_Dates)
                - IF(IF(NOT(ISBLANK(M1536)), M1536, L1536) = N1536, 0, 1)
            )
        )
    ),
    ""
)</f>
        <v/>
      </c>
      <c r="S1536" s="385" t="str">
        <f>IFERROR(
    IF(
        OR(ISBLANK(N1536), ISBLANK(O1536)),
        "",
        MAX(
            1,
            IF(
                NETWORKDAYS(N1536, O1536, Holiday_Dates) &lt;= 0,
                1,
                NETWORKDAYS(N1536, O1536, Holiday_Dates) - IF(N1536 = O1536, 0, 1)
            )
        )
    ),
    ""
)</f>
        <v/>
      </c>
      <c r="T1536" s="385"/>
      <c r="U1536" s="385" t="s">
        <v>4</v>
      </c>
      <c r="V1536" s="385" t="s">
        <v>101</v>
      </c>
      <c r="W1536" s="385" t="s">
        <v>1436</v>
      </c>
      <c r="X1536" s="1"/>
    </row>
    <row r="1537" spans="1:24">
      <c r="A1537" s="385" t="s">
        <v>65</v>
      </c>
      <c r="B1537" s="385" t="s">
        <v>444</v>
      </c>
      <c r="C1537" s="385" t="s">
        <v>3280</v>
      </c>
      <c r="D1537" s="385" t="s">
        <v>88</v>
      </c>
      <c r="E1537" s="385"/>
      <c r="F1537" s="385"/>
      <c r="G1537" s="385"/>
      <c r="H1537" s="385">
        <v>2025</v>
      </c>
      <c r="I1537" s="386">
        <v>45910</v>
      </c>
      <c r="J1537" s="30" t="s">
        <v>5300</v>
      </c>
      <c r="K1537" s="385"/>
      <c r="L1537" s="385"/>
      <c r="M1537" s="385"/>
      <c r="N1537" s="385"/>
      <c r="O1537" s="385"/>
      <c r="P1537" s="385" t="str">
        <f>IFERROR(
    IF(
        OR(ISBLANK(I1537), ISBLANK(L1537)),
        "",
        MAX(
            1,
            IF(
                NETWORKDAYS(I1537, L1537, Holiday_Dates) &lt;= 0,
                1,
                NETWORKDAYS(I1537, L1537, Holiday_Dates) - IF(I1537 = L1537, 0, 1)
            )
        )
    ),
    ""
)</f>
        <v/>
      </c>
      <c r="Q1537" s="385" t="str">
        <f>IF(
    OR(ISBLANK(L1537), ISBLANK(M1537)),
    "",
    MAX(
        1,
        IF(
            NETWORKDAYS(L1537, M1537, Holiday_Dates) &lt;= 0,
            1,
            NETWORKDAYS(L1537, M1537, Holiday_Dates) - IF(L1537 = M1537, 0, 1)
        )
    )
)</f>
        <v/>
      </c>
      <c r="R1537" s="385" t="str">
        <f>IFERROR(
    IF(
        OR(ISBLANK(N1537), AND(ISBLANK(L1537), ISBLANK(M1537))),
        "",
        MAX(
            1,
            IF(
                NETWORKDAYS(IF(NOT(ISBLANK(M1537)), M1537, L1537), N1537, Holiday_Dates) &lt;= 0,
                1,
                NETWORKDAYS(IF(NOT(ISBLANK(M1537)), M1537, L1537), N1537, Holiday_Dates)
                - IF(IF(NOT(ISBLANK(M1537)), M1537, L1537) = N1537, 0, 1)
            )
        )
    ),
    ""
)</f>
        <v/>
      </c>
      <c r="S1537" s="385" t="str">
        <f>IFERROR(
    IF(
        OR(ISBLANK(N1537), ISBLANK(O1537)),
        "",
        MAX(
            1,
            IF(
                NETWORKDAYS(N1537, O1537, Holiday_Dates) &lt;= 0,
                1,
                NETWORKDAYS(N1537, O1537, Holiday_Dates) - IF(N1537 = O1537, 0, 1)
            )
        )
    ),
    ""
)</f>
        <v/>
      </c>
      <c r="T1537" s="385"/>
      <c r="U1537" s="385" t="s">
        <v>4</v>
      </c>
      <c r="V1537" s="385" t="s">
        <v>101</v>
      </c>
      <c r="W1537" s="385" t="s">
        <v>1436</v>
      </c>
      <c r="X1537" s="1"/>
    </row>
    <row r="1538" spans="1:24">
      <c r="A1538" s="385" t="s">
        <v>65</v>
      </c>
      <c r="B1538" s="385" t="s">
        <v>444</v>
      </c>
      <c r="C1538" s="385" t="s">
        <v>3281</v>
      </c>
      <c r="D1538" s="385" t="s">
        <v>88</v>
      </c>
      <c r="E1538" s="385"/>
      <c r="F1538" s="385"/>
      <c r="G1538" s="385"/>
      <c r="H1538" s="385">
        <v>2025</v>
      </c>
      <c r="I1538" s="386">
        <v>45910</v>
      </c>
      <c r="J1538" s="30" t="s">
        <v>5301</v>
      </c>
      <c r="K1538" s="385"/>
      <c r="L1538" s="385"/>
      <c r="M1538" s="385"/>
      <c r="N1538" s="385"/>
      <c r="O1538" s="385"/>
      <c r="P1538" s="385" t="str">
        <f>IFERROR(
    IF(
        OR(ISBLANK(I1538), ISBLANK(L1538)),
        "",
        MAX(
            1,
            IF(
                NETWORKDAYS(I1538, L1538, Holiday_Dates) &lt;= 0,
                1,
                NETWORKDAYS(I1538, L1538, Holiday_Dates) - IF(I1538 = L1538, 0, 1)
            )
        )
    ),
    ""
)</f>
        <v/>
      </c>
      <c r="Q1538" s="385" t="str">
        <f>IF(
    OR(ISBLANK(L1538), ISBLANK(M1538)),
    "",
    MAX(
        1,
        IF(
            NETWORKDAYS(L1538, M1538, Holiday_Dates) &lt;= 0,
            1,
            NETWORKDAYS(L1538, M1538, Holiday_Dates) - IF(L1538 = M1538, 0, 1)
        )
    )
)</f>
        <v/>
      </c>
      <c r="R1538" s="385" t="str">
        <f>IFERROR(
    IF(
        OR(ISBLANK(N1538), AND(ISBLANK(L1538), ISBLANK(M1538))),
        "",
        MAX(
            1,
            IF(
                NETWORKDAYS(IF(NOT(ISBLANK(M1538)), M1538, L1538), N1538, Holiday_Dates) &lt;= 0,
                1,
                NETWORKDAYS(IF(NOT(ISBLANK(M1538)), M1538, L1538), N1538, Holiday_Dates)
                - IF(IF(NOT(ISBLANK(M1538)), M1538, L1538) = N1538, 0, 1)
            )
        )
    ),
    ""
)</f>
        <v/>
      </c>
      <c r="S1538" s="385" t="str">
        <f>IFERROR(
    IF(
        OR(ISBLANK(N1538), ISBLANK(O1538)),
        "",
        MAX(
            1,
            IF(
                NETWORKDAYS(N1538, O1538, Holiday_Dates) &lt;= 0,
                1,
                NETWORKDAYS(N1538, O1538, Holiday_Dates) - IF(N1538 = O1538, 0, 1)
            )
        )
    ),
    ""
)</f>
        <v/>
      </c>
      <c r="T1538" s="385"/>
      <c r="U1538" s="385" t="s">
        <v>672</v>
      </c>
      <c r="V1538" s="385" t="s">
        <v>101</v>
      </c>
      <c r="W1538" s="385" t="s">
        <v>1436</v>
      </c>
      <c r="X1538" s="1"/>
    </row>
    <row r="1539" spans="1:24">
      <c r="A1539" s="385" t="s">
        <v>65</v>
      </c>
      <c r="B1539" s="385" t="s">
        <v>714</v>
      </c>
      <c r="C1539" s="385" t="s">
        <v>2642</v>
      </c>
      <c r="D1539" s="385" t="s">
        <v>88</v>
      </c>
      <c r="E1539" s="385"/>
      <c r="F1539" s="385"/>
      <c r="G1539" s="385"/>
      <c r="H1539" s="385">
        <v>2025</v>
      </c>
      <c r="I1539" s="386">
        <v>45951</v>
      </c>
      <c r="J1539" s="30" t="s">
        <v>5302</v>
      </c>
      <c r="K1539" s="385"/>
      <c r="L1539" s="385"/>
      <c r="M1539" s="385"/>
      <c r="N1539" s="385"/>
      <c r="O1539" s="385"/>
      <c r="P1539" s="385" t="str">
        <f>IFERROR(
    IF(
        OR(ISBLANK(I1539), ISBLANK(L1539)),
        "",
        MAX(
            1,
            IF(
                NETWORKDAYS(I1539, L1539, Holiday_Dates) &lt;= 0,
                1,
                NETWORKDAYS(I1539, L1539, Holiday_Dates) - IF(I1539 = L1539, 0, 1)
            )
        )
    ),
    ""
)</f>
        <v/>
      </c>
      <c r="Q1539" s="385" t="str">
        <f>IF(
    OR(ISBLANK(L1539), ISBLANK(M1539)),
    "",
    MAX(
        1,
        IF(
            NETWORKDAYS(L1539, M1539, Holiday_Dates) &lt;= 0,
            1,
            NETWORKDAYS(L1539, M1539, Holiday_Dates) - IF(L1539 = M1539, 0, 1)
        )
    )
)</f>
        <v/>
      </c>
      <c r="R1539" s="385" t="str">
        <f>IFERROR(
    IF(
        OR(ISBLANK(N1539), AND(ISBLANK(L1539), ISBLANK(M1539))),
        "",
        MAX(
            1,
            IF(
                NETWORKDAYS(IF(NOT(ISBLANK(M1539)), M1539, L1539), N1539, Holiday_Dates) &lt;= 0,
                1,
                NETWORKDAYS(IF(NOT(ISBLANK(M1539)), M1539, L1539), N1539, Holiday_Dates)
                - IF(IF(NOT(ISBLANK(M1539)), M1539, L1539) = N1539, 0, 1)
            )
        )
    ),
    ""
)</f>
        <v/>
      </c>
      <c r="S1539" s="385" t="str">
        <f>IFERROR(
    IF(
        OR(ISBLANK(N1539), ISBLANK(O1539)),
        "",
        MAX(
            1,
            IF(
                NETWORKDAYS(N1539, O1539, Holiday_Dates) &lt;= 0,
                1,
                NETWORKDAYS(N1539, O1539, Holiday_Dates) - IF(N1539 = O1539, 0, 1)
            )
        )
    ),
    ""
)</f>
        <v/>
      </c>
      <c r="T1539" s="385"/>
      <c r="U1539" s="385" t="s">
        <v>672</v>
      </c>
      <c r="V1539" s="385" t="s">
        <v>101</v>
      </c>
      <c r="W1539" s="385" t="s">
        <v>1436</v>
      </c>
      <c r="X1539" s="1"/>
    </row>
    <row r="1540" spans="1:24">
      <c r="A1540" s="385" t="s">
        <v>65</v>
      </c>
      <c r="B1540" s="385" t="s">
        <v>714</v>
      </c>
      <c r="C1540" s="385" t="s">
        <v>3282</v>
      </c>
      <c r="D1540" s="385" t="s">
        <v>88</v>
      </c>
      <c r="E1540" s="385"/>
      <c r="F1540" s="385"/>
      <c r="G1540" s="385"/>
      <c r="H1540" s="385">
        <v>2024</v>
      </c>
      <c r="I1540" s="386">
        <v>45582</v>
      </c>
      <c r="J1540" s="30"/>
      <c r="K1540" s="385"/>
      <c r="L1540" s="385"/>
      <c r="M1540" s="385"/>
      <c r="N1540" s="385"/>
      <c r="O1540" s="385"/>
      <c r="P1540" s="385" t="str">
        <f>IFERROR(
    IF(
        OR(ISBLANK(I1540), ISBLANK(L1540)),
        "",
        MAX(
            1,
            IF(
                NETWORKDAYS(I1540, L1540, Holiday_Dates) &lt;= 0,
                1,
                NETWORKDAYS(I1540, L1540, Holiday_Dates) - IF(I1540 = L1540, 0, 1)
            )
        )
    ),
    ""
)</f>
        <v/>
      </c>
      <c r="Q1540" s="385" t="str">
        <f>IF(
    OR(ISBLANK(L1540), ISBLANK(M1540)),
    "",
    MAX(
        1,
        IF(
            NETWORKDAYS(L1540, M1540, Holiday_Dates) &lt;= 0,
            1,
            NETWORKDAYS(L1540, M1540, Holiday_Dates) - IF(L1540 = M1540, 0, 1)
        )
    )
)</f>
        <v/>
      </c>
      <c r="R1540" s="385" t="str">
        <f>IFERROR(
    IF(
        OR(ISBLANK(N1540), AND(ISBLANK(L1540), ISBLANK(M1540))),
        "",
        MAX(
            1,
            IF(
                NETWORKDAYS(IF(NOT(ISBLANK(M1540)), M1540, L1540), N1540, Holiday_Dates) &lt;= 0,
                1,
                NETWORKDAYS(IF(NOT(ISBLANK(M1540)), M1540, L1540), N1540, Holiday_Dates)
                - IF(IF(NOT(ISBLANK(M1540)), M1540, L1540) = N1540, 0, 1)
            )
        )
    ),
    ""
)</f>
        <v/>
      </c>
      <c r="S1540" s="385" t="str">
        <f>IFERROR(
    IF(
        OR(ISBLANK(N1540), ISBLANK(O1540)),
        "",
        MAX(
            1,
            IF(
                NETWORKDAYS(N1540, O1540, Holiday_Dates) &lt;= 0,
                1,
                NETWORKDAYS(N1540, O1540, Holiday_Dates) - IF(N1540 = O1540, 0, 1)
            )
        )
    ),
    ""
)</f>
        <v/>
      </c>
      <c r="T1540" s="385"/>
      <c r="U1540" s="385" t="s">
        <v>4</v>
      </c>
      <c r="V1540" s="385" t="s">
        <v>101</v>
      </c>
      <c r="W1540" s="385" t="s">
        <v>1436</v>
      </c>
      <c r="X1540" s="1"/>
    </row>
    <row r="1541" spans="1:24">
      <c r="A1541" s="385" t="s">
        <v>65</v>
      </c>
      <c r="B1541" s="385" t="s">
        <v>714</v>
      </c>
      <c r="C1541" s="385" t="s">
        <v>3284</v>
      </c>
      <c r="D1541" s="385" t="s">
        <v>88</v>
      </c>
      <c r="E1541" s="385"/>
      <c r="F1541" s="385"/>
      <c r="G1541" s="385"/>
      <c r="H1541" s="385">
        <v>2024</v>
      </c>
      <c r="I1541" s="386">
        <v>45329</v>
      </c>
      <c r="J1541" s="30"/>
      <c r="K1541" s="385"/>
      <c r="L1541" s="385"/>
      <c r="M1541" s="385"/>
      <c r="N1541" s="385"/>
      <c r="O1541" s="385"/>
      <c r="P1541" s="385" t="str">
        <f>IFERROR(
    IF(
        OR(ISBLANK(I1541), ISBLANK(L1541)),
        "",
        MAX(
            1,
            IF(
                NETWORKDAYS(I1541, L1541, Holiday_Dates) &lt;= 0,
                1,
                NETWORKDAYS(I1541, L1541, Holiday_Dates) - IF(I1541 = L1541, 0, 1)
            )
        )
    ),
    ""
)</f>
        <v/>
      </c>
      <c r="Q1541" s="385" t="str">
        <f>IF(
    OR(ISBLANK(L1541), ISBLANK(M1541)),
    "",
    MAX(
        1,
        IF(
            NETWORKDAYS(L1541, M1541, Holiday_Dates) &lt;= 0,
            1,
            NETWORKDAYS(L1541, M1541, Holiday_Dates) - IF(L1541 = M1541, 0, 1)
        )
    )
)</f>
        <v/>
      </c>
      <c r="R1541" s="385" t="str">
        <f>IFERROR(
    IF(
        OR(ISBLANK(N1541), AND(ISBLANK(L1541), ISBLANK(M1541))),
        "",
        MAX(
            1,
            IF(
                NETWORKDAYS(IF(NOT(ISBLANK(M1541)), M1541, L1541), N1541, Holiday_Dates) &lt;= 0,
                1,
                NETWORKDAYS(IF(NOT(ISBLANK(M1541)), M1541, L1541), N1541, Holiday_Dates)
                - IF(IF(NOT(ISBLANK(M1541)), M1541, L1541) = N1541, 0, 1)
            )
        )
    ),
    ""
)</f>
        <v/>
      </c>
      <c r="S1541" s="385" t="str">
        <f>IFERROR(
    IF(
        OR(ISBLANK(N1541), ISBLANK(O1541)),
        "",
        MAX(
            1,
            IF(
                NETWORKDAYS(N1541, O1541, Holiday_Dates) &lt;= 0,
                1,
                NETWORKDAYS(N1541, O1541, Holiday_Dates) - IF(N1541 = O1541, 0, 1)
            )
        )
    ),
    ""
)</f>
        <v/>
      </c>
      <c r="T1541" s="385"/>
      <c r="U1541" s="385" t="s">
        <v>4</v>
      </c>
      <c r="V1541" s="385" t="s">
        <v>101</v>
      </c>
      <c r="W1541" s="385" t="s">
        <v>1436</v>
      </c>
      <c r="X1541" s="1"/>
    </row>
    <row r="1542" spans="1:24">
      <c r="A1542" s="385" t="s">
        <v>65</v>
      </c>
      <c r="B1542" s="385" t="s">
        <v>714</v>
      </c>
      <c r="C1542" s="385" t="s">
        <v>3286</v>
      </c>
      <c r="D1542" s="385" t="s">
        <v>88</v>
      </c>
      <c r="E1542" s="385"/>
      <c r="F1542" s="385"/>
      <c r="G1542" s="385"/>
      <c r="H1542" s="385">
        <v>2025</v>
      </c>
      <c r="I1542" s="386">
        <v>45951</v>
      </c>
      <c r="J1542" s="30" t="s">
        <v>5303</v>
      </c>
      <c r="K1542" s="385"/>
      <c r="L1542" s="385"/>
      <c r="M1542" s="385"/>
      <c r="N1542" s="385"/>
      <c r="O1542" s="385"/>
      <c r="P1542" s="385" t="str">
        <f>IFERROR(
    IF(
        OR(ISBLANK(I1542), ISBLANK(L1542)),
        "",
        MAX(
            1,
            IF(
                NETWORKDAYS(I1542, L1542, Holiday_Dates) &lt;= 0,
                1,
                NETWORKDAYS(I1542, L1542, Holiday_Dates) - IF(I1542 = L1542, 0, 1)
            )
        )
    ),
    ""
)</f>
        <v/>
      </c>
      <c r="Q1542" s="385" t="str">
        <f>IF(
    OR(ISBLANK(L1542), ISBLANK(M1542)),
    "",
    MAX(
        1,
        IF(
            NETWORKDAYS(L1542, M1542, Holiday_Dates) &lt;= 0,
            1,
            NETWORKDAYS(L1542, M1542, Holiday_Dates) - IF(L1542 = M1542, 0, 1)
        )
    )
)</f>
        <v/>
      </c>
      <c r="R1542" s="385" t="str">
        <f>IFERROR(
    IF(
        OR(ISBLANK(N1542), AND(ISBLANK(L1542), ISBLANK(M1542))),
        "",
        MAX(
            1,
            IF(
                NETWORKDAYS(IF(NOT(ISBLANK(M1542)), M1542, L1542), N1542, Holiday_Dates) &lt;= 0,
                1,
                NETWORKDAYS(IF(NOT(ISBLANK(M1542)), M1542, L1542), N1542, Holiday_Dates)
                - IF(IF(NOT(ISBLANK(M1542)), M1542, L1542) = N1542, 0, 1)
            )
        )
    ),
    ""
)</f>
        <v/>
      </c>
      <c r="S1542" s="385" t="str">
        <f>IFERROR(
    IF(
        OR(ISBLANK(N1542), ISBLANK(O1542)),
        "",
        MAX(
            1,
            IF(
                NETWORKDAYS(N1542, O1542, Holiday_Dates) &lt;= 0,
                1,
                NETWORKDAYS(N1542, O1542, Holiday_Dates) - IF(N1542 = O1542, 0, 1)
            )
        )
    ),
    ""
)</f>
        <v/>
      </c>
      <c r="T1542" s="385"/>
      <c r="U1542" s="385" t="s">
        <v>672</v>
      </c>
      <c r="V1542" s="385" t="s">
        <v>101</v>
      </c>
      <c r="W1542" s="385" t="s">
        <v>1436</v>
      </c>
      <c r="X1542" s="1"/>
    </row>
    <row r="1543" spans="1:24">
      <c r="A1543" s="385" t="s">
        <v>65</v>
      </c>
      <c r="B1543" s="385" t="s">
        <v>714</v>
      </c>
      <c r="C1543" s="385" t="s">
        <v>1350</v>
      </c>
      <c r="D1543" s="385" t="s">
        <v>88</v>
      </c>
      <c r="E1543" s="385"/>
      <c r="F1543" s="385"/>
      <c r="G1543" s="385"/>
      <c r="H1543" s="385">
        <v>2025</v>
      </c>
      <c r="I1543" s="386">
        <v>45798</v>
      </c>
      <c r="J1543" s="30" t="s">
        <v>5304</v>
      </c>
      <c r="K1543" s="385"/>
      <c r="L1543" s="385"/>
      <c r="M1543" s="385"/>
      <c r="N1543" s="385"/>
      <c r="O1543" s="385"/>
      <c r="P1543" s="385" t="str">
        <f>IFERROR(
    IF(
        OR(ISBLANK(I1543), ISBLANK(L1543)),
        "",
        MAX(
            1,
            IF(
                NETWORKDAYS(I1543, L1543, Holiday_Dates) &lt;= 0,
                1,
                NETWORKDAYS(I1543, L1543, Holiday_Dates) - IF(I1543 = L1543, 0, 1)
            )
        )
    ),
    ""
)</f>
        <v/>
      </c>
      <c r="Q1543" s="385" t="str">
        <f>IF(
    OR(ISBLANK(L1543), ISBLANK(M1543)),
    "",
    MAX(
        1,
        IF(
            NETWORKDAYS(L1543, M1543, Holiday_Dates) &lt;= 0,
            1,
            NETWORKDAYS(L1543, M1543, Holiday_Dates) - IF(L1543 = M1543, 0, 1)
        )
    )
)</f>
        <v/>
      </c>
      <c r="R1543" s="385" t="str">
        <f>IFERROR(
    IF(
        OR(ISBLANK(N1543), AND(ISBLANK(L1543), ISBLANK(M1543))),
        "",
        MAX(
            1,
            IF(
                NETWORKDAYS(IF(NOT(ISBLANK(M1543)), M1543, L1543), N1543, Holiday_Dates) &lt;= 0,
                1,
                NETWORKDAYS(IF(NOT(ISBLANK(M1543)), M1543, L1543), N1543, Holiday_Dates)
                - IF(IF(NOT(ISBLANK(M1543)), M1543, L1543) = N1543, 0, 1)
            )
        )
    ),
    ""
)</f>
        <v/>
      </c>
      <c r="S1543" s="385" t="str">
        <f>IFERROR(
    IF(
        OR(ISBLANK(N1543), ISBLANK(O1543)),
        "",
        MAX(
            1,
            IF(
                NETWORKDAYS(N1543, O1543, Holiday_Dates) &lt;= 0,
                1,
                NETWORKDAYS(N1543, O1543, Holiday_Dates) - IF(N1543 = O1543, 0, 1)
            )
        )
    ),
    ""
)</f>
        <v/>
      </c>
      <c r="T1543" s="385"/>
      <c r="U1543" s="385" t="s">
        <v>672</v>
      </c>
      <c r="V1543" s="385" t="s">
        <v>101</v>
      </c>
      <c r="W1543" s="385" t="s">
        <v>1436</v>
      </c>
      <c r="X1543" s="1"/>
    </row>
    <row r="1544" spans="1:24">
      <c r="A1544" s="385" t="s">
        <v>65</v>
      </c>
      <c r="B1544" s="385" t="s">
        <v>714</v>
      </c>
      <c r="C1544" s="385" t="s">
        <v>3287</v>
      </c>
      <c r="D1544" s="385" t="s">
        <v>88</v>
      </c>
      <c r="E1544" s="385"/>
      <c r="F1544" s="385"/>
      <c r="G1544" s="385"/>
      <c r="H1544" s="385">
        <v>2024</v>
      </c>
      <c r="I1544" s="386">
        <v>45492</v>
      </c>
      <c r="J1544" s="30"/>
      <c r="K1544" s="385"/>
      <c r="L1544" s="385"/>
      <c r="M1544" s="385"/>
      <c r="N1544" s="385"/>
      <c r="O1544" s="385"/>
      <c r="P1544" s="385" t="str">
        <f>IFERROR(
    IF(
        OR(ISBLANK(I1544), ISBLANK(L1544)),
        "",
        MAX(
            1,
            IF(
                NETWORKDAYS(I1544, L1544, Holiday_Dates) &lt;= 0,
                1,
                NETWORKDAYS(I1544, L1544, Holiday_Dates) - IF(I1544 = L1544, 0, 1)
            )
        )
    ),
    ""
)</f>
        <v/>
      </c>
      <c r="Q1544" s="385" t="str">
        <f>IF(
    OR(ISBLANK(L1544), ISBLANK(M1544)),
    "",
    MAX(
        1,
        IF(
            NETWORKDAYS(L1544, M1544, Holiday_Dates) &lt;= 0,
            1,
            NETWORKDAYS(L1544, M1544, Holiday_Dates) - IF(L1544 = M1544, 0, 1)
        )
    )
)</f>
        <v/>
      </c>
      <c r="R1544" s="385" t="str">
        <f>IFERROR(
    IF(
        OR(ISBLANK(N1544), AND(ISBLANK(L1544), ISBLANK(M1544))),
        "",
        MAX(
            1,
            IF(
                NETWORKDAYS(IF(NOT(ISBLANK(M1544)), M1544, L1544), N1544, Holiday_Dates) &lt;= 0,
                1,
                NETWORKDAYS(IF(NOT(ISBLANK(M1544)), M1544, L1544), N1544, Holiday_Dates)
                - IF(IF(NOT(ISBLANK(M1544)), M1544, L1544) = N1544, 0, 1)
            )
        )
    ),
    ""
)</f>
        <v/>
      </c>
      <c r="S1544" s="385" t="str">
        <f>IFERROR(
    IF(
        OR(ISBLANK(N1544), ISBLANK(O1544)),
        "",
        MAX(
            1,
            IF(
                NETWORKDAYS(N1544, O1544, Holiday_Dates) &lt;= 0,
                1,
                NETWORKDAYS(N1544, O1544, Holiday_Dates) - IF(N1544 = O1544, 0, 1)
            )
        )
    ),
    ""
)</f>
        <v/>
      </c>
      <c r="T1544" s="385"/>
      <c r="U1544" s="385" t="s">
        <v>4</v>
      </c>
      <c r="V1544" s="385" t="s">
        <v>101</v>
      </c>
      <c r="W1544" s="385" t="s">
        <v>1436</v>
      </c>
      <c r="X1544" s="1"/>
    </row>
    <row r="1545" spans="1:24">
      <c r="A1545" s="385" t="s">
        <v>65</v>
      </c>
      <c r="B1545" s="385" t="s">
        <v>714</v>
      </c>
      <c r="C1545" s="385" t="s">
        <v>3289</v>
      </c>
      <c r="D1545" s="385" t="s">
        <v>88</v>
      </c>
      <c r="E1545" s="385"/>
      <c r="F1545" s="385"/>
      <c r="G1545" s="385"/>
      <c r="H1545" s="385">
        <v>2024</v>
      </c>
      <c r="I1545" s="386">
        <v>45582</v>
      </c>
      <c r="J1545" s="30"/>
      <c r="K1545" s="385"/>
      <c r="L1545" s="385"/>
      <c r="M1545" s="385"/>
      <c r="N1545" s="385"/>
      <c r="O1545" s="385"/>
      <c r="P1545" s="385" t="str">
        <f>IFERROR(
    IF(
        OR(ISBLANK(I1545), ISBLANK(L1545)),
        "",
        MAX(
            1,
            IF(
                NETWORKDAYS(I1545, L1545, Holiday_Dates) &lt;= 0,
                1,
                NETWORKDAYS(I1545, L1545, Holiday_Dates) - IF(I1545 = L1545, 0, 1)
            )
        )
    ),
    ""
)</f>
        <v/>
      </c>
      <c r="Q1545" s="385" t="str">
        <f>IF(
    OR(ISBLANK(L1545), ISBLANK(M1545)),
    "",
    MAX(
        1,
        IF(
            NETWORKDAYS(L1545, M1545, Holiday_Dates) &lt;= 0,
            1,
            NETWORKDAYS(L1545, M1545, Holiday_Dates) - IF(L1545 = M1545, 0, 1)
        )
    )
)</f>
        <v/>
      </c>
      <c r="R1545" s="385" t="str">
        <f>IFERROR(
    IF(
        OR(ISBLANK(N1545), AND(ISBLANK(L1545), ISBLANK(M1545))),
        "",
        MAX(
            1,
            IF(
                NETWORKDAYS(IF(NOT(ISBLANK(M1545)), M1545, L1545), N1545, Holiday_Dates) &lt;= 0,
                1,
                NETWORKDAYS(IF(NOT(ISBLANK(M1545)), M1545, L1545), N1545, Holiday_Dates)
                - IF(IF(NOT(ISBLANK(M1545)), M1545, L1545) = N1545, 0, 1)
            )
        )
    ),
    ""
)</f>
        <v/>
      </c>
      <c r="S1545" s="385" t="str">
        <f>IFERROR(
    IF(
        OR(ISBLANK(N1545), ISBLANK(O1545)),
        "",
        MAX(
            1,
            IF(
                NETWORKDAYS(N1545, O1545, Holiday_Dates) &lt;= 0,
                1,
                NETWORKDAYS(N1545, O1545, Holiday_Dates) - IF(N1545 = O1545, 0, 1)
            )
        )
    ),
    ""
)</f>
        <v/>
      </c>
      <c r="T1545" s="385"/>
      <c r="U1545" s="385" t="s">
        <v>4</v>
      </c>
      <c r="V1545" s="385" t="s">
        <v>101</v>
      </c>
      <c r="W1545" s="385" t="s">
        <v>1436</v>
      </c>
      <c r="X1545" s="1"/>
    </row>
    <row r="1546" spans="1:24">
      <c r="A1546" s="385" t="s">
        <v>65</v>
      </c>
      <c r="B1546" s="385" t="s">
        <v>714</v>
      </c>
      <c r="C1546" s="385" t="s">
        <v>3291</v>
      </c>
      <c r="D1546" s="385" t="s">
        <v>88</v>
      </c>
      <c r="E1546" s="385"/>
      <c r="F1546" s="385"/>
      <c r="G1546" s="385"/>
      <c r="H1546" s="385">
        <v>2024</v>
      </c>
      <c r="I1546" s="386">
        <v>45400</v>
      </c>
      <c r="J1546" s="30"/>
      <c r="K1546" s="385"/>
      <c r="L1546" s="385"/>
      <c r="M1546" s="385"/>
      <c r="N1546" s="385"/>
      <c r="O1546" s="385"/>
      <c r="P1546" s="385" t="str">
        <f>IFERROR(
    IF(
        OR(ISBLANK(I1546), ISBLANK(L1546)),
        "",
        MAX(
            1,
            IF(
                NETWORKDAYS(I1546, L1546, Holiday_Dates) &lt;= 0,
                1,
                NETWORKDAYS(I1546, L1546, Holiday_Dates) - IF(I1546 = L1546, 0, 1)
            )
        )
    ),
    ""
)</f>
        <v/>
      </c>
      <c r="Q1546" s="385" t="str">
        <f>IF(
    OR(ISBLANK(L1546), ISBLANK(M1546)),
    "",
    MAX(
        1,
        IF(
            NETWORKDAYS(L1546, M1546, Holiday_Dates) &lt;= 0,
            1,
            NETWORKDAYS(L1546, M1546, Holiday_Dates) - IF(L1546 = M1546, 0, 1)
        )
    )
)</f>
        <v/>
      </c>
      <c r="R1546" s="385" t="str">
        <f>IFERROR(
    IF(
        OR(ISBLANK(N1546), AND(ISBLANK(L1546), ISBLANK(M1546))),
        "",
        MAX(
            1,
            IF(
                NETWORKDAYS(IF(NOT(ISBLANK(M1546)), M1546, L1546), N1546, Holiday_Dates) &lt;= 0,
                1,
                NETWORKDAYS(IF(NOT(ISBLANK(M1546)), M1546, L1546), N1546, Holiday_Dates)
                - IF(IF(NOT(ISBLANK(M1546)), M1546, L1546) = N1546, 0, 1)
            )
        )
    ),
    ""
)</f>
        <v/>
      </c>
      <c r="S1546" s="385" t="str">
        <f>IFERROR(
    IF(
        OR(ISBLANK(N1546), ISBLANK(O1546)),
        "",
        MAX(
            1,
            IF(
                NETWORKDAYS(N1546, O1546, Holiday_Dates) &lt;= 0,
                1,
                NETWORKDAYS(N1546, O1546, Holiday_Dates) - IF(N1546 = O1546, 0, 1)
            )
        )
    ),
    ""
)</f>
        <v/>
      </c>
      <c r="T1546" s="385"/>
      <c r="U1546" s="385" t="s">
        <v>672</v>
      </c>
      <c r="V1546" s="385"/>
      <c r="W1546" s="385" t="s">
        <v>1436</v>
      </c>
      <c r="X1546" s="1"/>
    </row>
    <row r="1547" spans="1:24">
      <c r="A1547" s="385" t="s">
        <v>65</v>
      </c>
      <c r="B1547" s="385" t="s">
        <v>714</v>
      </c>
      <c r="C1547" s="385" t="s">
        <v>926</v>
      </c>
      <c r="D1547" s="385" t="s">
        <v>88</v>
      </c>
      <c r="E1547" s="385"/>
      <c r="F1547" s="385"/>
      <c r="G1547" s="385"/>
      <c r="H1547" s="385">
        <v>2025</v>
      </c>
      <c r="I1547" s="386">
        <v>45868</v>
      </c>
      <c r="J1547" s="30" t="s">
        <v>5305</v>
      </c>
      <c r="K1547" s="385"/>
      <c r="L1547" s="385"/>
      <c r="M1547" s="385"/>
      <c r="N1547" s="385"/>
      <c r="O1547" s="385"/>
      <c r="P1547" s="385" t="str">
        <f>IFERROR(
    IF(
        OR(ISBLANK(I1547), ISBLANK(L1547)),
        "",
        MAX(
            1,
            IF(
                NETWORKDAYS(I1547, L1547, Holiday_Dates) &lt;= 0,
                1,
                NETWORKDAYS(I1547, L1547, Holiday_Dates) - IF(I1547 = L1547, 0, 1)
            )
        )
    ),
    ""
)</f>
        <v/>
      </c>
      <c r="Q1547" s="385" t="str">
        <f>IF(
    OR(ISBLANK(L1547), ISBLANK(M1547)),
    "",
    MAX(
        1,
        IF(
            NETWORKDAYS(L1547, M1547, Holiday_Dates) &lt;= 0,
            1,
            NETWORKDAYS(L1547, M1547, Holiday_Dates) - IF(L1547 = M1547, 0, 1)
        )
    )
)</f>
        <v/>
      </c>
      <c r="R1547" s="385" t="str">
        <f>IFERROR(
    IF(
        OR(ISBLANK(N1547), AND(ISBLANK(L1547), ISBLANK(M1547))),
        "",
        MAX(
            1,
            IF(
                NETWORKDAYS(IF(NOT(ISBLANK(M1547)), M1547, L1547), N1547, Holiday_Dates) &lt;= 0,
                1,
                NETWORKDAYS(IF(NOT(ISBLANK(M1547)), M1547, L1547), N1547, Holiday_Dates)
                - IF(IF(NOT(ISBLANK(M1547)), M1547, L1547) = N1547, 0, 1)
            )
        )
    ),
    ""
)</f>
        <v/>
      </c>
      <c r="S1547" s="385" t="str">
        <f>IFERROR(
    IF(
        OR(ISBLANK(N1547), ISBLANK(O1547)),
        "",
        MAX(
            1,
            IF(
                NETWORKDAYS(N1547, O1547, Holiday_Dates) &lt;= 0,
                1,
                NETWORKDAYS(N1547, O1547, Holiday_Dates) - IF(N1547 = O1547, 0, 1)
            )
        )
    ),
    ""
)</f>
        <v/>
      </c>
      <c r="T1547" s="385"/>
      <c r="U1547" s="385" t="s">
        <v>672</v>
      </c>
      <c r="V1547" s="385" t="s">
        <v>101</v>
      </c>
      <c r="W1547" s="385" t="s">
        <v>1436</v>
      </c>
      <c r="X1547" s="1"/>
    </row>
    <row r="1548" spans="1:24">
      <c r="A1548" s="385" t="s">
        <v>65</v>
      </c>
      <c r="B1548" s="385" t="s">
        <v>714</v>
      </c>
      <c r="C1548" s="385" t="s">
        <v>2276</v>
      </c>
      <c r="D1548" s="385" t="s">
        <v>88</v>
      </c>
      <c r="E1548" s="385"/>
      <c r="F1548" s="385"/>
      <c r="G1548" s="385"/>
      <c r="H1548" s="385">
        <v>2025</v>
      </c>
      <c r="I1548" s="386">
        <v>45694</v>
      </c>
      <c r="J1548" s="30" t="s">
        <v>5306</v>
      </c>
      <c r="K1548" s="385"/>
      <c r="L1548" s="385"/>
      <c r="M1548" s="385"/>
      <c r="N1548" s="385"/>
      <c r="O1548" s="385"/>
      <c r="P1548" s="385" t="str">
        <f>IFERROR(
    IF(
        OR(ISBLANK(I1548), ISBLANK(L1548)),
        "",
        MAX(
            1,
            IF(
                NETWORKDAYS(I1548, L1548, Holiday_Dates) &lt;= 0,
                1,
                NETWORKDAYS(I1548, L1548, Holiday_Dates) - IF(I1548 = L1548, 0, 1)
            )
        )
    ),
    ""
)</f>
        <v/>
      </c>
      <c r="Q1548" s="385" t="str">
        <f>IF(
    OR(ISBLANK(L1548), ISBLANK(M1548)),
    "",
    MAX(
        1,
        IF(
            NETWORKDAYS(L1548, M1548, Holiday_Dates) &lt;= 0,
            1,
            NETWORKDAYS(L1548, M1548, Holiday_Dates) - IF(L1548 = M1548, 0, 1)
        )
    )
)</f>
        <v/>
      </c>
      <c r="R1548" s="385" t="str">
        <f>IFERROR(
    IF(
        OR(ISBLANK(N1548), AND(ISBLANK(L1548), ISBLANK(M1548))),
        "",
        MAX(
            1,
            IF(
                NETWORKDAYS(IF(NOT(ISBLANK(M1548)), M1548, L1548), N1548, Holiday_Dates) &lt;= 0,
                1,
                NETWORKDAYS(IF(NOT(ISBLANK(M1548)), M1548, L1548), N1548, Holiday_Dates)
                - IF(IF(NOT(ISBLANK(M1548)), M1548, L1548) = N1548, 0, 1)
            )
        )
    ),
    ""
)</f>
        <v/>
      </c>
      <c r="S1548" s="385" t="str">
        <f>IFERROR(
    IF(
        OR(ISBLANK(N1548), ISBLANK(O1548)),
        "",
        MAX(
            1,
            IF(
                NETWORKDAYS(N1548, O1548, Holiday_Dates) &lt;= 0,
                1,
                NETWORKDAYS(N1548, O1548, Holiday_Dates) - IF(N1548 = O1548, 0, 1)
            )
        )
    ),
    ""
)</f>
        <v/>
      </c>
      <c r="T1548" s="385"/>
      <c r="U1548" s="385" t="s">
        <v>4</v>
      </c>
      <c r="V1548" s="385" t="s">
        <v>101</v>
      </c>
      <c r="W1548" s="385" t="s">
        <v>1436</v>
      </c>
      <c r="X1548" s="1"/>
    </row>
    <row r="1549" spans="1:24">
      <c r="A1549" s="385" t="s">
        <v>65</v>
      </c>
      <c r="B1549" s="385" t="s">
        <v>714</v>
      </c>
      <c r="C1549" s="385" t="s">
        <v>427</v>
      </c>
      <c r="D1549" s="385" t="s">
        <v>88</v>
      </c>
      <c r="E1549" s="385"/>
      <c r="F1549" s="385"/>
      <c r="G1549" s="385"/>
      <c r="H1549" s="385">
        <v>2025</v>
      </c>
      <c r="I1549" s="386">
        <v>45966</v>
      </c>
      <c r="J1549" s="30" t="s">
        <v>5307</v>
      </c>
      <c r="K1549" s="385"/>
      <c r="L1549" s="385"/>
      <c r="M1549" s="385"/>
      <c r="N1549" s="385"/>
      <c r="O1549" s="385"/>
      <c r="P1549" s="385" t="str">
        <f>IFERROR(
    IF(
        OR(ISBLANK(I1549), ISBLANK(L1549)),
        "",
        MAX(
            1,
            IF(
                NETWORKDAYS(I1549, L1549, Holiday_Dates) &lt;= 0,
                1,
                NETWORKDAYS(I1549, L1549, Holiday_Dates) - IF(I1549 = L1549, 0, 1)
            )
        )
    ),
    ""
)</f>
        <v/>
      </c>
      <c r="Q1549" s="385" t="str">
        <f>IF(
    OR(ISBLANK(L1549), ISBLANK(M1549)),
    "",
    MAX(
        1,
        IF(
            NETWORKDAYS(L1549, M1549, Holiday_Dates) &lt;= 0,
            1,
            NETWORKDAYS(L1549, M1549, Holiday_Dates) - IF(L1549 = M1549, 0, 1)
        )
    )
)</f>
        <v/>
      </c>
      <c r="R1549" s="385" t="str">
        <f>IFERROR(
    IF(
        OR(ISBLANK(N1549), AND(ISBLANK(L1549), ISBLANK(M1549))),
        "",
        MAX(
            1,
            IF(
                NETWORKDAYS(IF(NOT(ISBLANK(M1549)), M1549, L1549), N1549, Holiday_Dates) &lt;= 0,
                1,
                NETWORKDAYS(IF(NOT(ISBLANK(M1549)), M1549, L1549), N1549, Holiday_Dates)
                - IF(IF(NOT(ISBLANK(M1549)), M1549, L1549) = N1549, 0, 1)
            )
        )
    ),
    ""
)</f>
        <v/>
      </c>
      <c r="S1549" s="385" t="str">
        <f>IFERROR(
    IF(
        OR(ISBLANK(N1549), ISBLANK(O1549)),
        "",
        MAX(
            1,
            IF(
                NETWORKDAYS(N1549, O1549, Holiday_Dates) &lt;= 0,
                1,
                NETWORKDAYS(N1549, O1549, Holiday_Dates) - IF(N1549 = O1549, 0, 1)
            )
        )
    ),
    ""
)</f>
        <v/>
      </c>
      <c r="T1549" s="385"/>
      <c r="U1549" s="385" t="s">
        <v>672</v>
      </c>
      <c r="V1549" s="385" t="s">
        <v>101</v>
      </c>
      <c r="W1549" s="385" t="s">
        <v>1436</v>
      </c>
      <c r="X1549" s="1"/>
    </row>
    <row r="1550" spans="1:24">
      <c r="A1550" s="385" t="s">
        <v>65</v>
      </c>
      <c r="B1550" s="385" t="s">
        <v>714</v>
      </c>
      <c r="C1550" s="385" t="s">
        <v>3246</v>
      </c>
      <c r="D1550" s="385" t="s">
        <v>88</v>
      </c>
      <c r="E1550" s="385"/>
      <c r="F1550" s="385"/>
      <c r="G1550" s="385"/>
      <c r="H1550" s="385">
        <v>2025</v>
      </c>
      <c r="I1550" s="386">
        <v>45868</v>
      </c>
      <c r="J1550" s="30" t="s">
        <v>5308</v>
      </c>
      <c r="K1550" s="385"/>
      <c r="L1550" s="385"/>
      <c r="M1550" s="385"/>
      <c r="N1550" s="385"/>
      <c r="O1550" s="385"/>
      <c r="P1550" s="385" t="str">
        <f>IFERROR(
    IF(
        OR(ISBLANK(I1550), ISBLANK(L1550)),
        "",
        MAX(
            1,
            IF(
                NETWORKDAYS(I1550, L1550, Holiday_Dates) &lt;= 0,
                1,
                NETWORKDAYS(I1550, L1550, Holiday_Dates) - IF(I1550 = L1550, 0, 1)
            )
        )
    ),
    ""
)</f>
        <v/>
      </c>
      <c r="Q1550" s="385" t="str">
        <f>IF(
    OR(ISBLANK(L1550), ISBLANK(M1550)),
    "",
    MAX(
        1,
        IF(
            NETWORKDAYS(L1550, M1550, Holiday_Dates) &lt;= 0,
            1,
            NETWORKDAYS(L1550, M1550, Holiday_Dates) - IF(L1550 = M1550, 0, 1)
        )
    )
)</f>
        <v/>
      </c>
      <c r="R1550" s="385" t="str">
        <f>IFERROR(
    IF(
        OR(ISBLANK(N1550), AND(ISBLANK(L1550), ISBLANK(M1550))),
        "",
        MAX(
            1,
            IF(
                NETWORKDAYS(IF(NOT(ISBLANK(M1550)), M1550, L1550), N1550, Holiday_Dates) &lt;= 0,
                1,
                NETWORKDAYS(IF(NOT(ISBLANK(M1550)), M1550, L1550), N1550, Holiday_Dates)
                - IF(IF(NOT(ISBLANK(M1550)), M1550, L1550) = N1550, 0, 1)
            )
        )
    ),
    ""
)</f>
        <v/>
      </c>
      <c r="S1550" s="385" t="str">
        <f>IFERROR(
    IF(
        OR(ISBLANK(N1550), ISBLANK(O1550)),
        "",
        MAX(
            1,
            IF(
                NETWORKDAYS(N1550, O1550, Holiday_Dates) &lt;= 0,
                1,
                NETWORKDAYS(N1550, O1550, Holiday_Dates) - IF(N1550 = O1550, 0, 1)
            )
        )
    ),
    ""
)</f>
        <v/>
      </c>
      <c r="T1550" s="385"/>
      <c r="U1550" s="385" t="s">
        <v>672</v>
      </c>
      <c r="V1550" s="385" t="s">
        <v>101</v>
      </c>
      <c r="W1550" s="385" t="s">
        <v>1436</v>
      </c>
      <c r="X1550" s="1"/>
    </row>
    <row r="1551" spans="1:24">
      <c r="A1551" s="385" t="s">
        <v>65</v>
      </c>
      <c r="B1551" s="385" t="s">
        <v>714</v>
      </c>
      <c r="C1551" s="385" t="s">
        <v>2235</v>
      </c>
      <c r="D1551" s="385" t="s">
        <v>88</v>
      </c>
      <c r="E1551" s="385"/>
      <c r="F1551" s="385"/>
      <c r="G1551" s="385"/>
      <c r="H1551" s="385">
        <v>2024</v>
      </c>
      <c r="I1551" s="386">
        <v>45582</v>
      </c>
      <c r="J1551" s="30"/>
      <c r="K1551" s="385"/>
      <c r="L1551" s="385"/>
      <c r="M1551" s="385"/>
      <c r="N1551" s="385"/>
      <c r="O1551" s="385"/>
      <c r="P1551" s="385" t="str">
        <f>IFERROR(
    IF(
        OR(ISBLANK(I1551), ISBLANK(L1551)),
        "",
        MAX(
            1,
            IF(
                NETWORKDAYS(I1551, L1551, Holiday_Dates) &lt;= 0,
                1,
                NETWORKDAYS(I1551, L1551, Holiday_Dates) - IF(I1551 = L1551, 0, 1)
            )
        )
    ),
    ""
)</f>
        <v/>
      </c>
      <c r="Q1551" s="385" t="str">
        <f>IF(
    OR(ISBLANK(L1551), ISBLANK(M1551)),
    "",
    MAX(
        1,
        IF(
            NETWORKDAYS(L1551, M1551, Holiday_Dates) &lt;= 0,
            1,
            NETWORKDAYS(L1551, M1551, Holiday_Dates) - IF(L1551 = M1551, 0, 1)
        )
    )
)</f>
        <v/>
      </c>
      <c r="R1551" s="385" t="str">
        <f>IFERROR(
    IF(
        OR(ISBLANK(N1551), AND(ISBLANK(L1551), ISBLANK(M1551))),
        "",
        MAX(
            1,
            IF(
                NETWORKDAYS(IF(NOT(ISBLANK(M1551)), M1551, L1551), N1551, Holiday_Dates) &lt;= 0,
                1,
                NETWORKDAYS(IF(NOT(ISBLANK(M1551)), M1551, L1551), N1551, Holiday_Dates)
                - IF(IF(NOT(ISBLANK(M1551)), M1551, L1551) = N1551, 0, 1)
            )
        )
    ),
    ""
)</f>
        <v/>
      </c>
      <c r="S1551" s="385" t="str">
        <f>IFERROR(
    IF(
        OR(ISBLANK(N1551), ISBLANK(O1551)),
        "",
        MAX(
            1,
            IF(
                NETWORKDAYS(N1551, O1551, Holiday_Dates) &lt;= 0,
                1,
                NETWORKDAYS(N1551, O1551, Holiday_Dates) - IF(N1551 = O1551, 0, 1)
            )
        )
    ),
    ""
)</f>
        <v/>
      </c>
      <c r="T1551" s="385"/>
      <c r="U1551" s="385" t="s">
        <v>4</v>
      </c>
      <c r="V1551" s="385" t="s">
        <v>101</v>
      </c>
      <c r="W1551" s="385" t="s">
        <v>1436</v>
      </c>
      <c r="X1551" s="1"/>
    </row>
    <row r="1552" spans="1:24">
      <c r="A1552" s="385" t="s">
        <v>65</v>
      </c>
      <c r="B1552" s="385" t="s">
        <v>714</v>
      </c>
      <c r="C1552" s="385" t="s">
        <v>554</v>
      </c>
      <c r="D1552" s="385" t="s">
        <v>88</v>
      </c>
      <c r="E1552" s="385"/>
      <c r="F1552" s="385"/>
      <c r="G1552" s="385"/>
      <c r="H1552" s="385">
        <v>2025</v>
      </c>
      <c r="I1552" s="386">
        <v>45770</v>
      </c>
      <c r="J1552" s="30" t="s">
        <v>5309</v>
      </c>
      <c r="K1552" s="385"/>
      <c r="L1552" s="385"/>
      <c r="M1552" s="385"/>
      <c r="N1552" s="385"/>
      <c r="O1552" s="385"/>
      <c r="P1552" s="385" t="str">
        <f>IFERROR(
    IF(
        OR(ISBLANK(I1552), ISBLANK(L1552)),
        "",
        MAX(
            1,
            IF(
                NETWORKDAYS(I1552, L1552, Holiday_Dates) &lt;= 0,
                1,
                NETWORKDAYS(I1552, L1552, Holiday_Dates) - IF(I1552 = L1552, 0, 1)
            )
        )
    ),
    ""
)</f>
        <v/>
      </c>
      <c r="Q1552" s="385" t="str">
        <f>IF(
    OR(ISBLANK(L1552), ISBLANK(M1552)),
    "",
    MAX(
        1,
        IF(
            NETWORKDAYS(L1552, M1552, Holiday_Dates) &lt;= 0,
            1,
            NETWORKDAYS(L1552, M1552, Holiday_Dates) - IF(L1552 = M1552, 0, 1)
        )
    )
)</f>
        <v/>
      </c>
      <c r="R1552" s="385" t="str">
        <f>IFERROR(
    IF(
        OR(ISBLANK(N1552), AND(ISBLANK(L1552), ISBLANK(M1552))),
        "",
        MAX(
            1,
            IF(
                NETWORKDAYS(IF(NOT(ISBLANK(M1552)), M1552, L1552), N1552, Holiday_Dates) &lt;= 0,
                1,
                NETWORKDAYS(IF(NOT(ISBLANK(M1552)), M1552, L1552), N1552, Holiday_Dates)
                - IF(IF(NOT(ISBLANK(M1552)), M1552, L1552) = N1552, 0, 1)
            )
        )
    ),
    ""
)</f>
        <v/>
      </c>
      <c r="S1552" s="385" t="str">
        <f>IFERROR(
    IF(
        OR(ISBLANK(N1552), ISBLANK(O1552)),
        "",
        MAX(
            1,
            IF(
                NETWORKDAYS(N1552, O1552, Holiday_Dates) &lt;= 0,
                1,
                NETWORKDAYS(N1552, O1552, Holiday_Dates) - IF(N1552 = O1552, 0, 1)
            )
        )
    ),
    ""
)</f>
        <v/>
      </c>
      <c r="T1552" s="385"/>
      <c r="U1552" s="385" t="s">
        <v>672</v>
      </c>
      <c r="V1552" s="385" t="s">
        <v>101</v>
      </c>
      <c r="W1552" s="385" t="s">
        <v>1436</v>
      </c>
      <c r="X1552" s="1"/>
    </row>
    <row r="1553" spans="1:24">
      <c r="A1553" s="385" t="s">
        <v>65</v>
      </c>
      <c r="B1553" s="385" t="s">
        <v>714</v>
      </c>
      <c r="C1553" s="385" t="s">
        <v>2236</v>
      </c>
      <c r="D1553" s="385" t="s">
        <v>88</v>
      </c>
      <c r="E1553" s="385"/>
      <c r="F1553" s="385"/>
      <c r="G1553" s="385"/>
      <c r="H1553" s="385">
        <v>2025</v>
      </c>
      <c r="I1553" s="386">
        <v>45860</v>
      </c>
      <c r="J1553" s="30" t="s">
        <v>5310</v>
      </c>
      <c r="K1553" s="385"/>
      <c r="L1553" s="385"/>
      <c r="M1553" s="385"/>
      <c r="N1553" s="385"/>
      <c r="O1553" s="385"/>
      <c r="P1553" s="385" t="str">
        <f>IFERROR(
    IF(
        OR(ISBLANK(I1553), ISBLANK(L1553)),
        "",
        MAX(
            1,
            IF(
                NETWORKDAYS(I1553, L1553, Holiday_Dates) &lt;= 0,
                1,
                NETWORKDAYS(I1553, L1553, Holiday_Dates) - IF(I1553 = L1553, 0, 1)
            )
        )
    ),
    ""
)</f>
        <v/>
      </c>
      <c r="Q1553" s="385" t="str">
        <f>IF(
    OR(ISBLANK(L1553), ISBLANK(M1553)),
    "",
    MAX(
        1,
        IF(
            NETWORKDAYS(L1553, M1553, Holiday_Dates) &lt;= 0,
            1,
            NETWORKDAYS(L1553, M1553, Holiday_Dates) - IF(L1553 = M1553, 0, 1)
        )
    )
)</f>
        <v/>
      </c>
      <c r="R1553" s="385" t="str">
        <f>IFERROR(
    IF(
        OR(ISBLANK(N1553), AND(ISBLANK(L1553), ISBLANK(M1553))),
        "",
        MAX(
            1,
            IF(
                NETWORKDAYS(IF(NOT(ISBLANK(M1553)), M1553, L1553), N1553, Holiday_Dates) &lt;= 0,
                1,
                NETWORKDAYS(IF(NOT(ISBLANK(M1553)), M1553, L1553), N1553, Holiday_Dates)
                - IF(IF(NOT(ISBLANK(M1553)), M1553, L1553) = N1553, 0, 1)
            )
        )
    ),
    ""
)</f>
        <v/>
      </c>
      <c r="S1553" s="385" t="str">
        <f>IFERROR(
    IF(
        OR(ISBLANK(N1553), ISBLANK(O1553)),
        "",
        MAX(
            1,
            IF(
                NETWORKDAYS(N1553, O1553, Holiday_Dates) &lt;= 0,
                1,
                NETWORKDAYS(N1553, O1553, Holiday_Dates) - IF(N1553 = O1553, 0, 1)
            )
        )
    ),
    ""
)</f>
        <v/>
      </c>
      <c r="T1553" s="385"/>
      <c r="U1553" s="385" t="s">
        <v>672</v>
      </c>
      <c r="V1553" s="385" t="s">
        <v>101</v>
      </c>
      <c r="W1553" s="385" t="s">
        <v>1436</v>
      </c>
      <c r="X1553" s="1"/>
    </row>
    <row r="1554" spans="1:24">
      <c r="A1554" s="385" t="s">
        <v>65</v>
      </c>
      <c r="B1554" s="385" t="s">
        <v>714</v>
      </c>
      <c r="C1554" s="385" t="s">
        <v>3295</v>
      </c>
      <c r="D1554" s="385" t="s">
        <v>88</v>
      </c>
      <c r="E1554" s="385"/>
      <c r="F1554" s="385"/>
      <c r="G1554" s="385"/>
      <c r="H1554" s="385">
        <v>2025</v>
      </c>
      <c r="I1554" s="386">
        <v>45770</v>
      </c>
      <c r="J1554" s="30" t="s">
        <v>5311</v>
      </c>
      <c r="K1554" s="385"/>
      <c r="L1554" s="385"/>
      <c r="M1554" s="385"/>
      <c r="N1554" s="385"/>
      <c r="O1554" s="385"/>
      <c r="P1554" s="385" t="str">
        <f>IFERROR(
    IF(
        OR(ISBLANK(I1554), ISBLANK(L1554)),
        "",
        MAX(
            1,
            IF(
                NETWORKDAYS(I1554, L1554, Holiday_Dates) &lt;= 0,
                1,
                NETWORKDAYS(I1554, L1554, Holiday_Dates) - IF(I1554 = L1554, 0, 1)
            )
        )
    ),
    ""
)</f>
        <v/>
      </c>
      <c r="Q1554" s="385" t="str">
        <f>IF(
    OR(ISBLANK(L1554), ISBLANK(M1554)),
    "",
    MAX(
        1,
        IF(
            NETWORKDAYS(L1554, M1554, Holiday_Dates) &lt;= 0,
            1,
            NETWORKDAYS(L1554, M1554, Holiday_Dates) - IF(L1554 = M1554, 0, 1)
        )
    )
)</f>
        <v/>
      </c>
      <c r="R1554" s="385" t="str">
        <f>IFERROR(
    IF(
        OR(ISBLANK(N1554), AND(ISBLANK(L1554), ISBLANK(M1554))),
        "",
        MAX(
            1,
            IF(
                NETWORKDAYS(IF(NOT(ISBLANK(M1554)), M1554, L1554), N1554, Holiday_Dates) &lt;= 0,
                1,
                NETWORKDAYS(IF(NOT(ISBLANK(M1554)), M1554, L1554), N1554, Holiday_Dates)
                - IF(IF(NOT(ISBLANK(M1554)), M1554, L1554) = N1554, 0, 1)
            )
        )
    ),
    ""
)</f>
        <v/>
      </c>
      <c r="S1554" s="385" t="str">
        <f>IFERROR(
    IF(
        OR(ISBLANK(N1554), ISBLANK(O1554)),
        "",
        MAX(
            1,
            IF(
                NETWORKDAYS(N1554, O1554, Holiday_Dates) &lt;= 0,
                1,
                NETWORKDAYS(N1554, O1554, Holiday_Dates) - IF(N1554 = O1554, 0, 1)
            )
        )
    ),
    ""
)</f>
        <v/>
      </c>
      <c r="T1554" s="385"/>
      <c r="U1554" s="385" t="s">
        <v>672</v>
      </c>
      <c r="V1554" s="385" t="s">
        <v>101</v>
      </c>
      <c r="W1554" s="385" t="s">
        <v>1436</v>
      </c>
      <c r="X1554" s="1"/>
    </row>
    <row r="1555" spans="1:24">
      <c r="A1555" s="385" t="s">
        <v>65</v>
      </c>
      <c r="B1555" s="385" t="s">
        <v>520</v>
      </c>
      <c r="C1555" s="385" t="s">
        <v>3296</v>
      </c>
      <c r="D1555" s="385" t="s">
        <v>88</v>
      </c>
      <c r="E1555" s="385"/>
      <c r="F1555" s="385"/>
      <c r="G1555" s="385"/>
      <c r="H1555" s="385">
        <v>2024</v>
      </c>
      <c r="I1555" s="386">
        <v>45524</v>
      </c>
      <c r="J1555" s="30"/>
      <c r="K1555" s="385"/>
      <c r="L1555" s="385"/>
      <c r="M1555" s="385"/>
      <c r="N1555" s="385"/>
      <c r="O1555" s="385"/>
      <c r="P1555" s="385" t="str">
        <f>IFERROR(
    IF(
        OR(ISBLANK(I1555), ISBLANK(L1555)),
        "",
        MAX(
            1,
            IF(
                NETWORKDAYS(I1555, L1555, Holiday_Dates) &lt;= 0,
                1,
                NETWORKDAYS(I1555, L1555, Holiday_Dates) - IF(I1555 = L1555, 0, 1)
            )
        )
    ),
    ""
)</f>
        <v/>
      </c>
      <c r="Q1555" s="385" t="str">
        <f>IF(
    OR(ISBLANK(L1555), ISBLANK(M1555)),
    "",
    MAX(
        1,
        IF(
            NETWORKDAYS(L1555, M1555, Holiday_Dates) &lt;= 0,
            1,
            NETWORKDAYS(L1555, M1555, Holiday_Dates) - IF(L1555 = M1555, 0, 1)
        )
    )
)</f>
        <v/>
      </c>
      <c r="R1555" s="385" t="str">
        <f>IFERROR(
    IF(
        OR(ISBLANK(N1555), AND(ISBLANK(L1555), ISBLANK(M1555))),
        "",
        MAX(
            1,
            IF(
                NETWORKDAYS(IF(NOT(ISBLANK(M1555)), M1555, L1555), N1555, Holiday_Dates) &lt;= 0,
                1,
                NETWORKDAYS(IF(NOT(ISBLANK(M1555)), M1555, L1555), N1555, Holiday_Dates)
                - IF(IF(NOT(ISBLANK(M1555)), M1555, L1555) = N1555, 0, 1)
            )
        )
    ),
    ""
)</f>
        <v/>
      </c>
      <c r="S1555" s="385" t="str">
        <f>IFERROR(
    IF(
        OR(ISBLANK(N1555), ISBLANK(O1555)),
        "",
        MAX(
            1,
            IF(
                NETWORKDAYS(N1555, O1555, Holiday_Dates) &lt;= 0,
                1,
                NETWORKDAYS(N1555, O1555, Holiday_Dates) - IF(N1555 = O1555, 0, 1)
            )
        )
    ),
    ""
)</f>
        <v/>
      </c>
      <c r="T1555" s="385"/>
      <c r="U1555" s="385" t="s">
        <v>4</v>
      </c>
      <c r="V1555" s="385" t="s">
        <v>101</v>
      </c>
      <c r="W1555" s="385" t="s">
        <v>1436</v>
      </c>
      <c r="X1555" s="1"/>
    </row>
    <row r="1556" spans="1:24">
      <c r="A1556" s="385" t="s">
        <v>65</v>
      </c>
      <c r="B1556" s="385" t="s">
        <v>520</v>
      </c>
      <c r="C1556" s="385" t="s">
        <v>3298</v>
      </c>
      <c r="D1556" s="385" t="s">
        <v>88</v>
      </c>
      <c r="E1556" s="385"/>
      <c r="F1556" s="385"/>
      <c r="G1556" s="385"/>
      <c r="H1556" s="385">
        <v>2025</v>
      </c>
      <c r="I1556" s="386">
        <v>45728</v>
      </c>
      <c r="J1556" s="30" t="s">
        <v>5312</v>
      </c>
      <c r="K1556" s="385"/>
      <c r="L1556" s="385"/>
      <c r="M1556" s="385"/>
      <c r="N1556" s="385"/>
      <c r="O1556" s="385"/>
      <c r="P1556" s="385" t="str">
        <f>IFERROR(
    IF(
        OR(ISBLANK(I1556), ISBLANK(L1556)),
        "",
        MAX(
            1,
            IF(
                NETWORKDAYS(I1556, L1556, Holiday_Dates) &lt;= 0,
                1,
                NETWORKDAYS(I1556, L1556, Holiday_Dates) - IF(I1556 = L1556, 0, 1)
            )
        )
    ),
    ""
)</f>
        <v/>
      </c>
      <c r="Q1556" s="385" t="str">
        <f>IF(
    OR(ISBLANK(L1556), ISBLANK(M1556)),
    "",
    MAX(
        1,
        IF(
            NETWORKDAYS(L1556, M1556, Holiday_Dates) &lt;= 0,
            1,
            NETWORKDAYS(L1556, M1556, Holiday_Dates) - IF(L1556 = M1556, 0, 1)
        )
    )
)</f>
        <v/>
      </c>
      <c r="R1556" s="385" t="str">
        <f>IFERROR(
    IF(
        OR(ISBLANK(N1556), AND(ISBLANK(L1556), ISBLANK(M1556))),
        "",
        MAX(
            1,
            IF(
                NETWORKDAYS(IF(NOT(ISBLANK(M1556)), M1556, L1556), N1556, Holiday_Dates) &lt;= 0,
                1,
                NETWORKDAYS(IF(NOT(ISBLANK(M1556)), M1556, L1556), N1556, Holiday_Dates)
                - IF(IF(NOT(ISBLANK(M1556)), M1556, L1556) = N1556, 0, 1)
            )
        )
    ),
    ""
)</f>
        <v/>
      </c>
      <c r="S1556" s="385" t="str">
        <f>IFERROR(
    IF(
        OR(ISBLANK(N1556), ISBLANK(O1556)),
        "",
        MAX(
            1,
            IF(
                NETWORKDAYS(N1556, O1556, Holiday_Dates) &lt;= 0,
                1,
                NETWORKDAYS(N1556, O1556, Holiday_Dates) - IF(N1556 = O1556, 0, 1)
            )
        )
    ),
    ""
)</f>
        <v/>
      </c>
      <c r="T1556" s="385"/>
      <c r="U1556" s="385" t="s">
        <v>672</v>
      </c>
      <c r="V1556" s="385" t="s">
        <v>101</v>
      </c>
      <c r="W1556" s="385" t="s">
        <v>1436</v>
      </c>
      <c r="X1556" s="1"/>
    </row>
    <row r="1557" spans="1:24" ht="28.5">
      <c r="A1557" s="385" t="s">
        <v>65</v>
      </c>
      <c r="B1557" s="385" t="s">
        <v>520</v>
      </c>
      <c r="C1557" s="385" t="s">
        <v>3299</v>
      </c>
      <c r="D1557" s="385" t="s">
        <v>88</v>
      </c>
      <c r="E1557" s="385"/>
      <c r="F1557" s="385"/>
      <c r="G1557" s="385"/>
      <c r="H1557" s="30" t="s">
        <v>4595</v>
      </c>
      <c r="I1557" s="386" t="s">
        <v>5313</v>
      </c>
      <c r="J1557" s="30" t="s">
        <v>5314</v>
      </c>
      <c r="K1557" s="385"/>
      <c r="L1557" s="385"/>
      <c r="M1557" s="385"/>
      <c r="N1557" s="385"/>
      <c r="O1557" s="385"/>
      <c r="P1557" s="385" t="str">
        <f>IFERROR(
    IF(
        OR(ISBLANK(I1557), ISBLANK(L1557)),
        "",
        MAX(
            1,
            IF(
                NETWORKDAYS(I1557, L1557, Holiday_Dates) &lt;= 0,
                1,
                NETWORKDAYS(I1557, L1557, Holiday_Dates) - IF(I1557 = L1557, 0, 1)
            )
        )
    ),
    ""
)</f>
        <v/>
      </c>
      <c r="Q1557" s="385" t="str">
        <f>IF(
    OR(ISBLANK(L1557), ISBLANK(M1557)),
    "",
    MAX(
        1,
        IF(
            NETWORKDAYS(L1557, M1557, Holiday_Dates) &lt;= 0,
            1,
            NETWORKDAYS(L1557, M1557, Holiday_Dates) - IF(L1557 = M1557, 0, 1)
        )
    )
)</f>
        <v/>
      </c>
      <c r="R1557" s="385" t="str">
        <f>IFERROR(
    IF(
        OR(ISBLANK(N1557), AND(ISBLANK(L1557), ISBLANK(M1557))),
        "",
        MAX(
            1,
            IF(
                NETWORKDAYS(IF(NOT(ISBLANK(M1557)), M1557, L1557), N1557, Holiday_Dates) &lt;= 0,
                1,
                NETWORKDAYS(IF(NOT(ISBLANK(M1557)), M1557, L1557), N1557, Holiday_Dates)
                - IF(IF(NOT(ISBLANK(M1557)), M1557, L1557) = N1557, 0, 1)
            )
        )
    ),
    ""
)</f>
        <v/>
      </c>
      <c r="S1557" s="385" t="str">
        <f>IFERROR(
    IF(
        OR(ISBLANK(N1557), ISBLANK(O1557)),
        "",
        MAX(
            1,
            IF(
                NETWORKDAYS(N1557, O1557, Holiday_Dates) &lt;= 0,
                1,
                NETWORKDAYS(N1557, O1557, Holiday_Dates) - IF(N1557 = O1557, 0, 1)
            )
        )
    ),
    ""
)</f>
        <v/>
      </c>
      <c r="T1557" s="385"/>
      <c r="U1557" s="385" t="s">
        <v>672</v>
      </c>
      <c r="V1557" s="385" t="s">
        <v>101</v>
      </c>
      <c r="W1557" s="385" t="s">
        <v>1436</v>
      </c>
      <c r="X1557" s="1"/>
    </row>
    <row r="1558" spans="1:24">
      <c r="A1558" s="385" t="s">
        <v>65</v>
      </c>
      <c r="B1558" s="385" t="s">
        <v>520</v>
      </c>
      <c r="C1558" s="385" t="s">
        <v>3301</v>
      </c>
      <c r="D1558" s="385" t="s">
        <v>88</v>
      </c>
      <c r="E1558" s="385"/>
      <c r="F1558" s="385"/>
      <c r="G1558" s="385"/>
      <c r="H1558" s="385">
        <v>2025</v>
      </c>
      <c r="I1558" s="386">
        <v>45728</v>
      </c>
      <c r="J1558" s="30" t="s">
        <v>5315</v>
      </c>
      <c r="K1558" s="385"/>
      <c r="L1558" s="385"/>
      <c r="M1558" s="385"/>
      <c r="N1558" s="385"/>
      <c r="O1558" s="385"/>
      <c r="P1558" s="385" t="str">
        <f>IFERROR(
    IF(
        OR(ISBLANK(I1558), ISBLANK(L1558)),
        "",
        MAX(
            1,
            IF(
                NETWORKDAYS(I1558, L1558, Holiday_Dates) &lt;= 0,
                1,
                NETWORKDAYS(I1558, L1558, Holiday_Dates) - IF(I1558 = L1558, 0, 1)
            )
        )
    ),
    ""
)</f>
        <v/>
      </c>
      <c r="Q1558" s="385" t="str">
        <f>IF(
    OR(ISBLANK(L1558), ISBLANK(M1558)),
    "",
    MAX(
        1,
        IF(
            NETWORKDAYS(L1558, M1558, Holiday_Dates) &lt;= 0,
            1,
            NETWORKDAYS(L1558, M1558, Holiday_Dates) - IF(L1558 = M1558, 0, 1)
        )
    )
)</f>
        <v/>
      </c>
      <c r="R1558" s="385" t="str">
        <f>IFERROR(
    IF(
        OR(ISBLANK(N1558), AND(ISBLANK(L1558), ISBLANK(M1558))),
        "",
        MAX(
            1,
            IF(
                NETWORKDAYS(IF(NOT(ISBLANK(M1558)), M1558, L1558), N1558, Holiday_Dates) &lt;= 0,
                1,
                NETWORKDAYS(IF(NOT(ISBLANK(M1558)), M1558, L1558), N1558, Holiday_Dates)
                - IF(IF(NOT(ISBLANK(M1558)), M1558, L1558) = N1558, 0, 1)
            )
        )
    ),
    ""
)</f>
        <v/>
      </c>
      <c r="S1558" s="385" t="str">
        <f>IFERROR(
    IF(
        OR(ISBLANK(N1558), ISBLANK(O1558)),
        "",
        MAX(
            1,
            IF(
                NETWORKDAYS(N1558, O1558, Holiday_Dates) &lt;= 0,
                1,
                NETWORKDAYS(N1558, O1558, Holiday_Dates) - IF(N1558 = O1558, 0, 1)
            )
        )
    ),
    ""
)</f>
        <v/>
      </c>
      <c r="T1558" s="385"/>
      <c r="U1558" s="385" t="s">
        <v>672</v>
      </c>
      <c r="V1558" s="385" t="s">
        <v>101</v>
      </c>
      <c r="W1558" s="385" t="s">
        <v>1436</v>
      </c>
      <c r="X1558" s="1"/>
    </row>
    <row r="1559" spans="1:24">
      <c r="A1559" s="385" t="s">
        <v>65</v>
      </c>
      <c r="B1559" s="385" t="s">
        <v>520</v>
      </c>
      <c r="C1559" s="385" t="s">
        <v>926</v>
      </c>
      <c r="D1559" s="385" t="s">
        <v>88</v>
      </c>
      <c r="E1559" s="385"/>
      <c r="F1559" s="385"/>
      <c r="G1559" s="385"/>
      <c r="H1559" s="385">
        <v>2024</v>
      </c>
      <c r="I1559" s="386">
        <v>45378</v>
      </c>
      <c r="J1559" s="30"/>
      <c r="K1559" s="385"/>
      <c r="L1559" s="385"/>
      <c r="M1559" s="385"/>
      <c r="N1559" s="385"/>
      <c r="O1559" s="385"/>
      <c r="P1559" s="385" t="str">
        <f>IFERROR(
    IF(
        OR(ISBLANK(I1559), ISBLANK(L1559)),
        "",
        MAX(
            1,
            IF(
                NETWORKDAYS(I1559, L1559, Holiday_Dates) &lt;= 0,
                1,
                NETWORKDAYS(I1559, L1559, Holiday_Dates) - IF(I1559 = L1559, 0, 1)
            )
        )
    ),
    ""
)</f>
        <v/>
      </c>
      <c r="Q1559" s="385" t="str">
        <f>IF(
    OR(ISBLANK(L1559), ISBLANK(M1559)),
    "",
    MAX(
        1,
        IF(
            NETWORKDAYS(L1559, M1559, Holiday_Dates) &lt;= 0,
            1,
            NETWORKDAYS(L1559, M1559, Holiday_Dates) - IF(L1559 = M1559, 0, 1)
        )
    )
)</f>
        <v/>
      </c>
      <c r="R1559" s="385" t="str">
        <f>IFERROR(
    IF(
        OR(ISBLANK(N1559), AND(ISBLANK(L1559), ISBLANK(M1559))),
        "",
        MAX(
            1,
            IF(
                NETWORKDAYS(IF(NOT(ISBLANK(M1559)), M1559, L1559), N1559, Holiday_Dates) &lt;= 0,
                1,
                NETWORKDAYS(IF(NOT(ISBLANK(M1559)), M1559, L1559), N1559, Holiday_Dates)
                - IF(IF(NOT(ISBLANK(M1559)), M1559, L1559) = N1559, 0, 1)
            )
        )
    ),
    ""
)</f>
        <v/>
      </c>
      <c r="S1559" s="385" t="str">
        <f>IFERROR(
    IF(
        OR(ISBLANK(N1559), ISBLANK(O1559)),
        "",
        MAX(
            1,
            IF(
                NETWORKDAYS(N1559, O1559, Holiday_Dates) &lt;= 0,
                1,
                NETWORKDAYS(N1559, O1559, Holiday_Dates) - IF(N1559 = O1559, 0, 1)
            )
        )
    ),
    ""
)</f>
        <v/>
      </c>
      <c r="T1559" s="385"/>
      <c r="U1559" s="385" t="s">
        <v>672</v>
      </c>
      <c r="V1559" s="385"/>
      <c r="W1559" s="385" t="s">
        <v>1436</v>
      </c>
      <c r="X1559" s="1"/>
    </row>
    <row r="1560" spans="1:24">
      <c r="A1560" s="385" t="s">
        <v>65</v>
      </c>
      <c r="B1560" s="385" t="s">
        <v>520</v>
      </c>
      <c r="C1560" s="385" t="s">
        <v>1941</v>
      </c>
      <c r="D1560" s="385" t="s">
        <v>88</v>
      </c>
      <c r="E1560" s="385"/>
      <c r="F1560" s="385"/>
      <c r="G1560" s="385"/>
      <c r="H1560" s="385">
        <v>2025</v>
      </c>
      <c r="I1560" s="386">
        <v>45728</v>
      </c>
      <c r="J1560" s="30" t="s">
        <v>5316</v>
      </c>
      <c r="K1560" s="385"/>
      <c r="L1560" s="385"/>
      <c r="M1560" s="385"/>
      <c r="N1560" s="385"/>
      <c r="O1560" s="385"/>
      <c r="P1560" s="385" t="str">
        <f>IFERROR(
    IF(
        OR(ISBLANK(I1560), ISBLANK(L1560)),
        "",
        MAX(
            1,
            IF(
                NETWORKDAYS(I1560, L1560, Holiday_Dates) &lt;= 0,
                1,
                NETWORKDAYS(I1560, L1560, Holiday_Dates) - IF(I1560 = L1560, 0, 1)
            )
        )
    ),
    ""
)</f>
        <v/>
      </c>
      <c r="Q1560" s="385" t="str">
        <f>IF(
    OR(ISBLANK(L1560), ISBLANK(M1560)),
    "",
    MAX(
        1,
        IF(
            NETWORKDAYS(L1560, M1560, Holiday_Dates) &lt;= 0,
            1,
            NETWORKDAYS(L1560, M1560, Holiday_Dates) - IF(L1560 = M1560, 0, 1)
        )
    )
)</f>
        <v/>
      </c>
      <c r="R1560" s="385" t="str">
        <f>IFERROR(
    IF(
        OR(ISBLANK(N1560), AND(ISBLANK(L1560), ISBLANK(M1560))),
        "",
        MAX(
            1,
            IF(
                NETWORKDAYS(IF(NOT(ISBLANK(M1560)), M1560, L1560), N1560, Holiday_Dates) &lt;= 0,
                1,
                NETWORKDAYS(IF(NOT(ISBLANK(M1560)), M1560, L1560), N1560, Holiday_Dates)
                - IF(IF(NOT(ISBLANK(M1560)), M1560, L1560) = N1560, 0, 1)
            )
        )
    ),
    ""
)</f>
        <v/>
      </c>
      <c r="S1560" s="385" t="str">
        <f>IFERROR(
    IF(
        OR(ISBLANK(N1560), ISBLANK(O1560)),
        "",
        MAX(
            1,
            IF(
                NETWORKDAYS(N1560, O1560, Holiday_Dates) &lt;= 0,
                1,
                NETWORKDAYS(N1560, O1560, Holiday_Dates) - IF(N1560 = O1560, 0, 1)
            )
        )
    ),
    ""
)</f>
        <v/>
      </c>
      <c r="T1560" s="385"/>
      <c r="U1560" s="385" t="s">
        <v>672</v>
      </c>
      <c r="V1560" s="385" t="s">
        <v>101</v>
      </c>
      <c r="W1560" s="385" t="s">
        <v>1436</v>
      </c>
      <c r="X1560" s="1"/>
    </row>
    <row r="1561" spans="1:24">
      <c r="A1561" s="385" t="s">
        <v>65</v>
      </c>
      <c r="B1561" s="385" t="s">
        <v>520</v>
      </c>
      <c r="C1561" s="385" t="s">
        <v>2234</v>
      </c>
      <c r="D1561" s="385" t="s">
        <v>88</v>
      </c>
      <c r="E1561" s="385"/>
      <c r="F1561" s="385"/>
      <c r="G1561" s="385"/>
      <c r="H1561" s="385">
        <v>2024</v>
      </c>
      <c r="I1561" s="386">
        <v>45399</v>
      </c>
      <c r="J1561" s="30"/>
      <c r="K1561" s="385"/>
      <c r="L1561" s="385"/>
      <c r="M1561" s="385"/>
      <c r="N1561" s="385"/>
      <c r="O1561" s="385"/>
      <c r="P1561" s="385" t="str">
        <f>IFERROR(
    IF(
        OR(ISBLANK(I1561), ISBLANK(L1561)),
        "",
        MAX(
            1,
            IF(
                NETWORKDAYS(I1561, L1561, Holiday_Dates) &lt;= 0,
                1,
                NETWORKDAYS(I1561, L1561, Holiday_Dates) - IF(I1561 = L1561, 0, 1)
            )
        )
    ),
    ""
)</f>
        <v/>
      </c>
      <c r="Q1561" s="385" t="str">
        <f>IF(
    OR(ISBLANK(L1561), ISBLANK(M1561)),
    "",
    MAX(
        1,
        IF(
            NETWORKDAYS(L1561, M1561, Holiday_Dates) &lt;= 0,
            1,
            NETWORKDAYS(L1561, M1561, Holiday_Dates) - IF(L1561 = M1561, 0, 1)
        )
    )
)</f>
        <v/>
      </c>
      <c r="R1561" s="385" t="str">
        <f>IFERROR(
    IF(
        OR(ISBLANK(N1561), AND(ISBLANK(L1561), ISBLANK(M1561))),
        "",
        MAX(
            1,
            IF(
                NETWORKDAYS(IF(NOT(ISBLANK(M1561)), M1561, L1561), N1561, Holiday_Dates) &lt;= 0,
                1,
                NETWORKDAYS(IF(NOT(ISBLANK(M1561)), M1561, L1561), N1561, Holiday_Dates)
                - IF(IF(NOT(ISBLANK(M1561)), M1561, L1561) = N1561, 0, 1)
            )
        )
    ),
    ""
)</f>
        <v/>
      </c>
      <c r="S1561" s="385" t="str">
        <f>IFERROR(
    IF(
        OR(ISBLANK(N1561), ISBLANK(O1561)),
        "",
        MAX(
            1,
            IF(
                NETWORKDAYS(N1561, O1561, Holiday_Dates) &lt;= 0,
                1,
                NETWORKDAYS(N1561, O1561, Holiday_Dates) - IF(N1561 = O1561, 0, 1)
            )
        )
    ),
    ""
)</f>
        <v/>
      </c>
      <c r="T1561" s="385"/>
      <c r="U1561" s="385" t="s">
        <v>672</v>
      </c>
      <c r="V1561" s="385"/>
      <c r="W1561" s="385" t="s">
        <v>1436</v>
      </c>
      <c r="X1561" s="1"/>
    </row>
    <row r="1562" spans="1:24">
      <c r="A1562" s="385" t="s">
        <v>65</v>
      </c>
      <c r="B1562" s="385" t="s">
        <v>520</v>
      </c>
      <c r="C1562" s="385" t="s">
        <v>2236</v>
      </c>
      <c r="D1562" s="385" t="s">
        <v>88</v>
      </c>
      <c r="E1562" s="385"/>
      <c r="F1562" s="385"/>
      <c r="G1562" s="385"/>
      <c r="H1562" s="385">
        <v>2025</v>
      </c>
      <c r="I1562" s="386">
        <v>45728</v>
      </c>
      <c r="J1562" s="30" t="s">
        <v>5317</v>
      </c>
      <c r="K1562" s="385"/>
      <c r="L1562" s="385"/>
      <c r="M1562" s="385"/>
      <c r="N1562" s="385"/>
      <c r="O1562" s="385"/>
      <c r="P1562" s="385" t="str">
        <f>IFERROR(
    IF(
        OR(ISBLANK(I1562), ISBLANK(L1562)),
        "",
        MAX(
            1,
            IF(
                NETWORKDAYS(I1562, L1562, Holiday_Dates) &lt;= 0,
                1,
                NETWORKDAYS(I1562, L1562, Holiday_Dates) - IF(I1562 = L1562, 0, 1)
            )
        )
    ),
    ""
)</f>
        <v/>
      </c>
      <c r="Q1562" s="385" t="str">
        <f>IF(
    OR(ISBLANK(L1562), ISBLANK(M1562)),
    "",
    MAX(
        1,
        IF(
            NETWORKDAYS(L1562, M1562, Holiday_Dates) &lt;= 0,
            1,
            NETWORKDAYS(L1562, M1562, Holiday_Dates) - IF(L1562 = M1562, 0, 1)
        )
    )
)</f>
        <v/>
      </c>
      <c r="R1562" s="385" t="str">
        <f>IFERROR(
    IF(
        OR(ISBLANK(N1562), AND(ISBLANK(L1562), ISBLANK(M1562))),
        "",
        MAX(
            1,
            IF(
                NETWORKDAYS(IF(NOT(ISBLANK(M1562)), M1562, L1562), N1562, Holiday_Dates) &lt;= 0,
                1,
                NETWORKDAYS(IF(NOT(ISBLANK(M1562)), M1562, L1562), N1562, Holiday_Dates)
                - IF(IF(NOT(ISBLANK(M1562)), M1562, L1562) = N1562, 0, 1)
            )
        )
    ),
    ""
)</f>
        <v/>
      </c>
      <c r="S1562" s="385" t="str">
        <f>IFERROR(
    IF(
        OR(ISBLANK(N1562), ISBLANK(O1562)),
        "",
        MAX(
            1,
            IF(
                NETWORKDAYS(N1562, O1562, Holiday_Dates) &lt;= 0,
                1,
                NETWORKDAYS(N1562, O1562, Holiday_Dates) - IF(N1562 = O1562, 0, 1)
            )
        )
    ),
    ""
)</f>
        <v/>
      </c>
      <c r="T1562" s="385"/>
      <c r="U1562" s="385" t="s">
        <v>672</v>
      </c>
      <c r="V1562" s="385" t="s">
        <v>101</v>
      </c>
      <c r="W1562" s="385" t="s">
        <v>1436</v>
      </c>
      <c r="X1562" s="1"/>
    </row>
    <row r="1563" spans="1:24">
      <c r="A1563" s="385" t="s">
        <v>65</v>
      </c>
      <c r="B1563" s="385" t="s">
        <v>520</v>
      </c>
      <c r="C1563" s="385" t="s">
        <v>682</v>
      </c>
      <c r="D1563" s="385" t="s">
        <v>88</v>
      </c>
      <c r="E1563" s="385"/>
      <c r="F1563" s="385"/>
      <c r="G1563" s="385"/>
      <c r="H1563" s="385">
        <v>2024</v>
      </c>
      <c r="I1563" s="386">
        <v>45524</v>
      </c>
      <c r="J1563" s="30"/>
      <c r="K1563" s="385"/>
      <c r="L1563" s="385"/>
      <c r="M1563" s="385"/>
      <c r="N1563" s="385"/>
      <c r="O1563" s="385"/>
      <c r="P1563" s="385" t="str">
        <f>IFERROR(
    IF(
        OR(ISBLANK(I1563), ISBLANK(L1563)),
        "",
        MAX(
            1,
            IF(
                NETWORKDAYS(I1563, L1563, Holiday_Dates) &lt;= 0,
                1,
                NETWORKDAYS(I1563, L1563, Holiday_Dates) - IF(I1563 = L1563, 0, 1)
            )
        )
    ),
    ""
)</f>
        <v/>
      </c>
      <c r="Q1563" s="385" t="str">
        <f>IF(
    OR(ISBLANK(L1563), ISBLANK(M1563)),
    "",
    MAX(
        1,
        IF(
            NETWORKDAYS(L1563, M1563, Holiday_Dates) &lt;= 0,
            1,
            NETWORKDAYS(L1563, M1563, Holiday_Dates) - IF(L1563 = M1563, 0, 1)
        )
    )
)</f>
        <v/>
      </c>
      <c r="R1563" s="385" t="str">
        <f>IFERROR(
    IF(
        OR(ISBLANK(N1563), AND(ISBLANK(L1563), ISBLANK(M1563))),
        "",
        MAX(
            1,
            IF(
                NETWORKDAYS(IF(NOT(ISBLANK(M1563)), M1563, L1563), N1563, Holiday_Dates) &lt;= 0,
                1,
                NETWORKDAYS(IF(NOT(ISBLANK(M1563)), M1563, L1563), N1563, Holiday_Dates)
                - IF(IF(NOT(ISBLANK(M1563)), M1563, L1563) = N1563, 0, 1)
            )
        )
    ),
    ""
)</f>
        <v/>
      </c>
      <c r="S1563" s="385" t="str">
        <f>IFERROR(
    IF(
        OR(ISBLANK(N1563), ISBLANK(O1563)),
        "",
        MAX(
            1,
            IF(
                NETWORKDAYS(N1563, O1563, Holiday_Dates) &lt;= 0,
                1,
                NETWORKDAYS(N1563, O1563, Holiday_Dates) - IF(N1563 = O1563, 0, 1)
            )
        )
    ),
    ""
)</f>
        <v/>
      </c>
      <c r="T1563" s="385"/>
      <c r="U1563" s="385" t="s">
        <v>4</v>
      </c>
      <c r="V1563" s="385" t="s">
        <v>101</v>
      </c>
      <c r="W1563" s="385" t="s">
        <v>1436</v>
      </c>
      <c r="X1563" s="1"/>
    </row>
    <row r="1564" spans="1:24">
      <c r="A1564" s="385" t="s">
        <v>49</v>
      </c>
      <c r="B1564" s="385" t="s">
        <v>2573</v>
      </c>
      <c r="C1564" s="385" t="s">
        <v>2625</v>
      </c>
      <c r="D1564" s="385" t="s">
        <v>88</v>
      </c>
      <c r="E1564" s="385" t="s">
        <v>136</v>
      </c>
      <c r="F1564" s="385"/>
      <c r="G1564" s="385" t="s">
        <v>128</v>
      </c>
      <c r="H1564" s="385"/>
      <c r="I1564" s="385"/>
      <c r="J1564" s="30"/>
      <c r="K1564" s="385" t="s">
        <v>64</v>
      </c>
      <c r="L1564" s="385"/>
      <c r="M1564" s="385"/>
      <c r="N1564" s="385"/>
      <c r="O1564" s="385"/>
      <c r="P1564" s="385" t="str">
        <f>IFERROR(
    IF(
        OR(ISBLANK(I1564), ISBLANK(L1564)),
        "",
        MAX(
            1,
            IF(
                NETWORKDAYS(I1564, L1564, Holiday_Dates) &lt;= 0,
                1,
                NETWORKDAYS(I1564, L1564, Holiday_Dates) - IF(I1564 = L1564, 0, 1)
            )
        )
    ),
    ""
)</f>
        <v/>
      </c>
      <c r="Q1564" s="385" t="str">
        <f>IF(
    OR(ISBLANK(L1564), ISBLANK(M1564)),
    "",
    MAX(
        1,
        IF(
            NETWORKDAYS(L1564, M1564, Holiday_Dates) &lt;= 0,
            1,
            NETWORKDAYS(L1564, M1564, Holiday_Dates) - IF(L1564 = M1564, 0, 1)
        )
    )
)</f>
        <v/>
      </c>
      <c r="R1564" s="385" t="str">
        <f>IFERROR(
    IF(
        OR(ISBLANK(N1564), AND(ISBLANK(L1564), ISBLANK(M1564))),
        "",
        MAX(
            1,
            IF(
                NETWORKDAYS(IF(NOT(ISBLANK(M1564)), M1564, L1564), N1564, Holiday_Dates) &lt;= 0,
                1,
                NETWORKDAYS(IF(NOT(ISBLANK(M1564)), M1564, L1564), N1564, Holiday_Dates)
                - IF(IF(NOT(ISBLANK(M1564)), M1564, L1564) = N1564, 0, 1)
            )
        )
    ),
    ""
)</f>
        <v/>
      </c>
      <c r="S1564" s="385" t="str">
        <f>IFERROR(
    IF(
        OR(ISBLANK(N1564), ISBLANK(O1564)),
        "",
        MAX(
            1,
            IF(
                NETWORKDAYS(N1564, O1564, Holiday_Dates) &lt;= 0,
                1,
                NETWORKDAYS(N1564, O1564, Holiday_Dates) - IF(N1564 = O1564, 0, 1)
            )
        )
    ),
    ""
)</f>
        <v/>
      </c>
      <c r="T1564" s="385"/>
      <c r="U1564" s="385"/>
      <c r="V1564" s="385"/>
      <c r="W1564" s="385" t="s">
        <v>4710</v>
      </c>
      <c r="X1564" s="1"/>
    </row>
    <row r="1565" spans="1:24">
      <c r="A1565" s="385" t="s">
        <v>49</v>
      </c>
      <c r="B1565" s="385" t="s">
        <v>499</v>
      </c>
      <c r="C1565" s="385" t="s">
        <v>773</v>
      </c>
      <c r="D1565" s="385" t="s">
        <v>88</v>
      </c>
      <c r="E1565" s="385" t="s">
        <v>344</v>
      </c>
      <c r="F1565" s="385"/>
      <c r="G1565" s="385" t="s">
        <v>128</v>
      </c>
      <c r="H1565" s="385"/>
      <c r="I1565" s="385"/>
      <c r="J1565" s="30"/>
      <c r="K1565" s="385" t="s">
        <v>64</v>
      </c>
      <c r="L1565" s="385"/>
      <c r="M1565" s="385"/>
      <c r="N1565" s="385"/>
      <c r="O1565" s="385"/>
      <c r="P1565" s="385" t="str">
        <f>IFERROR(
    IF(
        OR(ISBLANK(I1565), ISBLANK(L1565)),
        "",
        MAX(
            1,
            IF(
                NETWORKDAYS(I1565, L1565, Holiday_Dates) &lt;= 0,
                1,
                NETWORKDAYS(I1565, L1565, Holiday_Dates) - IF(I1565 = L1565, 0, 1)
            )
        )
    ),
    ""
)</f>
        <v/>
      </c>
      <c r="Q1565" s="385" t="str">
        <f>IF(
    OR(ISBLANK(L1565), ISBLANK(M1565)),
    "",
    MAX(
        1,
        IF(
            NETWORKDAYS(L1565, M1565, Holiday_Dates) &lt;= 0,
            1,
            NETWORKDAYS(L1565, M1565, Holiday_Dates) - IF(L1565 = M1565, 0, 1)
        )
    )
)</f>
        <v/>
      </c>
      <c r="R1565" s="385" t="str">
        <f>IFERROR(
    IF(
        OR(ISBLANK(N1565), AND(ISBLANK(L1565), ISBLANK(M1565))),
        "",
        MAX(
            1,
            IF(
                NETWORKDAYS(IF(NOT(ISBLANK(M1565)), M1565, L1565), N1565, Holiday_Dates) &lt;= 0,
                1,
                NETWORKDAYS(IF(NOT(ISBLANK(M1565)), M1565, L1565), N1565, Holiday_Dates)
                - IF(IF(NOT(ISBLANK(M1565)), M1565, L1565) = N1565, 0, 1)
            )
        )
    ),
    ""
)</f>
        <v/>
      </c>
      <c r="S1565" s="385" t="str">
        <f>IFERROR(
    IF(
        OR(ISBLANK(N1565), ISBLANK(O1565)),
        "",
        MAX(
            1,
            IF(
                NETWORKDAYS(N1565, O1565, Holiday_Dates) &lt;= 0,
                1,
                NETWORKDAYS(N1565, O1565, Holiday_Dates) - IF(N1565 = O1565, 0, 1)
            )
        )
    ),
    ""
)</f>
        <v/>
      </c>
      <c r="T1565" s="385"/>
      <c r="U1565" s="385"/>
      <c r="V1565" s="385"/>
      <c r="W1565" s="385" t="s">
        <v>4710</v>
      </c>
      <c r="X1565" s="1"/>
    </row>
    <row r="1566" spans="1:24">
      <c r="A1566" s="385" t="s">
        <v>65</v>
      </c>
      <c r="B1566" s="385" t="s">
        <v>388</v>
      </c>
      <c r="C1566" s="385" t="s">
        <v>3307</v>
      </c>
      <c r="D1566" s="385" t="s">
        <v>88</v>
      </c>
      <c r="E1566" s="385"/>
      <c r="F1566" s="385"/>
      <c r="G1566" s="385"/>
      <c r="H1566" s="385">
        <v>2024</v>
      </c>
      <c r="I1566" s="386">
        <v>45441</v>
      </c>
      <c r="J1566" s="30"/>
      <c r="K1566" s="385"/>
      <c r="L1566" s="385"/>
      <c r="M1566" s="385"/>
      <c r="N1566" s="385"/>
      <c r="O1566" s="385"/>
      <c r="P1566" s="385" t="str">
        <f>IFERROR(
    IF(
        OR(ISBLANK(I1566), ISBLANK(L1566)),
        "",
        MAX(
            1,
            IF(
                NETWORKDAYS(I1566, L1566, Holiday_Dates) &lt;= 0,
                1,
                NETWORKDAYS(I1566, L1566, Holiday_Dates) - IF(I1566 = L1566, 0, 1)
            )
        )
    ),
    ""
)</f>
        <v/>
      </c>
      <c r="Q1566" s="385" t="str">
        <f>IF(
    OR(ISBLANK(L1566), ISBLANK(M1566)),
    "",
    MAX(
        1,
        IF(
            NETWORKDAYS(L1566, M1566, Holiday_Dates) &lt;= 0,
            1,
            NETWORKDAYS(L1566, M1566, Holiday_Dates) - IF(L1566 = M1566, 0, 1)
        )
    )
)</f>
        <v/>
      </c>
      <c r="R1566" s="385" t="str">
        <f>IFERROR(
    IF(
        OR(ISBLANK(N1566), AND(ISBLANK(L1566), ISBLANK(M1566))),
        "",
        MAX(
            1,
            IF(
                NETWORKDAYS(IF(NOT(ISBLANK(M1566)), M1566, L1566), N1566, Holiday_Dates) &lt;= 0,
                1,
                NETWORKDAYS(IF(NOT(ISBLANK(M1566)), M1566, L1566), N1566, Holiday_Dates)
                - IF(IF(NOT(ISBLANK(M1566)), M1566, L1566) = N1566, 0, 1)
            )
        )
    ),
    ""
)</f>
        <v/>
      </c>
      <c r="S1566" s="385" t="str">
        <f>IFERROR(
    IF(
        OR(ISBLANK(N1566), ISBLANK(O1566)),
        "",
        MAX(
            1,
            IF(
                NETWORKDAYS(N1566, O1566, Holiday_Dates) &lt;= 0,
                1,
                NETWORKDAYS(N1566, O1566, Holiday_Dates) - IF(N1566 = O1566, 0, 1)
            )
        )
    ),
    ""
)</f>
        <v/>
      </c>
      <c r="T1566" s="385"/>
      <c r="U1566" s="385" t="s">
        <v>672</v>
      </c>
      <c r="V1566" s="385"/>
      <c r="W1566" s="385" t="s">
        <v>1436</v>
      </c>
      <c r="X1566" s="1"/>
    </row>
    <row r="1567" spans="1:24">
      <c r="A1567" s="385" t="s">
        <v>49</v>
      </c>
      <c r="B1567" s="385" t="s">
        <v>434</v>
      </c>
      <c r="C1567" s="385" t="s">
        <v>2455</v>
      </c>
      <c r="D1567" s="385" t="s">
        <v>88</v>
      </c>
      <c r="E1567" s="385" t="s">
        <v>136</v>
      </c>
      <c r="F1567" s="385"/>
      <c r="G1567" s="385" t="s">
        <v>128</v>
      </c>
      <c r="H1567" s="385"/>
      <c r="I1567" s="385"/>
      <c r="J1567" s="30"/>
      <c r="K1567" s="385" t="s">
        <v>64</v>
      </c>
      <c r="L1567" s="385"/>
      <c r="M1567" s="385"/>
      <c r="N1567" s="385"/>
      <c r="O1567" s="385"/>
      <c r="P1567" s="385" t="str">
        <f>IFERROR(
    IF(
        OR(ISBLANK(I1567), ISBLANK(L1567)),
        "",
        MAX(
            1,
            IF(
                NETWORKDAYS(I1567, L1567, Holiday_Dates) &lt;= 0,
                1,
                NETWORKDAYS(I1567, L1567, Holiday_Dates) - IF(I1567 = L1567, 0, 1)
            )
        )
    ),
    ""
)</f>
        <v/>
      </c>
      <c r="Q1567" s="385" t="str">
        <f>IF(
    OR(ISBLANK(L1567), ISBLANK(M1567)),
    "",
    MAX(
        1,
        IF(
            NETWORKDAYS(L1567, M1567, Holiday_Dates) &lt;= 0,
            1,
            NETWORKDAYS(L1567, M1567, Holiday_Dates) - IF(L1567 = M1567, 0, 1)
        )
    )
)</f>
        <v/>
      </c>
      <c r="R1567" s="385" t="str">
        <f>IFERROR(
    IF(
        OR(ISBLANK(N1567), AND(ISBLANK(L1567), ISBLANK(M1567))),
        "",
        MAX(
            1,
            IF(
                NETWORKDAYS(IF(NOT(ISBLANK(M1567)), M1567, L1567), N1567, Holiday_Dates) &lt;= 0,
                1,
                NETWORKDAYS(IF(NOT(ISBLANK(M1567)), M1567, L1567), N1567, Holiday_Dates)
                - IF(IF(NOT(ISBLANK(M1567)), M1567, L1567) = N1567, 0, 1)
            )
        )
    ),
    ""
)</f>
        <v/>
      </c>
      <c r="S1567" s="385" t="str">
        <f>IFERROR(
    IF(
        OR(ISBLANK(N1567), ISBLANK(O1567)),
        "",
        MAX(
            1,
            IF(
                NETWORKDAYS(N1567, O1567, Holiday_Dates) &lt;= 0,
                1,
                NETWORKDAYS(N1567, O1567, Holiday_Dates) - IF(N1567 = O1567, 0, 1)
            )
        )
    ),
    ""
)</f>
        <v/>
      </c>
      <c r="T1567" s="385"/>
      <c r="U1567" s="385"/>
      <c r="V1567" s="385"/>
      <c r="W1567" s="385" t="s">
        <v>4710</v>
      </c>
      <c r="X1567" s="1"/>
    </row>
    <row r="1568" spans="1:24">
      <c r="A1568" s="385" t="s">
        <v>65</v>
      </c>
      <c r="B1568" s="385" t="s">
        <v>388</v>
      </c>
      <c r="C1568" s="385" t="s">
        <v>3310</v>
      </c>
      <c r="D1568" s="385" t="s">
        <v>88</v>
      </c>
      <c r="E1568" s="385"/>
      <c r="F1568" s="385"/>
      <c r="G1568" s="385"/>
      <c r="H1568" s="385">
        <v>2024</v>
      </c>
      <c r="I1568" s="386">
        <v>45456</v>
      </c>
      <c r="J1568" s="30"/>
      <c r="K1568" s="385"/>
      <c r="L1568" s="385"/>
      <c r="M1568" s="385"/>
      <c r="N1568" s="385"/>
      <c r="O1568" s="385"/>
      <c r="P1568" s="385" t="str">
        <f>IFERROR(
    IF(
        OR(ISBLANK(I1568), ISBLANK(L1568)),
        "",
        MAX(
            1,
            IF(
                NETWORKDAYS(I1568, L1568, Holiday_Dates) &lt;= 0,
                1,
                NETWORKDAYS(I1568, L1568, Holiday_Dates) - IF(I1568 = L1568, 0, 1)
            )
        )
    ),
    ""
)</f>
        <v/>
      </c>
      <c r="Q1568" s="385" t="str">
        <f>IF(
    OR(ISBLANK(L1568), ISBLANK(M1568)),
    "",
    MAX(
        1,
        IF(
            NETWORKDAYS(L1568, M1568, Holiday_Dates) &lt;= 0,
            1,
            NETWORKDAYS(L1568, M1568, Holiday_Dates) - IF(L1568 = M1568, 0, 1)
        )
    )
)</f>
        <v/>
      </c>
      <c r="R1568" s="385" t="str">
        <f>IFERROR(
    IF(
        OR(ISBLANK(N1568), AND(ISBLANK(L1568), ISBLANK(M1568))),
        "",
        MAX(
            1,
            IF(
                NETWORKDAYS(IF(NOT(ISBLANK(M1568)), M1568, L1568), N1568, Holiday_Dates) &lt;= 0,
                1,
                NETWORKDAYS(IF(NOT(ISBLANK(M1568)), M1568, L1568), N1568, Holiday_Dates)
                - IF(IF(NOT(ISBLANK(M1568)), M1568, L1568) = N1568, 0, 1)
            )
        )
    ),
    ""
)</f>
        <v/>
      </c>
      <c r="S1568" s="385" t="str">
        <f>IFERROR(
    IF(
        OR(ISBLANK(N1568), ISBLANK(O1568)),
        "",
        MAX(
            1,
            IF(
                NETWORKDAYS(N1568, O1568, Holiday_Dates) &lt;= 0,
                1,
                NETWORKDAYS(N1568, O1568, Holiday_Dates) - IF(N1568 = O1568, 0, 1)
            )
        )
    ),
    ""
)</f>
        <v/>
      </c>
      <c r="T1568" s="385"/>
      <c r="U1568" s="385" t="s">
        <v>672</v>
      </c>
      <c r="V1568" s="385"/>
      <c r="W1568" s="385" t="s">
        <v>1436</v>
      </c>
      <c r="X1568" s="1"/>
    </row>
    <row r="1569" spans="1:24">
      <c r="A1569" s="385" t="s">
        <v>65</v>
      </c>
      <c r="B1569" s="385" t="s">
        <v>388</v>
      </c>
      <c r="C1569" s="385" t="s">
        <v>1561</v>
      </c>
      <c r="D1569" s="385" t="s">
        <v>88</v>
      </c>
      <c r="E1569" s="385"/>
      <c r="F1569" s="385"/>
      <c r="G1569" s="385"/>
      <c r="H1569" s="385">
        <v>2024</v>
      </c>
      <c r="I1569" s="386">
        <v>45519</v>
      </c>
      <c r="J1569" s="30"/>
      <c r="K1569" s="385"/>
      <c r="L1569" s="385"/>
      <c r="M1569" s="385"/>
      <c r="N1569" s="385"/>
      <c r="O1569" s="385"/>
      <c r="P1569" s="385" t="str">
        <f>IFERROR(
    IF(
        OR(ISBLANK(I1569), ISBLANK(L1569)),
        "",
        MAX(
            1,
            IF(
                NETWORKDAYS(I1569, L1569, Holiday_Dates) &lt;= 0,
                1,
                NETWORKDAYS(I1569, L1569, Holiday_Dates) - IF(I1569 = L1569, 0, 1)
            )
        )
    ),
    ""
)</f>
        <v/>
      </c>
      <c r="Q1569" s="385" t="str">
        <f>IF(
    OR(ISBLANK(L1569), ISBLANK(M1569)),
    "",
    MAX(
        1,
        IF(
            NETWORKDAYS(L1569, M1569, Holiday_Dates) &lt;= 0,
            1,
            NETWORKDAYS(L1569, M1569, Holiday_Dates) - IF(L1569 = M1569, 0, 1)
        )
    )
)</f>
        <v/>
      </c>
      <c r="R1569" s="385" t="str">
        <f>IFERROR(
    IF(
        OR(ISBLANK(N1569), AND(ISBLANK(L1569), ISBLANK(M1569))),
        "",
        MAX(
            1,
            IF(
                NETWORKDAYS(IF(NOT(ISBLANK(M1569)), M1569, L1569), N1569, Holiday_Dates) &lt;= 0,
                1,
                NETWORKDAYS(IF(NOT(ISBLANK(M1569)), M1569, L1569), N1569, Holiday_Dates)
                - IF(IF(NOT(ISBLANK(M1569)), M1569, L1569) = N1569, 0, 1)
            )
        )
    ),
    ""
)</f>
        <v/>
      </c>
      <c r="S1569" s="385" t="str">
        <f>IFERROR(
    IF(
        OR(ISBLANK(N1569), ISBLANK(O1569)),
        "",
        MAX(
            1,
            IF(
                NETWORKDAYS(N1569, O1569, Holiday_Dates) &lt;= 0,
                1,
                NETWORKDAYS(N1569, O1569, Holiday_Dates) - IF(N1569 = O1569, 0, 1)
            )
        )
    ),
    ""
)</f>
        <v/>
      </c>
      <c r="T1569" s="385"/>
      <c r="U1569" s="385" t="s">
        <v>4</v>
      </c>
      <c r="V1569" s="385" t="s">
        <v>101</v>
      </c>
      <c r="W1569" s="385" t="s">
        <v>1436</v>
      </c>
      <c r="X1569" s="1"/>
    </row>
    <row r="1570" spans="1:24">
      <c r="A1570" s="385" t="s">
        <v>65</v>
      </c>
      <c r="B1570" s="385" t="s">
        <v>388</v>
      </c>
      <c r="C1570" s="385" t="s">
        <v>3313</v>
      </c>
      <c r="D1570" s="385" t="s">
        <v>88</v>
      </c>
      <c r="E1570" s="385"/>
      <c r="F1570" s="385"/>
      <c r="G1570" s="385"/>
      <c r="H1570" s="385">
        <v>2025</v>
      </c>
      <c r="I1570" s="386">
        <v>45855</v>
      </c>
      <c r="J1570" s="30" t="s">
        <v>5318</v>
      </c>
      <c r="K1570" s="385"/>
      <c r="L1570" s="385"/>
      <c r="M1570" s="385"/>
      <c r="N1570" s="385"/>
      <c r="O1570" s="385"/>
      <c r="P1570" s="385" t="str">
        <f>IFERROR(
    IF(
        OR(ISBLANK(I1570), ISBLANK(L1570)),
        "",
        MAX(
            1,
            IF(
                NETWORKDAYS(I1570, L1570, Holiday_Dates) &lt;= 0,
                1,
                NETWORKDAYS(I1570, L1570, Holiday_Dates) - IF(I1570 = L1570, 0, 1)
            )
        )
    ),
    ""
)</f>
        <v/>
      </c>
      <c r="Q1570" s="385" t="str">
        <f>IF(
    OR(ISBLANK(L1570), ISBLANK(M1570)),
    "",
    MAX(
        1,
        IF(
            NETWORKDAYS(L1570, M1570, Holiday_Dates) &lt;= 0,
            1,
            NETWORKDAYS(L1570, M1570, Holiday_Dates) - IF(L1570 = M1570, 0, 1)
        )
    )
)</f>
        <v/>
      </c>
      <c r="R1570" s="385" t="str">
        <f>IFERROR(
    IF(
        OR(ISBLANK(N1570), AND(ISBLANK(L1570), ISBLANK(M1570))),
        "",
        MAX(
            1,
            IF(
                NETWORKDAYS(IF(NOT(ISBLANK(M1570)), M1570, L1570), N1570, Holiday_Dates) &lt;= 0,
                1,
                NETWORKDAYS(IF(NOT(ISBLANK(M1570)), M1570, L1570), N1570, Holiday_Dates)
                - IF(IF(NOT(ISBLANK(M1570)), M1570, L1570) = N1570, 0, 1)
            )
        )
    ),
    ""
)</f>
        <v/>
      </c>
      <c r="S1570" s="385" t="str">
        <f>IFERROR(
    IF(
        OR(ISBLANK(N1570), ISBLANK(O1570)),
        "",
        MAX(
            1,
            IF(
                NETWORKDAYS(N1570, O1570, Holiday_Dates) &lt;= 0,
                1,
                NETWORKDAYS(N1570, O1570, Holiday_Dates) - IF(N1570 = O1570, 0, 1)
            )
        )
    ),
    ""
)</f>
        <v/>
      </c>
      <c r="T1570" s="385"/>
      <c r="U1570" s="385" t="s">
        <v>672</v>
      </c>
      <c r="V1570" s="385" t="s">
        <v>101</v>
      </c>
      <c r="W1570" s="385" t="s">
        <v>1436</v>
      </c>
      <c r="X1570" s="1"/>
    </row>
    <row r="1571" spans="1:24">
      <c r="A1571" s="385" t="s">
        <v>65</v>
      </c>
      <c r="B1571" s="385" t="s">
        <v>388</v>
      </c>
      <c r="C1571" s="385" t="s">
        <v>3330</v>
      </c>
      <c r="D1571" s="385" t="s">
        <v>88</v>
      </c>
      <c r="E1571" s="385"/>
      <c r="F1571" s="385"/>
      <c r="G1571" s="385"/>
      <c r="H1571" s="385">
        <v>2025</v>
      </c>
      <c r="I1571" s="386">
        <v>45855</v>
      </c>
      <c r="J1571" s="30" t="s">
        <v>5319</v>
      </c>
      <c r="K1571" s="385"/>
      <c r="L1571" s="385"/>
      <c r="M1571" s="385"/>
      <c r="N1571" s="385"/>
      <c r="O1571" s="385"/>
      <c r="P1571" s="385" t="str">
        <f>IFERROR(
    IF(
        OR(ISBLANK(I1571), ISBLANK(L1571)),
        "",
        MAX(
            1,
            IF(
                NETWORKDAYS(I1571, L1571, Holiday_Dates) &lt;= 0,
                1,
                NETWORKDAYS(I1571, L1571, Holiday_Dates) - IF(I1571 = L1571, 0, 1)
            )
        )
    ),
    ""
)</f>
        <v/>
      </c>
      <c r="Q1571" s="385" t="str">
        <f>IF(
    OR(ISBLANK(L1571), ISBLANK(M1571)),
    "",
    MAX(
        1,
        IF(
            NETWORKDAYS(L1571, M1571, Holiday_Dates) &lt;= 0,
            1,
            NETWORKDAYS(L1571, M1571, Holiday_Dates) - IF(L1571 = M1571, 0, 1)
        )
    )
)</f>
        <v/>
      </c>
      <c r="R1571" s="385" t="str">
        <f>IFERROR(
    IF(
        OR(ISBLANK(N1571), AND(ISBLANK(L1571), ISBLANK(M1571))),
        "",
        MAX(
            1,
            IF(
                NETWORKDAYS(IF(NOT(ISBLANK(M1571)), M1571, L1571), N1571, Holiday_Dates) &lt;= 0,
                1,
                NETWORKDAYS(IF(NOT(ISBLANK(M1571)), M1571, L1571), N1571, Holiday_Dates)
                - IF(IF(NOT(ISBLANK(M1571)), M1571, L1571) = N1571, 0, 1)
            )
        )
    ),
    ""
)</f>
        <v/>
      </c>
      <c r="S1571" s="385" t="str">
        <f>IFERROR(
    IF(
        OR(ISBLANK(N1571), ISBLANK(O1571)),
        "",
        MAX(
            1,
            IF(
                NETWORKDAYS(N1571, O1571, Holiday_Dates) &lt;= 0,
                1,
                NETWORKDAYS(N1571, O1571, Holiday_Dates) - IF(N1571 = O1571, 0, 1)
            )
        )
    ),
    ""
)</f>
        <v/>
      </c>
      <c r="T1571" s="385"/>
      <c r="U1571" s="385" t="s">
        <v>672</v>
      </c>
      <c r="V1571" s="385" t="s">
        <v>101</v>
      </c>
      <c r="W1571" s="385" t="s">
        <v>1436</v>
      </c>
      <c r="X1571" s="1"/>
    </row>
    <row r="1572" spans="1:24">
      <c r="A1572" s="385" t="s">
        <v>65</v>
      </c>
      <c r="B1572" s="385" t="s">
        <v>388</v>
      </c>
      <c r="C1572" s="385" t="s">
        <v>3333</v>
      </c>
      <c r="D1572" s="385" t="s">
        <v>88</v>
      </c>
      <c r="E1572" s="385"/>
      <c r="F1572" s="385"/>
      <c r="G1572" s="385"/>
      <c r="H1572" s="385">
        <v>2025</v>
      </c>
      <c r="I1572" s="386">
        <v>45680</v>
      </c>
      <c r="J1572" s="30" t="s">
        <v>5320</v>
      </c>
      <c r="K1572" s="385"/>
      <c r="L1572" s="385"/>
      <c r="M1572" s="385"/>
      <c r="N1572" s="385"/>
      <c r="O1572" s="385"/>
      <c r="P1572" s="385" t="str">
        <f>IFERROR(
    IF(
        OR(ISBLANK(I1572), ISBLANK(L1572)),
        "",
        MAX(
            1,
            IF(
                NETWORKDAYS(I1572, L1572, Holiday_Dates) &lt;= 0,
                1,
                NETWORKDAYS(I1572, L1572, Holiday_Dates) - IF(I1572 = L1572, 0, 1)
            )
        )
    ),
    ""
)</f>
        <v/>
      </c>
      <c r="Q1572" s="385" t="str">
        <f>IF(
    OR(ISBLANK(L1572), ISBLANK(M1572)),
    "",
    MAX(
        1,
        IF(
            NETWORKDAYS(L1572, M1572, Holiday_Dates) &lt;= 0,
            1,
            NETWORKDAYS(L1572, M1572, Holiday_Dates) - IF(L1572 = M1572, 0, 1)
        )
    )
)</f>
        <v/>
      </c>
      <c r="R1572" s="385" t="str">
        <f>IFERROR(
    IF(
        OR(ISBLANK(N1572), AND(ISBLANK(L1572), ISBLANK(M1572))),
        "",
        MAX(
            1,
            IF(
                NETWORKDAYS(IF(NOT(ISBLANK(M1572)), M1572, L1572), N1572, Holiday_Dates) &lt;= 0,
                1,
                NETWORKDAYS(IF(NOT(ISBLANK(M1572)), M1572, L1572), N1572, Holiday_Dates)
                - IF(IF(NOT(ISBLANK(M1572)), M1572, L1572) = N1572, 0, 1)
            )
        )
    ),
    ""
)</f>
        <v/>
      </c>
      <c r="S1572" s="385" t="str">
        <f>IFERROR(
    IF(
        OR(ISBLANK(N1572), ISBLANK(O1572)),
        "",
        MAX(
            1,
            IF(
                NETWORKDAYS(N1572, O1572, Holiday_Dates) &lt;= 0,
                1,
                NETWORKDAYS(N1572, O1572, Holiday_Dates) - IF(N1572 = O1572, 0, 1)
            )
        )
    ),
    ""
)</f>
        <v/>
      </c>
      <c r="T1572" s="385"/>
      <c r="U1572" s="385" t="s">
        <v>4</v>
      </c>
      <c r="V1572" s="385" t="s">
        <v>101</v>
      </c>
      <c r="W1572" s="385" t="s">
        <v>1436</v>
      </c>
      <c r="X1572" s="1"/>
    </row>
    <row r="1573" spans="1:24">
      <c r="A1573" s="385" t="s">
        <v>49</v>
      </c>
      <c r="B1573" s="385" t="s">
        <v>434</v>
      </c>
      <c r="C1573" s="385" t="s">
        <v>926</v>
      </c>
      <c r="D1573" s="385" t="s">
        <v>88</v>
      </c>
      <c r="E1573" s="385" t="s">
        <v>136</v>
      </c>
      <c r="F1573" s="385"/>
      <c r="G1573" s="385" t="s">
        <v>128</v>
      </c>
      <c r="H1573" s="385"/>
      <c r="I1573" s="385"/>
      <c r="J1573" s="30"/>
      <c r="K1573" s="385" t="s">
        <v>64</v>
      </c>
      <c r="L1573" s="385"/>
      <c r="M1573" s="385"/>
      <c r="N1573" s="385"/>
      <c r="O1573" s="385"/>
      <c r="P1573" s="385" t="str">
        <f>IFERROR(
    IF(
        OR(ISBLANK(I1573), ISBLANK(L1573)),
        "",
        MAX(
            1,
            IF(
                NETWORKDAYS(I1573, L1573, Holiday_Dates) &lt;= 0,
                1,
                NETWORKDAYS(I1573, L1573, Holiday_Dates) - IF(I1573 = L1573, 0, 1)
            )
        )
    ),
    ""
)</f>
        <v/>
      </c>
      <c r="Q1573" s="385" t="str">
        <f>IF(
    OR(ISBLANK(L1573), ISBLANK(M1573)),
    "",
    MAX(
        1,
        IF(
            NETWORKDAYS(L1573, M1573, Holiday_Dates) &lt;= 0,
            1,
            NETWORKDAYS(L1573, M1573, Holiday_Dates) - IF(L1573 = M1573, 0, 1)
        )
    )
)</f>
        <v/>
      </c>
      <c r="R1573" s="385" t="str">
        <f>IFERROR(
    IF(
        OR(ISBLANK(N1573), AND(ISBLANK(L1573), ISBLANK(M1573))),
        "",
        MAX(
            1,
            IF(
                NETWORKDAYS(IF(NOT(ISBLANK(M1573)), M1573, L1573), N1573, Holiday_Dates) &lt;= 0,
                1,
                NETWORKDAYS(IF(NOT(ISBLANK(M1573)), M1573, L1573), N1573, Holiday_Dates)
                - IF(IF(NOT(ISBLANK(M1573)), M1573, L1573) = N1573, 0, 1)
            )
        )
    ),
    ""
)</f>
        <v/>
      </c>
      <c r="S1573" s="385" t="str">
        <f>IFERROR(
    IF(
        OR(ISBLANK(N1573), ISBLANK(O1573)),
        "",
        MAX(
            1,
            IF(
                NETWORKDAYS(N1573, O1573, Holiday_Dates) &lt;= 0,
                1,
                NETWORKDAYS(N1573, O1573, Holiday_Dates) - IF(N1573 = O1573, 0, 1)
            )
        )
    ),
    ""
)</f>
        <v/>
      </c>
      <c r="T1573" s="385"/>
      <c r="U1573" s="385"/>
      <c r="V1573" s="385"/>
      <c r="W1573" s="385" t="s">
        <v>4710</v>
      </c>
      <c r="X1573" s="1"/>
    </row>
    <row r="1574" spans="1:24">
      <c r="A1574" s="385" t="s">
        <v>49</v>
      </c>
      <c r="B1574" s="385" t="s">
        <v>434</v>
      </c>
      <c r="C1574" s="385" t="s">
        <v>790</v>
      </c>
      <c r="D1574" s="385" t="s">
        <v>88</v>
      </c>
      <c r="E1574" s="385" t="s">
        <v>136</v>
      </c>
      <c r="F1574" s="385"/>
      <c r="G1574" s="385" t="s">
        <v>128</v>
      </c>
      <c r="H1574" s="385"/>
      <c r="I1574" s="385"/>
      <c r="J1574" s="30"/>
      <c r="K1574" s="385" t="s">
        <v>64</v>
      </c>
      <c r="L1574" s="385"/>
      <c r="M1574" s="385"/>
      <c r="N1574" s="385"/>
      <c r="O1574" s="385"/>
      <c r="P1574" s="385" t="str">
        <f>IFERROR(
    IF(
        OR(ISBLANK(I1574), ISBLANK(L1574)),
        "",
        MAX(
            1,
            IF(
                NETWORKDAYS(I1574, L1574, Holiday_Dates) &lt;= 0,
                1,
                NETWORKDAYS(I1574, L1574, Holiday_Dates) - IF(I1574 = L1574, 0, 1)
            )
        )
    ),
    ""
)</f>
        <v/>
      </c>
      <c r="Q1574" s="385" t="str">
        <f>IF(
    OR(ISBLANK(L1574), ISBLANK(M1574)),
    "",
    MAX(
        1,
        IF(
            NETWORKDAYS(L1574, M1574, Holiday_Dates) &lt;= 0,
            1,
            NETWORKDAYS(L1574, M1574, Holiday_Dates) - IF(L1574 = M1574, 0, 1)
        )
    )
)</f>
        <v/>
      </c>
      <c r="R1574" s="385" t="str">
        <f>IFERROR(
    IF(
        OR(ISBLANK(N1574), AND(ISBLANK(L1574), ISBLANK(M1574))),
        "",
        MAX(
            1,
            IF(
                NETWORKDAYS(IF(NOT(ISBLANK(M1574)), M1574, L1574), N1574, Holiday_Dates) &lt;= 0,
                1,
                NETWORKDAYS(IF(NOT(ISBLANK(M1574)), M1574, L1574), N1574, Holiday_Dates)
                - IF(IF(NOT(ISBLANK(M1574)), M1574, L1574) = N1574, 0, 1)
            )
        )
    ),
    ""
)</f>
        <v/>
      </c>
      <c r="S1574" s="385" t="str">
        <f>IFERROR(
    IF(
        OR(ISBLANK(N1574), ISBLANK(O1574)),
        "",
        MAX(
            1,
            IF(
                NETWORKDAYS(N1574, O1574, Holiday_Dates) &lt;= 0,
                1,
                NETWORKDAYS(N1574, O1574, Holiday_Dates) - IF(N1574 = O1574, 0, 1)
            )
        )
    ),
    ""
)</f>
        <v/>
      </c>
      <c r="T1574" s="385"/>
      <c r="U1574" s="385"/>
      <c r="V1574" s="385"/>
      <c r="W1574" s="385" t="s">
        <v>4710</v>
      </c>
      <c r="X1574" s="1"/>
    </row>
    <row r="1575" spans="1:24">
      <c r="A1575" s="385" t="s">
        <v>65</v>
      </c>
      <c r="B1575" s="385" t="s">
        <v>388</v>
      </c>
      <c r="C1575" s="385" t="s">
        <v>3328</v>
      </c>
      <c r="D1575" s="385" t="s">
        <v>88</v>
      </c>
      <c r="E1575" s="385"/>
      <c r="F1575" s="385"/>
      <c r="G1575" s="385"/>
      <c r="H1575" s="385">
        <v>2024</v>
      </c>
      <c r="I1575" s="386">
        <v>45552</v>
      </c>
      <c r="J1575" s="30"/>
      <c r="K1575" s="385"/>
      <c r="L1575" s="385"/>
      <c r="M1575" s="385"/>
      <c r="N1575" s="385"/>
      <c r="O1575" s="385"/>
      <c r="P1575" s="385" t="str">
        <f>IFERROR(
    IF(
        OR(ISBLANK(I1575), ISBLANK(L1575)),
        "",
        MAX(
            1,
            IF(
                NETWORKDAYS(I1575, L1575, Holiday_Dates) &lt;= 0,
                1,
                NETWORKDAYS(I1575, L1575, Holiday_Dates) - IF(I1575 = L1575, 0, 1)
            )
        )
    ),
    ""
)</f>
        <v/>
      </c>
      <c r="Q1575" s="385" t="str">
        <f>IF(
    OR(ISBLANK(L1575), ISBLANK(M1575)),
    "",
    MAX(
        1,
        IF(
            NETWORKDAYS(L1575, M1575, Holiday_Dates) &lt;= 0,
            1,
            NETWORKDAYS(L1575, M1575, Holiday_Dates) - IF(L1575 = M1575, 0, 1)
        )
    )
)</f>
        <v/>
      </c>
      <c r="R1575" s="385" t="str">
        <f>IFERROR(
    IF(
        OR(ISBLANK(N1575), AND(ISBLANK(L1575), ISBLANK(M1575))),
        "",
        MAX(
            1,
            IF(
                NETWORKDAYS(IF(NOT(ISBLANK(M1575)), M1575, L1575), N1575, Holiday_Dates) &lt;= 0,
                1,
                NETWORKDAYS(IF(NOT(ISBLANK(M1575)), M1575, L1575), N1575, Holiday_Dates)
                - IF(IF(NOT(ISBLANK(M1575)), M1575, L1575) = N1575, 0, 1)
            )
        )
    ),
    ""
)</f>
        <v/>
      </c>
      <c r="S1575" s="385" t="str">
        <f>IFERROR(
    IF(
        OR(ISBLANK(N1575), ISBLANK(O1575)),
        "",
        MAX(
            1,
            IF(
                NETWORKDAYS(N1575, O1575, Holiday_Dates) &lt;= 0,
                1,
                NETWORKDAYS(N1575, O1575, Holiday_Dates) - IF(N1575 = O1575, 0, 1)
            )
        )
    ),
    ""
)</f>
        <v/>
      </c>
      <c r="T1575" s="385"/>
      <c r="U1575" s="385" t="s">
        <v>4</v>
      </c>
      <c r="V1575" s="385" t="s">
        <v>101</v>
      </c>
      <c r="W1575" s="385" t="s">
        <v>1436</v>
      </c>
      <c r="X1575" s="1"/>
    </row>
    <row r="1576" spans="1:24">
      <c r="A1576" s="385" t="s">
        <v>65</v>
      </c>
      <c r="B1576" s="385" t="s">
        <v>388</v>
      </c>
      <c r="C1576" s="385" t="s">
        <v>3316</v>
      </c>
      <c r="D1576" s="385" t="s">
        <v>88</v>
      </c>
      <c r="E1576" s="385"/>
      <c r="F1576" s="385"/>
      <c r="G1576" s="385"/>
      <c r="H1576" s="385">
        <v>2024</v>
      </c>
      <c r="I1576" s="386">
        <v>45519</v>
      </c>
      <c r="J1576" s="30"/>
      <c r="K1576" s="385"/>
      <c r="L1576" s="385"/>
      <c r="M1576" s="385"/>
      <c r="N1576" s="385"/>
      <c r="O1576" s="385"/>
      <c r="P1576" s="385" t="str">
        <f>IFERROR(
    IF(
        OR(ISBLANK(I1576), ISBLANK(L1576)),
        "",
        MAX(
            1,
            IF(
                NETWORKDAYS(I1576, L1576, Holiday_Dates) &lt;= 0,
                1,
                NETWORKDAYS(I1576, L1576, Holiday_Dates) - IF(I1576 = L1576, 0, 1)
            )
        )
    ),
    ""
)</f>
        <v/>
      </c>
      <c r="Q1576" s="385" t="str">
        <f>IF(
    OR(ISBLANK(L1576), ISBLANK(M1576)),
    "",
    MAX(
        1,
        IF(
            NETWORKDAYS(L1576, M1576, Holiday_Dates) &lt;= 0,
            1,
            NETWORKDAYS(L1576, M1576, Holiday_Dates) - IF(L1576 = M1576, 0, 1)
        )
    )
)</f>
        <v/>
      </c>
      <c r="R1576" s="385" t="str">
        <f>IFERROR(
    IF(
        OR(ISBLANK(N1576), AND(ISBLANK(L1576), ISBLANK(M1576))),
        "",
        MAX(
            1,
            IF(
                NETWORKDAYS(IF(NOT(ISBLANK(M1576)), M1576, L1576), N1576, Holiday_Dates) &lt;= 0,
                1,
                NETWORKDAYS(IF(NOT(ISBLANK(M1576)), M1576, L1576), N1576, Holiday_Dates)
                - IF(IF(NOT(ISBLANK(M1576)), M1576, L1576) = N1576, 0, 1)
            )
        )
    ),
    ""
)</f>
        <v/>
      </c>
      <c r="S1576" s="385" t="str">
        <f>IFERROR(
    IF(
        OR(ISBLANK(N1576), ISBLANK(O1576)),
        "",
        MAX(
            1,
            IF(
                NETWORKDAYS(N1576, O1576, Holiday_Dates) &lt;= 0,
                1,
                NETWORKDAYS(N1576, O1576, Holiday_Dates) - IF(N1576 = O1576, 0, 1)
            )
        )
    ),
    ""
)</f>
        <v/>
      </c>
      <c r="T1576" s="385"/>
      <c r="U1576" s="385" t="s">
        <v>4</v>
      </c>
      <c r="V1576" s="385" t="s">
        <v>101</v>
      </c>
      <c r="W1576" s="385" t="s">
        <v>1436</v>
      </c>
      <c r="X1576" s="1"/>
    </row>
    <row r="1577" spans="1:24">
      <c r="A1577" s="385" t="s">
        <v>65</v>
      </c>
      <c r="B1577" s="385" t="s">
        <v>388</v>
      </c>
      <c r="C1577" s="385" t="s">
        <v>3318</v>
      </c>
      <c r="D1577" s="385" t="s">
        <v>88</v>
      </c>
      <c r="E1577" s="385"/>
      <c r="F1577" s="385"/>
      <c r="G1577" s="385"/>
      <c r="H1577" s="385">
        <v>2024</v>
      </c>
      <c r="I1577" s="386">
        <v>45601</v>
      </c>
      <c r="J1577" s="30"/>
      <c r="K1577" s="385"/>
      <c r="L1577" s="385"/>
      <c r="M1577" s="385"/>
      <c r="N1577" s="385"/>
      <c r="O1577" s="385"/>
      <c r="P1577" s="385" t="str">
        <f>IFERROR(
    IF(
        OR(ISBLANK(I1577), ISBLANK(L1577)),
        "",
        MAX(
            1,
            IF(
                NETWORKDAYS(I1577, L1577, Holiday_Dates) &lt;= 0,
                1,
                NETWORKDAYS(I1577, L1577, Holiday_Dates) - IF(I1577 = L1577, 0, 1)
            )
        )
    ),
    ""
)</f>
        <v/>
      </c>
      <c r="Q1577" s="385" t="str">
        <f>IF(
    OR(ISBLANK(L1577), ISBLANK(M1577)),
    "",
    MAX(
        1,
        IF(
            NETWORKDAYS(L1577, M1577, Holiday_Dates) &lt;= 0,
            1,
            NETWORKDAYS(L1577, M1577, Holiday_Dates) - IF(L1577 = M1577, 0, 1)
        )
    )
)</f>
        <v/>
      </c>
      <c r="R1577" s="385" t="str">
        <f>IFERROR(
    IF(
        OR(ISBLANK(N1577), AND(ISBLANK(L1577), ISBLANK(M1577))),
        "",
        MAX(
            1,
            IF(
                NETWORKDAYS(IF(NOT(ISBLANK(M1577)), M1577, L1577), N1577, Holiday_Dates) &lt;= 0,
                1,
                NETWORKDAYS(IF(NOT(ISBLANK(M1577)), M1577, L1577), N1577, Holiday_Dates)
                - IF(IF(NOT(ISBLANK(M1577)), M1577, L1577) = N1577, 0, 1)
            )
        )
    ),
    ""
)</f>
        <v/>
      </c>
      <c r="S1577" s="385" t="str">
        <f>IFERROR(
    IF(
        OR(ISBLANK(N1577), ISBLANK(O1577)),
        "",
        MAX(
            1,
            IF(
                NETWORKDAYS(N1577, O1577, Holiday_Dates) &lt;= 0,
                1,
                NETWORKDAYS(N1577, O1577, Holiday_Dates) - IF(N1577 = O1577, 0, 1)
            )
        )
    ),
    ""
)</f>
        <v/>
      </c>
      <c r="T1577" s="385"/>
      <c r="U1577" s="385" t="s">
        <v>4</v>
      </c>
      <c r="V1577" s="385" t="s">
        <v>101</v>
      </c>
      <c r="W1577" s="385" t="s">
        <v>1436</v>
      </c>
      <c r="X1577" s="1"/>
    </row>
    <row r="1578" spans="1:24">
      <c r="A1578" s="385" t="s">
        <v>65</v>
      </c>
      <c r="B1578" s="385" t="s">
        <v>388</v>
      </c>
      <c r="C1578" s="385" t="s">
        <v>939</v>
      </c>
      <c r="D1578" s="385" t="s">
        <v>88</v>
      </c>
      <c r="E1578" s="385"/>
      <c r="F1578" s="385"/>
      <c r="G1578" s="385"/>
      <c r="H1578" s="385">
        <v>2024</v>
      </c>
      <c r="I1578" s="386">
        <v>45601</v>
      </c>
      <c r="J1578" s="30"/>
      <c r="K1578" s="385"/>
      <c r="L1578" s="385"/>
      <c r="M1578" s="385"/>
      <c r="N1578" s="385"/>
      <c r="O1578" s="385"/>
      <c r="P1578" s="385" t="str">
        <f>IFERROR(
    IF(
        OR(ISBLANK(I1578), ISBLANK(L1578)),
        "",
        MAX(
            1,
            IF(
                NETWORKDAYS(I1578, L1578, Holiday_Dates) &lt;= 0,
                1,
                NETWORKDAYS(I1578, L1578, Holiday_Dates) - IF(I1578 = L1578, 0, 1)
            )
        )
    ),
    ""
)</f>
        <v/>
      </c>
      <c r="Q1578" s="385" t="str">
        <f>IF(
    OR(ISBLANK(L1578), ISBLANK(M1578)),
    "",
    MAX(
        1,
        IF(
            NETWORKDAYS(L1578, M1578, Holiday_Dates) &lt;= 0,
            1,
            NETWORKDAYS(L1578, M1578, Holiday_Dates) - IF(L1578 = M1578, 0, 1)
        )
    )
)</f>
        <v/>
      </c>
      <c r="R1578" s="385" t="str">
        <f>IFERROR(
    IF(
        OR(ISBLANK(N1578), AND(ISBLANK(L1578), ISBLANK(M1578))),
        "",
        MAX(
            1,
            IF(
                NETWORKDAYS(IF(NOT(ISBLANK(M1578)), M1578, L1578), N1578, Holiday_Dates) &lt;= 0,
                1,
                NETWORKDAYS(IF(NOT(ISBLANK(M1578)), M1578, L1578), N1578, Holiday_Dates)
                - IF(IF(NOT(ISBLANK(M1578)), M1578, L1578) = N1578, 0, 1)
            )
        )
    ),
    ""
)</f>
        <v/>
      </c>
      <c r="S1578" s="385" t="str">
        <f>IFERROR(
    IF(
        OR(ISBLANK(N1578), ISBLANK(O1578)),
        "",
        MAX(
            1,
            IF(
                NETWORKDAYS(N1578, O1578, Holiday_Dates) &lt;= 0,
                1,
                NETWORKDAYS(N1578, O1578, Holiday_Dates) - IF(N1578 = O1578, 0, 1)
            )
        )
    ),
    ""
)</f>
        <v/>
      </c>
      <c r="T1578" s="385"/>
      <c r="U1578" s="385" t="s">
        <v>4</v>
      </c>
      <c r="V1578" s="385" t="s">
        <v>101</v>
      </c>
      <c r="W1578" s="385" t="s">
        <v>1436</v>
      </c>
      <c r="X1578" s="1"/>
    </row>
    <row r="1579" spans="1:24">
      <c r="A1579" s="385" t="s">
        <v>49</v>
      </c>
      <c r="B1579" s="385" t="s">
        <v>439</v>
      </c>
      <c r="C1579" s="385" t="s">
        <v>2570</v>
      </c>
      <c r="D1579" s="385" t="s">
        <v>88</v>
      </c>
      <c r="E1579" s="385" t="s">
        <v>377</v>
      </c>
      <c r="F1579" s="385"/>
      <c r="G1579" s="385" t="s">
        <v>128</v>
      </c>
      <c r="H1579" s="385"/>
      <c r="I1579" s="385"/>
      <c r="J1579" s="30"/>
      <c r="K1579" s="385" t="s">
        <v>64</v>
      </c>
      <c r="L1579" s="385"/>
      <c r="M1579" s="385"/>
      <c r="N1579" s="385"/>
      <c r="O1579" s="385"/>
      <c r="P1579" s="385" t="str">
        <f>IFERROR(
    IF(
        OR(ISBLANK(I1579), ISBLANK(L1579)),
        "",
        MAX(
            1,
            IF(
                NETWORKDAYS(I1579, L1579, Holiday_Dates) &lt;= 0,
                1,
                NETWORKDAYS(I1579, L1579, Holiday_Dates) - IF(I1579 = L1579, 0, 1)
            )
        )
    ),
    ""
)</f>
        <v/>
      </c>
      <c r="Q1579" s="385" t="str">
        <f>IF(
    OR(ISBLANK(L1579), ISBLANK(M1579)),
    "",
    MAX(
        1,
        IF(
            NETWORKDAYS(L1579, M1579, Holiday_Dates) &lt;= 0,
            1,
            NETWORKDAYS(L1579, M1579, Holiday_Dates) - IF(L1579 = M1579, 0, 1)
        )
    )
)</f>
        <v/>
      </c>
      <c r="R1579" s="385" t="str">
        <f>IFERROR(
    IF(
        OR(ISBLANK(N1579), AND(ISBLANK(L1579), ISBLANK(M1579))),
        "",
        MAX(
            1,
            IF(
                NETWORKDAYS(IF(NOT(ISBLANK(M1579)), M1579, L1579), N1579, Holiday_Dates) &lt;= 0,
                1,
                NETWORKDAYS(IF(NOT(ISBLANK(M1579)), M1579, L1579), N1579, Holiday_Dates)
                - IF(IF(NOT(ISBLANK(M1579)), M1579, L1579) = N1579, 0, 1)
            )
        )
    ),
    ""
)</f>
        <v/>
      </c>
      <c r="S1579" s="385" t="str">
        <f>IFERROR(
    IF(
        OR(ISBLANK(N1579), ISBLANK(O1579)),
        "",
        MAX(
            1,
            IF(
                NETWORKDAYS(N1579, O1579, Holiday_Dates) &lt;= 0,
                1,
                NETWORKDAYS(N1579, O1579, Holiday_Dates) - IF(N1579 = O1579, 0, 1)
            )
        )
    ),
    ""
)</f>
        <v/>
      </c>
      <c r="T1579" s="385"/>
      <c r="U1579" s="385"/>
      <c r="V1579" s="385"/>
      <c r="W1579" s="385" t="s">
        <v>4710</v>
      </c>
      <c r="X1579" s="1"/>
    </row>
    <row r="1580" spans="1:24">
      <c r="A1580" s="385" t="s">
        <v>49</v>
      </c>
      <c r="B1580" s="385" t="s">
        <v>440</v>
      </c>
      <c r="C1580" s="385" t="s">
        <v>2669</v>
      </c>
      <c r="D1580" s="385" t="s">
        <v>88</v>
      </c>
      <c r="E1580" s="385" t="s">
        <v>377</v>
      </c>
      <c r="F1580" s="385"/>
      <c r="G1580" s="385" t="s">
        <v>128</v>
      </c>
      <c r="H1580" s="385"/>
      <c r="I1580" s="385"/>
      <c r="J1580" s="30"/>
      <c r="K1580" s="385" t="s">
        <v>64</v>
      </c>
      <c r="L1580" s="385"/>
      <c r="M1580" s="385"/>
      <c r="N1580" s="385"/>
      <c r="O1580" s="385"/>
      <c r="P1580" s="385" t="str">
        <f>IFERROR(
    IF(
        OR(ISBLANK(I1580), ISBLANK(L1580)),
        "",
        MAX(
            1,
            IF(
                NETWORKDAYS(I1580, L1580, Holiday_Dates) &lt;= 0,
                1,
                NETWORKDAYS(I1580, L1580, Holiday_Dates) - IF(I1580 = L1580, 0, 1)
            )
        )
    ),
    ""
)</f>
        <v/>
      </c>
      <c r="Q1580" s="385" t="str">
        <f>IF(
    OR(ISBLANK(L1580), ISBLANK(M1580)),
    "",
    MAX(
        1,
        IF(
            NETWORKDAYS(L1580, M1580, Holiday_Dates) &lt;= 0,
            1,
            NETWORKDAYS(L1580, M1580, Holiday_Dates) - IF(L1580 = M1580, 0, 1)
        )
    )
)</f>
        <v/>
      </c>
      <c r="R1580" s="385" t="str">
        <f>IFERROR(
    IF(
        OR(ISBLANK(N1580), AND(ISBLANK(L1580), ISBLANK(M1580))),
        "",
        MAX(
            1,
            IF(
                NETWORKDAYS(IF(NOT(ISBLANK(M1580)), M1580, L1580), N1580, Holiday_Dates) &lt;= 0,
                1,
                NETWORKDAYS(IF(NOT(ISBLANK(M1580)), M1580, L1580), N1580, Holiday_Dates)
                - IF(IF(NOT(ISBLANK(M1580)), M1580, L1580) = N1580, 0, 1)
            )
        )
    ),
    ""
)</f>
        <v/>
      </c>
      <c r="S1580" s="385" t="str">
        <f>IFERROR(
    IF(
        OR(ISBLANK(N1580), ISBLANK(O1580)),
        "",
        MAX(
            1,
            IF(
                NETWORKDAYS(N1580, O1580, Holiday_Dates) &lt;= 0,
                1,
                NETWORKDAYS(N1580, O1580, Holiday_Dates) - IF(N1580 = O1580, 0, 1)
            )
        )
    ),
    ""
)</f>
        <v/>
      </c>
      <c r="T1580" s="385"/>
      <c r="U1580" s="385"/>
      <c r="V1580" s="385"/>
      <c r="W1580" s="385" t="s">
        <v>4710</v>
      </c>
      <c r="X1580" s="1"/>
    </row>
    <row r="1581" spans="1:24">
      <c r="A1581" s="385" t="s">
        <v>49</v>
      </c>
      <c r="B1581" s="385" t="s">
        <v>440</v>
      </c>
      <c r="C1581" s="385" t="s">
        <v>2633</v>
      </c>
      <c r="D1581" s="385" t="s">
        <v>88</v>
      </c>
      <c r="E1581" s="385" t="s">
        <v>377</v>
      </c>
      <c r="F1581" s="385"/>
      <c r="G1581" s="385" t="s">
        <v>128</v>
      </c>
      <c r="H1581" s="385"/>
      <c r="I1581" s="385"/>
      <c r="J1581" s="30"/>
      <c r="K1581" s="385" t="s">
        <v>64</v>
      </c>
      <c r="L1581" s="385"/>
      <c r="M1581" s="385"/>
      <c r="N1581" s="385"/>
      <c r="O1581" s="385"/>
      <c r="P1581" s="385" t="str">
        <f>IFERROR(
    IF(
        OR(ISBLANK(I1581), ISBLANK(L1581)),
        "",
        MAX(
            1,
            IF(
                NETWORKDAYS(I1581, L1581, Holiday_Dates) &lt;= 0,
                1,
                NETWORKDAYS(I1581, L1581, Holiday_Dates) - IF(I1581 = L1581, 0, 1)
            )
        )
    ),
    ""
)</f>
        <v/>
      </c>
      <c r="Q1581" s="385" t="str">
        <f>IF(
    OR(ISBLANK(L1581), ISBLANK(M1581)),
    "",
    MAX(
        1,
        IF(
            NETWORKDAYS(L1581, M1581, Holiday_Dates) &lt;= 0,
            1,
            NETWORKDAYS(L1581, M1581, Holiday_Dates) - IF(L1581 = M1581, 0, 1)
        )
    )
)</f>
        <v/>
      </c>
      <c r="R1581" s="385" t="str">
        <f>IFERROR(
    IF(
        OR(ISBLANK(N1581), AND(ISBLANK(L1581), ISBLANK(M1581))),
        "",
        MAX(
            1,
            IF(
                NETWORKDAYS(IF(NOT(ISBLANK(M1581)), M1581, L1581), N1581, Holiday_Dates) &lt;= 0,
                1,
                NETWORKDAYS(IF(NOT(ISBLANK(M1581)), M1581, L1581), N1581, Holiday_Dates)
                - IF(IF(NOT(ISBLANK(M1581)), M1581, L1581) = N1581, 0, 1)
            )
        )
    ),
    ""
)</f>
        <v/>
      </c>
      <c r="S1581" s="385" t="str">
        <f>IFERROR(
    IF(
        OR(ISBLANK(N1581), ISBLANK(O1581)),
        "",
        MAX(
            1,
            IF(
                NETWORKDAYS(N1581, O1581, Holiday_Dates) &lt;= 0,
                1,
                NETWORKDAYS(N1581, O1581, Holiday_Dates) - IF(N1581 = O1581, 0, 1)
            )
        )
    ),
    ""
)</f>
        <v/>
      </c>
      <c r="T1581" s="385"/>
      <c r="U1581" s="385"/>
      <c r="V1581" s="385"/>
      <c r="W1581" s="385" t="s">
        <v>4710</v>
      </c>
      <c r="X1581" s="1"/>
    </row>
    <row r="1582" spans="1:24">
      <c r="A1582" s="385" t="s">
        <v>65</v>
      </c>
      <c r="B1582" s="385" t="s">
        <v>388</v>
      </c>
      <c r="C1582" s="385" t="s">
        <v>3325</v>
      </c>
      <c r="D1582" s="385" t="s">
        <v>88</v>
      </c>
      <c r="E1582" s="385"/>
      <c r="F1582" s="385"/>
      <c r="G1582" s="385"/>
      <c r="H1582" s="385">
        <v>2025</v>
      </c>
      <c r="I1582" s="386">
        <v>45877</v>
      </c>
      <c r="J1582" s="30" t="s">
        <v>5321</v>
      </c>
      <c r="K1582" s="385"/>
      <c r="L1582" s="385"/>
      <c r="M1582" s="385"/>
      <c r="N1582" s="385"/>
      <c r="O1582" s="385"/>
      <c r="P1582" s="385" t="str">
        <f>IFERROR(
    IF(
        OR(ISBLANK(I1582), ISBLANK(L1582)),
        "",
        MAX(
            1,
            IF(
                NETWORKDAYS(I1582, L1582, Holiday_Dates) &lt;= 0,
                1,
                NETWORKDAYS(I1582, L1582, Holiday_Dates) - IF(I1582 = L1582, 0, 1)
            )
        )
    ),
    ""
)</f>
        <v/>
      </c>
      <c r="Q1582" s="385" t="str">
        <f>IF(
    OR(ISBLANK(L1582), ISBLANK(M1582)),
    "",
    MAX(
        1,
        IF(
            NETWORKDAYS(L1582, M1582, Holiday_Dates) &lt;= 0,
            1,
            NETWORKDAYS(L1582, M1582, Holiday_Dates) - IF(L1582 = M1582, 0, 1)
        )
    )
)</f>
        <v/>
      </c>
      <c r="R1582" s="385" t="str">
        <f>IFERROR(
    IF(
        OR(ISBLANK(N1582), AND(ISBLANK(L1582), ISBLANK(M1582))),
        "",
        MAX(
            1,
            IF(
                NETWORKDAYS(IF(NOT(ISBLANK(M1582)), M1582, L1582), N1582, Holiday_Dates) &lt;= 0,
                1,
                NETWORKDAYS(IF(NOT(ISBLANK(M1582)), M1582, L1582), N1582, Holiday_Dates)
                - IF(IF(NOT(ISBLANK(M1582)), M1582, L1582) = N1582, 0, 1)
            )
        )
    ),
    ""
)</f>
        <v/>
      </c>
      <c r="S1582" s="385" t="str">
        <f>IFERROR(
    IF(
        OR(ISBLANK(N1582), ISBLANK(O1582)),
        "",
        MAX(
            1,
            IF(
                NETWORKDAYS(N1582, O1582, Holiday_Dates) &lt;= 0,
                1,
                NETWORKDAYS(N1582, O1582, Holiday_Dates) - IF(N1582 = O1582, 0, 1)
            )
        )
    ),
    ""
)</f>
        <v/>
      </c>
      <c r="T1582" s="385"/>
      <c r="U1582" s="385" t="s">
        <v>672</v>
      </c>
      <c r="V1582" s="385" t="s">
        <v>101</v>
      </c>
      <c r="W1582" s="385" t="s">
        <v>1436</v>
      </c>
      <c r="X1582" s="1"/>
    </row>
    <row r="1583" spans="1:24">
      <c r="A1583" s="385" t="s">
        <v>65</v>
      </c>
      <c r="B1583" s="385" t="s">
        <v>388</v>
      </c>
      <c r="C1583" s="385" t="s">
        <v>3334</v>
      </c>
      <c r="D1583" s="385" t="s">
        <v>88</v>
      </c>
      <c r="E1583" s="385"/>
      <c r="F1583" s="385"/>
      <c r="G1583" s="385"/>
      <c r="H1583" s="385">
        <v>2025</v>
      </c>
      <c r="I1583" s="386">
        <v>45877</v>
      </c>
      <c r="J1583" s="30" t="s">
        <v>5322</v>
      </c>
      <c r="K1583" s="385"/>
      <c r="L1583" s="385"/>
      <c r="M1583" s="385"/>
      <c r="N1583" s="385"/>
      <c r="O1583" s="385"/>
      <c r="P1583" s="385" t="str">
        <f>IFERROR(
    IF(
        OR(ISBLANK(I1583), ISBLANK(L1583)),
        "",
        MAX(
            1,
            IF(
                NETWORKDAYS(I1583, L1583, Holiday_Dates) &lt;= 0,
                1,
                NETWORKDAYS(I1583, L1583, Holiday_Dates) - IF(I1583 = L1583, 0, 1)
            )
        )
    ),
    ""
)</f>
        <v/>
      </c>
      <c r="Q1583" s="385" t="str">
        <f>IF(
    OR(ISBLANK(L1583), ISBLANK(M1583)),
    "",
    MAX(
        1,
        IF(
            NETWORKDAYS(L1583, M1583, Holiday_Dates) &lt;= 0,
            1,
            NETWORKDAYS(L1583, M1583, Holiday_Dates) - IF(L1583 = M1583, 0, 1)
        )
    )
)</f>
        <v/>
      </c>
      <c r="R1583" s="385" t="str">
        <f>IFERROR(
    IF(
        OR(ISBLANK(N1583), AND(ISBLANK(L1583), ISBLANK(M1583))),
        "",
        MAX(
            1,
            IF(
                NETWORKDAYS(IF(NOT(ISBLANK(M1583)), M1583, L1583), N1583, Holiday_Dates) &lt;= 0,
                1,
                NETWORKDAYS(IF(NOT(ISBLANK(M1583)), M1583, L1583), N1583, Holiday_Dates)
                - IF(IF(NOT(ISBLANK(M1583)), M1583, L1583) = N1583, 0, 1)
            )
        )
    ),
    ""
)</f>
        <v/>
      </c>
      <c r="S1583" s="385" t="str">
        <f>IFERROR(
    IF(
        OR(ISBLANK(N1583), ISBLANK(O1583)),
        "",
        MAX(
            1,
            IF(
                NETWORKDAYS(N1583, O1583, Holiday_Dates) &lt;= 0,
                1,
                NETWORKDAYS(N1583, O1583, Holiday_Dates) - IF(N1583 = O1583, 0, 1)
            )
        )
    ),
    ""
)</f>
        <v/>
      </c>
      <c r="T1583" s="385"/>
      <c r="U1583" s="385" t="s">
        <v>672</v>
      </c>
      <c r="V1583" s="385" t="s">
        <v>101</v>
      </c>
      <c r="W1583" s="385" t="s">
        <v>1436</v>
      </c>
      <c r="X1583" s="1"/>
    </row>
    <row r="1584" spans="1:24">
      <c r="A1584" s="385" t="s">
        <v>65</v>
      </c>
      <c r="B1584" s="385" t="s">
        <v>388</v>
      </c>
      <c r="C1584" s="385" t="s">
        <v>3326</v>
      </c>
      <c r="D1584" s="385" t="s">
        <v>88</v>
      </c>
      <c r="E1584" s="385"/>
      <c r="F1584" s="385"/>
      <c r="G1584" s="385"/>
      <c r="H1584" s="385">
        <v>2024</v>
      </c>
      <c r="I1584" s="386">
        <v>45456</v>
      </c>
      <c r="J1584" s="30"/>
      <c r="K1584" s="385"/>
      <c r="L1584" s="385"/>
      <c r="M1584" s="385"/>
      <c r="N1584" s="385"/>
      <c r="O1584" s="385"/>
      <c r="P1584" s="385" t="str">
        <f>IFERROR(
    IF(
        OR(ISBLANK(I1584), ISBLANK(L1584)),
        "",
        MAX(
            1,
            IF(
                NETWORKDAYS(I1584, L1584, Holiday_Dates) &lt;= 0,
                1,
                NETWORKDAYS(I1584, L1584, Holiday_Dates) - IF(I1584 = L1584, 0, 1)
            )
        )
    ),
    ""
)</f>
        <v/>
      </c>
      <c r="Q1584" s="385" t="str">
        <f>IF(
    OR(ISBLANK(L1584), ISBLANK(M1584)),
    "",
    MAX(
        1,
        IF(
            NETWORKDAYS(L1584, M1584, Holiday_Dates) &lt;= 0,
            1,
            NETWORKDAYS(L1584, M1584, Holiday_Dates) - IF(L1584 = M1584, 0, 1)
        )
    )
)</f>
        <v/>
      </c>
      <c r="R1584" s="385" t="str">
        <f>IFERROR(
    IF(
        OR(ISBLANK(N1584), AND(ISBLANK(L1584), ISBLANK(M1584))),
        "",
        MAX(
            1,
            IF(
                NETWORKDAYS(IF(NOT(ISBLANK(M1584)), M1584, L1584), N1584, Holiday_Dates) &lt;= 0,
                1,
                NETWORKDAYS(IF(NOT(ISBLANK(M1584)), M1584, L1584), N1584, Holiday_Dates)
                - IF(IF(NOT(ISBLANK(M1584)), M1584, L1584) = N1584, 0, 1)
            )
        )
    ),
    ""
)</f>
        <v/>
      </c>
      <c r="S1584" s="385" t="str">
        <f>IFERROR(
    IF(
        OR(ISBLANK(N1584), ISBLANK(O1584)),
        "",
        MAX(
            1,
            IF(
                NETWORKDAYS(N1584, O1584, Holiday_Dates) &lt;= 0,
                1,
                NETWORKDAYS(N1584, O1584, Holiday_Dates) - IF(N1584 = O1584, 0, 1)
            )
        )
    ),
    ""
)</f>
        <v/>
      </c>
      <c r="T1584" s="385"/>
      <c r="U1584" s="385" t="s">
        <v>672</v>
      </c>
      <c r="V1584" s="385"/>
      <c r="W1584" s="385" t="s">
        <v>1436</v>
      </c>
      <c r="X1584" s="1"/>
    </row>
    <row r="1585" spans="1:24">
      <c r="A1585" s="385" t="s">
        <v>65</v>
      </c>
      <c r="B1585" s="385" t="s">
        <v>388</v>
      </c>
      <c r="C1585" s="385" t="s">
        <v>3331</v>
      </c>
      <c r="D1585" s="385" t="s">
        <v>88</v>
      </c>
      <c r="E1585" s="385"/>
      <c r="F1585" s="385"/>
      <c r="G1585" s="385"/>
      <c r="H1585" s="385">
        <v>2024</v>
      </c>
      <c r="I1585" s="386">
        <v>45456</v>
      </c>
      <c r="J1585" s="30"/>
      <c r="K1585" s="385"/>
      <c r="L1585" s="385"/>
      <c r="M1585" s="385"/>
      <c r="N1585" s="385"/>
      <c r="O1585" s="385"/>
      <c r="P1585" s="385" t="str">
        <f>IFERROR(
    IF(
        OR(ISBLANK(I1585), ISBLANK(L1585)),
        "",
        MAX(
            1,
            IF(
                NETWORKDAYS(I1585, L1585, Holiday_Dates) &lt;= 0,
                1,
                NETWORKDAYS(I1585, L1585, Holiday_Dates) - IF(I1585 = L1585, 0, 1)
            )
        )
    ),
    ""
)</f>
        <v/>
      </c>
      <c r="Q1585" s="385" t="str">
        <f>IF(
    OR(ISBLANK(L1585), ISBLANK(M1585)),
    "",
    MAX(
        1,
        IF(
            NETWORKDAYS(L1585, M1585, Holiday_Dates) &lt;= 0,
            1,
            NETWORKDAYS(L1585, M1585, Holiday_Dates) - IF(L1585 = M1585, 0, 1)
        )
    )
)</f>
        <v/>
      </c>
      <c r="R1585" s="385" t="str">
        <f>IFERROR(
    IF(
        OR(ISBLANK(N1585), AND(ISBLANK(L1585), ISBLANK(M1585))),
        "",
        MAX(
            1,
            IF(
                NETWORKDAYS(IF(NOT(ISBLANK(M1585)), M1585, L1585), N1585, Holiday_Dates) &lt;= 0,
                1,
                NETWORKDAYS(IF(NOT(ISBLANK(M1585)), M1585, L1585), N1585, Holiday_Dates)
                - IF(IF(NOT(ISBLANK(M1585)), M1585, L1585) = N1585, 0, 1)
            )
        )
    ),
    ""
)</f>
        <v/>
      </c>
      <c r="S1585" s="385" t="str">
        <f>IFERROR(
    IF(
        OR(ISBLANK(N1585), ISBLANK(O1585)),
        "",
        MAX(
            1,
            IF(
                NETWORKDAYS(N1585, O1585, Holiday_Dates) &lt;= 0,
                1,
                NETWORKDAYS(N1585, O1585, Holiday_Dates) - IF(N1585 = O1585, 0, 1)
            )
        )
    ),
    ""
)</f>
        <v/>
      </c>
      <c r="T1585" s="385"/>
      <c r="U1585" s="385" t="s">
        <v>672</v>
      </c>
      <c r="V1585" s="385"/>
      <c r="W1585" s="385" t="s">
        <v>1436</v>
      </c>
      <c r="X1585" s="1"/>
    </row>
    <row r="1586" spans="1:24">
      <c r="A1586" s="385" t="s">
        <v>65</v>
      </c>
      <c r="B1586" s="385" t="s">
        <v>388</v>
      </c>
      <c r="C1586" s="385" t="s">
        <v>2342</v>
      </c>
      <c r="D1586" s="385" t="s">
        <v>88</v>
      </c>
      <c r="E1586" s="385"/>
      <c r="F1586" s="385"/>
      <c r="G1586" s="385"/>
      <c r="H1586" s="385">
        <v>2025</v>
      </c>
      <c r="I1586" s="386">
        <v>45674</v>
      </c>
      <c r="J1586" s="30" t="s">
        <v>5323</v>
      </c>
      <c r="K1586" s="385"/>
      <c r="L1586" s="385"/>
      <c r="M1586" s="385"/>
      <c r="N1586" s="385"/>
      <c r="O1586" s="385"/>
      <c r="P1586" s="385" t="str">
        <f>IFERROR(
    IF(
        OR(ISBLANK(I1586), ISBLANK(L1586)),
        "",
        MAX(
            1,
            IF(
                NETWORKDAYS(I1586, L1586, Holiday_Dates) &lt;= 0,
                1,
                NETWORKDAYS(I1586, L1586, Holiday_Dates) - IF(I1586 = L1586, 0, 1)
            )
        )
    ),
    ""
)</f>
        <v/>
      </c>
      <c r="Q1586" s="385" t="str">
        <f>IF(
    OR(ISBLANK(L1586), ISBLANK(M1586)),
    "",
    MAX(
        1,
        IF(
            NETWORKDAYS(L1586, M1586, Holiday_Dates) &lt;= 0,
            1,
            NETWORKDAYS(L1586, M1586, Holiday_Dates) - IF(L1586 = M1586, 0, 1)
        )
    )
)</f>
        <v/>
      </c>
      <c r="R1586" s="385" t="str">
        <f>IFERROR(
    IF(
        OR(ISBLANK(N1586), AND(ISBLANK(L1586), ISBLANK(M1586))),
        "",
        MAX(
            1,
            IF(
                NETWORKDAYS(IF(NOT(ISBLANK(M1586)), M1586, L1586), N1586, Holiday_Dates) &lt;= 0,
                1,
                NETWORKDAYS(IF(NOT(ISBLANK(M1586)), M1586, L1586), N1586, Holiday_Dates)
                - IF(IF(NOT(ISBLANK(M1586)), M1586, L1586) = N1586, 0, 1)
            )
        )
    ),
    ""
)</f>
        <v/>
      </c>
      <c r="S1586" s="385" t="str">
        <f>IFERROR(
    IF(
        OR(ISBLANK(N1586), ISBLANK(O1586)),
        "",
        MAX(
            1,
            IF(
                NETWORKDAYS(N1586, O1586, Holiday_Dates) &lt;= 0,
                1,
                NETWORKDAYS(N1586, O1586, Holiday_Dates) - IF(N1586 = O1586, 0, 1)
            )
        )
    ),
    ""
)</f>
        <v/>
      </c>
      <c r="T1586" s="385"/>
      <c r="U1586" s="385" t="s">
        <v>672</v>
      </c>
      <c r="V1586" s="385" t="s">
        <v>101</v>
      </c>
      <c r="W1586" s="385" t="s">
        <v>1436</v>
      </c>
      <c r="X1586" s="1"/>
    </row>
    <row r="1587" spans="1:24">
      <c r="A1587" s="385" t="s">
        <v>65</v>
      </c>
      <c r="B1587" s="385" t="s">
        <v>388</v>
      </c>
      <c r="C1587" s="385" t="s">
        <v>764</v>
      </c>
      <c r="D1587" s="385" t="s">
        <v>88</v>
      </c>
      <c r="E1587" s="385"/>
      <c r="F1587" s="385"/>
      <c r="G1587" s="385"/>
      <c r="H1587" s="385">
        <v>2025</v>
      </c>
      <c r="I1587" s="386">
        <v>45968</v>
      </c>
      <c r="J1587" s="30" t="s">
        <v>5324</v>
      </c>
      <c r="K1587" s="385"/>
      <c r="L1587" s="385"/>
      <c r="M1587" s="385"/>
      <c r="N1587" s="385"/>
      <c r="O1587" s="385"/>
      <c r="P1587" s="385" t="str">
        <f>IFERROR(
    IF(
        OR(ISBLANK(I1587), ISBLANK(L1587)),
        "",
        MAX(
            1,
            IF(
                NETWORKDAYS(I1587, L1587, Holiday_Dates) &lt;= 0,
                1,
                NETWORKDAYS(I1587, L1587, Holiday_Dates) - IF(I1587 = L1587, 0, 1)
            )
        )
    ),
    ""
)</f>
        <v/>
      </c>
      <c r="Q1587" s="385" t="str">
        <f>IF(
    OR(ISBLANK(L1587), ISBLANK(M1587)),
    "",
    MAX(
        1,
        IF(
            NETWORKDAYS(L1587, M1587, Holiday_Dates) &lt;= 0,
            1,
            NETWORKDAYS(L1587, M1587, Holiday_Dates) - IF(L1587 = M1587, 0, 1)
        )
    )
)</f>
        <v/>
      </c>
      <c r="R1587" s="385" t="str">
        <f>IFERROR(
    IF(
        OR(ISBLANK(N1587), AND(ISBLANK(L1587), ISBLANK(M1587))),
        "",
        MAX(
            1,
            IF(
                NETWORKDAYS(IF(NOT(ISBLANK(M1587)), M1587, L1587), N1587, Holiday_Dates) &lt;= 0,
                1,
                NETWORKDAYS(IF(NOT(ISBLANK(M1587)), M1587, L1587), N1587, Holiday_Dates)
                - IF(IF(NOT(ISBLANK(M1587)), M1587, L1587) = N1587, 0, 1)
            )
        )
    ),
    ""
)</f>
        <v/>
      </c>
      <c r="S1587" s="385" t="str">
        <f>IFERROR(
    IF(
        OR(ISBLANK(N1587), ISBLANK(O1587)),
        "",
        MAX(
            1,
            IF(
                NETWORKDAYS(N1587, O1587, Holiday_Dates) &lt;= 0,
                1,
                NETWORKDAYS(N1587, O1587, Holiday_Dates) - IF(N1587 = O1587, 0, 1)
            )
        )
    ),
    ""
)</f>
        <v/>
      </c>
      <c r="T1587" s="385"/>
      <c r="U1587" s="385" t="s">
        <v>672</v>
      </c>
      <c r="V1587" s="385" t="s">
        <v>101</v>
      </c>
      <c r="W1587" s="385" t="s">
        <v>1436</v>
      </c>
      <c r="X1587" s="1"/>
    </row>
    <row r="1588" spans="1:24">
      <c r="A1588" s="385" t="s">
        <v>49</v>
      </c>
      <c r="B1588" s="385" t="s">
        <v>440</v>
      </c>
      <c r="C1588" s="385" t="s">
        <v>2301</v>
      </c>
      <c r="D1588" s="385" t="s">
        <v>88</v>
      </c>
      <c r="E1588" s="385" t="s">
        <v>377</v>
      </c>
      <c r="F1588" s="385"/>
      <c r="G1588" s="385" t="s">
        <v>128</v>
      </c>
      <c r="H1588" s="385"/>
      <c r="I1588" s="385"/>
      <c r="J1588" s="30"/>
      <c r="K1588" s="385" t="s">
        <v>64</v>
      </c>
      <c r="L1588" s="385"/>
      <c r="M1588" s="385"/>
      <c r="N1588" s="385"/>
      <c r="O1588" s="385"/>
      <c r="P1588" s="385" t="str">
        <f>IFERROR(
    IF(
        OR(ISBLANK(I1588), ISBLANK(L1588)),
        "",
        MAX(
            1,
            IF(
                NETWORKDAYS(I1588, L1588, Holiday_Dates) &lt;= 0,
                1,
                NETWORKDAYS(I1588, L1588, Holiday_Dates) - IF(I1588 = L1588, 0, 1)
            )
        )
    ),
    ""
)</f>
        <v/>
      </c>
      <c r="Q1588" s="385" t="str">
        <f>IF(
    OR(ISBLANK(L1588), ISBLANK(M1588)),
    "",
    MAX(
        1,
        IF(
            NETWORKDAYS(L1588, M1588, Holiday_Dates) &lt;= 0,
            1,
            NETWORKDAYS(L1588, M1588, Holiday_Dates) - IF(L1588 = M1588, 0, 1)
        )
    )
)</f>
        <v/>
      </c>
      <c r="R1588" s="385" t="str">
        <f>IFERROR(
    IF(
        OR(ISBLANK(N1588), AND(ISBLANK(L1588), ISBLANK(M1588))),
        "",
        MAX(
            1,
            IF(
                NETWORKDAYS(IF(NOT(ISBLANK(M1588)), M1588, L1588), N1588, Holiday_Dates) &lt;= 0,
                1,
                NETWORKDAYS(IF(NOT(ISBLANK(M1588)), M1588, L1588), N1588, Holiday_Dates)
                - IF(IF(NOT(ISBLANK(M1588)), M1588, L1588) = N1588, 0, 1)
            )
        )
    ),
    ""
)</f>
        <v/>
      </c>
      <c r="S1588" s="385" t="str">
        <f>IFERROR(
    IF(
        OR(ISBLANK(N1588), ISBLANK(O1588)),
        "",
        MAX(
            1,
            IF(
                NETWORKDAYS(N1588, O1588, Holiday_Dates) &lt;= 0,
                1,
                NETWORKDAYS(N1588, O1588, Holiday_Dates) - IF(N1588 = O1588, 0, 1)
            )
        )
    ),
    ""
)</f>
        <v/>
      </c>
      <c r="T1588" s="385"/>
      <c r="U1588" s="385"/>
      <c r="V1588" s="385"/>
      <c r="W1588" s="385" t="s">
        <v>4710</v>
      </c>
      <c r="X1588" s="1"/>
    </row>
    <row r="1589" spans="1:24">
      <c r="A1589" s="385" t="s">
        <v>65</v>
      </c>
      <c r="B1589" s="385" t="s">
        <v>388</v>
      </c>
      <c r="C1589" s="385" t="s">
        <v>3336</v>
      </c>
      <c r="D1589" s="385" t="s">
        <v>88</v>
      </c>
      <c r="E1589" s="385"/>
      <c r="F1589" s="385"/>
      <c r="G1589" s="385"/>
      <c r="H1589" s="385">
        <v>2024</v>
      </c>
      <c r="I1589" s="386">
        <v>45552</v>
      </c>
      <c r="J1589" s="30"/>
      <c r="K1589" s="385"/>
      <c r="L1589" s="385"/>
      <c r="M1589" s="385"/>
      <c r="N1589" s="385"/>
      <c r="O1589" s="385"/>
      <c r="P1589" s="385" t="str">
        <f>IFERROR(
    IF(
        OR(ISBLANK(I1589), ISBLANK(L1589)),
        "",
        MAX(
            1,
            IF(
                NETWORKDAYS(I1589, L1589, Holiday_Dates) &lt;= 0,
                1,
                NETWORKDAYS(I1589, L1589, Holiday_Dates) - IF(I1589 = L1589, 0, 1)
            )
        )
    ),
    ""
)</f>
        <v/>
      </c>
      <c r="Q1589" s="385" t="str">
        <f>IF(
    OR(ISBLANK(L1589), ISBLANK(M1589)),
    "",
    MAX(
        1,
        IF(
            NETWORKDAYS(L1589, M1589, Holiday_Dates) &lt;= 0,
            1,
            NETWORKDAYS(L1589, M1589, Holiday_Dates) - IF(L1589 = M1589, 0, 1)
        )
    )
)</f>
        <v/>
      </c>
      <c r="R1589" s="385" t="str">
        <f>IFERROR(
    IF(
        OR(ISBLANK(N1589), AND(ISBLANK(L1589), ISBLANK(M1589))),
        "",
        MAX(
            1,
            IF(
                NETWORKDAYS(IF(NOT(ISBLANK(M1589)), M1589, L1589), N1589, Holiday_Dates) &lt;= 0,
                1,
                NETWORKDAYS(IF(NOT(ISBLANK(M1589)), M1589, L1589), N1589, Holiday_Dates)
                - IF(IF(NOT(ISBLANK(M1589)), M1589, L1589) = N1589, 0, 1)
            )
        )
    ),
    ""
)</f>
        <v/>
      </c>
      <c r="S1589" s="385" t="str">
        <f>IFERROR(
    IF(
        OR(ISBLANK(N1589), ISBLANK(O1589)),
        "",
        MAX(
            1,
            IF(
                NETWORKDAYS(N1589, O1589, Holiday_Dates) &lt;= 0,
                1,
                NETWORKDAYS(N1589, O1589, Holiday_Dates) - IF(N1589 = O1589, 0, 1)
            )
        )
    ),
    ""
)</f>
        <v/>
      </c>
      <c r="T1589" s="385"/>
      <c r="U1589" s="385" t="s">
        <v>4</v>
      </c>
      <c r="V1589" s="385" t="s">
        <v>101</v>
      </c>
      <c r="W1589" s="385" t="s">
        <v>1436</v>
      </c>
      <c r="X1589" s="1"/>
    </row>
    <row r="1590" spans="1:24">
      <c r="A1590" s="385" t="s">
        <v>65</v>
      </c>
      <c r="B1590" s="385" t="s">
        <v>388</v>
      </c>
      <c r="C1590" s="385" t="s">
        <v>3338</v>
      </c>
      <c r="D1590" s="385" t="s">
        <v>88</v>
      </c>
      <c r="E1590" s="385"/>
      <c r="F1590" s="385"/>
      <c r="G1590" s="385"/>
      <c r="H1590" s="385">
        <v>2024</v>
      </c>
      <c r="I1590" s="386">
        <v>45552</v>
      </c>
      <c r="J1590" s="30"/>
      <c r="K1590" s="385"/>
      <c r="L1590" s="385"/>
      <c r="M1590" s="385"/>
      <c r="N1590" s="385"/>
      <c r="O1590" s="385"/>
      <c r="P1590" s="385" t="str">
        <f>IFERROR(
    IF(
        OR(ISBLANK(I1590), ISBLANK(L1590)),
        "",
        MAX(
            1,
            IF(
                NETWORKDAYS(I1590, L1590, Holiday_Dates) &lt;= 0,
                1,
                NETWORKDAYS(I1590, L1590, Holiday_Dates) - IF(I1590 = L1590, 0, 1)
            )
        )
    ),
    ""
)</f>
        <v/>
      </c>
      <c r="Q1590" s="385" t="str">
        <f>IF(
    OR(ISBLANK(L1590), ISBLANK(M1590)),
    "",
    MAX(
        1,
        IF(
            NETWORKDAYS(L1590, M1590, Holiday_Dates) &lt;= 0,
            1,
            NETWORKDAYS(L1590, M1590, Holiday_Dates) - IF(L1590 = M1590, 0, 1)
        )
    )
)</f>
        <v/>
      </c>
      <c r="R1590" s="385" t="str">
        <f>IFERROR(
    IF(
        OR(ISBLANK(N1590), AND(ISBLANK(L1590), ISBLANK(M1590))),
        "",
        MAX(
            1,
            IF(
                NETWORKDAYS(IF(NOT(ISBLANK(M1590)), M1590, L1590), N1590, Holiday_Dates) &lt;= 0,
                1,
                NETWORKDAYS(IF(NOT(ISBLANK(M1590)), M1590, L1590), N1590, Holiday_Dates)
                - IF(IF(NOT(ISBLANK(M1590)), M1590, L1590) = N1590, 0, 1)
            )
        )
    ),
    ""
)</f>
        <v/>
      </c>
      <c r="S1590" s="385" t="str">
        <f>IFERROR(
    IF(
        OR(ISBLANK(N1590), ISBLANK(O1590)),
        "",
        MAX(
            1,
            IF(
                NETWORKDAYS(N1590, O1590, Holiday_Dates) &lt;= 0,
                1,
                NETWORKDAYS(N1590, O1590, Holiday_Dates) - IF(N1590 = O1590, 0, 1)
            )
        )
    ),
    ""
)</f>
        <v/>
      </c>
      <c r="T1590" s="385"/>
      <c r="U1590" s="385" t="s">
        <v>4</v>
      </c>
      <c r="V1590" s="385" t="s">
        <v>101</v>
      </c>
      <c r="W1590" s="385" t="s">
        <v>1436</v>
      </c>
      <c r="X1590" s="1"/>
    </row>
    <row r="1591" spans="1:24">
      <c r="A1591" s="385" t="s">
        <v>49</v>
      </c>
      <c r="B1591" s="385" t="s">
        <v>440</v>
      </c>
      <c r="C1591" s="385" t="s">
        <v>2635</v>
      </c>
      <c r="D1591" s="385" t="s">
        <v>88</v>
      </c>
      <c r="E1591" s="385" t="s">
        <v>377</v>
      </c>
      <c r="F1591" s="385"/>
      <c r="G1591" s="385" t="s">
        <v>128</v>
      </c>
      <c r="H1591" s="385"/>
      <c r="I1591" s="385"/>
      <c r="J1591" s="30"/>
      <c r="K1591" s="385" t="s">
        <v>64</v>
      </c>
      <c r="L1591" s="385"/>
      <c r="M1591" s="385"/>
      <c r="N1591" s="385"/>
      <c r="O1591" s="385"/>
      <c r="P1591" s="385" t="str">
        <f>IFERROR(
    IF(
        OR(ISBLANK(I1591), ISBLANK(L1591)),
        "",
        MAX(
            1,
            IF(
                NETWORKDAYS(I1591, L1591, Holiday_Dates) &lt;= 0,
                1,
                NETWORKDAYS(I1591, L1591, Holiday_Dates) - IF(I1591 = L1591, 0, 1)
            )
        )
    ),
    ""
)</f>
        <v/>
      </c>
      <c r="Q1591" s="385" t="str">
        <f>IF(
    OR(ISBLANK(L1591), ISBLANK(M1591)),
    "",
    MAX(
        1,
        IF(
            NETWORKDAYS(L1591, M1591, Holiday_Dates) &lt;= 0,
            1,
            NETWORKDAYS(L1591, M1591, Holiday_Dates) - IF(L1591 = M1591, 0, 1)
        )
    )
)</f>
        <v/>
      </c>
      <c r="R1591" s="385" t="str">
        <f>IFERROR(
    IF(
        OR(ISBLANK(N1591), AND(ISBLANK(L1591), ISBLANK(M1591))),
        "",
        MAX(
            1,
            IF(
                NETWORKDAYS(IF(NOT(ISBLANK(M1591)), M1591, L1591), N1591, Holiday_Dates) &lt;= 0,
                1,
                NETWORKDAYS(IF(NOT(ISBLANK(M1591)), M1591, L1591), N1591, Holiday_Dates)
                - IF(IF(NOT(ISBLANK(M1591)), M1591, L1591) = N1591, 0, 1)
            )
        )
    ),
    ""
)</f>
        <v/>
      </c>
      <c r="S1591" s="385" t="str">
        <f>IFERROR(
    IF(
        OR(ISBLANK(N1591), ISBLANK(O1591)),
        "",
        MAX(
            1,
            IF(
                NETWORKDAYS(N1591, O1591, Holiday_Dates) &lt;= 0,
                1,
                NETWORKDAYS(N1591, O1591, Holiday_Dates) - IF(N1591 = O1591, 0, 1)
            )
        )
    ),
    ""
)</f>
        <v/>
      </c>
      <c r="T1591" s="385"/>
      <c r="U1591" s="385"/>
      <c r="V1591" s="385"/>
      <c r="W1591" s="385" t="s">
        <v>4710</v>
      </c>
      <c r="X1591" s="1"/>
    </row>
    <row r="1592" spans="1:24">
      <c r="A1592" s="385" t="s">
        <v>49</v>
      </c>
      <c r="B1592" s="385" t="s">
        <v>440</v>
      </c>
      <c r="C1592" s="385" t="s">
        <v>766</v>
      </c>
      <c r="D1592" s="385" t="s">
        <v>88</v>
      </c>
      <c r="E1592" s="385" t="s">
        <v>377</v>
      </c>
      <c r="F1592" s="385"/>
      <c r="G1592" s="385" t="s">
        <v>128</v>
      </c>
      <c r="H1592" s="385"/>
      <c r="I1592" s="385"/>
      <c r="J1592" s="30"/>
      <c r="K1592" s="385" t="s">
        <v>64</v>
      </c>
      <c r="L1592" s="385"/>
      <c r="M1592" s="385"/>
      <c r="N1592" s="385"/>
      <c r="O1592" s="385"/>
      <c r="P1592" s="385" t="str">
        <f>IFERROR(
    IF(
        OR(ISBLANK(I1592), ISBLANK(L1592)),
        "",
        MAX(
            1,
            IF(
                NETWORKDAYS(I1592, L1592, Holiday_Dates) &lt;= 0,
                1,
                NETWORKDAYS(I1592, L1592, Holiday_Dates) - IF(I1592 = L1592, 0, 1)
            )
        )
    ),
    ""
)</f>
        <v/>
      </c>
      <c r="Q1592" s="385" t="str">
        <f>IF(
    OR(ISBLANK(L1592), ISBLANK(M1592)),
    "",
    MAX(
        1,
        IF(
            NETWORKDAYS(L1592, M1592, Holiday_Dates) &lt;= 0,
            1,
            NETWORKDAYS(L1592, M1592, Holiday_Dates) - IF(L1592 = M1592, 0, 1)
        )
    )
)</f>
        <v/>
      </c>
      <c r="R1592" s="385" t="str">
        <f>IFERROR(
    IF(
        OR(ISBLANK(N1592), AND(ISBLANK(L1592), ISBLANK(M1592))),
        "",
        MAX(
            1,
            IF(
                NETWORKDAYS(IF(NOT(ISBLANK(M1592)), M1592, L1592), N1592, Holiday_Dates) &lt;= 0,
                1,
                NETWORKDAYS(IF(NOT(ISBLANK(M1592)), M1592, L1592), N1592, Holiday_Dates)
                - IF(IF(NOT(ISBLANK(M1592)), M1592, L1592) = N1592, 0, 1)
            )
        )
    ),
    ""
)</f>
        <v/>
      </c>
      <c r="S1592" s="385" t="str">
        <f>IFERROR(
    IF(
        OR(ISBLANK(N1592), ISBLANK(O1592)),
        "",
        MAX(
            1,
            IF(
                NETWORKDAYS(N1592, O1592, Holiday_Dates) &lt;= 0,
                1,
                NETWORKDAYS(N1592, O1592, Holiday_Dates) - IF(N1592 = O1592, 0, 1)
            )
        )
    ),
    ""
)</f>
        <v/>
      </c>
      <c r="T1592" s="385"/>
      <c r="U1592" s="385"/>
      <c r="V1592" s="385"/>
      <c r="W1592" s="385" t="s">
        <v>4710</v>
      </c>
      <c r="X1592" s="1"/>
    </row>
    <row r="1593" spans="1:24">
      <c r="A1593" s="385" t="s">
        <v>65</v>
      </c>
      <c r="B1593" s="385" t="s">
        <v>388</v>
      </c>
      <c r="C1593" s="385" t="s">
        <v>3340</v>
      </c>
      <c r="D1593" s="385" t="s">
        <v>88</v>
      </c>
      <c r="E1593" s="385"/>
      <c r="F1593" s="385"/>
      <c r="G1593" s="385"/>
      <c r="H1593" s="385">
        <v>2025</v>
      </c>
      <c r="I1593" s="386">
        <v>45714</v>
      </c>
      <c r="J1593" s="30" t="s">
        <v>5325</v>
      </c>
      <c r="K1593" s="385"/>
      <c r="L1593" s="385"/>
      <c r="M1593" s="385"/>
      <c r="N1593" s="385"/>
      <c r="O1593" s="385"/>
      <c r="P1593" s="385" t="str">
        <f>IFERROR(
    IF(
        OR(ISBLANK(I1593), ISBLANK(L1593)),
        "",
        MAX(
            1,
            IF(
                NETWORKDAYS(I1593, L1593, Holiday_Dates) &lt;= 0,
                1,
                NETWORKDAYS(I1593, L1593, Holiday_Dates) - IF(I1593 = L1593, 0, 1)
            )
        )
    ),
    ""
)</f>
        <v/>
      </c>
      <c r="Q1593" s="385" t="str">
        <f>IF(
    OR(ISBLANK(L1593), ISBLANK(M1593)),
    "",
    MAX(
        1,
        IF(
            NETWORKDAYS(L1593, M1593, Holiday_Dates) &lt;= 0,
            1,
            NETWORKDAYS(L1593, M1593, Holiday_Dates) - IF(L1593 = M1593, 0, 1)
        )
    )
)</f>
        <v/>
      </c>
      <c r="R1593" s="385" t="str">
        <f>IFERROR(
    IF(
        OR(ISBLANK(N1593), AND(ISBLANK(L1593), ISBLANK(M1593))),
        "",
        MAX(
            1,
            IF(
                NETWORKDAYS(IF(NOT(ISBLANK(M1593)), M1593, L1593), N1593, Holiday_Dates) &lt;= 0,
                1,
                NETWORKDAYS(IF(NOT(ISBLANK(M1593)), M1593, L1593), N1593, Holiday_Dates)
                - IF(IF(NOT(ISBLANK(M1593)), M1593, L1593) = N1593, 0, 1)
            )
        )
    ),
    ""
)</f>
        <v/>
      </c>
      <c r="S1593" s="385" t="str">
        <f>IFERROR(
    IF(
        OR(ISBLANK(N1593), ISBLANK(O1593)),
        "",
        MAX(
            1,
            IF(
                NETWORKDAYS(N1593, O1593, Holiday_Dates) &lt;= 0,
                1,
                NETWORKDAYS(N1593, O1593, Holiday_Dates) - IF(N1593 = O1593, 0, 1)
            )
        )
    ),
    ""
)</f>
        <v/>
      </c>
      <c r="T1593" s="385"/>
      <c r="U1593" s="385" t="s">
        <v>672</v>
      </c>
      <c r="V1593" s="385" t="s">
        <v>101</v>
      </c>
      <c r="W1593" s="385" t="s">
        <v>1436</v>
      </c>
      <c r="X1593" s="1"/>
    </row>
    <row r="1594" spans="1:24">
      <c r="A1594" s="385" t="s">
        <v>49</v>
      </c>
      <c r="B1594" s="385" t="s">
        <v>440</v>
      </c>
      <c r="C1594" s="385" t="s">
        <v>2651</v>
      </c>
      <c r="D1594" s="385" t="s">
        <v>88</v>
      </c>
      <c r="E1594" s="385" t="s">
        <v>377</v>
      </c>
      <c r="F1594" s="385"/>
      <c r="G1594" s="385" t="s">
        <v>128</v>
      </c>
      <c r="H1594" s="385"/>
      <c r="I1594" s="385"/>
      <c r="J1594" s="30"/>
      <c r="K1594" s="385" t="s">
        <v>64</v>
      </c>
      <c r="L1594" s="385"/>
      <c r="M1594" s="385"/>
      <c r="N1594" s="385"/>
      <c r="O1594" s="385"/>
      <c r="P1594" s="385" t="str">
        <f>IFERROR(
    IF(
        OR(ISBLANK(I1594), ISBLANK(L1594)),
        "",
        MAX(
            1,
            IF(
                NETWORKDAYS(I1594, L1594, Holiday_Dates) &lt;= 0,
                1,
                NETWORKDAYS(I1594, L1594, Holiday_Dates) - IF(I1594 = L1594, 0, 1)
            )
        )
    ),
    ""
)</f>
        <v/>
      </c>
      <c r="Q1594" s="385" t="str">
        <f>IF(
    OR(ISBLANK(L1594), ISBLANK(M1594)),
    "",
    MAX(
        1,
        IF(
            NETWORKDAYS(L1594, M1594, Holiday_Dates) &lt;= 0,
            1,
            NETWORKDAYS(L1594, M1594, Holiday_Dates) - IF(L1594 = M1594, 0, 1)
        )
    )
)</f>
        <v/>
      </c>
      <c r="R1594" s="385" t="str">
        <f>IFERROR(
    IF(
        OR(ISBLANK(N1594), AND(ISBLANK(L1594), ISBLANK(M1594))),
        "",
        MAX(
            1,
            IF(
                NETWORKDAYS(IF(NOT(ISBLANK(M1594)), M1594, L1594), N1594, Holiday_Dates) &lt;= 0,
                1,
                NETWORKDAYS(IF(NOT(ISBLANK(M1594)), M1594, L1594), N1594, Holiday_Dates)
                - IF(IF(NOT(ISBLANK(M1594)), M1594, L1594) = N1594, 0, 1)
            )
        )
    ),
    ""
)</f>
        <v/>
      </c>
      <c r="S1594" s="385" t="str">
        <f>IFERROR(
    IF(
        OR(ISBLANK(N1594), ISBLANK(O1594)),
        "",
        MAX(
            1,
            IF(
                NETWORKDAYS(N1594, O1594, Holiday_Dates) &lt;= 0,
                1,
                NETWORKDAYS(N1594, O1594, Holiday_Dates) - IF(N1594 = O1594, 0, 1)
            )
        )
    ),
    ""
)</f>
        <v/>
      </c>
      <c r="T1594" s="385"/>
      <c r="U1594" s="385"/>
      <c r="V1594" s="385"/>
      <c r="W1594" s="385" t="s">
        <v>4710</v>
      </c>
      <c r="X1594" s="1"/>
    </row>
    <row r="1595" spans="1:24">
      <c r="A1595" s="385" t="s">
        <v>49</v>
      </c>
      <c r="B1595" s="385" t="s">
        <v>440</v>
      </c>
      <c r="C1595" s="385" t="s">
        <v>2652</v>
      </c>
      <c r="D1595" s="385" t="s">
        <v>88</v>
      </c>
      <c r="E1595" s="385" t="s">
        <v>377</v>
      </c>
      <c r="F1595" s="385"/>
      <c r="G1595" s="385" t="s">
        <v>128</v>
      </c>
      <c r="H1595" s="385"/>
      <c r="I1595" s="385"/>
      <c r="J1595" s="30"/>
      <c r="K1595" s="385" t="s">
        <v>64</v>
      </c>
      <c r="L1595" s="385"/>
      <c r="M1595" s="385"/>
      <c r="N1595" s="385"/>
      <c r="O1595" s="385"/>
      <c r="P1595" s="385" t="str">
        <f>IFERROR(
    IF(
        OR(ISBLANK(I1595), ISBLANK(L1595)),
        "",
        MAX(
            1,
            IF(
                NETWORKDAYS(I1595, L1595, Holiday_Dates) &lt;= 0,
                1,
                NETWORKDAYS(I1595, L1595, Holiday_Dates) - IF(I1595 = L1595, 0, 1)
            )
        )
    ),
    ""
)</f>
        <v/>
      </c>
      <c r="Q1595" s="385" t="str">
        <f>IF(
    OR(ISBLANK(L1595), ISBLANK(M1595)),
    "",
    MAX(
        1,
        IF(
            NETWORKDAYS(L1595, M1595, Holiday_Dates) &lt;= 0,
            1,
            NETWORKDAYS(L1595, M1595, Holiday_Dates) - IF(L1595 = M1595, 0, 1)
        )
    )
)</f>
        <v/>
      </c>
      <c r="R1595" s="385" t="str">
        <f>IFERROR(
    IF(
        OR(ISBLANK(N1595), AND(ISBLANK(L1595), ISBLANK(M1595))),
        "",
        MAX(
            1,
            IF(
                NETWORKDAYS(IF(NOT(ISBLANK(M1595)), M1595, L1595), N1595, Holiday_Dates) &lt;= 0,
                1,
                NETWORKDAYS(IF(NOT(ISBLANK(M1595)), M1595, L1595), N1595, Holiday_Dates)
                - IF(IF(NOT(ISBLANK(M1595)), M1595, L1595) = N1595, 0, 1)
            )
        )
    ),
    ""
)</f>
        <v/>
      </c>
      <c r="S1595" s="385" t="str">
        <f>IFERROR(
    IF(
        OR(ISBLANK(N1595), ISBLANK(O1595)),
        "",
        MAX(
            1,
            IF(
                NETWORKDAYS(N1595, O1595, Holiday_Dates) &lt;= 0,
                1,
                NETWORKDAYS(N1595, O1595, Holiday_Dates) - IF(N1595 = O1595, 0, 1)
            )
        )
    ),
    ""
)</f>
        <v/>
      </c>
      <c r="T1595" s="385"/>
      <c r="U1595" s="385"/>
      <c r="V1595" s="385"/>
      <c r="W1595" s="385" t="s">
        <v>4710</v>
      </c>
      <c r="X1595" s="1"/>
    </row>
    <row r="1596" spans="1:24">
      <c r="A1596" s="385" t="s">
        <v>49</v>
      </c>
      <c r="B1596" s="385" t="s">
        <v>440</v>
      </c>
      <c r="C1596" s="385" t="s">
        <v>1059</v>
      </c>
      <c r="D1596" s="385" t="s">
        <v>88</v>
      </c>
      <c r="E1596" s="385" t="s">
        <v>377</v>
      </c>
      <c r="F1596" s="385"/>
      <c r="G1596" s="385" t="s">
        <v>128</v>
      </c>
      <c r="H1596" s="385"/>
      <c r="I1596" s="385"/>
      <c r="J1596" s="30"/>
      <c r="K1596" s="385" t="s">
        <v>64</v>
      </c>
      <c r="L1596" s="385"/>
      <c r="M1596" s="385"/>
      <c r="N1596" s="385"/>
      <c r="O1596" s="385"/>
      <c r="P1596" s="385" t="str">
        <f>IFERROR(
    IF(
        OR(ISBLANK(I1596), ISBLANK(L1596)),
        "",
        MAX(
            1,
            IF(
                NETWORKDAYS(I1596, L1596, Holiday_Dates) &lt;= 0,
                1,
                NETWORKDAYS(I1596, L1596, Holiday_Dates) - IF(I1596 = L1596, 0, 1)
            )
        )
    ),
    ""
)</f>
        <v/>
      </c>
      <c r="Q1596" s="385" t="str">
        <f>IF(
    OR(ISBLANK(L1596), ISBLANK(M1596)),
    "",
    MAX(
        1,
        IF(
            NETWORKDAYS(L1596, M1596, Holiday_Dates) &lt;= 0,
            1,
            NETWORKDAYS(L1596, M1596, Holiday_Dates) - IF(L1596 = M1596, 0, 1)
        )
    )
)</f>
        <v/>
      </c>
      <c r="R1596" s="385" t="str">
        <f>IFERROR(
    IF(
        OR(ISBLANK(N1596), AND(ISBLANK(L1596), ISBLANK(M1596))),
        "",
        MAX(
            1,
            IF(
                NETWORKDAYS(IF(NOT(ISBLANK(M1596)), M1596, L1596), N1596, Holiday_Dates) &lt;= 0,
                1,
                NETWORKDAYS(IF(NOT(ISBLANK(M1596)), M1596, L1596), N1596, Holiday_Dates)
                - IF(IF(NOT(ISBLANK(M1596)), M1596, L1596) = N1596, 0, 1)
            )
        )
    ),
    ""
)</f>
        <v/>
      </c>
      <c r="S1596" s="385" t="str">
        <f>IFERROR(
    IF(
        OR(ISBLANK(N1596), ISBLANK(O1596)),
        "",
        MAX(
            1,
            IF(
                NETWORKDAYS(N1596, O1596, Holiday_Dates) &lt;= 0,
                1,
                NETWORKDAYS(N1596, O1596, Holiday_Dates) - IF(N1596 = O1596, 0, 1)
            )
        )
    ),
    ""
)</f>
        <v/>
      </c>
      <c r="T1596" s="385"/>
      <c r="U1596" s="385"/>
      <c r="V1596" s="385"/>
      <c r="W1596" s="385" t="s">
        <v>4710</v>
      </c>
      <c r="X1596" s="1"/>
    </row>
    <row r="1597" spans="1:24">
      <c r="A1597" s="385" t="s">
        <v>49</v>
      </c>
      <c r="B1597" s="385" t="s">
        <v>440</v>
      </c>
      <c r="C1597" s="385" t="s">
        <v>2653</v>
      </c>
      <c r="D1597" s="385" t="s">
        <v>88</v>
      </c>
      <c r="E1597" s="385" t="s">
        <v>377</v>
      </c>
      <c r="F1597" s="385"/>
      <c r="G1597" s="385" t="s">
        <v>128</v>
      </c>
      <c r="H1597" s="385"/>
      <c r="I1597" s="385"/>
      <c r="J1597" s="30"/>
      <c r="K1597" s="385" t="s">
        <v>64</v>
      </c>
      <c r="L1597" s="385"/>
      <c r="M1597" s="385"/>
      <c r="N1597" s="385"/>
      <c r="O1597" s="385"/>
      <c r="P1597" s="385" t="str">
        <f>IFERROR(
    IF(
        OR(ISBLANK(I1597), ISBLANK(L1597)),
        "",
        MAX(
            1,
            IF(
                NETWORKDAYS(I1597, L1597, Holiday_Dates) &lt;= 0,
                1,
                NETWORKDAYS(I1597, L1597, Holiday_Dates) - IF(I1597 = L1597, 0, 1)
            )
        )
    ),
    ""
)</f>
        <v/>
      </c>
      <c r="Q1597" s="385" t="str">
        <f>IF(
    OR(ISBLANK(L1597), ISBLANK(M1597)),
    "",
    MAX(
        1,
        IF(
            NETWORKDAYS(L1597, M1597, Holiday_Dates) &lt;= 0,
            1,
            NETWORKDAYS(L1597, M1597, Holiday_Dates) - IF(L1597 = M1597, 0, 1)
        )
    )
)</f>
        <v/>
      </c>
      <c r="R1597" s="385" t="str">
        <f>IFERROR(
    IF(
        OR(ISBLANK(N1597), AND(ISBLANK(L1597), ISBLANK(M1597))),
        "",
        MAX(
            1,
            IF(
                NETWORKDAYS(IF(NOT(ISBLANK(M1597)), M1597, L1597), N1597, Holiday_Dates) &lt;= 0,
                1,
                NETWORKDAYS(IF(NOT(ISBLANK(M1597)), M1597, L1597), N1597, Holiday_Dates)
                - IF(IF(NOT(ISBLANK(M1597)), M1597, L1597) = N1597, 0, 1)
            )
        )
    ),
    ""
)</f>
        <v/>
      </c>
      <c r="S1597" s="385" t="str">
        <f>IFERROR(
    IF(
        OR(ISBLANK(N1597), ISBLANK(O1597)),
        "",
        MAX(
            1,
            IF(
                NETWORKDAYS(N1597, O1597, Holiday_Dates) &lt;= 0,
                1,
                NETWORKDAYS(N1597, O1597, Holiday_Dates) - IF(N1597 = O1597, 0, 1)
            )
        )
    ),
    ""
)</f>
        <v/>
      </c>
      <c r="T1597" s="385"/>
      <c r="U1597" s="385"/>
      <c r="V1597" s="385"/>
      <c r="W1597" s="385" t="s">
        <v>4710</v>
      </c>
      <c r="X1597" s="1"/>
    </row>
    <row r="1598" spans="1:24">
      <c r="A1598" s="385" t="s">
        <v>65</v>
      </c>
      <c r="B1598" s="385" t="s">
        <v>388</v>
      </c>
      <c r="C1598" s="385" t="s">
        <v>3346</v>
      </c>
      <c r="D1598" s="385" t="s">
        <v>88</v>
      </c>
      <c r="E1598" s="385"/>
      <c r="F1598" s="385"/>
      <c r="G1598" s="385"/>
      <c r="H1598" s="385">
        <v>2025</v>
      </c>
      <c r="I1598" s="386">
        <v>45909</v>
      </c>
      <c r="J1598" s="30" t="s">
        <v>5326</v>
      </c>
      <c r="K1598" s="385"/>
      <c r="L1598" s="385"/>
      <c r="M1598" s="385"/>
      <c r="N1598" s="385"/>
      <c r="O1598" s="385"/>
      <c r="P1598" s="385" t="str">
        <f>IFERROR(
    IF(
        OR(ISBLANK(I1598), ISBLANK(L1598)),
        "",
        MAX(
            1,
            IF(
                NETWORKDAYS(I1598, L1598, Holiday_Dates) &lt;= 0,
                1,
                NETWORKDAYS(I1598, L1598, Holiday_Dates) - IF(I1598 = L1598, 0, 1)
            )
        )
    ),
    ""
)</f>
        <v/>
      </c>
      <c r="Q1598" s="385" t="str">
        <f>IF(
    OR(ISBLANK(L1598), ISBLANK(M1598)),
    "",
    MAX(
        1,
        IF(
            NETWORKDAYS(L1598, M1598, Holiday_Dates) &lt;= 0,
            1,
            NETWORKDAYS(L1598, M1598, Holiday_Dates) - IF(L1598 = M1598, 0, 1)
        )
    )
)</f>
        <v/>
      </c>
      <c r="R1598" s="385" t="str">
        <f>IFERROR(
    IF(
        OR(ISBLANK(N1598), AND(ISBLANK(L1598), ISBLANK(M1598))),
        "",
        MAX(
            1,
            IF(
                NETWORKDAYS(IF(NOT(ISBLANK(M1598)), M1598, L1598), N1598, Holiday_Dates) &lt;= 0,
                1,
                NETWORKDAYS(IF(NOT(ISBLANK(M1598)), M1598, L1598), N1598, Holiday_Dates)
                - IF(IF(NOT(ISBLANK(M1598)), M1598, L1598) = N1598, 0, 1)
            )
        )
    ),
    ""
)</f>
        <v/>
      </c>
      <c r="S1598" s="385" t="str">
        <f>IFERROR(
    IF(
        OR(ISBLANK(N1598), ISBLANK(O1598)),
        "",
        MAX(
            1,
            IF(
                NETWORKDAYS(N1598, O1598, Holiday_Dates) &lt;= 0,
                1,
                NETWORKDAYS(N1598, O1598, Holiday_Dates) - IF(N1598 = O1598, 0, 1)
            )
        )
    ),
    ""
)</f>
        <v/>
      </c>
      <c r="T1598" s="385"/>
      <c r="U1598" s="385" t="s">
        <v>4</v>
      </c>
      <c r="V1598" s="385" t="s">
        <v>101</v>
      </c>
      <c r="W1598" s="385" t="s">
        <v>1436</v>
      </c>
      <c r="X1598" s="1"/>
    </row>
    <row r="1599" spans="1:24">
      <c r="A1599" s="385" t="s">
        <v>49</v>
      </c>
      <c r="B1599" s="385" t="s">
        <v>378</v>
      </c>
      <c r="C1599" s="385" t="s">
        <v>2694</v>
      </c>
      <c r="D1599" s="385" t="s">
        <v>88</v>
      </c>
      <c r="E1599" s="385" t="s">
        <v>377</v>
      </c>
      <c r="F1599" s="385"/>
      <c r="G1599" s="385" t="s">
        <v>128</v>
      </c>
      <c r="H1599" s="385"/>
      <c r="I1599" s="385"/>
      <c r="J1599" s="30"/>
      <c r="K1599" s="385" t="s">
        <v>64</v>
      </c>
      <c r="L1599" s="385"/>
      <c r="M1599" s="385"/>
      <c r="N1599" s="385"/>
      <c r="O1599" s="385"/>
      <c r="P1599" s="385" t="str">
        <f>IFERROR(
    IF(
        OR(ISBLANK(I1599), ISBLANK(L1599)),
        "",
        MAX(
            1,
            IF(
                NETWORKDAYS(I1599, L1599, Holiday_Dates) &lt;= 0,
                1,
                NETWORKDAYS(I1599, L1599, Holiday_Dates) - IF(I1599 = L1599, 0, 1)
            )
        )
    ),
    ""
)</f>
        <v/>
      </c>
      <c r="Q1599" s="385" t="str">
        <f>IF(
    OR(ISBLANK(L1599), ISBLANK(M1599)),
    "",
    MAX(
        1,
        IF(
            NETWORKDAYS(L1599, M1599, Holiday_Dates) &lt;= 0,
            1,
            NETWORKDAYS(L1599, M1599, Holiday_Dates) - IF(L1599 = M1599, 0, 1)
        )
    )
)</f>
        <v/>
      </c>
      <c r="R1599" s="385" t="str">
        <f>IFERROR(
    IF(
        OR(ISBLANK(N1599), AND(ISBLANK(L1599), ISBLANK(M1599))),
        "",
        MAX(
            1,
            IF(
                NETWORKDAYS(IF(NOT(ISBLANK(M1599)), M1599, L1599), N1599, Holiday_Dates) &lt;= 0,
                1,
                NETWORKDAYS(IF(NOT(ISBLANK(M1599)), M1599, L1599), N1599, Holiday_Dates)
                - IF(IF(NOT(ISBLANK(M1599)), M1599, L1599) = N1599, 0, 1)
            )
        )
    ),
    ""
)</f>
        <v/>
      </c>
      <c r="S1599" s="385" t="str">
        <f>IFERROR(
    IF(
        OR(ISBLANK(N1599), ISBLANK(O1599)),
        "",
        MAX(
            1,
            IF(
                NETWORKDAYS(N1599, O1599, Holiday_Dates) &lt;= 0,
                1,
                NETWORKDAYS(N1599, O1599, Holiday_Dates) - IF(N1599 = O1599, 0, 1)
            )
        )
    ),
    ""
)</f>
        <v/>
      </c>
      <c r="T1599" s="385"/>
      <c r="U1599" s="385"/>
      <c r="V1599" s="385"/>
      <c r="W1599" s="385" t="s">
        <v>4710</v>
      </c>
      <c r="X1599" s="1"/>
    </row>
    <row r="1600" spans="1:24">
      <c r="A1600" s="385" t="s">
        <v>65</v>
      </c>
      <c r="B1600" s="385" t="s">
        <v>388</v>
      </c>
      <c r="C1600" s="385" t="s">
        <v>3324</v>
      </c>
      <c r="D1600" s="385" t="s">
        <v>88</v>
      </c>
      <c r="E1600" s="385"/>
      <c r="F1600" s="385"/>
      <c r="G1600" s="385"/>
      <c r="H1600" s="385">
        <v>2025</v>
      </c>
      <c r="I1600" s="386">
        <v>45968</v>
      </c>
      <c r="J1600" s="30" t="s">
        <v>5327</v>
      </c>
      <c r="K1600" s="385"/>
      <c r="L1600" s="385"/>
      <c r="M1600" s="385"/>
      <c r="N1600" s="385"/>
      <c r="O1600" s="385"/>
      <c r="P1600" s="385" t="str">
        <f>IFERROR(
    IF(
        OR(ISBLANK(I1600), ISBLANK(L1600)),
        "",
        MAX(
            1,
            IF(
                NETWORKDAYS(I1600, L1600, Holiday_Dates) &lt;= 0,
                1,
                NETWORKDAYS(I1600, L1600, Holiday_Dates) - IF(I1600 = L1600, 0, 1)
            )
        )
    ),
    ""
)</f>
        <v/>
      </c>
      <c r="Q1600" s="385" t="str">
        <f>IF(
    OR(ISBLANK(L1600), ISBLANK(M1600)),
    "",
    MAX(
        1,
        IF(
            NETWORKDAYS(L1600, M1600, Holiday_Dates) &lt;= 0,
            1,
            NETWORKDAYS(L1600, M1600, Holiday_Dates) - IF(L1600 = M1600, 0, 1)
        )
    )
)</f>
        <v/>
      </c>
      <c r="R1600" s="385" t="str">
        <f>IFERROR(
    IF(
        OR(ISBLANK(N1600), AND(ISBLANK(L1600), ISBLANK(M1600))),
        "",
        MAX(
            1,
            IF(
                NETWORKDAYS(IF(NOT(ISBLANK(M1600)), M1600, L1600), N1600, Holiday_Dates) &lt;= 0,
                1,
                NETWORKDAYS(IF(NOT(ISBLANK(M1600)), M1600, L1600), N1600, Holiday_Dates)
                - IF(IF(NOT(ISBLANK(M1600)), M1600, L1600) = N1600, 0, 1)
            )
        )
    ),
    ""
)</f>
        <v/>
      </c>
      <c r="S1600" s="385" t="str">
        <f>IFERROR(
    IF(
        OR(ISBLANK(N1600), ISBLANK(O1600)),
        "",
        MAX(
            1,
            IF(
                NETWORKDAYS(N1600, O1600, Holiday_Dates) &lt;= 0,
                1,
                NETWORKDAYS(N1600, O1600, Holiday_Dates) - IF(N1600 = O1600, 0, 1)
            )
        )
    ),
    ""
)</f>
        <v/>
      </c>
      <c r="T1600" s="385"/>
      <c r="U1600" s="385" t="s">
        <v>4</v>
      </c>
      <c r="V1600" s="385" t="s">
        <v>101</v>
      </c>
      <c r="W1600" s="385" t="s">
        <v>1436</v>
      </c>
      <c r="X1600" s="1"/>
    </row>
    <row r="1601" spans="1:24">
      <c r="A1601" s="385" t="s">
        <v>65</v>
      </c>
      <c r="B1601" s="385" t="s">
        <v>507</v>
      </c>
      <c r="C1601" s="385" t="s">
        <v>2916</v>
      </c>
      <c r="D1601" s="385" t="s">
        <v>89</v>
      </c>
      <c r="E1601" s="385" t="s">
        <v>29</v>
      </c>
      <c r="F1601" s="385"/>
      <c r="G1601" s="385" t="s">
        <v>130</v>
      </c>
      <c r="H1601" s="385"/>
      <c r="I1601" s="385"/>
      <c r="J1601" s="30"/>
      <c r="K1601" s="385" t="s">
        <v>64</v>
      </c>
      <c r="L1601" s="385"/>
      <c r="M1601" s="385"/>
      <c r="N1601" s="385"/>
      <c r="O1601" s="385"/>
      <c r="P1601" s="385" t="str">
        <f>IFERROR(
    IF(
        OR(ISBLANK(I1601), ISBLANK(L1601)),
        "",
        MAX(
            1,
            IF(
                NETWORKDAYS(I1601, L1601, Holiday_Dates) &lt;= 0,
                1,
                NETWORKDAYS(I1601, L1601, Holiday_Dates) - IF(I1601 = L1601, 0, 1)
            )
        )
    ),
    ""
)</f>
        <v/>
      </c>
      <c r="Q1601" s="385" t="str">
        <f>IF(
    OR(ISBLANK(L1601), ISBLANK(M1601)),
    "",
    MAX(
        1,
        IF(
            NETWORKDAYS(L1601, M1601, Holiday_Dates) &lt;= 0,
            1,
            NETWORKDAYS(L1601, M1601, Holiday_Dates) - IF(L1601 = M1601, 0, 1)
        )
    )
)</f>
        <v/>
      </c>
      <c r="R1601" s="385" t="str">
        <f>IFERROR(
    IF(
        OR(ISBLANK(N1601), AND(ISBLANK(L1601), ISBLANK(M1601))),
        "",
        MAX(
            1,
            IF(
                NETWORKDAYS(IF(NOT(ISBLANK(M1601)), M1601, L1601), N1601, Holiday_Dates) &lt;= 0,
                1,
                NETWORKDAYS(IF(NOT(ISBLANK(M1601)), M1601, L1601), N1601, Holiday_Dates)
                - IF(IF(NOT(ISBLANK(M1601)), M1601, L1601) = N1601, 0, 1)
            )
        )
    ),
    ""
)</f>
        <v/>
      </c>
      <c r="S1601" s="385" t="str">
        <f>IFERROR(
    IF(
        OR(ISBLANK(N1601), ISBLANK(O1601)),
        "",
        MAX(
            1,
            IF(
                NETWORKDAYS(N1601, O1601, Holiday_Dates) &lt;= 0,
                1,
                NETWORKDAYS(N1601, O1601, Holiday_Dates) - IF(N1601 = O1601, 0, 1)
            )
        )
    ),
    ""
)</f>
        <v/>
      </c>
      <c r="T1601" s="385"/>
      <c r="U1601" s="385"/>
      <c r="V1601" s="385"/>
      <c r="W1601" s="385" t="s">
        <v>4710</v>
      </c>
      <c r="X1601" s="1"/>
    </row>
    <row r="1602" spans="1:24">
      <c r="A1602" s="385" t="s">
        <v>65</v>
      </c>
      <c r="B1602" s="385" t="s">
        <v>507</v>
      </c>
      <c r="C1602" s="385" t="s">
        <v>2915</v>
      </c>
      <c r="D1602" s="385" t="s">
        <v>89</v>
      </c>
      <c r="E1602" s="385" t="s">
        <v>29</v>
      </c>
      <c r="F1602" s="385"/>
      <c r="G1602" s="385" t="s">
        <v>130</v>
      </c>
      <c r="H1602" s="385"/>
      <c r="I1602" s="385"/>
      <c r="J1602" s="30"/>
      <c r="K1602" s="385" t="s">
        <v>64</v>
      </c>
      <c r="L1602" s="385"/>
      <c r="M1602" s="385"/>
      <c r="N1602" s="385"/>
      <c r="O1602" s="385"/>
      <c r="P1602" s="385" t="str">
        <f>IFERROR(
    IF(
        OR(ISBLANK(I1602), ISBLANK(L1602)),
        "",
        MAX(
            1,
            IF(
                NETWORKDAYS(I1602, L1602, Holiday_Dates) &lt;= 0,
                1,
                NETWORKDAYS(I1602, L1602, Holiday_Dates) - IF(I1602 = L1602, 0, 1)
            )
        )
    ),
    ""
)</f>
        <v/>
      </c>
      <c r="Q1602" s="385" t="str">
        <f>IF(
    OR(ISBLANK(L1602), ISBLANK(M1602)),
    "",
    MAX(
        1,
        IF(
            NETWORKDAYS(L1602, M1602, Holiday_Dates) &lt;= 0,
            1,
            NETWORKDAYS(L1602, M1602, Holiday_Dates) - IF(L1602 = M1602, 0, 1)
        )
    )
)</f>
        <v/>
      </c>
      <c r="R1602" s="385" t="str">
        <f>IFERROR(
    IF(
        OR(ISBLANK(N1602), AND(ISBLANK(L1602), ISBLANK(M1602))),
        "",
        MAX(
            1,
            IF(
                NETWORKDAYS(IF(NOT(ISBLANK(M1602)), M1602, L1602), N1602, Holiday_Dates) &lt;= 0,
                1,
                NETWORKDAYS(IF(NOT(ISBLANK(M1602)), M1602, L1602), N1602, Holiday_Dates)
                - IF(IF(NOT(ISBLANK(M1602)), M1602, L1602) = N1602, 0, 1)
            )
        )
    ),
    ""
)</f>
        <v/>
      </c>
      <c r="S1602" s="385" t="str">
        <f>IFERROR(
    IF(
        OR(ISBLANK(N1602), ISBLANK(O1602)),
        "",
        MAX(
            1,
            IF(
                NETWORKDAYS(N1602, O1602, Holiday_Dates) &lt;= 0,
                1,
                NETWORKDAYS(N1602, O1602, Holiday_Dates) - IF(N1602 = O1602, 0, 1)
            )
        )
    ),
    ""
)</f>
        <v/>
      </c>
      <c r="T1602" s="385"/>
      <c r="U1602" s="385"/>
      <c r="V1602" s="385"/>
      <c r="W1602" s="385" t="s">
        <v>4710</v>
      </c>
      <c r="X1602" s="1"/>
    </row>
    <row r="1603" spans="1:24">
      <c r="A1603" s="385" t="s">
        <v>65</v>
      </c>
      <c r="B1603" s="385" t="s">
        <v>507</v>
      </c>
      <c r="C1603" s="385" t="s">
        <v>2917</v>
      </c>
      <c r="D1603" s="385" t="s">
        <v>89</v>
      </c>
      <c r="E1603" s="385" t="s">
        <v>29</v>
      </c>
      <c r="F1603" s="385"/>
      <c r="G1603" s="385" t="s">
        <v>130</v>
      </c>
      <c r="H1603" s="385"/>
      <c r="I1603" s="385"/>
      <c r="J1603" s="30"/>
      <c r="K1603" s="385" t="s">
        <v>64</v>
      </c>
      <c r="L1603" s="385"/>
      <c r="M1603" s="385"/>
      <c r="N1603" s="385"/>
      <c r="O1603" s="385"/>
      <c r="P1603" s="385" t="str">
        <f>IFERROR(
    IF(
        OR(ISBLANK(I1603), ISBLANK(L1603)),
        "",
        MAX(
            1,
            IF(
                NETWORKDAYS(I1603, L1603, Holiday_Dates) &lt;= 0,
                1,
                NETWORKDAYS(I1603, L1603, Holiday_Dates) - IF(I1603 = L1603, 0, 1)
            )
        )
    ),
    ""
)</f>
        <v/>
      </c>
      <c r="Q1603" s="385" t="str">
        <f>IF(
    OR(ISBLANK(L1603), ISBLANK(M1603)),
    "",
    MAX(
        1,
        IF(
            NETWORKDAYS(L1603, M1603, Holiday_Dates) &lt;= 0,
            1,
            NETWORKDAYS(L1603, M1603, Holiday_Dates) - IF(L1603 = M1603, 0, 1)
        )
    )
)</f>
        <v/>
      </c>
      <c r="R1603" s="385" t="str">
        <f>IFERROR(
    IF(
        OR(ISBLANK(N1603), AND(ISBLANK(L1603), ISBLANK(M1603))),
        "",
        MAX(
            1,
            IF(
                NETWORKDAYS(IF(NOT(ISBLANK(M1603)), M1603, L1603), N1603, Holiday_Dates) &lt;= 0,
                1,
                NETWORKDAYS(IF(NOT(ISBLANK(M1603)), M1603, L1603), N1603, Holiday_Dates)
                - IF(IF(NOT(ISBLANK(M1603)), M1603, L1603) = N1603, 0, 1)
            )
        )
    ),
    ""
)</f>
        <v/>
      </c>
      <c r="S1603" s="385" t="str">
        <f>IFERROR(
    IF(
        OR(ISBLANK(N1603), ISBLANK(O1603)),
        "",
        MAX(
            1,
            IF(
                NETWORKDAYS(N1603, O1603, Holiday_Dates) &lt;= 0,
                1,
                NETWORKDAYS(N1603, O1603, Holiday_Dates) - IF(N1603 = O1603, 0, 1)
            )
        )
    ),
    ""
)</f>
        <v/>
      </c>
      <c r="T1603" s="385"/>
      <c r="U1603" s="385"/>
      <c r="V1603" s="385"/>
      <c r="W1603" s="385" t="s">
        <v>4710</v>
      </c>
      <c r="X1603" s="1"/>
    </row>
    <row r="1604" spans="1:24">
      <c r="A1604" s="385" t="s">
        <v>65</v>
      </c>
      <c r="B1604" s="385" t="s">
        <v>507</v>
      </c>
      <c r="C1604" s="385" t="s">
        <v>2918</v>
      </c>
      <c r="D1604" s="385" t="s">
        <v>89</v>
      </c>
      <c r="E1604" s="385" t="s">
        <v>29</v>
      </c>
      <c r="F1604" s="385"/>
      <c r="G1604" s="385" t="s">
        <v>130</v>
      </c>
      <c r="H1604" s="385"/>
      <c r="I1604" s="385"/>
      <c r="J1604" s="30"/>
      <c r="K1604" s="385" t="s">
        <v>64</v>
      </c>
      <c r="L1604" s="385"/>
      <c r="M1604" s="385"/>
      <c r="N1604" s="385"/>
      <c r="O1604" s="385"/>
      <c r="P1604" s="385" t="str">
        <f>IFERROR(
    IF(
        OR(ISBLANK(I1604), ISBLANK(L1604)),
        "",
        MAX(
            1,
            IF(
                NETWORKDAYS(I1604, L1604, Holiday_Dates) &lt;= 0,
                1,
                NETWORKDAYS(I1604, L1604, Holiday_Dates) - IF(I1604 = L1604, 0, 1)
            )
        )
    ),
    ""
)</f>
        <v/>
      </c>
      <c r="Q1604" s="385" t="str">
        <f>IF(
    OR(ISBLANK(L1604), ISBLANK(M1604)),
    "",
    MAX(
        1,
        IF(
            NETWORKDAYS(L1604, M1604, Holiday_Dates) &lt;= 0,
            1,
            NETWORKDAYS(L1604, M1604, Holiday_Dates) - IF(L1604 = M1604, 0, 1)
        )
    )
)</f>
        <v/>
      </c>
      <c r="R1604" s="385" t="str">
        <f>IFERROR(
    IF(
        OR(ISBLANK(N1604), AND(ISBLANK(L1604), ISBLANK(M1604))),
        "",
        MAX(
            1,
            IF(
                NETWORKDAYS(IF(NOT(ISBLANK(M1604)), M1604, L1604), N1604, Holiday_Dates) &lt;= 0,
                1,
                NETWORKDAYS(IF(NOT(ISBLANK(M1604)), M1604, L1604), N1604, Holiday_Dates)
                - IF(IF(NOT(ISBLANK(M1604)), M1604, L1604) = N1604, 0, 1)
            )
        )
    ),
    ""
)</f>
        <v/>
      </c>
      <c r="S1604" s="385" t="str">
        <f>IFERROR(
    IF(
        OR(ISBLANK(N1604), ISBLANK(O1604)),
        "",
        MAX(
            1,
            IF(
                NETWORKDAYS(N1604, O1604, Holiday_Dates) &lt;= 0,
                1,
                NETWORKDAYS(N1604, O1604, Holiday_Dates) - IF(N1604 = O1604, 0, 1)
            )
        )
    ),
    ""
)</f>
        <v/>
      </c>
      <c r="T1604" s="385"/>
      <c r="U1604" s="385"/>
      <c r="V1604" s="385"/>
      <c r="W1604" s="385" t="s">
        <v>4710</v>
      </c>
      <c r="X1604" s="1"/>
    </row>
    <row r="1605" spans="1:24">
      <c r="A1605" s="385" t="s">
        <v>65</v>
      </c>
      <c r="B1605" s="385" t="s">
        <v>507</v>
      </c>
      <c r="C1605" s="385" t="s">
        <v>2919</v>
      </c>
      <c r="D1605" s="385" t="s">
        <v>89</v>
      </c>
      <c r="E1605" s="385" t="s">
        <v>29</v>
      </c>
      <c r="F1605" s="385"/>
      <c r="G1605" s="385" t="s">
        <v>130</v>
      </c>
      <c r="H1605" s="385"/>
      <c r="I1605" s="385"/>
      <c r="J1605" s="30"/>
      <c r="K1605" s="385" t="s">
        <v>64</v>
      </c>
      <c r="L1605" s="385"/>
      <c r="M1605" s="385"/>
      <c r="N1605" s="385"/>
      <c r="O1605" s="385"/>
      <c r="P1605" s="385" t="str">
        <f>IFERROR(
    IF(
        OR(ISBLANK(I1605), ISBLANK(L1605)),
        "",
        MAX(
            1,
            IF(
                NETWORKDAYS(I1605, L1605, Holiday_Dates) &lt;= 0,
                1,
                NETWORKDAYS(I1605, L1605, Holiday_Dates) - IF(I1605 = L1605, 0, 1)
            )
        )
    ),
    ""
)</f>
        <v/>
      </c>
      <c r="Q1605" s="385" t="str">
        <f>IF(
    OR(ISBLANK(L1605), ISBLANK(M1605)),
    "",
    MAX(
        1,
        IF(
            NETWORKDAYS(L1605, M1605, Holiday_Dates) &lt;= 0,
            1,
            NETWORKDAYS(L1605, M1605, Holiday_Dates) - IF(L1605 = M1605, 0, 1)
        )
    )
)</f>
        <v/>
      </c>
      <c r="R1605" s="385" t="str">
        <f>IFERROR(
    IF(
        OR(ISBLANK(N1605), AND(ISBLANK(L1605), ISBLANK(M1605))),
        "",
        MAX(
            1,
            IF(
                NETWORKDAYS(IF(NOT(ISBLANK(M1605)), M1605, L1605), N1605, Holiday_Dates) &lt;= 0,
                1,
                NETWORKDAYS(IF(NOT(ISBLANK(M1605)), M1605, L1605), N1605, Holiday_Dates)
                - IF(IF(NOT(ISBLANK(M1605)), M1605, L1605) = N1605, 0, 1)
            )
        )
    ),
    ""
)</f>
        <v/>
      </c>
      <c r="S1605" s="385" t="str">
        <f>IFERROR(
    IF(
        OR(ISBLANK(N1605), ISBLANK(O1605)),
        "",
        MAX(
            1,
            IF(
                NETWORKDAYS(N1605, O1605, Holiday_Dates) &lt;= 0,
                1,
                NETWORKDAYS(N1605, O1605, Holiday_Dates) - IF(N1605 = O1605, 0, 1)
            )
        )
    ),
    ""
)</f>
        <v/>
      </c>
      <c r="T1605" s="385"/>
      <c r="U1605" s="385"/>
      <c r="V1605" s="385"/>
      <c r="W1605" s="385" t="s">
        <v>4710</v>
      </c>
      <c r="X1605" s="1"/>
    </row>
    <row r="1606" spans="1:24">
      <c r="A1606" s="385" t="s">
        <v>65</v>
      </c>
      <c r="B1606" s="385" t="s">
        <v>507</v>
      </c>
      <c r="C1606" s="385" t="s">
        <v>2920</v>
      </c>
      <c r="D1606" s="385" t="s">
        <v>89</v>
      </c>
      <c r="E1606" s="385" t="s">
        <v>29</v>
      </c>
      <c r="F1606" s="385"/>
      <c r="G1606" s="385" t="s">
        <v>130</v>
      </c>
      <c r="H1606" s="385"/>
      <c r="I1606" s="385"/>
      <c r="J1606" s="30"/>
      <c r="K1606" s="385" t="s">
        <v>64</v>
      </c>
      <c r="L1606" s="385"/>
      <c r="M1606" s="385"/>
      <c r="N1606" s="385"/>
      <c r="O1606" s="385"/>
      <c r="P1606" s="385"/>
      <c r="Q1606" s="385"/>
      <c r="R1606" s="385"/>
      <c r="S1606" s="385"/>
      <c r="T1606" s="385"/>
      <c r="U1606" s="385"/>
      <c r="V1606" s="385"/>
      <c r="W1606" s="385" t="s">
        <v>4710</v>
      </c>
      <c r="X1606" s="1"/>
    </row>
    <row r="1607" spans="1:24">
      <c r="A1607" s="385" t="s">
        <v>65</v>
      </c>
      <c r="B1607" s="385" t="s">
        <v>507</v>
      </c>
      <c r="C1607" s="385" t="s">
        <v>2755</v>
      </c>
      <c r="D1607" s="385" t="s">
        <v>89</v>
      </c>
      <c r="E1607" s="385" t="s">
        <v>29</v>
      </c>
      <c r="F1607" s="385"/>
      <c r="G1607" s="385" t="s">
        <v>130</v>
      </c>
      <c r="H1607" s="385"/>
      <c r="I1607" s="386"/>
      <c r="J1607" s="30"/>
      <c r="K1607" s="385" t="s">
        <v>64</v>
      </c>
      <c r="L1607" s="386"/>
      <c r="M1607" s="385"/>
      <c r="N1607" s="386"/>
      <c r="O1607" s="385"/>
      <c r="P1607" s="385"/>
      <c r="Q1607" s="385"/>
      <c r="R1607" s="385"/>
      <c r="S1607" s="385"/>
      <c r="T1607" s="385"/>
      <c r="U1607" s="385"/>
      <c r="V1607" s="385"/>
      <c r="W1607" s="385" t="s">
        <v>4710</v>
      </c>
      <c r="X1607" s="1"/>
    </row>
    <row r="1608" spans="1:24">
      <c r="A1608" s="385" t="s">
        <v>65</v>
      </c>
      <c r="B1608" s="385" t="s">
        <v>507</v>
      </c>
      <c r="C1608" s="385" t="s">
        <v>2924</v>
      </c>
      <c r="D1608" s="385" t="s">
        <v>89</v>
      </c>
      <c r="E1608" s="385" t="s">
        <v>29</v>
      </c>
      <c r="F1608" s="385"/>
      <c r="G1608" s="385" t="s">
        <v>130</v>
      </c>
      <c r="H1608" s="385"/>
      <c r="I1608" s="385"/>
      <c r="J1608" s="30"/>
      <c r="K1608" s="385" t="s">
        <v>64</v>
      </c>
      <c r="L1608" s="385"/>
      <c r="M1608" s="385"/>
      <c r="N1608" s="385"/>
      <c r="O1608" s="385"/>
      <c r="P1608" s="385"/>
      <c r="Q1608" s="385"/>
      <c r="R1608" s="385"/>
      <c r="S1608" s="385"/>
      <c r="T1608" s="385"/>
      <c r="U1608" s="385"/>
      <c r="V1608" s="385"/>
      <c r="W1608" s="385" t="s">
        <v>4710</v>
      </c>
      <c r="X1608" s="1"/>
    </row>
    <row r="1609" spans="1:24">
      <c r="A1609" s="385" t="s">
        <v>65</v>
      </c>
      <c r="B1609" s="385" t="s">
        <v>507</v>
      </c>
      <c r="C1609" s="385" t="s">
        <v>2925</v>
      </c>
      <c r="D1609" s="385" t="s">
        <v>89</v>
      </c>
      <c r="E1609" s="385" t="s">
        <v>29</v>
      </c>
      <c r="F1609" s="385"/>
      <c r="G1609" s="385" t="s">
        <v>130</v>
      </c>
      <c r="H1609" s="385"/>
      <c r="I1609" s="385"/>
      <c r="J1609" s="30"/>
      <c r="K1609" s="385" t="s">
        <v>64</v>
      </c>
      <c r="L1609" s="385"/>
      <c r="M1609" s="385"/>
      <c r="N1609" s="385"/>
      <c r="O1609" s="385"/>
      <c r="P1609" s="385"/>
      <c r="Q1609" s="385"/>
      <c r="R1609" s="385"/>
      <c r="S1609" s="385"/>
      <c r="T1609" s="385"/>
      <c r="U1609" s="385"/>
      <c r="V1609" s="385"/>
      <c r="W1609" s="385" t="s">
        <v>4710</v>
      </c>
      <c r="X1609" s="1"/>
    </row>
    <row r="1610" spans="1:24">
      <c r="A1610" s="385" t="s">
        <v>65</v>
      </c>
      <c r="B1610" s="385" t="s">
        <v>507</v>
      </c>
      <c r="C1610" s="385" t="s">
        <v>2926</v>
      </c>
      <c r="D1610" s="385" t="s">
        <v>89</v>
      </c>
      <c r="E1610" s="385" t="s">
        <v>29</v>
      </c>
      <c r="F1610" s="385"/>
      <c r="G1610" s="385" t="s">
        <v>130</v>
      </c>
      <c r="H1610" s="385"/>
      <c r="I1610" s="385"/>
      <c r="J1610" s="30"/>
      <c r="K1610" s="385" t="s">
        <v>64</v>
      </c>
      <c r="L1610" s="385"/>
      <c r="M1610" s="385"/>
      <c r="N1610" s="385"/>
      <c r="O1610" s="385"/>
      <c r="P1610" s="385"/>
      <c r="Q1610" s="385"/>
      <c r="R1610" s="385"/>
      <c r="S1610" s="385"/>
      <c r="T1610" s="385"/>
      <c r="U1610" s="385"/>
      <c r="V1610" s="385"/>
      <c r="W1610" s="385" t="s">
        <v>4710</v>
      </c>
      <c r="X1610" s="1"/>
    </row>
    <row r="1611" spans="1:24">
      <c r="A1611" s="385" t="s">
        <v>65</v>
      </c>
      <c r="B1611" s="385" t="s">
        <v>388</v>
      </c>
      <c r="C1611" s="385" t="s">
        <v>1658</v>
      </c>
      <c r="D1611" s="385" t="s">
        <v>88</v>
      </c>
      <c r="E1611" s="385" t="s">
        <v>26</v>
      </c>
      <c r="F1611" s="385"/>
      <c r="G1611" s="385" t="s">
        <v>130</v>
      </c>
      <c r="H1611" s="385"/>
      <c r="I1611" s="385"/>
      <c r="J1611" s="30"/>
      <c r="K1611" s="385" t="s">
        <v>64</v>
      </c>
      <c r="L1611" s="385"/>
      <c r="M1611" s="385"/>
      <c r="N1611" s="385"/>
      <c r="O1611" s="385"/>
      <c r="P1611" s="385" t="str">
        <f>IFERROR(
    IF(
        OR(ISBLANK(I1611), ISBLANK(L1611)),
        "",
        MAX(
            1,
            IF(
                NETWORKDAYS(I1611, L1611, Holiday_Dates) &lt;= 0,
                1,
                NETWORKDAYS(I1611, L1611, Holiday_Dates) - IF(I1611 = L1611, 0, 1)
            )
        )
    ),
    ""
)</f>
        <v/>
      </c>
      <c r="Q1611" s="385" t="str">
        <f>IF(
    OR(ISBLANK(L1611), ISBLANK(M1611)),
    "",
    MAX(
        1,
        IF(
            NETWORKDAYS(L1611, M1611, Holiday_Dates) &lt;= 0,
            1,
            NETWORKDAYS(L1611, M1611, Holiday_Dates) - IF(L1611 = M1611, 0, 1)
        )
    )
)</f>
        <v/>
      </c>
      <c r="R1611" s="385" t="str">
        <f>IFERROR(
    IF(
        OR(ISBLANK(N1611), AND(ISBLANK(L1611), ISBLANK(M1611))),
        "",
        MAX(
            1,
            IF(
                NETWORKDAYS(IF(NOT(ISBLANK(M1611)), M1611, L1611), N1611, Holiday_Dates) &lt;= 0,
                1,
                NETWORKDAYS(IF(NOT(ISBLANK(M1611)), M1611, L1611), N1611, Holiday_Dates)
                - IF(IF(NOT(ISBLANK(M1611)), M1611, L1611) = N1611, 0, 1)
            )
        )
    ),
    ""
)</f>
        <v/>
      </c>
      <c r="S1611" s="385" t="str">
        <f>IFERROR(
    IF(
        OR(ISBLANK(N1611), ISBLANK(O1611)),
        "",
        MAX(
            1,
            IF(
                NETWORKDAYS(N1611, O1611, Holiday_Dates) &lt;= 0,
                1,
                NETWORKDAYS(N1611, O1611, Holiday_Dates) - IF(N1611 = O1611, 0, 1)
            )
        )
    ),
    ""
)</f>
        <v/>
      </c>
      <c r="T1611" s="385"/>
      <c r="U1611" s="385"/>
      <c r="V1611" s="385"/>
      <c r="W1611" s="385" t="s">
        <v>4710</v>
      </c>
      <c r="X1611" s="1"/>
    </row>
    <row r="1612" spans="1:24">
      <c r="A1612" s="385" t="s">
        <v>65</v>
      </c>
      <c r="B1612" s="385" t="s">
        <v>388</v>
      </c>
      <c r="C1612" s="385" t="s">
        <v>3341</v>
      </c>
      <c r="D1612" s="385" t="s">
        <v>88</v>
      </c>
      <c r="E1612" s="385" t="s">
        <v>26</v>
      </c>
      <c r="F1612" s="385"/>
      <c r="G1612" s="385" t="s">
        <v>130</v>
      </c>
      <c r="H1612" s="385"/>
      <c r="I1612" s="385"/>
      <c r="J1612" s="30"/>
      <c r="K1612" s="385" t="s">
        <v>64</v>
      </c>
      <c r="L1612" s="385"/>
      <c r="M1612" s="385"/>
      <c r="N1612" s="385"/>
      <c r="O1612" s="385"/>
      <c r="P1612" s="385" t="str">
        <f>IFERROR(
    IF(
        OR(ISBLANK(I1612), ISBLANK(L1612)),
        "",
        MAX(
            1,
            IF(
                NETWORKDAYS(I1612, L1612, Holiday_Dates) &lt;= 0,
                1,
                NETWORKDAYS(I1612, L1612, Holiday_Dates) - IF(I1612 = L1612, 0, 1)
            )
        )
    ),
    ""
)</f>
        <v/>
      </c>
      <c r="Q1612" s="385" t="str">
        <f>IF(
    OR(ISBLANK(L1612), ISBLANK(M1612)),
    "",
    MAX(
        1,
        IF(
            NETWORKDAYS(L1612, M1612, Holiday_Dates) &lt;= 0,
            1,
            NETWORKDAYS(L1612, M1612, Holiday_Dates) - IF(L1612 = M1612, 0, 1)
        )
    )
)</f>
        <v/>
      </c>
      <c r="R1612" s="385" t="str">
        <f>IFERROR(
    IF(
        OR(ISBLANK(N1612), AND(ISBLANK(L1612), ISBLANK(M1612))),
        "",
        MAX(
            1,
            IF(
                NETWORKDAYS(IF(NOT(ISBLANK(M1612)), M1612, L1612), N1612, Holiday_Dates) &lt;= 0,
                1,
                NETWORKDAYS(IF(NOT(ISBLANK(M1612)), M1612, L1612), N1612, Holiday_Dates)
                - IF(IF(NOT(ISBLANK(M1612)), M1612, L1612) = N1612, 0, 1)
            )
        )
    ),
    ""
)</f>
        <v/>
      </c>
      <c r="S1612" s="385" t="str">
        <f>IFERROR(
    IF(
        OR(ISBLANK(N1612), ISBLANK(O1612)),
        "",
        MAX(
            1,
            IF(
                NETWORKDAYS(N1612, O1612, Holiday_Dates) &lt;= 0,
                1,
                NETWORKDAYS(N1612, O1612, Holiday_Dates) - IF(N1612 = O1612, 0, 1)
            )
        )
    ),
    ""
)</f>
        <v/>
      </c>
      <c r="T1612" s="385"/>
      <c r="U1612" s="385"/>
      <c r="V1612" s="385"/>
      <c r="W1612" s="385" t="s">
        <v>4710</v>
      </c>
      <c r="X1612" s="1"/>
    </row>
    <row r="1613" spans="1:24">
      <c r="A1613" s="385" t="s">
        <v>65</v>
      </c>
      <c r="B1613" s="385" t="s">
        <v>388</v>
      </c>
      <c r="C1613" s="385" t="s">
        <v>3343</v>
      </c>
      <c r="D1613" s="385" t="s">
        <v>88</v>
      </c>
      <c r="E1613" s="385" t="s">
        <v>26</v>
      </c>
      <c r="F1613" s="385"/>
      <c r="G1613" s="385" t="s">
        <v>130</v>
      </c>
      <c r="H1613" s="385"/>
      <c r="I1613" s="385"/>
      <c r="J1613" s="30"/>
      <c r="K1613" s="385" t="s">
        <v>64</v>
      </c>
      <c r="L1613" s="385"/>
      <c r="M1613" s="385"/>
      <c r="N1613" s="385"/>
      <c r="O1613" s="385"/>
      <c r="P1613" s="385" t="str">
        <f>IFERROR(
    IF(
        OR(ISBLANK(I1613), ISBLANK(L1613)),
        "",
        MAX(
            1,
            IF(
                NETWORKDAYS(I1613, L1613, Holiday_Dates) &lt;= 0,
                1,
                NETWORKDAYS(I1613, L1613, Holiday_Dates) - IF(I1613 = L1613, 0, 1)
            )
        )
    ),
    ""
)</f>
        <v/>
      </c>
      <c r="Q1613" s="385" t="str">
        <f>IF(
    OR(ISBLANK(L1613), ISBLANK(M1613)),
    "",
    MAX(
        1,
        IF(
            NETWORKDAYS(L1613, M1613, Holiday_Dates) &lt;= 0,
            1,
            NETWORKDAYS(L1613, M1613, Holiday_Dates) - IF(L1613 = M1613, 0, 1)
        )
    )
)</f>
        <v/>
      </c>
      <c r="R1613" s="385" t="str">
        <f>IFERROR(
    IF(
        OR(ISBLANK(N1613), AND(ISBLANK(L1613), ISBLANK(M1613))),
        "",
        MAX(
            1,
            IF(
                NETWORKDAYS(IF(NOT(ISBLANK(M1613)), M1613, L1613), N1613, Holiday_Dates) &lt;= 0,
                1,
                NETWORKDAYS(IF(NOT(ISBLANK(M1613)), M1613, L1613), N1613, Holiday_Dates)
                - IF(IF(NOT(ISBLANK(M1613)), M1613, L1613) = N1613, 0, 1)
            )
        )
    ),
    ""
)</f>
        <v/>
      </c>
      <c r="S1613" s="385" t="str">
        <f>IFERROR(
    IF(
        OR(ISBLANK(N1613), ISBLANK(O1613)),
        "",
        MAX(
            1,
            IF(
                NETWORKDAYS(N1613, O1613, Holiday_Dates) &lt;= 0,
                1,
                NETWORKDAYS(N1613, O1613, Holiday_Dates) - IF(N1613 = O1613, 0, 1)
            )
        )
    ),
    ""
)</f>
        <v/>
      </c>
      <c r="T1613" s="385"/>
      <c r="U1613" s="385"/>
      <c r="V1613" s="385"/>
      <c r="W1613" s="385" t="s">
        <v>4710</v>
      </c>
      <c r="X1613" s="1"/>
    </row>
    <row r="1614" spans="1:24">
      <c r="A1614" s="385" t="s">
        <v>65</v>
      </c>
      <c r="B1614" s="385" t="s">
        <v>522</v>
      </c>
      <c r="C1614" s="385" t="s">
        <v>3359</v>
      </c>
      <c r="D1614" s="385" t="s">
        <v>88</v>
      </c>
      <c r="E1614" s="385"/>
      <c r="F1614" s="385"/>
      <c r="G1614" s="385"/>
      <c r="H1614" s="385">
        <v>2024</v>
      </c>
      <c r="I1614" s="386">
        <v>45408</v>
      </c>
      <c r="J1614" s="30"/>
      <c r="K1614" s="385"/>
      <c r="L1614" s="385"/>
      <c r="M1614" s="385"/>
      <c r="N1614" s="385"/>
      <c r="O1614" s="385"/>
      <c r="P1614" s="385" t="str">
        <f>IFERROR(
    IF(
        OR(ISBLANK(I1614), ISBLANK(L1614)),
        "",
        MAX(
            1,
            IF(
                NETWORKDAYS(I1614, L1614, Holiday_Dates) &lt;= 0,
                1,
                NETWORKDAYS(I1614, L1614, Holiday_Dates) - IF(I1614 = L1614, 0, 1)
            )
        )
    ),
    ""
)</f>
        <v/>
      </c>
      <c r="Q1614" s="385" t="str">
        <f>IF(
    OR(ISBLANK(L1614), ISBLANK(M1614)),
    "",
    MAX(
        1,
        IF(
            NETWORKDAYS(L1614, M1614, Holiday_Dates) &lt;= 0,
            1,
            NETWORKDAYS(L1614, M1614, Holiday_Dates) - IF(L1614 = M1614, 0, 1)
        )
    )
)</f>
        <v/>
      </c>
      <c r="R1614" s="385" t="str">
        <f>IFERROR(
    IF(
        OR(ISBLANK(N1614), AND(ISBLANK(L1614), ISBLANK(M1614))),
        "",
        MAX(
            1,
            IF(
                NETWORKDAYS(IF(NOT(ISBLANK(M1614)), M1614, L1614), N1614, Holiday_Dates) &lt;= 0,
                1,
                NETWORKDAYS(IF(NOT(ISBLANK(M1614)), M1614, L1614), N1614, Holiday_Dates)
                - IF(IF(NOT(ISBLANK(M1614)), M1614, L1614) = N1614, 0, 1)
            )
        )
    ),
    ""
)</f>
        <v/>
      </c>
      <c r="S1614" s="385" t="str">
        <f>IFERROR(
    IF(
        OR(ISBLANK(N1614), ISBLANK(O1614)),
        "",
        MAX(
            1,
            IF(
                NETWORKDAYS(N1614, O1614, Holiday_Dates) &lt;= 0,
                1,
                NETWORKDAYS(N1614, O1614, Holiday_Dates) - IF(N1614 = O1614, 0, 1)
            )
        )
    ),
    ""
)</f>
        <v/>
      </c>
      <c r="T1614" s="385"/>
      <c r="U1614" s="385" t="s">
        <v>672</v>
      </c>
      <c r="V1614" s="385"/>
      <c r="W1614" s="385" t="s">
        <v>1436</v>
      </c>
      <c r="X1614" s="1"/>
    </row>
    <row r="1615" spans="1:24">
      <c r="A1615" s="385" t="s">
        <v>65</v>
      </c>
      <c r="B1615" s="385" t="s">
        <v>522</v>
      </c>
      <c r="C1615" s="385" t="s">
        <v>3357</v>
      </c>
      <c r="D1615" s="385" t="s">
        <v>88</v>
      </c>
      <c r="E1615" s="385" t="s">
        <v>141</v>
      </c>
      <c r="F1615" s="385"/>
      <c r="G1615" s="385" t="s">
        <v>130</v>
      </c>
      <c r="H1615" s="385"/>
      <c r="I1615" s="385"/>
      <c r="J1615" s="30"/>
      <c r="K1615" s="385" t="s">
        <v>64</v>
      </c>
      <c r="L1615" s="385"/>
      <c r="M1615" s="385"/>
      <c r="N1615" s="385"/>
      <c r="O1615" s="385"/>
      <c r="P1615" s="385" t="str">
        <f>IFERROR(
    IF(
        OR(ISBLANK(I1615), ISBLANK(L1615)),
        "",
        MAX(
            1,
            IF(
                NETWORKDAYS(I1615, L1615, Holiday_Dates) &lt;= 0,
                1,
                NETWORKDAYS(I1615, L1615, Holiday_Dates) - IF(I1615 = L1615, 0, 1)
            )
        )
    ),
    ""
)</f>
        <v/>
      </c>
      <c r="Q1615" s="385" t="str">
        <f>IF(
    OR(ISBLANK(L1615), ISBLANK(M1615)),
    "",
    MAX(
        1,
        IF(
            NETWORKDAYS(L1615, M1615, Holiday_Dates) &lt;= 0,
            1,
            NETWORKDAYS(L1615, M1615, Holiday_Dates) - IF(L1615 = M1615, 0, 1)
        )
    )
)</f>
        <v/>
      </c>
      <c r="R1615" s="385" t="str">
        <f>IFERROR(
    IF(
        OR(ISBLANK(N1615), AND(ISBLANK(L1615), ISBLANK(M1615))),
        "",
        MAX(
            1,
            IF(
                NETWORKDAYS(IF(NOT(ISBLANK(M1615)), M1615, L1615), N1615, Holiday_Dates) &lt;= 0,
                1,
                NETWORKDAYS(IF(NOT(ISBLANK(M1615)), M1615, L1615), N1615, Holiday_Dates)
                - IF(IF(NOT(ISBLANK(M1615)), M1615, L1615) = N1615, 0, 1)
            )
        )
    ),
    ""
)</f>
        <v/>
      </c>
      <c r="S1615" s="385" t="str">
        <f>IFERROR(
    IF(
        OR(ISBLANK(N1615), ISBLANK(O1615)),
        "",
        MAX(
            1,
            IF(
                NETWORKDAYS(N1615, O1615, Holiday_Dates) &lt;= 0,
                1,
                NETWORKDAYS(N1615, O1615, Holiday_Dates) - IF(N1615 = O1615, 0, 1)
            )
        )
    ),
    ""
)</f>
        <v/>
      </c>
      <c r="T1615" s="385"/>
      <c r="U1615" s="385"/>
      <c r="V1615" s="385"/>
      <c r="W1615" s="385" t="s">
        <v>4710</v>
      </c>
      <c r="X1615" s="1"/>
    </row>
    <row r="1616" spans="1:24">
      <c r="A1616" s="385" t="s">
        <v>65</v>
      </c>
      <c r="B1616" s="385" t="s">
        <v>522</v>
      </c>
      <c r="C1616" s="385" t="s">
        <v>3361</v>
      </c>
      <c r="D1616" s="385" t="s">
        <v>88</v>
      </c>
      <c r="E1616" s="385"/>
      <c r="F1616" s="385"/>
      <c r="G1616" s="385"/>
      <c r="H1616" s="385">
        <v>2025</v>
      </c>
      <c r="I1616" s="386">
        <v>46298</v>
      </c>
      <c r="J1616" s="30" t="s">
        <v>5328</v>
      </c>
      <c r="K1616" s="385"/>
      <c r="L1616" s="385"/>
      <c r="M1616" s="385"/>
      <c r="N1616" s="385"/>
      <c r="O1616" s="385"/>
      <c r="P1616" s="385" t="str">
        <f>IFERROR(
    IF(
        OR(ISBLANK(I1616), ISBLANK(L1616)),
        "",
        MAX(
            1,
            IF(
                NETWORKDAYS(I1616, L1616, Holiday_Dates) &lt;= 0,
                1,
                NETWORKDAYS(I1616, L1616, Holiday_Dates) - IF(I1616 = L1616, 0, 1)
            )
        )
    ),
    ""
)</f>
        <v/>
      </c>
      <c r="Q1616" s="385" t="str">
        <f>IF(
    OR(ISBLANK(L1616), ISBLANK(M1616)),
    "",
    MAX(
        1,
        IF(
            NETWORKDAYS(L1616, M1616, Holiday_Dates) &lt;= 0,
            1,
            NETWORKDAYS(L1616, M1616, Holiday_Dates) - IF(L1616 = M1616, 0, 1)
        )
    )
)</f>
        <v/>
      </c>
      <c r="R1616" s="385" t="str">
        <f>IFERROR(
    IF(
        OR(ISBLANK(N1616), AND(ISBLANK(L1616), ISBLANK(M1616))),
        "",
        MAX(
            1,
            IF(
                NETWORKDAYS(IF(NOT(ISBLANK(M1616)), M1616, L1616), N1616, Holiday_Dates) &lt;= 0,
                1,
                NETWORKDAYS(IF(NOT(ISBLANK(M1616)), M1616, L1616), N1616, Holiday_Dates)
                - IF(IF(NOT(ISBLANK(M1616)), M1616, L1616) = N1616, 0, 1)
            )
        )
    ),
    ""
)</f>
        <v/>
      </c>
      <c r="S1616" s="385" t="str">
        <f>IFERROR(
    IF(
        OR(ISBLANK(N1616), ISBLANK(O1616)),
        "",
        MAX(
            1,
            IF(
                NETWORKDAYS(N1616, O1616, Holiday_Dates) &lt;= 0,
                1,
                NETWORKDAYS(N1616, O1616, Holiday_Dates) - IF(N1616 = O1616, 0, 1)
            )
        )
    ),
    ""
)</f>
        <v/>
      </c>
      <c r="T1616" s="385"/>
      <c r="U1616" s="385" t="s">
        <v>4</v>
      </c>
      <c r="V1616" s="385" t="s">
        <v>101</v>
      </c>
      <c r="W1616" s="385" t="s">
        <v>1436</v>
      </c>
      <c r="X1616" s="1"/>
    </row>
    <row r="1617" spans="1:24">
      <c r="A1617" s="385" t="s">
        <v>65</v>
      </c>
      <c r="B1617" s="385" t="s">
        <v>522</v>
      </c>
      <c r="C1617" s="385" t="s">
        <v>3358</v>
      </c>
      <c r="D1617" s="385" t="s">
        <v>88</v>
      </c>
      <c r="E1617" s="385" t="s">
        <v>141</v>
      </c>
      <c r="F1617" s="385"/>
      <c r="G1617" s="385" t="s">
        <v>130</v>
      </c>
      <c r="H1617" s="385"/>
      <c r="I1617" s="385"/>
      <c r="J1617" s="30"/>
      <c r="K1617" s="385" t="s">
        <v>64</v>
      </c>
      <c r="L1617" s="385"/>
      <c r="M1617" s="385"/>
      <c r="N1617" s="385"/>
      <c r="O1617" s="385"/>
      <c r="P1617" s="385" t="str">
        <f>IFERROR(
    IF(
        OR(ISBLANK(I1617), ISBLANK(L1617)),
        "",
        MAX(
            1,
            IF(
                NETWORKDAYS(I1617, L1617, Holiday_Dates) &lt;= 0,
                1,
                NETWORKDAYS(I1617, L1617, Holiday_Dates) - IF(I1617 = L1617, 0, 1)
            )
        )
    ),
    ""
)</f>
        <v/>
      </c>
      <c r="Q1617" s="385" t="str">
        <f>IF(
    OR(ISBLANK(L1617), ISBLANK(M1617)),
    "",
    MAX(
        1,
        IF(
            NETWORKDAYS(L1617, M1617, Holiday_Dates) &lt;= 0,
            1,
            NETWORKDAYS(L1617, M1617, Holiday_Dates) - IF(L1617 = M1617, 0, 1)
        )
    )
)</f>
        <v/>
      </c>
      <c r="R1617" s="385" t="str">
        <f>IFERROR(
    IF(
        OR(ISBLANK(N1617), AND(ISBLANK(L1617), ISBLANK(M1617))),
        "",
        MAX(
            1,
            IF(
                NETWORKDAYS(IF(NOT(ISBLANK(M1617)), M1617, L1617), N1617, Holiday_Dates) &lt;= 0,
                1,
                NETWORKDAYS(IF(NOT(ISBLANK(M1617)), M1617, L1617), N1617, Holiday_Dates)
                - IF(IF(NOT(ISBLANK(M1617)), M1617, L1617) = N1617, 0, 1)
            )
        )
    ),
    ""
)</f>
        <v/>
      </c>
      <c r="S1617" s="385" t="str">
        <f>IFERROR(
    IF(
        OR(ISBLANK(N1617), ISBLANK(O1617)),
        "",
        MAX(
            1,
            IF(
                NETWORKDAYS(N1617, O1617, Holiday_Dates) &lt;= 0,
                1,
                NETWORKDAYS(N1617, O1617, Holiday_Dates) - IF(N1617 = O1617, 0, 1)
            )
        )
    ),
    ""
)</f>
        <v/>
      </c>
      <c r="T1617" s="385"/>
      <c r="U1617" s="385"/>
      <c r="V1617" s="385"/>
      <c r="W1617" s="385" t="s">
        <v>4710</v>
      </c>
      <c r="X1617" s="1"/>
    </row>
    <row r="1618" spans="1:24">
      <c r="A1618" s="385" t="s">
        <v>65</v>
      </c>
      <c r="B1618" s="385" t="s">
        <v>522</v>
      </c>
      <c r="C1618" s="385" t="s">
        <v>3356</v>
      </c>
      <c r="D1618" s="385" t="s">
        <v>88</v>
      </c>
      <c r="E1618" s="385" t="s">
        <v>141</v>
      </c>
      <c r="F1618" s="385"/>
      <c r="G1618" s="385" t="s">
        <v>130</v>
      </c>
      <c r="H1618" s="385"/>
      <c r="I1618" s="385"/>
      <c r="J1618" s="30"/>
      <c r="K1618" s="385" t="s">
        <v>64</v>
      </c>
      <c r="L1618" s="385"/>
      <c r="M1618" s="385"/>
      <c r="N1618" s="385"/>
      <c r="O1618" s="385"/>
      <c r="P1618" s="385" t="str">
        <f>IFERROR(
    IF(
        OR(ISBLANK(I1618), ISBLANK(L1618)),
        "",
        MAX(
            1,
            IF(
                NETWORKDAYS(I1618, L1618, Holiday_Dates) &lt;= 0,
                1,
                NETWORKDAYS(I1618, L1618, Holiday_Dates) - IF(I1618 = L1618, 0, 1)
            )
        )
    ),
    ""
)</f>
        <v/>
      </c>
      <c r="Q1618" s="385" t="str">
        <f>IF(
    OR(ISBLANK(L1618), ISBLANK(M1618)),
    "",
    MAX(
        1,
        IF(
            NETWORKDAYS(L1618, M1618, Holiday_Dates) &lt;= 0,
            1,
            NETWORKDAYS(L1618, M1618, Holiday_Dates) - IF(L1618 = M1618, 0, 1)
        )
    )
)</f>
        <v/>
      </c>
      <c r="R1618" s="385" t="str">
        <f>IFERROR(
    IF(
        OR(ISBLANK(N1618), AND(ISBLANK(L1618), ISBLANK(M1618))),
        "",
        MAX(
            1,
            IF(
                NETWORKDAYS(IF(NOT(ISBLANK(M1618)), M1618, L1618), N1618, Holiday_Dates) &lt;= 0,
                1,
                NETWORKDAYS(IF(NOT(ISBLANK(M1618)), M1618, L1618), N1618, Holiday_Dates)
                - IF(IF(NOT(ISBLANK(M1618)), M1618, L1618) = N1618, 0, 1)
            )
        )
    ),
    ""
)</f>
        <v/>
      </c>
      <c r="S1618" s="385" t="str">
        <f>IFERROR(
    IF(
        OR(ISBLANK(N1618), ISBLANK(O1618)),
        "",
        MAX(
            1,
            IF(
                NETWORKDAYS(N1618, O1618, Holiday_Dates) &lt;= 0,
                1,
                NETWORKDAYS(N1618, O1618, Holiday_Dates) - IF(N1618 = O1618, 0, 1)
            )
        )
    ),
    ""
)</f>
        <v/>
      </c>
      <c r="T1618" s="385"/>
      <c r="U1618" s="385"/>
      <c r="V1618" s="385"/>
      <c r="W1618" s="385" t="s">
        <v>4710</v>
      </c>
      <c r="X1618" s="1"/>
    </row>
    <row r="1619" spans="1:24">
      <c r="A1619" s="385" t="s">
        <v>65</v>
      </c>
      <c r="B1619" s="385" t="s">
        <v>524</v>
      </c>
      <c r="C1619" s="385" t="s">
        <v>1006</v>
      </c>
      <c r="D1619" s="385" t="s">
        <v>88</v>
      </c>
      <c r="E1619" s="385"/>
      <c r="F1619" s="385"/>
      <c r="G1619" s="385"/>
      <c r="H1619" s="385">
        <v>2025</v>
      </c>
      <c r="I1619" s="386">
        <v>45828</v>
      </c>
      <c r="J1619" s="30" t="s">
        <v>5329</v>
      </c>
      <c r="K1619" s="385"/>
      <c r="L1619" s="385"/>
      <c r="M1619" s="385"/>
      <c r="N1619" s="385"/>
      <c r="O1619" s="385"/>
      <c r="P1619" s="385" t="str">
        <f>IFERROR(
    IF(
        OR(ISBLANK(I1619), ISBLANK(L1619)),
        "",
        MAX(
            1,
            IF(
                NETWORKDAYS(I1619, L1619, Holiday_Dates) &lt;= 0,
                1,
                NETWORKDAYS(I1619, L1619, Holiday_Dates) - IF(I1619 = L1619, 0, 1)
            )
        )
    ),
    ""
)</f>
        <v/>
      </c>
      <c r="Q1619" s="385" t="str">
        <f>IF(
    OR(ISBLANK(L1619), ISBLANK(M1619)),
    "",
    MAX(
        1,
        IF(
            NETWORKDAYS(L1619, M1619, Holiday_Dates) &lt;= 0,
            1,
            NETWORKDAYS(L1619, M1619, Holiday_Dates) - IF(L1619 = M1619, 0, 1)
        )
    )
)</f>
        <v/>
      </c>
      <c r="R1619" s="385" t="str">
        <f>IFERROR(
    IF(
        OR(ISBLANK(N1619), AND(ISBLANK(L1619), ISBLANK(M1619))),
        "",
        MAX(
            1,
            IF(
                NETWORKDAYS(IF(NOT(ISBLANK(M1619)), M1619, L1619), N1619, Holiday_Dates) &lt;= 0,
                1,
                NETWORKDAYS(IF(NOT(ISBLANK(M1619)), M1619, L1619), N1619, Holiday_Dates)
                - IF(IF(NOT(ISBLANK(M1619)), M1619, L1619) = N1619, 0, 1)
            )
        )
    ),
    ""
)</f>
        <v/>
      </c>
      <c r="S1619" s="385" t="str">
        <f>IFERROR(
    IF(
        OR(ISBLANK(N1619), ISBLANK(O1619)),
        "",
        MAX(
            1,
            IF(
                NETWORKDAYS(N1619, O1619, Holiday_Dates) &lt;= 0,
                1,
                NETWORKDAYS(N1619, O1619, Holiday_Dates) - IF(N1619 = O1619, 0, 1)
            )
        )
    ),
    ""
)</f>
        <v/>
      </c>
      <c r="T1619" s="385"/>
      <c r="U1619" s="385" t="s">
        <v>672</v>
      </c>
      <c r="V1619" s="385" t="s">
        <v>101</v>
      </c>
      <c r="W1619" s="385" t="s">
        <v>1436</v>
      </c>
      <c r="X1619" s="1"/>
    </row>
    <row r="1620" spans="1:24">
      <c r="A1620" s="385" t="s">
        <v>65</v>
      </c>
      <c r="B1620" s="385" t="s">
        <v>522</v>
      </c>
      <c r="C1620" s="385" t="s">
        <v>2234</v>
      </c>
      <c r="D1620" s="385" t="s">
        <v>88</v>
      </c>
      <c r="E1620" s="385" t="s">
        <v>141</v>
      </c>
      <c r="F1620" s="385"/>
      <c r="G1620" s="385" t="s">
        <v>130</v>
      </c>
      <c r="H1620" s="385"/>
      <c r="I1620" s="385"/>
      <c r="J1620" s="30"/>
      <c r="K1620" s="385" t="s">
        <v>64</v>
      </c>
      <c r="L1620" s="385"/>
      <c r="M1620" s="385"/>
      <c r="N1620" s="385"/>
      <c r="O1620" s="385"/>
      <c r="P1620" s="385" t="str">
        <f>IFERROR(
    IF(
        OR(ISBLANK(I1620), ISBLANK(L1620)),
        "",
        MAX(
            1,
            IF(
                NETWORKDAYS(I1620, L1620, Holiday_Dates) &lt;= 0,
                1,
                NETWORKDAYS(I1620, L1620, Holiday_Dates) - IF(I1620 = L1620, 0, 1)
            )
        )
    ),
    ""
)</f>
        <v/>
      </c>
      <c r="Q1620" s="385" t="str">
        <f>IF(
    OR(ISBLANK(L1620), ISBLANK(M1620)),
    "",
    MAX(
        1,
        IF(
            NETWORKDAYS(L1620, M1620, Holiday_Dates) &lt;= 0,
            1,
            NETWORKDAYS(L1620, M1620, Holiday_Dates) - IF(L1620 = M1620, 0, 1)
        )
    )
)</f>
        <v/>
      </c>
      <c r="R1620" s="385" t="str">
        <f>IFERROR(
    IF(
        OR(ISBLANK(N1620), AND(ISBLANK(L1620), ISBLANK(M1620))),
        "",
        MAX(
            1,
            IF(
                NETWORKDAYS(IF(NOT(ISBLANK(M1620)), M1620, L1620), N1620, Holiday_Dates) &lt;= 0,
                1,
                NETWORKDAYS(IF(NOT(ISBLANK(M1620)), M1620, L1620), N1620, Holiday_Dates)
                - IF(IF(NOT(ISBLANK(M1620)), M1620, L1620) = N1620, 0, 1)
            )
        )
    ),
    ""
)</f>
        <v/>
      </c>
      <c r="S1620" s="385" t="str">
        <f>IFERROR(
    IF(
        OR(ISBLANK(N1620), ISBLANK(O1620)),
        "",
        MAX(
            1,
            IF(
                NETWORKDAYS(N1620, O1620, Holiday_Dates) &lt;= 0,
                1,
                NETWORKDAYS(N1620, O1620, Holiday_Dates) - IF(N1620 = O1620, 0, 1)
            )
        )
    ),
    ""
)</f>
        <v/>
      </c>
      <c r="T1620" s="385"/>
      <c r="U1620" s="385"/>
      <c r="V1620" s="385"/>
      <c r="W1620" s="385" t="s">
        <v>4710</v>
      </c>
      <c r="X1620" s="1"/>
    </row>
    <row r="1621" spans="1:24">
      <c r="A1621" s="385" t="s">
        <v>65</v>
      </c>
      <c r="B1621" s="385" t="s">
        <v>522</v>
      </c>
      <c r="C1621" s="385" t="s">
        <v>1030</v>
      </c>
      <c r="D1621" s="385" t="s">
        <v>88</v>
      </c>
      <c r="E1621" s="385" t="s">
        <v>141</v>
      </c>
      <c r="F1621" s="385"/>
      <c r="G1621" s="385" t="s">
        <v>130</v>
      </c>
      <c r="H1621" s="385"/>
      <c r="I1621" s="385"/>
      <c r="J1621" s="30"/>
      <c r="K1621" s="385" t="s">
        <v>64</v>
      </c>
      <c r="L1621" s="385"/>
      <c r="M1621" s="385"/>
      <c r="N1621" s="385"/>
      <c r="O1621" s="385"/>
      <c r="P1621" s="385" t="str">
        <f>IFERROR(
    IF(
        OR(ISBLANK(I1621), ISBLANK(L1621)),
        "",
        MAX(
            1,
            IF(
                NETWORKDAYS(I1621, L1621, Holiday_Dates) &lt;= 0,
                1,
                NETWORKDAYS(I1621, L1621, Holiday_Dates) - IF(I1621 = L1621, 0, 1)
            )
        )
    ),
    ""
)</f>
        <v/>
      </c>
      <c r="Q1621" s="385" t="str">
        <f>IF(
    OR(ISBLANK(L1621), ISBLANK(M1621)),
    "",
    MAX(
        1,
        IF(
            NETWORKDAYS(L1621, M1621, Holiday_Dates) &lt;= 0,
            1,
            NETWORKDAYS(L1621, M1621, Holiday_Dates) - IF(L1621 = M1621, 0, 1)
        )
    )
)</f>
        <v/>
      </c>
      <c r="R1621" s="385" t="str">
        <f>IFERROR(
    IF(
        OR(ISBLANK(N1621), AND(ISBLANK(L1621), ISBLANK(M1621))),
        "",
        MAX(
            1,
            IF(
                NETWORKDAYS(IF(NOT(ISBLANK(M1621)), M1621, L1621), N1621, Holiday_Dates) &lt;= 0,
                1,
                NETWORKDAYS(IF(NOT(ISBLANK(M1621)), M1621, L1621), N1621, Holiday_Dates)
                - IF(IF(NOT(ISBLANK(M1621)), M1621, L1621) = N1621, 0, 1)
            )
        )
    ),
    ""
)</f>
        <v/>
      </c>
      <c r="S1621" s="385" t="str">
        <f>IFERROR(
    IF(
        OR(ISBLANK(N1621), ISBLANK(O1621)),
        "",
        MAX(
            1,
            IF(
                NETWORKDAYS(N1621, O1621, Holiday_Dates) &lt;= 0,
                1,
                NETWORKDAYS(N1621, O1621, Holiday_Dates) - IF(N1621 = O1621, 0, 1)
            )
        )
    ),
    ""
)</f>
        <v/>
      </c>
      <c r="T1621" s="385"/>
      <c r="U1621" s="385"/>
      <c r="V1621" s="385"/>
      <c r="W1621" s="385" t="s">
        <v>4710</v>
      </c>
      <c r="X1621" s="1"/>
    </row>
    <row r="1622" spans="1:24">
      <c r="A1622" s="385" t="s">
        <v>65</v>
      </c>
      <c r="B1622" s="385" t="s">
        <v>446</v>
      </c>
      <c r="C1622" s="385" t="s">
        <v>3396</v>
      </c>
      <c r="D1622" s="385" t="s">
        <v>88</v>
      </c>
      <c r="E1622" s="385" t="s">
        <v>140</v>
      </c>
      <c r="F1622" s="385"/>
      <c r="G1622" s="385" t="s">
        <v>130</v>
      </c>
      <c r="H1622" s="385"/>
      <c r="I1622" s="385"/>
      <c r="J1622" s="30"/>
      <c r="K1622" s="385" t="s">
        <v>64</v>
      </c>
      <c r="L1622" s="385"/>
      <c r="M1622" s="385"/>
      <c r="N1622" s="385"/>
      <c r="O1622" s="385"/>
      <c r="P1622" s="385" t="str">
        <f>IFERROR(
    IF(
        OR(ISBLANK(I1622), ISBLANK(L1622)),
        "",
        MAX(
            1,
            IF(
                NETWORKDAYS(I1622, L1622, Holiday_Dates) &lt;= 0,
                1,
                NETWORKDAYS(I1622, L1622, Holiday_Dates) - IF(I1622 = L1622, 0, 1)
            )
        )
    ),
    ""
)</f>
        <v/>
      </c>
      <c r="Q1622" s="385" t="str">
        <f>IF(
    OR(ISBLANK(L1622), ISBLANK(M1622)),
    "",
    MAX(
        1,
        IF(
            NETWORKDAYS(L1622, M1622, Holiday_Dates) &lt;= 0,
            1,
            NETWORKDAYS(L1622, M1622, Holiday_Dates) - IF(L1622 = M1622, 0, 1)
        )
    )
)</f>
        <v/>
      </c>
      <c r="R1622" s="385" t="str">
        <f>IFERROR(
    IF(
        OR(ISBLANK(N1622), AND(ISBLANK(L1622), ISBLANK(M1622))),
        "",
        MAX(
            1,
            IF(
                NETWORKDAYS(IF(NOT(ISBLANK(M1622)), M1622, L1622), N1622, Holiday_Dates) &lt;= 0,
                1,
                NETWORKDAYS(IF(NOT(ISBLANK(M1622)), M1622, L1622), N1622, Holiday_Dates)
                - IF(IF(NOT(ISBLANK(M1622)), M1622, L1622) = N1622, 0, 1)
            )
        )
    ),
    ""
)</f>
        <v/>
      </c>
      <c r="S1622" s="385" t="str">
        <f>IFERROR(
    IF(
        OR(ISBLANK(N1622), ISBLANK(O1622)),
        "",
        MAX(
            1,
            IF(
                NETWORKDAYS(N1622, O1622, Holiday_Dates) &lt;= 0,
                1,
                NETWORKDAYS(N1622, O1622, Holiday_Dates) - IF(N1622 = O1622, 0, 1)
            )
        )
    ),
    ""
)</f>
        <v/>
      </c>
      <c r="T1622" s="385"/>
      <c r="U1622" s="385"/>
      <c r="V1622" s="385"/>
      <c r="W1622" s="385" t="s">
        <v>4710</v>
      </c>
      <c r="X1622" s="1"/>
    </row>
    <row r="1623" spans="1:24">
      <c r="A1623" s="385" t="s">
        <v>65</v>
      </c>
      <c r="B1623" s="385" t="s">
        <v>446</v>
      </c>
      <c r="C1623" s="385" t="s">
        <v>2777</v>
      </c>
      <c r="D1623" s="385" t="s">
        <v>88</v>
      </c>
      <c r="E1623" s="385" t="s">
        <v>140</v>
      </c>
      <c r="F1623" s="385"/>
      <c r="G1623" s="385" t="s">
        <v>130</v>
      </c>
      <c r="H1623" s="385"/>
      <c r="I1623" s="385"/>
      <c r="J1623" s="30"/>
      <c r="K1623" s="385" t="s">
        <v>64</v>
      </c>
      <c r="L1623" s="385"/>
      <c r="M1623" s="385"/>
      <c r="N1623" s="385"/>
      <c r="O1623" s="385"/>
      <c r="P1623" s="385" t="str">
        <f>IFERROR(
    IF(
        OR(ISBLANK(I1623), ISBLANK(L1623)),
        "",
        MAX(
            1,
            IF(
                NETWORKDAYS(I1623, L1623, Holiday_Dates) &lt;= 0,
                1,
                NETWORKDAYS(I1623, L1623, Holiday_Dates) - IF(I1623 = L1623, 0, 1)
            )
        )
    ),
    ""
)</f>
        <v/>
      </c>
      <c r="Q1623" s="385" t="str">
        <f>IF(
    OR(ISBLANK(L1623), ISBLANK(M1623)),
    "",
    MAX(
        1,
        IF(
            NETWORKDAYS(L1623, M1623, Holiday_Dates) &lt;= 0,
            1,
            NETWORKDAYS(L1623, M1623, Holiday_Dates) - IF(L1623 = M1623, 0, 1)
        )
    )
)</f>
        <v/>
      </c>
      <c r="R1623" s="385" t="str">
        <f>IFERROR(
    IF(
        OR(ISBLANK(N1623), AND(ISBLANK(L1623), ISBLANK(M1623))),
        "",
        MAX(
            1,
            IF(
                NETWORKDAYS(IF(NOT(ISBLANK(M1623)), M1623, L1623), N1623, Holiday_Dates) &lt;= 0,
                1,
                NETWORKDAYS(IF(NOT(ISBLANK(M1623)), M1623, L1623), N1623, Holiday_Dates)
                - IF(IF(NOT(ISBLANK(M1623)), M1623, L1623) = N1623, 0, 1)
            )
        )
    ),
    ""
)</f>
        <v/>
      </c>
      <c r="S1623" s="385" t="str">
        <f>IFERROR(
    IF(
        OR(ISBLANK(N1623), ISBLANK(O1623)),
        "",
        MAX(
            1,
            IF(
                NETWORKDAYS(N1623, O1623, Holiday_Dates) &lt;= 0,
                1,
                NETWORKDAYS(N1623, O1623, Holiday_Dates) - IF(N1623 = O1623, 0, 1)
            )
        )
    ),
    ""
)</f>
        <v/>
      </c>
      <c r="T1623" s="385"/>
      <c r="U1623" s="385"/>
      <c r="V1623" s="385"/>
      <c r="W1623" s="385" t="s">
        <v>4710</v>
      </c>
      <c r="X1623" s="1"/>
    </row>
    <row r="1624" spans="1:24">
      <c r="A1624" s="385" t="s">
        <v>65</v>
      </c>
      <c r="B1624" s="385" t="s">
        <v>446</v>
      </c>
      <c r="C1624" s="385" t="s">
        <v>2750</v>
      </c>
      <c r="D1624" s="385" t="s">
        <v>88</v>
      </c>
      <c r="E1624" s="385" t="s">
        <v>140</v>
      </c>
      <c r="F1624" s="385"/>
      <c r="G1624" s="385" t="s">
        <v>130</v>
      </c>
      <c r="H1624" s="385"/>
      <c r="I1624" s="385"/>
      <c r="J1624" s="30"/>
      <c r="K1624" s="385" t="s">
        <v>64</v>
      </c>
      <c r="L1624" s="385"/>
      <c r="M1624" s="385"/>
      <c r="N1624" s="385"/>
      <c r="O1624" s="385"/>
      <c r="P1624" s="385" t="str">
        <f>IFERROR(
    IF(
        OR(ISBLANK(I1624), ISBLANK(L1624)),
        "",
        MAX(
            1,
            IF(
                NETWORKDAYS(I1624, L1624, Holiday_Dates) &lt;= 0,
                1,
                NETWORKDAYS(I1624, L1624, Holiday_Dates) - IF(I1624 = L1624, 0, 1)
            )
        )
    ),
    ""
)</f>
        <v/>
      </c>
      <c r="Q1624" s="385" t="str">
        <f>IF(
    OR(ISBLANK(L1624), ISBLANK(M1624)),
    "",
    MAX(
        1,
        IF(
            NETWORKDAYS(L1624, M1624, Holiday_Dates) &lt;= 0,
            1,
            NETWORKDAYS(L1624, M1624, Holiday_Dates) - IF(L1624 = M1624, 0, 1)
        )
    )
)</f>
        <v/>
      </c>
      <c r="R1624" s="385" t="str">
        <f>IFERROR(
    IF(
        OR(ISBLANK(N1624), AND(ISBLANK(L1624), ISBLANK(M1624))),
        "",
        MAX(
            1,
            IF(
                NETWORKDAYS(IF(NOT(ISBLANK(M1624)), M1624, L1624), N1624, Holiday_Dates) &lt;= 0,
                1,
                NETWORKDAYS(IF(NOT(ISBLANK(M1624)), M1624, L1624), N1624, Holiday_Dates)
                - IF(IF(NOT(ISBLANK(M1624)), M1624, L1624) = N1624, 0, 1)
            )
        )
    ),
    ""
)</f>
        <v/>
      </c>
      <c r="S1624" s="385" t="str">
        <f>IFERROR(
    IF(
        OR(ISBLANK(N1624), ISBLANK(O1624)),
        "",
        MAX(
            1,
            IF(
                NETWORKDAYS(N1624, O1624, Holiday_Dates) &lt;= 0,
                1,
                NETWORKDAYS(N1624, O1624, Holiday_Dates) - IF(N1624 = O1624, 0, 1)
            )
        )
    ),
    ""
)</f>
        <v/>
      </c>
      <c r="T1624" s="385"/>
      <c r="U1624" s="385"/>
      <c r="V1624" s="385"/>
      <c r="W1624" s="385" t="s">
        <v>4710</v>
      </c>
      <c r="X1624" s="1"/>
    </row>
    <row r="1625" spans="1:24">
      <c r="A1625" s="385" t="s">
        <v>65</v>
      </c>
      <c r="B1625" s="385" t="s">
        <v>524</v>
      </c>
      <c r="C1625" s="385" t="s">
        <v>3363</v>
      </c>
      <c r="D1625" s="385" t="s">
        <v>88</v>
      </c>
      <c r="E1625" s="385"/>
      <c r="F1625" s="385"/>
      <c r="G1625" s="385"/>
      <c r="H1625" s="385">
        <v>2025</v>
      </c>
      <c r="I1625" s="386">
        <v>45889</v>
      </c>
      <c r="J1625" s="397" t="s">
        <v>5330</v>
      </c>
      <c r="K1625" s="385"/>
      <c r="L1625" s="385"/>
      <c r="M1625" s="385"/>
      <c r="N1625" s="385"/>
      <c r="O1625" s="385"/>
      <c r="P1625" s="385" t="str">
        <f>IFERROR(
    IF(
        OR(ISBLANK(I1625), ISBLANK(L1625)),
        "",
        MAX(
            1,
            IF(
                NETWORKDAYS(I1625, L1625, Holiday_Dates) &lt;= 0,
                1,
                NETWORKDAYS(I1625, L1625, Holiday_Dates) - IF(I1625 = L1625, 0, 1)
            )
        )
    ),
    ""
)</f>
        <v/>
      </c>
      <c r="Q1625" s="385" t="str">
        <f>IF(
    OR(ISBLANK(L1625), ISBLANK(M1625)),
    "",
    MAX(
        1,
        IF(
            NETWORKDAYS(L1625, M1625, Holiday_Dates) &lt;= 0,
            1,
            NETWORKDAYS(L1625, M1625, Holiday_Dates) - IF(L1625 = M1625, 0, 1)
        )
    )
)</f>
        <v/>
      </c>
      <c r="R1625" s="385" t="str">
        <f>IFERROR(
    IF(
        OR(ISBLANK(N1625), AND(ISBLANK(L1625), ISBLANK(M1625))),
        "",
        MAX(
            1,
            IF(
                NETWORKDAYS(IF(NOT(ISBLANK(M1625)), M1625, L1625), N1625, Holiday_Dates) &lt;= 0,
                1,
                NETWORKDAYS(IF(NOT(ISBLANK(M1625)), M1625, L1625), N1625, Holiday_Dates)
                - IF(IF(NOT(ISBLANK(M1625)), M1625, L1625) = N1625, 0, 1)
            )
        )
    ),
    ""
)</f>
        <v/>
      </c>
      <c r="S1625" s="385" t="str">
        <f>IFERROR(
    IF(
        OR(ISBLANK(N1625), ISBLANK(O1625)),
        "",
        MAX(
            1,
            IF(
                NETWORKDAYS(N1625, O1625, Holiday_Dates) &lt;= 0,
                1,
                NETWORKDAYS(N1625, O1625, Holiday_Dates) - IF(N1625 = O1625, 0, 1)
            )
        )
    ),
    ""
)</f>
        <v/>
      </c>
      <c r="T1625" s="385"/>
      <c r="U1625" s="385" t="s">
        <v>4</v>
      </c>
      <c r="V1625" s="385" t="s">
        <v>101</v>
      </c>
      <c r="W1625" s="385" t="s">
        <v>1436</v>
      </c>
      <c r="X1625" s="1"/>
    </row>
    <row r="1626" spans="1:24">
      <c r="A1626" s="385" t="s">
        <v>65</v>
      </c>
      <c r="B1626" s="385" t="s">
        <v>524</v>
      </c>
      <c r="C1626" s="385" t="s">
        <v>3364</v>
      </c>
      <c r="D1626" s="385" t="s">
        <v>88</v>
      </c>
      <c r="E1626" s="385"/>
      <c r="F1626" s="385"/>
      <c r="G1626" s="385"/>
      <c r="H1626" s="385">
        <v>2025</v>
      </c>
      <c r="I1626" s="386">
        <v>45868</v>
      </c>
      <c r="J1626" s="30" t="s">
        <v>5331</v>
      </c>
      <c r="K1626" s="385"/>
      <c r="L1626" s="385"/>
      <c r="M1626" s="385"/>
      <c r="N1626" s="385"/>
      <c r="O1626" s="385"/>
      <c r="P1626" s="385" t="str">
        <f>IFERROR(
    IF(
        OR(ISBLANK(I1626), ISBLANK(L1626)),
        "",
        MAX(
            1,
            IF(
                NETWORKDAYS(I1626, L1626, Holiday_Dates) &lt;= 0,
                1,
                NETWORKDAYS(I1626, L1626, Holiday_Dates) - IF(I1626 = L1626, 0, 1)
            )
        )
    ),
    ""
)</f>
        <v/>
      </c>
      <c r="Q1626" s="385" t="str">
        <f>IF(
    OR(ISBLANK(L1626), ISBLANK(M1626)),
    "",
    MAX(
        1,
        IF(
            NETWORKDAYS(L1626, M1626, Holiday_Dates) &lt;= 0,
            1,
            NETWORKDAYS(L1626, M1626, Holiday_Dates) - IF(L1626 = M1626, 0, 1)
        )
    )
)</f>
        <v/>
      </c>
      <c r="R1626" s="385" t="str">
        <f>IFERROR(
    IF(
        OR(ISBLANK(N1626), AND(ISBLANK(L1626), ISBLANK(M1626))),
        "",
        MAX(
            1,
            IF(
                NETWORKDAYS(IF(NOT(ISBLANK(M1626)), M1626, L1626), N1626, Holiday_Dates) &lt;= 0,
                1,
                NETWORKDAYS(IF(NOT(ISBLANK(M1626)), M1626, L1626), N1626, Holiday_Dates)
                - IF(IF(NOT(ISBLANK(M1626)), M1626, L1626) = N1626, 0, 1)
            )
        )
    ),
    ""
)</f>
        <v/>
      </c>
      <c r="S1626" s="385" t="str">
        <f>IFERROR(
    IF(
        OR(ISBLANK(N1626), ISBLANK(O1626)),
        "",
        MAX(
            1,
            IF(
                NETWORKDAYS(N1626, O1626, Holiday_Dates) &lt;= 0,
                1,
                NETWORKDAYS(N1626, O1626, Holiday_Dates) - IF(N1626 = O1626, 0, 1)
            )
        )
    ),
    ""
)</f>
        <v/>
      </c>
      <c r="T1626" s="385"/>
      <c r="U1626" s="385" t="s">
        <v>4</v>
      </c>
      <c r="V1626" s="385" t="s">
        <v>101</v>
      </c>
      <c r="W1626" s="385" t="s">
        <v>1436</v>
      </c>
      <c r="X1626" s="1"/>
    </row>
    <row r="1627" spans="1:24">
      <c r="A1627" s="385" t="s">
        <v>65</v>
      </c>
      <c r="B1627" s="385" t="s">
        <v>446</v>
      </c>
      <c r="C1627" s="385" t="s">
        <v>3402</v>
      </c>
      <c r="D1627" s="385" t="s">
        <v>88</v>
      </c>
      <c r="E1627" s="385" t="s">
        <v>140</v>
      </c>
      <c r="F1627" s="385"/>
      <c r="G1627" s="385" t="s">
        <v>130</v>
      </c>
      <c r="H1627" s="385"/>
      <c r="I1627" s="385"/>
      <c r="J1627" s="30"/>
      <c r="K1627" s="385" t="s">
        <v>64</v>
      </c>
      <c r="L1627" s="385"/>
      <c r="M1627" s="385"/>
      <c r="N1627" s="385"/>
      <c r="O1627" s="385"/>
      <c r="P1627" s="385" t="str">
        <f>IFERROR(
    IF(
        OR(ISBLANK(I1627), ISBLANK(L1627)),
        "",
        MAX(
            1,
            IF(
                NETWORKDAYS(I1627, L1627, Holiday_Dates) &lt;= 0,
                1,
                NETWORKDAYS(I1627, L1627, Holiday_Dates) - IF(I1627 = L1627, 0, 1)
            )
        )
    ),
    ""
)</f>
        <v/>
      </c>
      <c r="Q1627" s="385" t="str">
        <f>IF(
    OR(ISBLANK(L1627), ISBLANK(M1627)),
    "",
    MAX(
        1,
        IF(
            NETWORKDAYS(L1627, M1627, Holiday_Dates) &lt;= 0,
            1,
            NETWORKDAYS(L1627, M1627, Holiday_Dates) - IF(L1627 = M1627, 0, 1)
        )
    )
)</f>
        <v/>
      </c>
      <c r="R1627" s="385" t="str">
        <f>IFERROR(
    IF(
        OR(ISBLANK(N1627), AND(ISBLANK(L1627), ISBLANK(M1627))),
        "",
        MAX(
            1,
            IF(
                NETWORKDAYS(IF(NOT(ISBLANK(M1627)), M1627, L1627), N1627, Holiday_Dates) &lt;= 0,
                1,
                NETWORKDAYS(IF(NOT(ISBLANK(M1627)), M1627, L1627), N1627, Holiday_Dates)
                - IF(IF(NOT(ISBLANK(M1627)), M1627, L1627) = N1627, 0, 1)
            )
        )
    ),
    ""
)</f>
        <v/>
      </c>
      <c r="S1627" s="385" t="str">
        <f>IFERROR(
    IF(
        OR(ISBLANK(N1627), ISBLANK(O1627)),
        "",
        MAX(
            1,
            IF(
                NETWORKDAYS(N1627, O1627, Holiday_Dates) &lt;= 0,
                1,
                NETWORKDAYS(N1627, O1627, Holiday_Dates) - IF(N1627 = O1627, 0, 1)
            )
        )
    ),
    ""
)</f>
        <v/>
      </c>
      <c r="T1627" s="385"/>
      <c r="U1627" s="385"/>
      <c r="V1627" s="385"/>
      <c r="W1627" s="385" t="s">
        <v>4710</v>
      </c>
      <c r="X1627" s="1"/>
    </row>
    <row r="1628" spans="1:24">
      <c r="A1628" s="385" t="s">
        <v>65</v>
      </c>
      <c r="B1628" s="385" t="s">
        <v>524</v>
      </c>
      <c r="C1628" s="385" t="s">
        <v>2932</v>
      </c>
      <c r="D1628" s="385" t="s">
        <v>88</v>
      </c>
      <c r="E1628" s="385"/>
      <c r="F1628" s="385"/>
      <c r="G1628" s="385"/>
      <c r="H1628" s="385">
        <v>2025</v>
      </c>
      <c r="I1628" s="386">
        <v>45909</v>
      </c>
      <c r="J1628" s="30" t="s">
        <v>5332</v>
      </c>
      <c r="K1628" s="385"/>
      <c r="L1628" s="385"/>
      <c r="M1628" s="385"/>
      <c r="N1628" s="385"/>
      <c r="O1628" s="385"/>
      <c r="P1628" s="385" t="str">
        <f>IFERROR(
    IF(
        OR(ISBLANK(I1628), ISBLANK(L1628)),
        "",
        MAX(
            1,
            IF(
                NETWORKDAYS(I1628, L1628, Holiday_Dates) &lt;= 0,
                1,
                NETWORKDAYS(I1628, L1628, Holiday_Dates) - IF(I1628 = L1628, 0, 1)
            )
        )
    ),
    ""
)</f>
        <v/>
      </c>
      <c r="Q1628" s="385" t="str">
        <f>IF(
    OR(ISBLANK(L1628), ISBLANK(M1628)),
    "",
    MAX(
        1,
        IF(
            NETWORKDAYS(L1628, M1628, Holiday_Dates) &lt;= 0,
            1,
            NETWORKDAYS(L1628, M1628, Holiday_Dates) - IF(L1628 = M1628, 0, 1)
        )
    )
)</f>
        <v/>
      </c>
      <c r="R1628" s="385" t="str">
        <f>IFERROR(
    IF(
        OR(ISBLANK(N1628), AND(ISBLANK(L1628), ISBLANK(M1628))),
        "",
        MAX(
            1,
            IF(
                NETWORKDAYS(IF(NOT(ISBLANK(M1628)), M1628, L1628), N1628, Holiday_Dates) &lt;= 0,
                1,
                NETWORKDAYS(IF(NOT(ISBLANK(M1628)), M1628, L1628), N1628, Holiday_Dates)
                - IF(IF(NOT(ISBLANK(M1628)), M1628, L1628) = N1628, 0, 1)
            )
        )
    ),
    ""
)</f>
        <v/>
      </c>
      <c r="S1628" s="385" t="str">
        <f>IFERROR(
    IF(
        OR(ISBLANK(N1628), ISBLANK(O1628)),
        "",
        MAX(
            1,
            IF(
                NETWORKDAYS(N1628, O1628, Holiday_Dates) &lt;= 0,
                1,
                NETWORKDAYS(N1628, O1628, Holiday_Dates) - IF(N1628 = O1628, 0, 1)
            )
        )
    ),
    ""
)</f>
        <v/>
      </c>
      <c r="T1628" s="385"/>
      <c r="U1628" s="385" t="s">
        <v>4</v>
      </c>
      <c r="V1628" s="385" t="s">
        <v>101</v>
      </c>
      <c r="W1628" s="385" t="s">
        <v>1436</v>
      </c>
      <c r="X1628" s="1"/>
    </row>
    <row r="1629" spans="1:24">
      <c r="A1629" s="385" t="s">
        <v>65</v>
      </c>
      <c r="B1629" s="385" t="s">
        <v>446</v>
      </c>
      <c r="C1629" s="385" t="s">
        <v>3404</v>
      </c>
      <c r="D1629" s="385" t="s">
        <v>88</v>
      </c>
      <c r="E1629" s="385" t="s">
        <v>140</v>
      </c>
      <c r="F1629" s="385"/>
      <c r="G1629" s="385" t="s">
        <v>130</v>
      </c>
      <c r="H1629" s="385"/>
      <c r="I1629" s="385"/>
      <c r="J1629" s="30"/>
      <c r="K1629" s="385" t="s">
        <v>64</v>
      </c>
      <c r="L1629" s="385"/>
      <c r="M1629" s="385"/>
      <c r="N1629" s="385"/>
      <c r="O1629" s="385"/>
      <c r="P1629" s="385" t="str">
        <f>IFERROR(
    IF(
        OR(ISBLANK(I1629), ISBLANK(L1629)),
        "",
        MAX(
            1,
            IF(
                NETWORKDAYS(I1629, L1629, Holiday_Dates) &lt;= 0,
                1,
                NETWORKDAYS(I1629, L1629, Holiday_Dates) - IF(I1629 = L1629, 0, 1)
            )
        )
    ),
    ""
)</f>
        <v/>
      </c>
      <c r="Q1629" s="385" t="str">
        <f>IF(
    OR(ISBLANK(L1629), ISBLANK(M1629)),
    "",
    MAX(
        1,
        IF(
            NETWORKDAYS(L1629, M1629, Holiday_Dates) &lt;= 0,
            1,
            NETWORKDAYS(L1629, M1629, Holiday_Dates) - IF(L1629 = M1629, 0, 1)
        )
    )
)</f>
        <v/>
      </c>
      <c r="R1629" s="385" t="str">
        <f>IFERROR(
    IF(
        OR(ISBLANK(N1629), AND(ISBLANK(L1629), ISBLANK(M1629))),
        "",
        MAX(
            1,
            IF(
                NETWORKDAYS(IF(NOT(ISBLANK(M1629)), M1629, L1629), N1629, Holiday_Dates) &lt;= 0,
                1,
                NETWORKDAYS(IF(NOT(ISBLANK(M1629)), M1629, L1629), N1629, Holiday_Dates)
                - IF(IF(NOT(ISBLANK(M1629)), M1629, L1629) = N1629, 0, 1)
            )
        )
    ),
    ""
)</f>
        <v/>
      </c>
      <c r="S1629" s="385" t="str">
        <f>IFERROR(
    IF(
        OR(ISBLANK(N1629), ISBLANK(O1629)),
        "",
        MAX(
            1,
            IF(
                NETWORKDAYS(N1629, O1629, Holiday_Dates) &lt;= 0,
                1,
                NETWORKDAYS(N1629, O1629, Holiday_Dates) - IF(N1629 = O1629, 0, 1)
            )
        )
    ),
    ""
)</f>
        <v/>
      </c>
      <c r="T1629" s="385"/>
      <c r="U1629" s="385"/>
      <c r="V1629" s="385"/>
      <c r="W1629" s="385" t="s">
        <v>4710</v>
      </c>
      <c r="X1629" s="1"/>
    </row>
    <row r="1630" spans="1:24">
      <c r="A1630" s="385" t="s">
        <v>65</v>
      </c>
      <c r="B1630" s="385" t="s">
        <v>446</v>
      </c>
      <c r="C1630" s="385" t="s">
        <v>3405</v>
      </c>
      <c r="D1630" s="385" t="s">
        <v>88</v>
      </c>
      <c r="E1630" s="385" t="s">
        <v>140</v>
      </c>
      <c r="F1630" s="385"/>
      <c r="G1630" s="385" t="s">
        <v>130</v>
      </c>
      <c r="H1630" s="385"/>
      <c r="I1630" s="385"/>
      <c r="J1630" s="30"/>
      <c r="K1630" s="385" t="s">
        <v>64</v>
      </c>
      <c r="L1630" s="385"/>
      <c r="M1630" s="385"/>
      <c r="N1630" s="385"/>
      <c r="O1630" s="385"/>
      <c r="P1630" s="385" t="str">
        <f>IFERROR(
    IF(
        OR(ISBLANK(I1630), ISBLANK(L1630)),
        "",
        MAX(
            1,
            IF(
                NETWORKDAYS(I1630, L1630, Holiday_Dates) &lt;= 0,
                1,
                NETWORKDAYS(I1630, L1630, Holiday_Dates) - IF(I1630 = L1630, 0, 1)
            )
        )
    ),
    ""
)</f>
        <v/>
      </c>
      <c r="Q1630" s="385" t="str">
        <f>IF(
    OR(ISBLANK(L1630), ISBLANK(M1630)),
    "",
    MAX(
        1,
        IF(
            NETWORKDAYS(L1630, M1630, Holiday_Dates) &lt;= 0,
            1,
            NETWORKDAYS(L1630, M1630, Holiday_Dates) - IF(L1630 = M1630, 0, 1)
        )
    )
)</f>
        <v/>
      </c>
      <c r="R1630" s="385" t="str">
        <f>IFERROR(
    IF(
        OR(ISBLANK(N1630), AND(ISBLANK(L1630), ISBLANK(M1630))),
        "",
        MAX(
            1,
            IF(
                NETWORKDAYS(IF(NOT(ISBLANK(M1630)), M1630, L1630), N1630, Holiday_Dates) &lt;= 0,
                1,
                NETWORKDAYS(IF(NOT(ISBLANK(M1630)), M1630, L1630), N1630, Holiday_Dates)
                - IF(IF(NOT(ISBLANK(M1630)), M1630, L1630) = N1630, 0, 1)
            )
        )
    ),
    ""
)</f>
        <v/>
      </c>
      <c r="S1630" s="385" t="str">
        <f>IFERROR(
    IF(
        OR(ISBLANK(N1630), ISBLANK(O1630)),
        "",
        MAX(
            1,
            IF(
                NETWORKDAYS(N1630, O1630, Holiday_Dates) &lt;= 0,
                1,
                NETWORKDAYS(N1630, O1630, Holiday_Dates) - IF(N1630 = O1630, 0, 1)
            )
        )
    ),
    ""
)</f>
        <v/>
      </c>
      <c r="T1630" s="385"/>
      <c r="U1630" s="385"/>
      <c r="V1630" s="385"/>
      <c r="W1630" s="385" t="s">
        <v>4710</v>
      </c>
      <c r="X1630" s="1"/>
    </row>
    <row r="1631" spans="1:24">
      <c r="A1631" s="385" t="s">
        <v>65</v>
      </c>
      <c r="B1631" s="385" t="s">
        <v>446</v>
      </c>
      <c r="C1631" s="385" t="s">
        <v>3421</v>
      </c>
      <c r="D1631" s="385" t="s">
        <v>88</v>
      </c>
      <c r="E1631" s="385" t="s">
        <v>140</v>
      </c>
      <c r="F1631" s="385"/>
      <c r="G1631" s="385" t="s">
        <v>130</v>
      </c>
      <c r="H1631" s="385"/>
      <c r="I1631" s="385"/>
      <c r="J1631" s="30"/>
      <c r="K1631" s="385" t="s">
        <v>64</v>
      </c>
      <c r="L1631" s="385"/>
      <c r="M1631" s="385"/>
      <c r="N1631" s="385"/>
      <c r="O1631" s="385"/>
      <c r="P1631" s="385" t="str">
        <f>IFERROR(
    IF(
        OR(ISBLANK(I1631), ISBLANK(L1631)),
        "",
        MAX(
            1,
            IF(
                NETWORKDAYS(I1631, L1631, Holiday_Dates) &lt;= 0,
                1,
                NETWORKDAYS(I1631, L1631, Holiday_Dates) - IF(I1631 = L1631, 0, 1)
            )
        )
    ),
    ""
)</f>
        <v/>
      </c>
      <c r="Q1631" s="385" t="str">
        <f>IF(
    OR(ISBLANK(L1631), ISBLANK(M1631)),
    "",
    MAX(
        1,
        IF(
            NETWORKDAYS(L1631, M1631, Holiday_Dates) &lt;= 0,
            1,
            NETWORKDAYS(L1631, M1631, Holiday_Dates) - IF(L1631 = M1631, 0, 1)
        )
    )
)</f>
        <v/>
      </c>
      <c r="R1631" s="385" t="str">
        <f>IFERROR(
    IF(
        OR(ISBLANK(N1631), AND(ISBLANK(L1631), ISBLANK(M1631))),
        "",
        MAX(
            1,
            IF(
                NETWORKDAYS(IF(NOT(ISBLANK(M1631)), M1631, L1631), N1631, Holiday_Dates) &lt;= 0,
                1,
                NETWORKDAYS(IF(NOT(ISBLANK(M1631)), M1631, L1631), N1631, Holiday_Dates)
                - IF(IF(NOT(ISBLANK(M1631)), M1631, L1631) = N1631, 0, 1)
            )
        )
    ),
    ""
)</f>
        <v/>
      </c>
      <c r="S1631" s="385" t="str">
        <f>IFERROR(
    IF(
        OR(ISBLANK(N1631), ISBLANK(O1631)),
        "",
        MAX(
            1,
            IF(
                NETWORKDAYS(N1631, O1631, Holiday_Dates) &lt;= 0,
                1,
                NETWORKDAYS(N1631, O1631, Holiday_Dates) - IF(N1631 = O1631, 0, 1)
            )
        )
    ),
    ""
)</f>
        <v/>
      </c>
      <c r="T1631" s="385"/>
      <c r="U1631" s="385"/>
      <c r="V1631" s="385"/>
      <c r="W1631" s="385" t="s">
        <v>4710</v>
      </c>
      <c r="X1631" s="1"/>
    </row>
    <row r="1632" spans="1:24">
      <c r="A1632" s="385" t="s">
        <v>65</v>
      </c>
      <c r="B1632" s="385" t="s">
        <v>446</v>
      </c>
      <c r="C1632" s="385" t="s">
        <v>3420</v>
      </c>
      <c r="D1632" s="385" t="s">
        <v>88</v>
      </c>
      <c r="E1632" s="385" t="s">
        <v>140</v>
      </c>
      <c r="F1632" s="385"/>
      <c r="G1632" s="385" t="s">
        <v>130</v>
      </c>
      <c r="H1632" s="385"/>
      <c r="I1632" s="385"/>
      <c r="J1632" s="30"/>
      <c r="K1632" s="385" t="s">
        <v>64</v>
      </c>
      <c r="L1632" s="385"/>
      <c r="M1632" s="385"/>
      <c r="N1632" s="385"/>
      <c r="O1632" s="385"/>
      <c r="P1632" s="385" t="str">
        <f>IFERROR(
    IF(
        OR(ISBLANK(I1632), ISBLANK(L1632)),
        "",
        MAX(
            1,
            IF(
                NETWORKDAYS(I1632, L1632, Holiday_Dates) &lt;= 0,
                1,
                NETWORKDAYS(I1632, L1632, Holiday_Dates) - IF(I1632 = L1632, 0, 1)
            )
        )
    ),
    ""
)</f>
        <v/>
      </c>
      <c r="Q1632" s="385" t="str">
        <f>IF(
    OR(ISBLANK(L1632), ISBLANK(M1632)),
    "",
    MAX(
        1,
        IF(
            NETWORKDAYS(L1632, M1632, Holiday_Dates) &lt;= 0,
            1,
            NETWORKDAYS(L1632, M1632, Holiday_Dates) - IF(L1632 = M1632, 0, 1)
        )
    )
)</f>
        <v/>
      </c>
      <c r="R1632" s="385" t="str">
        <f>IFERROR(
    IF(
        OR(ISBLANK(N1632), AND(ISBLANK(L1632), ISBLANK(M1632))),
        "",
        MAX(
            1,
            IF(
                NETWORKDAYS(IF(NOT(ISBLANK(M1632)), M1632, L1632), N1632, Holiday_Dates) &lt;= 0,
                1,
                NETWORKDAYS(IF(NOT(ISBLANK(M1632)), M1632, L1632), N1632, Holiday_Dates)
                - IF(IF(NOT(ISBLANK(M1632)), M1632, L1632) = N1632, 0, 1)
            )
        )
    ),
    ""
)</f>
        <v/>
      </c>
      <c r="S1632" s="385" t="str">
        <f>IFERROR(
    IF(
        OR(ISBLANK(N1632), ISBLANK(O1632)),
        "",
        MAX(
            1,
            IF(
                NETWORKDAYS(N1632, O1632, Holiday_Dates) &lt;= 0,
                1,
                NETWORKDAYS(N1632, O1632, Holiday_Dates) - IF(N1632 = O1632, 0, 1)
            )
        )
    ),
    ""
)</f>
        <v/>
      </c>
      <c r="T1632" s="385"/>
      <c r="U1632" s="385"/>
      <c r="V1632" s="385"/>
      <c r="W1632" s="385" t="s">
        <v>4710</v>
      </c>
      <c r="X1632" s="1"/>
    </row>
    <row r="1633" spans="1:24">
      <c r="A1633" s="385" t="s">
        <v>65</v>
      </c>
      <c r="B1633" s="385" t="s">
        <v>446</v>
      </c>
      <c r="C1633" s="385" t="s">
        <v>3422</v>
      </c>
      <c r="D1633" s="385" t="s">
        <v>88</v>
      </c>
      <c r="E1633" s="385" t="s">
        <v>140</v>
      </c>
      <c r="F1633" s="385"/>
      <c r="G1633" s="385" t="s">
        <v>130</v>
      </c>
      <c r="H1633" s="385"/>
      <c r="I1633" s="385"/>
      <c r="J1633" s="30"/>
      <c r="K1633" s="385" t="s">
        <v>64</v>
      </c>
      <c r="L1633" s="385"/>
      <c r="M1633" s="385"/>
      <c r="N1633" s="385"/>
      <c r="O1633" s="385"/>
      <c r="P1633" s="385" t="str">
        <f>IFERROR(
    IF(
        OR(ISBLANK(I1633), ISBLANK(L1633)),
        "",
        MAX(
            1,
            IF(
                NETWORKDAYS(I1633, L1633, Holiday_Dates) &lt;= 0,
                1,
                NETWORKDAYS(I1633, L1633, Holiday_Dates) - IF(I1633 = L1633, 0, 1)
            )
        )
    ),
    ""
)</f>
        <v/>
      </c>
      <c r="Q1633" s="385" t="str">
        <f>IF(
    OR(ISBLANK(L1633), ISBLANK(M1633)),
    "",
    MAX(
        1,
        IF(
            NETWORKDAYS(L1633, M1633, Holiday_Dates) &lt;= 0,
            1,
            NETWORKDAYS(L1633, M1633, Holiday_Dates) - IF(L1633 = M1633, 0, 1)
        )
    )
)</f>
        <v/>
      </c>
      <c r="R1633" s="385" t="str">
        <f>IFERROR(
    IF(
        OR(ISBLANK(N1633), AND(ISBLANK(L1633), ISBLANK(M1633))),
        "",
        MAX(
            1,
            IF(
                NETWORKDAYS(IF(NOT(ISBLANK(M1633)), M1633, L1633), N1633, Holiday_Dates) &lt;= 0,
                1,
                NETWORKDAYS(IF(NOT(ISBLANK(M1633)), M1633, L1633), N1633, Holiday_Dates)
                - IF(IF(NOT(ISBLANK(M1633)), M1633, L1633) = N1633, 0, 1)
            )
        )
    ),
    ""
)</f>
        <v/>
      </c>
      <c r="S1633" s="385" t="str">
        <f>IFERROR(
    IF(
        OR(ISBLANK(N1633), ISBLANK(O1633)),
        "",
        MAX(
            1,
            IF(
                NETWORKDAYS(N1633, O1633, Holiday_Dates) &lt;= 0,
                1,
                NETWORKDAYS(N1633, O1633, Holiday_Dates) - IF(N1633 = O1633, 0, 1)
            )
        )
    ),
    ""
)</f>
        <v/>
      </c>
      <c r="T1633" s="385"/>
      <c r="U1633" s="385"/>
      <c r="V1633" s="385"/>
      <c r="W1633" s="385" t="s">
        <v>4710</v>
      </c>
      <c r="X1633" s="1"/>
    </row>
    <row r="1634" spans="1:24">
      <c r="A1634" s="385" t="s">
        <v>65</v>
      </c>
      <c r="B1634" s="385" t="s">
        <v>446</v>
      </c>
      <c r="C1634" s="385" t="s">
        <v>3409</v>
      </c>
      <c r="D1634" s="385" t="s">
        <v>88</v>
      </c>
      <c r="E1634" s="385" t="s">
        <v>140</v>
      </c>
      <c r="F1634" s="385"/>
      <c r="G1634" s="385" t="s">
        <v>130</v>
      </c>
      <c r="H1634" s="385"/>
      <c r="I1634" s="385"/>
      <c r="J1634" s="30"/>
      <c r="K1634" s="385" t="s">
        <v>64</v>
      </c>
      <c r="L1634" s="385"/>
      <c r="M1634" s="385"/>
      <c r="N1634" s="385"/>
      <c r="O1634" s="385"/>
      <c r="P1634" s="385" t="str">
        <f>IFERROR(
    IF(
        OR(ISBLANK(I1634), ISBLANK(L1634)),
        "",
        MAX(
            1,
            IF(
                NETWORKDAYS(I1634, L1634, Holiday_Dates) &lt;= 0,
                1,
                NETWORKDAYS(I1634, L1634, Holiday_Dates) - IF(I1634 = L1634, 0, 1)
            )
        )
    ),
    ""
)</f>
        <v/>
      </c>
      <c r="Q1634" s="385" t="str">
        <f>IF(
    OR(ISBLANK(L1634), ISBLANK(M1634)),
    "",
    MAX(
        1,
        IF(
            NETWORKDAYS(L1634, M1634, Holiday_Dates) &lt;= 0,
            1,
            NETWORKDAYS(L1634, M1634, Holiday_Dates) - IF(L1634 = M1634, 0, 1)
        )
    )
)</f>
        <v/>
      </c>
      <c r="R1634" s="385" t="str">
        <f>IFERROR(
    IF(
        OR(ISBLANK(N1634), AND(ISBLANK(L1634), ISBLANK(M1634))),
        "",
        MAX(
            1,
            IF(
                NETWORKDAYS(IF(NOT(ISBLANK(M1634)), M1634, L1634), N1634, Holiday_Dates) &lt;= 0,
                1,
                NETWORKDAYS(IF(NOT(ISBLANK(M1634)), M1634, L1634), N1634, Holiday_Dates)
                - IF(IF(NOT(ISBLANK(M1634)), M1634, L1634) = N1634, 0, 1)
            )
        )
    ),
    ""
)</f>
        <v/>
      </c>
      <c r="S1634" s="385" t="str">
        <f>IFERROR(
    IF(
        OR(ISBLANK(N1634), ISBLANK(O1634)),
        "",
        MAX(
            1,
            IF(
                NETWORKDAYS(N1634, O1634, Holiday_Dates) &lt;= 0,
                1,
                NETWORKDAYS(N1634, O1634, Holiday_Dates) - IF(N1634 = O1634, 0, 1)
            )
        )
    ),
    ""
)</f>
        <v/>
      </c>
      <c r="T1634" s="385"/>
      <c r="U1634" s="385"/>
      <c r="V1634" s="385"/>
      <c r="W1634" s="385" t="s">
        <v>4710</v>
      </c>
      <c r="X1634" s="1"/>
    </row>
    <row r="1635" spans="1:24">
      <c r="A1635" s="385" t="s">
        <v>65</v>
      </c>
      <c r="B1635" s="385" t="s">
        <v>446</v>
      </c>
      <c r="C1635" s="385" t="s">
        <v>3415</v>
      </c>
      <c r="D1635" s="385" t="s">
        <v>88</v>
      </c>
      <c r="E1635" s="385" t="s">
        <v>140</v>
      </c>
      <c r="F1635" s="385"/>
      <c r="G1635" s="385" t="s">
        <v>130</v>
      </c>
      <c r="H1635" s="385"/>
      <c r="I1635" s="385"/>
      <c r="J1635" s="30"/>
      <c r="K1635" s="385" t="s">
        <v>64</v>
      </c>
      <c r="L1635" s="385"/>
      <c r="M1635" s="385"/>
      <c r="N1635" s="385"/>
      <c r="O1635" s="385"/>
      <c r="P1635" s="385" t="str">
        <f>IFERROR(
    IF(
        OR(ISBLANK(I1635), ISBLANK(L1635)),
        "",
        MAX(
            1,
            IF(
                NETWORKDAYS(I1635, L1635, Holiday_Dates) &lt;= 0,
                1,
                NETWORKDAYS(I1635, L1635, Holiday_Dates) - IF(I1635 = L1635, 0, 1)
            )
        )
    ),
    ""
)</f>
        <v/>
      </c>
      <c r="Q1635" s="385" t="str">
        <f>IF(
    OR(ISBLANK(L1635), ISBLANK(M1635)),
    "",
    MAX(
        1,
        IF(
            NETWORKDAYS(L1635, M1635, Holiday_Dates) &lt;= 0,
            1,
            NETWORKDAYS(L1635, M1635, Holiday_Dates) - IF(L1635 = M1635, 0, 1)
        )
    )
)</f>
        <v/>
      </c>
      <c r="R1635" s="385" t="str">
        <f>IFERROR(
    IF(
        OR(ISBLANK(N1635), AND(ISBLANK(L1635), ISBLANK(M1635))),
        "",
        MAX(
            1,
            IF(
                NETWORKDAYS(IF(NOT(ISBLANK(M1635)), M1635, L1635), N1635, Holiday_Dates) &lt;= 0,
                1,
                NETWORKDAYS(IF(NOT(ISBLANK(M1635)), M1635, L1635), N1635, Holiday_Dates)
                - IF(IF(NOT(ISBLANK(M1635)), M1635, L1635) = N1635, 0, 1)
            )
        )
    ),
    ""
)</f>
        <v/>
      </c>
      <c r="S1635" s="385" t="str">
        <f>IFERROR(
    IF(
        OR(ISBLANK(N1635), ISBLANK(O1635)),
        "",
        MAX(
            1,
            IF(
                NETWORKDAYS(N1635, O1635, Holiday_Dates) &lt;= 0,
                1,
                NETWORKDAYS(N1635, O1635, Holiday_Dates) - IF(N1635 = O1635, 0, 1)
            )
        )
    ),
    ""
)</f>
        <v/>
      </c>
      <c r="T1635" s="385"/>
      <c r="U1635" s="385"/>
      <c r="V1635" s="385"/>
      <c r="W1635" s="385" t="s">
        <v>4710</v>
      </c>
      <c r="X1635" s="1"/>
    </row>
    <row r="1636" spans="1:24">
      <c r="A1636" s="385" t="s">
        <v>65</v>
      </c>
      <c r="B1636" s="385" t="s">
        <v>524</v>
      </c>
      <c r="C1636" s="385" t="s">
        <v>1862</v>
      </c>
      <c r="D1636" s="385" t="s">
        <v>88</v>
      </c>
      <c r="E1636" s="385"/>
      <c r="F1636" s="385"/>
      <c r="G1636" s="385"/>
      <c r="H1636" s="385">
        <v>2025</v>
      </c>
      <c r="I1636" s="386">
        <v>45909</v>
      </c>
      <c r="J1636" s="30" t="s">
        <v>5333</v>
      </c>
      <c r="K1636" s="385"/>
      <c r="L1636" s="385"/>
      <c r="M1636" s="385"/>
      <c r="N1636" s="385"/>
      <c r="O1636" s="385"/>
      <c r="P1636" s="385" t="str">
        <f>IFERROR(
    IF(
        OR(ISBLANK(I1636), ISBLANK(L1636)),
        "",
        MAX(
            1,
            IF(
                NETWORKDAYS(I1636, L1636, Holiday_Dates) &lt;= 0,
                1,
                NETWORKDAYS(I1636, L1636, Holiday_Dates) - IF(I1636 = L1636, 0, 1)
            )
        )
    ),
    ""
)</f>
        <v/>
      </c>
      <c r="Q1636" s="385" t="str">
        <f>IF(
    OR(ISBLANK(L1636), ISBLANK(M1636)),
    "",
    MAX(
        1,
        IF(
            NETWORKDAYS(L1636, M1636, Holiday_Dates) &lt;= 0,
            1,
            NETWORKDAYS(L1636, M1636, Holiday_Dates) - IF(L1636 = M1636, 0, 1)
        )
    )
)</f>
        <v/>
      </c>
      <c r="R1636" s="385" t="str">
        <f>IFERROR(
    IF(
        OR(ISBLANK(N1636), AND(ISBLANK(L1636), ISBLANK(M1636))),
        "",
        MAX(
            1,
            IF(
                NETWORKDAYS(IF(NOT(ISBLANK(M1636)), M1636, L1636), N1636, Holiday_Dates) &lt;= 0,
                1,
                NETWORKDAYS(IF(NOT(ISBLANK(M1636)), M1636, L1636), N1636, Holiday_Dates)
                - IF(IF(NOT(ISBLANK(M1636)), M1636, L1636) = N1636, 0, 1)
            )
        )
    ),
    ""
)</f>
        <v/>
      </c>
      <c r="S1636" s="385" t="str">
        <f>IFERROR(
    IF(
        OR(ISBLANK(N1636), ISBLANK(O1636)),
        "",
        MAX(
            1,
            IF(
                NETWORKDAYS(N1636, O1636, Holiday_Dates) &lt;= 0,
                1,
                NETWORKDAYS(N1636, O1636, Holiday_Dates) - IF(N1636 = O1636, 0, 1)
            )
        )
    ),
    ""
)</f>
        <v/>
      </c>
      <c r="T1636" s="385"/>
      <c r="U1636" s="385" t="s">
        <v>672</v>
      </c>
      <c r="V1636" s="385" t="s">
        <v>101</v>
      </c>
      <c r="W1636" s="385" t="s">
        <v>1436</v>
      </c>
      <c r="X1636" s="1"/>
    </row>
    <row r="1637" spans="1:24">
      <c r="A1637" s="385" t="s">
        <v>52</v>
      </c>
      <c r="B1637" s="385" t="s">
        <v>463</v>
      </c>
      <c r="C1637" s="385" t="s">
        <v>714</v>
      </c>
      <c r="D1637" s="385" t="s">
        <v>89</v>
      </c>
      <c r="E1637" s="385" t="s">
        <v>37</v>
      </c>
      <c r="F1637" s="385"/>
      <c r="G1637" s="385" t="s">
        <v>28</v>
      </c>
      <c r="H1637" s="385"/>
      <c r="I1637" s="385"/>
      <c r="J1637" s="30"/>
      <c r="K1637" s="385" t="s">
        <v>64</v>
      </c>
      <c r="L1637" s="385"/>
      <c r="M1637" s="385"/>
      <c r="N1637" s="385"/>
      <c r="O1637" s="385"/>
      <c r="P1637" s="385" t="str">
        <f>IFERROR(
    IF(
        OR(ISBLANK(I1637), ISBLANK(L1637)),
        "",
        MAX(
            1,
            IF(
                NETWORKDAYS(I1637, L1637, Holiday_Dates) &lt;= 0,
                1,
                NETWORKDAYS(I1637, L1637, Holiday_Dates) - IF(I1637 = L1637, 0, 1)
            )
        )
    ),
    ""
)</f>
        <v/>
      </c>
      <c r="Q1637" s="385" t="str">
        <f>IF(
    OR(ISBLANK(L1637), ISBLANK(M1637)),
    "",
    MAX(
        1,
        IF(
            NETWORKDAYS(L1637, M1637, Holiday_Dates) &lt;= 0,
            1,
            NETWORKDAYS(L1637, M1637, Holiday_Dates) - IF(L1637 = M1637, 0, 1)
        )
    )
)</f>
        <v/>
      </c>
      <c r="R1637" s="385" t="str">
        <f>IFERROR(
    IF(
        OR(ISBLANK(N1637), AND(ISBLANK(L1637), ISBLANK(M1637))),
        "",
        MAX(
            1,
            IF(
                NETWORKDAYS(IF(NOT(ISBLANK(M1637)), M1637, L1637), N1637, Holiday_Dates) &lt;= 0,
                1,
                NETWORKDAYS(IF(NOT(ISBLANK(M1637)), M1637, L1637), N1637, Holiday_Dates)
                - IF(IF(NOT(ISBLANK(M1637)), M1637, L1637) = N1637, 0, 1)
            )
        )
    ),
    ""
)</f>
        <v/>
      </c>
      <c r="S1637" s="385" t="str">
        <f>IFERROR(
    IF(
        OR(ISBLANK(N1637), ISBLANK(O1637)),
        "",
        MAX(
            1,
            IF(
                NETWORKDAYS(N1637, O1637, Holiday_Dates) &lt;= 0,
                1,
                NETWORKDAYS(N1637, O1637, Holiday_Dates) - IF(N1637 = O1637, 0, 1)
            )
        )
    ),
    ""
)</f>
        <v/>
      </c>
      <c r="T1637" s="385"/>
      <c r="U1637" s="385"/>
      <c r="V1637" s="385"/>
      <c r="W1637" s="385" t="s">
        <v>4710</v>
      </c>
      <c r="X1637" s="1"/>
    </row>
    <row r="1638" spans="1:24">
      <c r="A1638" s="385" t="s">
        <v>52</v>
      </c>
      <c r="B1638" s="385" t="s">
        <v>420</v>
      </c>
      <c r="C1638" s="385" t="s">
        <v>4092</v>
      </c>
      <c r="D1638" s="385" t="s">
        <v>89</v>
      </c>
      <c r="E1638" s="385" t="s">
        <v>38</v>
      </c>
      <c r="F1638" s="385"/>
      <c r="G1638" s="385" t="s">
        <v>28</v>
      </c>
      <c r="H1638" s="385"/>
      <c r="I1638" s="385"/>
      <c r="J1638" s="30"/>
      <c r="K1638" s="385" t="s">
        <v>64</v>
      </c>
      <c r="L1638" s="385"/>
      <c r="M1638" s="385"/>
      <c r="N1638" s="385"/>
      <c r="O1638" s="385"/>
      <c r="P1638" s="385" t="str">
        <f>IFERROR(
    IF(
        OR(ISBLANK(I1638), ISBLANK(L1638)),
        "",
        MAX(
            1,
            IF(
                NETWORKDAYS(I1638, L1638, Holiday_Dates) &lt;= 0,
                1,
                NETWORKDAYS(I1638, L1638, Holiday_Dates) - IF(I1638 = L1638, 0, 1)
            )
        )
    ),
    ""
)</f>
        <v/>
      </c>
      <c r="Q1638" s="385" t="str">
        <f>IF(
    OR(ISBLANK(L1638), ISBLANK(M1638)),
    "",
    MAX(
        1,
        IF(
            NETWORKDAYS(L1638, M1638, Holiday_Dates) &lt;= 0,
            1,
            NETWORKDAYS(L1638, M1638, Holiday_Dates) - IF(L1638 = M1638, 0, 1)
        )
    )
)</f>
        <v/>
      </c>
      <c r="R1638" s="385" t="str">
        <f>IFERROR(
    IF(
        OR(ISBLANK(N1638), AND(ISBLANK(L1638), ISBLANK(M1638))),
        "",
        MAX(
            1,
            IF(
                NETWORKDAYS(IF(NOT(ISBLANK(M1638)), M1638, L1638), N1638, Holiday_Dates) &lt;= 0,
                1,
                NETWORKDAYS(IF(NOT(ISBLANK(M1638)), M1638, L1638), N1638, Holiday_Dates)
                - IF(IF(NOT(ISBLANK(M1638)), M1638, L1638) = N1638, 0, 1)
            )
        )
    ),
    ""
)</f>
        <v/>
      </c>
      <c r="S1638" s="385" t="str">
        <f>IFERROR(
    IF(
        OR(ISBLANK(N1638), ISBLANK(O1638)),
        "",
        MAX(
            1,
            IF(
                NETWORKDAYS(N1638, O1638, Holiday_Dates) &lt;= 0,
                1,
                NETWORKDAYS(N1638, O1638, Holiday_Dates) - IF(N1638 = O1638, 0, 1)
            )
        )
    ),
    ""
)</f>
        <v/>
      </c>
      <c r="T1638" s="385"/>
      <c r="U1638" s="385"/>
      <c r="V1638" s="385"/>
      <c r="W1638" s="385" t="s">
        <v>4710</v>
      </c>
      <c r="X1638" s="1"/>
    </row>
    <row r="1639" spans="1:24">
      <c r="A1639" s="385" t="s">
        <v>65</v>
      </c>
      <c r="B1639" s="385" t="s">
        <v>528</v>
      </c>
      <c r="C1639" s="385" t="s">
        <v>3168</v>
      </c>
      <c r="D1639" s="385" t="s">
        <v>88</v>
      </c>
      <c r="E1639" s="385" t="s">
        <v>29</v>
      </c>
      <c r="F1639" s="385"/>
      <c r="G1639" s="385" t="s">
        <v>130</v>
      </c>
      <c r="H1639" s="385"/>
      <c r="I1639" s="385"/>
      <c r="J1639" s="30"/>
      <c r="K1639" s="385" t="s">
        <v>64</v>
      </c>
      <c r="L1639" s="385"/>
      <c r="M1639" s="385"/>
      <c r="N1639" s="385"/>
      <c r="O1639" s="385"/>
      <c r="P1639" s="385" t="str">
        <f>IFERROR(
    IF(
        OR(ISBLANK(I1639), ISBLANK(L1639)),
        "",
        MAX(
            1,
            IF(
                NETWORKDAYS(I1639, L1639, Holiday_Dates) &lt;= 0,
                1,
                NETWORKDAYS(I1639, L1639, Holiday_Dates) - IF(I1639 = L1639, 0, 1)
            )
        )
    ),
    ""
)</f>
        <v/>
      </c>
      <c r="Q1639" s="385" t="str">
        <f>IF(
    OR(ISBLANK(L1639), ISBLANK(M1639)),
    "",
    MAX(
        1,
        IF(
            NETWORKDAYS(L1639, M1639, Holiday_Dates) &lt;= 0,
            1,
            NETWORKDAYS(L1639, M1639, Holiday_Dates) - IF(L1639 = M1639, 0, 1)
        )
    )
)</f>
        <v/>
      </c>
      <c r="R1639" s="385" t="str">
        <f>IFERROR(
    IF(
        OR(ISBLANK(N1639), AND(ISBLANK(L1639), ISBLANK(M1639))),
        "",
        MAX(
            1,
            IF(
                NETWORKDAYS(IF(NOT(ISBLANK(M1639)), M1639, L1639), N1639, Holiday_Dates) &lt;= 0,
                1,
                NETWORKDAYS(IF(NOT(ISBLANK(M1639)), M1639, L1639), N1639, Holiday_Dates)
                - IF(IF(NOT(ISBLANK(M1639)), M1639, L1639) = N1639, 0, 1)
            )
        )
    ),
    ""
)</f>
        <v/>
      </c>
      <c r="S1639" s="385" t="str">
        <f>IFERROR(
    IF(
        OR(ISBLANK(N1639), ISBLANK(O1639)),
        "",
        MAX(
            1,
            IF(
                NETWORKDAYS(N1639, O1639, Holiday_Dates) &lt;= 0,
                1,
                NETWORKDAYS(N1639, O1639, Holiday_Dates) - IF(N1639 = O1639, 0, 1)
            )
        )
    ),
    ""
)</f>
        <v/>
      </c>
      <c r="T1639" s="385"/>
      <c r="U1639" s="385"/>
      <c r="V1639" s="385"/>
      <c r="W1639" s="385" t="s">
        <v>4710</v>
      </c>
      <c r="X1639" s="1"/>
    </row>
    <row r="1640" spans="1:24">
      <c r="A1640" s="385" t="s">
        <v>65</v>
      </c>
      <c r="B1640" s="385" t="s">
        <v>524</v>
      </c>
      <c r="C1640" s="385" t="s">
        <v>3246</v>
      </c>
      <c r="D1640" s="385" t="s">
        <v>88</v>
      </c>
      <c r="E1640" s="385"/>
      <c r="F1640" s="385"/>
      <c r="G1640" s="385"/>
      <c r="H1640" s="385">
        <v>2025</v>
      </c>
      <c r="I1640" s="386">
        <v>45875</v>
      </c>
      <c r="J1640" s="30" t="s">
        <v>5334</v>
      </c>
      <c r="K1640" s="385"/>
      <c r="L1640" s="385"/>
      <c r="M1640" s="385"/>
      <c r="N1640" s="385"/>
      <c r="O1640" s="385"/>
      <c r="P1640" s="385" t="str">
        <f>IFERROR(
    IF(
        OR(ISBLANK(I1640), ISBLANK(L1640)),
        "",
        MAX(
            1,
            IF(
                NETWORKDAYS(I1640, L1640, Holiday_Dates) &lt;= 0,
                1,
                NETWORKDAYS(I1640, L1640, Holiday_Dates) - IF(I1640 = L1640, 0, 1)
            )
        )
    ),
    ""
)</f>
        <v/>
      </c>
      <c r="Q1640" s="385" t="str">
        <f>IF(
    OR(ISBLANK(L1640), ISBLANK(M1640)),
    "",
    MAX(
        1,
        IF(
            NETWORKDAYS(L1640, M1640, Holiday_Dates) &lt;= 0,
            1,
            NETWORKDAYS(L1640, M1640, Holiday_Dates) - IF(L1640 = M1640, 0, 1)
        )
    )
)</f>
        <v/>
      </c>
      <c r="R1640" s="385" t="str">
        <f>IFERROR(
    IF(
        OR(ISBLANK(N1640), AND(ISBLANK(L1640), ISBLANK(M1640))),
        "",
        MAX(
            1,
            IF(
                NETWORKDAYS(IF(NOT(ISBLANK(M1640)), M1640, L1640), N1640, Holiday_Dates) &lt;= 0,
                1,
                NETWORKDAYS(IF(NOT(ISBLANK(M1640)), M1640, L1640), N1640, Holiday_Dates)
                - IF(IF(NOT(ISBLANK(M1640)), M1640, L1640) = N1640, 0, 1)
            )
        )
    ),
    ""
)</f>
        <v/>
      </c>
      <c r="S1640" s="385" t="str">
        <f>IFERROR(
    IF(
        OR(ISBLANK(N1640), ISBLANK(O1640)),
        "",
        MAX(
            1,
            IF(
                NETWORKDAYS(N1640, O1640, Holiday_Dates) &lt;= 0,
                1,
                NETWORKDAYS(N1640, O1640, Holiday_Dates) - IF(N1640 = O1640, 0, 1)
            )
        )
    ),
    ""
)</f>
        <v/>
      </c>
      <c r="T1640" s="385"/>
      <c r="U1640" s="385" t="s">
        <v>4</v>
      </c>
      <c r="V1640" s="385" t="s">
        <v>101</v>
      </c>
      <c r="W1640" s="385" t="s">
        <v>1436</v>
      </c>
      <c r="X1640" s="1"/>
    </row>
    <row r="1641" spans="1:24">
      <c r="A1641" s="385" t="s">
        <v>65</v>
      </c>
      <c r="B1641" s="385" t="s">
        <v>528</v>
      </c>
      <c r="C1641" s="385" t="s">
        <v>3452</v>
      </c>
      <c r="D1641" s="385" t="s">
        <v>88</v>
      </c>
      <c r="E1641" s="385" t="s">
        <v>29</v>
      </c>
      <c r="F1641" s="385"/>
      <c r="G1641" s="385" t="s">
        <v>130</v>
      </c>
      <c r="H1641" s="385"/>
      <c r="I1641" s="385"/>
      <c r="J1641" s="30"/>
      <c r="K1641" s="385" t="s">
        <v>64</v>
      </c>
      <c r="L1641" s="385"/>
      <c r="M1641" s="385"/>
      <c r="N1641" s="385"/>
      <c r="O1641" s="385"/>
      <c r="P1641" s="385" t="str">
        <f>IFERROR(
    IF(
        OR(ISBLANK(I1641), ISBLANK(L1641)),
        "",
        MAX(
            1,
            IF(
                NETWORKDAYS(I1641, L1641, Holiday_Dates) &lt;= 0,
                1,
                NETWORKDAYS(I1641, L1641, Holiday_Dates) - IF(I1641 = L1641, 0, 1)
            )
        )
    ),
    ""
)</f>
        <v/>
      </c>
      <c r="Q1641" s="385" t="str">
        <f>IF(
    OR(ISBLANK(L1641), ISBLANK(M1641)),
    "",
    MAX(
        1,
        IF(
            NETWORKDAYS(L1641, M1641, Holiday_Dates) &lt;= 0,
            1,
            NETWORKDAYS(L1641, M1641, Holiday_Dates) - IF(L1641 = M1641, 0, 1)
        )
    )
)</f>
        <v/>
      </c>
      <c r="R1641" s="385" t="str">
        <f>IFERROR(
    IF(
        OR(ISBLANK(N1641), AND(ISBLANK(L1641), ISBLANK(M1641))),
        "",
        MAX(
            1,
            IF(
                NETWORKDAYS(IF(NOT(ISBLANK(M1641)), M1641, L1641), N1641, Holiday_Dates) &lt;= 0,
                1,
                NETWORKDAYS(IF(NOT(ISBLANK(M1641)), M1641, L1641), N1641, Holiday_Dates)
                - IF(IF(NOT(ISBLANK(M1641)), M1641, L1641) = N1641, 0, 1)
            )
        )
    ),
    ""
)</f>
        <v/>
      </c>
      <c r="S1641" s="385" t="str">
        <f>IFERROR(
    IF(
        OR(ISBLANK(N1641), ISBLANK(O1641)),
        "",
        MAX(
            1,
            IF(
                NETWORKDAYS(N1641, O1641, Holiday_Dates) &lt;= 0,
                1,
                NETWORKDAYS(N1641, O1641, Holiday_Dates) - IF(N1641 = O1641, 0, 1)
            )
        )
    ),
    ""
)</f>
        <v/>
      </c>
      <c r="T1641" s="385"/>
      <c r="U1641" s="385"/>
      <c r="V1641" s="385"/>
      <c r="W1641" s="385" t="s">
        <v>4710</v>
      </c>
      <c r="X1641" s="1"/>
    </row>
    <row r="1642" spans="1:24">
      <c r="A1642" s="385" t="s">
        <v>65</v>
      </c>
      <c r="B1642" s="385" t="s">
        <v>528</v>
      </c>
      <c r="C1642" s="385" t="s">
        <v>3457</v>
      </c>
      <c r="D1642" s="385" t="s">
        <v>88</v>
      </c>
      <c r="E1642" s="385" t="s">
        <v>29</v>
      </c>
      <c r="F1642" s="385"/>
      <c r="G1642" s="385" t="s">
        <v>130</v>
      </c>
      <c r="H1642" s="385"/>
      <c r="I1642" s="385"/>
      <c r="J1642" s="30"/>
      <c r="K1642" s="385" t="s">
        <v>64</v>
      </c>
      <c r="L1642" s="385"/>
      <c r="M1642" s="385"/>
      <c r="N1642" s="385"/>
      <c r="O1642" s="385"/>
      <c r="P1642" s="385" t="str">
        <f>IFERROR(
    IF(
        OR(ISBLANK(I1642), ISBLANK(L1642)),
        "",
        MAX(
            1,
            IF(
                NETWORKDAYS(I1642, L1642, Holiday_Dates) &lt;= 0,
                1,
                NETWORKDAYS(I1642, L1642, Holiday_Dates) - IF(I1642 = L1642, 0, 1)
            )
        )
    ),
    ""
)</f>
        <v/>
      </c>
      <c r="Q1642" s="385" t="str">
        <f>IF(
    OR(ISBLANK(L1642), ISBLANK(M1642)),
    "",
    MAX(
        1,
        IF(
            NETWORKDAYS(L1642, M1642, Holiday_Dates) &lt;= 0,
            1,
            NETWORKDAYS(L1642, M1642, Holiday_Dates) - IF(L1642 = M1642, 0, 1)
        )
    )
)</f>
        <v/>
      </c>
      <c r="R1642" s="385" t="str">
        <f>IFERROR(
    IF(
        OR(ISBLANK(N1642), AND(ISBLANK(L1642), ISBLANK(M1642))),
        "",
        MAX(
            1,
            IF(
                NETWORKDAYS(IF(NOT(ISBLANK(M1642)), M1642, L1642), N1642, Holiday_Dates) &lt;= 0,
                1,
                NETWORKDAYS(IF(NOT(ISBLANK(M1642)), M1642, L1642), N1642, Holiday_Dates)
                - IF(IF(NOT(ISBLANK(M1642)), M1642, L1642) = N1642, 0, 1)
            )
        )
    ),
    ""
)</f>
        <v/>
      </c>
      <c r="S1642" s="385" t="str">
        <f>IFERROR(
    IF(
        OR(ISBLANK(N1642), ISBLANK(O1642)),
        "",
        MAX(
            1,
            IF(
                NETWORKDAYS(N1642, O1642, Holiday_Dates) &lt;= 0,
                1,
                NETWORKDAYS(N1642, O1642, Holiday_Dates) - IF(N1642 = O1642, 0, 1)
            )
        )
    ),
    ""
)</f>
        <v/>
      </c>
      <c r="T1642" s="385"/>
      <c r="U1642" s="385"/>
      <c r="V1642" s="385"/>
      <c r="W1642" s="385" t="s">
        <v>4710</v>
      </c>
      <c r="X1642" s="1"/>
    </row>
    <row r="1643" spans="1:24">
      <c r="A1643" s="385" t="s">
        <v>65</v>
      </c>
      <c r="B1643" s="385" t="s">
        <v>528</v>
      </c>
      <c r="C1643" s="385" t="s">
        <v>3458</v>
      </c>
      <c r="D1643" s="385" t="s">
        <v>88</v>
      </c>
      <c r="E1643" s="385" t="s">
        <v>29</v>
      </c>
      <c r="F1643" s="385"/>
      <c r="G1643" s="385" t="s">
        <v>130</v>
      </c>
      <c r="H1643" s="385"/>
      <c r="I1643" s="385"/>
      <c r="J1643" s="30"/>
      <c r="K1643" s="385" t="s">
        <v>64</v>
      </c>
      <c r="L1643" s="385"/>
      <c r="M1643" s="385"/>
      <c r="N1643" s="385"/>
      <c r="O1643" s="385"/>
      <c r="P1643" s="385" t="str">
        <f>IFERROR(
    IF(
        OR(ISBLANK(I1643), ISBLANK(L1643)),
        "",
        MAX(
            1,
            IF(
                NETWORKDAYS(I1643, L1643, Holiday_Dates) &lt;= 0,
                1,
                NETWORKDAYS(I1643, L1643, Holiday_Dates) - IF(I1643 = L1643, 0, 1)
            )
        )
    ),
    ""
)</f>
        <v/>
      </c>
      <c r="Q1643" s="385" t="str">
        <f>IF(
    OR(ISBLANK(L1643), ISBLANK(M1643)),
    "",
    MAX(
        1,
        IF(
            NETWORKDAYS(L1643, M1643, Holiday_Dates) &lt;= 0,
            1,
            NETWORKDAYS(L1643, M1643, Holiday_Dates) - IF(L1643 = M1643, 0, 1)
        )
    )
)</f>
        <v/>
      </c>
      <c r="R1643" s="385" t="str">
        <f>IFERROR(
    IF(
        OR(ISBLANK(N1643), AND(ISBLANK(L1643), ISBLANK(M1643))),
        "",
        MAX(
            1,
            IF(
                NETWORKDAYS(IF(NOT(ISBLANK(M1643)), M1643, L1643), N1643, Holiday_Dates) &lt;= 0,
                1,
                NETWORKDAYS(IF(NOT(ISBLANK(M1643)), M1643, L1643), N1643, Holiday_Dates)
                - IF(IF(NOT(ISBLANK(M1643)), M1643, L1643) = N1643, 0, 1)
            )
        )
    ),
    ""
)</f>
        <v/>
      </c>
      <c r="S1643" s="385" t="str">
        <f>IFERROR(
    IF(
        OR(ISBLANK(N1643), ISBLANK(O1643)),
        "",
        MAX(
            1,
            IF(
                NETWORKDAYS(N1643, O1643, Holiday_Dates) &lt;= 0,
                1,
                NETWORKDAYS(N1643, O1643, Holiday_Dates) - IF(N1643 = O1643, 0, 1)
            )
        )
    ),
    ""
)</f>
        <v/>
      </c>
      <c r="T1643" s="385"/>
      <c r="U1643" s="385"/>
      <c r="V1643" s="385"/>
      <c r="W1643" s="385" t="s">
        <v>4710</v>
      </c>
      <c r="X1643" s="1"/>
    </row>
    <row r="1644" spans="1:24">
      <c r="A1644" s="385" t="s">
        <v>65</v>
      </c>
      <c r="B1644" s="385" t="s">
        <v>528</v>
      </c>
      <c r="C1644" s="385" t="s">
        <v>3459</v>
      </c>
      <c r="D1644" s="385" t="s">
        <v>88</v>
      </c>
      <c r="E1644" s="385" t="s">
        <v>29</v>
      </c>
      <c r="F1644" s="385"/>
      <c r="G1644" s="385" t="s">
        <v>130</v>
      </c>
      <c r="H1644" s="385"/>
      <c r="I1644" s="385"/>
      <c r="J1644" s="30"/>
      <c r="K1644" s="385" t="s">
        <v>64</v>
      </c>
      <c r="L1644" s="385"/>
      <c r="M1644" s="385"/>
      <c r="N1644" s="385"/>
      <c r="O1644" s="385"/>
      <c r="P1644" s="385" t="str">
        <f>IFERROR(
    IF(
        OR(ISBLANK(I1644), ISBLANK(L1644)),
        "",
        MAX(
            1,
            IF(
                NETWORKDAYS(I1644, L1644, Holiday_Dates) &lt;= 0,
                1,
                NETWORKDAYS(I1644, L1644, Holiday_Dates) - IF(I1644 = L1644, 0, 1)
            )
        )
    ),
    ""
)</f>
        <v/>
      </c>
      <c r="Q1644" s="385" t="str">
        <f>IF(
    OR(ISBLANK(L1644), ISBLANK(M1644)),
    "",
    MAX(
        1,
        IF(
            NETWORKDAYS(L1644, M1644, Holiday_Dates) &lt;= 0,
            1,
            NETWORKDAYS(L1644, M1644, Holiday_Dates) - IF(L1644 = M1644, 0, 1)
        )
    )
)</f>
        <v/>
      </c>
      <c r="R1644" s="385" t="str">
        <f>IFERROR(
    IF(
        OR(ISBLANK(N1644), AND(ISBLANK(L1644), ISBLANK(M1644))),
        "",
        MAX(
            1,
            IF(
                NETWORKDAYS(IF(NOT(ISBLANK(M1644)), M1644, L1644), N1644, Holiday_Dates) &lt;= 0,
                1,
                NETWORKDAYS(IF(NOT(ISBLANK(M1644)), M1644, L1644), N1644, Holiday_Dates)
                - IF(IF(NOT(ISBLANK(M1644)), M1644, L1644) = N1644, 0, 1)
            )
        )
    ),
    ""
)</f>
        <v/>
      </c>
      <c r="S1644" s="385" t="str">
        <f>IFERROR(
    IF(
        OR(ISBLANK(N1644), ISBLANK(O1644)),
        "",
        MAX(
            1,
            IF(
                NETWORKDAYS(N1644, O1644, Holiday_Dates) &lt;= 0,
                1,
                NETWORKDAYS(N1644, O1644, Holiday_Dates) - IF(N1644 = O1644, 0, 1)
            )
        )
    ),
    ""
)</f>
        <v/>
      </c>
      <c r="T1644" s="385"/>
      <c r="U1644" s="385"/>
      <c r="V1644" s="385"/>
      <c r="W1644" s="385" t="s">
        <v>4710</v>
      </c>
      <c r="X1644" s="1"/>
    </row>
    <row r="1645" spans="1:24">
      <c r="A1645" s="385" t="s">
        <v>65</v>
      </c>
      <c r="B1645" s="385" t="s">
        <v>524</v>
      </c>
      <c r="C1645" s="385" t="s">
        <v>3369</v>
      </c>
      <c r="D1645" s="385" t="s">
        <v>88</v>
      </c>
      <c r="E1645" s="385"/>
      <c r="F1645" s="385"/>
      <c r="G1645" s="385"/>
      <c r="H1645" s="385">
        <v>2024</v>
      </c>
      <c r="I1645" s="386">
        <v>45405</v>
      </c>
      <c r="J1645" s="30"/>
      <c r="K1645" s="385"/>
      <c r="L1645" s="385"/>
      <c r="M1645" s="385"/>
      <c r="N1645" s="385"/>
      <c r="O1645" s="385"/>
      <c r="P1645" s="385" t="str">
        <f>IFERROR(
    IF(
        OR(ISBLANK(I1645), ISBLANK(L1645)),
        "",
        MAX(
            1,
            IF(
                NETWORKDAYS(I1645, L1645, Holiday_Dates) &lt;= 0,
                1,
                NETWORKDAYS(I1645, L1645, Holiday_Dates) - IF(I1645 = L1645, 0, 1)
            )
        )
    ),
    ""
)</f>
        <v/>
      </c>
      <c r="Q1645" s="385" t="str">
        <f>IF(
    OR(ISBLANK(L1645), ISBLANK(M1645)),
    "",
    MAX(
        1,
        IF(
            NETWORKDAYS(L1645, M1645, Holiday_Dates) &lt;= 0,
            1,
            NETWORKDAYS(L1645, M1645, Holiday_Dates) - IF(L1645 = M1645, 0, 1)
        )
    )
)</f>
        <v/>
      </c>
      <c r="R1645" s="385" t="str">
        <f>IFERROR(
    IF(
        OR(ISBLANK(N1645), AND(ISBLANK(L1645), ISBLANK(M1645))),
        "",
        MAX(
            1,
            IF(
                NETWORKDAYS(IF(NOT(ISBLANK(M1645)), M1645, L1645), N1645, Holiday_Dates) &lt;= 0,
                1,
                NETWORKDAYS(IF(NOT(ISBLANK(M1645)), M1645, L1645), N1645, Holiday_Dates)
                - IF(IF(NOT(ISBLANK(M1645)), M1645, L1645) = N1645, 0, 1)
            )
        )
    ),
    ""
)</f>
        <v/>
      </c>
      <c r="S1645" s="385" t="str">
        <f>IFERROR(
    IF(
        OR(ISBLANK(N1645), ISBLANK(O1645)),
        "",
        MAX(
            1,
            IF(
                NETWORKDAYS(N1645, O1645, Holiday_Dates) &lt;= 0,
                1,
                NETWORKDAYS(N1645, O1645, Holiday_Dates) - IF(N1645 = O1645, 0, 1)
            )
        )
    ),
    ""
)</f>
        <v/>
      </c>
      <c r="T1645" s="385"/>
      <c r="U1645" s="385" t="s">
        <v>672</v>
      </c>
      <c r="V1645" s="385"/>
      <c r="W1645" s="385" t="s">
        <v>1436</v>
      </c>
      <c r="X1645" s="1"/>
    </row>
    <row r="1646" spans="1:24">
      <c r="A1646" s="385" t="s">
        <v>65</v>
      </c>
      <c r="B1646" s="385" t="s">
        <v>528</v>
      </c>
      <c r="C1646" s="385" t="s">
        <v>3462</v>
      </c>
      <c r="D1646" s="385" t="s">
        <v>88</v>
      </c>
      <c r="E1646" s="385" t="s">
        <v>29</v>
      </c>
      <c r="F1646" s="385"/>
      <c r="G1646" s="385" t="s">
        <v>130</v>
      </c>
      <c r="H1646" s="385"/>
      <c r="I1646" s="385"/>
      <c r="J1646" s="30"/>
      <c r="K1646" s="385" t="s">
        <v>64</v>
      </c>
      <c r="L1646" s="385"/>
      <c r="M1646" s="385"/>
      <c r="N1646" s="385"/>
      <c r="O1646" s="385"/>
      <c r="P1646" s="385" t="str">
        <f>IFERROR(
    IF(
        OR(ISBLANK(I1646), ISBLANK(L1646)),
        "",
        MAX(
            1,
            IF(
                NETWORKDAYS(I1646, L1646, Holiday_Dates) &lt;= 0,
                1,
                NETWORKDAYS(I1646, L1646, Holiday_Dates) - IF(I1646 = L1646, 0, 1)
            )
        )
    ),
    ""
)</f>
        <v/>
      </c>
      <c r="Q1646" s="385" t="str">
        <f>IF(
    OR(ISBLANK(L1646), ISBLANK(M1646)),
    "",
    MAX(
        1,
        IF(
            NETWORKDAYS(L1646, M1646, Holiday_Dates) &lt;= 0,
            1,
            NETWORKDAYS(L1646, M1646, Holiday_Dates) - IF(L1646 = M1646, 0, 1)
        )
    )
)</f>
        <v/>
      </c>
      <c r="R1646" s="385" t="str">
        <f>IFERROR(
    IF(
        OR(ISBLANK(N1646), AND(ISBLANK(L1646), ISBLANK(M1646))),
        "",
        MAX(
            1,
            IF(
                NETWORKDAYS(IF(NOT(ISBLANK(M1646)), M1646, L1646), N1646, Holiday_Dates) &lt;= 0,
                1,
                NETWORKDAYS(IF(NOT(ISBLANK(M1646)), M1646, L1646), N1646, Holiday_Dates)
                - IF(IF(NOT(ISBLANK(M1646)), M1646, L1646) = N1646, 0, 1)
            )
        )
    ),
    ""
)</f>
        <v/>
      </c>
      <c r="S1646" s="385" t="str">
        <f>IFERROR(
    IF(
        OR(ISBLANK(N1646), ISBLANK(O1646)),
        "",
        MAX(
            1,
            IF(
                NETWORKDAYS(N1646, O1646, Holiday_Dates) &lt;= 0,
                1,
                NETWORKDAYS(N1646, O1646, Holiday_Dates) - IF(N1646 = O1646, 0, 1)
            )
        )
    ),
    ""
)</f>
        <v/>
      </c>
      <c r="T1646" s="385"/>
      <c r="U1646" s="385"/>
      <c r="V1646" s="385"/>
      <c r="W1646" s="385" t="s">
        <v>4710</v>
      </c>
      <c r="X1646" s="1"/>
    </row>
    <row r="1647" spans="1:24">
      <c r="A1647" s="385" t="s">
        <v>65</v>
      </c>
      <c r="B1647" s="385" t="s">
        <v>524</v>
      </c>
      <c r="C1647" s="385" t="s">
        <v>3380</v>
      </c>
      <c r="D1647" s="385" t="s">
        <v>88</v>
      </c>
      <c r="E1647" s="385"/>
      <c r="F1647" s="385"/>
      <c r="G1647" s="385"/>
      <c r="H1647" s="385">
        <v>2025</v>
      </c>
      <c r="I1647" s="386">
        <v>45931</v>
      </c>
      <c r="J1647" s="30" t="s">
        <v>5335</v>
      </c>
      <c r="K1647" s="385"/>
      <c r="L1647" s="385"/>
      <c r="M1647" s="385"/>
      <c r="N1647" s="385"/>
      <c r="O1647" s="385"/>
      <c r="P1647" s="385" t="str">
        <f>IFERROR(
    IF(
        OR(ISBLANK(I1647), ISBLANK(L1647)),
        "",
        MAX(
            1,
            IF(
                NETWORKDAYS(I1647, L1647, Holiday_Dates) &lt;= 0,
                1,
                NETWORKDAYS(I1647, L1647, Holiday_Dates) - IF(I1647 = L1647, 0, 1)
            )
        )
    ),
    ""
)</f>
        <v/>
      </c>
      <c r="Q1647" s="385" t="str">
        <f>IF(
    OR(ISBLANK(L1647), ISBLANK(M1647)),
    "",
    MAX(
        1,
        IF(
            NETWORKDAYS(L1647, M1647, Holiday_Dates) &lt;= 0,
            1,
            NETWORKDAYS(L1647, M1647, Holiday_Dates) - IF(L1647 = M1647, 0, 1)
        )
    )
)</f>
        <v/>
      </c>
      <c r="R1647" s="385" t="str">
        <f>IFERROR(
    IF(
        OR(ISBLANK(N1647), AND(ISBLANK(L1647), ISBLANK(M1647))),
        "",
        MAX(
            1,
            IF(
                NETWORKDAYS(IF(NOT(ISBLANK(M1647)), M1647, L1647), N1647, Holiday_Dates) &lt;= 0,
                1,
                NETWORKDAYS(IF(NOT(ISBLANK(M1647)), M1647, L1647), N1647, Holiday_Dates)
                - IF(IF(NOT(ISBLANK(M1647)), M1647, L1647) = N1647, 0, 1)
            )
        )
    ),
    ""
)</f>
        <v/>
      </c>
      <c r="S1647" s="385" t="str">
        <f>IFERROR(
    IF(
        OR(ISBLANK(N1647), ISBLANK(O1647)),
        "",
        MAX(
            1,
            IF(
                NETWORKDAYS(N1647, O1647, Holiday_Dates) &lt;= 0,
                1,
                NETWORKDAYS(N1647, O1647, Holiday_Dates) - IF(N1647 = O1647, 0, 1)
            )
        )
    ),
    ""
)</f>
        <v/>
      </c>
      <c r="T1647" s="385"/>
      <c r="U1647" s="385" t="s">
        <v>672</v>
      </c>
      <c r="V1647" s="385" t="s">
        <v>101</v>
      </c>
      <c r="W1647" s="385" t="s">
        <v>1436</v>
      </c>
      <c r="X1647" s="1"/>
    </row>
    <row r="1648" spans="1:24">
      <c r="A1648" s="385" t="s">
        <v>65</v>
      </c>
      <c r="B1648" s="385" t="s">
        <v>528</v>
      </c>
      <c r="C1648" s="385" t="s">
        <v>3463</v>
      </c>
      <c r="D1648" s="385" t="s">
        <v>88</v>
      </c>
      <c r="E1648" s="385" t="s">
        <v>29</v>
      </c>
      <c r="F1648" s="385"/>
      <c r="G1648" s="385" t="s">
        <v>130</v>
      </c>
      <c r="H1648" s="385"/>
      <c r="I1648" s="385"/>
      <c r="J1648" s="30"/>
      <c r="K1648" s="385" t="s">
        <v>64</v>
      </c>
      <c r="L1648" s="385"/>
      <c r="M1648" s="385"/>
      <c r="N1648" s="385"/>
      <c r="O1648" s="385"/>
      <c r="P1648" s="385" t="str">
        <f>IFERROR(
    IF(
        OR(ISBLANK(I1648), ISBLANK(L1648)),
        "",
        MAX(
            1,
            IF(
                NETWORKDAYS(I1648, L1648, Holiday_Dates) &lt;= 0,
                1,
                NETWORKDAYS(I1648, L1648, Holiday_Dates) - IF(I1648 = L1648, 0, 1)
            )
        )
    ),
    ""
)</f>
        <v/>
      </c>
      <c r="Q1648" s="385" t="str">
        <f>IF(
    OR(ISBLANK(L1648), ISBLANK(M1648)),
    "",
    MAX(
        1,
        IF(
            NETWORKDAYS(L1648, M1648, Holiday_Dates) &lt;= 0,
            1,
            NETWORKDAYS(L1648, M1648, Holiday_Dates) - IF(L1648 = M1648, 0, 1)
        )
    )
)</f>
        <v/>
      </c>
      <c r="R1648" s="385" t="str">
        <f>IFERROR(
    IF(
        OR(ISBLANK(N1648), AND(ISBLANK(L1648), ISBLANK(M1648))),
        "",
        MAX(
            1,
            IF(
                NETWORKDAYS(IF(NOT(ISBLANK(M1648)), M1648, L1648), N1648, Holiday_Dates) &lt;= 0,
                1,
                NETWORKDAYS(IF(NOT(ISBLANK(M1648)), M1648, L1648), N1648, Holiday_Dates)
                - IF(IF(NOT(ISBLANK(M1648)), M1648, L1648) = N1648, 0, 1)
            )
        )
    ),
    ""
)</f>
        <v/>
      </c>
      <c r="S1648" s="385" t="str">
        <f>IFERROR(
    IF(
        OR(ISBLANK(N1648), ISBLANK(O1648)),
        "",
        MAX(
            1,
            IF(
                NETWORKDAYS(N1648, O1648, Holiday_Dates) &lt;= 0,
                1,
                NETWORKDAYS(N1648, O1648, Holiday_Dates) - IF(N1648 = O1648, 0, 1)
            )
        )
    ),
    ""
)</f>
        <v/>
      </c>
      <c r="T1648" s="385"/>
      <c r="U1648" s="385"/>
      <c r="V1648" s="385"/>
      <c r="W1648" s="385" t="s">
        <v>4710</v>
      </c>
      <c r="X1648" s="1"/>
    </row>
    <row r="1649" spans="1:24">
      <c r="A1649" s="385" t="s">
        <v>65</v>
      </c>
      <c r="B1649" s="385" t="s">
        <v>528</v>
      </c>
      <c r="C1649" s="385" t="s">
        <v>1867</v>
      </c>
      <c r="D1649" s="385" t="s">
        <v>88</v>
      </c>
      <c r="E1649" s="385" t="s">
        <v>29</v>
      </c>
      <c r="F1649" s="385"/>
      <c r="G1649" s="385" t="s">
        <v>130</v>
      </c>
      <c r="H1649" s="385"/>
      <c r="I1649" s="385"/>
      <c r="J1649" s="30"/>
      <c r="K1649" s="385" t="s">
        <v>64</v>
      </c>
      <c r="L1649" s="385"/>
      <c r="M1649" s="385"/>
      <c r="N1649" s="385"/>
      <c r="O1649" s="385"/>
      <c r="P1649" s="385" t="str">
        <f>IFERROR(
    IF(
        OR(ISBLANK(I1649), ISBLANK(L1649)),
        "",
        MAX(
            1,
            IF(
                NETWORKDAYS(I1649, L1649, Holiday_Dates) &lt;= 0,
                1,
                NETWORKDAYS(I1649, L1649, Holiday_Dates) - IF(I1649 = L1649, 0, 1)
            )
        )
    ),
    ""
)</f>
        <v/>
      </c>
      <c r="Q1649" s="385" t="str">
        <f>IF(
    OR(ISBLANK(L1649), ISBLANK(M1649)),
    "",
    MAX(
        1,
        IF(
            NETWORKDAYS(L1649, M1649, Holiday_Dates) &lt;= 0,
            1,
            NETWORKDAYS(L1649, M1649, Holiday_Dates) - IF(L1649 = M1649, 0, 1)
        )
    )
)</f>
        <v/>
      </c>
      <c r="R1649" s="385" t="str">
        <f>IFERROR(
    IF(
        OR(ISBLANK(N1649), AND(ISBLANK(L1649), ISBLANK(M1649))),
        "",
        MAX(
            1,
            IF(
                NETWORKDAYS(IF(NOT(ISBLANK(M1649)), M1649, L1649), N1649, Holiday_Dates) &lt;= 0,
                1,
                NETWORKDAYS(IF(NOT(ISBLANK(M1649)), M1649, L1649), N1649, Holiday_Dates)
                - IF(IF(NOT(ISBLANK(M1649)), M1649, L1649) = N1649, 0, 1)
            )
        )
    ),
    ""
)</f>
        <v/>
      </c>
      <c r="S1649" s="385" t="str">
        <f>IFERROR(
    IF(
        OR(ISBLANK(N1649), ISBLANK(O1649)),
        "",
        MAX(
            1,
            IF(
                NETWORKDAYS(N1649, O1649, Holiday_Dates) &lt;= 0,
                1,
                NETWORKDAYS(N1649, O1649, Holiday_Dates) - IF(N1649 = O1649, 0, 1)
            )
        )
    ),
    ""
)</f>
        <v/>
      </c>
      <c r="T1649" s="385"/>
      <c r="U1649" s="385"/>
      <c r="V1649" s="385"/>
      <c r="W1649" s="385" t="s">
        <v>4710</v>
      </c>
      <c r="X1649" s="1"/>
    </row>
    <row r="1650" spans="1:24">
      <c r="A1650" s="385" t="s">
        <v>65</v>
      </c>
      <c r="B1650" s="385" t="s">
        <v>526</v>
      </c>
      <c r="C1650" s="385" t="s">
        <v>3381</v>
      </c>
      <c r="D1650" s="385" t="s">
        <v>88</v>
      </c>
      <c r="E1650" s="385"/>
      <c r="F1650" s="385"/>
      <c r="G1650" s="385"/>
      <c r="H1650" s="385">
        <v>2025</v>
      </c>
      <c r="I1650" s="386">
        <v>45791</v>
      </c>
      <c r="J1650" s="30" t="s">
        <v>5336</v>
      </c>
      <c r="K1650" s="385"/>
      <c r="L1650" s="385"/>
      <c r="M1650" s="385"/>
      <c r="N1650" s="385"/>
      <c r="O1650" s="385"/>
      <c r="P1650" s="385" t="str">
        <f>IFERROR(
    IF(
        OR(ISBLANK(I1650), ISBLANK(L1650)),
        "",
        MAX(
            1,
            IF(
                NETWORKDAYS(I1650, L1650, Holiday_Dates) &lt;= 0,
                1,
                NETWORKDAYS(I1650, L1650, Holiday_Dates) - IF(I1650 = L1650, 0, 1)
            )
        )
    ),
    ""
)</f>
        <v/>
      </c>
      <c r="Q1650" s="385" t="str">
        <f>IF(
    OR(ISBLANK(L1650), ISBLANK(M1650)),
    "",
    MAX(
        1,
        IF(
            NETWORKDAYS(L1650, M1650, Holiday_Dates) &lt;= 0,
            1,
            NETWORKDAYS(L1650, M1650, Holiday_Dates) - IF(L1650 = M1650, 0, 1)
        )
    )
)</f>
        <v/>
      </c>
      <c r="R1650" s="385" t="str">
        <f>IFERROR(
    IF(
        OR(ISBLANK(N1650), AND(ISBLANK(L1650), ISBLANK(M1650))),
        "",
        MAX(
            1,
            IF(
                NETWORKDAYS(IF(NOT(ISBLANK(M1650)), M1650, L1650), N1650, Holiday_Dates) &lt;= 0,
                1,
                NETWORKDAYS(IF(NOT(ISBLANK(M1650)), M1650, L1650), N1650, Holiday_Dates)
                - IF(IF(NOT(ISBLANK(M1650)), M1650, L1650) = N1650, 0, 1)
            )
        )
    ),
    ""
)</f>
        <v/>
      </c>
      <c r="S1650" s="385" t="str">
        <f>IFERROR(
    IF(
        OR(ISBLANK(N1650), ISBLANK(O1650)),
        "",
        MAX(
            1,
            IF(
                NETWORKDAYS(N1650, O1650, Holiday_Dates) &lt;= 0,
                1,
                NETWORKDAYS(N1650, O1650, Holiday_Dates) - IF(N1650 = O1650, 0, 1)
            )
        )
    ),
    ""
)</f>
        <v/>
      </c>
      <c r="T1650" s="385"/>
      <c r="U1650" s="385" t="s">
        <v>672</v>
      </c>
      <c r="V1650" s="385" t="s">
        <v>101</v>
      </c>
      <c r="W1650" s="385" t="s">
        <v>1436</v>
      </c>
      <c r="X1650" s="1"/>
    </row>
    <row r="1651" spans="1:24">
      <c r="A1651" s="385" t="s">
        <v>65</v>
      </c>
      <c r="B1651" s="385" t="s">
        <v>526</v>
      </c>
      <c r="C1651" s="385" t="s">
        <v>3382</v>
      </c>
      <c r="D1651" s="385" t="s">
        <v>88</v>
      </c>
      <c r="E1651" s="385"/>
      <c r="F1651" s="385"/>
      <c r="G1651" s="385"/>
      <c r="H1651" s="385">
        <v>2025</v>
      </c>
      <c r="I1651" s="386">
        <v>45791</v>
      </c>
      <c r="J1651" s="30" t="s">
        <v>5337</v>
      </c>
      <c r="K1651" s="385"/>
      <c r="L1651" s="385"/>
      <c r="M1651" s="385"/>
      <c r="N1651" s="385"/>
      <c r="O1651" s="385"/>
      <c r="P1651" s="385" t="str">
        <f>IFERROR(
    IF(
        OR(ISBLANK(I1651), ISBLANK(L1651)),
        "",
        MAX(
            1,
            IF(
                NETWORKDAYS(I1651, L1651, Holiday_Dates) &lt;= 0,
                1,
                NETWORKDAYS(I1651, L1651, Holiday_Dates) - IF(I1651 = L1651, 0, 1)
            )
        )
    ),
    ""
)</f>
        <v/>
      </c>
      <c r="Q1651" s="385" t="str">
        <f>IF(
    OR(ISBLANK(L1651), ISBLANK(M1651)),
    "",
    MAX(
        1,
        IF(
            NETWORKDAYS(L1651, M1651, Holiday_Dates) &lt;= 0,
            1,
            NETWORKDAYS(L1651, M1651, Holiday_Dates) - IF(L1651 = M1651, 0, 1)
        )
    )
)</f>
        <v/>
      </c>
      <c r="R1651" s="385" t="str">
        <f>IFERROR(
    IF(
        OR(ISBLANK(N1651), AND(ISBLANK(L1651), ISBLANK(M1651))),
        "",
        MAX(
            1,
            IF(
                NETWORKDAYS(IF(NOT(ISBLANK(M1651)), M1651, L1651), N1651, Holiday_Dates) &lt;= 0,
                1,
                NETWORKDAYS(IF(NOT(ISBLANK(M1651)), M1651, L1651), N1651, Holiday_Dates)
                - IF(IF(NOT(ISBLANK(M1651)), M1651, L1651) = N1651, 0, 1)
            )
        )
    ),
    ""
)</f>
        <v/>
      </c>
      <c r="S1651" s="385" t="str">
        <f>IFERROR(
    IF(
        OR(ISBLANK(N1651), ISBLANK(O1651)),
        "",
        MAX(
            1,
            IF(
                NETWORKDAYS(N1651, O1651, Holiday_Dates) &lt;= 0,
                1,
                NETWORKDAYS(N1651, O1651, Holiday_Dates) - IF(N1651 = O1651, 0, 1)
            )
        )
    ),
    ""
)</f>
        <v/>
      </c>
      <c r="T1651" s="385"/>
      <c r="U1651" s="385" t="s">
        <v>672</v>
      </c>
      <c r="V1651" s="385" t="s">
        <v>101</v>
      </c>
      <c r="W1651" s="385" t="s">
        <v>1436</v>
      </c>
      <c r="X1651" s="1"/>
    </row>
    <row r="1652" spans="1:24">
      <c r="A1652" s="385" t="s">
        <v>65</v>
      </c>
      <c r="B1652" s="385" t="s">
        <v>526</v>
      </c>
      <c r="C1652" s="385" t="s">
        <v>1006</v>
      </c>
      <c r="D1652" s="385" t="s">
        <v>88</v>
      </c>
      <c r="E1652" s="385"/>
      <c r="F1652" s="385"/>
      <c r="G1652" s="385"/>
      <c r="H1652" s="385">
        <v>2025</v>
      </c>
      <c r="I1652" s="386">
        <v>45714</v>
      </c>
      <c r="J1652" s="30" t="s">
        <v>5338</v>
      </c>
      <c r="K1652" s="385"/>
      <c r="L1652" s="385"/>
      <c r="M1652" s="385"/>
      <c r="N1652" s="385"/>
      <c r="O1652" s="385"/>
      <c r="P1652" s="385" t="str">
        <f>IFERROR(
    IF(
        OR(ISBLANK(I1652), ISBLANK(L1652)),
        "",
        MAX(
            1,
            IF(
                NETWORKDAYS(I1652, L1652, Holiday_Dates) &lt;= 0,
                1,
                NETWORKDAYS(I1652, L1652, Holiday_Dates) - IF(I1652 = L1652, 0, 1)
            )
        )
    ),
    ""
)</f>
        <v/>
      </c>
      <c r="Q1652" s="385" t="str">
        <f>IF(
    OR(ISBLANK(L1652), ISBLANK(M1652)),
    "",
    MAX(
        1,
        IF(
            NETWORKDAYS(L1652, M1652, Holiday_Dates) &lt;= 0,
            1,
            NETWORKDAYS(L1652, M1652, Holiday_Dates) - IF(L1652 = M1652, 0, 1)
        )
    )
)</f>
        <v/>
      </c>
      <c r="R1652" s="385" t="str">
        <f>IFERROR(
    IF(
        OR(ISBLANK(N1652), AND(ISBLANK(L1652), ISBLANK(M1652))),
        "",
        MAX(
            1,
            IF(
                NETWORKDAYS(IF(NOT(ISBLANK(M1652)), M1652, L1652), N1652, Holiday_Dates) &lt;= 0,
                1,
                NETWORKDAYS(IF(NOT(ISBLANK(M1652)), M1652, L1652), N1652, Holiday_Dates)
                - IF(IF(NOT(ISBLANK(M1652)), M1652, L1652) = N1652, 0, 1)
            )
        )
    ),
    ""
)</f>
        <v/>
      </c>
      <c r="S1652" s="385" t="str">
        <f>IFERROR(
    IF(
        OR(ISBLANK(N1652), ISBLANK(O1652)),
        "",
        MAX(
            1,
            IF(
                NETWORKDAYS(N1652, O1652, Holiday_Dates) &lt;= 0,
                1,
                NETWORKDAYS(N1652, O1652, Holiday_Dates) - IF(N1652 = O1652, 0, 1)
            )
        )
    ),
    ""
)</f>
        <v/>
      </c>
      <c r="T1652" s="385"/>
      <c r="U1652" s="385" t="s">
        <v>672</v>
      </c>
      <c r="V1652" s="385" t="s">
        <v>101</v>
      </c>
      <c r="W1652" s="385" t="s">
        <v>1436</v>
      </c>
      <c r="X1652" s="1"/>
    </row>
    <row r="1653" spans="1:24">
      <c r="A1653" s="385" t="s">
        <v>65</v>
      </c>
      <c r="B1653" s="385" t="s">
        <v>526</v>
      </c>
      <c r="C1653" s="385" t="s">
        <v>3383</v>
      </c>
      <c r="D1653" s="385" t="s">
        <v>88</v>
      </c>
      <c r="E1653" s="385"/>
      <c r="F1653" s="385"/>
      <c r="G1653" s="385"/>
      <c r="H1653" s="385">
        <v>2025</v>
      </c>
      <c r="I1653" s="386">
        <v>45708</v>
      </c>
      <c r="J1653" s="30" t="s">
        <v>5339</v>
      </c>
      <c r="K1653" s="385"/>
      <c r="L1653" s="385"/>
      <c r="M1653" s="385"/>
      <c r="N1653" s="385"/>
      <c r="O1653" s="385"/>
      <c r="P1653" s="385" t="str">
        <f>IFERROR(
    IF(
        OR(ISBLANK(I1653), ISBLANK(L1653)),
        "",
        MAX(
            1,
            IF(
                NETWORKDAYS(I1653, L1653, Holiday_Dates) &lt;= 0,
                1,
                NETWORKDAYS(I1653, L1653, Holiday_Dates) - IF(I1653 = L1653, 0, 1)
            )
        )
    ),
    ""
)</f>
        <v/>
      </c>
      <c r="Q1653" s="385" t="str">
        <f>IF(
    OR(ISBLANK(L1653), ISBLANK(M1653)),
    "",
    MAX(
        1,
        IF(
            NETWORKDAYS(L1653, M1653, Holiday_Dates) &lt;= 0,
            1,
            NETWORKDAYS(L1653, M1653, Holiday_Dates) - IF(L1653 = M1653, 0, 1)
        )
    )
)</f>
        <v/>
      </c>
      <c r="R1653" s="385" t="str">
        <f>IFERROR(
    IF(
        OR(ISBLANK(N1653), AND(ISBLANK(L1653), ISBLANK(M1653))),
        "",
        MAX(
            1,
            IF(
                NETWORKDAYS(IF(NOT(ISBLANK(M1653)), M1653, L1653), N1653, Holiday_Dates) &lt;= 0,
                1,
                NETWORKDAYS(IF(NOT(ISBLANK(M1653)), M1653, L1653), N1653, Holiday_Dates)
                - IF(IF(NOT(ISBLANK(M1653)), M1653, L1653) = N1653, 0, 1)
            )
        )
    ),
    ""
)</f>
        <v/>
      </c>
      <c r="S1653" s="385" t="str">
        <f>IFERROR(
    IF(
        OR(ISBLANK(N1653), ISBLANK(O1653)),
        "",
        MAX(
            1,
            IF(
                NETWORKDAYS(N1653, O1653, Holiday_Dates) &lt;= 0,
                1,
                NETWORKDAYS(N1653, O1653, Holiday_Dates) - IF(N1653 = O1653, 0, 1)
            )
        )
    ),
    ""
)</f>
        <v/>
      </c>
      <c r="T1653" s="385"/>
      <c r="U1653" s="385" t="s">
        <v>672</v>
      </c>
      <c r="V1653" s="385" t="s">
        <v>101</v>
      </c>
      <c r="W1653" s="385" t="s">
        <v>1436</v>
      </c>
      <c r="X1653" s="1"/>
    </row>
    <row r="1654" spans="1:24">
      <c r="A1654" s="385" t="s">
        <v>65</v>
      </c>
      <c r="B1654" s="385" t="s">
        <v>530</v>
      </c>
      <c r="C1654" s="385" t="s">
        <v>3474</v>
      </c>
      <c r="D1654" s="385" t="s">
        <v>88</v>
      </c>
      <c r="E1654" s="385" t="s">
        <v>140</v>
      </c>
      <c r="F1654" s="385"/>
      <c r="G1654" s="385" t="s">
        <v>130</v>
      </c>
      <c r="H1654" s="385"/>
      <c r="I1654" s="385"/>
      <c r="J1654" s="30"/>
      <c r="K1654" s="385" t="s">
        <v>64</v>
      </c>
      <c r="L1654" s="385"/>
      <c r="M1654" s="385"/>
      <c r="N1654" s="385"/>
      <c r="O1654" s="385"/>
      <c r="P1654" s="385" t="str">
        <f>IFERROR(
    IF(
        OR(ISBLANK(I1654), ISBLANK(L1654)),
        "",
        MAX(
            1,
            IF(
                NETWORKDAYS(I1654, L1654, Holiday_Dates) &lt;= 0,
                1,
                NETWORKDAYS(I1654, L1654, Holiday_Dates) - IF(I1654 = L1654, 0, 1)
            )
        )
    ),
    ""
)</f>
        <v/>
      </c>
      <c r="Q1654" s="385" t="str">
        <f>IF(
    OR(ISBLANK(L1654), ISBLANK(M1654)),
    "",
    MAX(
        1,
        IF(
            NETWORKDAYS(L1654, M1654, Holiday_Dates) &lt;= 0,
            1,
            NETWORKDAYS(L1654, M1654, Holiday_Dates) - IF(L1654 = M1654, 0, 1)
        )
    )
)</f>
        <v/>
      </c>
      <c r="R1654" s="385" t="str">
        <f>IFERROR(
    IF(
        OR(ISBLANK(N1654), AND(ISBLANK(L1654), ISBLANK(M1654))),
        "",
        MAX(
            1,
            IF(
                NETWORKDAYS(IF(NOT(ISBLANK(M1654)), M1654, L1654), N1654, Holiday_Dates) &lt;= 0,
                1,
                NETWORKDAYS(IF(NOT(ISBLANK(M1654)), M1654, L1654), N1654, Holiday_Dates)
                - IF(IF(NOT(ISBLANK(M1654)), M1654, L1654) = N1654, 0, 1)
            )
        )
    ),
    ""
)</f>
        <v/>
      </c>
      <c r="S1654" s="385" t="str">
        <f>IFERROR(
    IF(
        OR(ISBLANK(N1654), ISBLANK(O1654)),
        "",
        MAX(
            1,
            IF(
                NETWORKDAYS(N1654, O1654, Holiday_Dates) &lt;= 0,
                1,
                NETWORKDAYS(N1654, O1654, Holiday_Dates) - IF(N1654 = O1654, 0, 1)
            )
        )
    ),
    ""
)</f>
        <v/>
      </c>
      <c r="T1654" s="385"/>
      <c r="U1654" s="385"/>
      <c r="V1654" s="385"/>
      <c r="W1654" s="385" t="s">
        <v>4710</v>
      </c>
      <c r="X1654" s="1"/>
    </row>
    <row r="1655" spans="1:24">
      <c r="A1655" s="385" t="s">
        <v>65</v>
      </c>
      <c r="B1655" s="385" t="s">
        <v>526</v>
      </c>
      <c r="C1655" s="385" t="s">
        <v>3385</v>
      </c>
      <c r="D1655" s="385" t="s">
        <v>88</v>
      </c>
      <c r="E1655" s="385"/>
      <c r="F1655" s="385"/>
      <c r="G1655" s="385"/>
      <c r="H1655" s="385">
        <v>2025</v>
      </c>
      <c r="I1655" s="386">
        <v>46219</v>
      </c>
      <c r="J1655" s="30" t="s">
        <v>5340</v>
      </c>
      <c r="K1655" s="385"/>
      <c r="L1655" s="385"/>
      <c r="M1655" s="385"/>
      <c r="N1655" s="385"/>
      <c r="O1655" s="385"/>
      <c r="P1655" s="385" t="str">
        <f>IFERROR(
    IF(
        OR(ISBLANK(I1655), ISBLANK(L1655)),
        "",
        MAX(
            1,
            IF(
                NETWORKDAYS(I1655, L1655, Holiday_Dates) &lt;= 0,
                1,
                NETWORKDAYS(I1655, L1655, Holiday_Dates) - IF(I1655 = L1655, 0, 1)
            )
        )
    ),
    ""
)</f>
        <v/>
      </c>
      <c r="Q1655" s="385" t="str">
        <f>IF(
    OR(ISBLANK(L1655), ISBLANK(M1655)),
    "",
    MAX(
        1,
        IF(
            NETWORKDAYS(L1655, M1655, Holiday_Dates) &lt;= 0,
            1,
            NETWORKDAYS(L1655, M1655, Holiday_Dates) - IF(L1655 = M1655, 0, 1)
        )
    )
)</f>
        <v/>
      </c>
      <c r="R1655" s="385" t="str">
        <f>IFERROR(
    IF(
        OR(ISBLANK(N1655), AND(ISBLANK(L1655), ISBLANK(M1655))),
        "",
        MAX(
            1,
            IF(
                NETWORKDAYS(IF(NOT(ISBLANK(M1655)), M1655, L1655), N1655, Holiday_Dates) &lt;= 0,
                1,
                NETWORKDAYS(IF(NOT(ISBLANK(M1655)), M1655, L1655), N1655, Holiday_Dates)
                - IF(IF(NOT(ISBLANK(M1655)), M1655, L1655) = N1655, 0, 1)
            )
        )
    ),
    ""
)</f>
        <v/>
      </c>
      <c r="S1655" s="385" t="str">
        <f>IFERROR(
    IF(
        OR(ISBLANK(N1655), ISBLANK(O1655)),
        "",
        MAX(
            1,
            IF(
                NETWORKDAYS(N1655, O1655, Holiday_Dates) &lt;= 0,
                1,
                NETWORKDAYS(N1655, O1655, Holiday_Dates) - IF(N1655 = O1655, 0, 1)
            )
        )
    ),
    ""
)</f>
        <v/>
      </c>
      <c r="T1655" s="385"/>
      <c r="U1655" s="385" t="s">
        <v>672</v>
      </c>
      <c r="V1655" s="385" t="s">
        <v>101</v>
      </c>
      <c r="W1655" s="385" t="s">
        <v>1436</v>
      </c>
      <c r="X1655" s="1"/>
    </row>
    <row r="1656" spans="1:24">
      <c r="A1656" s="385" t="s">
        <v>65</v>
      </c>
      <c r="B1656" s="385" t="s">
        <v>526</v>
      </c>
      <c r="C1656" s="385" t="s">
        <v>250</v>
      </c>
      <c r="D1656" s="385" t="s">
        <v>88</v>
      </c>
      <c r="E1656" s="385"/>
      <c r="F1656" s="385"/>
      <c r="G1656" s="385"/>
      <c r="H1656" s="385">
        <v>2025</v>
      </c>
      <c r="I1656" s="386">
        <v>45678</v>
      </c>
      <c r="J1656" s="30" t="s">
        <v>5341</v>
      </c>
      <c r="K1656" s="385"/>
      <c r="L1656" s="385"/>
      <c r="M1656" s="385"/>
      <c r="N1656" s="385"/>
      <c r="O1656" s="385"/>
      <c r="P1656" s="385" t="str">
        <f>IFERROR(
    IF(
        OR(ISBLANK(I1656), ISBLANK(L1656)),
        "",
        MAX(
            1,
            IF(
                NETWORKDAYS(I1656, L1656, Holiday_Dates) &lt;= 0,
                1,
                NETWORKDAYS(I1656, L1656, Holiday_Dates) - IF(I1656 = L1656, 0, 1)
            )
        )
    ),
    ""
)</f>
        <v/>
      </c>
      <c r="Q1656" s="385" t="str">
        <f>IF(
    OR(ISBLANK(L1656), ISBLANK(M1656)),
    "",
    MAX(
        1,
        IF(
            NETWORKDAYS(L1656, M1656, Holiday_Dates) &lt;= 0,
            1,
            NETWORKDAYS(L1656, M1656, Holiday_Dates) - IF(L1656 = M1656, 0, 1)
        )
    )
)</f>
        <v/>
      </c>
      <c r="R1656" s="385" t="str">
        <f>IFERROR(
    IF(
        OR(ISBLANK(N1656), AND(ISBLANK(L1656), ISBLANK(M1656))),
        "",
        MAX(
            1,
            IF(
                NETWORKDAYS(IF(NOT(ISBLANK(M1656)), M1656, L1656), N1656, Holiday_Dates) &lt;= 0,
                1,
                NETWORKDAYS(IF(NOT(ISBLANK(M1656)), M1656, L1656), N1656, Holiday_Dates)
                - IF(IF(NOT(ISBLANK(M1656)), M1656, L1656) = N1656, 0, 1)
            )
        )
    ),
    ""
)</f>
        <v/>
      </c>
      <c r="S1656" s="385" t="str">
        <f>IFERROR(
    IF(
        OR(ISBLANK(N1656), ISBLANK(O1656)),
        "",
        MAX(
            1,
            IF(
                NETWORKDAYS(N1656, O1656, Holiday_Dates) &lt;= 0,
                1,
                NETWORKDAYS(N1656, O1656, Holiday_Dates) - IF(N1656 = O1656, 0, 1)
            )
        )
    ),
    ""
)</f>
        <v/>
      </c>
      <c r="T1656" s="385"/>
      <c r="U1656" s="385" t="s">
        <v>672</v>
      </c>
      <c r="V1656" s="385" t="s">
        <v>101</v>
      </c>
      <c r="W1656" s="385" t="s">
        <v>1436</v>
      </c>
      <c r="X1656" s="1"/>
    </row>
    <row r="1657" spans="1:24">
      <c r="A1657" s="385" t="s">
        <v>65</v>
      </c>
      <c r="B1657" s="385" t="s">
        <v>530</v>
      </c>
      <c r="C1657" s="385" t="s">
        <v>250</v>
      </c>
      <c r="D1657" s="385" t="s">
        <v>88</v>
      </c>
      <c r="E1657" s="385" t="s">
        <v>140</v>
      </c>
      <c r="F1657" s="385"/>
      <c r="G1657" s="385" t="s">
        <v>130</v>
      </c>
      <c r="H1657" s="385"/>
      <c r="I1657" s="385"/>
      <c r="J1657" s="30"/>
      <c r="K1657" s="385" t="s">
        <v>64</v>
      </c>
      <c r="L1657" s="385"/>
      <c r="M1657" s="385"/>
      <c r="N1657" s="385"/>
      <c r="O1657" s="385"/>
      <c r="P1657" s="385" t="str">
        <f>IFERROR(
    IF(
        OR(ISBLANK(I1657), ISBLANK(L1657)),
        "",
        MAX(
            1,
            IF(
                NETWORKDAYS(I1657, L1657, Holiday_Dates) &lt;= 0,
                1,
                NETWORKDAYS(I1657, L1657, Holiday_Dates) - IF(I1657 = L1657, 0, 1)
            )
        )
    ),
    ""
)</f>
        <v/>
      </c>
      <c r="Q1657" s="385" t="str">
        <f>IF(
    OR(ISBLANK(L1657), ISBLANK(M1657)),
    "",
    MAX(
        1,
        IF(
            NETWORKDAYS(L1657, M1657, Holiday_Dates) &lt;= 0,
            1,
            NETWORKDAYS(L1657, M1657, Holiday_Dates) - IF(L1657 = M1657, 0, 1)
        )
    )
)</f>
        <v/>
      </c>
      <c r="R1657" s="385" t="str">
        <f>IFERROR(
    IF(
        OR(ISBLANK(N1657), AND(ISBLANK(L1657), ISBLANK(M1657))),
        "",
        MAX(
            1,
            IF(
                NETWORKDAYS(IF(NOT(ISBLANK(M1657)), M1657, L1657), N1657, Holiday_Dates) &lt;= 0,
                1,
                NETWORKDAYS(IF(NOT(ISBLANK(M1657)), M1657, L1657), N1657, Holiday_Dates)
                - IF(IF(NOT(ISBLANK(M1657)), M1657, L1657) = N1657, 0, 1)
            )
        )
    ),
    ""
)</f>
        <v/>
      </c>
      <c r="S1657" s="385" t="str">
        <f>IFERROR(
    IF(
        OR(ISBLANK(N1657), ISBLANK(O1657)),
        "",
        MAX(
            1,
            IF(
                NETWORKDAYS(N1657, O1657, Holiday_Dates) &lt;= 0,
                1,
                NETWORKDAYS(N1657, O1657, Holiday_Dates) - IF(N1657 = O1657, 0, 1)
            )
        )
    ),
    ""
)</f>
        <v/>
      </c>
      <c r="T1657" s="385"/>
      <c r="U1657" s="385"/>
      <c r="V1657" s="385"/>
      <c r="W1657" s="385" t="s">
        <v>4710</v>
      </c>
      <c r="X1657" s="1"/>
    </row>
    <row r="1658" spans="1:24">
      <c r="A1658" s="385" t="s">
        <v>65</v>
      </c>
      <c r="B1658" s="385" t="s">
        <v>530</v>
      </c>
      <c r="C1658" s="385" t="s">
        <v>3268</v>
      </c>
      <c r="D1658" s="385" t="s">
        <v>88</v>
      </c>
      <c r="E1658" s="385" t="s">
        <v>140</v>
      </c>
      <c r="F1658" s="385"/>
      <c r="G1658" s="385" t="s">
        <v>130</v>
      </c>
      <c r="H1658" s="385"/>
      <c r="I1658" s="385"/>
      <c r="J1658" s="30"/>
      <c r="K1658" s="385" t="s">
        <v>64</v>
      </c>
      <c r="L1658" s="385"/>
      <c r="M1658" s="385"/>
      <c r="N1658" s="385"/>
      <c r="O1658" s="385"/>
      <c r="P1658" s="385" t="str">
        <f>IFERROR(
    IF(
        OR(ISBLANK(I1658), ISBLANK(L1658)),
        "",
        MAX(
            1,
            IF(
                NETWORKDAYS(I1658, L1658, Holiday_Dates) &lt;= 0,
                1,
                NETWORKDAYS(I1658, L1658, Holiday_Dates) - IF(I1658 = L1658, 0, 1)
            )
        )
    ),
    ""
)</f>
        <v/>
      </c>
      <c r="Q1658" s="385" t="str">
        <f>IF(
    OR(ISBLANK(L1658), ISBLANK(M1658)),
    "",
    MAX(
        1,
        IF(
            NETWORKDAYS(L1658, M1658, Holiday_Dates) &lt;= 0,
            1,
            NETWORKDAYS(L1658, M1658, Holiday_Dates) - IF(L1658 = M1658, 0, 1)
        )
    )
)</f>
        <v/>
      </c>
      <c r="R1658" s="385" t="str">
        <f>IFERROR(
    IF(
        OR(ISBLANK(N1658), AND(ISBLANK(L1658), ISBLANK(M1658))),
        "",
        MAX(
            1,
            IF(
                NETWORKDAYS(IF(NOT(ISBLANK(M1658)), M1658, L1658), N1658, Holiday_Dates) &lt;= 0,
                1,
                NETWORKDAYS(IF(NOT(ISBLANK(M1658)), M1658, L1658), N1658, Holiday_Dates)
                - IF(IF(NOT(ISBLANK(M1658)), M1658, L1658) = N1658, 0, 1)
            )
        )
    ),
    ""
)</f>
        <v/>
      </c>
      <c r="S1658" s="385" t="str">
        <f>IFERROR(
    IF(
        OR(ISBLANK(N1658), ISBLANK(O1658)),
        "",
        MAX(
            1,
            IF(
                NETWORKDAYS(N1658, O1658, Holiday_Dates) &lt;= 0,
                1,
                NETWORKDAYS(N1658, O1658, Holiday_Dates) - IF(N1658 = O1658, 0, 1)
            )
        )
    ),
    ""
)</f>
        <v/>
      </c>
      <c r="T1658" s="385"/>
      <c r="U1658" s="385"/>
      <c r="V1658" s="385"/>
      <c r="W1658" s="385" t="s">
        <v>4710</v>
      </c>
      <c r="X1658" s="1"/>
    </row>
    <row r="1659" spans="1:24">
      <c r="A1659" s="385" t="s">
        <v>65</v>
      </c>
      <c r="B1659" s="385" t="s">
        <v>526</v>
      </c>
      <c r="C1659" s="385" t="s">
        <v>2429</v>
      </c>
      <c r="D1659" s="385" t="s">
        <v>88</v>
      </c>
      <c r="E1659" s="385"/>
      <c r="F1659" s="385"/>
      <c r="G1659" s="385"/>
      <c r="H1659" s="385">
        <v>2025</v>
      </c>
      <c r="I1659" s="386">
        <v>45694</v>
      </c>
      <c r="J1659" s="30" t="s">
        <v>5342</v>
      </c>
      <c r="K1659" s="385"/>
      <c r="L1659" s="385"/>
      <c r="M1659" s="385"/>
      <c r="N1659" s="385"/>
      <c r="O1659" s="385"/>
      <c r="P1659" s="385" t="str">
        <f>IFERROR(
    IF(
        OR(ISBLANK(I1659), ISBLANK(L1659)),
        "",
        MAX(
            1,
            IF(
                NETWORKDAYS(I1659, L1659, Holiday_Dates) &lt;= 0,
                1,
                NETWORKDAYS(I1659, L1659, Holiday_Dates) - IF(I1659 = L1659, 0, 1)
            )
        )
    ),
    ""
)</f>
        <v/>
      </c>
      <c r="Q1659" s="385" t="str">
        <f>IF(
    OR(ISBLANK(L1659), ISBLANK(M1659)),
    "",
    MAX(
        1,
        IF(
            NETWORKDAYS(L1659, M1659, Holiday_Dates) &lt;= 0,
            1,
            NETWORKDAYS(L1659, M1659, Holiday_Dates) - IF(L1659 = M1659, 0, 1)
        )
    )
)</f>
        <v/>
      </c>
      <c r="R1659" s="385" t="str">
        <f>IFERROR(
    IF(
        OR(ISBLANK(N1659), AND(ISBLANK(L1659), ISBLANK(M1659))),
        "",
        MAX(
            1,
            IF(
                NETWORKDAYS(IF(NOT(ISBLANK(M1659)), M1659, L1659), N1659, Holiday_Dates) &lt;= 0,
                1,
                NETWORKDAYS(IF(NOT(ISBLANK(M1659)), M1659, L1659), N1659, Holiday_Dates)
                - IF(IF(NOT(ISBLANK(M1659)), M1659, L1659) = N1659, 0, 1)
            )
        )
    ),
    ""
)</f>
        <v/>
      </c>
      <c r="S1659" s="385" t="str">
        <f>IFERROR(
    IF(
        OR(ISBLANK(N1659), ISBLANK(O1659)),
        "",
        MAX(
            1,
            IF(
                NETWORKDAYS(N1659, O1659, Holiday_Dates) &lt;= 0,
                1,
                NETWORKDAYS(N1659, O1659, Holiday_Dates) - IF(N1659 = O1659, 0, 1)
            )
        )
    ),
    ""
)</f>
        <v/>
      </c>
      <c r="T1659" s="385"/>
      <c r="U1659" s="385" t="s">
        <v>672</v>
      </c>
      <c r="V1659" s="385" t="s">
        <v>101</v>
      </c>
      <c r="W1659" s="385" t="s">
        <v>1436</v>
      </c>
      <c r="X1659" s="1"/>
    </row>
    <row r="1660" spans="1:24">
      <c r="A1660" s="385" t="s">
        <v>65</v>
      </c>
      <c r="B1660" s="385" t="s">
        <v>526</v>
      </c>
      <c r="C1660" s="385" t="s">
        <v>3129</v>
      </c>
      <c r="D1660" s="385" t="s">
        <v>88</v>
      </c>
      <c r="E1660" s="385"/>
      <c r="F1660" s="385"/>
      <c r="G1660" s="385"/>
      <c r="H1660" s="385">
        <v>2025</v>
      </c>
      <c r="I1660" s="386">
        <v>45854</v>
      </c>
      <c r="J1660" s="30" t="s">
        <v>5343</v>
      </c>
      <c r="K1660" s="385"/>
      <c r="L1660" s="385"/>
      <c r="M1660" s="385"/>
      <c r="N1660" s="385"/>
      <c r="O1660" s="385"/>
      <c r="P1660" s="385" t="str">
        <f>IFERROR(
    IF(
        OR(ISBLANK(I1660), ISBLANK(L1660)),
        "",
        MAX(
            1,
            IF(
                NETWORKDAYS(I1660, L1660, Holiday_Dates) &lt;= 0,
                1,
                NETWORKDAYS(I1660, L1660, Holiday_Dates) - IF(I1660 = L1660, 0, 1)
            )
        )
    ),
    ""
)</f>
        <v/>
      </c>
      <c r="Q1660" s="385" t="str">
        <f>IF(
    OR(ISBLANK(L1660), ISBLANK(M1660)),
    "",
    MAX(
        1,
        IF(
            NETWORKDAYS(L1660, M1660, Holiday_Dates) &lt;= 0,
            1,
            NETWORKDAYS(L1660, M1660, Holiday_Dates) - IF(L1660 = M1660, 0, 1)
        )
    )
)</f>
        <v/>
      </c>
      <c r="R1660" s="385" t="str">
        <f>IFERROR(
    IF(
        OR(ISBLANK(N1660), AND(ISBLANK(L1660), ISBLANK(M1660))),
        "",
        MAX(
            1,
            IF(
                NETWORKDAYS(IF(NOT(ISBLANK(M1660)), M1660, L1660), N1660, Holiday_Dates) &lt;= 0,
                1,
                NETWORKDAYS(IF(NOT(ISBLANK(M1660)), M1660, L1660), N1660, Holiday_Dates)
                - IF(IF(NOT(ISBLANK(M1660)), M1660, L1660) = N1660, 0, 1)
            )
        )
    ),
    ""
)</f>
        <v/>
      </c>
      <c r="S1660" s="385" t="str">
        <f>IFERROR(
    IF(
        OR(ISBLANK(N1660), ISBLANK(O1660)),
        "",
        MAX(
            1,
            IF(
                NETWORKDAYS(N1660, O1660, Holiday_Dates) &lt;= 0,
                1,
                NETWORKDAYS(N1660, O1660, Holiday_Dates) - IF(N1660 = O1660, 0, 1)
            )
        )
    ),
    ""
)</f>
        <v/>
      </c>
      <c r="T1660" s="385"/>
      <c r="U1660" s="385" t="s">
        <v>672</v>
      </c>
      <c r="V1660" s="385" t="s">
        <v>101</v>
      </c>
      <c r="W1660" s="385" t="s">
        <v>1436</v>
      </c>
      <c r="X1660" s="1"/>
    </row>
    <row r="1661" spans="1:24">
      <c r="A1661" s="385" t="s">
        <v>65</v>
      </c>
      <c r="B1661" s="385" t="s">
        <v>526</v>
      </c>
      <c r="C1661" s="385" t="s">
        <v>939</v>
      </c>
      <c r="D1661" s="385" t="s">
        <v>88</v>
      </c>
      <c r="E1661" s="385"/>
      <c r="F1661" s="385"/>
      <c r="G1661" s="385"/>
      <c r="H1661" s="385">
        <v>2024</v>
      </c>
      <c r="I1661" s="386">
        <v>45387</v>
      </c>
      <c r="J1661" s="30"/>
      <c r="K1661" s="385"/>
      <c r="L1661" s="385"/>
      <c r="M1661" s="385"/>
      <c r="N1661" s="385"/>
      <c r="O1661" s="385"/>
      <c r="P1661" s="385" t="str">
        <f>IFERROR(
    IF(
        OR(ISBLANK(I1661), ISBLANK(L1661)),
        "",
        MAX(
            1,
            IF(
                NETWORKDAYS(I1661, L1661, Holiday_Dates) &lt;= 0,
                1,
                NETWORKDAYS(I1661, L1661, Holiday_Dates) - IF(I1661 = L1661, 0, 1)
            )
        )
    ),
    ""
)</f>
        <v/>
      </c>
      <c r="Q1661" s="385" t="str">
        <f>IF(
    OR(ISBLANK(L1661), ISBLANK(M1661)),
    "",
    MAX(
        1,
        IF(
            NETWORKDAYS(L1661, M1661, Holiday_Dates) &lt;= 0,
            1,
            NETWORKDAYS(L1661, M1661, Holiday_Dates) - IF(L1661 = M1661, 0, 1)
        )
    )
)</f>
        <v/>
      </c>
      <c r="R1661" s="385" t="str">
        <f>IFERROR(
    IF(
        OR(ISBLANK(N1661), AND(ISBLANK(L1661), ISBLANK(M1661))),
        "",
        MAX(
            1,
            IF(
                NETWORKDAYS(IF(NOT(ISBLANK(M1661)), M1661, L1661), N1661, Holiday_Dates) &lt;= 0,
                1,
                NETWORKDAYS(IF(NOT(ISBLANK(M1661)), M1661, L1661), N1661, Holiday_Dates)
                - IF(IF(NOT(ISBLANK(M1661)), M1661, L1661) = N1661, 0, 1)
            )
        )
    ),
    ""
)</f>
        <v/>
      </c>
      <c r="S1661" s="385" t="str">
        <f>IFERROR(
    IF(
        OR(ISBLANK(N1661), ISBLANK(O1661)),
        "",
        MAX(
            1,
            IF(
                NETWORKDAYS(N1661, O1661, Holiday_Dates) &lt;= 0,
                1,
                NETWORKDAYS(N1661, O1661, Holiday_Dates) - IF(N1661 = O1661, 0, 1)
            )
        )
    ),
    ""
)</f>
        <v/>
      </c>
      <c r="T1661" s="385"/>
      <c r="U1661" s="385" t="s">
        <v>4</v>
      </c>
      <c r="V1661" s="385" t="s">
        <v>101</v>
      </c>
      <c r="W1661" s="385" t="s">
        <v>1436</v>
      </c>
      <c r="X1661" s="1"/>
    </row>
    <row r="1662" spans="1:24">
      <c r="A1662" s="385" t="s">
        <v>65</v>
      </c>
      <c r="B1662" s="385" t="s">
        <v>526</v>
      </c>
      <c r="C1662" s="385" t="s">
        <v>762</v>
      </c>
      <c r="D1662" s="385" t="s">
        <v>88</v>
      </c>
      <c r="E1662" s="385"/>
      <c r="F1662" s="385"/>
      <c r="G1662" s="385"/>
      <c r="H1662" s="385">
        <v>2025</v>
      </c>
      <c r="I1662" s="386">
        <v>45721</v>
      </c>
      <c r="J1662" s="30" t="s">
        <v>5344</v>
      </c>
      <c r="K1662" s="385"/>
      <c r="L1662" s="385"/>
      <c r="M1662" s="385"/>
      <c r="N1662" s="385"/>
      <c r="O1662" s="385"/>
      <c r="P1662" s="385" t="str">
        <f>IFERROR(
    IF(
        OR(ISBLANK(I1662), ISBLANK(L1662)),
        "",
        MAX(
            1,
            IF(
                NETWORKDAYS(I1662, L1662, Holiday_Dates) &lt;= 0,
                1,
                NETWORKDAYS(I1662, L1662, Holiday_Dates) - IF(I1662 = L1662, 0, 1)
            )
        )
    ),
    ""
)</f>
        <v/>
      </c>
      <c r="Q1662" s="385" t="str">
        <f>IF(
    OR(ISBLANK(L1662), ISBLANK(M1662)),
    "",
    MAX(
        1,
        IF(
            NETWORKDAYS(L1662, M1662, Holiday_Dates) &lt;= 0,
            1,
            NETWORKDAYS(L1662, M1662, Holiday_Dates) - IF(L1662 = M1662, 0, 1)
        )
    )
)</f>
        <v/>
      </c>
      <c r="R1662" s="385" t="str">
        <f>IFERROR(
    IF(
        OR(ISBLANK(N1662), AND(ISBLANK(L1662), ISBLANK(M1662))),
        "",
        MAX(
            1,
            IF(
                NETWORKDAYS(IF(NOT(ISBLANK(M1662)), M1662, L1662), N1662, Holiday_Dates) &lt;= 0,
                1,
                NETWORKDAYS(IF(NOT(ISBLANK(M1662)), M1662, L1662), N1662, Holiday_Dates)
                - IF(IF(NOT(ISBLANK(M1662)), M1662, L1662) = N1662, 0, 1)
            )
        )
    ),
    ""
)</f>
        <v/>
      </c>
      <c r="S1662" s="385" t="str">
        <f>IFERROR(
    IF(
        OR(ISBLANK(N1662), ISBLANK(O1662)),
        "",
        MAX(
            1,
            IF(
                NETWORKDAYS(N1662, O1662, Holiday_Dates) &lt;= 0,
                1,
                NETWORKDAYS(N1662, O1662, Holiday_Dates) - IF(N1662 = O1662, 0, 1)
            )
        )
    ),
    ""
)</f>
        <v/>
      </c>
      <c r="T1662" s="385"/>
      <c r="U1662" s="385" t="s">
        <v>672</v>
      </c>
      <c r="V1662" s="385" t="s">
        <v>101</v>
      </c>
      <c r="W1662" s="385" t="s">
        <v>1436</v>
      </c>
      <c r="X1662" s="1"/>
    </row>
    <row r="1663" spans="1:24">
      <c r="A1663" s="385" t="s">
        <v>65</v>
      </c>
      <c r="B1663" s="385" t="s">
        <v>530</v>
      </c>
      <c r="C1663" s="385" t="s">
        <v>3476</v>
      </c>
      <c r="D1663" s="385" t="s">
        <v>88</v>
      </c>
      <c r="E1663" s="385" t="s">
        <v>140</v>
      </c>
      <c r="F1663" s="385"/>
      <c r="G1663" s="385" t="s">
        <v>130</v>
      </c>
      <c r="H1663" s="385"/>
      <c r="I1663" s="385"/>
      <c r="J1663" s="30"/>
      <c r="K1663" s="385" t="s">
        <v>64</v>
      </c>
      <c r="L1663" s="385"/>
      <c r="M1663" s="385"/>
      <c r="N1663" s="385"/>
      <c r="O1663" s="385"/>
      <c r="P1663" s="385" t="str">
        <f>IFERROR(
    IF(
        OR(ISBLANK(I1663), ISBLANK(L1663)),
        "",
        MAX(
            1,
            IF(
                NETWORKDAYS(I1663, L1663, Holiday_Dates) &lt;= 0,
                1,
                NETWORKDAYS(I1663, L1663, Holiday_Dates) - IF(I1663 = L1663, 0, 1)
            )
        )
    ),
    ""
)</f>
        <v/>
      </c>
      <c r="Q1663" s="385" t="str">
        <f>IF(
    OR(ISBLANK(L1663), ISBLANK(M1663)),
    "",
    MAX(
        1,
        IF(
            NETWORKDAYS(L1663, M1663, Holiday_Dates) &lt;= 0,
            1,
            NETWORKDAYS(L1663, M1663, Holiday_Dates) - IF(L1663 = M1663, 0, 1)
        )
    )
)</f>
        <v/>
      </c>
      <c r="R1663" s="385" t="str">
        <f>IFERROR(
    IF(
        OR(ISBLANK(N1663), AND(ISBLANK(L1663), ISBLANK(M1663))),
        "",
        MAX(
            1,
            IF(
                NETWORKDAYS(IF(NOT(ISBLANK(M1663)), M1663, L1663), N1663, Holiday_Dates) &lt;= 0,
                1,
                NETWORKDAYS(IF(NOT(ISBLANK(M1663)), M1663, L1663), N1663, Holiday_Dates)
                - IF(IF(NOT(ISBLANK(M1663)), M1663, L1663) = N1663, 0, 1)
            )
        )
    ),
    ""
)</f>
        <v/>
      </c>
      <c r="S1663" s="385" t="str">
        <f>IFERROR(
    IF(
        OR(ISBLANK(N1663), ISBLANK(O1663)),
        "",
        MAX(
            1,
            IF(
                NETWORKDAYS(N1663, O1663, Holiday_Dates) &lt;= 0,
                1,
                NETWORKDAYS(N1663, O1663, Holiday_Dates) - IF(N1663 = O1663, 0, 1)
            )
        )
    ),
    ""
)</f>
        <v/>
      </c>
      <c r="T1663" s="385"/>
      <c r="U1663" s="385"/>
      <c r="V1663" s="385"/>
      <c r="W1663" s="385" t="s">
        <v>4710</v>
      </c>
      <c r="X1663" s="1"/>
    </row>
    <row r="1664" spans="1:24">
      <c r="A1664" s="385" t="s">
        <v>65</v>
      </c>
      <c r="B1664" s="385" t="s">
        <v>526</v>
      </c>
      <c r="C1664" s="385" t="s">
        <v>3389</v>
      </c>
      <c r="D1664" s="385" t="s">
        <v>88</v>
      </c>
      <c r="E1664" s="385"/>
      <c r="F1664" s="385"/>
      <c r="G1664" s="385"/>
      <c r="H1664" s="385">
        <v>2025</v>
      </c>
      <c r="I1664" s="386">
        <v>45708</v>
      </c>
      <c r="J1664" s="30" t="s">
        <v>5345</v>
      </c>
      <c r="K1664" s="385"/>
      <c r="L1664" s="385"/>
      <c r="M1664" s="385"/>
      <c r="N1664" s="385"/>
      <c r="O1664" s="385"/>
      <c r="P1664" s="385" t="str">
        <f>IFERROR(
    IF(
        OR(ISBLANK(I1664), ISBLANK(L1664)),
        "",
        MAX(
            1,
            IF(
                NETWORKDAYS(I1664, L1664, Holiday_Dates) &lt;= 0,
                1,
                NETWORKDAYS(I1664, L1664, Holiday_Dates) - IF(I1664 = L1664, 0, 1)
            )
        )
    ),
    ""
)</f>
        <v/>
      </c>
      <c r="Q1664" s="385" t="str">
        <f>IF(
    OR(ISBLANK(L1664), ISBLANK(M1664)),
    "",
    MAX(
        1,
        IF(
            NETWORKDAYS(L1664, M1664, Holiday_Dates) &lt;= 0,
            1,
            NETWORKDAYS(L1664, M1664, Holiday_Dates) - IF(L1664 = M1664, 0, 1)
        )
    )
)</f>
        <v/>
      </c>
      <c r="R1664" s="385" t="str">
        <f>IFERROR(
    IF(
        OR(ISBLANK(N1664), AND(ISBLANK(L1664), ISBLANK(M1664))),
        "",
        MAX(
            1,
            IF(
                NETWORKDAYS(IF(NOT(ISBLANK(M1664)), M1664, L1664), N1664, Holiday_Dates) &lt;= 0,
                1,
                NETWORKDAYS(IF(NOT(ISBLANK(M1664)), M1664, L1664), N1664, Holiday_Dates)
                - IF(IF(NOT(ISBLANK(M1664)), M1664, L1664) = N1664, 0, 1)
            )
        )
    ),
    ""
)</f>
        <v/>
      </c>
      <c r="S1664" s="385" t="str">
        <f>IFERROR(
    IF(
        OR(ISBLANK(N1664), ISBLANK(O1664)),
        "",
        MAX(
            1,
            IF(
                NETWORKDAYS(N1664, O1664, Holiday_Dates) &lt;= 0,
                1,
                NETWORKDAYS(N1664, O1664, Holiday_Dates) - IF(N1664 = O1664, 0, 1)
            )
        )
    ),
    ""
)</f>
        <v/>
      </c>
      <c r="T1664" s="385"/>
      <c r="U1664" s="385" t="s">
        <v>672</v>
      </c>
      <c r="V1664" s="385" t="s">
        <v>101</v>
      </c>
      <c r="W1664" s="385" t="s">
        <v>1436</v>
      </c>
      <c r="X1664" s="1"/>
    </row>
    <row r="1665" spans="1:24">
      <c r="A1665" s="385" t="s">
        <v>65</v>
      </c>
      <c r="B1665" s="385" t="s">
        <v>530</v>
      </c>
      <c r="C1665" s="385" t="s">
        <v>3477</v>
      </c>
      <c r="D1665" s="385" t="s">
        <v>88</v>
      </c>
      <c r="E1665" s="385" t="s">
        <v>140</v>
      </c>
      <c r="F1665" s="385"/>
      <c r="G1665" s="385" t="s">
        <v>130</v>
      </c>
      <c r="H1665" s="385"/>
      <c r="I1665" s="385"/>
      <c r="J1665" s="30"/>
      <c r="K1665" s="385" t="s">
        <v>64</v>
      </c>
      <c r="L1665" s="385"/>
      <c r="M1665" s="385"/>
      <c r="N1665" s="385"/>
      <c r="O1665" s="385"/>
      <c r="P1665" s="385" t="str">
        <f>IFERROR(
    IF(
        OR(ISBLANK(I1665), ISBLANK(L1665)),
        "",
        MAX(
            1,
            IF(
                NETWORKDAYS(I1665, L1665, Holiday_Dates) &lt;= 0,
                1,
                NETWORKDAYS(I1665, L1665, Holiday_Dates) - IF(I1665 = L1665, 0, 1)
            )
        )
    ),
    ""
)</f>
        <v/>
      </c>
      <c r="Q1665" s="385" t="str">
        <f>IF(
    OR(ISBLANK(L1665), ISBLANK(M1665)),
    "",
    MAX(
        1,
        IF(
            NETWORKDAYS(L1665, M1665, Holiday_Dates) &lt;= 0,
            1,
            NETWORKDAYS(L1665, M1665, Holiday_Dates) - IF(L1665 = M1665, 0, 1)
        )
    )
)</f>
        <v/>
      </c>
      <c r="R1665" s="385" t="str">
        <f>IFERROR(
    IF(
        OR(ISBLANK(N1665), AND(ISBLANK(L1665), ISBLANK(M1665))),
        "",
        MAX(
            1,
            IF(
                NETWORKDAYS(IF(NOT(ISBLANK(M1665)), M1665, L1665), N1665, Holiday_Dates) &lt;= 0,
                1,
                NETWORKDAYS(IF(NOT(ISBLANK(M1665)), M1665, L1665), N1665, Holiday_Dates)
                - IF(IF(NOT(ISBLANK(M1665)), M1665, L1665) = N1665, 0, 1)
            )
        )
    ),
    ""
)</f>
        <v/>
      </c>
      <c r="S1665" s="385" t="str">
        <f>IFERROR(
    IF(
        OR(ISBLANK(N1665), ISBLANK(O1665)),
        "",
        MAX(
            1,
            IF(
                NETWORKDAYS(N1665, O1665, Holiday_Dates) &lt;= 0,
                1,
                NETWORKDAYS(N1665, O1665, Holiday_Dates) - IF(N1665 = O1665, 0, 1)
            )
        )
    ),
    ""
)</f>
        <v/>
      </c>
      <c r="T1665" s="385"/>
      <c r="U1665" s="385"/>
      <c r="V1665" s="385"/>
      <c r="W1665" s="385" t="s">
        <v>4710</v>
      </c>
      <c r="X1665" s="1"/>
    </row>
    <row r="1666" spans="1:24">
      <c r="A1666" s="385" t="s">
        <v>65</v>
      </c>
      <c r="B1666" s="385" t="s">
        <v>530</v>
      </c>
      <c r="C1666" s="385" t="s">
        <v>3478</v>
      </c>
      <c r="D1666" s="385" t="s">
        <v>88</v>
      </c>
      <c r="E1666" s="385" t="s">
        <v>140</v>
      </c>
      <c r="F1666" s="385"/>
      <c r="G1666" s="385" t="s">
        <v>130</v>
      </c>
      <c r="H1666" s="385"/>
      <c r="I1666" s="385"/>
      <c r="J1666" s="30"/>
      <c r="K1666" s="385" t="s">
        <v>64</v>
      </c>
      <c r="L1666" s="385"/>
      <c r="M1666" s="385"/>
      <c r="N1666" s="385"/>
      <c r="O1666" s="385"/>
      <c r="P1666" s="385" t="str">
        <f>IFERROR(
    IF(
        OR(ISBLANK(I1666), ISBLANK(L1666)),
        "",
        MAX(
            1,
            IF(
                NETWORKDAYS(I1666, L1666, Holiday_Dates) &lt;= 0,
                1,
                NETWORKDAYS(I1666, L1666, Holiday_Dates) - IF(I1666 = L1666, 0, 1)
            )
        )
    ),
    ""
)</f>
        <v/>
      </c>
      <c r="Q1666" s="385" t="str">
        <f>IF(
    OR(ISBLANK(L1666), ISBLANK(M1666)),
    "",
    MAX(
        1,
        IF(
            NETWORKDAYS(L1666, M1666, Holiday_Dates) &lt;= 0,
            1,
            NETWORKDAYS(L1666, M1666, Holiday_Dates) - IF(L1666 = M1666, 0, 1)
        )
    )
)</f>
        <v/>
      </c>
      <c r="R1666" s="385" t="str">
        <f>IFERROR(
    IF(
        OR(ISBLANK(N1666), AND(ISBLANK(L1666), ISBLANK(M1666))),
        "",
        MAX(
            1,
            IF(
                NETWORKDAYS(IF(NOT(ISBLANK(M1666)), M1666, L1666), N1666, Holiday_Dates) &lt;= 0,
                1,
                NETWORKDAYS(IF(NOT(ISBLANK(M1666)), M1666, L1666), N1666, Holiday_Dates)
                - IF(IF(NOT(ISBLANK(M1666)), M1666, L1666) = N1666, 0, 1)
            )
        )
    ),
    ""
)</f>
        <v/>
      </c>
      <c r="S1666" s="385" t="str">
        <f>IFERROR(
    IF(
        OR(ISBLANK(N1666), ISBLANK(O1666)),
        "",
        MAX(
            1,
            IF(
                NETWORKDAYS(N1666, O1666, Holiday_Dates) &lt;= 0,
                1,
                NETWORKDAYS(N1666, O1666, Holiday_Dates) - IF(N1666 = O1666, 0, 1)
            )
        )
    ),
    ""
)</f>
        <v/>
      </c>
      <c r="T1666" s="385"/>
      <c r="U1666" s="385"/>
      <c r="V1666" s="385"/>
      <c r="W1666" s="385" t="s">
        <v>4710</v>
      </c>
      <c r="X1666" s="1"/>
    </row>
    <row r="1667" spans="1:24">
      <c r="A1667" s="385" t="s">
        <v>65</v>
      </c>
      <c r="B1667" s="385" t="s">
        <v>526</v>
      </c>
      <c r="C1667" s="385" t="s">
        <v>3391</v>
      </c>
      <c r="D1667" s="385" t="s">
        <v>88</v>
      </c>
      <c r="E1667" s="385"/>
      <c r="F1667" s="385"/>
      <c r="G1667" s="385"/>
      <c r="H1667" s="385">
        <v>2024</v>
      </c>
      <c r="I1667" s="386">
        <v>45512</v>
      </c>
      <c r="J1667" s="30"/>
      <c r="K1667" s="385"/>
      <c r="L1667" s="385"/>
      <c r="M1667" s="385"/>
      <c r="N1667" s="385"/>
      <c r="O1667" s="385"/>
      <c r="P1667" s="385" t="str">
        <f>IFERROR(
    IF(
        OR(ISBLANK(I1667), ISBLANK(L1667)),
        "",
        MAX(
            1,
            IF(
                NETWORKDAYS(I1667, L1667, Holiday_Dates) &lt;= 0,
                1,
                NETWORKDAYS(I1667, L1667, Holiday_Dates) - IF(I1667 = L1667, 0, 1)
            )
        )
    ),
    ""
)</f>
        <v/>
      </c>
      <c r="Q1667" s="385" t="str">
        <f>IF(
    OR(ISBLANK(L1667), ISBLANK(M1667)),
    "",
    MAX(
        1,
        IF(
            NETWORKDAYS(L1667, M1667, Holiday_Dates) &lt;= 0,
            1,
            NETWORKDAYS(L1667, M1667, Holiday_Dates) - IF(L1667 = M1667, 0, 1)
        )
    )
)</f>
        <v/>
      </c>
      <c r="R1667" s="385" t="str">
        <f>IFERROR(
    IF(
        OR(ISBLANK(N1667), AND(ISBLANK(L1667), ISBLANK(M1667))),
        "",
        MAX(
            1,
            IF(
                NETWORKDAYS(IF(NOT(ISBLANK(M1667)), M1667, L1667), N1667, Holiday_Dates) &lt;= 0,
                1,
                NETWORKDAYS(IF(NOT(ISBLANK(M1667)), M1667, L1667), N1667, Holiday_Dates)
                - IF(IF(NOT(ISBLANK(M1667)), M1667, L1667) = N1667, 0, 1)
            )
        )
    ),
    ""
)</f>
        <v/>
      </c>
      <c r="S1667" s="385" t="str">
        <f>IFERROR(
    IF(
        OR(ISBLANK(N1667), ISBLANK(O1667)),
        "",
        MAX(
            1,
            IF(
                NETWORKDAYS(N1667, O1667, Holiday_Dates) &lt;= 0,
                1,
                NETWORKDAYS(N1667, O1667, Holiday_Dates) - IF(N1667 = O1667, 0, 1)
            )
        )
    ),
    ""
)</f>
        <v/>
      </c>
      <c r="T1667" s="385"/>
      <c r="U1667" s="385" t="s">
        <v>4</v>
      </c>
      <c r="V1667" s="385" t="s">
        <v>101</v>
      </c>
      <c r="W1667" s="385" t="s">
        <v>1436</v>
      </c>
      <c r="X1667" s="1"/>
    </row>
    <row r="1668" spans="1:24">
      <c r="A1668" s="385" t="s">
        <v>65</v>
      </c>
      <c r="B1668" s="385" t="s">
        <v>526</v>
      </c>
      <c r="C1668" s="385" t="s">
        <v>2342</v>
      </c>
      <c r="D1668" s="385" t="s">
        <v>88</v>
      </c>
      <c r="E1668" s="385"/>
      <c r="F1668" s="385"/>
      <c r="G1668" s="385"/>
      <c r="H1668" s="385">
        <v>2024</v>
      </c>
      <c r="I1668" s="386">
        <v>45610</v>
      </c>
      <c r="J1668" s="30"/>
      <c r="K1668" s="385"/>
      <c r="L1668" s="385"/>
      <c r="M1668" s="385"/>
      <c r="N1668" s="385"/>
      <c r="O1668" s="385"/>
      <c r="P1668" s="385" t="str">
        <f>IFERROR(
    IF(
        OR(ISBLANK(I1668), ISBLANK(L1668)),
        "",
        MAX(
            1,
            IF(
                NETWORKDAYS(I1668, L1668, Holiday_Dates) &lt;= 0,
                1,
                NETWORKDAYS(I1668, L1668, Holiday_Dates) - IF(I1668 = L1668, 0, 1)
            )
        )
    ),
    ""
)</f>
        <v/>
      </c>
      <c r="Q1668" s="385" t="str">
        <f>IF(
    OR(ISBLANK(L1668), ISBLANK(M1668)),
    "",
    MAX(
        1,
        IF(
            NETWORKDAYS(L1668, M1668, Holiday_Dates) &lt;= 0,
            1,
            NETWORKDAYS(L1668, M1668, Holiday_Dates) - IF(L1668 = M1668, 0, 1)
        )
    )
)</f>
        <v/>
      </c>
      <c r="R1668" s="385" t="str">
        <f>IFERROR(
    IF(
        OR(ISBLANK(N1668), AND(ISBLANK(L1668), ISBLANK(M1668))),
        "",
        MAX(
            1,
            IF(
                NETWORKDAYS(IF(NOT(ISBLANK(M1668)), M1668, L1668), N1668, Holiday_Dates) &lt;= 0,
                1,
                NETWORKDAYS(IF(NOT(ISBLANK(M1668)), M1668, L1668), N1668, Holiday_Dates)
                - IF(IF(NOT(ISBLANK(M1668)), M1668, L1668) = N1668, 0, 1)
            )
        )
    ),
    ""
)</f>
        <v/>
      </c>
      <c r="S1668" s="385" t="str">
        <f>IFERROR(
    IF(
        OR(ISBLANK(N1668), ISBLANK(O1668)),
        "",
        MAX(
            1,
            IF(
                NETWORKDAYS(N1668, O1668, Holiday_Dates) &lt;= 0,
                1,
                NETWORKDAYS(N1668, O1668, Holiday_Dates) - IF(N1668 = O1668, 0, 1)
            )
        )
    ),
    ""
)</f>
        <v/>
      </c>
      <c r="T1668" s="385"/>
      <c r="U1668" s="385" t="s">
        <v>4</v>
      </c>
      <c r="V1668" s="385" t="s">
        <v>101</v>
      </c>
      <c r="W1668" s="385" t="s">
        <v>1436</v>
      </c>
      <c r="X1668" s="1"/>
    </row>
    <row r="1669" spans="1:24">
      <c r="A1669" s="385" t="s">
        <v>65</v>
      </c>
      <c r="B1669" s="385" t="s">
        <v>526</v>
      </c>
      <c r="C1669" s="385" t="s">
        <v>3394</v>
      </c>
      <c r="D1669" s="385" t="s">
        <v>88</v>
      </c>
      <c r="E1669" s="385"/>
      <c r="F1669" s="385"/>
      <c r="G1669" s="385"/>
      <c r="H1669" s="385">
        <v>2025</v>
      </c>
      <c r="I1669" s="386">
        <v>45680</v>
      </c>
      <c r="J1669" s="30" t="s">
        <v>5346</v>
      </c>
      <c r="K1669" s="385"/>
      <c r="L1669" s="385"/>
      <c r="M1669" s="385"/>
      <c r="N1669" s="385"/>
      <c r="O1669" s="385"/>
      <c r="P1669" s="385" t="str">
        <f>IFERROR(
    IF(
        OR(ISBLANK(I1669), ISBLANK(L1669)),
        "",
        MAX(
            1,
            IF(
                NETWORKDAYS(I1669, L1669, Holiday_Dates) &lt;= 0,
                1,
                NETWORKDAYS(I1669, L1669, Holiday_Dates) - IF(I1669 = L1669, 0, 1)
            )
        )
    ),
    ""
)</f>
        <v/>
      </c>
      <c r="Q1669" s="385" t="str">
        <f>IF(
    OR(ISBLANK(L1669), ISBLANK(M1669)),
    "",
    MAX(
        1,
        IF(
            NETWORKDAYS(L1669, M1669, Holiday_Dates) &lt;= 0,
            1,
            NETWORKDAYS(L1669, M1669, Holiday_Dates) - IF(L1669 = M1669, 0, 1)
        )
    )
)</f>
        <v/>
      </c>
      <c r="R1669" s="385" t="str">
        <f>IFERROR(
    IF(
        OR(ISBLANK(N1669), AND(ISBLANK(L1669), ISBLANK(M1669))),
        "",
        MAX(
            1,
            IF(
                NETWORKDAYS(IF(NOT(ISBLANK(M1669)), M1669, L1669), N1669, Holiday_Dates) &lt;= 0,
                1,
                NETWORKDAYS(IF(NOT(ISBLANK(M1669)), M1669, L1669), N1669, Holiday_Dates)
                - IF(IF(NOT(ISBLANK(M1669)), M1669, L1669) = N1669, 0, 1)
            )
        )
    ),
    ""
)</f>
        <v/>
      </c>
      <c r="S1669" s="385" t="str">
        <f>IFERROR(
    IF(
        OR(ISBLANK(N1669), ISBLANK(O1669)),
        "",
        MAX(
            1,
            IF(
                NETWORKDAYS(N1669, O1669, Holiday_Dates) &lt;= 0,
                1,
                NETWORKDAYS(N1669, O1669, Holiday_Dates) - IF(N1669 = O1669, 0, 1)
            )
        )
    ),
    ""
)</f>
        <v/>
      </c>
      <c r="T1669" s="385"/>
      <c r="U1669" s="385" t="s">
        <v>672</v>
      </c>
      <c r="V1669" s="385" t="s">
        <v>101</v>
      </c>
      <c r="W1669" s="385" t="s">
        <v>1436</v>
      </c>
      <c r="X1669" s="1"/>
    </row>
    <row r="1670" spans="1:24">
      <c r="A1670" s="385" t="s">
        <v>65</v>
      </c>
      <c r="B1670" s="385" t="s">
        <v>526</v>
      </c>
      <c r="C1670" s="385" t="s">
        <v>2276</v>
      </c>
      <c r="D1670" s="385" t="s">
        <v>88</v>
      </c>
      <c r="E1670" s="385"/>
      <c r="F1670" s="385"/>
      <c r="G1670" s="385"/>
      <c r="H1670" s="385">
        <v>2024</v>
      </c>
      <c r="I1670" s="386">
        <v>45615</v>
      </c>
      <c r="J1670" s="30"/>
      <c r="K1670" s="385"/>
      <c r="L1670" s="385"/>
      <c r="M1670" s="385"/>
      <c r="N1670" s="385"/>
      <c r="O1670" s="385"/>
      <c r="P1670" s="385" t="str">
        <f>IFERROR(
    IF(
        OR(ISBLANK(I1670), ISBLANK(L1670)),
        "",
        MAX(
            1,
            IF(
                NETWORKDAYS(I1670, L1670, Holiday_Dates) &lt;= 0,
                1,
                NETWORKDAYS(I1670, L1670, Holiday_Dates) - IF(I1670 = L1670, 0, 1)
            )
        )
    ),
    ""
)</f>
        <v/>
      </c>
      <c r="Q1670" s="385" t="str">
        <f>IF(
    OR(ISBLANK(L1670), ISBLANK(M1670)),
    "",
    MAX(
        1,
        IF(
            NETWORKDAYS(L1670, M1670, Holiday_Dates) &lt;= 0,
            1,
            NETWORKDAYS(L1670, M1670, Holiday_Dates) - IF(L1670 = M1670, 0, 1)
        )
    )
)</f>
        <v/>
      </c>
      <c r="R1670" s="385" t="str">
        <f>IFERROR(
    IF(
        OR(ISBLANK(N1670), AND(ISBLANK(L1670), ISBLANK(M1670))),
        "",
        MAX(
            1,
            IF(
                NETWORKDAYS(IF(NOT(ISBLANK(M1670)), M1670, L1670), N1670, Holiday_Dates) &lt;= 0,
                1,
                NETWORKDAYS(IF(NOT(ISBLANK(M1670)), M1670, L1670), N1670, Holiday_Dates)
                - IF(IF(NOT(ISBLANK(M1670)), M1670, L1670) = N1670, 0, 1)
            )
        )
    ),
    ""
)</f>
        <v/>
      </c>
      <c r="S1670" s="385" t="str">
        <f>IFERROR(
    IF(
        OR(ISBLANK(N1670), ISBLANK(O1670)),
        "",
        MAX(
            1,
            IF(
                NETWORKDAYS(N1670, O1670, Holiday_Dates) &lt;= 0,
                1,
                NETWORKDAYS(N1670, O1670, Holiday_Dates) - IF(N1670 = O1670, 0, 1)
            )
        )
    ),
    ""
)</f>
        <v/>
      </c>
      <c r="T1670" s="385"/>
      <c r="U1670" s="385" t="s">
        <v>4</v>
      </c>
      <c r="V1670" s="385" t="s">
        <v>108</v>
      </c>
      <c r="W1670" s="385" t="s">
        <v>1436</v>
      </c>
      <c r="X1670" s="1"/>
    </row>
    <row r="1671" spans="1:24">
      <c r="A1671" s="385" t="s">
        <v>65</v>
      </c>
      <c r="B1671" s="385" t="s">
        <v>530</v>
      </c>
      <c r="C1671" s="385" t="s">
        <v>3479</v>
      </c>
      <c r="D1671" s="385" t="s">
        <v>88</v>
      </c>
      <c r="E1671" s="385" t="s">
        <v>140</v>
      </c>
      <c r="F1671" s="385"/>
      <c r="G1671" s="385" t="s">
        <v>130</v>
      </c>
      <c r="H1671" s="385"/>
      <c r="I1671" s="385"/>
      <c r="J1671" s="30"/>
      <c r="K1671" s="385" t="s">
        <v>64</v>
      </c>
      <c r="L1671" s="385"/>
      <c r="M1671" s="385"/>
      <c r="N1671" s="385"/>
      <c r="O1671" s="385"/>
      <c r="P1671" s="385" t="str">
        <f>IFERROR(
    IF(
        OR(ISBLANK(I1671), ISBLANK(L1671)),
        "",
        MAX(
            1,
            IF(
                NETWORKDAYS(I1671, L1671, Holiday_Dates) &lt;= 0,
                1,
                NETWORKDAYS(I1671, L1671, Holiday_Dates) - IF(I1671 = L1671, 0, 1)
            )
        )
    ),
    ""
)</f>
        <v/>
      </c>
      <c r="Q1671" s="385" t="str">
        <f>IF(
    OR(ISBLANK(L1671), ISBLANK(M1671)),
    "",
    MAX(
        1,
        IF(
            NETWORKDAYS(L1671, M1671, Holiday_Dates) &lt;= 0,
            1,
            NETWORKDAYS(L1671, M1671, Holiday_Dates) - IF(L1671 = M1671, 0, 1)
        )
    )
)</f>
        <v/>
      </c>
      <c r="R1671" s="385" t="str">
        <f>IFERROR(
    IF(
        OR(ISBLANK(N1671), AND(ISBLANK(L1671), ISBLANK(M1671))),
        "",
        MAX(
            1,
            IF(
                NETWORKDAYS(IF(NOT(ISBLANK(M1671)), M1671, L1671), N1671, Holiday_Dates) &lt;= 0,
                1,
                NETWORKDAYS(IF(NOT(ISBLANK(M1671)), M1671, L1671), N1671, Holiday_Dates)
                - IF(IF(NOT(ISBLANK(M1671)), M1671, L1671) = N1671, 0, 1)
            )
        )
    ),
    ""
)</f>
        <v/>
      </c>
      <c r="S1671" s="385" t="str">
        <f>IFERROR(
    IF(
        OR(ISBLANK(N1671), ISBLANK(O1671)),
        "",
        MAX(
            1,
            IF(
                NETWORKDAYS(N1671, O1671, Holiday_Dates) &lt;= 0,
                1,
                NETWORKDAYS(N1671, O1671, Holiday_Dates) - IF(N1671 = O1671, 0, 1)
            )
        )
    ),
    ""
)</f>
        <v/>
      </c>
      <c r="T1671" s="385"/>
      <c r="U1671" s="385"/>
      <c r="V1671" s="385"/>
      <c r="W1671" s="385" t="s">
        <v>4710</v>
      </c>
      <c r="X1671" s="1"/>
    </row>
    <row r="1672" spans="1:24">
      <c r="A1672" s="385" t="s">
        <v>65</v>
      </c>
      <c r="B1672" s="385" t="s">
        <v>530</v>
      </c>
      <c r="C1672" s="385" t="s">
        <v>590</v>
      </c>
      <c r="D1672" s="385" t="s">
        <v>88</v>
      </c>
      <c r="E1672" s="385" t="s">
        <v>140</v>
      </c>
      <c r="F1672" s="385"/>
      <c r="G1672" s="385" t="s">
        <v>130</v>
      </c>
      <c r="H1672" s="385"/>
      <c r="I1672" s="385"/>
      <c r="J1672" s="30"/>
      <c r="K1672" s="385" t="s">
        <v>64</v>
      </c>
      <c r="L1672" s="385"/>
      <c r="M1672" s="385"/>
      <c r="N1672" s="385"/>
      <c r="O1672" s="385"/>
      <c r="P1672" s="385" t="str">
        <f>IFERROR(
    IF(
        OR(ISBLANK(I1672), ISBLANK(L1672)),
        "",
        MAX(
            1,
            IF(
                NETWORKDAYS(I1672, L1672, Holiday_Dates) &lt;= 0,
                1,
                NETWORKDAYS(I1672, L1672, Holiday_Dates) - IF(I1672 = L1672, 0, 1)
            )
        )
    ),
    ""
)</f>
        <v/>
      </c>
      <c r="Q1672" s="385" t="str">
        <f>IF(
    OR(ISBLANK(L1672), ISBLANK(M1672)),
    "",
    MAX(
        1,
        IF(
            NETWORKDAYS(L1672, M1672, Holiday_Dates) &lt;= 0,
            1,
            NETWORKDAYS(L1672, M1672, Holiday_Dates) - IF(L1672 = M1672, 0, 1)
        )
    )
)</f>
        <v/>
      </c>
      <c r="R1672" s="385" t="str">
        <f>IFERROR(
    IF(
        OR(ISBLANK(N1672), AND(ISBLANK(L1672), ISBLANK(M1672))),
        "",
        MAX(
            1,
            IF(
                NETWORKDAYS(IF(NOT(ISBLANK(M1672)), M1672, L1672), N1672, Holiday_Dates) &lt;= 0,
                1,
                NETWORKDAYS(IF(NOT(ISBLANK(M1672)), M1672, L1672), N1672, Holiday_Dates)
                - IF(IF(NOT(ISBLANK(M1672)), M1672, L1672) = N1672, 0, 1)
            )
        )
    ),
    ""
)</f>
        <v/>
      </c>
      <c r="S1672" s="385" t="str">
        <f>IFERROR(
    IF(
        OR(ISBLANK(N1672), ISBLANK(O1672)),
        "",
        MAX(
            1,
            IF(
                NETWORKDAYS(N1672, O1672, Holiday_Dates) &lt;= 0,
                1,
                NETWORKDAYS(N1672, O1672, Holiday_Dates) - IF(N1672 = O1672, 0, 1)
            )
        )
    ),
    ""
)</f>
        <v/>
      </c>
      <c r="T1672" s="385"/>
      <c r="U1672" s="385"/>
      <c r="V1672" s="385"/>
      <c r="W1672" s="385" t="s">
        <v>4710</v>
      </c>
      <c r="X1672" s="1"/>
    </row>
    <row r="1673" spans="1:24">
      <c r="A1673" s="385" t="s">
        <v>65</v>
      </c>
      <c r="B1673" s="385" t="s">
        <v>526</v>
      </c>
      <c r="C1673" s="385" t="s">
        <v>2347</v>
      </c>
      <c r="D1673" s="385" t="s">
        <v>88</v>
      </c>
      <c r="E1673" s="385"/>
      <c r="F1673" s="385"/>
      <c r="G1673" s="385"/>
      <c r="H1673" s="385">
        <v>2025</v>
      </c>
      <c r="I1673" s="386">
        <v>45854</v>
      </c>
      <c r="J1673" s="30" t="s">
        <v>5347</v>
      </c>
      <c r="K1673" s="385"/>
      <c r="L1673" s="385"/>
      <c r="M1673" s="385"/>
      <c r="N1673" s="385"/>
      <c r="O1673" s="385"/>
      <c r="P1673" s="385" t="str">
        <f>IFERROR(
    IF(
        OR(ISBLANK(I1673), ISBLANK(L1673)),
        "",
        MAX(
            1,
            IF(
                NETWORKDAYS(I1673, L1673, Holiday_Dates) &lt;= 0,
                1,
                NETWORKDAYS(I1673, L1673, Holiday_Dates) - IF(I1673 = L1673, 0, 1)
            )
        )
    ),
    ""
)</f>
        <v/>
      </c>
      <c r="Q1673" s="385" t="str">
        <f>IF(
    OR(ISBLANK(L1673), ISBLANK(M1673)),
    "",
    MAX(
        1,
        IF(
            NETWORKDAYS(L1673, M1673, Holiday_Dates) &lt;= 0,
            1,
            NETWORKDAYS(L1673, M1673, Holiday_Dates) - IF(L1673 = M1673, 0, 1)
        )
    )
)</f>
        <v/>
      </c>
      <c r="R1673" s="385" t="str">
        <f>IFERROR(
    IF(
        OR(ISBLANK(N1673), AND(ISBLANK(L1673), ISBLANK(M1673))),
        "",
        MAX(
            1,
            IF(
                NETWORKDAYS(IF(NOT(ISBLANK(M1673)), M1673, L1673), N1673, Holiday_Dates) &lt;= 0,
                1,
                NETWORKDAYS(IF(NOT(ISBLANK(M1673)), M1673, L1673), N1673, Holiday_Dates)
                - IF(IF(NOT(ISBLANK(M1673)), M1673, L1673) = N1673, 0, 1)
            )
        )
    ),
    ""
)</f>
        <v/>
      </c>
      <c r="S1673" s="385" t="str">
        <f>IFERROR(
    IF(
        OR(ISBLANK(N1673), ISBLANK(O1673)),
        "",
        MAX(
            1,
            IF(
                NETWORKDAYS(N1673, O1673, Holiday_Dates) &lt;= 0,
                1,
                NETWORKDAYS(N1673, O1673, Holiday_Dates) - IF(N1673 = O1673, 0, 1)
            )
        )
    ),
    ""
)</f>
        <v/>
      </c>
      <c r="T1673" s="385"/>
      <c r="U1673" s="385" t="s">
        <v>4</v>
      </c>
      <c r="V1673" s="385" t="s">
        <v>101</v>
      </c>
      <c r="W1673" s="385" t="s">
        <v>1436</v>
      </c>
      <c r="X1673" s="1"/>
    </row>
    <row r="1674" spans="1:24">
      <c r="A1674" s="385" t="s">
        <v>65</v>
      </c>
      <c r="B1674" s="385" t="s">
        <v>3162</v>
      </c>
      <c r="C1674" s="385" t="s">
        <v>2777</v>
      </c>
      <c r="D1674" s="385" t="s">
        <v>88</v>
      </c>
      <c r="E1674" s="385"/>
      <c r="F1674" s="385"/>
      <c r="G1674" s="385"/>
      <c r="H1674" s="385">
        <v>2025</v>
      </c>
      <c r="I1674" s="386">
        <v>45715</v>
      </c>
      <c r="J1674" s="30" t="s">
        <v>5348</v>
      </c>
      <c r="K1674" s="385"/>
      <c r="L1674" s="385"/>
      <c r="M1674" s="385"/>
      <c r="N1674" s="385"/>
      <c r="O1674" s="385"/>
      <c r="P1674" s="385" t="str">
        <f>IFERROR(
    IF(
        OR(ISBLANK(I1674), ISBLANK(L1674)),
        "",
        MAX(
            1,
            IF(
                NETWORKDAYS(I1674, L1674, Holiday_Dates) &lt;= 0,
                1,
                NETWORKDAYS(I1674, L1674, Holiday_Dates) - IF(I1674 = L1674, 0, 1)
            )
        )
    ),
    ""
)</f>
        <v/>
      </c>
      <c r="Q1674" s="385" t="str">
        <f>IF(
    OR(ISBLANK(L1674), ISBLANK(M1674)),
    "",
    MAX(
        1,
        IF(
            NETWORKDAYS(L1674, M1674, Holiday_Dates) &lt;= 0,
            1,
            NETWORKDAYS(L1674, M1674, Holiday_Dates) - IF(L1674 = M1674, 0, 1)
        )
    )
)</f>
        <v/>
      </c>
      <c r="R1674" s="385" t="str">
        <f>IFERROR(
    IF(
        OR(ISBLANK(N1674), AND(ISBLANK(L1674), ISBLANK(M1674))),
        "",
        MAX(
            1,
            IF(
                NETWORKDAYS(IF(NOT(ISBLANK(M1674)), M1674, L1674), N1674, Holiday_Dates) &lt;= 0,
                1,
                NETWORKDAYS(IF(NOT(ISBLANK(M1674)), M1674, L1674), N1674, Holiday_Dates)
                - IF(IF(NOT(ISBLANK(M1674)), M1674, L1674) = N1674, 0, 1)
            )
        )
    ),
    ""
)</f>
        <v/>
      </c>
      <c r="S1674" s="385" t="str">
        <f>IFERROR(
    IF(
        OR(ISBLANK(N1674), ISBLANK(O1674)),
        "",
        MAX(
            1,
            IF(
                NETWORKDAYS(N1674, O1674, Holiday_Dates) &lt;= 0,
                1,
                NETWORKDAYS(N1674, O1674, Holiday_Dates) - IF(N1674 = O1674, 0, 1)
            )
        )
    ),
    ""
)</f>
        <v/>
      </c>
      <c r="T1674" s="385"/>
      <c r="U1674" s="385" t="s">
        <v>672</v>
      </c>
      <c r="V1674" s="385" t="s">
        <v>101</v>
      </c>
      <c r="W1674" s="385" t="s">
        <v>1436</v>
      </c>
      <c r="X1674" s="1"/>
    </row>
    <row r="1675" spans="1:24">
      <c r="A1675" s="385" t="s">
        <v>65</v>
      </c>
      <c r="B1675" s="385" t="s">
        <v>3162</v>
      </c>
      <c r="C1675" s="385" t="s">
        <v>2976</v>
      </c>
      <c r="D1675" s="385" t="s">
        <v>88</v>
      </c>
      <c r="E1675" s="385"/>
      <c r="F1675" s="385"/>
      <c r="G1675" s="385"/>
      <c r="H1675" s="385">
        <v>2024</v>
      </c>
      <c r="I1675" s="386">
        <v>45603</v>
      </c>
      <c r="J1675" s="30"/>
      <c r="K1675" s="385"/>
      <c r="L1675" s="385"/>
      <c r="M1675" s="385"/>
      <c r="N1675" s="385"/>
      <c r="O1675" s="385"/>
      <c r="P1675" s="385" t="str">
        <f>IFERROR(
    IF(
        OR(ISBLANK(I1675), ISBLANK(L1675)),
        "",
        MAX(
            1,
            IF(
                NETWORKDAYS(I1675, L1675, Holiday_Dates) &lt;= 0,
                1,
                NETWORKDAYS(I1675, L1675, Holiday_Dates) - IF(I1675 = L1675, 0, 1)
            )
        )
    ),
    ""
)</f>
        <v/>
      </c>
      <c r="Q1675" s="385" t="str">
        <f>IF(
    OR(ISBLANK(L1675), ISBLANK(M1675)),
    "",
    MAX(
        1,
        IF(
            NETWORKDAYS(L1675, M1675, Holiday_Dates) &lt;= 0,
            1,
            NETWORKDAYS(L1675, M1675, Holiday_Dates) - IF(L1675 = M1675, 0, 1)
        )
    )
)</f>
        <v/>
      </c>
      <c r="R1675" s="385" t="str">
        <f>IFERROR(
    IF(
        OR(ISBLANK(N1675), AND(ISBLANK(L1675), ISBLANK(M1675))),
        "",
        MAX(
            1,
            IF(
                NETWORKDAYS(IF(NOT(ISBLANK(M1675)), M1675, L1675), N1675, Holiday_Dates) &lt;= 0,
                1,
                NETWORKDAYS(IF(NOT(ISBLANK(M1675)), M1675, L1675), N1675, Holiday_Dates)
                - IF(IF(NOT(ISBLANK(M1675)), M1675, L1675) = N1675, 0, 1)
            )
        )
    ),
    ""
)</f>
        <v/>
      </c>
      <c r="S1675" s="385" t="str">
        <f>IFERROR(
    IF(
        OR(ISBLANK(N1675), ISBLANK(O1675)),
        "",
        MAX(
            1,
            IF(
                NETWORKDAYS(N1675, O1675, Holiday_Dates) &lt;= 0,
                1,
                NETWORKDAYS(N1675, O1675, Holiday_Dates) - IF(N1675 = O1675, 0, 1)
            )
        )
    ),
    ""
)</f>
        <v/>
      </c>
      <c r="T1675" s="385"/>
      <c r="U1675" s="385" t="s">
        <v>4</v>
      </c>
      <c r="V1675" s="385" t="s">
        <v>101</v>
      </c>
      <c r="W1675" s="385" t="s">
        <v>1436</v>
      </c>
      <c r="X1675" s="1"/>
    </row>
    <row r="1676" spans="1:24">
      <c r="A1676" s="385" t="s">
        <v>65</v>
      </c>
      <c r="B1676" s="385" t="s">
        <v>530</v>
      </c>
      <c r="C1676" s="385" t="s">
        <v>520</v>
      </c>
      <c r="D1676" s="385" t="s">
        <v>88</v>
      </c>
      <c r="E1676" s="385" t="s">
        <v>140</v>
      </c>
      <c r="F1676" s="385"/>
      <c r="G1676" s="385" t="s">
        <v>130</v>
      </c>
      <c r="H1676" s="385"/>
      <c r="I1676" s="385"/>
      <c r="J1676" s="30"/>
      <c r="K1676" s="385" t="s">
        <v>64</v>
      </c>
      <c r="L1676" s="385"/>
      <c r="M1676" s="385"/>
      <c r="N1676" s="385"/>
      <c r="O1676" s="385"/>
      <c r="P1676" s="385" t="str">
        <f>IFERROR(
    IF(
        OR(ISBLANK(I1676), ISBLANK(L1676)),
        "",
        MAX(
            1,
            IF(
                NETWORKDAYS(I1676, L1676, Holiday_Dates) &lt;= 0,
                1,
                NETWORKDAYS(I1676, L1676, Holiday_Dates) - IF(I1676 = L1676, 0, 1)
            )
        )
    ),
    ""
)</f>
        <v/>
      </c>
      <c r="Q1676" s="385" t="str">
        <f>IF(
    OR(ISBLANK(L1676), ISBLANK(M1676)),
    "",
    MAX(
        1,
        IF(
            NETWORKDAYS(L1676, M1676, Holiday_Dates) &lt;= 0,
            1,
            NETWORKDAYS(L1676, M1676, Holiday_Dates) - IF(L1676 = M1676, 0, 1)
        )
    )
)</f>
        <v/>
      </c>
      <c r="R1676" s="385" t="str">
        <f>IFERROR(
    IF(
        OR(ISBLANK(N1676), AND(ISBLANK(L1676), ISBLANK(M1676))),
        "",
        MAX(
            1,
            IF(
                NETWORKDAYS(IF(NOT(ISBLANK(M1676)), M1676, L1676), N1676, Holiday_Dates) &lt;= 0,
                1,
                NETWORKDAYS(IF(NOT(ISBLANK(M1676)), M1676, L1676), N1676, Holiday_Dates)
                - IF(IF(NOT(ISBLANK(M1676)), M1676, L1676) = N1676, 0, 1)
            )
        )
    ),
    ""
)</f>
        <v/>
      </c>
      <c r="S1676" s="385" t="str">
        <f>IFERROR(
    IF(
        OR(ISBLANK(N1676), ISBLANK(O1676)),
        "",
        MAX(
            1,
            IF(
                NETWORKDAYS(N1676, O1676, Holiday_Dates) &lt;= 0,
                1,
                NETWORKDAYS(N1676, O1676, Holiday_Dates) - IF(N1676 = O1676, 0, 1)
            )
        )
    ),
    ""
)</f>
        <v/>
      </c>
      <c r="T1676" s="385"/>
      <c r="U1676" s="385"/>
      <c r="V1676" s="385"/>
      <c r="W1676" s="385" t="s">
        <v>4710</v>
      </c>
      <c r="X1676" s="1"/>
    </row>
    <row r="1677" spans="1:24">
      <c r="A1677" s="385" t="s">
        <v>65</v>
      </c>
      <c r="B1677" s="385" t="s">
        <v>3162</v>
      </c>
      <c r="C1677" s="385" t="s">
        <v>3164</v>
      </c>
      <c r="D1677" s="385" t="s">
        <v>88</v>
      </c>
      <c r="E1677" s="385"/>
      <c r="F1677" s="385"/>
      <c r="G1677" s="385"/>
      <c r="H1677" s="385">
        <v>2024</v>
      </c>
      <c r="I1677" s="386">
        <v>45321</v>
      </c>
      <c r="J1677" s="30"/>
      <c r="K1677" s="385"/>
      <c r="L1677" s="385"/>
      <c r="M1677" s="385"/>
      <c r="N1677" s="385"/>
      <c r="O1677" s="385"/>
      <c r="P1677" s="385" t="str">
        <f>IFERROR(
    IF(
        OR(ISBLANK(I1677), ISBLANK(L1677)),
        "",
        MAX(
            1,
            IF(
                NETWORKDAYS(I1677, L1677, Holiday_Dates) &lt;= 0,
                1,
                NETWORKDAYS(I1677, L1677, Holiday_Dates) - IF(I1677 = L1677, 0, 1)
            )
        )
    ),
    ""
)</f>
        <v/>
      </c>
      <c r="Q1677" s="385" t="str">
        <f>IF(
    OR(ISBLANK(L1677), ISBLANK(M1677)),
    "",
    MAX(
        1,
        IF(
            NETWORKDAYS(L1677, M1677, Holiday_Dates) &lt;= 0,
            1,
            NETWORKDAYS(L1677, M1677, Holiday_Dates) - IF(L1677 = M1677, 0, 1)
        )
    )
)</f>
        <v/>
      </c>
      <c r="R1677" s="385" t="str">
        <f>IFERROR(
    IF(
        OR(ISBLANK(N1677), AND(ISBLANK(L1677), ISBLANK(M1677))),
        "",
        MAX(
            1,
            IF(
                NETWORKDAYS(IF(NOT(ISBLANK(M1677)), M1677, L1677), N1677, Holiday_Dates) &lt;= 0,
                1,
                NETWORKDAYS(IF(NOT(ISBLANK(M1677)), M1677, L1677), N1677, Holiday_Dates)
                - IF(IF(NOT(ISBLANK(M1677)), M1677, L1677) = N1677, 0, 1)
            )
        )
    ),
    ""
)</f>
        <v/>
      </c>
      <c r="S1677" s="385" t="str">
        <f>IFERROR(
    IF(
        OR(ISBLANK(N1677), ISBLANK(O1677)),
        "",
        MAX(
            1,
            IF(
                NETWORKDAYS(N1677, O1677, Holiday_Dates) &lt;= 0,
                1,
                NETWORKDAYS(N1677, O1677, Holiday_Dates) - IF(N1677 = O1677, 0, 1)
            )
        )
    ),
    ""
)</f>
        <v/>
      </c>
      <c r="T1677" s="385"/>
      <c r="U1677" s="385" t="s">
        <v>672</v>
      </c>
      <c r="V1677" s="385"/>
      <c r="W1677" s="385" t="s">
        <v>1436</v>
      </c>
      <c r="X1677" s="1"/>
    </row>
    <row r="1678" spans="1:24">
      <c r="A1678" s="385" t="s">
        <v>65</v>
      </c>
      <c r="B1678" s="385" t="s">
        <v>530</v>
      </c>
      <c r="C1678" s="385" t="s">
        <v>378</v>
      </c>
      <c r="D1678" s="385" t="s">
        <v>88</v>
      </c>
      <c r="E1678" s="385" t="s">
        <v>140</v>
      </c>
      <c r="F1678" s="385"/>
      <c r="G1678" s="385" t="s">
        <v>130</v>
      </c>
      <c r="H1678" s="385"/>
      <c r="I1678" s="385"/>
      <c r="J1678" s="30"/>
      <c r="K1678" s="385" t="s">
        <v>64</v>
      </c>
      <c r="L1678" s="385"/>
      <c r="M1678" s="385"/>
      <c r="N1678" s="385"/>
      <c r="O1678" s="385"/>
      <c r="P1678" s="385" t="str">
        <f>IFERROR(
    IF(
        OR(ISBLANK(I1678), ISBLANK(L1678)),
        "",
        MAX(
            1,
            IF(
                NETWORKDAYS(I1678, L1678, Holiday_Dates) &lt;= 0,
                1,
                NETWORKDAYS(I1678, L1678, Holiday_Dates) - IF(I1678 = L1678, 0, 1)
            )
        )
    ),
    ""
)</f>
        <v/>
      </c>
      <c r="Q1678" s="385" t="str">
        <f>IF(
    OR(ISBLANK(L1678), ISBLANK(M1678)),
    "",
    MAX(
        1,
        IF(
            NETWORKDAYS(L1678, M1678, Holiday_Dates) &lt;= 0,
            1,
            NETWORKDAYS(L1678, M1678, Holiday_Dates) - IF(L1678 = M1678, 0, 1)
        )
    )
)</f>
        <v/>
      </c>
      <c r="R1678" s="385" t="str">
        <f>IFERROR(
    IF(
        OR(ISBLANK(N1678), AND(ISBLANK(L1678), ISBLANK(M1678))),
        "",
        MAX(
            1,
            IF(
                NETWORKDAYS(IF(NOT(ISBLANK(M1678)), M1678, L1678), N1678, Holiday_Dates) &lt;= 0,
                1,
                NETWORKDAYS(IF(NOT(ISBLANK(M1678)), M1678, L1678), N1678, Holiday_Dates)
                - IF(IF(NOT(ISBLANK(M1678)), M1678, L1678) = N1678, 0, 1)
            )
        )
    ),
    ""
)</f>
        <v/>
      </c>
      <c r="S1678" s="385" t="str">
        <f>IFERROR(
    IF(
        OR(ISBLANK(N1678), ISBLANK(O1678)),
        "",
        MAX(
            1,
            IF(
                NETWORKDAYS(N1678, O1678, Holiday_Dates) &lt;= 0,
                1,
                NETWORKDAYS(N1678, O1678, Holiday_Dates) - IF(N1678 = O1678, 0, 1)
            )
        )
    ),
    ""
)</f>
        <v/>
      </c>
      <c r="T1678" s="385"/>
      <c r="U1678" s="385"/>
      <c r="V1678" s="385"/>
      <c r="W1678" s="385" t="s">
        <v>4710</v>
      </c>
      <c r="X1678" s="1"/>
    </row>
    <row r="1679" spans="1:24">
      <c r="A1679" s="385" t="s">
        <v>65</v>
      </c>
      <c r="B1679" s="385" t="s">
        <v>3162</v>
      </c>
      <c r="C1679" s="385" t="s">
        <v>3167</v>
      </c>
      <c r="D1679" s="385" t="s">
        <v>88</v>
      </c>
      <c r="E1679" s="385"/>
      <c r="F1679" s="385"/>
      <c r="G1679" s="385"/>
      <c r="H1679" s="385">
        <v>2025</v>
      </c>
      <c r="I1679" s="386">
        <v>45853</v>
      </c>
      <c r="J1679" s="30" t="s">
        <v>5349</v>
      </c>
      <c r="K1679" s="385"/>
      <c r="L1679" s="385"/>
      <c r="M1679" s="385"/>
      <c r="N1679" s="385"/>
      <c r="O1679" s="385"/>
      <c r="P1679" s="385" t="str">
        <f>IFERROR(
    IF(
        OR(ISBLANK(I1679), ISBLANK(L1679)),
        "",
        MAX(
            1,
            IF(
                NETWORKDAYS(I1679, L1679, Holiday_Dates) &lt;= 0,
                1,
                NETWORKDAYS(I1679, L1679, Holiday_Dates) - IF(I1679 = L1679, 0, 1)
            )
        )
    ),
    ""
)</f>
        <v/>
      </c>
      <c r="Q1679" s="385" t="str">
        <f>IF(
    OR(ISBLANK(L1679), ISBLANK(M1679)),
    "",
    MAX(
        1,
        IF(
            NETWORKDAYS(L1679, M1679, Holiday_Dates) &lt;= 0,
            1,
            NETWORKDAYS(L1679, M1679, Holiday_Dates) - IF(L1679 = M1679, 0, 1)
        )
    )
)</f>
        <v/>
      </c>
      <c r="R1679" s="385" t="str">
        <f>IFERROR(
    IF(
        OR(ISBLANK(N1679), AND(ISBLANK(L1679), ISBLANK(M1679))),
        "",
        MAX(
            1,
            IF(
                NETWORKDAYS(IF(NOT(ISBLANK(M1679)), M1679, L1679), N1679, Holiday_Dates) &lt;= 0,
                1,
                NETWORKDAYS(IF(NOT(ISBLANK(M1679)), M1679, L1679), N1679, Holiday_Dates)
                - IF(IF(NOT(ISBLANK(M1679)), M1679, L1679) = N1679, 0, 1)
            )
        )
    ),
    ""
)</f>
        <v/>
      </c>
      <c r="S1679" s="385" t="str">
        <f>IFERROR(
    IF(
        OR(ISBLANK(N1679), ISBLANK(O1679)),
        "",
        MAX(
            1,
            IF(
                NETWORKDAYS(N1679, O1679, Holiday_Dates) &lt;= 0,
                1,
                NETWORKDAYS(N1679, O1679, Holiday_Dates) - IF(N1679 = O1679, 0, 1)
            )
        )
    ),
    ""
)</f>
        <v/>
      </c>
      <c r="T1679" s="385"/>
      <c r="U1679" s="385" t="s">
        <v>4</v>
      </c>
      <c r="V1679" s="385" t="s">
        <v>101</v>
      </c>
      <c r="W1679" s="385" t="s">
        <v>1436</v>
      </c>
      <c r="X1679" s="1"/>
    </row>
    <row r="1680" spans="1:24">
      <c r="A1680" s="385" t="s">
        <v>65</v>
      </c>
      <c r="B1680" s="385" t="s">
        <v>3162</v>
      </c>
      <c r="C1680" s="385" t="s">
        <v>3168</v>
      </c>
      <c r="D1680" s="385" t="s">
        <v>88</v>
      </c>
      <c r="E1680" s="385"/>
      <c r="F1680" s="385"/>
      <c r="G1680" s="385"/>
      <c r="H1680" s="385">
        <v>2025</v>
      </c>
      <c r="I1680" s="386">
        <v>45853</v>
      </c>
      <c r="J1680" s="30" t="s">
        <v>5350</v>
      </c>
      <c r="K1680" s="385"/>
      <c r="L1680" s="385"/>
      <c r="M1680" s="385"/>
      <c r="N1680" s="385"/>
      <c r="O1680" s="385"/>
      <c r="P1680" s="385" t="str">
        <f>IFERROR(
    IF(
        OR(ISBLANK(I1680), ISBLANK(L1680)),
        "",
        MAX(
            1,
            IF(
                NETWORKDAYS(I1680, L1680, Holiday_Dates) &lt;= 0,
                1,
                NETWORKDAYS(I1680, L1680, Holiday_Dates) - IF(I1680 = L1680, 0, 1)
            )
        )
    ),
    ""
)</f>
        <v/>
      </c>
      <c r="Q1680" s="385" t="str">
        <f>IF(
    OR(ISBLANK(L1680), ISBLANK(M1680)),
    "",
    MAX(
        1,
        IF(
            NETWORKDAYS(L1680, M1680, Holiday_Dates) &lt;= 0,
            1,
            NETWORKDAYS(L1680, M1680, Holiday_Dates) - IF(L1680 = M1680, 0, 1)
        )
    )
)</f>
        <v/>
      </c>
      <c r="R1680" s="385" t="str">
        <f>IFERROR(
    IF(
        OR(ISBLANK(N1680), AND(ISBLANK(L1680), ISBLANK(M1680))),
        "",
        MAX(
            1,
            IF(
                NETWORKDAYS(IF(NOT(ISBLANK(M1680)), M1680, L1680), N1680, Holiday_Dates) &lt;= 0,
                1,
                NETWORKDAYS(IF(NOT(ISBLANK(M1680)), M1680, L1680), N1680, Holiday_Dates)
                - IF(IF(NOT(ISBLANK(M1680)), M1680, L1680) = N1680, 0, 1)
            )
        )
    ),
    ""
)</f>
        <v/>
      </c>
      <c r="S1680" s="385" t="str">
        <f>IFERROR(
    IF(
        OR(ISBLANK(N1680), ISBLANK(O1680)),
        "",
        MAX(
            1,
            IF(
                NETWORKDAYS(N1680, O1680, Holiday_Dates) &lt;= 0,
                1,
                NETWORKDAYS(N1680, O1680, Holiday_Dates) - IF(N1680 = O1680, 0, 1)
            )
        )
    ),
    ""
)</f>
        <v/>
      </c>
      <c r="T1680" s="385"/>
      <c r="U1680" s="385" t="s">
        <v>672</v>
      </c>
      <c r="V1680" s="385" t="s">
        <v>101</v>
      </c>
      <c r="W1680" s="385" t="s">
        <v>1436</v>
      </c>
      <c r="X1680" s="1"/>
    </row>
    <row r="1681" spans="1:24">
      <c r="A1681" s="385" t="s">
        <v>65</v>
      </c>
      <c r="B1681" s="385" t="s">
        <v>3162</v>
      </c>
      <c r="C1681" s="385" t="s">
        <v>3169</v>
      </c>
      <c r="D1681" s="385" t="s">
        <v>88</v>
      </c>
      <c r="E1681" s="385"/>
      <c r="F1681" s="385"/>
      <c r="G1681" s="385"/>
      <c r="H1681" s="385">
        <v>2025</v>
      </c>
      <c r="I1681" s="386">
        <v>45743</v>
      </c>
      <c r="J1681" s="30" t="s">
        <v>5351</v>
      </c>
      <c r="K1681" s="385"/>
      <c r="L1681" s="385"/>
      <c r="M1681" s="385"/>
      <c r="N1681" s="385"/>
      <c r="O1681" s="385"/>
      <c r="P1681" s="385" t="str">
        <f>IFERROR(
    IF(
        OR(ISBLANK(I1681), ISBLANK(L1681)),
        "",
        MAX(
            1,
            IF(
                NETWORKDAYS(I1681, L1681, Holiday_Dates) &lt;= 0,
                1,
                NETWORKDAYS(I1681, L1681, Holiday_Dates) - IF(I1681 = L1681, 0, 1)
            )
        )
    ),
    ""
)</f>
        <v/>
      </c>
      <c r="Q1681" s="385" t="str">
        <f>IF(
    OR(ISBLANK(L1681), ISBLANK(M1681)),
    "",
    MAX(
        1,
        IF(
            NETWORKDAYS(L1681, M1681, Holiday_Dates) &lt;= 0,
            1,
            NETWORKDAYS(L1681, M1681, Holiday_Dates) - IF(L1681 = M1681, 0, 1)
        )
    )
)</f>
        <v/>
      </c>
      <c r="R1681" s="385" t="str">
        <f>IFERROR(
    IF(
        OR(ISBLANK(N1681), AND(ISBLANK(L1681), ISBLANK(M1681))),
        "",
        MAX(
            1,
            IF(
                NETWORKDAYS(IF(NOT(ISBLANK(M1681)), M1681, L1681), N1681, Holiday_Dates) &lt;= 0,
                1,
                NETWORKDAYS(IF(NOT(ISBLANK(M1681)), M1681, L1681), N1681, Holiday_Dates)
                - IF(IF(NOT(ISBLANK(M1681)), M1681, L1681) = N1681, 0, 1)
            )
        )
    ),
    ""
)</f>
        <v/>
      </c>
      <c r="S1681" s="385" t="str">
        <f>IFERROR(
    IF(
        OR(ISBLANK(N1681), ISBLANK(O1681)),
        "",
        MAX(
            1,
            IF(
                NETWORKDAYS(N1681, O1681, Holiday_Dates) &lt;= 0,
                1,
                NETWORKDAYS(N1681, O1681, Holiday_Dates) - IF(N1681 = O1681, 0, 1)
            )
        )
    ),
    ""
)</f>
        <v/>
      </c>
      <c r="T1681" s="385"/>
      <c r="U1681" s="385" t="s">
        <v>672</v>
      </c>
      <c r="V1681" s="385" t="s">
        <v>101</v>
      </c>
      <c r="W1681" s="385" t="s">
        <v>1436</v>
      </c>
      <c r="X1681" s="1"/>
    </row>
    <row r="1682" spans="1:24">
      <c r="A1682" s="385" t="s">
        <v>51</v>
      </c>
      <c r="B1682" s="385" t="s">
        <v>1364</v>
      </c>
      <c r="C1682" s="385" t="s">
        <v>3506</v>
      </c>
      <c r="D1682" s="385" t="s">
        <v>88</v>
      </c>
      <c r="E1682" s="385" t="s">
        <v>33</v>
      </c>
      <c r="F1682" s="385"/>
      <c r="G1682" s="385" t="s">
        <v>239</v>
      </c>
      <c r="H1682" s="385"/>
      <c r="I1682" s="385"/>
      <c r="J1682" s="30"/>
      <c r="K1682" s="385" t="s">
        <v>64</v>
      </c>
      <c r="L1682" s="385"/>
      <c r="M1682" s="385"/>
      <c r="N1682" s="385"/>
      <c r="O1682" s="385"/>
      <c r="P1682" s="385" t="str">
        <f>IFERROR(
    IF(
        OR(ISBLANK(I1682), ISBLANK(L1682)),
        "",
        MAX(
            1,
            IF(
                NETWORKDAYS(I1682, L1682, Holiday_Dates) &lt;= 0,
                1,
                NETWORKDAYS(I1682, L1682, Holiday_Dates) - IF(I1682 = L1682, 0, 1)
            )
        )
    ),
    ""
)</f>
        <v/>
      </c>
      <c r="Q1682" s="385" t="str">
        <f>IF(
    OR(ISBLANK(L1682), ISBLANK(M1682)),
    "",
    MAX(
        1,
        IF(
            NETWORKDAYS(L1682, M1682, Holiday_Dates) &lt;= 0,
            1,
            NETWORKDAYS(L1682, M1682, Holiday_Dates) - IF(L1682 = M1682, 0, 1)
        )
    )
)</f>
        <v/>
      </c>
      <c r="R1682" s="385" t="str">
        <f>IFERROR(
    IF(
        OR(ISBLANK(N1682), AND(ISBLANK(L1682), ISBLANK(M1682))),
        "",
        MAX(
            1,
            IF(
                NETWORKDAYS(IF(NOT(ISBLANK(M1682)), M1682, L1682), N1682, Holiday_Dates) &lt;= 0,
                1,
                NETWORKDAYS(IF(NOT(ISBLANK(M1682)), M1682, L1682), N1682, Holiday_Dates)
                - IF(IF(NOT(ISBLANK(M1682)), M1682, L1682) = N1682, 0, 1)
            )
        )
    ),
    ""
)</f>
        <v/>
      </c>
      <c r="S1682" s="385" t="str">
        <f>IFERROR(
    IF(
        OR(ISBLANK(N1682), ISBLANK(O1682)),
        "",
        MAX(
            1,
            IF(
                NETWORKDAYS(N1682, O1682, Holiday_Dates) &lt;= 0,
                1,
                NETWORKDAYS(N1682, O1682, Holiday_Dates) - IF(N1682 = O1682, 0, 1)
            )
        )
    ),
    ""
)</f>
        <v/>
      </c>
      <c r="T1682" s="385"/>
      <c r="U1682" s="385"/>
      <c r="V1682" s="385"/>
      <c r="W1682" s="385" t="s">
        <v>4710</v>
      </c>
      <c r="X1682" s="1"/>
    </row>
    <row r="1683" spans="1:24">
      <c r="A1683" s="385" t="s">
        <v>65</v>
      </c>
      <c r="B1683" s="385" t="s">
        <v>3162</v>
      </c>
      <c r="C1683" s="385" t="s">
        <v>1053</v>
      </c>
      <c r="D1683" s="385" t="s">
        <v>88</v>
      </c>
      <c r="E1683" s="385"/>
      <c r="F1683" s="385"/>
      <c r="G1683" s="385"/>
      <c r="H1683" s="385">
        <v>2024</v>
      </c>
      <c r="I1683" s="386">
        <v>45603</v>
      </c>
      <c r="J1683" s="30"/>
      <c r="K1683" s="385"/>
      <c r="L1683" s="385"/>
      <c r="M1683" s="385"/>
      <c r="N1683" s="385"/>
      <c r="O1683" s="385"/>
      <c r="P1683" s="385" t="str">
        <f>IFERROR(
    IF(
        OR(ISBLANK(I1683), ISBLANK(L1683)),
        "",
        MAX(
            1,
            IF(
                NETWORKDAYS(I1683, L1683, Holiday_Dates) &lt;= 0,
                1,
                NETWORKDAYS(I1683, L1683, Holiday_Dates) - IF(I1683 = L1683, 0, 1)
            )
        )
    ),
    ""
)</f>
        <v/>
      </c>
      <c r="Q1683" s="385" t="str">
        <f>IF(
    OR(ISBLANK(L1683), ISBLANK(M1683)),
    "",
    MAX(
        1,
        IF(
            NETWORKDAYS(L1683, M1683, Holiday_Dates) &lt;= 0,
            1,
            NETWORKDAYS(L1683, M1683, Holiday_Dates) - IF(L1683 = M1683, 0, 1)
        )
    )
)</f>
        <v/>
      </c>
      <c r="R1683" s="385" t="str">
        <f>IFERROR(
    IF(
        OR(ISBLANK(N1683), AND(ISBLANK(L1683), ISBLANK(M1683))),
        "",
        MAX(
            1,
            IF(
                NETWORKDAYS(IF(NOT(ISBLANK(M1683)), M1683, L1683), N1683, Holiday_Dates) &lt;= 0,
                1,
                NETWORKDAYS(IF(NOT(ISBLANK(M1683)), M1683, L1683), N1683, Holiday_Dates)
                - IF(IF(NOT(ISBLANK(M1683)), M1683, L1683) = N1683, 0, 1)
            )
        )
    ),
    ""
)</f>
        <v/>
      </c>
      <c r="S1683" s="385" t="str">
        <f>IFERROR(
    IF(
        OR(ISBLANK(N1683), ISBLANK(O1683)),
        "",
        MAX(
            1,
            IF(
                NETWORKDAYS(N1683, O1683, Holiday_Dates) &lt;= 0,
                1,
                NETWORKDAYS(N1683, O1683, Holiday_Dates) - IF(N1683 = O1683, 0, 1)
            )
        )
    ),
    ""
)</f>
        <v/>
      </c>
      <c r="T1683" s="385"/>
      <c r="U1683" s="385" t="s">
        <v>4</v>
      </c>
      <c r="V1683" s="385" t="s">
        <v>101</v>
      </c>
      <c r="W1683" s="385" t="s">
        <v>1436</v>
      </c>
      <c r="X1683" s="1"/>
    </row>
    <row r="1684" spans="1:24">
      <c r="A1684" s="385" t="s">
        <v>65</v>
      </c>
      <c r="B1684" s="385" t="s">
        <v>3162</v>
      </c>
      <c r="C1684" s="385" t="s">
        <v>386</v>
      </c>
      <c r="D1684" s="385" t="s">
        <v>88</v>
      </c>
      <c r="E1684" s="385"/>
      <c r="F1684" s="385"/>
      <c r="G1684" s="385"/>
      <c r="H1684" s="385">
        <v>2025</v>
      </c>
      <c r="I1684" s="386">
        <v>45743</v>
      </c>
      <c r="J1684" s="30" t="s">
        <v>5352</v>
      </c>
      <c r="K1684" s="385"/>
      <c r="L1684" s="385"/>
      <c r="M1684" s="385"/>
      <c r="N1684" s="385"/>
      <c r="O1684" s="385"/>
      <c r="P1684" s="385" t="str">
        <f>IFERROR(
    IF(
        OR(ISBLANK(I1684), ISBLANK(L1684)),
        "",
        MAX(
            1,
            IF(
                NETWORKDAYS(I1684, L1684, Holiday_Dates) &lt;= 0,
                1,
                NETWORKDAYS(I1684, L1684, Holiday_Dates) - IF(I1684 = L1684, 0, 1)
            )
        )
    ),
    ""
)</f>
        <v/>
      </c>
      <c r="Q1684" s="385" t="str">
        <f>IF(
    OR(ISBLANK(L1684), ISBLANK(M1684)),
    "",
    MAX(
        1,
        IF(
            NETWORKDAYS(L1684, M1684, Holiday_Dates) &lt;= 0,
            1,
            NETWORKDAYS(L1684, M1684, Holiday_Dates) - IF(L1684 = M1684, 0, 1)
        )
    )
)</f>
        <v/>
      </c>
      <c r="R1684" s="385" t="str">
        <f>IFERROR(
    IF(
        OR(ISBLANK(N1684), AND(ISBLANK(L1684), ISBLANK(M1684))),
        "",
        MAX(
            1,
            IF(
                NETWORKDAYS(IF(NOT(ISBLANK(M1684)), M1684, L1684), N1684, Holiday_Dates) &lt;= 0,
                1,
                NETWORKDAYS(IF(NOT(ISBLANK(M1684)), M1684, L1684), N1684, Holiday_Dates)
                - IF(IF(NOT(ISBLANK(M1684)), M1684, L1684) = N1684, 0, 1)
            )
        )
    ),
    ""
)</f>
        <v/>
      </c>
      <c r="S1684" s="385" t="str">
        <f>IFERROR(
    IF(
        OR(ISBLANK(N1684), ISBLANK(O1684)),
        "",
        MAX(
            1,
            IF(
                NETWORKDAYS(N1684, O1684, Holiday_Dates) &lt;= 0,
                1,
                NETWORKDAYS(N1684, O1684, Holiday_Dates) - IF(N1684 = O1684, 0, 1)
            )
        )
    ),
    ""
)</f>
        <v/>
      </c>
      <c r="T1684" s="385"/>
      <c r="U1684" s="385" t="s">
        <v>672</v>
      </c>
      <c r="V1684" s="385" t="s">
        <v>101</v>
      </c>
      <c r="W1684" s="385" t="s">
        <v>1436</v>
      </c>
      <c r="X1684" s="1"/>
    </row>
    <row r="1685" spans="1:24">
      <c r="A1685" s="385" t="s">
        <v>65</v>
      </c>
      <c r="B1685" s="385" t="s">
        <v>3162</v>
      </c>
      <c r="C1685" s="385" t="s">
        <v>3171</v>
      </c>
      <c r="D1685" s="385" t="s">
        <v>88</v>
      </c>
      <c r="E1685" s="385"/>
      <c r="F1685" s="385"/>
      <c r="G1685" s="385"/>
      <c r="H1685" s="385">
        <v>2025</v>
      </c>
      <c r="I1685" s="386">
        <v>45853</v>
      </c>
      <c r="J1685" s="30" t="s">
        <v>5353</v>
      </c>
      <c r="K1685" s="385"/>
      <c r="L1685" s="385"/>
      <c r="M1685" s="385"/>
      <c r="N1685" s="385"/>
      <c r="O1685" s="385"/>
      <c r="P1685" s="385" t="str">
        <f>IFERROR(
    IF(
        OR(ISBLANK(I1685), ISBLANK(L1685)),
        "",
        MAX(
            1,
            IF(
                NETWORKDAYS(I1685, L1685, Holiday_Dates) &lt;= 0,
                1,
                NETWORKDAYS(I1685, L1685, Holiday_Dates) - IF(I1685 = L1685, 0, 1)
            )
        )
    ),
    ""
)</f>
        <v/>
      </c>
      <c r="Q1685" s="385" t="str">
        <f>IF(
    OR(ISBLANK(L1685), ISBLANK(M1685)),
    "",
    MAX(
        1,
        IF(
            NETWORKDAYS(L1685, M1685, Holiday_Dates) &lt;= 0,
            1,
            NETWORKDAYS(L1685, M1685, Holiday_Dates) - IF(L1685 = M1685, 0, 1)
        )
    )
)</f>
        <v/>
      </c>
      <c r="R1685" s="385" t="str">
        <f>IFERROR(
    IF(
        OR(ISBLANK(N1685), AND(ISBLANK(L1685), ISBLANK(M1685))),
        "",
        MAX(
            1,
            IF(
                NETWORKDAYS(IF(NOT(ISBLANK(M1685)), M1685, L1685), N1685, Holiday_Dates) &lt;= 0,
                1,
                NETWORKDAYS(IF(NOT(ISBLANK(M1685)), M1685, L1685), N1685, Holiday_Dates)
                - IF(IF(NOT(ISBLANK(M1685)), M1685, L1685) = N1685, 0, 1)
            )
        )
    ),
    ""
)</f>
        <v/>
      </c>
      <c r="S1685" s="385" t="str">
        <f>IFERROR(
    IF(
        OR(ISBLANK(N1685), ISBLANK(O1685)),
        "",
        MAX(
            1,
            IF(
                NETWORKDAYS(N1685, O1685, Holiday_Dates) &lt;= 0,
                1,
                NETWORKDAYS(N1685, O1685, Holiday_Dates) - IF(N1685 = O1685, 0, 1)
            )
        )
    ),
    ""
)</f>
        <v/>
      </c>
      <c r="T1685" s="385"/>
      <c r="U1685" s="385" t="s">
        <v>4</v>
      </c>
      <c r="V1685" s="385" t="s">
        <v>101</v>
      </c>
      <c r="W1685" s="385" t="s">
        <v>1436</v>
      </c>
      <c r="X1685" s="1"/>
    </row>
    <row r="1686" spans="1:24">
      <c r="A1686" s="385" t="s">
        <v>51</v>
      </c>
      <c r="B1686" s="385" t="s">
        <v>1364</v>
      </c>
      <c r="C1686" s="385" t="s">
        <v>3504</v>
      </c>
      <c r="D1686" s="385" t="s">
        <v>88</v>
      </c>
      <c r="E1686" s="385" t="s">
        <v>33</v>
      </c>
      <c r="F1686" s="385"/>
      <c r="G1686" s="385" t="s">
        <v>239</v>
      </c>
      <c r="H1686" s="385"/>
      <c r="I1686" s="385"/>
      <c r="J1686" s="30"/>
      <c r="K1686" s="385" t="s">
        <v>64</v>
      </c>
      <c r="L1686" s="385"/>
      <c r="M1686" s="385"/>
      <c r="N1686" s="385"/>
      <c r="O1686" s="385"/>
      <c r="P1686" s="385" t="str">
        <f>IFERROR(
    IF(
        OR(ISBLANK(I1686), ISBLANK(L1686)),
        "",
        MAX(
            1,
            IF(
                NETWORKDAYS(I1686, L1686, Holiday_Dates) &lt;= 0,
                1,
                NETWORKDAYS(I1686, L1686, Holiday_Dates) - IF(I1686 = L1686, 0, 1)
            )
        )
    ),
    ""
)</f>
        <v/>
      </c>
      <c r="Q1686" s="385" t="str">
        <f>IF(
    OR(ISBLANK(L1686), ISBLANK(M1686)),
    "",
    MAX(
        1,
        IF(
            NETWORKDAYS(L1686, M1686, Holiday_Dates) &lt;= 0,
            1,
            NETWORKDAYS(L1686, M1686, Holiday_Dates) - IF(L1686 = M1686, 0, 1)
        )
    )
)</f>
        <v/>
      </c>
      <c r="R1686" s="385" t="str">
        <f>IFERROR(
    IF(
        OR(ISBLANK(N1686), AND(ISBLANK(L1686), ISBLANK(M1686))),
        "",
        MAX(
            1,
            IF(
                NETWORKDAYS(IF(NOT(ISBLANK(M1686)), M1686, L1686), N1686, Holiday_Dates) &lt;= 0,
                1,
                NETWORKDAYS(IF(NOT(ISBLANK(M1686)), M1686, L1686), N1686, Holiday_Dates)
                - IF(IF(NOT(ISBLANK(M1686)), M1686, L1686) = N1686, 0, 1)
            )
        )
    ),
    ""
)</f>
        <v/>
      </c>
      <c r="S1686" s="385" t="str">
        <f>IFERROR(
    IF(
        OR(ISBLANK(N1686), ISBLANK(O1686)),
        "",
        MAX(
            1,
            IF(
                NETWORKDAYS(N1686, O1686, Holiday_Dates) &lt;= 0,
                1,
                NETWORKDAYS(N1686, O1686, Holiday_Dates) - IF(N1686 = O1686, 0, 1)
            )
        )
    ),
    ""
)</f>
        <v/>
      </c>
      <c r="T1686" s="385"/>
      <c r="U1686" s="385"/>
      <c r="V1686" s="385"/>
      <c r="W1686" s="385" t="s">
        <v>4710</v>
      </c>
      <c r="X1686" s="1"/>
    </row>
    <row r="1687" spans="1:24">
      <c r="A1687" s="385" t="s">
        <v>65</v>
      </c>
      <c r="B1687" s="385" t="s">
        <v>3162</v>
      </c>
      <c r="C1687" s="385" t="s">
        <v>3173</v>
      </c>
      <c r="D1687" s="385" t="s">
        <v>88</v>
      </c>
      <c r="E1687" s="385"/>
      <c r="F1687" s="385"/>
      <c r="G1687" s="385"/>
      <c r="H1687" s="385">
        <v>2024</v>
      </c>
      <c r="I1687" s="386">
        <v>45541</v>
      </c>
      <c r="J1687" s="30"/>
      <c r="K1687" s="385"/>
      <c r="L1687" s="385"/>
      <c r="M1687" s="385"/>
      <c r="N1687" s="385"/>
      <c r="O1687" s="385"/>
      <c r="P1687" s="385" t="str">
        <f>IFERROR(
    IF(
        OR(ISBLANK(I1687), ISBLANK(L1687)),
        "",
        MAX(
            1,
            IF(
                NETWORKDAYS(I1687, L1687, Holiday_Dates) &lt;= 0,
                1,
                NETWORKDAYS(I1687, L1687, Holiday_Dates) - IF(I1687 = L1687, 0, 1)
            )
        )
    ),
    ""
)</f>
        <v/>
      </c>
      <c r="Q1687" s="385" t="str">
        <f>IF(
    OR(ISBLANK(L1687), ISBLANK(M1687)),
    "",
    MAX(
        1,
        IF(
            NETWORKDAYS(L1687, M1687, Holiday_Dates) &lt;= 0,
            1,
            NETWORKDAYS(L1687, M1687, Holiday_Dates) - IF(L1687 = M1687, 0, 1)
        )
    )
)</f>
        <v/>
      </c>
      <c r="R1687" s="385" t="str">
        <f>IFERROR(
    IF(
        OR(ISBLANK(N1687), AND(ISBLANK(L1687), ISBLANK(M1687))),
        "",
        MAX(
            1,
            IF(
                NETWORKDAYS(IF(NOT(ISBLANK(M1687)), M1687, L1687), N1687, Holiday_Dates) &lt;= 0,
                1,
                NETWORKDAYS(IF(NOT(ISBLANK(M1687)), M1687, L1687), N1687, Holiday_Dates)
                - IF(IF(NOT(ISBLANK(M1687)), M1687, L1687) = N1687, 0, 1)
            )
        )
    ),
    ""
)</f>
        <v/>
      </c>
      <c r="S1687" s="385" t="str">
        <f>IFERROR(
    IF(
        OR(ISBLANK(N1687), ISBLANK(O1687)),
        "",
        MAX(
            1,
            IF(
                NETWORKDAYS(N1687, O1687, Holiday_Dates) &lt;= 0,
                1,
                NETWORKDAYS(N1687, O1687, Holiday_Dates) - IF(N1687 = O1687, 0, 1)
            )
        )
    ),
    ""
)</f>
        <v/>
      </c>
      <c r="T1687" s="385"/>
      <c r="U1687" s="385" t="s">
        <v>672</v>
      </c>
      <c r="V1687" s="385" t="s">
        <v>685</v>
      </c>
      <c r="W1687" s="385" t="s">
        <v>1436</v>
      </c>
      <c r="X1687" s="1"/>
    </row>
    <row r="1688" spans="1:24">
      <c r="A1688" s="385" t="s">
        <v>51</v>
      </c>
      <c r="B1688" s="385" t="s">
        <v>1364</v>
      </c>
      <c r="C1688" s="385" t="s">
        <v>2691</v>
      </c>
      <c r="D1688" s="385" t="s">
        <v>88</v>
      </c>
      <c r="E1688" s="385" t="s">
        <v>33</v>
      </c>
      <c r="F1688" s="385"/>
      <c r="G1688" s="385" t="s">
        <v>239</v>
      </c>
      <c r="H1688" s="385"/>
      <c r="I1688" s="385"/>
      <c r="J1688" s="30"/>
      <c r="K1688" s="385" t="s">
        <v>64</v>
      </c>
      <c r="L1688" s="385"/>
      <c r="M1688" s="385"/>
      <c r="N1688" s="385"/>
      <c r="O1688" s="385"/>
      <c r="P1688" s="385" t="str">
        <f>IFERROR(
    IF(
        OR(ISBLANK(I1688), ISBLANK(L1688)),
        "",
        MAX(
            1,
            IF(
                NETWORKDAYS(I1688, L1688, Holiday_Dates) &lt;= 0,
                1,
                NETWORKDAYS(I1688, L1688, Holiday_Dates) - IF(I1688 = L1688, 0, 1)
            )
        )
    ),
    ""
)</f>
        <v/>
      </c>
      <c r="Q1688" s="385" t="str">
        <f>IF(
    OR(ISBLANK(L1688), ISBLANK(M1688)),
    "",
    MAX(
        1,
        IF(
            NETWORKDAYS(L1688, M1688, Holiday_Dates) &lt;= 0,
            1,
            NETWORKDAYS(L1688, M1688, Holiday_Dates) - IF(L1688 = M1688, 0, 1)
        )
    )
)</f>
        <v/>
      </c>
      <c r="R1688" s="385" t="str">
        <f>IFERROR(
    IF(
        OR(ISBLANK(N1688), AND(ISBLANK(L1688), ISBLANK(M1688))),
        "",
        MAX(
            1,
            IF(
                NETWORKDAYS(IF(NOT(ISBLANK(M1688)), M1688, L1688), N1688, Holiday_Dates) &lt;= 0,
                1,
                NETWORKDAYS(IF(NOT(ISBLANK(M1688)), M1688, L1688), N1688, Holiday_Dates)
                - IF(IF(NOT(ISBLANK(M1688)), M1688, L1688) = N1688, 0, 1)
            )
        )
    ),
    ""
)</f>
        <v/>
      </c>
      <c r="S1688" s="385" t="str">
        <f>IFERROR(
    IF(
        OR(ISBLANK(N1688), ISBLANK(O1688)),
        "",
        MAX(
            1,
            IF(
                NETWORKDAYS(N1688, O1688, Holiday_Dates) &lt;= 0,
                1,
                NETWORKDAYS(N1688, O1688, Holiday_Dates) - IF(N1688 = O1688, 0, 1)
            )
        )
    ),
    ""
)</f>
        <v/>
      </c>
      <c r="T1688" s="385"/>
      <c r="U1688" s="385"/>
      <c r="V1688" s="385"/>
      <c r="W1688" s="385" t="s">
        <v>4710</v>
      </c>
      <c r="X1688" s="1"/>
    </row>
    <row r="1689" spans="1:24">
      <c r="A1689" s="385" t="s">
        <v>65</v>
      </c>
      <c r="B1689" s="385" t="s">
        <v>3162</v>
      </c>
      <c r="C1689" s="385" t="s">
        <v>1059</v>
      </c>
      <c r="D1689" s="385" t="s">
        <v>88</v>
      </c>
      <c r="E1689" s="385"/>
      <c r="F1689" s="385"/>
      <c r="G1689" s="385"/>
      <c r="H1689" s="385">
        <v>2025</v>
      </c>
      <c r="I1689" s="386">
        <v>45715</v>
      </c>
      <c r="J1689" s="30" t="s">
        <v>5354</v>
      </c>
      <c r="K1689" s="385"/>
      <c r="L1689" s="385"/>
      <c r="M1689" s="385"/>
      <c r="N1689" s="385"/>
      <c r="O1689" s="385"/>
      <c r="P1689" s="385" t="str">
        <f>IFERROR(
    IF(
        OR(ISBLANK(I1689), ISBLANK(L1689)),
        "",
        MAX(
            1,
            IF(
                NETWORKDAYS(I1689, L1689, Holiday_Dates) &lt;= 0,
                1,
                NETWORKDAYS(I1689, L1689, Holiday_Dates) - IF(I1689 = L1689, 0, 1)
            )
        )
    ),
    ""
)</f>
        <v/>
      </c>
      <c r="Q1689" s="385" t="str">
        <f>IF(
    OR(ISBLANK(L1689), ISBLANK(M1689)),
    "",
    MAX(
        1,
        IF(
            NETWORKDAYS(L1689, M1689, Holiday_Dates) &lt;= 0,
            1,
            NETWORKDAYS(L1689, M1689, Holiday_Dates) - IF(L1689 = M1689, 0, 1)
        )
    )
)</f>
        <v/>
      </c>
      <c r="R1689" s="385" t="str">
        <f>IFERROR(
    IF(
        OR(ISBLANK(N1689), AND(ISBLANK(L1689), ISBLANK(M1689))),
        "",
        MAX(
            1,
            IF(
                NETWORKDAYS(IF(NOT(ISBLANK(M1689)), M1689, L1689), N1689, Holiday_Dates) &lt;= 0,
                1,
                NETWORKDAYS(IF(NOT(ISBLANK(M1689)), M1689, L1689), N1689, Holiday_Dates)
                - IF(IF(NOT(ISBLANK(M1689)), M1689, L1689) = N1689, 0, 1)
            )
        )
    ),
    ""
)</f>
        <v/>
      </c>
      <c r="S1689" s="385" t="str">
        <f>IFERROR(
    IF(
        OR(ISBLANK(N1689), ISBLANK(O1689)),
        "",
        MAX(
            1,
            IF(
                NETWORKDAYS(N1689, O1689, Holiday_Dates) &lt;= 0,
                1,
                NETWORKDAYS(N1689, O1689, Holiday_Dates) - IF(N1689 = O1689, 0, 1)
            )
        )
    ),
    ""
)</f>
        <v/>
      </c>
      <c r="T1689" s="385"/>
      <c r="U1689" s="385" t="s">
        <v>672</v>
      </c>
      <c r="V1689" s="385" t="s">
        <v>101</v>
      </c>
      <c r="W1689" s="385" t="s">
        <v>1436</v>
      </c>
      <c r="X1689" s="1"/>
    </row>
    <row r="1690" spans="1:24">
      <c r="A1690" s="385" t="s">
        <v>65</v>
      </c>
      <c r="B1690" s="385" t="s">
        <v>3162</v>
      </c>
      <c r="C1690" s="385" t="s">
        <v>3176</v>
      </c>
      <c r="D1690" s="385" t="s">
        <v>88</v>
      </c>
      <c r="E1690" s="385"/>
      <c r="F1690" s="385"/>
      <c r="G1690" s="385"/>
      <c r="H1690" s="385">
        <v>2025</v>
      </c>
      <c r="I1690" s="386">
        <v>45680</v>
      </c>
      <c r="J1690" s="30" t="s">
        <v>5355</v>
      </c>
      <c r="K1690" s="385"/>
      <c r="L1690" s="385"/>
      <c r="M1690" s="385"/>
      <c r="N1690" s="385"/>
      <c r="O1690" s="385"/>
      <c r="P1690" s="385" t="str">
        <f>IFERROR(
    IF(
        OR(ISBLANK(I1690), ISBLANK(L1690)),
        "",
        MAX(
            1,
            IF(
                NETWORKDAYS(I1690, L1690, Holiday_Dates) &lt;= 0,
                1,
                NETWORKDAYS(I1690, L1690, Holiday_Dates) - IF(I1690 = L1690, 0, 1)
            )
        )
    ),
    ""
)</f>
        <v/>
      </c>
      <c r="Q1690" s="385" t="str">
        <f>IF(
    OR(ISBLANK(L1690), ISBLANK(M1690)),
    "",
    MAX(
        1,
        IF(
            NETWORKDAYS(L1690, M1690, Holiday_Dates) &lt;= 0,
            1,
            NETWORKDAYS(L1690, M1690, Holiday_Dates) - IF(L1690 = M1690, 0, 1)
        )
    )
)</f>
        <v/>
      </c>
      <c r="R1690" s="385" t="str">
        <f>IFERROR(
    IF(
        OR(ISBLANK(N1690), AND(ISBLANK(L1690), ISBLANK(M1690))),
        "",
        MAX(
            1,
            IF(
                NETWORKDAYS(IF(NOT(ISBLANK(M1690)), M1690, L1690), N1690, Holiday_Dates) &lt;= 0,
                1,
                NETWORKDAYS(IF(NOT(ISBLANK(M1690)), M1690, L1690), N1690, Holiday_Dates)
                - IF(IF(NOT(ISBLANK(M1690)), M1690, L1690) = N1690, 0, 1)
            )
        )
    ),
    ""
)</f>
        <v/>
      </c>
      <c r="S1690" s="385" t="str">
        <f>IFERROR(
    IF(
        OR(ISBLANK(N1690), ISBLANK(O1690)),
        "",
        MAX(
            1,
            IF(
                NETWORKDAYS(N1690, O1690, Holiday_Dates) &lt;= 0,
                1,
                NETWORKDAYS(N1690, O1690, Holiday_Dates) - IF(N1690 = O1690, 0, 1)
            )
        )
    ),
    ""
)</f>
        <v/>
      </c>
      <c r="T1690" s="385"/>
      <c r="U1690" s="385" t="s">
        <v>672</v>
      </c>
      <c r="V1690" s="385" t="s">
        <v>101</v>
      </c>
      <c r="W1690" s="385" t="s">
        <v>1436</v>
      </c>
      <c r="X1690" s="1"/>
    </row>
    <row r="1691" spans="1:24">
      <c r="A1691" s="385" t="s">
        <v>65</v>
      </c>
      <c r="B1691" s="385" t="s">
        <v>3162</v>
      </c>
      <c r="C1691" s="385" t="s">
        <v>3154</v>
      </c>
      <c r="D1691" s="385" t="s">
        <v>88</v>
      </c>
      <c r="E1691" s="385"/>
      <c r="F1691" s="385"/>
      <c r="G1691" s="385"/>
      <c r="H1691" s="385">
        <v>2025</v>
      </c>
      <c r="I1691" s="386">
        <v>45736</v>
      </c>
      <c r="J1691" s="30" t="s">
        <v>5356</v>
      </c>
      <c r="K1691" s="385"/>
      <c r="L1691" s="385"/>
      <c r="M1691" s="385"/>
      <c r="N1691" s="385"/>
      <c r="O1691" s="385"/>
      <c r="P1691" s="385" t="str">
        <f>IFERROR(
    IF(
        OR(ISBLANK(I1691), ISBLANK(L1691)),
        "",
        MAX(
            1,
            IF(
                NETWORKDAYS(I1691, L1691, Holiday_Dates) &lt;= 0,
                1,
                NETWORKDAYS(I1691, L1691, Holiday_Dates) - IF(I1691 = L1691, 0, 1)
            )
        )
    ),
    ""
)</f>
        <v/>
      </c>
      <c r="Q1691" s="385" t="str">
        <f>IF(
    OR(ISBLANK(L1691), ISBLANK(M1691)),
    "",
    MAX(
        1,
        IF(
            NETWORKDAYS(L1691, M1691, Holiday_Dates) &lt;= 0,
            1,
            NETWORKDAYS(L1691, M1691, Holiday_Dates) - IF(L1691 = M1691, 0, 1)
        )
    )
)</f>
        <v/>
      </c>
      <c r="R1691" s="385" t="str">
        <f>IFERROR(
    IF(
        OR(ISBLANK(N1691), AND(ISBLANK(L1691), ISBLANK(M1691))),
        "",
        MAX(
            1,
            IF(
                NETWORKDAYS(IF(NOT(ISBLANK(M1691)), M1691, L1691), N1691, Holiday_Dates) &lt;= 0,
                1,
                NETWORKDAYS(IF(NOT(ISBLANK(M1691)), M1691, L1691), N1691, Holiday_Dates)
                - IF(IF(NOT(ISBLANK(M1691)), M1691, L1691) = N1691, 0, 1)
            )
        )
    ),
    ""
)</f>
        <v/>
      </c>
      <c r="S1691" s="385" t="str">
        <f>IFERROR(
    IF(
        OR(ISBLANK(N1691), ISBLANK(O1691)),
        "",
        MAX(
            1,
            IF(
                NETWORKDAYS(N1691, O1691, Holiday_Dates) &lt;= 0,
                1,
                NETWORKDAYS(N1691, O1691, Holiday_Dates) - IF(N1691 = O1691, 0, 1)
            )
        )
    ),
    ""
)</f>
        <v/>
      </c>
      <c r="T1691" s="385"/>
      <c r="U1691" s="385" t="s">
        <v>672</v>
      </c>
      <c r="V1691" s="385" t="s">
        <v>101</v>
      </c>
      <c r="W1691" s="385" t="s">
        <v>1436</v>
      </c>
      <c r="X1691" s="1"/>
    </row>
    <row r="1692" spans="1:24">
      <c r="A1692" s="385" t="s">
        <v>51</v>
      </c>
      <c r="B1692" s="385" t="s">
        <v>352</v>
      </c>
      <c r="C1692" s="385" t="s">
        <v>3610</v>
      </c>
      <c r="D1692" s="385" t="s">
        <v>88</v>
      </c>
      <c r="E1692" s="385" t="s">
        <v>32</v>
      </c>
      <c r="F1692" s="385"/>
      <c r="G1692" s="385" t="s">
        <v>133</v>
      </c>
      <c r="H1692" s="385"/>
      <c r="I1692" s="385"/>
      <c r="J1692" s="30"/>
      <c r="K1692" s="385" t="s">
        <v>64</v>
      </c>
      <c r="L1692" s="385"/>
      <c r="M1692" s="385"/>
      <c r="N1692" s="385"/>
      <c r="O1692" s="385"/>
      <c r="P1692" s="385" t="str">
        <f>IFERROR(
    IF(
        OR(ISBLANK(I1692), ISBLANK(L1692)),
        "",
        MAX(
            1,
            IF(
                NETWORKDAYS(I1692, L1692, Holiday_Dates) &lt;= 0,
                1,
                NETWORKDAYS(I1692, L1692, Holiday_Dates) - IF(I1692 = L1692, 0, 1)
            )
        )
    ),
    ""
)</f>
        <v/>
      </c>
      <c r="Q1692" s="385" t="str">
        <f>IF(
    OR(ISBLANK(L1692), ISBLANK(M1692)),
    "",
    MAX(
        1,
        IF(
            NETWORKDAYS(L1692, M1692, Holiday_Dates) &lt;= 0,
            1,
            NETWORKDAYS(L1692, M1692, Holiday_Dates) - IF(L1692 = M1692, 0, 1)
        )
    )
)</f>
        <v/>
      </c>
      <c r="R1692" s="385" t="str">
        <f>IFERROR(
    IF(
        OR(ISBLANK(N1692), AND(ISBLANK(L1692), ISBLANK(M1692))),
        "",
        MAX(
            1,
            IF(
                NETWORKDAYS(IF(NOT(ISBLANK(M1692)), M1692, L1692), N1692, Holiday_Dates) &lt;= 0,
                1,
                NETWORKDAYS(IF(NOT(ISBLANK(M1692)), M1692, L1692), N1692, Holiday_Dates)
                - IF(IF(NOT(ISBLANK(M1692)), M1692, L1692) = N1692, 0, 1)
            )
        )
    ),
    ""
)</f>
        <v/>
      </c>
      <c r="S1692" s="385" t="str">
        <f>IFERROR(
    IF(
        OR(ISBLANK(N1692), ISBLANK(O1692)),
        "",
        MAX(
            1,
            IF(
                NETWORKDAYS(N1692, O1692, Holiday_Dates) &lt;= 0,
                1,
                NETWORKDAYS(N1692, O1692, Holiday_Dates) - IF(N1692 = O1692, 0, 1)
            )
        )
    ),
    ""
)</f>
        <v/>
      </c>
      <c r="T1692" s="385"/>
      <c r="U1692" s="385"/>
      <c r="V1692" s="385"/>
      <c r="W1692" s="385" t="s">
        <v>4710</v>
      </c>
      <c r="X1692" s="1"/>
    </row>
    <row r="1693" spans="1:24">
      <c r="A1693" s="385" t="s">
        <v>51</v>
      </c>
      <c r="B1693" s="385" t="s">
        <v>1377</v>
      </c>
      <c r="C1693" s="385" t="s">
        <v>3823</v>
      </c>
      <c r="D1693" s="385" t="s">
        <v>88</v>
      </c>
      <c r="E1693" s="385" t="s">
        <v>33</v>
      </c>
      <c r="F1693" s="385"/>
      <c r="G1693" s="385" t="s">
        <v>239</v>
      </c>
      <c r="H1693" s="385"/>
      <c r="I1693" s="385"/>
      <c r="J1693" s="30"/>
      <c r="K1693" s="385" t="s">
        <v>64</v>
      </c>
      <c r="L1693" s="385"/>
      <c r="M1693" s="385"/>
      <c r="N1693" s="385"/>
      <c r="O1693" s="385"/>
      <c r="P1693" s="385" t="str">
        <f>IFERROR(
    IF(
        OR(ISBLANK(I1693), ISBLANK(L1693)),
        "",
        MAX(
            1,
            IF(
                NETWORKDAYS(I1693, L1693, Holiday_Dates) &lt;= 0,
                1,
                NETWORKDAYS(I1693, L1693, Holiday_Dates) - IF(I1693 = L1693, 0, 1)
            )
        )
    ),
    ""
)</f>
        <v/>
      </c>
      <c r="Q1693" s="385" t="str">
        <f>IF(
    OR(ISBLANK(L1693), ISBLANK(M1693)),
    "",
    MAX(
        1,
        IF(
            NETWORKDAYS(L1693, M1693, Holiday_Dates) &lt;= 0,
            1,
            NETWORKDAYS(L1693, M1693, Holiday_Dates) - IF(L1693 = M1693, 0, 1)
        )
    )
)</f>
        <v/>
      </c>
      <c r="R1693" s="385" t="str">
        <f>IFERROR(
    IF(
        OR(ISBLANK(N1693), AND(ISBLANK(L1693), ISBLANK(M1693))),
        "",
        MAX(
            1,
            IF(
                NETWORKDAYS(IF(NOT(ISBLANK(M1693)), M1693, L1693), N1693, Holiday_Dates) &lt;= 0,
                1,
                NETWORKDAYS(IF(NOT(ISBLANK(M1693)), M1693, L1693), N1693, Holiday_Dates)
                - IF(IF(NOT(ISBLANK(M1693)), M1693, L1693) = N1693, 0, 1)
            )
        )
    ),
    ""
)</f>
        <v/>
      </c>
      <c r="S1693" s="385" t="str">
        <f>IFERROR(
    IF(
        OR(ISBLANK(N1693), ISBLANK(O1693)),
        "",
        MAX(
            1,
            IF(
                NETWORKDAYS(N1693, O1693, Holiday_Dates) &lt;= 0,
                1,
                NETWORKDAYS(N1693, O1693, Holiday_Dates) - IF(N1693 = O1693, 0, 1)
            )
        )
    ),
    ""
)</f>
        <v/>
      </c>
      <c r="T1693" s="385"/>
      <c r="U1693" s="385"/>
      <c r="V1693" s="385"/>
      <c r="W1693" s="385" t="s">
        <v>4710</v>
      </c>
      <c r="X1693" s="1"/>
    </row>
    <row r="1694" spans="1:24">
      <c r="A1694" s="385" t="s">
        <v>51</v>
      </c>
      <c r="B1694" s="385" t="s">
        <v>1377</v>
      </c>
      <c r="C1694" s="385" t="s">
        <v>594</v>
      </c>
      <c r="D1694" s="385" t="s">
        <v>88</v>
      </c>
      <c r="E1694" s="385" t="s">
        <v>33</v>
      </c>
      <c r="F1694" s="385"/>
      <c r="G1694" s="385" t="s">
        <v>239</v>
      </c>
      <c r="H1694" s="385"/>
      <c r="I1694" s="385"/>
      <c r="J1694" s="30"/>
      <c r="K1694" s="385" t="s">
        <v>64</v>
      </c>
      <c r="L1694" s="385"/>
      <c r="M1694" s="385"/>
      <c r="N1694" s="385"/>
      <c r="O1694" s="385"/>
      <c r="P1694" s="385" t="str">
        <f>IFERROR(
    IF(
        OR(ISBLANK(I1694), ISBLANK(L1694)),
        "",
        MAX(
            1,
            IF(
                NETWORKDAYS(I1694, L1694, Holiday_Dates) &lt;= 0,
                1,
                NETWORKDAYS(I1694, L1694, Holiday_Dates) - IF(I1694 = L1694, 0, 1)
            )
        )
    ),
    ""
)</f>
        <v/>
      </c>
      <c r="Q1694" s="385" t="str">
        <f>IF(
    OR(ISBLANK(L1694), ISBLANK(M1694)),
    "",
    MAX(
        1,
        IF(
            NETWORKDAYS(L1694, M1694, Holiday_Dates) &lt;= 0,
            1,
            NETWORKDAYS(L1694, M1694, Holiday_Dates) - IF(L1694 = M1694, 0, 1)
        )
    )
)</f>
        <v/>
      </c>
      <c r="R1694" s="385" t="str">
        <f>IFERROR(
    IF(
        OR(ISBLANK(N1694), AND(ISBLANK(L1694), ISBLANK(M1694))),
        "",
        MAX(
            1,
            IF(
                NETWORKDAYS(IF(NOT(ISBLANK(M1694)), M1694, L1694), N1694, Holiday_Dates) &lt;= 0,
                1,
                NETWORKDAYS(IF(NOT(ISBLANK(M1694)), M1694, L1694), N1694, Holiday_Dates)
                - IF(IF(NOT(ISBLANK(M1694)), M1694, L1694) = N1694, 0, 1)
            )
        )
    ),
    ""
)</f>
        <v/>
      </c>
      <c r="S1694" s="385" t="str">
        <f>IFERROR(
    IF(
        OR(ISBLANK(N1694), ISBLANK(O1694)),
        "",
        MAX(
            1,
            IF(
                NETWORKDAYS(N1694, O1694, Holiday_Dates) &lt;= 0,
                1,
                NETWORKDAYS(N1694, O1694, Holiday_Dates) - IF(N1694 = O1694, 0, 1)
            )
        )
    ),
    ""
)</f>
        <v/>
      </c>
      <c r="T1694" s="385"/>
      <c r="U1694" s="385"/>
      <c r="V1694" s="385"/>
      <c r="W1694" s="385" t="s">
        <v>4710</v>
      </c>
      <c r="X1694" s="1"/>
    </row>
    <row r="1695" spans="1:24">
      <c r="A1695" s="385" t="s">
        <v>51</v>
      </c>
      <c r="B1695" s="385" t="s">
        <v>354</v>
      </c>
      <c r="C1695" s="385" t="s">
        <v>3656</v>
      </c>
      <c r="D1695" s="385" t="s">
        <v>88</v>
      </c>
      <c r="E1695" s="385" t="s">
        <v>145</v>
      </c>
      <c r="F1695" s="385"/>
      <c r="G1695" s="385" t="s">
        <v>133</v>
      </c>
      <c r="H1695" s="385"/>
      <c r="I1695" s="385"/>
      <c r="J1695" s="30"/>
      <c r="K1695" s="385" t="s">
        <v>64</v>
      </c>
      <c r="L1695" s="385"/>
      <c r="M1695" s="385"/>
      <c r="N1695" s="385"/>
      <c r="O1695" s="385"/>
      <c r="P1695" s="385" t="str">
        <f>IFERROR(
    IF(
        OR(ISBLANK(I1695), ISBLANK(L1695)),
        "",
        MAX(
            1,
            IF(
                NETWORKDAYS(I1695, L1695, Holiday_Dates) &lt;= 0,
                1,
                NETWORKDAYS(I1695, L1695, Holiday_Dates) - IF(I1695 = L1695, 0, 1)
            )
        )
    ),
    ""
)</f>
        <v/>
      </c>
      <c r="Q1695" s="385" t="str">
        <f>IF(
    OR(ISBLANK(L1695), ISBLANK(M1695)),
    "",
    MAX(
        1,
        IF(
            NETWORKDAYS(L1695, M1695, Holiday_Dates) &lt;= 0,
            1,
            NETWORKDAYS(L1695, M1695, Holiday_Dates) - IF(L1695 = M1695, 0, 1)
        )
    )
)</f>
        <v/>
      </c>
      <c r="R1695" s="385" t="str">
        <f>IFERROR(
    IF(
        OR(ISBLANK(N1695), AND(ISBLANK(L1695), ISBLANK(M1695))),
        "",
        MAX(
            1,
            IF(
                NETWORKDAYS(IF(NOT(ISBLANK(M1695)), M1695, L1695), N1695, Holiday_Dates) &lt;= 0,
                1,
                NETWORKDAYS(IF(NOT(ISBLANK(M1695)), M1695, L1695), N1695, Holiday_Dates)
                - IF(IF(NOT(ISBLANK(M1695)), M1695, L1695) = N1695, 0, 1)
            )
        )
    ),
    ""
)</f>
        <v/>
      </c>
      <c r="S1695" s="385" t="str">
        <f>IFERROR(
    IF(
        OR(ISBLANK(N1695), ISBLANK(O1695)),
        "",
        MAX(
            1,
            IF(
                NETWORKDAYS(N1695, O1695, Holiday_Dates) &lt;= 0,
                1,
                NETWORKDAYS(N1695, O1695, Holiday_Dates) - IF(N1695 = O1695, 0, 1)
            )
        )
    ),
    ""
)</f>
        <v/>
      </c>
      <c r="T1695" s="385"/>
      <c r="U1695" s="385"/>
      <c r="V1695" s="385"/>
      <c r="W1695" s="385" t="s">
        <v>4710</v>
      </c>
      <c r="X1695" s="1"/>
    </row>
    <row r="1696" spans="1:24">
      <c r="A1696" s="385" t="s">
        <v>51</v>
      </c>
      <c r="B1696" s="385" t="s">
        <v>354</v>
      </c>
      <c r="C1696" s="385" t="s">
        <v>2421</v>
      </c>
      <c r="D1696" s="385" t="s">
        <v>88</v>
      </c>
      <c r="E1696" s="385" t="s">
        <v>145</v>
      </c>
      <c r="F1696" s="385"/>
      <c r="G1696" s="385" t="s">
        <v>133</v>
      </c>
      <c r="H1696" s="385"/>
      <c r="I1696" s="385"/>
      <c r="J1696" s="30"/>
      <c r="K1696" s="385" t="s">
        <v>64</v>
      </c>
      <c r="L1696" s="385"/>
      <c r="M1696" s="385"/>
      <c r="N1696" s="385"/>
      <c r="O1696" s="385"/>
      <c r="P1696" s="385" t="str">
        <f>IFERROR(
    IF(
        OR(ISBLANK(I1696), ISBLANK(L1696)),
        "",
        MAX(
            1,
            IF(
                NETWORKDAYS(I1696, L1696, Holiday_Dates) &lt;= 0,
                1,
                NETWORKDAYS(I1696, L1696, Holiday_Dates) - IF(I1696 = L1696, 0, 1)
            )
        )
    ),
    ""
)</f>
        <v/>
      </c>
      <c r="Q1696" s="385" t="str">
        <f>IF(
    OR(ISBLANK(L1696), ISBLANK(M1696)),
    "",
    MAX(
        1,
        IF(
            NETWORKDAYS(L1696, M1696, Holiday_Dates) &lt;= 0,
            1,
            NETWORKDAYS(L1696, M1696, Holiday_Dates) - IF(L1696 = M1696, 0, 1)
        )
    )
)</f>
        <v/>
      </c>
      <c r="R1696" s="385" t="str">
        <f>IFERROR(
    IF(
        OR(ISBLANK(N1696), AND(ISBLANK(L1696), ISBLANK(M1696))),
        "",
        MAX(
            1,
            IF(
                NETWORKDAYS(IF(NOT(ISBLANK(M1696)), M1696, L1696), N1696, Holiday_Dates) &lt;= 0,
                1,
                NETWORKDAYS(IF(NOT(ISBLANK(M1696)), M1696, L1696), N1696, Holiday_Dates)
                - IF(IF(NOT(ISBLANK(M1696)), M1696, L1696) = N1696, 0, 1)
            )
        )
    ),
    ""
)</f>
        <v/>
      </c>
      <c r="S1696" s="385" t="str">
        <f>IFERROR(
    IF(
        OR(ISBLANK(N1696), ISBLANK(O1696)),
        "",
        MAX(
            1,
            IF(
                NETWORKDAYS(N1696, O1696, Holiday_Dates) &lt;= 0,
                1,
                NETWORKDAYS(N1696, O1696, Holiday_Dates) - IF(N1696 = O1696, 0, 1)
            )
        )
    ),
    ""
)</f>
        <v/>
      </c>
      <c r="T1696" s="385"/>
      <c r="U1696" s="385"/>
      <c r="V1696" s="385"/>
      <c r="W1696" s="385" t="s">
        <v>4710</v>
      </c>
      <c r="X1696" s="1"/>
    </row>
    <row r="1697" spans="1:24">
      <c r="A1697" s="385" t="s">
        <v>65</v>
      </c>
      <c r="B1697" s="385" t="s">
        <v>3162</v>
      </c>
      <c r="C1697" s="385" t="s">
        <v>728</v>
      </c>
      <c r="D1697" s="385" t="s">
        <v>88</v>
      </c>
      <c r="E1697" s="385"/>
      <c r="F1697" s="385"/>
      <c r="G1697" s="385"/>
      <c r="H1697" s="385">
        <v>2024</v>
      </c>
      <c r="I1697" s="386">
        <v>45603</v>
      </c>
      <c r="J1697" s="30"/>
      <c r="K1697" s="385"/>
      <c r="L1697" s="385"/>
      <c r="M1697" s="385"/>
      <c r="N1697" s="385"/>
      <c r="O1697" s="385"/>
      <c r="P1697" s="385" t="str">
        <f>IFERROR(
    IF(
        OR(ISBLANK(I1697), ISBLANK(L1697)),
        "",
        MAX(
            1,
            IF(
                NETWORKDAYS(I1697, L1697, Holiday_Dates) &lt;= 0,
                1,
                NETWORKDAYS(I1697, L1697, Holiday_Dates) - IF(I1697 = L1697, 0, 1)
            )
        )
    ),
    ""
)</f>
        <v/>
      </c>
      <c r="Q1697" s="385" t="str">
        <f>IF(
    OR(ISBLANK(L1697), ISBLANK(M1697)),
    "",
    MAX(
        1,
        IF(
            NETWORKDAYS(L1697, M1697, Holiday_Dates) &lt;= 0,
            1,
            NETWORKDAYS(L1697, M1697, Holiday_Dates) - IF(L1697 = M1697, 0, 1)
        )
    )
)</f>
        <v/>
      </c>
      <c r="R1697" s="385" t="str">
        <f>IFERROR(
    IF(
        OR(ISBLANK(N1697), AND(ISBLANK(L1697), ISBLANK(M1697))),
        "",
        MAX(
            1,
            IF(
                NETWORKDAYS(IF(NOT(ISBLANK(M1697)), M1697, L1697), N1697, Holiday_Dates) &lt;= 0,
                1,
                NETWORKDAYS(IF(NOT(ISBLANK(M1697)), M1697, L1697), N1697, Holiday_Dates)
                - IF(IF(NOT(ISBLANK(M1697)), M1697, L1697) = N1697, 0, 1)
            )
        )
    ),
    ""
)</f>
        <v/>
      </c>
      <c r="S1697" s="385" t="str">
        <f>IFERROR(
    IF(
        OR(ISBLANK(N1697), ISBLANK(O1697)),
        "",
        MAX(
            1,
            IF(
                NETWORKDAYS(N1697, O1697, Holiday_Dates) &lt;= 0,
                1,
                NETWORKDAYS(N1697, O1697, Holiday_Dates) - IF(N1697 = O1697, 0, 1)
            )
        )
    ),
    ""
)</f>
        <v/>
      </c>
      <c r="T1697" s="385"/>
      <c r="U1697" s="385" t="s">
        <v>4</v>
      </c>
      <c r="V1697" s="385" t="s">
        <v>101</v>
      </c>
      <c r="W1697" s="385" t="s">
        <v>1436</v>
      </c>
      <c r="X1697" s="1"/>
    </row>
    <row r="1698" spans="1:24">
      <c r="A1698" s="385" t="s">
        <v>65</v>
      </c>
      <c r="B1698" s="385" t="s">
        <v>3162</v>
      </c>
      <c r="C1698" s="385" t="s">
        <v>3157</v>
      </c>
      <c r="D1698" s="385" t="s">
        <v>88</v>
      </c>
      <c r="E1698" s="385"/>
      <c r="F1698" s="385"/>
      <c r="G1698" s="385"/>
      <c r="H1698" s="385">
        <v>2025</v>
      </c>
      <c r="I1698" s="386">
        <v>45853</v>
      </c>
      <c r="J1698" s="30" t="s">
        <v>5357</v>
      </c>
      <c r="K1698" s="385"/>
      <c r="L1698" s="385"/>
      <c r="M1698" s="385"/>
      <c r="N1698" s="385"/>
      <c r="O1698" s="385"/>
      <c r="P1698" s="385" t="str">
        <f>IFERROR(
    IF(
        OR(ISBLANK(I1698), ISBLANK(L1698)),
        "",
        MAX(
            1,
            IF(
                NETWORKDAYS(I1698, L1698, Holiday_Dates) &lt;= 0,
                1,
                NETWORKDAYS(I1698, L1698, Holiday_Dates) - IF(I1698 = L1698, 0, 1)
            )
        )
    ),
    ""
)</f>
        <v/>
      </c>
      <c r="Q1698" s="385" t="str">
        <f>IF(
    OR(ISBLANK(L1698), ISBLANK(M1698)),
    "",
    MAX(
        1,
        IF(
            NETWORKDAYS(L1698, M1698, Holiday_Dates) &lt;= 0,
            1,
            NETWORKDAYS(L1698, M1698, Holiday_Dates) - IF(L1698 = M1698, 0, 1)
        )
    )
)</f>
        <v/>
      </c>
      <c r="R1698" s="385" t="str">
        <f>IFERROR(
    IF(
        OR(ISBLANK(N1698), AND(ISBLANK(L1698), ISBLANK(M1698))),
        "",
        MAX(
            1,
            IF(
                NETWORKDAYS(IF(NOT(ISBLANK(M1698)), M1698, L1698), N1698, Holiday_Dates) &lt;= 0,
                1,
                NETWORKDAYS(IF(NOT(ISBLANK(M1698)), M1698, L1698), N1698, Holiday_Dates)
                - IF(IF(NOT(ISBLANK(M1698)), M1698, L1698) = N1698, 0, 1)
            )
        )
    ),
    ""
)</f>
        <v/>
      </c>
      <c r="S1698" s="385" t="str">
        <f>IFERROR(
    IF(
        OR(ISBLANK(N1698), ISBLANK(O1698)),
        "",
        MAX(
            1,
            IF(
                NETWORKDAYS(N1698, O1698, Holiday_Dates) &lt;= 0,
                1,
                NETWORKDAYS(N1698, O1698, Holiday_Dates) - IF(N1698 = O1698, 0, 1)
            )
        )
    ),
    ""
)</f>
        <v/>
      </c>
      <c r="T1698" s="385"/>
      <c r="U1698" s="385" t="s">
        <v>672</v>
      </c>
      <c r="V1698" s="385" t="s">
        <v>101</v>
      </c>
      <c r="W1698" s="385" t="s">
        <v>1436</v>
      </c>
      <c r="X1698" s="1"/>
    </row>
    <row r="1699" spans="1:24">
      <c r="A1699" s="385" t="s">
        <v>65</v>
      </c>
      <c r="B1699" s="385" t="s">
        <v>3162</v>
      </c>
      <c r="C1699" s="385" t="s">
        <v>1091</v>
      </c>
      <c r="D1699" s="385" t="s">
        <v>88</v>
      </c>
      <c r="E1699" s="385"/>
      <c r="F1699" s="385"/>
      <c r="G1699" s="385"/>
      <c r="H1699" s="385">
        <v>2024</v>
      </c>
      <c r="I1699" s="386">
        <v>45603</v>
      </c>
      <c r="J1699" s="30"/>
      <c r="K1699" s="385"/>
      <c r="L1699" s="385"/>
      <c r="M1699" s="385"/>
      <c r="N1699" s="385"/>
      <c r="O1699" s="385"/>
      <c r="P1699" s="385" t="str">
        <f>IFERROR(
    IF(
        OR(ISBLANK(I1699), ISBLANK(L1699)),
        "",
        MAX(
            1,
            IF(
                NETWORKDAYS(I1699, L1699, Holiday_Dates) &lt;= 0,
                1,
                NETWORKDAYS(I1699, L1699, Holiday_Dates) - IF(I1699 = L1699, 0, 1)
            )
        )
    ),
    ""
)</f>
        <v/>
      </c>
      <c r="Q1699" s="385" t="str">
        <f>IF(
    OR(ISBLANK(L1699), ISBLANK(M1699)),
    "",
    MAX(
        1,
        IF(
            NETWORKDAYS(L1699, M1699, Holiday_Dates) &lt;= 0,
            1,
            NETWORKDAYS(L1699, M1699, Holiday_Dates) - IF(L1699 = M1699, 0, 1)
        )
    )
)</f>
        <v/>
      </c>
      <c r="R1699" s="385" t="str">
        <f>IFERROR(
    IF(
        OR(ISBLANK(N1699), AND(ISBLANK(L1699), ISBLANK(M1699))),
        "",
        MAX(
            1,
            IF(
                NETWORKDAYS(IF(NOT(ISBLANK(M1699)), M1699, L1699), N1699, Holiday_Dates) &lt;= 0,
                1,
                NETWORKDAYS(IF(NOT(ISBLANK(M1699)), M1699, L1699), N1699, Holiday_Dates)
                - IF(IF(NOT(ISBLANK(M1699)), M1699, L1699) = N1699, 0, 1)
            )
        )
    ),
    ""
)</f>
        <v/>
      </c>
      <c r="S1699" s="385" t="str">
        <f>IFERROR(
    IF(
        OR(ISBLANK(N1699), ISBLANK(O1699)),
        "",
        MAX(
            1,
            IF(
                NETWORKDAYS(N1699, O1699, Holiday_Dates) &lt;= 0,
                1,
                NETWORKDAYS(N1699, O1699, Holiday_Dates) - IF(N1699 = O1699, 0, 1)
            )
        )
    ),
    ""
)</f>
        <v/>
      </c>
      <c r="T1699" s="385"/>
      <c r="U1699" s="385" t="s">
        <v>4</v>
      </c>
      <c r="V1699" s="385" t="s">
        <v>101</v>
      </c>
      <c r="W1699" s="385" t="s">
        <v>1436</v>
      </c>
      <c r="X1699" s="1"/>
    </row>
    <row r="1700" spans="1:24">
      <c r="A1700" s="385" t="s">
        <v>51</v>
      </c>
      <c r="B1700" s="385" t="s">
        <v>354</v>
      </c>
      <c r="C1700" s="385" t="s">
        <v>3643</v>
      </c>
      <c r="D1700" s="385" t="s">
        <v>88</v>
      </c>
      <c r="E1700" s="385" t="s">
        <v>145</v>
      </c>
      <c r="F1700" s="385"/>
      <c r="G1700" s="385" t="s">
        <v>133</v>
      </c>
      <c r="H1700" s="385"/>
      <c r="I1700" s="385"/>
      <c r="J1700" s="30"/>
      <c r="K1700" s="385" t="s">
        <v>64</v>
      </c>
      <c r="L1700" s="385"/>
      <c r="M1700" s="385"/>
      <c r="N1700" s="385"/>
      <c r="O1700" s="385"/>
      <c r="P1700" s="385" t="str">
        <f>IFERROR(
    IF(
        OR(ISBLANK(I1700), ISBLANK(L1700)),
        "",
        MAX(
            1,
            IF(
                NETWORKDAYS(I1700, L1700, Holiday_Dates) &lt;= 0,
                1,
                NETWORKDAYS(I1700, L1700, Holiday_Dates) - IF(I1700 = L1700, 0, 1)
            )
        )
    ),
    ""
)</f>
        <v/>
      </c>
      <c r="Q1700" s="385" t="str">
        <f>IF(
    OR(ISBLANK(L1700), ISBLANK(M1700)),
    "",
    MAX(
        1,
        IF(
            NETWORKDAYS(L1700, M1700, Holiday_Dates) &lt;= 0,
            1,
            NETWORKDAYS(L1700, M1700, Holiday_Dates) - IF(L1700 = M1700, 0, 1)
        )
    )
)</f>
        <v/>
      </c>
      <c r="R1700" s="385" t="str">
        <f>IFERROR(
    IF(
        OR(ISBLANK(N1700), AND(ISBLANK(L1700), ISBLANK(M1700))),
        "",
        MAX(
            1,
            IF(
                NETWORKDAYS(IF(NOT(ISBLANK(M1700)), M1700, L1700), N1700, Holiday_Dates) &lt;= 0,
                1,
                NETWORKDAYS(IF(NOT(ISBLANK(M1700)), M1700, L1700), N1700, Holiday_Dates)
                - IF(IF(NOT(ISBLANK(M1700)), M1700, L1700) = N1700, 0, 1)
            )
        )
    ),
    ""
)</f>
        <v/>
      </c>
      <c r="S1700" s="385" t="str">
        <f>IFERROR(
    IF(
        OR(ISBLANK(N1700), ISBLANK(O1700)),
        "",
        MAX(
            1,
            IF(
                NETWORKDAYS(N1700, O1700, Holiday_Dates) &lt;= 0,
                1,
                NETWORKDAYS(N1700, O1700, Holiday_Dates) - IF(N1700 = O1700, 0, 1)
            )
        )
    ),
    ""
)</f>
        <v/>
      </c>
      <c r="T1700" s="385"/>
      <c r="U1700" s="385"/>
      <c r="V1700" s="385"/>
      <c r="W1700" s="385" t="s">
        <v>4710</v>
      </c>
      <c r="X1700" s="1"/>
    </row>
    <row r="1701" spans="1:24">
      <c r="A1701" s="385" t="s">
        <v>51</v>
      </c>
      <c r="B1701" s="385" t="s">
        <v>354</v>
      </c>
      <c r="C1701" s="385" t="s">
        <v>1850</v>
      </c>
      <c r="D1701" s="385" t="s">
        <v>88</v>
      </c>
      <c r="E1701" s="385" t="s">
        <v>145</v>
      </c>
      <c r="F1701" s="385"/>
      <c r="G1701" s="385" t="s">
        <v>133</v>
      </c>
      <c r="H1701" s="385"/>
      <c r="I1701" s="385"/>
      <c r="J1701" s="30"/>
      <c r="K1701" s="385" t="s">
        <v>64</v>
      </c>
      <c r="L1701" s="385"/>
      <c r="M1701" s="385"/>
      <c r="N1701" s="385"/>
      <c r="O1701" s="385"/>
      <c r="P1701" s="385" t="str">
        <f>IFERROR(
    IF(
        OR(ISBLANK(I1701), ISBLANK(L1701)),
        "",
        MAX(
            1,
            IF(
                NETWORKDAYS(I1701, L1701, Holiday_Dates) &lt;= 0,
                1,
                NETWORKDAYS(I1701, L1701, Holiday_Dates) - IF(I1701 = L1701, 0, 1)
            )
        )
    ),
    ""
)</f>
        <v/>
      </c>
      <c r="Q1701" s="385" t="str">
        <f>IF(
    OR(ISBLANK(L1701), ISBLANK(M1701)),
    "",
    MAX(
        1,
        IF(
            NETWORKDAYS(L1701, M1701, Holiday_Dates) &lt;= 0,
            1,
            NETWORKDAYS(L1701, M1701, Holiday_Dates) - IF(L1701 = M1701, 0, 1)
        )
    )
)</f>
        <v/>
      </c>
      <c r="R1701" s="385" t="str">
        <f>IFERROR(
    IF(
        OR(ISBLANK(N1701), AND(ISBLANK(L1701), ISBLANK(M1701))),
        "",
        MAX(
            1,
            IF(
                NETWORKDAYS(IF(NOT(ISBLANK(M1701)), M1701, L1701), N1701, Holiday_Dates) &lt;= 0,
                1,
                NETWORKDAYS(IF(NOT(ISBLANK(M1701)), M1701, L1701), N1701, Holiday_Dates)
                - IF(IF(NOT(ISBLANK(M1701)), M1701, L1701) = N1701, 0, 1)
            )
        )
    ),
    ""
)</f>
        <v/>
      </c>
      <c r="S1701" s="385" t="str">
        <f>IFERROR(
    IF(
        OR(ISBLANK(N1701), ISBLANK(O1701)),
        "",
        MAX(
            1,
            IF(
                NETWORKDAYS(N1701, O1701, Holiday_Dates) &lt;= 0,
                1,
                NETWORKDAYS(N1701, O1701, Holiday_Dates) - IF(N1701 = O1701, 0, 1)
            )
        )
    ),
    ""
)</f>
        <v/>
      </c>
      <c r="T1701" s="385"/>
      <c r="U1701" s="385"/>
      <c r="V1701" s="385"/>
      <c r="W1701" s="385" t="s">
        <v>4710</v>
      </c>
      <c r="X1701" s="1"/>
    </row>
    <row r="1702" spans="1:24">
      <c r="A1702" s="385" t="s">
        <v>51</v>
      </c>
      <c r="B1702" s="385" t="s">
        <v>534</v>
      </c>
      <c r="C1702" s="385" t="s">
        <v>3217</v>
      </c>
      <c r="D1702" s="385" t="s">
        <v>88</v>
      </c>
      <c r="E1702" s="385" t="s">
        <v>32</v>
      </c>
      <c r="F1702" s="385"/>
      <c r="G1702" s="385" t="s">
        <v>133</v>
      </c>
      <c r="H1702" s="385"/>
      <c r="I1702" s="385"/>
      <c r="J1702" s="30"/>
      <c r="K1702" s="385" t="s">
        <v>64</v>
      </c>
      <c r="L1702" s="385"/>
      <c r="M1702" s="385"/>
      <c r="N1702" s="385"/>
      <c r="O1702" s="385"/>
      <c r="P1702" s="385" t="str">
        <f>IFERROR(
    IF(
        OR(ISBLANK(I1702), ISBLANK(L1702)),
        "",
        MAX(
            1,
            IF(
                NETWORKDAYS(I1702, L1702, Holiday_Dates) &lt;= 0,
                1,
                NETWORKDAYS(I1702, L1702, Holiday_Dates) - IF(I1702 = L1702, 0, 1)
            )
        )
    ),
    ""
)</f>
        <v/>
      </c>
      <c r="Q1702" s="385" t="str">
        <f>IF(
    OR(ISBLANK(L1702), ISBLANK(M1702)),
    "",
    MAX(
        1,
        IF(
            NETWORKDAYS(L1702, M1702, Holiday_Dates) &lt;= 0,
            1,
            NETWORKDAYS(L1702, M1702, Holiday_Dates) - IF(L1702 = M1702, 0, 1)
        )
    )
)</f>
        <v/>
      </c>
      <c r="R1702" s="385" t="str">
        <f>IFERROR(
    IF(
        OR(ISBLANK(N1702), AND(ISBLANK(L1702), ISBLANK(M1702))),
        "",
        MAX(
            1,
            IF(
                NETWORKDAYS(IF(NOT(ISBLANK(M1702)), M1702, L1702), N1702, Holiday_Dates) &lt;= 0,
                1,
                NETWORKDAYS(IF(NOT(ISBLANK(M1702)), M1702, L1702), N1702, Holiday_Dates)
                - IF(IF(NOT(ISBLANK(M1702)), M1702, L1702) = N1702, 0, 1)
            )
        )
    ),
    ""
)</f>
        <v/>
      </c>
      <c r="S1702" s="385" t="str">
        <f>IFERROR(
    IF(
        OR(ISBLANK(N1702), ISBLANK(O1702)),
        "",
        MAX(
            1,
            IF(
                NETWORKDAYS(N1702, O1702, Holiday_Dates) &lt;= 0,
                1,
                NETWORKDAYS(N1702, O1702, Holiday_Dates) - IF(N1702 = O1702, 0, 1)
            )
        )
    ),
    ""
)</f>
        <v/>
      </c>
      <c r="T1702" s="385"/>
      <c r="U1702" s="385"/>
      <c r="V1702" s="385"/>
      <c r="W1702" s="385" t="s">
        <v>4710</v>
      </c>
      <c r="X1702" s="1"/>
    </row>
    <row r="1703" spans="1:24">
      <c r="A1703" s="385" t="s">
        <v>51</v>
      </c>
      <c r="B1703" s="385" t="s">
        <v>534</v>
      </c>
      <c r="C1703" s="385" t="s">
        <v>3701</v>
      </c>
      <c r="D1703" s="385" t="s">
        <v>88</v>
      </c>
      <c r="E1703" s="385" t="s">
        <v>32</v>
      </c>
      <c r="F1703" s="385"/>
      <c r="G1703" s="385" t="s">
        <v>133</v>
      </c>
      <c r="H1703" s="385"/>
      <c r="I1703" s="385"/>
      <c r="J1703" s="30"/>
      <c r="K1703" s="385" t="s">
        <v>64</v>
      </c>
      <c r="L1703" s="385"/>
      <c r="M1703" s="385"/>
      <c r="N1703" s="385"/>
      <c r="O1703" s="385"/>
      <c r="P1703" s="385" t="str">
        <f>IFERROR(
    IF(
        OR(ISBLANK(I1703), ISBLANK(L1703)),
        "",
        MAX(
            1,
            IF(
                NETWORKDAYS(I1703, L1703, Holiday_Dates) &lt;= 0,
                1,
                NETWORKDAYS(I1703, L1703, Holiday_Dates) - IF(I1703 = L1703, 0, 1)
            )
        )
    ),
    ""
)</f>
        <v/>
      </c>
      <c r="Q1703" s="385" t="str">
        <f>IF(
    OR(ISBLANK(L1703), ISBLANK(M1703)),
    "",
    MAX(
        1,
        IF(
            NETWORKDAYS(L1703, M1703, Holiday_Dates) &lt;= 0,
            1,
            NETWORKDAYS(L1703, M1703, Holiday_Dates) - IF(L1703 = M1703, 0, 1)
        )
    )
)</f>
        <v/>
      </c>
      <c r="R1703" s="385" t="str">
        <f>IFERROR(
    IF(
        OR(ISBLANK(N1703), AND(ISBLANK(L1703), ISBLANK(M1703))),
        "",
        MAX(
            1,
            IF(
                NETWORKDAYS(IF(NOT(ISBLANK(M1703)), M1703, L1703), N1703, Holiday_Dates) &lt;= 0,
                1,
                NETWORKDAYS(IF(NOT(ISBLANK(M1703)), M1703, L1703), N1703, Holiday_Dates)
                - IF(IF(NOT(ISBLANK(M1703)), M1703, L1703) = N1703, 0, 1)
            )
        )
    ),
    ""
)</f>
        <v/>
      </c>
      <c r="S1703" s="385" t="str">
        <f>IFERROR(
    IF(
        OR(ISBLANK(N1703), ISBLANK(O1703)),
        "",
        MAX(
            1,
            IF(
                NETWORKDAYS(N1703, O1703, Holiday_Dates) &lt;= 0,
                1,
                NETWORKDAYS(N1703, O1703, Holiday_Dates) - IF(N1703 = O1703, 0, 1)
            )
        )
    ),
    ""
)</f>
        <v/>
      </c>
      <c r="T1703" s="385"/>
      <c r="U1703" s="385"/>
      <c r="V1703" s="385"/>
      <c r="W1703" s="385" t="s">
        <v>4710</v>
      </c>
      <c r="X1703" s="1"/>
    </row>
    <row r="1704" spans="1:24">
      <c r="A1704" s="385" t="s">
        <v>65</v>
      </c>
      <c r="B1704" s="385" t="s">
        <v>3162</v>
      </c>
      <c r="C1704" s="385" t="s">
        <v>714</v>
      </c>
      <c r="D1704" s="385" t="s">
        <v>88</v>
      </c>
      <c r="E1704" s="385"/>
      <c r="F1704" s="385"/>
      <c r="G1704" s="385"/>
      <c r="H1704" s="385">
        <v>2025</v>
      </c>
      <c r="I1704" s="386">
        <v>45853</v>
      </c>
      <c r="J1704" s="30" t="s">
        <v>5358</v>
      </c>
      <c r="K1704" s="385"/>
      <c r="L1704" s="385"/>
      <c r="M1704" s="385"/>
      <c r="N1704" s="385"/>
      <c r="O1704" s="385"/>
      <c r="P1704" s="385" t="str">
        <f>IFERROR(
    IF(
        OR(ISBLANK(I1704), ISBLANK(L1704)),
        "",
        MAX(
            1,
            IF(
                NETWORKDAYS(I1704, L1704, Holiday_Dates) &lt;= 0,
                1,
                NETWORKDAYS(I1704, L1704, Holiday_Dates) - IF(I1704 = L1704, 0, 1)
            )
        )
    ),
    ""
)</f>
        <v/>
      </c>
      <c r="Q1704" s="385" t="str">
        <f>IF(
    OR(ISBLANK(L1704), ISBLANK(M1704)),
    "",
    MAX(
        1,
        IF(
            NETWORKDAYS(L1704, M1704, Holiday_Dates) &lt;= 0,
            1,
            NETWORKDAYS(L1704, M1704, Holiday_Dates) - IF(L1704 = M1704, 0, 1)
        )
    )
)</f>
        <v/>
      </c>
      <c r="R1704" s="385" t="str">
        <f>IFERROR(
    IF(
        OR(ISBLANK(N1704), AND(ISBLANK(L1704), ISBLANK(M1704))),
        "",
        MAX(
            1,
            IF(
                NETWORKDAYS(IF(NOT(ISBLANK(M1704)), M1704, L1704), N1704, Holiday_Dates) &lt;= 0,
                1,
                NETWORKDAYS(IF(NOT(ISBLANK(M1704)), M1704, L1704), N1704, Holiday_Dates)
                - IF(IF(NOT(ISBLANK(M1704)), M1704, L1704) = N1704, 0, 1)
            )
        )
    ),
    ""
)</f>
        <v/>
      </c>
      <c r="S1704" s="385" t="str">
        <f>IFERROR(
    IF(
        OR(ISBLANK(N1704), ISBLANK(O1704)),
        "",
        MAX(
            1,
            IF(
                NETWORKDAYS(N1704, O1704, Holiday_Dates) &lt;= 0,
                1,
                NETWORKDAYS(N1704, O1704, Holiday_Dates) - IF(N1704 = O1704, 0, 1)
            )
        )
    ),
    ""
)</f>
        <v/>
      </c>
      <c r="T1704" s="385"/>
      <c r="U1704" s="385" t="s">
        <v>4</v>
      </c>
      <c r="V1704" s="385" t="s">
        <v>101</v>
      </c>
      <c r="W1704" s="385" t="s">
        <v>1436</v>
      </c>
      <c r="X1704" s="1"/>
    </row>
    <row r="1705" spans="1:24">
      <c r="A1705" s="385" t="s">
        <v>65</v>
      </c>
      <c r="B1705" s="385" t="s">
        <v>3162</v>
      </c>
      <c r="C1705" s="385" t="s">
        <v>550</v>
      </c>
      <c r="D1705" s="385" t="s">
        <v>88</v>
      </c>
      <c r="E1705" s="385"/>
      <c r="F1705" s="385"/>
      <c r="G1705" s="385"/>
      <c r="H1705" s="385">
        <v>2024</v>
      </c>
      <c r="I1705" s="386">
        <v>45604</v>
      </c>
      <c r="J1705" s="30"/>
      <c r="K1705" s="385"/>
      <c r="L1705" s="385"/>
      <c r="M1705" s="385"/>
      <c r="N1705" s="385"/>
      <c r="O1705" s="385"/>
      <c r="P1705" s="385" t="str">
        <f>IFERROR(
    IF(
        OR(ISBLANK(I1705), ISBLANK(L1705)),
        "",
        MAX(
            1,
            IF(
                NETWORKDAYS(I1705, L1705, Holiday_Dates) &lt;= 0,
                1,
                NETWORKDAYS(I1705, L1705, Holiday_Dates) - IF(I1705 = L1705, 0, 1)
            )
        )
    ),
    ""
)</f>
        <v/>
      </c>
      <c r="Q1705" s="385" t="str">
        <f>IF(
    OR(ISBLANK(L1705), ISBLANK(M1705)),
    "",
    MAX(
        1,
        IF(
            NETWORKDAYS(L1705, M1705, Holiday_Dates) &lt;= 0,
            1,
            NETWORKDAYS(L1705, M1705, Holiday_Dates) - IF(L1705 = M1705, 0, 1)
        )
    )
)</f>
        <v/>
      </c>
      <c r="R1705" s="385" t="str">
        <f>IFERROR(
    IF(
        OR(ISBLANK(N1705), AND(ISBLANK(L1705), ISBLANK(M1705))),
        "",
        MAX(
            1,
            IF(
                NETWORKDAYS(IF(NOT(ISBLANK(M1705)), M1705, L1705), N1705, Holiday_Dates) &lt;= 0,
                1,
                NETWORKDAYS(IF(NOT(ISBLANK(M1705)), M1705, L1705), N1705, Holiday_Dates)
                - IF(IF(NOT(ISBLANK(M1705)), M1705, L1705) = N1705, 0, 1)
            )
        )
    ),
    ""
)</f>
        <v/>
      </c>
      <c r="S1705" s="385" t="str">
        <f>IFERROR(
    IF(
        OR(ISBLANK(N1705), ISBLANK(O1705)),
        "",
        MAX(
            1,
            IF(
                NETWORKDAYS(N1705, O1705, Holiday_Dates) &lt;= 0,
                1,
                NETWORKDAYS(N1705, O1705, Holiday_Dates) - IF(N1705 = O1705, 0, 1)
            )
        )
    ),
    ""
)</f>
        <v/>
      </c>
      <c r="T1705" s="385"/>
      <c r="U1705" s="385" t="s">
        <v>4</v>
      </c>
      <c r="V1705" s="385" t="s">
        <v>101</v>
      </c>
      <c r="W1705" s="385" t="s">
        <v>1436</v>
      </c>
      <c r="X1705" s="1"/>
    </row>
    <row r="1706" spans="1:24">
      <c r="A1706" s="385" t="s">
        <v>65</v>
      </c>
      <c r="B1706" s="385" t="s">
        <v>3162</v>
      </c>
      <c r="C1706" s="385" t="s">
        <v>3186</v>
      </c>
      <c r="D1706" s="385" t="s">
        <v>88</v>
      </c>
      <c r="E1706" s="385"/>
      <c r="F1706" s="385"/>
      <c r="G1706" s="385"/>
      <c r="H1706" s="385">
        <v>2025</v>
      </c>
      <c r="I1706" s="386">
        <v>45777</v>
      </c>
      <c r="J1706" s="30" t="s">
        <v>5359</v>
      </c>
      <c r="K1706" s="385"/>
      <c r="L1706" s="385"/>
      <c r="M1706" s="385"/>
      <c r="N1706" s="385"/>
      <c r="O1706" s="385"/>
      <c r="P1706" s="385" t="str">
        <f>IFERROR(
    IF(
        OR(ISBLANK(I1706), ISBLANK(L1706)),
        "",
        MAX(
            1,
            IF(
                NETWORKDAYS(I1706, L1706, Holiday_Dates) &lt;= 0,
                1,
                NETWORKDAYS(I1706, L1706, Holiday_Dates) - IF(I1706 = L1706, 0, 1)
            )
        )
    ),
    ""
)</f>
        <v/>
      </c>
      <c r="Q1706" s="385" t="str">
        <f>IF(
    OR(ISBLANK(L1706), ISBLANK(M1706)),
    "",
    MAX(
        1,
        IF(
            NETWORKDAYS(L1706, M1706, Holiday_Dates) &lt;= 0,
            1,
            NETWORKDAYS(L1706, M1706, Holiday_Dates) - IF(L1706 = M1706, 0, 1)
        )
    )
)</f>
        <v/>
      </c>
      <c r="R1706" s="385" t="str">
        <f>IFERROR(
    IF(
        OR(ISBLANK(N1706), AND(ISBLANK(L1706), ISBLANK(M1706))),
        "",
        MAX(
            1,
            IF(
                NETWORKDAYS(IF(NOT(ISBLANK(M1706)), M1706, L1706), N1706, Holiday_Dates) &lt;= 0,
                1,
                NETWORKDAYS(IF(NOT(ISBLANK(M1706)), M1706, L1706), N1706, Holiday_Dates)
                - IF(IF(NOT(ISBLANK(M1706)), M1706, L1706) = N1706, 0, 1)
            )
        )
    ),
    ""
)</f>
        <v/>
      </c>
      <c r="S1706" s="385" t="str">
        <f>IFERROR(
    IF(
        OR(ISBLANK(N1706), ISBLANK(O1706)),
        "",
        MAX(
            1,
            IF(
                NETWORKDAYS(N1706, O1706, Holiday_Dates) &lt;= 0,
                1,
                NETWORKDAYS(N1706, O1706, Holiday_Dates) - IF(N1706 = O1706, 0, 1)
            )
        )
    ),
    ""
)</f>
        <v/>
      </c>
      <c r="T1706" s="385"/>
      <c r="U1706" s="385" t="s">
        <v>672</v>
      </c>
      <c r="V1706" s="385" t="s">
        <v>101</v>
      </c>
      <c r="W1706" s="385" t="s">
        <v>1436</v>
      </c>
      <c r="X1706" s="1"/>
    </row>
    <row r="1707" spans="1:24">
      <c r="A1707" s="385" t="s">
        <v>65</v>
      </c>
      <c r="B1707" s="385" t="s">
        <v>3162</v>
      </c>
      <c r="C1707" s="385" t="s">
        <v>3190</v>
      </c>
      <c r="D1707" s="385" t="s">
        <v>88</v>
      </c>
      <c r="E1707" s="385"/>
      <c r="F1707" s="385"/>
      <c r="G1707" s="385"/>
      <c r="H1707" s="385">
        <v>2025</v>
      </c>
      <c r="I1707" s="386">
        <v>45846</v>
      </c>
      <c r="J1707" s="30" t="s">
        <v>5360</v>
      </c>
      <c r="K1707" s="385"/>
      <c r="L1707" s="385"/>
      <c r="M1707" s="385"/>
      <c r="N1707" s="385"/>
      <c r="O1707" s="385"/>
      <c r="P1707" s="385" t="str">
        <f>IFERROR(
    IF(
        OR(ISBLANK(I1707), ISBLANK(L1707)),
        "",
        MAX(
            1,
            IF(
                NETWORKDAYS(I1707, L1707, Holiday_Dates) &lt;= 0,
                1,
                NETWORKDAYS(I1707, L1707, Holiday_Dates) - IF(I1707 = L1707, 0, 1)
            )
        )
    ),
    ""
)</f>
        <v/>
      </c>
      <c r="Q1707" s="385" t="str">
        <f>IF(
    OR(ISBLANK(L1707), ISBLANK(M1707)),
    "",
    MAX(
        1,
        IF(
            NETWORKDAYS(L1707, M1707, Holiday_Dates) &lt;= 0,
            1,
            NETWORKDAYS(L1707, M1707, Holiday_Dates) - IF(L1707 = M1707, 0, 1)
        )
    )
)</f>
        <v/>
      </c>
      <c r="R1707" s="385" t="str">
        <f>IFERROR(
    IF(
        OR(ISBLANK(N1707), AND(ISBLANK(L1707), ISBLANK(M1707))),
        "",
        MAX(
            1,
            IF(
                NETWORKDAYS(IF(NOT(ISBLANK(M1707)), M1707, L1707), N1707, Holiday_Dates) &lt;= 0,
                1,
                NETWORKDAYS(IF(NOT(ISBLANK(M1707)), M1707, L1707), N1707, Holiday_Dates)
                - IF(IF(NOT(ISBLANK(M1707)), M1707, L1707) = N1707, 0, 1)
            )
        )
    ),
    ""
)</f>
        <v/>
      </c>
      <c r="S1707" s="385" t="str">
        <f>IFERROR(
    IF(
        OR(ISBLANK(N1707), ISBLANK(O1707)),
        "",
        MAX(
            1,
            IF(
                NETWORKDAYS(N1707, O1707, Holiday_Dates) &lt;= 0,
                1,
                NETWORKDAYS(N1707, O1707, Holiday_Dates) - IF(N1707 = O1707, 0, 1)
            )
        )
    ),
    ""
)</f>
        <v/>
      </c>
      <c r="T1707" s="385"/>
      <c r="U1707" s="385" t="s">
        <v>672</v>
      </c>
      <c r="V1707" s="385" t="s">
        <v>101</v>
      </c>
      <c r="W1707" s="385" t="s">
        <v>1436</v>
      </c>
      <c r="X1707" s="1"/>
    </row>
    <row r="1708" spans="1:24">
      <c r="A1708" s="385" t="s">
        <v>65</v>
      </c>
      <c r="B1708" s="385" t="s">
        <v>3162</v>
      </c>
      <c r="C1708" s="385" t="s">
        <v>3187</v>
      </c>
      <c r="D1708" s="385" t="s">
        <v>88</v>
      </c>
      <c r="E1708" s="385"/>
      <c r="F1708" s="385"/>
      <c r="G1708" s="385"/>
      <c r="H1708" s="385">
        <v>2025</v>
      </c>
      <c r="I1708" s="386">
        <v>45846</v>
      </c>
      <c r="J1708" s="30" t="s">
        <v>5361</v>
      </c>
      <c r="K1708" s="385"/>
      <c r="L1708" s="385"/>
      <c r="M1708" s="385"/>
      <c r="N1708" s="385"/>
      <c r="O1708" s="385"/>
      <c r="P1708" s="385" t="str">
        <f>IFERROR(
    IF(
        OR(ISBLANK(I1708), ISBLANK(L1708)),
        "",
        MAX(
            1,
            IF(
                NETWORKDAYS(I1708, L1708, Holiday_Dates) &lt;= 0,
                1,
                NETWORKDAYS(I1708, L1708, Holiday_Dates) - IF(I1708 = L1708, 0, 1)
            )
        )
    ),
    ""
)</f>
        <v/>
      </c>
      <c r="Q1708" s="385" t="str">
        <f>IF(
    OR(ISBLANK(L1708), ISBLANK(M1708)),
    "",
    MAX(
        1,
        IF(
            NETWORKDAYS(L1708, M1708, Holiday_Dates) &lt;= 0,
            1,
            NETWORKDAYS(L1708, M1708, Holiday_Dates) - IF(L1708 = M1708, 0, 1)
        )
    )
)</f>
        <v/>
      </c>
      <c r="R1708" s="385" t="str">
        <f>IFERROR(
    IF(
        OR(ISBLANK(N1708), AND(ISBLANK(L1708), ISBLANK(M1708))),
        "",
        MAX(
            1,
            IF(
                NETWORKDAYS(IF(NOT(ISBLANK(M1708)), M1708, L1708), N1708, Holiday_Dates) &lt;= 0,
                1,
                NETWORKDAYS(IF(NOT(ISBLANK(M1708)), M1708, L1708), N1708, Holiday_Dates)
                - IF(IF(NOT(ISBLANK(M1708)), M1708, L1708) = N1708, 0, 1)
            )
        )
    ),
    ""
)</f>
        <v/>
      </c>
      <c r="S1708" s="385" t="str">
        <f>IFERROR(
    IF(
        OR(ISBLANK(N1708), ISBLANK(O1708)),
        "",
        MAX(
            1,
            IF(
                NETWORKDAYS(N1708, O1708, Holiday_Dates) &lt;= 0,
                1,
                NETWORKDAYS(N1708, O1708, Holiday_Dates) - IF(N1708 = O1708, 0, 1)
            )
        )
    ),
    ""
)</f>
        <v/>
      </c>
      <c r="T1708" s="385"/>
      <c r="U1708" s="385" t="s">
        <v>4</v>
      </c>
      <c r="V1708" s="385" t="s">
        <v>101</v>
      </c>
      <c r="W1708" s="385" t="s">
        <v>1436</v>
      </c>
      <c r="X1708" s="1"/>
    </row>
    <row r="1709" spans="1:24">
      <c r="A1709" s="385" t="s">
        <v>51</v>
      </c>
      <c r="B1709" s="385" t="s">
        <v>534</v>
      </c>
      <c r="C1709" s="385" t="s">
        <v>3702</v>
      </c>
      <c r="D1709" s="385" t="s">
        <v>88</v>
      </c>
      <c r="E1709" s="385" t="s">
        <v>32</v>
      </c>
      <c r="F1709" s="385"/>
      <c r="G1709" s="385" t="s">
        <v>133</v>
      </c>
      <c r="H1709" s="385"/>
      <c r="I1709" s="385"/>
      <c r="J1709" s="30"/>
      <c r="K1709" s="385" t="s">
        <v>64</v>
      </c>
      <c r="L1709" s="385"/>
      <c r="M1709" s="385"/>
      <c r="N1709" s="385"/>
      <c r="O1709" s="385"/>
      <c r="P1709" s="385" t="str">
        <f>IFERROR(
    IF(
        OR(ISBLANK(I1709), ISBLANK(L1709)),
        "",
        MAX(
            1,
            IF(
                NETWORKDAYS(I1709, L1709, Holiday_Dates) &lt;= 0,
                1,
                NETWORKDAYS(I1709, L1709, Holiday_Dates) - IF(I1709 = L1709, 0, 1)
            )
        )
    ),
    ""
)</f>
        <v/>
      </c>
      <c r="Q1709" s="385" t="str">
        <f>IF(
    OR(ISBLANK(L1709), ISBLANK(M1709)),
    "",
    MAX(
        1,
        IF(
            NETWORKDAYS(L1709, M1709, Holiday_Dates) &lt;= 0,
            1,
            NETWORKDAYS(L1709, M1709, Holiday_Dates) - IF(L1709 = M1709, 0, 1)
        )
    )
)</f>
        <v/>
      </c>
      <c r="R1709" s="385" t="str">
        <f>IFERROR(
    IF(
        OR(ISBLANK(N1709), AND(ISBLANK(L1709), ISBLANK(M1709))),
        "",
        MAX(
            1,
            IF(
                NETWORKDAYS(IF(NOT(ISBLANK(M1709)), M1709, L1709), N1709, Holiday_Dates) &lt;= 0,
                1,
                NETWORKDAYS(IF(NOT(ISBLANK(M1709)), M1709, L1709), N1709, Holiday_Dates)
                - IF(IF(NOT(ISBLANK(M1709)), M1709, L1709) = N1709, 0, 1)
            )
        )
    ),
    ""
)</f>
        <v/>
      </c>
      <c r="S1709" s="385" t="str">
        <f>IFERROR(
    IF(
        OR(ISBLANK(N1709), ISBLANK(O1709)),
        "",
        MAX(
            1,
            IF(
                NETWORKDAYS(N1709, O1709, Holiday_Dates) &lt;= 0,
                1,
                NETWORKDAYS(N1709, O1709, Holiday_Dates) - IF(N1709 = O1709, 0, 1)
            )
        )
    ),
    ""
)</f>
        <v/>
      </c>
      <c r="T1709" s="385"/>
      <c r="U1709" s="385"/>
      <c r="V1709" s="385"/>
      <c r="W1709" s="385" t="s">
        <v>4710</v>
      </c>
      <c r="X1709" s="1"/>
    </row>
    <row r="1710" spans="1:24">
      <c r="A1710" s="385" t="s">
        <v>51</v>
      </c>
      <c r="B1710" s="385" t="s">
        <v>534</v>
      </c>
      <c r="C1710" s="385" t="s">
        <v>926</v>
      </c>
      <c r="D1710" s="385" t="s">
        <v>88</v>
      </c>
      <c r="E1710" s="385" t="s">
        <v>32</v>
      </c>
      <c r="F1710" s="385"/>
      <c r="G1710" s="385" t="s">
        <v>133</v>
      </c>
      <c r="H1710" s="385"/>
      <c r="I1710" s="385"/>
      <c r="J1710" s="30"/>
      <c r="K1710" s="385" t="s">
        <v>64</v>
      </c>
      <c r="L1710" s="385"/>
      <c r="M1710" s="385"/>
      <c r="N1710" s="385"/>
      <c r="O1710" s="385"/>
      <c r="P1710" s="385" t="str">
        <f>IFERROR(
    IF(
        OR(ISBLANK(I1710), ISBLANK(L1710)),
        "",
        MAX(
            1,
            IF(
                NETWORKDAYS(I1710, L1710, Holiday_Dates) &lt;= 0,
                1,
                NETWORKDAYS(I1710, L1710, Holiday_Dates) - IF(I1710 = L1710, 0, 1)
            )
        )
    ),
    ""
)</f>
        <v/>
      </c>
      <c r="Q1710" s="385" t="str">
        <f>IF(
    OR(ISBLANK(L1710), ISBLANK(M1710)),
    "",
    MAX(
        1,
        IF(
            NETWORKDAYS(L1710, M1710, Holiday_Dates) &lt;= 0,
            1,
            NETWORKDAYS(L1710, M1710, Holiday_Dates) - IF(L1710 = M1710, 0, 1)
        )
    )
)</f>
        <v/>
      </c>
      <c r="R1710" s="385" t="str">
        <f>IFERROR(
    IF(
        OR(ISBLANK(N1710), AND(ISBLANK(L1710), ISBLANK(M1710))),
        "",
        MAX(
            1,
            IF(
                NETWORKDAYS(IF(NOT(ISBLANK(M1710)), M1710, L1710), N1710, Holiday_Dates) &lt;= 0,
                1,
                NETWORKDAYS(IF(NOT(ISBLANK(M1710)), M1710, L1710), N1710, Holiday_Dates)
                - IF(IF(NOT(ISBLANK(M1710)), M1710, L1710) = N1710, 0, 1)
            )
        )
    ),
    ""
)</f>
        <v/>
      </c>
      <c r="S1710" s="385" t="str">
        <f>IFERROR(
    IF(
        OR(ISBLANK(N1710), ISBLANK(O1710)),
        "",
        MAX(
            1,
            IF(
                NETWORKDAYS(N1710, O1710, Holiday_Dates) &lt;= 0,
                1,
                NETWORKDAYS(N1710, O1710, Holiday_Dates) - IF(N1710 = O1710, 0, 1)
            )
        )
    ),
    ""
)</f>
        <v/>
      </c>
      <c r="T1710" s="385"/>
      <c r="U1710" s="385"/>
      <c r="V1710" s="385"/>
      <c r="W1710" s="385" t="s">
        <v>4710</v>
      </c>
      <c r="X1710" s="1"/>
    </row>
    <row r="1711" spans="1:24">
      <c r="A1711" s="385" t="s">
        <v>51</v>
      </c>
      <c r="B1711" s="385" t="s">
        <v>534</v>
      </c>
      <c r="C1711" s="385" t="s">
        <v>2276</v>
      </c>
      <c r="D1711" s="385" t="s">
        <v>88</v>
      </c>
      <c r="E1711" s="385" t="s">
        <v>32</v>
      </c>
      <c r="F1711" s="385"/>
      <c r="G1711" s="385" t="s">
        <v>133</v>
      </c>
      <c r="H1711" s="385"/>
      <c r="I1711" s="385"/>
      <c r="J1711" s="30"/>
      <c r="K1711" s="385" t="s">
        <v>64</v>
      </c>
      <c r="L1711" s="385"/>
      <c r="M1711" s="385"/>
      <c r="N1711" s="385"/>
      <c r="O1711" s="385"/>
      <c r="P1711" s="385" t="str">
        <f>IFERROR(
    IF(
        OR(ISBLANK(I1711), ISBLANK(L1711)),
        "",
        MAX(
            1,
            IF(
                NETWORKDAYS(I1711, L1711, Holiday_Dates) &lt;= 0,
                1,
                NETWORKDAYS(I1711, L1711, Holiday_Dates) - IF(I1711 = L1711, 0, 1)
            )
        )
    ),
    ""
)</f>
        <v/>
      </c>
      <c r="Q1711" s="385" t="str">
        <f>IF(
    OR(ISBLANK(L1711), ISBLANK(M1711)),
    "",
    MAX(
        1,
        IF(
            NETWORKDAYS(L1711, M1711, Holiday_Dates) &lt;= 0,
            1,
            NETWORKDAYS(L1711, M1711, Holiday_Dates) - IF(L1711 = M1711, 0, 1)
        )
    )
)</f>
        <v/>
      </c>
      <c r="R1711" s="385" t="str">
        <f>IFERROR(
    IF(
        OR(ISBLANK(N1711), AND(ISBLANK(L1711), ISBLANK(M1711))),
        "",
        MAX(
            1,
            IF(
                NETWORKDAYS(IF(NOT(ISBLANK(M1711)), M1711, L1711), N1711, Holiday_Dates) &lt;= 0,
                1,
                NETWORKDAYS(IF(NOT(ISBLANK(M1711)), M1711, L1711), N1711, Holiday_Dates)
                - IF(IF(NOT(ISBLANK(M1711)), M1711, L1711) = N1711, 0, 1)
            )
        )
    ),
    ""
)</f>
        <v/>
      </c>
      <c r="S1711" s="385" t="str">
        <f>IFERROR(
    IF(
        OR(ISBLANK(N1711), ISBLANK(O1711)),
        "",
        MAX(
            1,
            IF(
                NETWORKDAYS(N1711, O1711, Holiday_Dates) &lt;= 0,
                1,
                NETWORKDAYS(N1711, O1711, Holiday_Dates) - IF(N1711 = O1711, 0, 1)
            )
        )
    ),
    ""
)</f>
        <v/>
      </c>
      <c r="T1711" s="385"/>
      <c r="U1711" s="385"/>
      <c r="V1711" s="385"/>
      <c r="W1711" s="385" t="s">
        <v>4710</v>
      </c>
      <c r="X1711" s="1"/>
    </row>
    <row r="1712" spans="1:24">
      <c r="A1712" s="385" t="s">
        <v>51</v>
      </c>
      <c r="B1712" s="385" t="s">
        <v>1080</v>
      </c>
      <c r="C1712" s="385" t="s">
        <v>3533</v>
      </c>
      <c r="D1712" s="385" t="s">
        <v>88</v>
      </c>
      <c r="E1712" s="385" t="s">
        <v>142</v>
      </c>
      <c r="F1712" s="385"/>
      <c r="G1712" s="385" t="s">
        <v>239</v>
      </c>
      <c r="H1712" s="385"/>
      <c r="I1712" s="385"/>
      <c r="J1712" s="30"/>
      <c r="K1712" s="385" t="s">
        <v>64</v>
      </c>
      <c r="L1712" s="385"/>
      <c r="M1712" s="385"/>
      <c r="N1712" s="385"/>
      <c r="O1712" s="385"/>
      <c r="P1712" s="385" t="str">
        <f>IFERROR(
    IF(
        OR(ISBLANK(I1712), ISBLANK(L1712)),
        "",
        MAX(
            1,
            IF(
                NETWORKDAYS(I1712, L1712, Holiday_Dates) &lt;= 0,
                1,
                NETWORKDAYS(I1712, L1712, Holiday_Dates) - IF(I1712 = L1712, 0, 1)
            )
        )
    ),
    ""
)</f>
        <v/>
      </c>
      <c r="Q1712" s="385" t="str">
        <f>IF(
    OR(ISBLANK(L1712), ISBLANK(M1712)),
    "",
    MAX(
        1,
        IF(
            NETWORKDAYS(L1712, M1712, Holiday_Dates) &lt;= 0,
            1,
            NETWORKDAYS(L1712, M1712, Holiday_Dates) - IF(L1712 = M1712, 0, 1)
        )
    )
)</f>
        <v/>
      </c>
      <c r="R1712" s="385" t="str">
        <f>IFERROR(
    IF(
        OR(ISBLANK(N1712), AND(ISBLANK(L1712), ISBLANK(M1712))),
        "",
        MAX(
            1,
            IF(
                NETWORKDAYS(IF(NOT(ISBLANK(M1712)), M1712, L1712), N1712, Holiday_Dates) &lt;= 0,
                1,
                NETWORKDAYS(IF(NOT(ISBLANK(M1712)), M1712, L1712), N1712, Holiday_Dates)
                - IF(IF(NOT(ISBLANK(M1712)), M1712, L1712) = N1712, 0, 1)
            )
        )
    ),
    ""
)</f>
        <v/>
      </c>
      <c r="S1712" s="385" t="str">
        <f>IFERROR(
    IF(
        OR(ISBLANK(N1712), ISBLANK(O1712)),
        "",
        MAX(
            1,
            IF(
                NETWORKDAYS(N1712, O1712, Holiday_Dates) &lt;= 0,
                1,
                NETWORKDAYS(N1712, O1712, Holiday_Dates) - IF(N1712 = O1712, 0, 1)
            )
        )
    ),
    ""
)</f>
        <v/>
      </c>
      <c r="T1712" s="385"/>
      <c r="U1712" s="385"/>
      <c r="V1712" s="385"/>
      <c r="W1712" s="385" t="s">
        <v>4710</v>
      </c>
      <c r="X1712" s="1"/>
    </row>
    <row r="1713" spans="1:24">
      <c r="A1713" s="385" t="s">
        <v>65</v>
      </c>
      <c r="B1713" s="385" t="s">
        <v>446</v>
      </c>
      <c r="C1713" s="385" t="s">
        <v>985</v>
      </c>
      <c r="D1713" s="385" t="s">
        <v>88</v>
      </c>
      <c r="E1713" s="385"/>
      <c r="F1713" s="385"/>
      <c r="G1713" s="385"/>
      <c r="H1713" s="385">
        <v>2025</v>
      </c>
      <c r="I1713" s="386">
        <v>45693</v>
      </c>
      <c r="J1713" s="30" t="s">
        <v>5362</v>
      </c>
      <c r="K1713" s="385"/>
      <c r="L1713" s="385"/>
      <c r="M1713" s="385"/>
      <c r="N1713" s="385"/>
      <c r="O1713" s="385"/>
      <c r="P1713" s="385" t="str">
        <f>IFERROR(
    IF(
        OR(ISBLANK(I1713), ISBLANK(L1713)),
        "",
        MAX(
            1,
            IF(
                NETWORKDAYS(I1713, L1713, Holiday_Dates) &lt;= 0,
                1,
                NETWORKDAYS(I1713, L1713, Holiday_Dates) - IF(I1713 = L1713, 0, 1)
            )
        )
    ),
    ""
)</f>
        <v/>
      </c>
      <c r="Q1713" s="385" t="str">
        <f>IF(
    OR(ISBLANK(L1713), ISBLANK(M1713)),
    "",
    MAX(
        1,
        IF(
            NETWORKDAYS(L1713, M1713, Holiday_Dates) &lt;= 0,
            1,
            NETWORKDAYS(L1713, M1713, Holiday_Dates) - IF(L1713 = M1713, 0, 1)
        )
    )
)</f>
        <v/>
      </c>
      <c r="R1713" s="385" t="str">
        <f>IFERROR(
    IF(
        OR(ISBLANK(N1713), AND(ISBLANK(L1713), ISBLANK(M1713))),
        "",
        MAX(
            1,
            IF(
                NETWORKDAYS(IF(NOT(ISBLANK(M1713)), M1713, L1713), N1713, Holiday_Dates) &lt;= 0,
                1,
                NETWORKDAYS(IF(NOT(ISBLANK(M1713)), M1713, L1713), N1713, Holiday_Dates)
                - IF(IF(NOT(ISBLANK(M1713)), M1713, L1713) = N1713, 0, 1)
            )
        )
    ),
    ""
)</f>
        <v/>
      </c>
      <c r="S1713" s="385" t="str">
        <f>IFERROR(
    IF(
        OR(ISBLANK(N1713), ISBLANK(O1713)),
        "",
        MAX(
            1,
            IF(
                NETWORKDAYS(N1713, O1713, Holiday_Dates) &lt;= 0,
                1,
                NETWORKDAYS(N1713, O1713, Holiday_Dates) - IF(N1713 = O1713, 0, 1)
            )
        )
    ),
    ""
)</f>
        <v/>
      </c>
      <c r="T1713" s="385"/>
      <c r="U1713" s="385" t="s">
        <v>672</v>
      </c>
      <c r="V1713" s="385" t="s">
        <v>101</v>
      </c>
      <c r="W1713" s="385" t="s">
        <v>1436</v>
      </c>
      <c r="X1713" s="1"/>
    </row>
    <row r="1714" spans="1:24">
      <c r="A1714" s="385" t="s">
        <v>65</v>
      </c>
      <c r="B1714" s="385" t="s">
        <v>446</v>
      </c>
      <c r="C1714" s="385" t="s">
        <v>3397</v>
      </c>
      <c r="D1714" s="385" t="s">
        <v>88</v>
      </c>
      <c r="E1714" s="385"/>
      <c r="F1714" s="385"/>
      <c r="G1714" s="385"/>
      <c r="H1714" s="385">
        <v>2025</v>
      </c>
      <c r="I1714" s="386">
        <v>45790</v>
      </c>
      <c r="J1714" s="30" t="s">
        <v>5363</v>
      </c>
      <c r="K1714" s="386"/>
      <c r="L1714" s="386"/>
      <c r="M1714" s="386"/>
      <c r="N1714" s="386"/>
      <c r="O1714" s="386"/>
      <c r="P1714" s="385" t="str">
        <f>IFERROR(
    IF(
        OR(ISBLANK(I1714), ISBLANK(L1714)),
        "",
        MAX(
            1,
            IF(
                NETWORKDAYS(I1714, L1714, Holiday_Dates) &lt;= 0,
                1,
                NETWORKDAYS(I1714, L1714, Holiday_Dates) - IF(I1714 = L1714, 0, 1)
            )
        )
    ),
    ""
)</f>
        <v/>
      </c>
      <c r="Q1714" s="385" t="str">
        <f>IF(
    OR(ISBLANK(L1714), ISBLANK(M1714)),
    "",
    MAX(
        1,
        IF(
            NETWORKDAYS(L1714, M1714, Holiday_Dates) &lt;= 0,
            1,
            NETWORKDAYS(L1714, M1714, Holiday_Dates) - IF(L1714 = M1714, 0, 1)
        )
    )
)</f>
        <v/>
      </c>
      <c r="R1714" s="385" t="str">
        <f>IFERROR(
    IF(
        OR(ISBLANK(N1714), AND(ISBLANK(L1714), ISBLANK(M1714))),
        "",
        MAX(
            1,
            IF(
                NETWORKDAYS(IF(NOT(ISBLANK(M1714)), M1714, L1714), N1714, Holiday_Dates) &lt;= 0,
                1,
                NETWORKDAYS(IF(NOT(ISBLANK(M1714)), M1714, L1714), N1714, Holiday_Dates)
                - IF(IF(NOT(ISBLANK(M1714)), M1714, L1714) = N1714, 0, 1)
            )
        )
    ),
    ""
)</f>
        <v/>
      </c>
      <c r="S1714" s="385" t="str">
        <f>IFERROR(
    IF(
        OR(ISBLANK(N1714), ISBLANK(O1714)),
        "",
        MAX(
            1,
            IF(
                NETWORKDAYS(N1714, O1714, Holiday_Dates) &lt;= 0,
                1,
                NETWORKDAYS(N1714, O1714, Holiday_Dates) - IF(N1714 = O1714, 0, 1)
            )
        )
    ),
    ""
)</f>
        <v/>
      </c>
      <c r="T1714" s="385"/>
      <c r="U1714" s="385" t="s">
        <v>672</v>
      </c>
      <c r="V1714" s="385" t="s">
        <v>101</v>
      </c>
      <c r="W1714" s="385" t="s">
        <v>1436</v>
      </c>
      <c r="X1714" s="1"/>
    </row>
    <row r="1715" spans="1:24">
      <c r="A1715" s="385" t="s">
        <v>65</v>
      </c>
      <c r="B1715" s="385" t="s">
        <v>446</v>
      </c>
      <c r="C1715" s="385" t="s">
        <v>3398</v>
      </c>
      <c r="D1715" s="385" t="s">
        <v>88</v>
      </c>
      <c r="E1715" s="385"/>
      <c r="F1715" s="385"/>
      <c r="G1715" s="385"/>
      <c r="H1715" s="385">
        <v>2025</v>
      </c>
      <c r="I1715" s="386">
        <v>45769</v>
      </c>
      <c r="J1715" s="30" t="s">
        <v>5364</v>
      </c>
      <c r="K1715" s="385"/>
      <c r="L1715" s="385"/>
      <c r="M1715" s="385"/>
      <c r="N1715" s="385"/>
      <c r="O1715" s="385"/>
      <c r="P1715" s="385" t="str">
        <f>IFERROR(
    IF(
        OR(ISBLANK(I1715), ISBLANK(L1715)),
        "",
        MAX(
            1,
            IF(
                NETWORKDAYS(I1715, L1715, Holiday_Dates) &lt;= 0,
                1,
                NETWORKDAYS(I1715, L1715, Holiday_Dates) - IF(I1715 = L1715, 0, 1)
            )
        )
    ),
    ""
)</f>
        <v/>
      </c>
      <c r="Q1715" s="385" t="str">
        <f>IF(
    OR(ISBLANK(L1715), ISBLANK(M1715)),
    "",
    MAX(
        1,
        IF(
            NETWORKDAYS(L1715, M1715, Holiday_Dates) &lt;= 0,
            1,
            NETWORKDAYS(L1715, M1715, Holiday_Dates) - IF(L1715 = M1715, 0, 1)
        )
    )
)</f>
        <v/>
      </c>
      <c r="R1715" s="385" t="str">
        <f>IFERROR(
    IF(
        OR(ISBLANK(N1715), AND(ISBLANK(L1715), ISBLANK(M1715))),
        "",
        MAX(
            1,
            IF(
                NETWORKDAYS(IF(NOT(ISBLANK(M1715)), M1715, L1715), N1715, Holiday_Dates) &lt;= 0,
                1,
                NETWORKDAYS(IF(NOT(ISBLANK(M1715)), M1715, L1715), N1715, Holiday_Dates)
                - IF(IF(NOT(ISBLANK(M1715)), M1715, L1715) = N1715, 0, 1)
            )
        )
    ),
    ""
)</f>
        <v/>
      </c>
      <c r="S1715" s="385" t="str">
        <f>IFERROR(
    IF(
        OR(ISBLANK(N1715), ISBLANK(O1715)),
        "",
        MAX(
            1,
            IF(
                NETWORKDAYS(N1715, O1715, Holiday_Dates) &lt;= 0,
                1,
                NETWORKDAYS(N1715, O1715, Holiday_Dates) - IF(N1715 = O1715, 0, 1)
            )
        )
    ),
    ""
)</f>
        <v/>
      </c>
      <c r="T1715" s="385"/>
      <c r="U1715" s="385" t="s">
        <v>672</v>
      </c>
      <c r="V1715" s="385" t="s">
        <v>101</v>
      </c>
      <c r="W1715" s="385" t="s">
        <v>1436</v>
      </c>
      <c r="X1715" s="1"/>
    </row>
    <row r="1716" spans="1:24">
      <c r="A1716" s="385" t="s">
        <v>65</v>
      </c>
      <c r="B1716" s="385" t="s">
        <v>446</v>
      </c>
      <c r="C1716" s="385" t="s">
        <v>3399</v>
      </c>
      <c r="D1716" s="385" t="s">
        <v>88</v>
      </c>
      <c r="E1716" s="385"/>
      <c r="F1716" s="385"/>
      <c r="G1716" s="385"/>
      <c r="H1716" s="385">
        <v>2025</v>
      </c>
      <c r="I1716" s="386">
        <v>45884</v>
      </c>
      <c r="J1716" s="30" t="s">
        <v>5365</v>
      </c>
      <c r="K1716" s="385"/>
      <c r="L1716" s="385"/>
      <c r="M1716" s="385"/>
      <c r="N1716" s="385"/>
      <c r="O1716" s="385"/>
      <c r="P1716" s="385" t="str">
        <f>IFERROR(
    IF(
        OR(ISBLANK(I1716), ISBLANK(L1716)),
        "",
        MAX(
            1,
            IF(
                NETWORKDAYS(I1716, L1716, Holiday_Dates) &lt;= 0,
                1,
                NETWORKDAYS(I1716, L1716, Holiday_Dates) - IF(I1716 = L1716, 0, 1)
            )
        )
    ),
    ""
)</f>
        <v/>
      </c>
      <c r="Q1716" s="385" t="str">
        <f>IF(
    OR(ISBLANK(L1716), ISBLANK(M1716)),
    "",
    MAX(
        1,
        IF(
            NETWORKDAYS(L1716, M1716, Holiday_Dates) &lt;= 0,
            1,
            NETWORKDAYS(L1716, M1716, Holiday_Dates) - IF(L1716 = M1716, 0, 1)
        )
    )
)</f>
        <v/>
      </c>
      <c r="R1716" s="385" t="str">
        <f>IFERROR(
    IF(
        OR(ISBLANK(N1716), AND(ISBLANK(L1716), ISBLANK(M1716))),
        "",
        MAX(
            1,
            IF(
                NETWORKDAYS(IF(NOT(ISBLANK(M1716)), M1716, L1716), N1716, Holiday_Dates) &lt;= 0,
                1,
                NETWORKDAYS(IF(NOT(ISBLANK(M1716)), M1716, L1716), N1716, Holiday_Dates)
                - IF(IF(NOT(ISBLANK(M1716)), M1716, L1716) = N1716, 0, 1)
            )
        )
    ),
    ""
)</f>
        <v/>
      </c>
      <c r="S1716" s="385" t="str">
        <f>IFERROR(
    IF(
        OR(ISBLANK(N1716), ISBLANK(O1716)),
        "",
        MAX(
            1,
            IF(
                NETWORKDAYS(N1716, O1716, Holiday_Dates) &lt;= 0,
                1,
                NETWORKDAYS(N1716, O1716, Holiday_Dates) - IF(N1716 = O1716, 0, 1)
            )
        )
    ),
    ""
)</f>
        <v/>
      </c>
      <c r="T1716" s="385"/>
      <c r="U1716" s="385" t="s">
        <v>672</v>
      </c>
      <c r="V1716" s="385" t="s">
        <v>101</v>
      </c>
      <c r="W1716" s="385" t="s">
        <v>1436</v>
      </c>
      <c r="X1716" s="1"/>
    </row>
    <row r="1717" spans="1:24">
      <c r="A1717" s="385" t="s">
        <v>65</v>
      </c>
      <c r="B1717" s="385" t="s">
        <v>446</v>
      </c>
      <c r="C1717" s="385" t="s">
        <v>3400</v>
      </c>
      <c r="D1717" s="385" t="s">
        <v>88</v>
      </c>
      <c r="E1717" s="385"/>
      <c r="F1717" s="385"/>
      <c r="G1717" s="385"/>
      <c r="H1717" s="385">
        <v>2024</v>
      </c>
      <c r="I1717" s="386">
        <v>45617</v>
      </c>
      <c r="J1717" s="30"/>
      <c r="K1717" s="385"/>
      <c r="L1717" s="385"/>
      <c r="M1717" s="385"/>
      <c r="N1717" s="385"/>
      <c r="O1717" s="385"/>
      <c r="P1717" s="385" t="str">
        <f>IFERROR(
    IF(
        OR(ISBLANK(I1717), ISBLANK(L1717)),
        "",
        MAX(
            1,
            IF(
                NETWORKDAYS(I1717, L1717, Holiday_Dates) &lt;= 0,
                1,
                NETWORKDAYS(I1717, L1717, Holiday_Dates) - IF(I1717 = L1717, 0, 1)
            )
        )
    ),
    ""
)</f>
        <v/>
      </c>
      <c r="Q1717" s="385" t="str">
        <f>IF(
    OR(ISBLANK(L1717), ISBLANK(M1717)),
    "",
    MAX(
        1,
        IF(
            NETWORKDAYS(L1717, M1717, Holiday_Dates) &lt;= 0,
            1,
            NETWORKDAYS(L1717, M1717, Holiday_Dates) - IF(L1717 = M1717, 0, 1)
        )
    )
)</f>
        <v/>
      </c>
      <c r="R1717" s="385" t="str">
        <f>IFERROR(
    IF(
        OR(ISBLANK(N1717), AND(ISBLANK(L1717), ISBLANK(M1717))),
        "",
        MAX(
            1,
            IF(
                NETWORKDAYS(IF(NOT(ISBLANK(M1717)), M1717, L1717), N1717, Holiday_Dates) &lt;= 0,
                1,
                NETWORKDAYS(IF(NOT(ISBLANK(M1717)), M1717, L1717), N1717, Holiday_Dates)
                - IF(IF(NOT(ISBLANK(M1717)), M1717, L1717) = N1717, 0, 1)
            )
        )
    ),
    ""
)</f>
        <v/>
      </c>
      <c r="S1717" s="385" t="str">
        <f>IFERROR(
    IF(
        OR(ISBLANK(N1717), ISBLANK(O1717)),
        "",
        MAX(
            1,
            IF(
                NETWORKDAYS(N1717, O1717, Holiday_Dates) &lt;= 0,
                1,
                NETWORKDAYS(N1717, O1717, Holiday_Dates) - IF(N1717 = O1717, 0, 1)
            )
        )
    ),
    ""
)</f>
        <v/>
      </c>
      <c r="T1717" s="385"/>
      <c r="U1717" s="385" t="s">
        <v>4</v>
      </c>
      <c r="V1717" s="385" t="s">
        <v>101</v>
      </c>
      <c r="W1717" s="385" t="s">
        <v>1436</v>
      </c>
      <c r="X1717" s="1"/>
    </row>
    <row r="1718" spans="1:24">
      <c r="A1718" s="385" t="s">
        <v>51</v>
      </c>
      <c r="B1718" s="385" t="s">
        <v>1080</v>
      </c>
      <c r="C1718" s="385" t="s">
        <v>546</v>
      </c>
      <c r="D1718" s="385" t="s">
        <v>88</v>
      </c>
      <c r="E1718" s="385" t="s">
        <v>142</v>
      </c>
      <c r="F1718" s="385"/>
      <c r="G1718" s="385" t="s">
        <v>239</v>
      </c>
      <c r="H1718" s="385"/>
      <c r="I1718" s="385"/>
      <c r="J1718" s="30"/>
      <c r="K1718" s="385" t="s">
        <v>64</v>
      </c>
      <c r="L1718" s="385"/>
      <c r="M1718" s="385"/>
      <c r="N1718" s="385"/>
      <c r="O1718" s="385"/>
      <c r="P1718" s="385" t="str">
        <f>IFERROR(
    IF(
        OR(ISBLANK(I1718), ISBLANK(L1718)),
        "",
        MAX(
            1,
            IF(
                NETWORKDAYS(I1718, L1718, Holiday_Dates) &lt;= 0,
                1,
                NETWORKDAYS(I1718, L1718, Holiday_Dates) - IF(I1718 = L1718, 0, 1)
            )
        )
    ),
    ""
)</f>
        <v/>
      </c>
      <c r="Q1718" s="385" t="str">
        <f>IF(
    OR(ISBLANK(L1718), ISBLANK(M1718)),
    "",
    MAX(
        1,
        IF(
            NETWORKDAYS(L1718, M1718, Holiday_Dates) &lt;= 0,
            1,
            NETWORKDAYS(L1718, M1718, Holiday_Dates) - IF(L1718 = M1718, 0, 1)
        )
    )
)</f>
        <v/>
      </c>
      <c r="R1718" s="385" t="str">
        <f>IFERROR(
    IF(
        OR(ISBLANK(N1718), AND(ISBLANK(L1718), ISBLANK(M1718))),
        "",
        MAX(
            1,
            IF(
                NETWORKDAYS(IF(NOT(ISBLANK(M1718)), M1718, L1718), N1718, Holiday_Dates) &lt;= 0,
                1,
                NETWORKDAYS(IF(NOT(ISBLANK(M1718)), M1718, L1718), N1718, Holiday_Dates)
                - IF(IF(NOT(ISBLANK(M1718)), M1718, L1718) = N1718, 0, 1)
            )
        )
    ),
    ""
)</f>
        <v/>
      </c>
      <c r="S1718" s="385" t="str">
        <f>IFERROR(
    IF(
        OR(ISBLANK(N1718), ISBLANK(O1718)),
        "",
        MAX(
            1,
            IF(
                NETWORKDAYS(N1718, O1718, Holiday_Dates) &lt;= 0,
                1,
                NETWORKDAYS(N1718, O1718, Holiday_Dates) - IF(N1718 = O1718, 0, 1)
            )
        )
    ),
    ""
)</f>
        <v/>
      </c>
      <c r="T1718" s="385"/>
      <c r="U1718" s="385"/>
      <c r="V1718" s="385"/>
      <c r="W1718" s="385" t="s">
        <v>4710</v>
      </c>
      <c r="X1718" s="1"/>
    </row>
    <row r="1719" spans="1:24">
      <c r="A1719" s="385" t="s">
        <v>51</v>
      </c>
      <c r="B1719" s="385" t="s">
        <v>1080</v>
      </c>
      <c r="C1719" s="385" t="s">
        <v>3706</v>
      </c>
      <c r="D1719" s="385" t="s">
        <v>88</v>
      </c>
      <c r="E1719" s="385" t="s">
        <v>142</v>
      </c>
      <c r="F1719" s="385"/>
      <c r="G1719" s="385" t="s">
        <v>239</v>
      </c>
      <c r="H1719" s="385"/>
      <c r="I1719" s="385"/>
      <c r="J1719" s="30"/>
      <c r="K1719" s="385" t="s">
        <v>64</v>
      </c>
      <c r="L1719" s="385"/>
      <c r="M1719" s="385"/>
      <c r="N1719" s="385"/>
      <c r="O1719" s="385"/>
      <c r="P1719" s="385" t="str">
        <f>IFERROR(
    IF(
        OR(ISBLANK(I1719), ISBLANK(L1719)),
        "",
        MAX(
            1,
            IF(
                NETWORKDAYS(I1719, L1719, Holiday_Dates) &lt;= 0,
                1,
                NETWORKDAYS(I1719, L1719, Holiday_Dates) - IF(I1719 = L1719, 0, 1)
            )
        )
    ),
    ""
)</f>
        <v/>
      </c>
      <c r="Q1719" s="385" t="str">
        <f>IF(
    OR(ISBLANK(L1719), ISBLANK(M1719)),
    "",
    MAX(
        1,
        IF(
            NETWORKDAYS(L1719, M1719, Holiday_Dates) &lt;= 0,
            1,
            NETWORKDAYS(L1719, M1719, Holiday_Dates) - IF(L1719 = M1719, 0, 1)
        )
    )
)</f>
        <v/>
      </c>
      <c r="R1719" s="385" t="str">
        <f>IFERROR(
    IF(
        OR(ISBLANK(N1719), AND(ISBLANK(L1719), ISBLANK(M1719))),
        "",
        MAX(
            1,
            IF(
                NETWORKDAYS(IF(NOT(ISBLANK(M1719)), M1719, L1719), N1719, Holiday_Dates) &lt;= 0,
                1,
                NETWORKDAYS(IF(NOT(ISBLANK(M1719)), M1719, L1719), N1719, Holiday_Dates)
                - IF(IF(NOT(ISBLANK(M1719)), M1719, L1719) = N1719, 0, 1)
            )
        )
    ),
    ""
)</f>
        <v/>
      </c>
      <c r="S1719" s="385" t="str">
        <f>IFERROR(
    IF(
        OR(ISBLANK(N1719), ISBLANK(O1719)),
        "",
        MAX(
            1,
            IF(
                NETWORKDAYS(N1719, O1719, Holiday_Dates) &lt;= 0,
                1,
                NETWORKDAYS(N1719, O1719, Holiday_Dates) - IF(N1719 = O1719, 0, 1)
            )
        )
    ),
    ""
)</f>
        <v/>
      </c>
      <c r="T1719" s="385"/>
      <c r="U1719" s="385"/>
      <c r="V1719" s="385"/>
      <c r="W1719" s="385" t="s">
        <v>4710</v>
      </c>
      <c r="X1719" s="1"/>
    </row>
    <row r="1720" spans="1:24">
      <c r="A1720" s="385" t="s">
        <v>65</v>
      </c>
      <c r="B1720" s="385" t="s">
        <v>446</v>
      </c>
      <c r="C1720" s="385" t="s">
        <v>3403</v>
      </c>
      <c r="D1720" s="385" t="s">
        <v>88</v>
      </c>
      <c r="E1720" s="385"/>
      <c r="F1720" s="385"/>
      <c r="G1720" s="385"/>
      <c r="H1720" s="385">
        <v>2025</v>
      </c>
      <c r="I1720" s="386">
        <v>45672</v>
      </c>
      <c r="J1720" s="30" t="s">
        <v>5366</v>
      </c>
      <c r="K1720" s="385"/>
      <c r="L1720" s="385"/>
      <c r="M1720" s="385"/>
      <c r="N1720" s="385"/>
      <c r="O1720" s="385"/>
      <c r="P1720" s="385" t="str">
        <f>IFERROR(
    IF(
        OR(ISBLANK(I1720), ISBLANK(L1720)),
        "",
        MAX(
            1,
            IF(
                NETWORKDAYS(I1720, L1720, Holiday_Dates) &lt;= 0,
                1,
                NETWORKDAYS(I1720, L1720, Holiday_Dates) - IF(I1720 = L1720, 0, 1)
            )
        )
    ),
    ""
)</f>
        <v/>
      </c>
      <c r="Q1720" s="385" t="str">
        <f>IF(
    OR(ISBLANK(L1720), ISBLANK(M1720)),
    "",
    MAX(
        1,
        IF(
            NETWORKDAYS(L1720, M1720, Holiday_Dates) &lt;= 0,
            1,
            NETWORKDAYS(L1720, M1720, Holiday_Dates) - IF(L1720 = M1720, 0, 1)
        )
    )
)</f>
        <v/>
      </c>
      <c r="R1720" s="385" t="str">
        <f>IFERROR(
    IF(
        OR(ISBLANK(N1720), AND(ISBLANK(L1720), ISBLANK(M1720))),
        "",
        MAX(
            1,
            IF(
                NETWORKDAYS(IF(NOT(ISBLANK(M1720)), M1720, L1720), N1720, Holiday_Dates) &lt;= 0,
                1,
                NETWORKDAYS(IF(NOT(ISBLANK(M1720)), M1720, L1720), N1720, Holiday_Dates)
                - IF(IF(NOT(ISBLANK(M1720)), M1720, L1720) = N1720, 0, 1)
            )
        )
    ),
    ""
)</f>
        <v/>
      </c>
      <c r="S1720" s="385" t="str">
        <f>IFERROR(
    IF(
        OR(ISBLANK(N1720), ISBLANK(O1720)),
        "",
        MAX(
            1,
            IF(
                NETWORKDAYS(N1720, O1720, Holiday_Dates) &lt;= 0,
                1,
                NETWORKDAYS(N1720, O1720, Holiday_Dates) - IF(N1720 = O1720, 0, 1)
            )
        )
    ),
    ""
)</f>
        <v/>
      </c>
      <c r="T1720" s="385"/>
      <c r="U1720" s="385" t="s">
        <v>672</v>
      </c>
      <c r="V1720" s="385" t="s">
        <v>101</v>
      </c>
      <c r="W1720" s="385" t="s">
        <v>1436</v>
      </c>
      <c r="X1720" s="1"/>
    </row>
    <row r="1721" spans="1:24">
      <c r="A1721" s="385" t="s">
        <v>51</v>
      </c>
      <c r="B1721" s="385" t="s">
        <v>1080</v>
      </c>
      <c r="C1721" s="385" t="s">
        <v>3039</v>
      </c>
      <c r="D1721" s="385" t="s">
        <v>88</v>
      </c>
      <c r="E1721" s="385" t="s">
        <v>142</v>
      </c>
      <c r="F1721" s="385"/>
      <c r="G1721" s="385" t="s">
        <v>239</v>
      </c>
      <c r="H1721" s="385"/>
      <c r="I1721" s="385"/>
      <c r="J1721" s="30"/>
      <c r="K1721" s="385" t="s">
        <v>64</v>
      </c>
      <c r="L1721" s="385"/>
      <c r="M1721" s="385"/>
      <c r="N1721" s="385"/>
      <c r="O1721" s="385"/>
      <c r="P1721" s="385" t="str">
        <f>IFERROR(
    IF(
        OR(ISBLANK(I1721), ISBLANK(L1721)),
        "",
        MAX(
            1,
            IF(
                NETWORKDAYS(I1721, L1721, Holiday_Dates) &lt;= 0,
                1,
                NETWORKDAYS(I1721, L1721, Holiday_Dates) - IF(I1721 = L1721, 0, 1)
            )
        )
    ),
    ""
)</f>
        <v/>
      </c>
      <c r="Q1721" s="385" t="str">
        <f>IF(
    OR(ISBLANK(L1721), ISBLANK(M1721)),
    "",
    MAX(
        1,
        IF(
            NETWORKDAYS(L1721, M1721, Holiday_Dates) &lt;= 0,
            1,
            NETWORKDAYS(L1721, M1721, Holiday_Dates) - IF(L1721 = M1721, 0, 1)
        )
    )
)</f>
        <v/>
      </c>
      <c r="R1721" s="385" t="str">
        <f>IFERROR(
    IF(
        OR(ISBLANK(N1721), AND(ISBLANK(L1721), ISBLANK(M1721))),
        "",
        MAX(
            1,
            IF(
                NETWORKDAYS(IF(NOT(ISBLANK(M1721)), M1721, L1721), N1721, Holiday_Dates) &lt;= 0,
                1,
                NETWORKDAYS(IF(NOT(ISBLANK(M1721)), M1721, L1721), N1721, Holiday_Dates)
                - IF(IF(NOT(ISBLANK(M1721)), M1721, L1721) = N1721, 0, 1)
            )
        )
    ),
    ""
)</f>
        <v/>
      </c>
      <c r="S1721" s="385" t="str">
        <f>IFERROR(
    IF(
        OR(ISBLANK(N1721), ISBLANK(O1721)),
        "",
        MAX(
            1,
            IF(
                NETWORKDAYS(N1721, O1721, Holiday_Dates) &lt;= 0,
                1,
                NETWORKDAYS(N1721, O1721, Holiday_Dates) - IF(N1721 = O1721, 0, 1)
            )
        )
    ),
    ""
)</f>
        <v/>
      </c>
      <c r="T1721" s="385"/>
      <c r="U1721" s="385"/>
      <c r="V1721" s="385"/>
      <c r="W1721" s="385" t="s">
        <v>4710</v>
      </c>
      <c r="X1721" s="1"/>
    </row>
    <row r="1722" spans="1:24">
      <c r="A1722" s="385" t="s">
        <v>65</v>
      </c>
      <c r="B1722" s="385" t="s">
        <v>446</v>
      </c>
      <c r="C1722" s="385" t="s">
        <v>2702</v>
      </c>
      <c r="D1722" s="385" t="s">
        <v>88</v>
      </c>
      <c r="E1722" s="385"/>
      <c r="F1722" s="385"/>
      <c r="G1722" s="385"/>
      <c r="H1722" s="385">
        <v>2025</v>
      </c>
      <c r="I1722" s="386">
        <v>45687</v>
      </c>
      <c r="J1722" s="30" t="s">
        <v>5367</v>
      </c>
      <c r="K1722" s="385"/>
      <c r="L1722" s="385"/>
      <c r="M1722" s="385"/>
      <c r="N1722" s="385"/>
      <c r="O1722" s="385"/>
      <c r="P1722" s="385" t="str">
        <f>IFERROR(
    IF(
        OR(ISBLANK(I1722), ISBLANK(L1722)),
        "",
        MAX(
            1,
            IF(
                NETWORKDAYS(I1722, L1722, Holiday_Dates) &lt;= 0,
                1,
                NETWORKDAYS(I1722, L1722, Holiday_Dates) - IF(I1722 = L1722, 0, 1)
            )
        )
    ),
    ""
)</f>
        <v/>
      </c>
      <c r="Q1722" s="385" t="str">
        <f>IF(
    OR(ISBLANK(L1722), ISBLANK(M1722)),
    "",
    MAX(
        1,
        IF(
            NETWORKDAYS(L1722, M1722, Holiday_Dates) &lt;= 0,
            1,
            NETWORKDAYS(L1722, M1722, Holiday_Dates) - IF(L1722 = M1722, 0, 1)
        )
    )
)</f>
        <v/>
      </c>
      <c r="R1722" s="385" t="str">
        <f>IFERROR(
    IF(
        OR(ISBLANK(N1722), AND(ISBLANK(L1722), ISBLANK(M1722))),
        "",
        MAX(
            1,
            IF(
                NETWORKDAYS(IF(NOT(ISBLANK(M1722)), M1722, L1722), N1722, Holiday_Dates) &lt;= 0,
                1,
                NETWORKDAYS(IF(NOT(ISBLANK(M1722)), M1722, L1722), N1722, Holiday_Dates)
                - IF(IF(NOT(ISBLANK(M1722)), M1722, L1722) = N1722, 0, 1)
            )
        )
    ),
    ""
)</f>
        <v/>
      </c>
      <c r="S1722" s="385" t="str">
        <f>IFERROR(
    IF(
        OR(ISBLANK(N1722), ISBLANK(O1722)),
        "",
        MAX(
            1,
            IF(
                NETWORKDAYS(N1722, O1722, Holiday_Dates) &lt;= 0,
                1,
                NETWORKDAYS(N1722, O1722, Holiday_Dates) - IF(N1722 = O1722, 0, 1)
            )
        )
    ),
    ""
)</f>
        <v/>
      </c>
      <c r="T1722" s="385"/>
      <c r="U1722" s="385" t="s">
        <v>672</v>
      </c>
      <c r="V1722" s="385" t="s">
        <v>101</v>
      </c>
      <c r="W1722" s="385" t="s">
        <v>1436</v>
      </c>
      <c r="X1722" s="1"/>
    </row>
    <row r="1723" spans="1:24">
      <c r="A1723" s="385" t="s">
        <v>51</v>
      </c>
      <c r="B1723" s="385" t="s">
        <v>1080</v>
      </c>
      <c r="C1723" s="385" t="s">
        <v>3588</v>
      </c>
      <c r="D1723" s="385" t="s">
        <v>88</v>
      </c>
      <c r="E1723" s="385" t="s">
        <v>142</v>
      </c>
      <c r="F1723" s="385"/>
      <c r="G1723" s="385" t="s">
        <v>239</v>
      </c>
      <c r="H1723" s="385"/>
      <c r="I1723" s="385"/>
      <c r="J1723" s="30"/>
      <c r="K1723" s="385" t="s">
        <v>64</v>
      </c>
      <c r="L1723" s="385"/>
      <c r="M1723" s="385"/>
      <c r="N1723" s="385"/>
      <c r="O1723" s="385"/>
      <c r="P1723" s="385" t="str">
        <f>IFERROR(
    IF(
        OR(ISBLANK(I1723), ISBLANK(L1723)),
        "",
        MAX(
            1,
            IF(
                NETWORKDAYS(I1723, L1723, Holiday_Dates) &lt;= 0,
                1,
                NETWORKDAYS(I1723, L1723, Holiday_Dates) - IF(I1723 = L1723, 0, 1)
            )
        )
    ),
    ""
)</f>
        <v/>
      </c>
      <c r="Q1723" s="385" t="str">
        <f>IF(
    OR(ISBLANK(L1723), ISBLANK(M1723)),
    "",
    MAX(
        1,
        IF(
            NETWORKDAYS(L1723, M1723, Holiday_Dates) &lt;= 0,
            1,
            NETWORKDAYS(L1723, M1723, Holiday_Dates) - IF(L1723 = M1723, 0, 1)
        )
    )
)</f>
        <v/>
      </c>
      <c r="R1723" s="385" t="str">
        <f>IFERROR(
    IF(
        OR(ISBLANK(N1723), AND(ISBLANK(L1723), ISBLANK(M1723))),
        "",
        MAX(
            1,
            IF(
                NETWORKDAYS(IF(NOT(ISBLANK(M1723)), M1723, L1723), N1723, Holiday_Dates) &lt;= 0,
                1,
                NETWORKDAYS(IF(NOT(ISBLANK(M1723)), M1723, L1723), N1723, Holiday_Dates)
                - IF(IF(NOT(ISBLANK(M1723)), M1723, L1723) = N1723, 0, 1)
            )
        )
    ),
    ""
)</f>
        <v/>
      </c>
      <c r="S1723" s="385" t="str">
        <f>IFERROR(
    IF(
        OR(ISBLANK(N1723), ISBLANK(O1723)),
        "",
        MAX(
            1,
            IF(
                NETWORKDAYS(N1723, O1723, Holiday_Dates) &lt;= 0,
                1,
                NETWORKDAYS(N1723, O1723, Holiday_Dates) - IF(N1723 = O1723, 0, 1)
            )
        )
    ),
    ""
)</f>
        <v/>
      </c>
      <c r="T1723" s="385"/>
      <c r="U1723" s="385"/>
      <c r="V1723" s="385"/>
      <c r="W1723" s="385" t="s">
        <v>4710</v>
      </c>
      <c r="X1723" s="1"/>
    </row>
    <row r="1724" spans="1:24">
      <c r="A1724" s="385" t="s">
        <v>51</v>
      </c>
      <c r="B1724" s="385" t="s">
        <v>537</v>
      </c>
      <c r="C1724" s="385" t="s">
        <v>790</v>
      </c>
      <c r="D1724" s="385" t="s">
        <v>88</v>
      </c>
      <c r="E1724" s="385" t="s">
        <v>32</v>
      </c>
      <c r="F1724" s="385"/>
      <c r="G1724" s="385" t="s">
        <v>133</v>
      </c>
      <c r="H1724" s="385"/>
      <c r="I1724" s="385"/>
      <c r="J1724" s="30"/>
      <c r="K1724" s="385" t="s">
        <v>64</v>
      </c>
      <c r="L1724" s="385"/>
      <c r="M1724" s="385"/>
      <c r="N1724" s="385"/>
      <c r="O1724" s="385"/>
      <c r="P1724" s="385" t="str">
        <f>IFERROR(
    IF(
        OR(ISBLANK(I1724), ISBLANK(L1724)),
        "",
        MAX(
            1,
            IF(
                NETWORKDAYS(I1724, L1724, Holiday_Dates) &lt;= 0,
                1,
                NETWORKDAYS(I1724, L1724, Holiday_Dates) - IF(I1724 = L1724, 0, 1)
            )
        )
    ),
    ""
)</f>
        <v/>
      </c>
      <c r="Q1724" s="385" t="str">
        <f>IF(
    OR(ISBLANK(L1724), ISBLANK(M1724)),
    "",
    MAX(
        1,
        IF(
            NETWORKDAYS(L1724, M1724, Holiday_Dates) &lt;= 0,
            1,
            NETWORKDAYS(L1724, M1724, Holiday_Dates) - IF(L1724 = M1724, 0, 1)
        )
    )
)</f>
        <v/>
      </c>
      <c r="R1724" s="385" t="str">
        <f>IFERROR(
    IF(
        OR(ISBLANK(N1724), AND(ISBLANK(L1724), ISBLANK(M1724))),
        "",
        MAX(
            1,
            IF(
                NETWORKDAYS(IF(NOT(ISBLANK(M1724)), M1724, L1724), N1724, Holiday_Dates) &lt;= 0,
                1,
                NETWORKDAYS(IF(NOT(ISBLANK(M1724)), M1724, L1724), N1724, Holiday_Dates)
                - IF(IF(NOT(ISBLANK(M1724)), M1724, L1724) = N1724, 0, 1)
            )
        )
    ),
    ""
)</f>
        <v/>
      </c>
      <c r="S1724" s="385" t="str">
        <f>IFERROR(
    IF(
        OR(ISBLANK(N1724), ISBLANK(O1724)),
        "",
        MAX(
            1,
            IF(
                NETWORKDAYS(N1724, O1724, Holiday_Dates) &lt;= 0,
                1,
                NETWORKDAYS(N1724, O1724, Holiday_Dates) - IF(N1724 = O1724, 0, 1)
            )
        )
    ),
    ""
)</f>
        <v/>
      </c>
      <c r="T1724" s="385"/>
      <c r="U1724" s="385"/>
      <c r="V1724" s="385"/>
      <c r="W1724" s="385" t="s">
        <v>4710</v>
      </c>
      <c r="X1724" s="1"/>
    </row>
    <row r="1725" spans="1:24">
      <c r="A1725" s="385" t="s">
        <v>51</v>
      </c>
      <c r="B1725" s="385" t="s">
        <v>537</v>
      </c>
      <c r="C1725" s="385" t="s">
        <v>3776</v>
      </c>
      <c r="D1725" s="385" t="s">
        <v>88</v>
      </c>
      <c r="E1725" s="385" t="s">
        <v>32</v>
      </c>
      <c r="F1725" s="385"/>
      <c r="G1725" s="385" t="s">
        <v>133</v>
      </c>
      <c r="H1725" s="385"/>
      <c r="I1725" s="385"/>
      <c r="J1725" s="30"/>
      <c r="K1725" s="385" t="s">
        <v>64</v>
      </c>
      <c r="L1725" s="385"/>
      <c r="M1725" s="385"/>
      <c r="N1725" s="385"/>
      <c r="O1725" s="385"/>
      <c r="P1725" s="385" t="str">
        <f>IFERROR(
    IF(
        OR(ISBLANK(I1725), ISBLANK(L1725)),
        "",
        MAX(
            1,
            IF(
                NETWORKDAYS(I1725, L1725, Holiday_Dates) &lt;= 0,
                1,
                NETWORKDAYS(I1725, L1725, Holiday_Dates) - IF(I1725 = L1725, 0, 1)
            )
        )
    ),
    ""
)</f>
        <v/>
      </c>
      <c r="Q1725" s="385" t="str">
        <f>IF(
    OR(ISBLANK(L1725), ISBLANK(M1725)),
    "",
    MAX(
        1,
        IF(
            NETWORKDAYS(L1725, M1725, Holiday_Dates) &lt;= 0,
            1,
            NETWORKDAYS(L1725, M1725, Holiday_Dates) - IF(L1725 = M1725, 0, 1)
        )
    )
)</f>
        <v/>
      </c>
      <c r="R1725" s="385" t="str">
        <f>IFERROR(
    IF(
        OR(ISBLANK(N1725), AND(ISBLANK(L1725), ISBLANK(M1725))),
        "",
        MAX(
            1,
            IF(
                NETWORKDAYS(IF(NOT(ISBLANK(M1725)), M1725, L1725), N1725, Holiday_Dates) &lt;= 0,
                1,
                NETWORKDAYS(IF(NOT(ISBLANK(M1725)), M1725, L1725), N1725, Holiday_Dates)
                - IF(IF(NOT(ISBLANK(M1725)), M1725, L1725) = N1725, 0, 1)
            )
        )
    ),
    ""
)</f>
        <v/>
      </c>
      <c r="S1725" s="385" t="str">
        <f>IFERROR(
    IF(
        OR(ISBLANK(N1725), ISBLANK(O1725)),
        "",
        MAX(
            1,
            IF(
                NETWORKDAYS(N1725, O1725, Holiday_Dates) &lt;= 0,
                1,
                NETWORKDAYS(N1725, O1725, Holiday_Dates) - IF(N1725 = O1725, 0, 1)
            )
        )
    ),
    ""
)</f>
        <v/>
      </c>
      <c r="T1725" s="385"/>
      <c r="U1725" s="385"/>
      <c r="V1725" s="385"/>
      <c r="W1725" s="385" t="s">
        <v>4710</v>
      </c>
      <c r="X1725" s="1"/>
    </row>
    <row r="1726" spans="1:24">
      <c r="A1726" s="385" t="s">
        <v>65</v>
      </c>
      <c r="B1726" s="385" t="s">
        <v>446</v>
      </c>
      <c r="C1726" s="385" t="s">
        <v>3406</v>
      </c>
      <c r="D1726" s="385" t="s">
        <v>88</v>
      </c>
      <c r="E1726" s="385"/>
      <c r="F1726" s="385"/>
      <c r="G1726" s="385"/>
      <c r="H1726" s="385">
        <v>2024</v>
      </c>
      <c r="I1726" s="386">
        <v>45519</v>
      </c>
      <c r="J1726" s="30"/>
      <c r="K1726" s="385"/>
      <c r="L1726" s="385"/>
      <c r="M1726" s="385"/>
      <c r="N1726" s="385"/>
      <c r="O1726" s="385"/>
      <c r="P1726" s="385" t="str">
        <f>IFERROR(
    IF(
        OR(ISBLANK(I1726), ISBLANK(L1726)),
        "",
        MAX(
            1,
            IF(
                NETWORKDAYS(I1726, L1726, Holiday_Dates) &lt;= 0,
                1,
                NETWORKDAYS(I1726, L1726, Holiday_Dates) - IF(I1726 = L1726, 0, 1)
            )
        )
    ),
    ""
)</f>
        <v/>
      </c>
      <c r="Q1726" s="385" t="str">
        <f>IF(
    OR(ISBLANK(L1726), ISBLANK(M1726)),
    "",
    MAX(
        1,
        IF(
            NETWORKDAYS(L1726, M1726, Holiday_Dates) &lt;= 0,
            1,
            NETWORKDAYS(L1726, M1726, Holiday_Dates) - IF(L1726 = M1726, 0, 1)
        )
    )
)</f>
        <v/>
      </c>
      <c r="R1726" s="385" t="str">
        <f>IFERROR(
    IF(
        OR(ISBLANK(N1726), AND(ISBLANK(L1726), ISBLANK(M1726))),
        "",
        MAX(
            1,
            IF(
                NETWORKDAYS(IF(NOT(ISBLANK(M1726)), M1726, L1726), N1726, Holiday_Dates) &lt;= 0,
                1,
                NETWORKDAYS(IF(NOT(ISBLANK(M1726)), M1726, L1726), N1726, Holiday_Dates)
                - IF(IF(NOT(ISBLANK(M1726)), M1726, L1726) = N1726, 0, 1)
            )
        )
    ),
    ""
)</f>
        <v/>
      </c>
      <c r="S1726" s="385" t="str">
        <f>IFERROR(
    IF(
        OR(ISBLANK(N1726), ISBLANK(O1726)),
        "",
        MAX(
            1,
            IF(
                NETWORKDAYS(N1726, O1726, Holiday_Dates) &lt;= 0,
                1,
                NETWORKDAYS(N1726, O1726, Holiday_Dates) - IF(N1726 = O1726, 0, 1)
            )
        )
    ),
    ""
)</f>
        <v/>
      </c>
      <c r="T1726" s="385"/>
      <c r="U1726" s="385" t="s">
        <v>4</v>
      </c>
      <c r="V1726" s="385" t="s">
        <v>101</v>
      </c>
      <c r="W1726" s="385" t="s">
        <v>1436</v>
      </c>
      <c r="X1726" s="1"/>
    </row>
    <row r="1727" spans="1:24">
      <c r="A1727" s="385" t="s">
        <v>65</v>
      </c>
      <c r="B1727" s="385" t="s">
        <v>446</v>
      </c>
      <c r="C1727" s="385" t="s">
        <v>3408</v>
      </c>
      <c r="D1727" s="385" t="s">
        <v>88</v>
      </c>
      <c r="E1727" s="385"/>
      <c r="F1727" s="385"/>
      <c r="G1727" s="385"/>
      <c r="H1727" s="385">
        <v>2025</v>
      </c>
      <c r="I1727" s="386">
        <v>45687</v>
      </c>
      <c r="J1727" s="30" t="s">
        <v>5368</v>
      </c>
      <c r="K1727" s="385"/>
      <c r="L1727" s="385"/>
      <c r="M1727" s="385"/>
      <c r="N1727" s="385"/>
      <c r="O1727" s="385"/>
      <c r="P1727" s="385" t="str">
        <f>IFERROR(
    IF(
        OR(ISBLANK(I1727), ISBLANK(L1727)),
        "",
        MAX(
            1,
            IF(
                NETWORKDAYS(I1727, L1727, Holiday_Dates) &lt;= 0,
                1,
                NETWORKDAYS(I1727, L1727, Holiday_Dates) - IF(I1727 = L1727, 0, 1)
            )
        )
    ),
    ""
)</f>
        <v/>
      </c>
      <c r="Q1727" s="385" t="str">
        <f>IF(
    OR(ISBLANK(L1727), ISBLANK(M1727)),
    "",
    MAX(
        1,
        IF(
            NETWORKDAYS(L1727, M1727, Holiday_Dates) &lt;= 0,
            1,
            NETWORKDAYS(L1727, M1727, Holiday_Dates) - IF(L1727 = M1727, 0, 1)
        )
    )
)</f>
        <v/>
      </c>
      <c r="R1727" s="385" t="str">
        <f>IFERROR(
    IF(
        OR(ISBLANK(N1727), AND(ISBLANK(L1727), ISBLANK(M1727))),
        "",
        MAX(
            1,
            IF(
                NETWORKDAYS(IF(NOT(ISBLANK(M1727)), M1727, L1727), N1727, Holiday_Dates) &lt;= 0,
                1,
                NETWORKDAYS(IF(NOT(ISBLANK(M1727)), M1727, L1727), N1727, Holiday_Dates)
                - IF(IF(NOT(ISBLANK(M1727)), M1727, L1727) = N1727, 0, 1)
            )
        )
    ),
    ""
)</f>
        <v/>
      </c>
      <c r="S1727" s="385" t="str">
        <f>IFERROR(
    IF(
        OR(ISBLANK(N1727), ISBLANK(O1727)),
        "",
        MAX(
            1,
            IF(
                NETWORKDAYS(N1727, O1727, Holiday_Dates) &lt;= 0,
                1,
                NETWORKDAYS(N1727, O1727, Holiday_Dates) - IF(N1727 = O1727, 0, 1)
            )
        )
    ),
    ""
)</f>
        <v/>
      </c>
      <c r="T1727" s="385"/>
      <c r="U1727" s="385" t="s">
        <v>672</v>
      </c>
      <c r="V1727" s="385" t="s">
        <v>101</v>
      </c>
      <c r="W1727" s="385" t="s">
        <v>1436</v>
      </c>
      <c r="X1727" s="1"/>
    </row>
    <row r="1728" spans="1:24">
      <c r="A1728" s="385" t="s">
        <v>51</v>
      </c>
      <c r="B1728" s="385" t="s">
        <v>537</v>
      </c>
      <c r="C1728" s="385" t="s">
        <v>378</v>
      </c>
      <c r="D1728" s="385" t="s">
        <v>88</v>
      </c>
      <c r="E1728" s="385" t="s">
        <v>32</v>
      </c>
      <c r="F1728" s="385"/>
      <c r="G1728" s="385" t="s">
        <v>133</v>
      </c>
      <c r="H1728" s="385"/>
      <c r="I1728" s="385"/>
      <c r="J1728" s="30"/>
      <c r="K1728" s="385" t="s">
        <v>64</v>
      </c>
      <c r="L1728" s="385"/>
      <c r="M1728" s="385"/>
      <c r="N1728" s="385"/>
      <c r="O1728" s="385"/>
      <c r="P1728" s="385" t="str">
        <f>IFERROR(
    IF(
        OR(ISBLANK(I1728), ISBLANK(L1728)),
        "",
        MAX(
            1,
            IF(
                NETWORKDAYS(I1728, L1728, Holiday_Dates) &lt;= 0,
                1,
                NETWORKDAYS(I1728, L1728, Holiday_Dates) - IF(I1728 = L1728, 0, 1)
            )
        )
    ),
    ""
)</f>
        <v/>
      </c>
      <c r="Q1728" s="385" t="str">
        <f>IF(
    OR(ISBLANK(L1728), ISBLANK(M1728)),
    "",
    MAX(
        1,
        IF(
            NETWORKDAYS(L1728, M1728, Holiday_Dates) &lt;= 0,
            1,
            NETWORKDAYS(L1728, M1728, Holiday_Dates) - IF(L1728 = M1728, 0, 1)
        )
    )
)</f>
        <v/>
      </c>
      <c r="R1728" s="385" t="str">
        <f>IFERROR(
    IF(
        OR(ISBLANK(N1728), AND(ISBLANK(L1728), ISBLANK(M1728))),
        "",
        MAX(
            1,
            IF(
                NETWORKDAYS(IF(NOT(ISBLANK(M1728)), M1728, L1728), N1728, Holiday_Dates) &lt;= 0,
                1,
                NETWORKDAYS(IF(NOT(ISBLANK(M1728)), M1728, L1728), N1728, Holiday_Dates)
                - IF(IF(NOT(ISBLANK(M1728)), M1728, L1728) = N1728, 0, 1)
            )
        )
    ),
    ""
)</f>
        <v/>
      </c>
      <c r="S1728" s="385" t="str">
        <f>IFERROR(
    IF(
        OR(ISBLANK(N1728), ISBLANK(O1728)),
        "",
        MAX(
            1,
            IF(
                NETWORKDAYS(N1728, O1728, Holiday_Dates) &lt;= 0,
                1,
                NETWORKDAYS(N1728, O1728, Holiday_Dates) - IF(N1728 = O1728, 0, 1)
            )
        )
    ),
    ""
)</f>
        <v/>
      </c>
      <c r="T1728" s="385"/>
      <c r="U1728" s="385"/>
      <c r="V1728" s="385"/>
      <c r="W1728" s="385" t="s">
        <v>4710</v>
      </c>
      <c r="X1728" s="1"/>
    </row>
    <row r="1729" spans="1:24">
      <c r="A1729" s="385" t="s">
        <v>51</v>
      </c>
      <c r="B1729" s="385" t="s">
        <v>537</v>
      </c>
      <c r="C1729" s="385" t="s">
        <v>2234</v>
      </c>
      <c r="D1729" s="385" t="s">
        <v>88</v>
      </c>
      <c r="E1729" s="385" t="s">
        <v>32</v>
      </c>
      <c r="F1729" s="385"/>
      <c r="G1729" s="385" t="s">
        <v>133</v>
      </c>
      <c r="H1729" s="385"/>
      <c r="I1729" s="385"/>
      <c r="J1729" s="30"/>
      <c r="K1729" s="385" t="s">
        <v>64</v>
      </c>
      <c r="L1729" s="385"/>
      <c r="M1729" s="385"/>
      <c r="N1729" s="385"/>
      <c r="O1729" s="385"/>
      <c r="P1729" s="385" t="str">
        <f>IFERROR(
    IF(
        OR(ISBLANK(I1729), ISBLANK(L1729)),
        "",
        MAX(
            1,
            IF(
                NETWORKDAYS(I1729, L1729, Holiday_Dates) &lt;= 0,
                1,
                NETWORKDAYS(I1729, L1729, Holiday_Dates) - IF(I1729 = L1729, 0, 1)
            )
        )
    ),
    ""
)</f>
        <v/>
      </c>
      <c r="Q1729" s="385" t="str">
        <f>IF(
    OR(ISBLANK(L1729), ISBLANK(M1729)),
    "",
    MAX(
        1,
        IF(
            NETWORKDAYS(L1729, M1729, Holiday_Dates) &lt;= 0,
            1,
            NETWORKDAYS(L1729, M1729, Holiday_Dates) - IF(L1729 = M1729, 0, 1)
        )
    )
)</f>
        <v/>
      </c>
      <c r="R1729" s="385" t="str">
        <f>IFERROR(
    IF(
        OR(ISBLANK(N1729), AND(ISBLANK(L1729), ISBLANK(M1729))),
        "",
        MAX(
            1,
            IF(
                NETWORKDAYS(IF(NOT(ISBLANK(M1729)), M1729, L1729), N1729, Holiday_Dates) &lt;= 0,
                1,
                NETWORKDAYS(IF(NOT(ISBLANK(M1729)), M1729, L1729), N1729, Holiday_Dates)
                - IF(IF(NOT(ISBLANK(M1729)), M1729, L1729) = N1729, 0, 1)
            )
        )
    ),
    ""
)</f>
        <v/>
      </c>
      <c r="S1729" s="385" t="str">
        <f>IFERROR(
    IF(
        OR(ISBLANK(N1729), ISBLANK(O1729)),
        "",
        MAX(
            1,
            IF(
                NETWORKDAYS(N1729, O1729, Holiday_Dates) &lt;= 0,
                1,
                NETWORKDAYS(N1729, O1729, Holiday_Dates) - IF(N1729 = O1729, 0, 1)
            )
        )
    ),
    ""
)</f>
        <v/>
      </c>
      <c r="T1729" s="385"/>
      <c r="U1729" s="385"/>
      <c r="V1729" s="385"/>
      <c r="W1729" s="385" t="s">
        <v>4710</v>
      </c>
      <c r="X1729" s="1"/>
    </row>
    <row r="1730" spans="1:24">
      <c r="A1730" s="385" t="s">
        <v>65</v>
      </c>
      <c r="B1730" s="385" t="s">
        <v>446</v>
      </c>
      <c r="C1730" s="385" t="s">
        <v>3410</v>
      </c>
      <c r="D1730" s="385" t="s">
        <v>88</v>
      </c>
      <c r="E1730" s="385"/>
      <c r="F1730" s="385"/>
      <c r="G1730" s="385"/>
      <c r="H1730" s="385">
        <v>2025</v>
      </c>
      <c r="I1730" s="386">
        <v>45846</v>
      </c>
      <c r="J1730" s="30" t="s">
        <v>5369</v>
      </c>
      <c r="K1730" s="385"/>
      <c r="L1730" s="385"/>
      <c r="M1730" s="385"/>
      <c r="N1730" s="385"/>
      <c r="O1730" s="385"/>
      <c r="P1730" s="385" t="str">
        <f>IFERROR(
    IF(
        OR(ISBLANK(I1730), ISBLANK(L1730)),
        "",
        MAX(
            1,
            IF(
                NETWORKDAYS(I1730, L1730, Holiday_Dates) &lt;= 0,
                1,
                NETWORKDAYS(I1730, L1730, Holiday_Dates) - IF(I1730 = L1730, 0, 1)
            )
        )
    ),
    ""
)</f>
        <v/>
      </c>
      <c r="Q1730" s="385" t="str">
        <f>IF(
    OR(ISBLANK(L1730), ISBLANK(M1730)),
    "",
    MAX(
        1,
        IF(
            NETWORKDAYS(L1730, M1730, Holiday_Dates) &lt;= 0,
            1,
            NETWORKDAYS(L1730, M1730, Holiday_Dates) - IF(L1730 = M1730, 0, 1)
        )
    )
)</f>
        <v/>
      </c>
      <c r="R1730" s="385" t="str">
        <f>IFERROR(
    IF(
        OR(ISBLANK(N1730), AND(ISBLANK(L1730), ISBLANK(M1730))),
        "",
        MAX(
            1,
            IF(
                NETWORKDAYS(IF(NOT(ISBLANK(M1730)), M1730, L1730), N1730, Holiday_Dates) &lt;= 0,
                1,
                NETWORKDAYS(IF(NOT(ISBLANK(M1730)), M1730, L1730), N1730, Holiday_Dates)
                - IF(IF(NOT(ISBLANK(M1730)), M1730, L1730) = N1730, 0, 1)
            )
        )
    ),
    ""
)</f>
        <v/>
      </c>
      <c r="S1730" s="385" t="str">
        <f>IFERROR(
    IF(
        OR(ISBLANK(N1730), ISBLANK(O1730)),
        "",
        MAX(
            1,
            IF(
                NETWORKDAYS(N1730, O1730, Holiday_Dates) &lt;= 0,
                1,
                NETWORKDAYS(N1730, O1730, Holiday_Dates) - IF(N1730 = O1730, 0, 1)
            )
        )
    ),
    ""
)</f>
        <v/>
      </c>
      <c r="T1730" s="385"/>
      <c r="U1730" s="385" t="s">
        <v>672</v>
      </c>
      <c r="V1730" s="385" t="s">
        <v>101</v>
      </c>
      <c r="W1730" s="385" t="s">
        <v>1436</v>
      </c>
      <c r="X1730" s="1"/>
    </row>
    <row r="1731" spans="1:24">
      <c r="A1731" s="385" t="s">
        <v>65</v>
      </c>
      <c r="B1731" s="385" t="s">
        <v>446</v>
      </c>
      <c r="C1731" s="385" t="s">
        <v>3411</v>
      </c>
      <c r="D1731" s="385" t="s">
        <v>88</v>
      </c>
      <c r="E1731" s="385"/>
      <c r="F1731" s="385"/>
      <c r="G1731" s="385"/>
      <c r="H1731" s="385">
        <v>2024</v>
      </c>
      <c r="I1731" s="386">
        <v>45618</v>
      </c>
      <c r="J1731" s="30"/>
      <c r="K1731" s="385"/>
      <c r="L1731" s="385"/>
      <c r="M1731" s="385"/>
      <c r="N1731" s="385"/>
      <c r="O1731" s="385"/>
      <c r="P1731" s="385" t="str">
        <f>IFERROR(
    IF(
        OR(ISBLANK(I1731), ISBLANK(L1731)),
        "",
        MAX(
            1,
            IF(
                NETWORKDAYS(I1731, L1731, Holiday_Dates) &lt;= 0,
                1,
                NETWORKDAYS(I1731, L1731, Holiday_Dates) - IF(I1731 = L1731, 0, 1)
            )
        )
    ),
    ""
)</f>
        <v/>
      </c>
      <c r="Q1731" s="385" t="str">
        <f>IF(
    OR(ISBLANK(L1731), ISBLANK(M1731)),
    "",
    MAX(
        1,
        IF(
            NETWORKDAYS(L1731, M1731, Holiday_Dates) &lt;= 0,
            1,
            NETWORKDAYS(L1731, M1731, Holiday_Dates) - IF(L1731 = M1731, 0, 1)
        )
    )
)</f>
        <v/>
      </c>
      <c r="R1731" s="385" t="str">
        <f>IFERROR(
    IF(
        OR(ISBLANK(N1731), AND(ISBLANK(L1731), ISBLANK(M1731))),
        "",
        MAX(
            1,
            IF(
                NETWORKDAYS(IF(NOT(ISBLANK(M1731)), M1731, L1731), N1731, Holiday_Dates) &lt;= 0,
                1,
                NETWORKDAYS(IF(NOT(ISBLANK(M1731)), M1731, L1731), N1731, Holiday_Dates)
                - IF(IF(NOT(ISBLANK(M1731)), M1731, L1731) = N1731, 0, 1)
            )
        )
    ),
    ""
)</f>
        <v/>
      </c>
      <c r="S1731" s="385" t="str">
        <f>IFERROR(
    IF(
        OR(ISBLANK(N1731), ISBLANK(O1731)),
        "",
        MAX(
            1,
            IF(
                NETWORKDAYS(N1731, O1731, Holiday_Dates) &lt;= 0,
                1,
                NETWORKDAYS(N1731, O1731, Holiday_Dates) - IF(N1731 = O1731, 0, 1)
            )
        )
    ),
    ""
)</f>
        <v/>
      </c>
      <c r="T1731" s="385"/>
      <c r="U1731" s="385" t="s">
        <v>4</v>
      </c>
      <c r="V1731" s="385" t="s">
        <v>101</v>
      </c>
      <c r="W1731" s="385" t="s">
        <v>1436</v>
      </c>
      <c r="X1731" s="1"/>
    </row>
    <row r="1732" spans="1:24">
      <c r="A1732" s="385" t="s">
        <v>65</v>
      </c>
      <c r="B1732" s="385" t="s">
        <v>446</v>
      </c>
      <c r="C1732" s="385" t="s">
        <v>3413</v>
      </c>
      <c r="D1732" s="385" t="s">
        <v>88</v>
      </c>
      <c r="E1732" s="385"/>
      <c r="F1732" s="385"/>
      <c r="G1732" s="385"/>
      <c r="H1732" s="385">
        <v>2025</v>
      </c>
      <c r="I1732" s="386">
        <v>45924</v>
      </c>
      <c r="J1732" s="30" t="s">
        <v>5370</v>
      </c>
      <c r="K1732" s="385"/>
      <c r="L1732" s="385"/>
      <c r="M1732" s="385"/>
      <c r="N1732" s="385"/>
      <c r="O1732" s="385"/>
      <c r="P1732" s="385" t="str">
        <f>IFERROR(
    IF(
        OR(ISBLANK(I1732), ISBLANK(L1732)),
        "",
        MAX(
            1,
            IF(
                NETWORKDAYS(I1732, L1732, Holiday_Dates) &lt;= 0,
                1,
                NETWORKDAYS(I1732, L1732, Holiday_Dates) - IF(I1732 = L1732, 0, 1)
            )
        )
    ),
    ""
)</f>
        <v/>
      </c>
      <c r="Q1732" s="385" t="str">
        <f>IF(
    OR(ISBLANK(L1732), ISBLANK(M1732)),
    "",
    MAX(
        1,
        IF(
            NETWORKDAYS(L1732, M1732, Holiday_Dates) &lt;= 0,
            1,
            NETWORKDAYS(L1732, M1732, Holiday_Dates) - IF(L1732 = M1732, 0, 1)
        )
    )
)</f>
        <v/>
      </c>
      <c r="R1732" s="385" t="str">
        <f>IFERROR(
    IF(
        OR(ISBLANK(N1732), AND(ISBLANK(L1732), ISBLANK(M1732))),
        "",
        MAX(
            1,
            IF(
                NETWORKDAYS(IF(NOT(ISBLANK(M1732)), M1732, L1732), N1732, Holiday_Dates) &lt;= 0,
                1,
                NETWORKDAYS(IF(NOT(ISBLANK(M1732)), M1732, L1732), N1732, Holiday_Dates)
                - IF(IF(NOT(ISBLANK(M1732)), M1732, L1732) = N1732, 0, 1)
            )
        )
    ),
    ""
)</f>
        <v/>
      </c>
      <c r="S1732" s="385" t="str">
        <f>IFERROR(
    IF(
        OR(ISBLANK(N1732), ISBLANK(O1732)),
        "",
        MAX(
            1,
            IF(
                NETWORKDAYS(N1732, O1732, Holiday_Dates) &lt;= 0,
                1,
                NETWORKDAYS(N1732, O1732, Holiday_Dates) - IF(N1732 = O1732, 0, 1)
            )
        )
    ),
    ""
)</f>
        <v/>
      </c>
      <c r="T1732" s="385"/>
      <c r="U1732" s="385" t="s">
        <v>672</v>
      </c>
      <c r="V1732" s="385" t="s">
        <v>101</v>
      </c>
      <c r="W1732" s="385" t="s">
        <v>1436</v>
      </c>
      <c r="X1732" s="1"/>
    </row>
    <row r="1733" spans="1:24">
      <c r="A1733" s="385" t="s">
        <v>65</v>
      </c>
      <c r="B1733" s="385" t="s">
        <v>446</v>
      </c>
      <c r="C1733" s="385" t="s">
        <v>3414</v>
      </c>
      <c r="D1733" s="385" t="s">
        <v>88</v>
      </c>
      <c r="E1733" s="385"/>
      <c r="F1733" s="385"/>
      <c r="G1733" s="385"/>
      <c r="H1733" s="385">
        <v>2025</v>
      </c>
      <c r="I1733" s="386">
        <v>45755</v>
      </c>
      <c r="J1733" s="30" t="s">
        <v>5371</v>
      </c>
      <c r="K1733" s="385"/>
      <c r="L1733" s="385"/>
      <c r="M1733" s="385"/>
      <c r="N1733" s="385"/>
      <c r="O1733" s="385"/>
      <c r="P1733" s="385" t="str">
        <f>IFERROR(
    IF(
        OR(ISBLANK(I1733), ISBLANK(L1733)),
        "",
        MAX(
            1,
            IF(
                NETWORKDAYS(I1733, L1733, Holiday_Dates) &lt;= 0,
                1,
                NETWORKDAYS(I1733, L1733, Holiday_Dates) - IF(I1733 = L1733, 0, 1)
            )
        )
    ),
    ""
)</f>
        <v/>
      </c>
      <c r="Q1733" s="385" t="str">
        <f>IF(
    OR(ISBLANK(L1733), ISBLANK(M1733)),
    "",
    MAX(
        1,
        IF(
            NETWORKDAYS(L1733, M1733, Holiday_Dates) &lt;= 0,
            1,
            NETWORKDAYS(L1733, M1733, Holiday_Dates) - IF(L1733 = M1733, 0, 1)
        )
    )
)</f>
        <v/>
      </c>
      <c r="R1733" s="385" t="str">
        <f>IFERROR(
    IF(
        OR(ISBLANK(N1733), AND(ISBLANK(L1733), ISBLANK(M1733))),
        "",
        MAX(
            1,
            IF(
                NETWORKDAYS(IF(NOT(ISBLANK(M1733)), M1733, L1733), N1733, Holiday_Dates) &lt;= 0,
                1,
                NETWORKDAYS(IF(NOT(ISBLANK(M1733)), M1733, L1733), N1733, Holiday_Dates)
                - IF(IF(NOT(ISBLANK(M1733)), M1733, L1733) = N1733, 0, 1)
            )
        )
    ),
    ""
)</f>
        <v/>
      </c>
      <c r="S1733" s="385" t="str">
        <f>IFERROR(
    IF(
        OR(ISBLANK(N1733), ISBLANK(O1733)),
        "",
        MAX(
            1,
            IF(
                NETWORKDAYS(N1733, O1733, Holiday_Dates) &lt;= 0,
                1,
                NETWORKDAYS(N1733, O1733, Holiday_Dates) - IF(N1733 = O1733, 0, 1)
            )
        )
    ),
    ""
)</f>
        <v/>
      </c>
      <c r="T1733" s="385"/>
      <c r="U1733" s="385" t="s">
        <v>672</v>
      </c>
      <c r="V1733" s="385" t="s">
        <v>101</v>
      </c>
      <c r="W1733" s="385" t="s">
        <v>1436</v>
      </c>
      <c r="X1733" s="1"/>
    </row>
    <row r="1734" spans="1:24">
      <c r="A1734" s="385" t="s">
        <v>51</v>
      </c>
      <c r="B1734" s="385" t="s">
        <v>537</v>
      </c>
      <c r="C1734" s="385" t="s">
        <v>653</v>
      </c>
      <c r="D1734" s="385" t="s">
        <v>88</v>
      </c>
      <c r="E1734" s="385" t="s">
        <v>32</v>
      </c>
      <c r="F1734" s="385"/>
      <c r="G1734" s="385" t="s">
        <v>133</v>
      </c>
      <c r="H1734" s="385"/>
      <c r="I1734" s="385"/>
      <c r="J1734" s="30"/>
      <c r="K1734" s="385" t="s">
        <v>64</v>
      </c>
      <c r="L1734" s="385"/>
      <c r="M1734" s="385"/>
      <c r="N1734" s="385"/>
      <c r="O1734" s="385"/>
      <c r="P1734" s="385" t="str">
        <f>IFERROR(
    IF(
        OR(ISBLANK(I1734), ISBLANK(L1734)),
        "",
        MAX(
            1,
            IF(
                NETWORKDAYS(I1734, L1734, Holiday_Dates) &lt;= 0,
                1,
                NETWORKDAYS(I1734, L1734, Holiday_Dates) - IF(I1734 = L1734, 0, 1)
            )
        )
    ),
    ""
)</f>
        <v/>
      </c>
      <c r="Q1734" s="385" t="str">
        <f>IF(
    OR(ISBLANK(L1734), ISBLANK(M1734)),
    "",
    MAX(
        1,
        IF(
            NETWORKDAYS(L1734, M1734, Holiday_Dates) &lt;= 0,
            1,
            NETWORKDAYS(L1734, M1734, Holiday_Dates) - IF(L1734 = M1734, 0, 1)
        )
    )
)</f>
        <v/>
      </c>
      <c r="R1734" s="385" t="str">
        <f>IFERROR(
    IF(
        OR(ISBLANK(N1734), AND(ISBLANK(L1734), ISBLANK(M1734))),
        "",
        MAX(
            1,
            IF(
                NETWORKDAYS(IF(NOT(ISBLANK(M1734)), M1734, L1734), N1734, Holiday_Dates) &lt;= 0,
                1,
                NETWORKDAYS(IF(NOT(ISBLANK(M1734)), M1734, L1734), N1734, Holiday_Dates)
                - IF(IF(NOT(ISBLANK(M1734)), M1734, L1734) = N1734, 0, 1)
            )
        )
    ),
    ""
)</f>
        <v/>
      </c>
      <c r="S1734" s="385" t="str">
        <f>IFERROR(
    IF(
        OR(ISBLANK(N1734), ISBLANK(O1734)),
        "",
        MAX(
            1,
            IF(
                NETWORKDAYS(N1734, O1734, Holiday_Dates) &lt;= 0,
                1,
                NETWORKDAYS(N1734, O1734, Holiday_Dates) - IF(N1734 = O1734, 0, 1)
            )
        )
    ),
    ""
)</f>
        <v/>
      </c>
      <c r="T1734" s="385"/>
      <c r="U1734" s="385"/>
      <c r="V1734" s="385"/>
      <c r="W1734" s="385" t="s">
        <v>4710</v>
      </c>
      <c r="X1734" s="1"/>
    </row>
    <row r="1735" spans="1:24">
      <c r="A1735" s="385" t="s">
        <v>51</v>
      </c>
      <c r="B1735" s="385" t="s">
        <v>416</v>
      </c>
      <c r="C1735" s="385" t="s">
        <v>3810</v>
      </c>
      <c r="D1735" s="385" t="s">
        <v>88</v>
      </c>
      <c r="E1735" s="385" t="s">
        <v>33</v>
      </c>
      <c r="F1735" s="385"/>
      <c r="G1735" s="385" t="s">
        <v>239</v>
      </c>
      <c r="H1735" s="385"/>
      <c r="I1735" s="385"/>
      <c r="J1735" s="30"/>
      <c r="K1735" s="385" t="s">
        <v>64</v>
      </c>
      <c r="L1735" s="385"/>
      <c r="M1735" s="385"/>
      <c r="N1735" s="385"/>
      <c r="O1735" s="385"/>
      <c r="P1735" s="385" t="str">
        <f>IFERROR(
    IF(
        OR(ISBLANK(I1735), ISBLANK(L1735)),
        "",
        MAX(
            1,
            IF(
                NETWORKDAYS(I1735, L1735, Holiday_Dates) &lt;= 0,
                1,
                NETWORKDAYS(I1735, L1735, Holiday_Dates) - IF(I1735 = L1735, 0, 1)
            )
        )
    ),
    ""
)</f>
        <v/>
      </c>
      <c r="Q1735" s="385" t="str">
        <f>IF(
    OR(ISBLANK(L1735), ISBLANK(M1735)),
    "",
    MAX(
        1,
        IF(
            NETWORKDAYS(L1735, M1735, Holiday_Dates) &lt;= 0,
            1,
            NETWORKDAYS(L1735, M1735, Holiday_Dates) - IF(L1735 = M1735, 0, 1)
        )
    )
)</f>
        <v/>
      </c>
      <c r="R1735" s="385" t="str">
        <f>IFERROR(
    IF(
        OR(ISBLANK(N1735), AND(ISBLANK(L1735), ISBLANK(M1735))),
        "",
        MAX(
            1,
            IF(
                NETWORKDAYS(IF(NOT(ISBLANK(M1735)), M1735, L1735), N1735, Holiday_Dates) &lt;= 0,
                1,
                NETWORKDAYS(IF(NOT(ISBLANK(M1735)), M1735, L1735), N1735, Holiday_Dates)
                - IF(IF(NOT(ISBLANK(M1735)), M1735, L1735) = N1735, 0, 1)
            )
        )
    ),
    ""
)</f>
        <v/>
      </c>
      <c r="S1735" s="385" t="str">
        <f>IFERROR(
    IF(
        OR(ISBLANK(N1735), ISBLANK(O1735)),
        "",
        MAX(
            1,
            IF(
                NETWORKDAYS(N1735, O1735, Holiday_Dates) &lt;= 0,
                1,
                NETWORKDAYS(N1735, O1735, Holiday_Dates) - IF(N1735 = O1735, 0, 1)
            )
        )
    ),
    ""
)</f>
        <v/>
      </c>
      <c r="T1735" s="385"/>
      <c r="U1735" s="385"/>
      <c r="V1735" s="385"/>
      <c r="W1735" s="385" t="s">
        <v>4710</v>
      </c>
      <c r="X1735" s="1"/>
    </row>
    <row r="1736" spans="1:24">
      <c r="A1736" s="385" t="s">
        <v>51</v>
      </c>
      <c r="B1736" s="385" t="s">
        <v>416</v>
      </c>
      <c r="C1736" s="385" t="s">
        <v>3012</v>
      </c>
      <c r="D1736" s="385" t="s">
        <v>88</v>
      </c>
      <c r="E1736" s="385" t="s">
        <v>33</v>
      </c>
      <c r="F1736" s="385"/>
      <c r="G1736" s="385" t="s">
        <v>239</v>
      </c>
      <c r="H1736" s="385"/>
      <c r="I1736" s="385"/>
      <c r="J1736" s="30"/>
      <c r="K1736" s="385" t="s">
        <v>64</v>
      </c>
      <c r="L1736" s="385"/>
      <c r="M1736" s="385"/>
      <c r="N1736" s="385"/>
      <c r="O1736" s="385"/>
      <c r="P1736" s="385" t="str">
        <f>IFERROR(
    IF(
        OR(ISBLANK(I1736), ISBLANK(L1736)),
        "",
        MAX(
            1,
            IF(
                NETWORKDAYS(I1736, L1736, Holiday_Dates) &lt;= 0,
                1,
                NETWORKDAYS(I1736, L1736, Holiday_Dates) - IF(I1736 = L1736, 0, 1)
            )
        )
    ),
    ""
)</f>
        <v/>
      </c>
      <c r="Q1736" s="385" t="str">
        <f>IF(
    OR(ISBLANK(L1736), ISBLANK(M1736)),
    "",
    MAX(
        1,
        IF(
            NETWORKDAYS(L1736, M1736, Holiday_Dates) &lt;= 0,
            1,
            NETWORKDAYS(L1736, M1736, Holiday_Dates) - IF(L1736 = M1736, 0, 1)
        )
    )
)</f>
        <v/>
      </c>
      <c r="R1736" s="385" t="str">
        <f>IFERROR(
    IF(
        OR(ISBLANK(N1736), AND(ISBLANK(L1736), ISBLANK(M1736))),
        "",
        MAX(
            1,
            IF(
                NETWORKDAYS(IF(NOT(ISBLANK(M1736)), M1736, L1736), N1736, Holiday_Dates) &lt;= 0,
                1,
                NETWORKDAYS(IF(NOT(ISBLANK(M1736)), M1736, L1736), N1736, Holiday_Dates)
                - IF(IF(NOT(ISBLANK(M1736)), M1736, L1736) = N1736, 0, 1)
            )
        )
    ),
    ""
)</f>
        <v/>
      </c>
      <c r="S1736" s="385" t="str">
        <f>IFERROR(
    IF(
        OR(ISBLANK(N1736), ISBLANK(O1736)),
        "",
        MAX(
            1,
            IF(
                NETWORKDAYS(N1736, O1736, Holiday_Dates) &lt;= 0,
                1,
                NETWORKDAYS(N1736, O1736, Holiday_Dates) - IF(N1736 = O1736, 0, 1)
            )
        )
    ),
    ""
)</f>
        <v/>
      </c>
      <c r="T1736" s="385"/>
      <c r="U1736" s="385"/>
      <c r="V1736" s="385"/>
      <c r="W1736" s="385" t="s">
        <v>4710</v>
      </c>
      <c r="X1736" s="1"/>
    </row>
    <row r="1737" spans="1:24">
      <c r="A1737" s="385" t="s">
        <v>65</v>
      </c>
      <c r="B1737" s="385" t="s">
        <v>446</v>
      </c>
      <c r="C1737" s="385" t="s">
        <v>3418</v>
      </c>
      <c r="D1737" s="385" t="s">
        <v>88</v>
      </c>
      <c r="E1737" s="385"/>
      <c r="F1737" s="385"/>
      <c r="G1737" s="385"/>
      <c r="H1737" s="385">
        <v>2024</v>
      </c>
      <c r="I1737" s="386">
        <v>45609</v>
      </c>
      <c r="J1737" s="30"/>
      <c r="K1737" s="385"/>
      <c r="L1737" s="385"/>
      <c r="M1737" s="385"/>
      <c r="N1737" s="385"/>
      <c r="O1737" s="385"/>
      <c r="P1737" s="385" t="str">
        <f>IFERROR(
    IF(
        OR(ISBLANK(I1737), ISBLANK(L1737)),
        "",
        MAX(
            1,
            IF(
                NETWORKDAYS(I1737, L1737, Holiday_Dates) &lt;= 0,
                1,
                NETWORKDAYS(I1737, L1737, Holiday_Dates) - IF(I1737 = L1737, 0, 1)
            )
        )
    ),
    ""
)</f>
        <v/>
      </c>
      <c r="Q1737" s="385" t="str">
        <f>IF(
    OR(ISBLANK(L1737), ISBLANK(M1737)),
    "",
    MAX(
        1,
        IF(
            NETWORKDAYS(L1737, M1737, Holiday_Dates) &lt;= 0,
            1,
            NETWORKDAYS(L1737, M1737, Holiday_Dates) - IF(L1737 = M1737, 0, 1)
        )
    )
)</f>
        <v/>
      </c>
      <c r="R1737" s="385" t="str">
        <f>IFERROR(
    IF(
        OR(ISBLANK(N1737), AND(ISBLANK(L1737), ISBLANK(M1737))),
        "",
        MAX(
            1,
            IF(
                NETWORKDAYS(IF(NOT(ISBLANK(M1737)), M1737, L1737), N1737, Holiday_Dates) &lt;= 0,
                1,
                NETWORKDAYS(IF(NOT(ISBLANK(M1737)), M1737, L1737), N1737, Holiday_Dates)
                - IF(IF(NOT(ISBLANK(M1737)), M1737, L1737) = N1737, 0, 1)
            )
        )
    ),
    ""
)</f>
        <v/>
      </c>
      <c r="S1737" s="385" t="str">
        <f>IFERROR(
    IF(
        OR(ISBLANK(N1737), ISBLANK(O1737)),
        "",
        MAX(
            1,
            IF(
                NETWORKDAYS(N1737, O1737, Holiday_Dates) &lt;= 0,
                1,
                NETWORKDAYS(N1737, O1737, Holiday_Dates) - IF(N1737 = O1737, 0, 1)
            )
        )
    ),
    ""
)</f>
        <v/>
      </c>
      <c r="T1737" s="385"/>
      <c r="U1737" s="385" t="s">
        <v>4</v>
      </c>
      <c r="V1737" s="385" t="s">
        <v>101</v>
      </c>
      <c r="W1737" s="385" t="s">
        <v>1436</v>
      </c>
      <c r="X1737" s="1"/>
    </row>
    <row r="1738" spans="1:24">
      <c r="A1738" s="385" t="s">
        <v>51</v>
      </c>
      <c r="B1738" s="385" t="s">
        <v>416</v>
      </c>
      <c r="C1738" s="385" t="s">
        <v>3814</v>
      </c>
      <c r="D1738" s="385" t="s">
        <v>88</v>
      </c>
      <c r="E1738" s="385" t="s">
        <v>33</v>
      </c>
      <c r="F1738" s="385"/>
      <c r="G1738" s="385" t="s">
        <v>239</v>
      </c>
      <c r="H1738" s="385"/>
      <c r="I1738" s="385"/>
      <c r="J1738" s="30"/>
      <c r="K1738" s="385" t="s">
        <v>64</v>
      </c>
      <c r="L1738" s="385"/>
      <c r="M1738" s="385"/>
      <c r="N1738" s="385"/>
      <c r="O1738" s="385"/>
      <c r="P1738" s="385" t="str">
        <f>IFERROR(
    IF(
        OR(ISBLANK(I1738), ISBLANK(L1738)),
        "",
        MAX(
            1,
            IF(
                NETWORKDAYS(I1738, L1738, Holiday_Dates) &lt;= 0,
                1,
                NETWORKDAYS(I1738, L1738, Holiday_Dates) - IF(I1738 = L1738, 0, 1)
            )
        )
    ),
    ""
)</f>
        <v/>
      </c>
      <c r="Q1738" s="385" t="str">
        <f>IF(
    OR(ISBLANK(L1738), ISBLANK(M1738)),
    "",
    MAX(
        1,
        IF(
            NETWORKDAYS(L1738, M1738, Holiday_Dates) &lt;= 0,
            1,
            NETWORKDAYS(L1738, M1738, Holiday_Dates) - IF(L1738 = M1738, 0, 1)
        )
    )
)</f>
        <v/>
      </c>
      <c r="R1738" s="385" t="str">
        <f>IFERROR(
    IF(
        OR(ISBLANK(N1738), AND(ISBLANK(L1738), ISBLANK(M1738))),
        "",
        MAX(
            1,
            IF(
                NETWORKDAYS(IF(NOT(ISBLANK(M1738)), M1738, L1738), N1738, Holiday_Dates) &lt;= 0,
                1,
                NETWORKDAYS(IF(NOT(ISBLANK(M1738)), M1738, L1738), N1738, Holiday_Dates)
                - IF(IF(NOT(ISBLANK(M1738)), M1738, L1738) = N1738, 0, 1)
            )
        )
    ),
    ""
)</f>
        <v/>
      </c>
      <c r="S1738" s="385" t="str">
        <f>IFERROR(
    IF(
        OR(ISBLANK(N1738), ISBLANK(O1738)),
        "",
        MAX(
            1,
            IF(
                NETWORKDAYS(N1738, O1738, Holiday_Dates) &lt;= 0,
                1,
                NETWORKDAYS(N1738, O1738, Holiday_Dates) - IF(N1738 = O1738, 0, 1)
            )
        )
    ),
    ""
)</f>
        <v/>
      </c>
      <c r="T1738" s="385"/>
      <c r="U1738" s="385"/>
      <c r="V1738" s="385"/>
      <c r="W1738" s="385" t="s">
        <v>4710</v>
      </c>
      <c r="X1738" s="1"/>
    </row>
    <row r="1739" spans="1:24">
      <c r="A1739" s="385" t="s">
        <v>51</v>
      </c>
      <c r="B1739" s="385" t="s">
        <v>416</v>
      </c>
      <c r="C1739" s="385" t="s">
        <v>3819</v>
      </c>
      <c r="D1739" s="385" t="s">
        <v>88</v>
      </c>
      <c r="E1739" s="385" t="s">
        <v>33</v>
      </c>
      <c r="F1739" s="385"/>
      <c r="G1739" s="385" t="s">
        <v>239</v>
      </c>
      <c r="H1739" s="385"/>
      <c r="I1739" s="385"/>
      <c r="J1739" s="30"/>
      <c r="K1739" s="385" t="s">
        <v>64</v>
      </c>
      <c r="L1739" s="385"/>
      <c r="M1739" s="385"/>
      <c r="N1739" s="385"/>
      <c r="O1739" s="385"/>
      <c r="P1739" s="385" t="str">
        <f>IFERROR(
    IF(
        OR(ISBLANK(I1739), ISBLANK(L1739)),
        "",
        MAX(
            1,
            IF(
                NETWORKDAYS(I1739, L1739, Holiday_Dates) &lt;= 0,
                1,
                NETWORKDAYS(I1739, L1739, Holiday_Dates) - IF(I1739 = L1739, 0, 1)
            )
        )
    ),
    ""
)</f>
        <v/>
      </c>
      <c r="Q1739" s="385" t="str">
        <f>IF(
    OR(ISBLANK(L1739), ISBLANK(M1739)),
    "",
    MAX(
        1,
        IF(
            NETWORKDAYS(L1739, M1739, Holiday_Dates) &lt;= 0,
            1,
            NETWORKDAYS(L1739, M1739, Holiday_Dates) - IF(L1739 = M1739, 0, 1)
        )
    )
)</f>
        <v/>
      </c>
      <c r="R1739" s="385" t="str">
        <f>IFERROR(
    IF(
        OR(ISBLANK(N1739), AND(ISBLANK(L1739), ISBLANK(M1739))),
        "",
        MAX(
            1,
            IF(
                NETWORKDAYS(IF(NOT(ISBLANK(M1739)), M1739, L1739), N1739, Holiday_Dates) &lt;= 0,
                1,
                NETWORKDAYS(IF(NOT(ISBLANK(M1739)), M1739, L1739), N1739, Holiday_Dates)
                - IF(IF(NOT(ISBLANK(M1739)), M1739, L1739) = N1739, 0, 1)
            )
        )
    ),
    ""
)</f>
        <v/>
      </c>
      <c r="S1739" s="385" t="str">
        <f>IFERROR(
    IF(
        OR(ISBLANK(N1739), ISBLANK(O1739)),
        "",
        MAX(
            1,
            IF(
                NETWORKDAYS(N1739, O1739, Holiday_Dates) &lt;= 0,
                1,
                NETWORKDAYS(N1739, O1739, Holiday_Dates) - IF(N1739 = O1739, 0, 1)
            )
        )
    ),
    ""
)</f>
        <v/>
      </c>
      <c r="T1739" s="385"/>
      <c r="U1739" s="385"/>
      <c r="V1739" s="385"/>
      <c r="W1739" s="385" t="s">
        <v>4710</v>
      </c>
      <c r="X1739" s="1"/>
    </row>
    <row r="1740" spans="1:24">
      <c r="A1740" s="385" t="s">
        <v>65</v>
      </c>
      <c r="B1740" s="385" t="s">
        <v>446</v>
      </c>
      <c r="C1740" s="385" t="s">
        <v>3425</v>
      </c>
      <c r="D1740" s="385" t="s">
        <v>88</v>
      </c>
      <c r="E1740" s="385"/>
      <c r="F1740" s="385"/>
      <c r="G1740" s="385"/>
      <c r="H1740" s="385">
        <v>2025</v>
      </c>
      <c r="I1740" s="386">
        <v>45685</v>
      </c>
      <c r="J1740" s="30" t="s">
        <v>5372</v>
      </c>
      <c r="K1740" s="385"/>
      <c r="L1740" s="385"/>
      <c r="M1740" s="385"/>
      <c r="N1740" s="385"/>
      <c r="O1740" s="385"/>
      <c r="P1740" s="385" t="str">
        <f>IFERROR(
    IF(
        OR(ISBLANK(I1740), ISBLANK(L1740)),
        "",
        MAX(
            1,
            IF(
                NETWORKDAYS(I1740, L1740, Holiday_Dates) &lt;= 0,
                1,
                NETWORKDAYS(I1740, L1740, Holiday_Dates) - IF(I1740 = L1740, 0, 1)
            )
        )
    ),
    ""
)</f>
        <v/>
      </c>
      <c r="Q1740" s="385" t="str">
        <f>IF(
    OR(ISBLANK(L1740), ISBLANK(M1740)),
    "",
    MAX(
        1,
        IF(
            NETWORKDAYS(L1740, M1740, Holiday_Dates) &lt;= 0,
            1,
            NETWORKDAYS(L1740, M1740, Holiday_Dates) - IF(L1740 = M1740, 0, 1)
        )
    )
)</f>
        <v/>
      </c>
      <c r="R1740" s="385" t="str">
        <f>IFERROR(
    IF(
        OR(ISBLANK(N1740), AND(ISBLANK(L1740), ISBLANK(M1740))),
        "",
        MAX(
            1,
            IF(
                NETWORKDAYS(IF(NOT(ISBLANK(M1740)), M1740, L1740), N1740, Holiday_Dates) &lt;= 0,
                1,
                NETWORKDAYS(IF(NOT(ISBLANK(M1740)), M1740, L1740), N1740, Holiday_Dates)
                - IF(IF(NOT(ISBLANK(M1740)), M1740, L1740) = N1740, 0, 1)
            )
        )
    ),
    ""
)</f>
        <v/>
      </c>
      <c r="S1740" s="385" t="str">
        <f>IFERROR(
    IF(
        OR(ISBLANK(N1740), ISBLANK(O1740)),
        "",
        MAX(
            1,
            IF(
                NETWORKDAYS(N1740, O1740, Holiday_Dates) &lt;= 0,
                1,
                NETWORKDAYS(N1740, O1740, Holiday_Dates) - IF(N1740 = O1740, 0, 1)
            )
        )
    ),
    ""
)</f>
        <v/>
      </c>
      <c r="T1740" s="385"/>
      <c r="U1740" s="385" t="s">
        <v>672</v>
      </c>
      <c r="V1740" s="385" t="s">
        <v>101</v>
      </c>
      <c r="W1740" s="385" t="s">
        <v>1436</v>
      </c>
      <c r="X1740" s="1"/>
    </row>
    <row r="1741" spans="1:24">
      <c r="A1741" s="385" t="s">
        <v>51</v>
      </c>
      <c r="B1741" s="385" t="s">
        <v>416</v>
      </c>
      <c r="C1741" s="385" t="s">
        <v>3816</v>
      </c>
      <c r="D1741" s="385" t="s">
        <v>88</v>
      </c>
      <c r="E1741" s="385" t="s">
        <v>33</v>
      </c>
      <c r="F1741" s="385"/>
      <c r="G1741" s="385" t="s">
        <v>239</v>
      </c>
      <c r="H1741" s="385"/>
      <c r="I1741" s="385"/>
      <c r="J1741" s="30"/>
      <c r="K1741" s="385" t="s">
        <v>64</v>
      </c>
      <c r="L1741" s="385"/>
      <c r="M1741" s="385"/>
      <c r="N1741" s="385"/>
      <c r="O1741" s="385"/>
      <c r="P1741" s="385" t="str">
        <f>IFERROR(
    IF(
        OR(ISBLANK(I1741), ISBLANK(L1741)),
        "",
        MAX(
            1,
            IF(
                NETWORKDAYS(I1741, L1741, Holiday_Dates) &lt;= 0,
                1,
                NETWORKDAYS(I1741, L1741, Holiday_Dates) - IF(I1741 = L1741, 0, 1)
            )
        )
    ),
    ""
)</f>
        <v/>
      </c>
      <c r="Q1741" s="385" t="str">
        <f>IF(
    OR(ISBLANK(L1741), ISBLANK(M1741)),
    "",
    MAX(
        1,
        IF(
            NETWORKDAYS(L1741, M1741, Holiday_Dates) &lt;= 0,
            1,
            NETWORKDAYS(L1741, M1741, Holiday_Dates) - IF(L1741 = M1741, 0, 1)
        )
    )
)</f>
        <v/>
      </c>
      <c r="R1741" s="385" t="str">
        <f>IFERROR(
    IF(
        OR(ISBLANK(N1741), AND(ISBLANK(L1741), ISBLANK(M1741))),
        "",
        MAX(
            1,
            IF(
                NETWORKDAYS(IF(NOT(ISBLANK(M1741)), M1741, L1741), N1741, Holiday_Dates) &lt;= 0,
                1,
                NETWORKDAYS(IF(NOT(ISBLANK(M1741)), M1741, L1741), N1741, Holiday_Dates)
                - IF(IF(NOT(ISBLANK(M1741)), M1741, L1741) = N1741, 0, 1)
            )
        )
    ),
    ""
)</f>
        <v/>
      </c>
      <c r="S1741" s="385" t="str">
        <f>IFERROR(
    IF(
        OR(ISBLANK(N1741), ISBLANK(O1741)),
        "",
        MAX(
            1,
            IF(
                NETWORKDAYS(N1741, O1741, Holiday_Dates) &lt;= 0,
                1,
                NETWORKDAYS(N1741, O1741, Holiday_Dates) - IF(N1741 = O1741, 0, 1)
            )
        )
    ),
    ""
)</f>
        <v/>
      </c>
      <c r="T1741" s="385"/>
      <c r="U1741" s="385"/>
      <c r="V1741" s="385"/>
      <c r="W1741" s="385" t="s">
        <v>4710</v>
      </c>
      <c r="X1741" s="1"/>
    </row>
    <row r="1742" spans="1:24">
      <c r="A1742" s="385" t="s">
        <v>52</v>
      </c>
      <c r="B1742" s="385" t="s">
        <v>460</v>
      </c>
      <c r="C1742" s="385" t="s">
        <v>3948</v>
      </c>
      <c r="D1742" s="385" t="s">
        <v>88</v>
      </c>
      <c r="E1742" s="385" t="s">
        <v>39</v>
      </c>
      <c r="F1742" s="385"/>
      <c r="G1742" s="385" t="s">
        <v>28</v>
      </c>
      <c r="H1742" s="385"/>
      <c r="I1742" s="385"/>
      <c r="J1742" s="30"/>
      <c r="K1742" s="385" t="s">
        <v>64</v>
      </c>
      <c r="L1742" s="385"/>
      <c r="M1742" s="385"/>
      <c r="N1742" s="385"/>
      <c r="O1742" s="385"/>
      <c r="P1742" s="385" t="str">
        <f>IFERROR(
    IF(
        OR(ISBLANK(I1742), ISBLANK(L1742)),
        "",
        MAX(
            1,
            IF(
                NETWORKDAYS(I1742, L1742, Holiday_Dates) &lt;= 0,
                1,
                NETWORKDAYS(I1742, L1742, Holiday_Dates) - IF(I1742 = L1742, 0, 1)
            )
        )
    ),
    ""
)</f>
        <v/>
      </c>
      <c r="Q1742" s="385" t="str">
        <f>IF(
    OR(ISBLANK(L1742), ISBLANK(M1742)),
    "",
    MAX(
        1,
        IF(
            NETWORKDAYS(L1742, M1742, Holiday_Dates) &lt;= 0,
            1,
            NETWORKDAYS(L1742, M1742, Holiday_Dates) - IF(L1742 = M1742, 0, 1)
        )
    )
)</f>
        <v/>
      </c>
      <c r="R1742" s="385" t="str">
        <f>IFERROR(
    IF(
        OR(ISBLANK(N1742), AND(ISBLANK(L1742), ISBLANK(M1742))),
        "",
        MAX(
            1,
            IF(
                NETWORKDAYS(IF(NOT(ISBLANK(M1742)), M1742, L1742), N1742, Holiday_Dates) &lt;= 0,
                1,
                NETWORKDAYS(IF(NOT(ISBLANK(M1742)), M1742, L1742), N1742, Holiday_Dates)
                - IF(IF(NOT(ISBLANK(M1742)), M1742, L1742) = N1742, 0, 1)
            )
        )
    ),
    ""
)</f>
        <v/>
      </c>
      <c r="S1742" s="385" t="str">
        <f>IFERROR(
    IF(
        OR(ISBLANK(N1742), ISBLANK(O1742)),
        "",
        MAX(
            1,
            IF(
                NETWORKDAYS(N1742, O1742, Holiday_Dates) &lt;= 0,
                1,
                NETWORKDAYS(N1742, O1742, Holiday_Dates) - IF(N1742 = O1742, 0, 1)
            )
        )
    ),
    ""
)</f>
        <v/>
      </c>
      <c r="T1742" s="385"/>
      <c r="U1742" s="385"/>
      <c r="V1742" s="385"/>
      <c r="W1742" s="385" t="s">
        <v>4710</v>
      </c>
      <c r="X1742" s="1"/>
    </row>
    <row r="1743" spans="1:24">
      <c r="A1743" s="385" t="s">
        <v>65</v>
      </c>
      <c r="B1743" s="385" t="s">
        <v>446</v>
      </c>
      <c r="C1743" s="385" t="s">
        <v>3428</v>
      </c>
      <c r="D1743" s="385" t="s">
        <v>88</v>
      </c>
      <c r="E1743" s="385"/>
      <c r="F1743" s="385"/>
      <c r="G1743" s="385"/>
      <c r="H1743" s="385">
        <v>2025</v>
      </c>
      <c r="I1743" s="386">
        <v>45790</v>
      </c>
      <c r="J1743" s="30" t="s">
        <v>5373</v>
      </c>
      <c r="K1743" s="385"/>
      <c r="L1743" s="385"/>
      <c r="M1743" s="385"/>
      <c r="N1743" s="385"/>
      <c r="O1743" s="385"/>
      <c r="P1743" s="385" t="str">
        <f>IFERROR(
    IF(
        OR(ISBLANK(I1743), ISBLANK(L1743)),
        "",
        MAX(
            1,
            IF(
                NETWORKDAYS(I1743, L1743, Holiday_Dates) &lt;= 0,
                1,
                NETWORKDAYS(I1743, L1743, Holiday_Dates) - IF(I1743 = L1743, 0, 1)
            )
        )
    ),
    ""
)</f>
        <v/>
      </c>
      <c r="Q1743" s="385" t="str">
        <f>IF(
    OR(ISBLANK(L1743), ISBLANK(M1743)),
    "",
    MAX(
        1,
        IF(
            NETWORKDAYS(L1743, M1743, Holiday_Dates) &lt;= 0,
            1,
            NETWORKDAYS(L1743, M1743, Holiday_Dates) - IF(L1743 = M1743, 0, 1)
        )
    )
)</f>
        <v/>
      </c>
      <c r="R1743" s="385" t="str">
        <f>IFERROR(
    IF(
        OR(ISBLANK(N1743), AND(ISBLANK(L1743), ISBLANK(M1743))),
        "",
        MAX(
            1,
            IF(
                NETWORKDAYS(IF(NOT(ISBLANK(M1743)), M1743, L1743), N1743, Holiday_Dates) &lt;= 0,
                1,
                NETWORKDAYS(IF(NOT(ISBLANK(M1743)), M1743, L1743), N1743, Holiday_Dates)
                - IF(IF(NOT(ISBLANK(M1743)), M1743, L1743) = N1743, 0, 1)
            )
        )
    ),
    ""
)</f>
        <v/>
      </c>
      <c r="S1743" s="385" t="str">
        <f>IFERROR(
    IF(
        OR(ISBLANK(N1743), ISBLANK(O1743)),
        "",
        MAX(
            1,
            IF(
                NETWORKDAYS(N1743, O1743, Holiday_Dates) &lt;= 0,
                1,
                NETWORKDAYS(N1743, O1743, Holiday_Dates) - IF(N1743 = O1743, 0, 1)
            )
        )
    ),
    ""
)</f>
        <v/>
      </c>
      <c r="T1743" s="385"/>
      <c r="U1743" s="385" t="s">
        <v>672</v>
      </c>
      <c r="V1743" s="385" t="s">
        <v>101</v>
      </c>
      <c r="W1743" s="385" t="s">
        <v>1436</v>
      </c>
      <c r="X1743" s="1"/>
    </row>
    <row r="1744" spans="1:24">
      <c r="A1744" s="385" t="s">
        <v>52</v>
      </c>
      <c r="B1744" s="385" t="s">
        <v>460</v>
      </c>
      <c r="C1744" s="385" t="s">
        <v>3956</v>
      </c>
      <c r="D1744" s="385" t="s">
        <v>88</v>
      </c>
      <c r="E1744" s="385" t="s">
        <v>39</v>
      </c>
      <c r="F1744" s="385"/>
      <c r="G1744" s="385" t="s">
        <v>28</v>
      </c>
      <c r="H1744" s="385"/>
      <c r="I1744" s="385"/>
      <c r="J1744" s="30"/>
      <c r="K1744" s="385" t="s">
        <v>64</v>
      </c>
      <c r="L1744" s="385"/>
      <c r="M1744" s="385"/>
      <c r="N1744" s="385"/>
      <c r="O1744" s="385"/>
      <c r="P1744" s="385" t="str">
        <f>IFERROR(
    IF(
        OR(ISBLANK(I1744), ISBLANK(L1744)),
        "",
        MAX(
            1,
            IF(
                NETWORKDAYS(I1744, L1744, Holiday_Dates) &lt;= 0,
                1,
                NETWORKDAYS(I1744, L1744, Holiday_Dates) - IF(I1744 = L1744, 0, 1)
            )
        )
    ),
    ""
)</f>
        <v/>
      </c>
      <c r="Q1744" s="385" t="str">
        <f>IF(
    OR(ISBLANK(L1744), ISBLANK(M1744)),
    "",
    MAX(
        1,
        IF(
            NETWORKDAYS(L1744, M1744, Holiday_Dates) &lt;= 0,
            1,
            NETWORKDAYS(L1744, M1744, Holiday_Dates) - IF(L1744 = M1744, 0, 1)
        )
    )
)</f>
        <v/>
      </c>
      <c r="R1744" s="385" t="str">
        <f>IFERROR(
    IF(
        OR(ISBLANK(N1744), AND(ISBLANK(L1744), ISBLANK(M1744))),
        "",
        MAX(
            1,
            IF(
                NETWORKDAYS(IF(NOT(ISBLANK(M1744)), M1744, L1744), N1744, Holiday_Dates) &lt;= 0,
                1,
                NETWORKDAYS(IF(NOT(ISBLANK(M1744)), M1744, L1744), N1744, Holiday_Dates)
                - IF(IF(NOT(ISBLANK(M1744)), M1744, L1744) = N1744, 0, 1)
            )
        )
    ),
    ""
)</f>
        <v/>
      </c>
      <c r="S1744" s="385" t="str">
        <f>IFERROR(
    IF(
        OR(ISBLANK(N1744), ISBLANK(O1744)),
        "",
        MAX(
            1,
            IF(
                NETWORKDAYS(N1744, O1744, Holiday_Dates) &lt;= 0,
                1,
                NETWORKDAYS(N1744, O1744, Holiday_Dates) - IF(N1744 = O1744, 0, 1)
            )
        )
    ),
    ""
)</f>
        <v/>
      </c>
      <c r="T1744" s="385"/>
      <c r="U1744" s="385"/>
      <c r="V1744" s="385"/>
      <c r="W1744" s="385" t="s">
        <v>4710</v>
      </c>
      <c r="X1744" s="1"/>
    </row>
    <row r="1745" spans="1:24">
      <c r="A1745" s="385" t="s">
        <v>65</v>
      </c>
      <c r="B1745" s="385" t="s">
        <v>446</v>
      </c>
      <c r="C1745" s="385" t="s">
        <v>3179</v>
      </c>
      <c r="D1745" s="385" t="s">
        <v>88</v>
      </c>
      <c r="E1745" s="385"/>
      <c r="F1745" s="385"/>
      <c r="G1745" s="385"/>
      <c r="H1745" s="385">
        <v>2025</v>
      </c>
      <c r="I1745" s="386">
        <v>45881</v>
      </c>
      <c r="J1745" s="30" t="s">
        <v>5374</v>
      </c>
      <c r="K1745" s="385"/>
      <c r="L1745" s="385"/>
      <c r="M1745" s="385"/>
      <c r="N1745" s="385"/>
      <c r="O1745" s="385"/>
      <c r="P1745" s="385" t="str">
        <f>IFERROR(
    IF(
        OR(ISBLANK(I1745), ISBLANK(L1745)),
        "",
        MAX(
            1,
            IF(
                NETWORKDAYS(I1745, L1745, Holiday_Dates) &lt;= 0,
                1,
                NETWORKDAYS(I1745, L1745, Holiday_Dates) - IF(I1745 = L1745, 0, 1)
            )
        )
    ),
    ""
)</f>
        <v/>
      </c>
      <c r="Q1745" s="385" t="str">
        <f>IF(
    OR(ISBLANK(L1745), ISBLANK(M1745)),
    "",
    MAX(
        1,
        IF(
            NETWORKDAYS(L1745, M1745, Holiday_Dates) &lt;= 0,
            1,
            NETWORKDAYS(L1745, M1745, Holiday_Dates) - IF(L1745 = M1745, 0, 1)
        )
    )
)</f>
        <v/>
      </c>
      <c r="R1745" s="385" t="str">
        <f>IFERROR(
    IF(
        OR(ISBLANK(N1745), AND(ISBLANK(L1745), ISBLANK(M1745))),
        "",
        MAX(
            1,
            IF(
                NETWORKDAYS(IF(NOT(ISBLANK(M1745)), M1745, L1745), N1745, Holiday_Dates) &lt;= 0,
                1,
                NETWORKDAYS(IF(NOT(ISBLANK(M1745)), M1745, L1745), N1745, Holiday_Dates)
                - IF(IF(NOT(ISBLANK(M1745)), M1745, L1745) = N1745, 0, 1)
            )
        )
    ),
    ""
)</f>
        <v/>
      </c>
      <c r="S1745" s="385" t="str">
        <f>IFERROR(
    IF(
        OR(ISBLANK(N1745), ISBLANK(O1745)),
        "",
        MAX(
            1,
            IF(
                NETWORKDAYS(N1745, O1745, Holiday_Dates) &lt;= 0,
                1,
                NETWORKDAYS(N1745, O1745, Holiday_Dates) - IF(N1745 = O1745, 0, 1)
            )
        )
    ),
    ""
)</f>
        <v/>
      </c>
      <c r="T1745" s="385"/>
      <c r="U1745" s="385" t="s">
        <v>672</v>
      </c>
      <c r="V1745" s="385" t="s">
        <v>101</v>
      </c>
      <c r="W1745" s="385" t="s">
        <v>1436</v>
      </c>
      <c r="X1745" s="1"/>
    </row>
    <row r="1746" spans="1:24">
      <c r="A1746" s="385" t="s">
        <v>65</v>
      </c>
      <c r="B1746" s="385" t="s">
        <v>446</v>
      </c>
      <c r="C1746" s="385" t="s">
        <v>3431</v>
      </c>
      <c r="D1746" s="385" t="s">
        <v>88</v>
      </c>
      <c r="E1746" s="385"/>
      <c r="F1746" s="385"/>
      <c r="G1746" s="385"/>
      <c r="H1746" s="385">
        <v>2024</v>
      </c>
      <c r="I1746" s="386">
        <v>45553</v>
      </c>
      <c r="J1746" s="30"/>
      <c r="K1746" s="385"/>
      <c r="L1746" s="385"/>
      <c r="M1746" s="385"/>
      <c r="N1746" s="385"/>
      <c r="O1746" s="385"/>
      <c r="P1746" s="385" t="str">
        <f>IFERROR(
    IF(
        OR(ISBLANK(I1746), ISBLANK(L1746)),
        "",
        MAX(
            1,
            IF(
                NETWORKDAYS(I1746, L1746, Holiday_Dates) &lt;= 0,
                1,
                NETWORKDAYS(I1746, L1746, Holiday_Dates) - IF(I1746 = L1746, 0, 1)
            )
        )
    ),
    ""
)</f>
        <v/>
      </c>
      <c r="Q1746" s="385" t="str">
        <f>IF(
    OR(ISBLANK(L1746), ISBLANK(M1746)),
    "",
    MAX(
        1,
        IF(
            NETWORKDAYS(L1746, M1746, Holiday_Dates) &lt;= 0,
            1,
            NETWORKDAYS(L1746, M1746, Holiday_Dates) - IF(L1746 = M1746, 0, 1)
        )
    )
)</f>
        <v/>
      </c>
      <c r="R1746" s="385" t="str">
        <f>IFERROR(
    IF(
        OR(ISBLANK(N1746), AND(ISBLANK(L1746), ISBLANK(M1746))),
        "",
        MAX(
            1,
            IF(
                NETWORKDAYS(IF(NOT(ISBLANK(M1746)), M1746, L1746), N1746, Holiday_Dates) &lt;= 0,
                1,
                NETWORKDAYS(IF(NOT(ISBLANK(M1746)), M1746, L1746), N1746, Holiday_Dates)
                - IF(IF(NOT(ISBLANK(M1746)), M1746, L1746) = N1746, 0, 1)
            )
        )
    ),
    ""
)</f>
        <v/>
      </c>
      <c r="S1746" s="385" t="str">
        <f>IFERROR(
    IF(
        OR(ISBLANK(N1746), ISBLANK(O1746)),
        "",
        MAX(
            1,
            IF(
                NETWORKDAYS(N1746, O1746, Holiday_Dates) &lt;= 0,
                1,
                NETWORKDAYS(N1746, O1746, Holiday_Dates) - IF(N1746 = O1746, 0, 1)
            )
        )
    ),
    ""
)</f>
        <v/>
      </c>
      <c r="T1746" s="385"/>
      <c r="U1746" s="385" t="s">
        <v>4</v>
      </c>
      <c r="V1746" s="385" t="s">
        <v>101</v>
      </c>
      <c r="W1746" s="385" t="s">
        <v>1436</v>
      </c>
      <c r="X1746" s="1"/>
    </row>
    <row r="1747" spans="1:24">
      <c r="A1747" s="385" t="s">
        <v>52</v>
      </c>
      <c r="B1747" s="385" t="s">
        <v>460</v>
      </c>
      <c r="C1747" s="385" t="s">
        <v>3959</v>
      </c>
      <c r="D1747" s="385" t="s">
        <v>88</v>
      </c>
      <c r="E1747" s="385" t="s">
        <v>39</v>
      </c>
      <c r="F1747" s="385"/>
      <c r="G1747" s="385" t="s">
        <v>28</v>
      </c>
      <c r="H1747" s="385"/>
      <c r="I1747" s="385"/>
      <c r="J1747" s="30"/>
      <c r="K1747" s="385" t="s">
        <v>64</v>
      </c>
      <c r="L1747" s="385"/>
      <c r="M1747" s="385"/>
      <c r="N1747" s="385"/>
      <c r="O1747" s="385"/>
      <c r="P1747" s="385" t="str">
        <f>IFERROR(
    IF(
        OR(ISBLANK(I1747), ISBLANK(L1747)),
        "",
        MAX(
            1,
            IF(
                NETWORKDAYS(I1747, L1747, Holiday_Dates) &lt;= 0,
                1,
                NETWORKDAYS(I1747, L1747, Holiday_Dates) - IF(I1747 = L1747, 0, 1)
            )
        )
    ),
    ""
)</f>
        <v/>
      </c>
      <c r="Q1747" s="385" t="str">
        <f>IF(
    OR(ISBLANK(L1747), ISBLANK(M1747)),
    "",
    MAX(
        1,
        IF(
            NETWORKDAYS(L1747, M1747, Holiday_Dates) &lt;= 0,
            1,
            NETWORKDAYS(L1747, M1747, Holiday_Dates) - IF(L1747 = M1747, 0, 1)
        )
    )
)</f>
        <v/>
      </c>
      <c r="R1747" s="385" t="str">
        <f>IFERROR(
    IF(
        OR(ISBLANK(N1747), AND(ISBLANK(L1747), ISBLANK(M1747))),
        "",
        MAX(
            1,
            IF(
                NETWORKDAYS(IF(NOT(ISBLANK(M1747)), M1747, L1747), N1747, Holiday_Dates) &lt;= 0,
                1,
                NETWORKDAYS(IF(NOT(ISBLANK(M1747)), M1747, L1747), N1747, Holiday_Dates)
                - IF(IF(NOT(ISBLANK(M1747)), M1747, L1747) = N1747, 0, 1)
            )
        )
    ),
    ""
)</f>
        <v/>
      </c>
      <c r="S1747" s="385" t="str">
        <f>IFERROR(
    IF(
        OR(ISBLANK(N1747), ISBLANK(O1747)),
        "",
        MAX(
            1,
            IF(
                NETWORKDAYS(N1747, O1747, Holiday_Dates) &lt;= 0,
                1,
                NETWORKDAYS(N1747, O1747, Holiday_Dates) - IF(N1747 = O1747, 0, 1)
            )
        )
    ),
    ""
)</f>
        <v/>
      </c>
      <c r="T1747" s="385"/>
      <c r="U1747" s="385"/>
      <c r="V1747" s="385"/>
      <c r="W1747" s="385" t="s">
        <v>4710</v>
      </c>
      <c r="X1747" s="1"/>
    </row>
    <row r="1748" spans="1:24">
      <c r="A1748" s="385" t="s">
        <v>52</v>
      </c>
      <c r="B1748" s="385" t="s">
        <v>460</v>
      </c>
      <c r="C1748" s="385" t="s">
        <v>3965</v>
      </c>
      <c r="D1748" s="385" t="s">
        <v>88</v>
      </c>
      <c r="E1748" s="385" t="s">
        <v>39</v>
      </c>
      <c r="F1748" s="385"/>
      <c r="G1748" s="385" t="s">
        <v>28</v>
      </c>
      <c r="H1748" s="385"/>
      <c r="I1748" s="385"/>
      <c r="J1748" s="30"/>
      <c r="K1748" s="385" t="s">
        <v>64</v>
      </c>
      <c r="L1748" s="385"/>
      <c r="M1748" s="385"/>
      <c r="N1748" s="385"/>
      <c r="O1748" s="385"/>
      <c r="P1748" s="385" t="str">
        <f>IFERROR(
    IF(
        OR(ISBLANK(I1748), ISBLANK(L1748)),
        "",
        MAX(
            1,
            IF(
                NETWORKDAYS(I1748, L1748, Holiday_Dates) &lt;= 0,
                1,
                NETWORKDAYS(I1748, L1748, Holiday_Dates) - IF(I1748 = L1748, 0, 1)
            )
        )
    ),
    ""
)</f>
        <v/>
      </c>
      <c r="Q1748" s="385" t="str">
        <f>IF(
    OR(ISBLANK(L1748), ISBLANK(M1748)),
    "",
    MAX(
        1,
        IF(
            NETWORKDAYS(L1748, M1748, Holiday_Dates) &lt;= 0,
            1,
            NETWORKDAYS(L1748, M1748, Holiday_Dates) - IF(L1748 = M1748, 0, 1)
        )
    )
)</f>
        <v/>
      </c>
      <c r="R1748" s="385" t="str">
        <f>IFERROR(
    IF(
        OR(ISBLANK(N1748), AND(ISBLANK(L1748), ISBLANK(M1748))),
        "",
        MAX(
            1,
            IF(
                NETWORKDAYS(IF(NOT(ISBLANK(M1748)), M1748, L1748), N1748, Holiday_Dates) &lt;= 0,
                1,
                NETWORKDAYS(IF(NOT(ISBLANK(M1748)), M1748, L1748), N1748, Holiday_Dates)
                - IF(IF(NOT(ISBLANK(M1748)), M1748, L1748) = N1748, 0, 1)
            )
        )
    ),
    ""
)</f>
        <v/>
      </c>
      <c r="S1748" s="385" t="str">
        <f>IFERROR(
    IF(
        OR(ISBLANK(N1748), ISBLANK(O1748)),
        "",
        MAX(
            1,
            IF(
                NETWORKDAYS(N1748, O1748, Holiday_Dates) &lt;= 0,
                1,
                NETWORKDAYS(N1748, O1748, Holiday_Dates) - IF(N1748 = O1748, 0, 1)
            )
        )
    ),
    ""
)</f>
        <v/>
      </c>
      <c r="T1748" s="385"/>
      <c r="U1748" s="385"/>
      <c r="V1748" s="385"/>
      <c r="W1748" s="385" t="s">
        <v>4710</v>
      </c>
      <c r="X1748" s="1"/>
    </row>
    <row r="1749" spans="1:24">
      <c r="A1749" s="385" t="s">
        <v>65</v>
      </c>
      <c r="B1749" s="385" t="s">
        <v>446</v>
      </c>
      <c r="C1749" s="385" t="s">
        <v>3434</v>
      </c>
      <c r="D1749" s="385" t="s">
        <v>88</v>
      </c>
      <c r="E1749" s="385"/>
      <c r="F1749" s="385"/>
      <c r="G1749" s="385"/>
      <c r="H1749" s="385">
        <v>2025</v>
      </c>
      <c r="I1749" s="386">
        <v>45685</v>
      </c>
      <c r="J1749" s="30" t="s">
        <v>5375</v>
      </c>
      <c r="K1749" s="385"/>
      <c r="L1749" s="385"/>
      <c r="M1749" s="385"/>
      <c r="N1749" s="385"/>
      <c r="O1749" s="385"/>
      <c r="P1749" s="385" t="str">
        <f>IFERROR(
    IF(
        OR(ISBLANK(I1749), ISBLANK(L1749)),
        "",
        MAX(
            1,
            IF(
                NETWORKDAYS(I1749, L1749, Holiday_Dates) &lt;= 0,
                1,
                NETWORKDAYS(I1749, L1749, Holiday_Dates) - IF(I1749 = L1749, 0, 1)
            )
        )
    ),
    ""
)</f>
        <v/>
      </c>
      <c r="Q1749" s="385" t="str">
        <f>IF(
    OR(ISBLANK(L1749), ISBLANK(M1749)),
    "",
    MAX(
        1,
        IF(
            NETWORKDAYS(L1749, M1749, Holiday_Dates) &lt;= 0,
            1,
            NETWORKDAYS(L1749, M1749, Holiday_Dates) - IF(L1749 = M1749, 0, 1)
        )
    )
)</f>
        <v/>
      </c>
      <c r="R1749" s="385" t="str">
        <f>IFERROR(
    IF(
        OR(ISBLANK(N1749), AND(ISBLANK(L1749), ISBLANK(M1749))),
        "",
        MAX(
            1,
            IF(
                NETWORKDAYS(IF(NOT(ISBLANK(M1749)), M1749, L1749), N1749, Holiday_Dates) &lt;= 0,
                1,
                NETWORKDAYS(IF(NOT(ISBLANK(M1749)), M1749, L1749), N1749, Holiday_Dates)
                - IF(IF(NOT(ISBLANK(M1749)), M1749, L1749) = N1749, 0, 1)
            )
        )
    ),
    ""
)</f>
        <v/>
      </c>
      <c r="S1749" s="385" t="str">
        <f>IFERROR(
    IF(
        OR(ISBLANK(N1749), ISBLANK(O1749)),
        "",
        MAX(
            1,
            IF(
                NETWORKDAYS(N1749, O1749, Holiday_Dates) &lt;= 0,
                1,
                NETWORKDAYS(N1749, O1749, Holiday_Dates) - IF(N1749 = O1749, 0, 1)
            )
        )
    ),
    ""
)</f>
        <v/>
      </c>
      <c r="T1749" s="385"/>
      <c r="U1749" s="385" t="s">
        <v>672</v>
      </c>
      <c r="V1749" s="385" t="s">
        <v>101</v>
      </c>
      <c r="W1749" s="385" t="s">
        <v>1436</v>
      </c>
      <c r="X1749" s="1"/>
    </row>
    <row r="1750" spans="1:24">
      <c r="A1750" s="385" t="s">
        <v>65</v>
      </c>
      <c r="B1750" s="385" t="s">
        <v>446</v>
      </c>
      <c r="C1750" s="385" t="s">
        <v>3435</v>
      </c>
      <c r="D1750" s="385" t="s">
        <v>88</v>
      </c>
      <c r="E1750" s="385"/>
      <c r="F1750" s="385"/>
      <c r="G1750" s="385"/>
      <c r="H1750" s="385">
        <v>2024</v>
      </c>
      <c r="I1750" s="386">
        <v>45433</v>
      </c>
      <c r="J1750" s="30"/>
      <c r="K1750" s="385"/>
      <c r="L1750" s="385"/>
      <c r="M1750" s="385"/>
      <c r="N1750" s="385"/>
      <c r="O1750" s="385"/>
      <c r="P1750" s="385" t="str">
        <f>IFERROR(
    IF(
        OR(ISBLANK(I1750), ISBLANK(L1750)),
        "",
        MAX(
            1,
            IF(
                NETWORKDAYS(I1750, L1750, Holiday_Dates) &lt;= 0,
                1,
                NETWORKDAYS(I1750, L1750, Holiday_Dates) - IF(I1750 = L1750, 0, 1)
            )
        )
    ),
    ""
)</f>
        <v/>
      </c>
      <c r="Q1750" s="385" t="str">
        <f>IF(
    OR(ISBLANK(L1750), ISBLANK(M1750)),
    "",
    MAX(
        1,
        IF(
            NETWORKDAYS(L1750, M1750, Holiday_Dates) &lt;= 0,
            1,
            NETWORKDAYS(L1750, M1750, Holiday_Dates) - IF(L1750 = M1750, 0, 1)
        )
    )
)</f>
        <v/>
      </c>
      <c r="R1750" s="385" t="str">
        <f>IFERROR(
    IF(
        OR(ISBLANK(N1750), AND(ISBLANK(L1750), ISBLANK(M1750))),
        "",
        MAX(
            1,
            IF(
                NETWORKDAYS(IF(NOT(ISBLANK(M1750)), M1750, L1750), N1750, Holiday_Dates) &lt;= 0,
                1,
                NETWORKDAYS(IF(NOT(ISBLANK(M1750)), M1750, L1750), N1750, Holiday_Dates)
                - IF(IF(NOT(ISBLANK(M1750)), M1750, L1750) = N1750, 0, 1)
            )
        )
    ),
    ""
)</f>
        <v/>
      </c>
      <c r="S1750" s="385" t="str">
        <f>IFERROR(
    IF(
        OR(ISBLANK(N1750), ISBLANK(O1750)),
        "",
        MAX(
            1,
            IF(
                NETWORKDAYS(N1750, O1750, Holiday_Dates) &lt;= 0,
                1,
                NETWORKDAYS(N1750, O1750, Holiday_Dates) - IF(N1750 = O1750, 0, 1)
            )
        )
    ),
    ""
)</f>
        <v/>
      </c>
      <c r="T1750" s="385"/>
      <c r="U1750" s="385" t="s">
        <v>672</v>
      </c>
      <c r="V1750" s="385"/>
      <c r="W1750" s="385" t="s">
        <v>1436</v>
      </c>
      <c r="X1750" s="1"/>
    </row>
    <row r="1751" spans="1:24">
      <c r="A1751" s="385" t="s">
        <v>52</v>
      </c>
      <c r="B1751" s="385" t="s">
        <v>460</v>
      </c>
      <c r="C1751" s="385" t="s">
        <v>3966</v>
      </c>
      <c r="D1751" s="385" t="s">
        <v>88</v>
      </c>
      <c r="E1751" s="385" t="s">
        <v>39</v>
      </c>
      <c r="F1751" s="385"/>
      <c r="G1751" s="385" t="s">
        <v>28</v>
      </c>
      <c r="H1751" s="385"/>
      <c r="I1751" s="385"/>
      <c r="J1751" s="30"/>
      <c r="K1751" s="385" t="s">
        <v>64</v>
      </c>
      <c r="L1751" s="385"/>
      <c r="M1751" s="385"/>
      <c r="N1751" s="385"/>
      <c r="O1751" s="385"/>
      <c r="P1751" s="385" t="str">
        <f>IFERROR(
    IF(
        OR(ISBLANK(I1751), ISBLANK(L1751)),
        "",
        MAX(
            1,
            IF(
                NETWORKDAYS(I1751, L1751, Holiday_Dates) &lt;= 0,
                1,
                NETWORKDAYS(I1751, L1751, Holiday_Dates) - IF(I1751 = L1751, 0, 1)
            )
        )
    ),
    ""
)</f>
        <v/>
      </c>
      <c r="Q1751" s="385" t="str">
        <f>IF(
    OR(ISBLANK(L1751), ISBLANK(M1751)),
    "",
    MAX(
        1,
        IF(
            NETWORKDAYS(L1751, M1751, Holiday_Dates) &lt;= 0,
            1,
            NETWORKDAYS(L1751, M1751, Holiday_Dates) - IF(L1751 = M1751, 0, 1)
        )
    )
)</f>
        <v/>
      </c>
      <c r="R1751" s="385" t="str">
        <f>IFERROR(
    IF(
        OR(ISBLANK(N1751), AND(ISBLANK(L1751), ISBLANK(M1751))),
        "",
        MAX(
            1,
            IF(
                NETWORKDAYS(IF(NOT(ISBLANK(M1751)), M1751, L1751), N1751, Holiday_Dates) &lt;= 0,
                1,
                NETWORKDAYS(IF(NOT(ISBLANK(M1751)), M1751, L1751), N1751, Holiday_Dates)
                - IF(IF(NOT(ISBLANK(M1751)), M1751, L1751) = N1751, 0, 1)
            )
        )
    ),
    ""
)</f>
        <v/>
      </c>
      <c r="S1751" s="385" t="str">
        <f>IFERROR(
    IF(
        OR(ISBLANK(N1751), ISBLANK(O1751)),
        "",
        MAX(
            1,
            IF(
                NETWORKDAYS(N1751, O1751, Holiday_Dates) &lt;= 0,
                1,
                NETWORKDAYS(N1751, O1751, Holiday_Dates) - IF(N1751 = O1751, 0, 1)
            )
        )
    ),
    ""
)</f>
        <v/>
      </c>
      <c r="T1751" s="385"/>
      <c r="U1751" s="385"/>
      <c r="V1751" s="385"/>
      <c r="W1751" s="385" t="s">
        <v>4710</v>
      </c>
      <c r="X1751" s="1"/>
    </row>
    <row r="1752" spans="1:24">
      <c r="A1752" s="385" t="s">
        <v>65</v>
      </c>
      <c r="B1752" s="385" t="s">
        <v>446</v>
      </c>
      <c r="C1752" s="385" t="s">
        <v>2835</v>
      </c>
      <c r="D1752" s="385" t="s">
        <v>88</v>
      </c>
      <c r="E1752" s="385"/>
      <c r="F1752" s="385"/>
      <c r="G1752" s="385"/>
      <c r="H1752" s="385">
        <v>2024</v>
      </c>
      <c r="I1752" s="386">
        <v>45553</v>
      </c>
      <c r="J1752" s="30"/>
      <c r="K1752" s="385"/>
      <c r="L1752" s="385"/>
      <c r="M1752" s="385"/>
      <c r="N1752" s="385"/>
      <c r="O1752" s="385"/>
      <c r="P1752" s="385" t="str">
        <f>IFERROR(
    IF(
        OR(ISBLANK(I1752), ISBLANK(L1752)),
        "",
        MAX(
            1,
            IF(
                NETWORKDAYS(I1752, L1752, Holiday_Dates) &lt;= 0,
                1,
                NETWORKDAYS(I1752, L1752, Holiday_Dates) - IF(I1752 = L1752, 0, 1)
            )
        )
    ),
    ""
)</f>
        <v/>
      </c>
      <c r="Q1752" s="385" t="str">
        <f>IF(
    OR(ISBLANK(L1752), ISBLANK(M1752)),
    "",
    MAX(
        1,
        IF(
            NETWORKDAYS(L1752, M1752, Holiday_Dates) &lt;= 0,
            1,
            NETWORKDAYS(L1752, M1752, Holiday_Dates) - IF(L1752 = M1752, 0, 1)
        )
    )
)</f>
        <v/>
      </c>
      <c r="R1752" s="385" t="str">
        <f>IFERROR(
    IF(
        OR(ISBLANK(N1752), AND(ISBLANK(L1752), ISBLANK(M1752))),
        "",
        MAX(
            1,
            IF(
                NETWORKDAYS(IF(NOT(ISBLANK(M1752)), M1752, L1752), N1752, Holiday_Dates) &lt;= 0,
                1,
                NETWORKDAYS(IF(NOT(ISBLANK(M1752)), M1752, L1752), N1752, Holiday_Dates)
                - IF(IF(NOT(ISBLANK(M1752)), M1752, L1752) = N1752, 0, 1)
            )
        )
    ),
    ""
)</f>
        <v/>
      </c>
      <c r="S1752" s="385" t="str">
        <f>IFERROR(
    IF(
        OR(ISBLANK(N1752), ISBLANK(O1752)),
        "",
        MAX(
            1,
            IF(
                NETWORKDAYS(N1752, O1752, Holiday_Dates) &lt;= 0,
                1,
                NETWORKDAYS(N1752, O1752, Holiday_Dates) - IF(N1752 = O1752, 0, 1)
            )
        )
    ),
    ""
)</f>
        <v/>
      </c>
      <c r="T1752" s="385"/>
      <c r="U1752" s="385" t="s">
        <v>4</v>
      </c>
      <c r="V1752" s="385" t="s">
        <v>101</v>
      </c>
      <c r="W1752" s="385" t="s">
        <v>1436</v>
      </c>
      <c r="X1752" s="1"/>
    </row>
    <row r="1753" spans="1:24">
      <c r="A1753" s="385" t="s">
        <v>52</v>
      </c>
      <c r="B1753" s="385" t="s">
        <v>420</v>
      </c>
      <c r="C1753" s="385" t="s">
        <v>3850</v>
      </c>
      <c r="D1753" s="385" t="s">
        <v>89</v>
      </c>
      <c r="E1753" s="385" t="s">
        <v>38</v>
      </c>
      <c r="F1753" s="385"/>
      <c r="G1753" s="385" t="s">
        <v>28</v>
      </c>
      <c r="H1753" s="385"/>
      <c r="I1753" s="385"/>
      <c r="J1753" s="30"/>
      <c r="K1753" s="385" t="s">
        <v>64</v>
      </c>
      <c r="L1753" s="385"/>
      <c r="M1753" s="385"/>
      <c r="N1753" s="385"/>
      <c r="O1753" s="385"/>
      <c r="P1753" s="385" t="str">
        <f>IFERROR(
    IF(
        OR(ISBLANK(I1753), ISBLANK(L1753)),
        "",
        MAX(
            1,
            IF(
                NETWORKDAYS(I1753, L1753, Holiday_Dates) &lt;= 0,
                1,
                NETWORKDAYS(I1753, L1753, Holiday_Dates) - IF(I1753 = L1753, 0, 1)
            )
        )
    ),
    ""
)</f>
        <v/>
      </c>
      <c r="Q1753" s="385" t="str">
        <f>IF(
    OR(ISBLANK(L1753), ISBLANK(M1753)),
    "",
    MAX(
        1,
        IF(
            NETWORKDAYS(L1753, M1753, Holiday_Dates) &lt;= 0,
            1,
            NETWORKDAYS(L1753, M1753, Holiday_Dates) - IF(L1753 = M1753, 0, 1)
        )
    )
)</f>
        <v/>
      </c>
      <c r="R1753" s="385" t="str">
        <f>IFERROR(
    IF(
        OR(ISBLANK(N1753), AND(ISBLANK(L1753), ISBLANK(M1753))),
        "",
        MAX(
            1,
            IF(
                NETWORKDAYS(IF(NOT(ISBLANK(M1753)), M1753, L1753), N1753, Holiday_Dates) &lt;= 0,
                1,
                NETWORKDAYS(IF(NOT(ISBLANK(M1753)), M1753, L1753), N1753, Holiday_Dates)
                - IF(IF(NOT(ISBLANK(M1753)), M1753, L1753) = N1753, 0, 1)
            )
        )
    ),
    ""
)</f>
        <v/>
      </c>
      <c r="S1753" s="385" t="str">
        <f>IFERROR(
    IF(
        OR(ISBLANK(N1753), ISBLANK(O1753)),
        "",
        MAX(
            1,
            IF(
                NETWORKDAYS(N1753, O1753, Holiday_Dates) &lt;= 0,
                1,
                NETWORKDAYS(N1753, O1753, Holiday_Dates) - IF(N1753 = O1753, 0, 1)
            )
        )
    ),
    ""
)</f>
        <v/>
      </c>
      <c r="T1753" s="385"/>
      <c r="U1753" s="385"/>
      <c r="V1753" s="385"/>
      <c r="W1753" s="385" t="s">
        <v>4710</v>
      </c>
      <c r="X1753" s="1"/>
    </row>
    <row r="1754" spans="1:24">
      <c r="A1754" s="385" t="s">
        <v>52</v>
      </c>
      <c r="B1754" s="385" t="s">
        <v>420</v>
      </c>
      <c r="C1754" s="385" t="s">
        <v>427</v>
      </c>
      <c r="D1754" s="385" t="s">
        <v>89</v>
      </c>
      <c r="E1754" s="385" t="s">
        <v>38</v>
      </c>
      <c r="F1754" s="385"/>
      <c r="G1754" s="385" t="s">
        <v>28</v>
      </c>
      <c r="H1754" s="385"/>
      <c r="I1754" s="385"/>
      <c r="J1754" s="30"/>
      <c r="K1754" s="385" t="s">
        <v>64</v>
      </c>
      <c r="L1754" s="385"/>
      <c r="M1754" s="385"/>
      <c r="N1754" s="385"/>
      <c r="O1754" s="385"/>
      <c r="P1754" s="385" t="str">
        <f>IFERROR(
    IF(
        OR(ISBLANK(I1754), ISBLANK(L1754)),
        "",
        MAX(
            1,
            IF(
                NETWORKDAYS(I1754, L1754, Holiday_Dates) &lt;= 0,
                1,
                NETWORKDAYS(I1754, L1754, Holiday_Dates) - IF(I1754 = L1754, 0, 1)
            )
        )
    ),
    ""
)</f>
        <v/>
      </c>
      <c r="Q1754" s="385" t="str">
        <f>IF(
    OR(ISBLANK(L1754), ISBLANK(M1754)),
    "",
    MAX(
        1,
        IF(
            NETWORKDAYS(L1754, M1754, Holiday_Dates) &lt;= 0,
            1,
            NETWORKDAYS(L1754, M1754, Holiday_Dates) - IF(L1754 = M1754, 0, 1)
        )
    )
)</f>
        <v/>
      </c>
      <c r="R1754" s="385" t="str">
        <f>IFERROR(
    IF(
        OR(ISBLANK(N1754), AND(ISBLANK(L1754), ISBLANK(M1754))),
        "",
        MAX(
            1,
            IF(
                NETWORKDAYS(IF(NOT(ISBLANK(M1754)), M1754, L1754), N1754, Holiday_Dates) &lt;= 0,
                1,
                NETWORKDAYS(IF(NOT(ISBLANK(M1754)), M1754, L1754), N1754, Holiday_Dates)
                - IF(IF(NOT(ISBLANK(M1754)), M1754, L1754) = N1754, 0, 1)
            )
        )
    ),
    ""
)</f>
        <v/>
      </c>
      <c r="S1754" s="385" t="str">
        <f>IFERROR(
    IF(
        OR(ISBLANK(N1754), ISBLANK(O1754)),
        "",
        MAX(
            1,
            IF(
                NETWORKDAYS(N1754, O1754, Holiday_Dates) &lt;= 0,
                1,
                NETWORKDAYS(N1754, O1754, Holiday_Dates) - IF(N1754 = O1754, 0, 1)
            )
        )
    ),
    ""
)</f>
        <v/>
      </c>
      <c r="T1754" s="385"/>
      <c r="U1754" s="385"/>
      <c r="V1754" s="385"/>
      <c r="W1754" s="385" t="s">
        <v>4710</v>
      </c>
      <c r="X1754" s="1"/>
    </row>
    <row r="1755" spans="1:24">
      <c r="A1755" s="385" t="s">
        <v>52</v>
      </c>
      <c r="B1755" s="385" t="s">
        <v>420</v>
      </c>
      <c r="C1755" s="385" t="s">
        <v>4097</v>
      </c>
      <c r="D1755" s="385" t="s">
        <v>89</v>
      </c>
      <c r="E1755" s="385" t="s">
        <v>38</v>
      </c>
      <c r="F1755" s="385"/>
      <c r="G1755" s="385" t="s">
        <v>28</v>
      </c>
      <c r="H1755" s="385"/>
      <c r="I1755" s="385"/>
      <c r="J1755" s="30"/>
      <c r="K1755" s="385" t="s">
        <v>64</v>
      </c>
      <c r="L1755" s="385"/>
      <c r="M1755" s="385"/>
      <c r="N1755" s="385"/>
      <c r="O1755" s="385"/>
      <c r="P1755" s="385" t="str">
        <f>IFERROR(
    IF(
        OR(ISBLANK(I1755), ISBLANK(L1755)),
        "",
        MAX(
            1,
            IF(
                NETWORKDAYS(I1755, L1755, Holiday_Dates) &lt;= 0,
                1,
                NETWORKDAYS(I1755, L1755, Holiday_Dates) - IF(I1755 = L1755, 0, 1)
            )
        )
    ),
    ""
)</f>
        <v/>
      </c>
      <c r="Q1755" s="385" t="str">
        <f>IF(
    OR(ISBLANK(L1755), ISBLANK(M1755)),
    "",
    MAX(
        1,
        IF(
            NETWORKDAYS(L1755, M1755, Holiday_Dates) &lt;= 0,
            1,
            NETWORKDAYS(L1755, M1755, Holiday_Dates) - IF(L1755 = M1755, 0, 1)
        )
    )
)</f>
        <v/>
      </c>
      <c r="R1755" s="385" t="str">
        <f>IFERROR(
    IF(
        OR(ISBLANK(N1755), AND(ISBLANK(L1755), ISBLANK(M1755))),
        "",
        MAX(
            1,
            IF(
                NETWORKDAYS(IF(NOT(ISBLANK(M1755)), M1755, L1755), N1755, Holiday_Dates) &lt;= 0,
                1,
                NETWORKDAYS(IF(NOT(ISBLANK(M1755)), M1755, L1755), N1755, Holiday_Dates)
                - IF(IF(NOT(ISBLANK(M1755)), M1755, L1755) = N1755, 0, 1)
            )
        )
    ),
    ""
)</f>
        <v/>
      </c>
      <c r="S1755" s="385" t="str">
        <f>IFERROR(
    IF(
        OR(ISBLANK(N1755), ISBLANK(O1755)),
        "",
        MAX(
            1,
            IF(
                NETWORKDAYS(N1755, O1755, Holiday_Dates) &lt;= 0,
                1,
                NETWORKDAYS(N1755, O1755, Holiday_Dates) - IF(N1755 = O1755, 0, 1)
            )
        )
    ),
    ""
)</f>
        <v/>
      </c>
      <c r="T1755" s="385"/>
      <c r="U1755" s="385"/>
      <c r="V1755" s="385"/>
      <c r="W1755" s="385" t="s">
        <v>4710</v>
      </c>
      <c r="X1755" s="1"/>
    </row>
    <row r="1756" spans="1:24">
      <c r="A1756" s="385" t="s">
        <v>65</v>
      </c>
      <c r="B1756" s="385" t="s">
        <v>446</v>
      </c>
      <c r="C1756" s="385" t="s">
        <v>1359</v>
      </c>
      <c r="D1756" s="385" t="s">
        <v>88</v>
      </c>
      <c r="E1756" s="385"/>
      <c r="F1756" s="385"/>
      <c r="G1756" s="385"/>
      <c r="H1756" s="385">
        <v>2024</v>
      </c>
      <c r="I1756" s="386">
        <v>45320</v>
      </c>
      <c r="J1756" s="30"/>
      <c r="K1756" s="385"/>
      <c r="L1756" s="385"/>
      <c r="M1756" s="385"/>
      <c r="N1756" s="385"/>
      <c r="O1756" s="385"/>
      <c r="P1756" s="385" t="str">
        <f>IFERROR(
    IF(
        OR(ISBLANK(I1756), ISBLANK(L1756)),
        "",
        MAX(
            1,
            IF(
                NETWORKDAYS(I1756, L1756, Holiday_Dates) &lt;= 0,
                1,
                NETWORKDAYS(I1756, L1756, Holiday_Dates) - IF(I1756 = L1756, 0, 1)
            )
        )
    ),
    ""
)</f>
        <v/>
      </c>
      <c r="Q1756" s="385" t="str">
        <f>IF(
    OR(ISBLANK(L1756), ISBLANK(M1756)),
    "",
    MAX(
        1,
        IF(
            NETWORKDAYS(L1756, M1756, Holiday_Dates) &lt;= 0,
            1,
            NETWORKDAYS(L1756, M1756, Holiday_Dates) - IF(L1756 = M1756, 0, 1)
        )
    )
)</f>
        <v/>
      </c>
      <c r="R1756" s="385" t="str">
        <f>IFERROR(
    IF(
        OR(ISBLANK(N1756), AND(ISBLANK(L1756), ISBLANK(M1756))),
        "",
        MAX(
            1,
            IF(
                NETWORKDAYS(IF(NOT(ISBLANK(M1756)), M1756, L1756), N1756, Holiday_Dates) &lt;= 0,
                1,
                NETWORKDAYS(IF(NOT(ISBLANK(M1756)), M1756, L1756), N1756, Holiday_Dates)
                - IF(IF(NOT(ISBLANK(M1756)), M1756, L1756) = N1756, 0, 1)
            )
        )
    ),
    ""
)</f>
        <v/>
      </c>
      <c r="S1756" s="385" t="str">
        <f>IFERROR(
    IF(
        OR(ISBLANK(N1756), ISBLANK(O1756)),
        "",
        MAX(
            1,
            IF(
                NETWORKDAYS(N1756, O1756, Holiday_Dates) &lt;= 0,
                1,
                NETWORKDAYS(N1756, O1756, Holiday_Dates) - IF(N1756 = O1756, 0, 1)
            )
        )
    ),
    ""
)</f>
        <v/>
      </c>
      <c r="T1756" s="385"/>
      <c r="U1756" s="385" t="s">
        <v>672</v>
      </c>
      <c r="V1756" s="385"/>
      <c r="W1756" s="385" t="s">
        <v>1436</v>
      </c>
      <c r="X1756" s="1"/>
    </row>
    <row r="1757" spans="1:24">
      <c r="A1757" s="385" t="s">
        <v>65</v>
      </c>
      <c r="B1757" s="385" t="s">
        <v>446</v>
      </c>
      <c r="C1757" s="385" t="s">
        <v>694</v>
      </c>
      <c r="D1757" s="385" t="s">
        <v>88</v>
      </c>
      <c r="E1757" s="385"/>
      <c r="F1757" s="385"/>
      <c r="G1757" s="385"/>
      <c r="H1757" s="385">
        <v>2024</v>
      </c>
      <c r="I1757" s="386">
        <v>45365</v>
      </c>
      <c r="J1757" s="30"/>
      <c r="K1757" s="385"/>
      <c r="L1757" s="385"/>
      <c r="M1757" s="385"/>
      <c r="N1757" s="385"/>
      <c r="O1757" s="385"/>
      <c r="P1757" s="385" t="str">
        <f>IFERROR(
    IF(
        OR(ISBLANK(I1757), ISBLANK(L1757)),
        "",
        MAX(
            1,
            IF(
                NETWORKDAYS(I1757, L1757, Holiday_Dates) &lt;= 0,
                1,
                NETWORKDAYS(I1757, L1757, Holiday_Dates) - IF(I1757 = L1757, 0, 1)
            )
        )
    ),
    ""
)</f>
        <v/>
      </c>
      <c r="Q1757" s="385" t="str">
        <f>IF(
    OR(ISBLANK(L1757), ISBLANK(M1757)),
    "",
    MAX(
        1,
        IF(
            NETWORKDAYS(L1757, M1757, Holiday_Dates) &lt;= 0,
            1,
            NETWORKDAYS(L1757, M1757, Holiday_Dates) - IF(L1757 = M1757, 0, 1)
        )
    )
)</f>
        <v/>
      </c>
      <c r="R1757" s="385" t="str">
        <f>IFERROR(
    IF(
        OR(ISBLANK(N1757), AND(ISBLANK(L1757), ISBLANK(M1757))),
        "",
        MAX(
            1,
            IF(
                NETWORKDAYS(IF(NOT(ISBLANK(M1757)), M1757, L1757), N1757, Holiday_Dates) &lt;= 0,
                1,
                NETWORKDAYS(IF(NOT(ISBLANK(M1757)), M1757, L1757), N1757, Holiday_Dates)
                - IF(IF(NOT(ISBLANK(M1757)), M1757, L1757) = N1757, 0, 1)
            )
        )
    ),
    ""
)</f>
        <v/>
      </c>
      <c r="S1757" s="385" t="str">
        <f>IFERROR(
    IF(
        OR(ISBLANK(N1757), ISBLANK(O1757)),
        "",
        MAX(
            1,
            IF(
                NETWORKDAYS(N1757, O1757, Holiday_Dates) &lt;= 0,
                1,
                NETWORKDAYS(N1757, O1757, Holiday_Dates) - IF(N1757 = O1757, 0, 1)
            )
        )
    ),
    ""
)</f>
        <v/>
      </c>
      <c r="T1757" s="385"/>
      <c r="U1757" s="385" t="s">
        <v>672</v>
      </c>
      <c r="V1757" s="385"/>
      <c r="W1757" s="385" t="s">
        <v>1436</v>
      </c>
      <c r="X1757" s="1"/>
    </row>
    <row r="1758" spans="1:24">
      <c r="A1758" s="385" t="s">
        <v>65</v>
      </c>
      <c r="B1758" s="385" t="s">
        <v>446</v>
      </c>
      <c r="C1758" s="385" t="s">
        <v>3441</v>
      </c>
      <c r="D1758" s="385" t="s">
        <v>88</v>
      </c>
      <c r="E1758" s="385"/>
      <c r="F1758" s="385"/>
      <c r="G1758" s="385"/>
      <c r="H1758" s="385">
        <v>2024</v>
      </c>
      <c r="I1758" s="386">
        <v>45553</v>
      </c>
      <c r="J1758" s="30"/>
      <c r="K1758" s="385"/>
      <c r="L1758" s="385"/>
      <c r="M1758" s="385"/>
      <c r="N1758" s="385"/>
      <c r="O1758" s="385"/>
      <c r="P1758" s="385" t="str">
        <f>IFERROR(
    IF(
        OR(ISBLANK(I1758), ISBLANK(L1758)),
        "",
        MAX(
            1,
            IF(
                NETWORKDAYS(I1758, L1758, Holiday_Dates) &lt;= 0,
                1,
                NETWORKDAYS(I1758, L1758, Holiday_Dates) - IF(I1758 = L1758, 0, 1)
            )
        )
    ),
    ""
)</f>
        <v/>
      </c>
      <c r="Q1758" s="385" t="str">
        <f>IF(
    OR(ISBLANK(L1758), ISBLANK(M1758)),
    "",
    MAX(
        1,
        IF(
            NETWORKDAYS(L1758, M1758, Holiday_Dates) &lt;= 0,
            1,
            NETWORKDAYS(L1758, M1758, Holiday_Dates) - IF(L1758 = M1758, 0, 1)
        )
    )
)</f>
        <v/>
      </c>
      <c r="R1758" s="385" t="str">
        <f>IFERROR(
    IF(
        OR(ISBLANK(N1758), AND(ISBLANK(L1758), ISBLANK(M1758))),
        "",
        MAX(
            1,
            IF(
                NETWORKDAYS(IF(NOT(ISBLANK(M1758)), M1758, L1758), N1758, Holiday_Dates) &lt;= 0,
                1,
                NETWORKDAYS(IF(NOT(ISBLANK(M1758)), M1758, L1758), N1758, Holiday_Dates)
                - IF(IF(NOT(ISBLANK(M1758)), M1758, L1758) = N1758, 0, 1)
            )
        )
    ),
    ""
)</f>
        <v/>
      </c>
      <c r="S1758" s="385" t="str">
        <f>IFERROR(
    IF(
        OR(ISBLANK(N1758), ISBLANK(O1758)),
        "",
        MAX(
            1,
            IF(
                NETWORKDAYS(N1758, O1758, Holiday_Dates) &lt;= 0,
                1,
                NETWORKDAYS(N1758, O1758, Holiday_Dates) - IF(N1758 = O1758, 0, 1)
            )
        )
    ),
    ""
)</f>
        <v/>
      </c>
      <c r="T1758" s="385"/>
      <c r="U1758" s="385" t="s">
        <v>4</v>
      </c>
      <c r="V1758" s="385" t="s">
        <v>101</v>
      </c>
      <c r="W1758" s="385" t="s">
        <v>1436</v>
      </c>
      <c r="X1758" s="1"/>
    </row>
    <row r="1759" spans="1:24">
      <c r="A1759" s="385" t="s">
        <v>53</v>
      </c>
      <c r="B1759" s="385" t="s">
        <v>242</v>
      </c>
      <c r="C1759" s="385" t="s">
        <v>4433</v>
      </c>
      <c r="D1759" s="385" t="s">
        <v>89</v>
      </c>
      <c r="E1759" s="385" t="s">
        <v>246</v>
      </c>
      <c r="F1759" s="385"/>
      <c r="G1759" s="385" t="s">
        <v>133</v>
      </c>
      <c r="H1759" s="385"/>
      <c r="I1759" s="385"/>
      <c r="J1759" s="30"/>
      <c r="K1759" s="385" t="s">
        <v>64</v>
      </c>
      <c r="L1759" s="385"/>
      <c r="M1759" s="385"/>
      <c r="N1759" s="385"/>
      <c r="O1759" s="385"/>
      <c r="P1759" s="385" t="str">
        <f>IFERROR(
    IF(
        OR(ISBLANK(I1759), ISBLANK(L1759)),
        "",
        MAX(
            1,
            IF(
                NETWORKDAYS(I1759, L1759, Holiday_Dates) &lt;= 0,
                1,
                NETWORKDAYS(I1759, L1759, Holiday_Dates) - IF(I1759 = L1759, 0, 1)
            )
        )
    ),
    ""
)</f>
        <v/>
      </c>
      <c r="Q1759" s="385" t="str">
        <f>IF(
    OR(ISBLANK(L1759), ISBLANK(M1759)),
    "",
    MAX(
        1,
        IF(
            NETWORKDAYS(L1759, M1759, Holiday_Dates) &lt;= 0,
            1,
            NETWORKDAYS(L1759, M1759, Holiday_Dates) - IF(L1759 = M1759, 0, 1)
        )
    )
)</f>
        <v/>
      </c>
      <c r="R1759" s="385" t="str">
        <f>IFERROR(
    IF(
        OR(ISBLANK(N1759), AND(ISBLANK(L1759), ISBLANK(M1759))),
        "",
        MAX(
            1,
            IF(
                NETWORKDAYS(IF(NOT(ISBLANK(M1759)), M1759, L1759), N1759, Holiday_Dates) &lt;= 0,
                1,
                NETWORKDAYS(IF(NOT(ISBLANK(M1759)), M1759, L1759), N1759, Holiday_Dates)
                - IF(IF(NOT(ISBLANK(M1759)), M1759, L1759) = N1759, 0, 1)
            )
        )
    ),
    ""
)</f>
        <v/>
      </c>
      <c r="S1759" s="385" t="str">
        <f>IFERROR(
    IF(
        OR(ISBLANK(N1759), ISBLANK(O1759)),
        "",
        MAX(
            1,
            IF(
                NETWORKDAYS(N1759, O1759, Holiday_Dates) &lt;= 0,
                1,
                NETWORKDAYS(N1759, O1759, Holiday_Dates) - IF(N1759 = O1759, 0, 1)
            )
        )
    ),
    ""
)</f>
        <v/>
      </c>
      <c r="T1759" s="385"/>
      <c r="U1759" s="385"/>
      <c r="V1759" s="385"/>
      <c r="W1759" s="385" t="s">
        <v>4710</v>
      </c>
      <c r="X1759" s="1"/>
    </row>
    <row r="1760" spans="1:24">
      <c r="A1760" s="385" t="s">
        <v>65</v>
      </c>
      <c r="B1760" s="385" t="s">
        <v>446</v>
      </c>
      <c r="C1760" s="385" t="s">
        <v>3443</v>
      </c>
      <c r="D1760" s="385" t="s">
        <v>88</v>
      </c>
      <c r="E1760" s="385"/>
      <c r="F1760" s="385"/>
      <c r="G1760" s="385"/>
      <c r="H1760" s="385">
        <v>2025</v>
      </c>
      <c r="I1760" s="386">
        <v>45685</v>
      </c>
      <c r="J1760" s="30" t="s">
        <v>5376</v>
      </c>
      <c r="K1760" s="385"/>
      <c r="L1760" s="385"/>
      <c r="M1760" s="385"/>
      <c r="N1760" s="385"/>
      <c r="O1760" s="385"/>
      <c r="P1760" s="385" t="str">
        <f>IFERROR(
    IF(
        OR(ISBLANK(I1760), ISBLANK(L1760)),
        "",
        MAX(
            1,
            IF(
                NETWORKDAYS(I1760, L1760, Holiday_Dates) &lt;= 0,
                1,
                NETWORKDAYS(I1760, L1760, Holiday_Dates) - IF(I1760 = L1760, 0, 1)
            )
        )
    ),
    ""
)</f>
        <v/>
      </c>
      <c r="Q1760" s="385" t="str">
        <f>IF(
    OR(ISBLANK(L1760), ISBLANK(M1760)),
    "",
    MAX(
        1,
        IF(
            NETWORKDAYS(L1760, M1760, Holiday_Dates) &lt;= 0,
            1,
            NETWORKDAYS(L1760, M1760, Holiday_Dates) - IF(L1760 = M1760, 0, 1)
        )
    )
)</f>
        <v/>
      </c>
      <c r="R1760" s="385" t="str">
        <f>IFERROR(
    IF(
        OR(ISBLANK(N1760), AND(ISBLANK(L1760), ISBLANK(M1760))),
        "",
        MAX(
            1,
            IF(
                NETWORKDAYS(IF(NOT(ISBLANK(M1760)), M1760, L1760), N1760, Holiday_Dates) &lt;= 0,
                1,
                NETWORKDAYS(IF(NOT(ISBLANK(M1760)), M1760, L1760), N1760, Holiday_Dates)
                - IF(IF(NOT(ISBLANK(M1760)), M1760, L1760) = N1760, 0, 1)
            )
        )
    ),
    ""
)</f>
        <v/>
      </c>
      <c r="S1760" s="385" t="str">
        <f>IFERROR(
    IF(
        OR(ISBLANK(N1760), ISBLANK(O1760)),
        "",
        MAX(
            1,
            IF(
                NETWORKDAYS(N1760, O1760, Holiday_Dates) &lt;= 0,
                1,
                NETWORKDAYS(N1760, O1760, Holiday_Dates) - IF(N1760 = O1760, 0, 1)
            )
        )
    ),
    ""
)</f>
        <v/>
      </c>
      <c r="T1760" s="385"/>
      <c r="U1760" s="385" t="s">
        <v>4</v>
      </c>
      <c r="V1760" s="385" t="s">
        <v>101</v>
      </c>
      <c r="W1760" s="385" t="s">
        <v>1436</v>
      </c>
      <c r="X1760" s="1"/>
    </row>
    <row r="1761" spans="1:24">
      <c r="A1761" s="385" t="s">
        <v>65</v>
      </c>
      <c r="B1761" s="385" t="s">
        <v>446</v>
      </c>
      <c r="C1761" s="385" t="s">
        <v>3444</v>
      </c>
      <c r="D1761" s="385" t="s">
        <v>88</v>
      </c>
      <c r="E1761" s="385"/>
      <c r="F1761" s="385"/>
      <c r="G1761" s="385"/>
      <c r="H1761" s="385">
        <v>2025</v>
      </c>
      <c r="I1761" s="386">
        <v>45693</v>
      </c>
      <c r="J1761" s="30" t="s">
        <v>5377</v>
      </c>
      <c r="K1761" s="385"/>
      <c r="L1761" s="385"/>
      <c r="M1761" s="385"/>
      <c r="N1761" s="385"/>
      <c r="O1761" s="385"/>
      <c r="P1761" s="385" t="str">
        <f>IFERROR(
    IF(
        OR(ISBLANK(I1761), ISBLANK(L1761)),
        "",
        MAX(
            1,
            IF(
                NETWORKDAYS(I1761, L1761, Holiday_Dates) &lt;= 0,
                1,
                NETWORKDAYS(I1761, L1761, Holiday_Dates) - IF(I1761 = L1761, 0, 1)
            )
        )
    ),
    ""
)</f>
        <v/>
      </c>
      <c r="Q1761" s="385" t="str">
        <f>IF(
    OR(ISBLANK(L1761), ISBLANK(M1761)),
    "",
    MAX(
        1,
        IF(
            NETWORKDAYS(L1761, M1761, Holiday_Dates) &lt;= 0,
            1,
            NETWORKDAYS(L1761, M1761, Holiday_Dates) - IF(L1761 = M1761, 0, 1)
        )
    )
)</f>
        <v/>
      </c>
      <c r="R1761" s="385" t="str">
        <f>IFERROR(
    IF(
        OR(ISBLANK(N1761), AND(ISBLANK(L1761), ISBLANK(M1761))),
        "",
        MAX(
            1,
            IF(
                NETWORKDAYS(IF(NOT(ISBLANK(M1761)), M1761, L1761), N1761, Holiday_Dates) &lt;= 0,
                1,
                NETWORKDAYS(IF(NOT(ISBLANK(M1761)), M1761, L1761), N1761, Holiday_Dates)
                - IF(IF(NOT(ISBLANK(M1761)), M1761, L1761) = N1761, 0, 1)
            )
        )
    ),
    ""
)</f>
        <v/>
      </c>
      <c r="S1761" s="385" t="str">
        <f>IFERROR(
    IF(
        OR(ISBLANK(N1761), ISBLANK(O1761)),
        "",
        MAX(
            1,
            IF(
                NETWORKDAYS(N1761, O1761, Holiday_Dates) &lt;= 0,
                1,
                NETWORKDAYS(N1761, O1761, Holiday_Dates) - IF(N1761 = O1761, 0, 1)
            )
        )
    ),
    ""
)</f>
        <v/>
      </c>
      <c r="T1761" s="385"/>
      <c r="U1761" s="385" t="s">
        <v>672</v>
      </c>
      <c r="V1761" s="385" t="s">
        <v>101</v>
      </c>
      <c r="W1761" s="385" t="s">
        <v>1436</v>
      </c>
      <c r="X1761" s="1"/>
    </row>
    <row r="1762" spans="1:24">
      <c r="A1762" s="385" t="s">
        <v>65</v>
      </c>
      <c r="B1762" s="385" t="s">
        <v>446</v>
      </c>
      <c r="C1762" s="385" t="s">
        <v>3445</v>
      </c>
      <c r="D1762" s="385" t="s">
        <v>88</v>
      </c>
      <c r="E1762" s="385"/>
      <c r="F1762" s="385"/>
      <c r="G1762" s="385"/>
      <c r="H1762" s="385">
        <v>2025</v>
      </c>
      <c r="I1762" s="386">
        <v>45685</v>
      </c>
      <c r="J1762" s="30" t="s">
        <v>5378</v>
      </c>
      <c r="K1762" s="385"/>
      <c r="L1762" s="385"/>
      <c r="M1762" s="385"/>
      <c r="N1762" s="385"/>
      <c r="O1762" s="385"/>
      <c r="P1762" s="385" t="str">
        <f>IFERROR(
    IF(
        OR(ISBLANK(I1762), ISBLANK(L1762)),
        "",
        MAX(
            1,
            IF(
                NETWORKDAYS(I1762, L1762, Holiday_Dates) &lt;= 0,
                1,
                NETWORKDAYS(I1762, L1762, Holiday_Dates) - IF(I1762 = L1762, 0, 1)
            )
        )
    ),
    ""
)</f>
        <v/>
      </c>
      <c r="Q1762" s="385" t="str">
        <f>IF(
    OR(ISBLANK(L1762), ISBLANK(M1762)),
    "",
    MAX(
        1,
        IF(
            NETWORKDAYS(L1762, M1762, Holiday_Dates) &lt;= 0,
            1,
            NETWORKDAYS(L1762, M1762, Holiday_Dates) - IF(L1762 = M1762, 0, 1)
        )
    )
)</f>
        <v/>
      </c>
      <c r="R1762" s="385" t="str">
        <f>IFERROR(
    IF(
        OR(ISBLANK(N1762), AND(ISBLANK(L1762), ISBLANK(M1762))),
        "",
        MAX(
            1,
            IF(
                NETWORKDAYS(IF(NOT(ISBLANK(M1762)), M1762, L1762), N1762, Holiday_Dates) &lt;= 0,
                1,
                NETWORKDAYS(IF(NOT(ISBLANK(M1762)), M1762, L1762), N1762, Holiday_Dates)
                - IF(IF(NOT(ISBLANK(M1762)), M1762, L1762) = N1762, 0, 1)
            )
        )
    ),
    ""
)</f>
        <v/>
      </c>
      <c r="S1762" s="385" t="str">
        <f>IFERROR(
    IF(
        OR(ISBLANK(N1762), ISBLANK(O1762)),
        "",
        MAX(
            1,
            IF(
                NETWORKDAYS(N1762, O1762, Holiday_Dates) &lt;= 0,
                1,
                NETWORKDAYS(N1762, O1762, Holiday_Dates) - IF(N1762 = O1762, 0, 1)
            )
        )
    ),
    ""
)</f>
        <v/>
      </c>
      <c r="T1762" s="385"/>
      <c r="U1762" s="385" t="s">
        <v>672</v>
      </c>
      <c r="V1762" s="385" t="s">
        <v>101</v>
      </c>
      <c r="W1762" s="385" t="s">
        <v>1436</v>
      </c>
      <c r="X1762" s="1"/>
    </row>
    <row r="1763" spans="1:24">
      <c r="A1763" s="385" t="s">
        <v>53</v>
      </c>
      <c r="B1763" s="385" t="s">
        <v>548</v>
      </c>
      <c r="C1763" s="385" t="s">
        <v>1020</v>
      </c>
      <c r="D1763" s="385" t="s">
        <v>89</v>
      </c>
      <c r="E1763" s="385" t="s">
        <v>42</v>
      </c>
      <c r="F1763" s="385"/>
      <c r="G1763" s="385" t="s">
        <v>133</v>
      </c>
      <c r="H1763" s="385"/>
      <c r="I1763" s="385"/>
      <c r="J1763" s="30"/>
      <c r="K1763" s="385" t="s">
        <v>64</v>
      </c>
      <c r="L1763" s="385"/>
      <c r="M1763" s="385"/>
      <c r="N1763" s="385"/>
      <c r="O1763" s="385"/>
      <c r="P1763" s="385" t="str">
        <f>IFERROR(
    IF(
        OR(ISBLANK(I1763), ISBLANK(L1763)),
        "",
        MAX(
            1,
            IF(
                NETWORKDAYS(I1763, L1763, Holiday_Dates) &lt;= 0,
                1,
                NETWORKDAYS(I1763, L1763, Holiday_Dates) - IF(I1763 = L1763, 0, 1)
            )
        )
    ),
    ""
)</f>
        <v/>
      </c>
      <c r="Q1763" s="385" t="str">
        <f>IF(
    OR(ISBLANK(L1763), ISBLANK(M1763)),
    "",
    MAX(
        1,
        IF(
            NETWORKDAYS(L1763, M1763, Holiday_Dates) &lt;= 0,
            1,
            NETWORKDAYS(L1763, M1763, Holiday_Dates) - IF(L1763 = M1763, 0, 1)
        )
    )
)</f>
        <v/>
      </c>
      <c r="R1763" s="385" t="str">
        <f>IFERROR(
    IF(
        OR(ISBLANK(N1763), AND(ISBLANK(L1763), ISBLANK(M1763))),
        "",
        MAX(
            1,
            IF(
                NETWORKDAYS(IF(NOT(ISBLANK(M1763)), M1763, L1763), N1763, Holiday_Dates) &lt;= 0,
                1,
                NETWORKDAYS(IF(NOT(ISBLANK(M1763)), M1763, L1763), N1763, Holiday_Dates)
                - IF(IF(NOT(ISBLANK(M1763)), M1763, L1763) = N1763, 0, 1)
            )
        )
    ),
    ""
)</f>
        <v/>
      </c>
      <c r="S1763" s="385" t="str">
        <f>IFERROR(
    IF(
        OR(ISBLANK(N1763), ISBLANK(O1763)),
        "",
        MAX(
            1,
            IF(
                NETWORKDAYS(N1763, O1763, Holiday_Dates) &lt;= 0,
                1,
                NETWORKDAYS(N1763, O1763, Holiday_Dates) - IF(N1763 = O1763, 0, 1)
            )
        )
    ),
    ""
)</f>
        <v/>
      </c>
      <c r="T1763" s="385"/>
      <c r="U1763" s="385"/>
      <c r="V1763" s="385"/>
      <c r="W1763" s="385" t="s">
        <v>4710</v>
      </c>
      <c r="X1763" s="1"/>
    </row>
    <row r="1764" spans="1:24">
      <c r="A1764" s="385" t="s">
        <v>65</v>
      </c>
      <c r="B1764" s="385" t="s">
        <v>528</v>
      </c>
      <c r="C1764" s="385" t="s">
        <v>3447</v>
      </c>
      <c r="D1764" s="385" t="s">
        <v>88</v>
      </c>
      <c r="E1764" s="385"/>
      <c r="F1764" s="385"/>
      <c r="G1764" s="385"/>
      <c r="H1764" s="385">
        <v>2024</v>
      </c>
      <c r="I1764" s="386">
        <v>45454</v>
      </c>
      <c r="J1764" s="30"/>
      <c r="K1764" s="385"/>
      <c r="L1764" s="385"/>
      <c r="M1764" s="385"/>
      <c r="N1764" s="385"/>
      <c r="O1764" s="385"/>
      <c r="P1764" s="385" t="str">
        <f>IFERROR(
    IF(
        OR(ISBLANK(I1764), ISBLANK(L1764)),
        "",
        MAX(
            1,
            IF(
                NETWORKDAYS(I1764, L1764, Holiday_Dates) &lt;= 0,
                1,
                NETWORKDAYS(I1764, L1764, Holiday_Dates) - IF(I1764 = L1764, 0, 1)
            )
        )
    ),
    ""
)</f>
        <v/>
      </c>
      <c r="Q1764" s="385" t="str">
        <f>IF(
    OR(ISBLANK(L1764), ISBLANK(M1764)),
    "",
    MAX(
        1,
        IF(
            NETWORKDAYS(L1764, M1764, Holiday_Dates) &lt;= 0,
            1,
            NETWORKDAYS(L1764, M1764, Holiday_Dates) - IF(L1764 = M1764, 0, 1)
        )
    )
)</f>
        <v/>
      </c>
      <c r="R1764" s="385" t="str">
        <f>IFERROR(
    IF(
        OR(ISBLANK(N1764), AND(ISBLANK(L1764), ISBLANK(M1764))),
        "",
        MAX(
            1,
            IF(
                NETWORKDAYS(IF(NOT(ISBLANK(M1764)), M1764, L1764), N1764, Holiday_Dates) &lt;= 0,
                1,
                NETWORKDAYS(IF(NOT(ISBLANK(M1764)), M1764, L1764), N1764, Holiday_Dates)
                - IF(IF(NOT(ISBLANK(M1764)), M1764, L1764) = N1764, 0, 1)
            )
        )
    ),
    ""
)</f>
        <v/>
      </c>
      <c r="S1764" s="385" t="str">
        <f>IFERROR(
    IF(
        OR(ISBLANK(N1764), ISBLANK(O1764)),
        "",
        MAX(
            1,
            IF(
                NETWORKDAYS(N1764, O1764, Holiday_Dates) &lt;= 0,
                1,
                NETWORKDAYS(N1764, O1764, Holiday_Dates) - IF(N1764 = O1764, 0, 1)
            )
        )
    ),
    ""
)</f>
        <v/>
      </c>
      <c r="T1764" s="385"/>
      <c r="U1764" s="385" t="s">
        <v>672</v>
      </c>
      <c r="V1764" s="385"/>
      <c r="W1764" s="385" t="s">
        <v>1436</v>
      </c>
      <c r="X1764" s="1"/>
    </row>
    <row r="1765" spans="1:24">
      <c r="A1765" s="385" t="s">
        <v>65</v>
      </c>
      <c r="B1765" s="385" t="s">
        <v>528</v>
      </c>
      <c r="C1765" s="385" t="s">
        <v>3449</v>
      </c>
      <c r="D1765" s="385" t="s">
        <v>88</v>
      </c>
      <c r="E1765" s="385"/>
      <c r="F1765" s="385"/>
      <c r="G1765" s="385"/>
      <c r="H1765" s="385">
        <v>2025</v>
      </c>
      <c r="I1765" s="386">
        <v>45798</v>
      </c>
      <c r="J1765" s="30" t="s">
        <v>5379</v>
      </c>
      <c r="K1765" s="385"/>
      <c r="L1765" s="385"/>
      <c r="M1765" s="385"/>
      <c r="N1765" s="385"/>
      <c r="O1765" s="385"/>
      <c r="P1765" s="385" t="str">
        <f>IFERROR(
    IF(
        OR(ISBLANK(I1765), ISBLANK(L1765)),
        "",
        MAX(
            1,
            IF(
                NETWORKDAYS(I1765, L1765, Holiday_Dates) &lt;= 0,
                1,
                NETWORKDAYS(I1765, L1765, Holiday_Dates) - IF(I1765 = L1765, 0, 1)
            )
        )
    ),
    ""
)</f>
        <v/>
      </c>
      <c r="Q1765" s="385" t="str">
        <f>IF(
    OR(ISBLANK(L1765), ISBLANK(M1765)),
    "",
    MAX(
        1,
        IF(
            NETWORKDAYS(L1765, M1765, Holiday_Dates) &lt;= 0,
            1,
            NETWORKDAYS(L1765, M1765, Holiday_Dates) - IF(L1765 = M1765, 0, 1)
        )
    )
)</f>
        <v/>
      </c>
      <c r="R1765" s="385" t="str">
        <f>IFERROR(
    IF(
        OR(ISBLANK(N1765), AND(ISBLANK(L1765), ISBLANK(M1765))),
        "",
        MAX(
            1,
            IF(
                NETWORKDAYS(IF(NOT(ISBLANK(M1765)), M1765, L1765), N1765, Holiday_Dates) &lt;= 0,
                1,
                NETWORKDAYS(IF(NOT(ISBLANK(M1765)), M1765, L1765), N1765, Holiday_Dates)
                - IF(IF(NOT(ISBLANK(M1765)), M1765, L1765) = N1765, 0, 1)
            )
        )
    ),
    ""
)</f>
        <v/>
      </c>
      <c r="S1765" s="385" t="str">
        <f>IFERROR(
    IF(
        OR(ISBLANK(N1765), ISBLANK(O1765)),
        "",
        MAX(
            1,
            IF(
                NETWORKDAYS(N1765, O1765, Holiday_Dates) &lt;= 0,
                1,
                NETWORKDAYS(N1765, O1765, Holiday_Dates) - IF(N1765 = O1765, 0, 1)
            )
        )
    ),
    ""
)</f>
        <v/>
      </c>
      <c r="T1765" s="385"/>
      <c r="U1765" s="385" t="s">
        <v>672</v>
      </c>
      <c r="V1765" s="385" t="s">
        <v>101</v>
      </c>
      <c r="W1765" s="385" t="s">
        <v>1436</v>
      </c>
      <c r="X1765" s="1"/>
    </row>
    <row r="1766" spans="1:24">
      <c r="A1766" s="385" t="s">
        <v>65</v>
      </c>
      <c r="B1766" s="385" t="s">
        <v>528</v>
      </c>
      <c r="C1766" s="385" t="s">
        <v>1032</v>
      </c>
      <c r="D1766" s="385" t="s">
        <v>88</v>
      </c>
      <c r="E1766" s="385"/>
      <c r="F1766" s="385"/>
      <c r="G1766" s="385"/>
      <c r="H1766" s="385">
        <v>2025</v>
      </c>
      <c r="I1766" s="386">
        <v>45694</v>
      </c>
      <c r="J1766" s="30" t="s">
        <v>5380</v>
      </c>
      <c r="K1766" s="385"/>
      <c r="L1766" s="385"/>
      <c r="M1766" s="385"/>
      <c r="N1766" s="385"/>
      <c r="O1766" s="385"/>
      <c r="P1766" s="385" t="str">
        <f>IFERROR(
    IF(
        OR(ISBLANK(I1766), ISBLANK(L1766)),
        "",
        MAX(
            1,
            IF(
                NETWORKDAYS(I1766, L1766, Holiday_Dates) &lt;= 0,
                1,
                NETWORKDAYS(I1766, L1766, Holiday_Dates) - IF(I1766 = L1766, 0, 1)
            )
        )
    ),
    ""
)</f>
        <v/>
      </c>
      <c r="Q1766" s="385" t="str">
        <f>IF(
    OR(ISBLANK(L1766), ISBLANK(M1766)),
    "",
    MAX(
        1,
        IF(
            NETWORKDAYS(L1766, M1766, Holiday_Dates) &lt;= 0,
            1,
            NETWORKDAYS(L1766, M1766, Holiday_Dates) - IF(L1766 = M1766, 0, 1)
        )
    )
)</f>
        <v/>
      </c>
      <c r="R1766" s="385" t="str">
        <f>IFERROR(
    IF(
        OR(ISBLANK(N1766), AND(ISBLANK(L1766), ISBLANK(M1766))),
        "",
        MAX(
            1,
            IF(
                NETWORKDAYS(IF(NOT(ISBLANK(M1766)), M1766, L1766), N1766, Holiday_Dates) &lt;= 0,
                1,
                NETWORKDAYS(IF(NOT(ISBLANK(M1766)), M1766, L1766), N1766, Holiday_Dates)
                - IF(IF(NOT(ISBLANK(M1766)), M1766, L1766) = N1766, 0, 1)
            )
        )
    ),
    ""
)</f>
        <v/>
      </c>
      <c r="S1766" s="385" t="str">
        <f>IFERROR(
    IF(
        OR(ISBLANK(N1766), ISBLANK(O1766)),
        "",
        MAX(
            1,
            IF(
                NETWORKDAYS(N1766, O1766, Holiday_Dates) &lt;= 0,
                1,
                NETWORKDAYS(N1766, O1766, Holiday_Dates) - IF(N1766 = O1766, 0, 1)
            )
        )
    ),
    ""
)</f>
        <v/>
      </c>
      <c r="T1766" s="385"/>
      <c r="U1766" s="385" t="s">
        <v>672</v>
      </c>
      <c r="V1766" s="385" t="s">
        <v>101</v>
      </c>
      <c r="W1766" s="385" t="s">
        <v>1436</v>
      </c>
      <c r="X1766" s="1"/>
    </row>
    <row r="1767" spans="1:24">
      <c r="A1767" s="385" t="s">
        <v>52</v>
      </c>
      <c r="B1767" s="385" t="s">
        <v>4231</v>
      </c>
      <c r="C1767" s="385" t="s">
        <v>4239</v>
      </c>
      <c r="D1767" s="385" t="s">
        <v>88</v>
      </c>
      <c r="E1767" s="385" t="s">
        <v>37</v>
      </c>
      <c r="F1767" s="385"/>
      <c r="G1767" s="385" t="s">
        <v>28</v>
      </c>
      <c r="H1767" s="385"/>
      <c r="I1767" s="385"/>
      <c r="J1767" s="30"/>
      <c r="K1767" s="385" t="s">
        <v>64</v>
      </c>
      <c r="L1767" s="385"/>
      <c r="M1767" s="385"/>
      <c r="N1767" s="385"/>
      <c r="O1767" s="385"/>
      <c r="P1767" s="385" t="str">
        <f>IFERROR(
    IF(
        OR(ISBLANK(I1767), ISBLANK(L1767)),
        "",
        MAX(
            1,
            IF(
                NETWORKDAYS(I1767, L1767, Holiday_Dates) &lt;= 0,
                1,
                NETWORKDAYS(I1767, L1767, Holiday_Dates) - IF(I1767 = L1767, 0, 1)
            )
        )
    ),
    ""
)</f>
        <v/>
      </c>
      <c r="Q1767" s="385" t="str">
        <f>IF(
    OR(ISBLANK(L1767), ISBLANK(M1767)),
    "",
    MAX(
        1,
        IF(
            NETWORKDAYS(L1767, M1767, Holiday_Dates) &lt;= 0,
            1,
            NETWORKDAYS(L1767, M1767, Holiday_Dates) - IF(L1767 = M1767, 0, 1)
        )
    )
)</f>
        <v/>
      </c>
      <c r="R1767" s="385" t="str">
        <f>IFERROR(
    IF(
        OR(ISBLANK(N1767), AND(ISBLANK(L1767), ISBLANK(M1767))),
        "",
        MAX(
            1,
            IF(
                NETWORKDAYS(IF(NOT(ISBLANK(M1767)), M1767, L1767), N1767, Holiday_Dates) &lt;= 0,
                1,
                NETWORKDAYS(IF(NOT(ISBLANK(M1767)), M1767, L1767), N1767, Holiday_Dates)
                - IF(IF(NOT(ISBLANK(M1767)), M1767, L1767) = N1767, 0, 1)
            )
        )
    ),
    ""
)</f>
        <v/>
      </c>
      <c r="S1767" s="385" t="str">
        <f>IFERROR(
    IF(
        OR(ISBLANK(N1767), ISBLANK(O1767)),
        "",
        MAX(
            1,
            IF(
                NETWORKDAYS(N1767, O1767, Holiday_Dates) &lt;= 0,
                1,
                NETWORKDAYS(N1767, O1767, Holiday_Dates) - IF(N1767 = O1767, 0, 1)
            )
        )
    ),
    ""
)</f>
        <v/>
      </c>
      <c r="T1767" s="385"/>
      <c r="U1767" s="385"/>
      <c r="V1767" s="385"/>
      <c r="W1767" s="385" t="s">
        <v>4710</v>
      </c>
      <c r="X1767" s="1"/>
    </row>
    <row r="1768" spans="1:24">
      <c r="A1768" s="385" t="s">
        <v>52</v>
      </c>
      <c r="B1768" s="385" t="s">
        <v>4231</v>
      </c>
      <c r="C1768" s="385" t="s">
        <v>4241</v>
      </c>
      <c r="D1768" s="385" t="s">
        <v>88</v>
      </c>
      <c r="E1768" s="385" t="s">
        <v>37</v>
      </c>
      <c r="F1768" s="385"/>
      <c r="G1768" s="385" t="s">
        <v>28</v>
      </c>
      <c r="H1768" s="385"/>
      <c r="I1768" s="385"/>
      <c r="J1768" s="30"/>
      <c r="K1768" s="385" t="s">
        <v>64</v>
      </c>
      <c r="L1768" s="385"/>
      <c r="M1768" s="385"/>
      <c r="N1768" s="385"/>
      <c r="O1768" s="385"/>
      <c r="P1768" s="385" t="str">
        <f>IFERROR(
    IF(
        OR(ISBLANK(I1768), ISBLANK(L1768)),
        "",
        MAX(
            1,
            IF(
                NETWORKDAYS(I1768, L1768, Holiday_Dates) &lt;= 0,
                1,
                NETWORKDAYS(I1768, L1768, Holiday_Dates) - IF(I1768 = L1768, 0, 1)
            )
        )
    ),
    ""
)</f>
        <v/>
      </c>
      <c r="Q1768" s="385" t="str">
        <f>IF(
    OR(ISBLANK(L1768), ISBLANK(M1768)),
    "",
    MAX(
        1,
        IF(
            NETWORKDAYS(L1768, M1768, Holiday_Dates) &lt;= 0,
            1,
            NETWORKDAYS(L1768, M1768, Holiday_Dates) - IF(L1768 = M1768, 0, 1)
        )
    )
)</f>
        <v/>
      </c>
      <c r="R1768" s="385" t="str">
        <f>IFERROR(
    IF(
        OR(ISBLANK(N1768), AND(ISBLANK(L1768), ISBLANK(M1768))),
        "",
        MAX(
            1,
            IF(
                NETWORKDAYS(IF(NOT(ISBLANK(M1768)), M1768, L1768), N1768, Holiday_Dates) &lt;= 0,
                1,
                NETWORKDAYS(IF(NOT(ISBLANK(M1768)), M1768, L1768), N1768, Holiday_Dates)
                - IF(IF(NOT(ISBLANK(M1768)), M1768, L1768) = N1768, 0, 1)
            )
        )
    ),
    ""
)</f>
        <v/>
      </c>
      <c r="S1768" s="385" t="str">
        <f>IFERROR(
    IF(
        OR(ISBLANK(N1768), ISBLANK(O1768)),
        "",
        MAX(
            1,
            IF(
                NETWORKDAYS(N1768, O1768, Holiday_Dates) &lt;= 0,
                1,
                NETWORKDAYS(N1768, O1768, Holiday_Dates) - IF(N1768 = O1768, 0, 1)
            )
        )
    ),
    ""
)</f>
        <v/>
      </c>
      <c r="T1768" s="385"/>
      <c r="U1768" s="385"/>
      <c r="V1768" s="385"/>
      <c r="W1768" s="385" t="s">
        <v>4710</v>
      </c>
      <c r="X1768" s="1"/>
    </row>
    <row r="1769" spans="1:24">
      <c r="A1769" s="385" t="s">
        <v>65</v>
      </c>
      <c r="B1769" s="385" t="s">
        <v>528</v>
      </c>
      <c r="C1769" s="385" t="s">
        <v>3451</v>
      </c>
      <c r="D1769" s="385" t="s">
        <v>88</v>
      </c>
      <c r="E1769" s="385"/>
      <c r="F1769" s="385"/>
      <c r="G1769" s="385"/>
      <c r="H1769" s="385">
        <v>2025</v>
      </c>
      <c r="I1769" s="386">
        <v>45798</v>
      </c>
      <c r="J1769" s="30" t="s">
        <v>5381</v>
      </c>
      <c r="K1769" s="385"/>
      <c r="L1769" s="385"/>
      <c r="M1769" s="385"/>
      <c r="N1769" s="385"/>
      <c r="O1769" s="385"/>
      <c r="P1769" s="385" t="str">
        <f>IFERROR(
    IF(
        OR(ISBLANK(I1769), ISBLANK(L1769)),
        "",
        MAX(
            1,
            IF(
                NETWORKDAYS(I1769, L1769, Holiday_Dates) &lt;= 0,
                1,
                NETWORKDAYS(I1769, L1769, Holiday_Dates) - IF(I1769 = L1769, 0, 1)
            )
        )
    ),
    ""
)</f>
        <v/>
      </c>
      <c r="Q1769" s="385" t="str">
        <f>IF(
    OR(ISBLANK(L1769), ISBLANK(M1769)),
    "",
    MAX(
        1,
        IF(
            NETWORKDAYS(L1769, M1769, Holiday_Dates) &lt;= 0,
            1,
            NETWORKDAYS(L1769, M1769, Holiday_Dates) - IF(L1769 = M1769, 0, 1)
        )
    )
)</f>
        <v/>
      </c>
      <c r="R1769" s="385" t="str">
        <f>IFERROR(
    IF(
        OR(ISBLANK(N1769), AND(ISBLANK(L1769), ISBLANK(M1769))),
        "",
        MAX(
            1,
            IF(
                NETWORKDAYS(IF(NOT(ISBLANK(M1769)), M1769, L1769), N1769, Holiday_Dates) &lt;= 0,
                1,
                NETWORKDAYS(IF(NOT(ISBLANK(M1769)), M1769, L1769), N1769, Holiday_Dates)
                - IF(IF(NOT(ISBLANK(M1769)), M1769, L1769) = N1769, 0, 1)
            )
        )
    ),
    ""
)</f>
        <v/>
      </c>
      <c r="S1769" s="385" t="str">
        <f>IFERROR(
    IF(
        OR(ISBLANK(N1769), ISBLANK(O1769)),
        "",
        MAX(
            1,
            IF(
                NETWORKDAYS(N1769, O1769, Holiday_Dates) &lt;= 0,
                1,
                NETWORKDAYS(N1769, O1769, Holiday_Dates) - IF(N1769 = O1769, 0, 1)
            )
        )
    ),
    ""
)</f>
        <v/>
      </c>
      <c r="T1769" s="385"/>
      <c r="U1769" s="385" t="s">
        <v>672</v>
      </c>
      <c r="V1769" s="385" t="s">
        <v>101</v>
      </c>
      <c r="W1769" s="385" t="s">
        <v>1436</v>
      </c>
      <c r="X1769" s="1"/>
    </row>
    <row r="1770" spans="1:24">
      <c r="A1770" s="385" t="s">
        <v>52</v>
      </c>
      <c r="B1770" s="385" t="s">
        <v>4231</v>
      </c>
      <c r="C1770" s="385" t="s">
        <v>4242</v>
      </c>
      <c r="D1770" s="385" t="s">
        <v>88</v>
      </c>
      <c r="E1770" s="385" t="s">
        <v>37</v>
      </c>
      <c r="F1770" s="385"/>
      <c r="G1770" s="385" t="s">
        <v>28</v>
      </c>
      <c r="H1770" s="385"/>
      <c r="I1770" s="385"/>
      <c r="J1770" s="30"/>
      <c r="K1770" s="385" t="s">
        <v>64</v>
      </c>
      <c r="L1770" s="385"/>
      <c r="M1770" s="385"/>
      <c r="N1770" s="385"/>
      <c r="O1770" s="385"/>
      <c r="P1770" s="385" t="str">
        <f>IFERROR(
    IF(
        OR(ISBLANK(I1770), ISBLANK(L1770)),
        "",
        MAX(
            1,
            IF(
                NETWORKDAYS(I1770, L1770, Holiday_Dates) &lt;= 0,
                1,
                NETWORKDAYS(I1770, L1770, Holiday_Dates) - IF(I1770 = L1770, 0, 1)
            )
        )
    ),
    ""
)</f>
        <v/>
      </c>
      <c r="Q1770" s="385" t="str">
        <f>IF(
    OR(ISBLANK(L1770), ISBLANK(M1770)),
    "",
    MAX(
        1,
        IF(
            NETWORKDAYS(L1770, M1770, Holiday_Dates) &lt;= 0,
            1,
            NETWORKDAYS(L1770, M1770, Holiday_Dates) - IF(L1770 = M1770, 0, 1)
        )
    )
)</f>
        <v/>
      </c>
      <c r="R1770" s="385" t="str">
        <f>IFERROR(
    IF(
        OR(ISBLANK(N1770), AND(ISBLANK(L1770), ISBLANK(M1770))),
        "",
        MAX(
            1,
            IF(
                NETWORKDAYS(IF(NOT(ISBLANK(M1770)), M1770, L1770), N1770, Holiday_Dates) &lt;= 0,
                1,
                NETWORKDAYS(IF(NOT(ISBLANK(M1770)), M1770, L1770), N1770, Holiday_Dates)
                - IF(IF(NOT(ISBLANK(M1770)), M1770, L1770) = N1770, 0, 1)
            )
        )
    ),
    ""
)</f>
        <v/>
      </c>
      <c r="S1770" s="385" t="str">
        <f>IFERROR(
    IF(
        OR(ISBLANK(N1770), ISBLANK(O1770)),
        "",
        MAX(
            1,
            IF(
                NETWORKDAYS(N1770, O1770, Holiday_Dates) &lt;= 0,
                1,
                NETWORKDAYS(N1770, O1770, Holiday_Dates) - IF(N1770 = O1770, 0, 1)
            )
        )
    ),
    ""
)</f>
        <v/>
      </c>
      <c r="T1770" s="385"/>
      <c r="U1770" s="385"/>
      <c r="V1770" s="385"/>
      <c r="W1770" s="385" t="s">
        <v>4710</v>
      </c>
      <c r="X1770" s="1"/>
    </row>
    <row r="1771" spans="1:24">
      <c r="A1771" s="385" t="s">
        <v>65</v>
      </c>
      <c r="B1771" s="385" t="s">
        <v>528</v>
      </c>
      <c r="C1771" s="385" t="s">
        <v>3453</v>
      </c>
      <c r="D1771" s="385" t="s">
        <v>88</v>
      </c>
      <c r="E1771" s="385"/>
      <c r="F1771" s="385"/>
      <c r="G1771" s="385"/>
      <c r="H1771" s="385">
        <v>2024</v>
      </c>
      <c r="I1771" s="386">
        <v>45454</v>
      </c>
      <c r="J1771" s="30"/>
      <c r="K1771" s="385"/>
      <c r="L1771" s="385"/>
      <c r="M1771" s="385"/>
      <c r="N1771" s="385"/>
      <c r="O1771" s="385"/>
      <c r="P1771" s="385" t="str">
        <f>IFERROR(
    IF(
        OR(ISBLANK(I1771), ISBLANK(L1771)),
        "",
        MAX(
            1,
            IF(
                NETWORKDAYS(I1771, L1771, Holiday_Dates) &lt;= 0,
                1,
                NETWORKDAYS(I1771, L1771, Holiday_Dates) - IF(I1771 = L1771, 0, 1)
            )
        )
    ),
    ""
)</f>
        <v/>
      </c>
      <c r="Q1771" s="385" t="str">
        <f>IF(
    OR(ISBLANK(L1771), ISBLANK(M1771)),
    "",
    MAX(
        1,
        IF(
            NETWORKDAYS(L1771, M1771, Holiday_Dates) &lt;= 0,
            1,
            NETWORKDAYS(L1771, M1771, Holiday_Dates) - IF(L1771 = M1771, 0, 1)
        )
    )
)</f>
        <v/>
      </c>
      <c r="R1771" s="385" t="str">
        <f>IFERROR(
    IF(
        OR(ISBLANK(N1771), AND(ISBLANK(L1771), ISBLANK(M1771))),
        "",
        MAX(
            1,
            IF(
                NETWORKDAYS(IF(NOT(ISBLANK(M1771)), M1771, L1771), N1771, Holiday_Dates) &lt;= 0,
                1,
                NETWORKDAYS(IF(NOT(ISBLANK(M1771)), M1771, L1771), N1771, Holiday_Dates)
                - IF(IF(NOT(ISBLANK(M1771)), M1771, L1771) = N1771, 0, 1)
            )
        )
    ),
    ""
)</f>
        <v/>
      </c>
      <c r="S1771" s="385" t="str">
        <f>IFERROR(
    IF(
        OR(ISBLANK(N1771), ISBLANK(O1771)),
        "",
        MAX(
            1,
            IF(
                NETWORKDAYS(N1771, O1771, Holiday_Dates) &lt;= 0,
                1,
                NETWORKDAYS(N1771, O1771, Holiday_Dates) - IF(N1771 = O1771, 0, 1)
            )
        )
    ),
    ""
)</f>
        <v/>
      </c>
      <c r="T1771" s="385"/>
      <c r="U1771" s="385" t="s">
        <v>672</v>
      </c>
      <c r="V1771" s="385"/>
      <c r="W1771" s="385" t="s">
        <v>1436</v>
      </c>
      <c r="X1771" s="1"/>
    </row>
    <row r="1772" spans="1:24">
      <c r="A1772" s="385" t="s">
        <v>65</v>
      </c>
      <c r="B1772" s="385" t="s">
        <v>528</v>
      </c>
      <c r="C1772" s="385" t="s">
        <v>3455</v>
      </c>
      <c r="D1772" s="385" t="s">
        <v>88</v>
      </c>
      <c r="E1772" s="385"/>
      <c r="F1772" s="385"/>
      <c r="G1772" s="385"/>
      <c r="H1772" s="385">
        <v>2024</v>
      </c>
      <c r="I1772" s="386">
        <v>45454</v>
      </c>
      <c r="J1772" s="30"/>
      <c r="K1772" s="385"/>
      <c r="L1772" s="385"/>
      <c r="M1772" s="385"/>
      <c r="N1772" s="385"/>
      <c r="O1772" s="385"/>
      <c r="P1772" s="385" t="str">
        <f>IFERROR(
    IF(
        OR(ISBLANK(I1772), ISBLANK(L1772)),
        "",
        MAX(
            1,
            IF(
                NETWORKDAYS(I1772, L1772, Holiday_Dates) &lt;= 0,
                1,
                NETWORKDAYS(I1772, L1772, Holiday_Dates) - IF(I1772 = L1772, 0, 1)
            )
        )
    ),
    ""
)</f>
        <v/>
      </c>
      <c r="Q1772" s="385" t="str">
        <f>IF(
    OR(ISBLANK(L1772), ISBLANK(M1772)),
    "",
    MAX(
        1,
        IF(
            NETWORKDAYS(L1772, M1772, Holiday_Dates) &lt;= 0,
            1,
            NETWORKDAYS(L1772, M1772, Holiday_Dates) - IF(L1772 = M1772, 0, 1)
        )
    )
)</f>
        <v/>
      </c>
      <c r="R1772" s="385" t="str">
        <f>IFERROR(
    IF(
        OR(ISBLANK(N1772), AND(ISBLANK(L1772), ISBLANK(M1772))),
        "",
        MAX(
            1,
            IF(
                NETWORKDAYS(IF(NOT(ISBLANK(M1772)), M1772, L1772), N1772, Holiday_Dates) &lt;= 0,
                1,
                NETWORKDAYS(IF(NOT(ISBLANK(M1772)), M1772, L1772), N1772, Holiday_Dates)
                - IF(IF(NOT(ISBLANK(M1772)), M1772, L1772) = N1772, 0, 1)
            )
        )
    ),
    ""
)</f>
        <v/>
      </c>
      <c r="S1772" s="385" t="str">
        <f>IFERROR(
    IF(
        OR(ISBLANK(N1772), ISBLANK(O1772)),
        "",
        MAX(
            1,
            IF(
                NETWORKDAYS(N1772, O1772, Holiday_Dates) &lt;= 0,
                1,
                NETWORKDAYS(N1772, O1772, Holiday_Dates) - IF(N1772 = O1772, 0, 1)
            )
        )
    ),
    ""
)</f>
        <v/>
      </c>
      <c r="T1772" s="385"/>
      <c r="U1772" s="385" t="s">
        <v>672</v>
      </c>
      <c r="V1772" s="385"/>
      <c r="W1772" s="385" t="s">
        <v>1436</v>
      </c>
      <c r="X1772" s="1"/>
    </row>
    <row r="1773" spans="1:24">
      <c r="A1773" s="385" t="s">
        <v>52</v>
      </c>
      <c r="B1773" s="385" t="s">
        <v>4231</v>
      </c>
      <c r="C1773" s="385" t="s">
        <v>440</v>
      </c>
      <c r="D1773" s="385" t="s">
        <v>88</v>
      </c>
      <c r="E1773" s="385" t="s">
        <v>37</v>
      </c>
      <c r="F1773" s="385"/>
      <c r="G1773" s="385" t="s">
        <v>28</v>
      </c>
      <c r="H1773" s="385"/>
      <c r="I1773" s="385"/>
      <c r="J1773" s="30"/>
      <c r="K1773" s="385" t="s">
        <v>64</v>
      </c>
      <c r="L1773" s="385"/>
      <c r="M1773" s="385"/>
      <c r="N1773" s="385"/>
      <c r="O1773" s="385"/>
      <c r="P1773" s="385" t="str">
        <f>IFERROR(
    IF(
        OR(ISBLANK(I1773), ISBLANK(L1773)),
        "",
        MAX(
            1,
            IF(
                NETWORKDAYS(I1773, L1773, Holiday_Dates) &lt;= 0,
                1,
                NETWORKDAYS(I1773, L1773, Holiday_Dates) - IF(I1773 = L1773, 0, 1)
            )
        )
    ),
    ""
)</f>
        <v/>
      </c>
      <c r="Q1773" s="385" t="str">
        <f>IF(
    OR(ISBLANK(L1773), ISBLANK(M1773)),
    "",
    MAX(
        1,
        IF(
            NETWORKDAYS(L1773, M1773, Holiday_Dates) &lt;= 0,
            1,
            NETWORKDAYS(L1773, M1773, Holiday_Dates) - IF(L1773 = M1773, 0, 1)
        )
    )
)</f>
        <v/>
      </c>
      <c r="R1773" s="385" t="str">
        <f>IFERROR(
    IF(
        OR(ISBLANK(N1773), AND(ISBLANK(L1773), ISBLANK(M1773))),
        "",
        MAX(
            1,
            IF(
                NETWORKDAYS(IF(NOT(ISBLANK(M1773)), M1773, L1773), N1773, Holiday_Dates) &lt;= 0,
                1,
                NETWORKDAYS(IF(NOT(ISBLANK(M1773)), M1773, L1773), N1773, Holiday_Dates)
                - IF(IF(NOT(ISBLANK(M1773)), M1773, L1773) = N1773, 0, 1)
            )
        )
    ),
    ""
)</f>
        <v/>
      </c>
      <c r="S1773" s="385" t="str">
        <f>IFERROR(
    IF(
        OR(ISBLANK(N1773), ISBLANK(O1773)),
        "",
        MAX(
            1,
            IF(
                NETWORKDAYS(N1773, O1773, Holiday_Dates) &lt;= 0,
                1,
                NETWORKDAYS(N1773, O1773, Holiday_Dates) - IF(N1773 = O1773, 0, 1)
            )
        )
    ),
    ""
)</f>
        <v/>
      </c>
      <c r="T1773" s="385"/>
      <c r="U1773" s="385"/>
      <c r="V1773" s="385"/>
      <c r="W1773" s="385" t="s">
        <v>4710</v>
      </c>
      <c r="X1773" s="1"/>
    </row>
    <row r="1774" spans="1:24">
      <c r="A1774" s="385" t="s">
        <v>52</v>
      </c>
      <c r="B1774" s="385" t="s">
        <v>4231</v>
      </c>
      <c r="C1774" s="385" t="s">
        <v>1873</v>
      </c>
      <c r="D1774" s="385" t="s">
        <v>88</v>
      </c>
      <c r="E1774" s="385" t="s">
        <v>37</v>
      </c>
      <c r="F1774" s="385"/>
      <c r="G1774" s="385" t="s">
        <v>28</v>
      </c>
      <c r="H1774" s="385"/>
      <c r="I1774" s="385"/>
      <c r="J1774" s="30"/>
      <c r="K1774" s="385" t="s">
        <v>64</v>
      </c>
      <c r="L1774" s="385"/>
      <c r="M1774" s="385"/>
      <c r="N1774" s="385"/>
      <c r="O1774" s="385"/>
      <c r="P1774" s="385" t="str">
        <f>IFERROR(
    IF(
        OR(ISBLANK(I1774), ISBLANK(L1774)),
        "",
        MAX(
            1,
            IF(
                NETWORKDAYS(I1774, L1774, Holiday_Dates) &lt;= 0,
                1,
                NETWORKDAYS(I1774, L1774, Holiday_Dates) - IF(I1774 = L1774, 0, 1)
            )
        )
    ),
    ""
)</f>
        <v/>
      </c>
      <c r="Q1774" s="385" t="str">
        <f>IF(
    OR(ISBLANK(L1774), ISBLANK(M1774)),
    "",
    MAX(
        1,
        IF(
            NETWORKDAYS(L1774, M1774, Holiday_Dates) &lt;= 0,
            1,
            NETWORKDAYS(L1774, M1774, Holiday_Dates) - IF(L1774 = M1774, 0, 1)
        )
    )
)</f>
        <v/>
      </c>
      <c r="R1774" s="385" t="str">
        <f>IFERROR(
    IF(
        OR(ISBLANK(N1774), AND(ISBLANK(L1774), ISBLANK(M1774))),
        "",
        MAX(
            1,
            IF(
                NETWORKDAYS(IF(NOT(ISBLANK(M1774)), M1774, L1774), N1774, Holiday_Dates) &lt;= 0,
                1,
                NETWORKDAYS(IF(NOT(ISBLANK(M1774)), M1774, L1774), N1774, Holiday_Dates)
                - IF(IF(NOT(ISBLANK(M1774)), M1774, L1774) = N1774, 0, 1)
            )
        )
    ),
    ""
)</f>
        <v/>
      </c>
      <c r="S1774" s="385" t="str">
        <f>IFERROR(
    IF(
        OR(ISBLANK(N1774), ISBLANK(O1774)),
        "",
        MAX(
            1,
            IF(
                NETWORKDAYS(N1774, O1774, Holiday_Dates) &lt;= 0,
                1,
                NETWORKDAYS(N1774, O1774, Holiday_Dates) - IF(N1774 = O1774, 0, 1)
            )
        )
    ),
    ""
)</f>
        <v/>
      </c>
      <c r="T1774" s="385"/>
      <c r="U1774" s="385"/>
      <c r="V1774" s="385"/>
      <c r="W1774" s="385" t="s">
        <v>4710</v>
      </c>
      <c r="X1774" s="1"/>
    </row>
    <row r="1775" spans="1:24">
      <c r="A1775" s="385" t="s">
        <v>52</v>
      </c>
      <c r="B1775" s="385" t="s">
        <v>4231</v>
      </c>
      <c r="C1775" s="385" t="s">
        <v>694</v>
      </c>
      <c r="D1775" s="385" t="s">
        <v>88</v>
      </c>
      <c r="E1775" s="385" t="s">
        <v>37</v>
      </c>
      <c r="F1775" s="385"/>
      <c r="G1775" s="385" t="s">
        <v>28</v>
      </c>
      <c r="H1775" s="385"/>
      <c r="I1775" s="385"/>
      <c r="J1775" s="30"/>
      <c r="K1775" s="385" t="s">
        <v>64</v>
      </c>
      <c r="L1775" s="385"/>
      <c r="M1775" s="385"/>
      <c r="N1775" s="385"/>
      <c r="O1775" s="385"/>
      <c r="P1775" s="385" t="str">
        <f>IFERROR(
    IF(
        OR(ISBLANK(I1775), ISBLANK(L1775)),
        "",
        MAX(
            1,
            IF(
                NETWORKDAYS(I1775, L1775, Holiday_Dates) &lt;= 0,
                1,
                NETWORKDAYS(I1775, L1775, Holiday_Dates) - IF(I1775 = L1775, 0, 1)
            )
        )
    ),
    ""
)</f>
        <v/>
      </c>
      <c r="Q1775" s="385" t="str">
        <f>IF(
    OR(ISBLANK(L1775), ISBLANK(M1775)),
    "",
    MAX(
        1,
        IF(
            NETWORKDAYS(L1775, M1775, Holiday_Dates) &lt;= 0,
            1,
            NETWORKDAYS(L1775, M1775, Holiday_Dates) - IF(L1775 = M1775, 0, 1)
        )
    )
)</f>
        <v/>
      </c>
      <c r="R1775" s="385" t="str">
        <f>IFERROR(
    IF(
        OR(ISBLANK(N1775), AND(ISBLANK(L1775), ISBLANK(M1775))),
        "",
        MAX(
            1,
            IF(
                NETWORKDAYS(IF(NOT(ISBLANK(M1775)), M1775, L1775), N1775, Holiday_Dates) &lt;= 0,
                1,
                NETWORKDAYS(IF(NOT(ISBLANK(M1775)), M1775, L1775), N1775, Holiday_Dates)
                - IF(IF(NOT(ISBLANK(M1775)), M1775, L1775) = N1775, 0, 1)
            )
        )
    ),
    ""
)</f>
        <v/>
      </c>
      <c r="S1775" s="385" t="str">
        <f>IFERROR(
    IF(
        OR(ISBLANK(N1775), ISBLANK(O1775)),
        "",
        MAX(
            1,
            IF(
                NETWORKDAYS(N1775, O1775, Holiday_Dates) &lt;= 0,
                1,
                NETWORKDAYS(N1775, O1775, Holiday_Dates) - IF(N1775 = O1775, 0, 1)
            )
        )
    ),
    ""
)</f>
        <v/>
      </c>
      <c r="T1775" s="385"/>
      <c r="U1775" s="385"/>
      <c r="V1775" s="385"/>
      <c r="W1775" s="385" t="s">
        <v>4710</v>
      </c>
      <c r="X1775" s="1"/>
    </row>
    <row r="1776" spans="1:24">
      <c r="A1776" s="385" t="s">
        <v>65</v>
      </c>
      <c r="B1776" s="385" t="s">
        <v>528</v>
      </c>
      <c r="C1776" s="385" t="s">
        <v>3460</v>
      </c>
      <c r="D1776" s="385" t="s">
        <v>88</v>
      </c>
      <c r="E1776" s="385"/>
      <c r="F1776" s="385"/>
      <c r="G1776" s="385"/>
      <c r="H1776" s="385">
        <v>2024</v>
      </c>
      <c r="I1776" s="386">
        <v>45454</v>
      </c>
      <c r="J1776" s="30"/>
      <c r="K1776" s="385"/>
      <c r="L1776" s="385"/>
      <c r="M1776" s="385"/>
      <c r="N1776" s="385"/>
      <c r="O1776" s="385"/>
      <c r="P1776" s="385" t="str">
        <f>IFERROR(
    IF(
        OR(ISBLANK(I1776), ISBLANK(L1776)),
        "",
        MAX(
            1,
            IF(
                NETWORKDAYS(I1776, L1776, Holiday_Dates) &lt;= 0,
                1,
                NETWORKDAYS(I1776, L1776, Holiday_Dates) - IF(I1776 = L1776, 0, 1)
            )
        )
    ),
    ""
)</f>
        <v/>
      </c>
      <c r="Q1776" s="385" t="str">
        <f>IF(
    OR(ISBLANK(L1776), ISBLANK(M1776)),
    "",
    MAX(
        1,
        IF(
            NETWORKDAYS(L1776, M1776, Holiday_Dates) &lt;= 0,
            1,
            NETWORKDAYS(L1776, M1776, Holiday_Dates) - IF(L1776 = M1776, 0, 1)
        )
    )
)</f>
        <v/>
      </c>
      <c r="R1776" s="385" t="str">
        <f>IFERROR(
    IF(
        OR(ISBLANK(N1776), AND(ISBLANK(L1776), ISBLANK(M1776))),
        "",
        MAX(
            1,
            IF(
                NETWORKDAYS(IF(NOT(ISBLANK(M1776)), M1776, L1776), N1776, Holiday_Dates) &lt;= 0,
                1,
                NETWORKDAYS(IF(NOT(ISBLANK(M1776)), M1776, L1776), N1776, Holiday_Dates)
                - IF(IF(NOT(ISBLANK(M1776)), M1776, L1776) = N1776, 0, 1)
            )
        )
    ),
    ""
)</f>
        <v/>
      </c>
      <c r="S1776" s="385" t="str">
        <f>IFERROR(
    IF(
        OR(ISBLANK(N1776), ISBLANK(O1776)),
        "",
        MAX(
            1,
            IF(
                NETWORKDAYS(N1776, O1776, Holiday_Dates) &lt;= 0,
                1,
                NETWORKDAYS(N1776, O1776, Holiday_Dates) - IF(N1776 = O1776, 0, 1)
            )
        )
    ),
    ""
)</f>
        <v/>
      </c>
      <c r="T1776" s="385"/>
      <c r="U1776" s="385" t="s">
        <v>672</v>
      </c>
      <c r="V1776" s="385"/>
      <c r="W1776" s="385" t="s">
        <v>1436</v>
      </c>
      <c r="X1776" s="1"/>
    </row>
    <row r="1777" spans="1:24">
      <c r="A1777" s="385" t="s">
        <v>52</v>
      </c>
      <c r="B1777" s="385" t="s">
        <v>4231</v>
      </c>
      <c r="C1777" s="385" t="s">
        <v>378</v>
      </c>
      <c r="D1777" s="385" t="s">
        <v>88</v>
      </c>
      <c r="E1777" s="385" t="s">
        <v>37</v>
      </c>
      <c r="F1777" s="385"/>
      <c r="G1777" s="385" t="s">
        <v>28</v>
      </c>
      <c r="H1777" s="385"/>
      <c r="I1777" s="385"/>
      <c r="J1777" s="30"/>
      <c r="K1777" s="385" t="s">
        <v>64</v>
      </c>
      <c r="L1777" s="385"/>
      <c r="M1777" s="385"/>
      <c r="N1777" s="385"/>
      <c r="O1777" s="385"/>
      <c r="P1777" s="385" t="str">
        <f>IFERROR(
    IF(
        OR(ISBLANK(I1777), ISBLANK(L1777)),
        "",
        MAX(
            1,
            IF(
                NETWORKDAYS(I1777, L1777, Holiday_Dates) &lt;= 0,
                1,
                NETWORKDAYS(I1777, L1777, Holiday_Dates) - IF(I1777 = L1777, 0, 1)
            )
        )
    ),
    ""
)</f>
        <v/>
      </c>
      <c r="Q1777" s="385" t="str">
        <f>IF(
    OR(ISBLANK(L1777), ISBLANK(M1777)),
    "",
    MAX(
        1,
        IF(
            NETWORKDAYS(L1777, M1777, Holiday_Dates) &lt;= 0,
            1,
            NETWORKDAYS(L1777, M1777, Holiday_Dates) - IF(L1777 = M1777, 0, 1)
        )
    )
)</f>
        <v/>
      </c>
      <c r="R1777" s="385" t="str">
        <f>IFERROR(
    IF(
        OR(ISBLANK(N1777), AND(ISBLANK(L1777), ISBLANK(M1777))),
        "",
        MAX(
            1,
            IF(
                NETWORKDAYS(IF(NOT(ISBLANK(M1777)), M1777, L1777), N1777, Holiday_Dates) &lt;= 0,
                1,
                NETWORKDAYS(IF(NOT(ISBLANK(M1777)), M1777, L1777), N1777, Holiday_Dates)
                - IF(IF(NOT(ISBLANK(M1777)), M1777, L1777) = N1777, 0, 1)
            )
        )
    ),
    ""
)</f>
        <v/>
      </c>
      <c r="S1777" s="385" t="str">
        <f>IFERROR(
    IF(
        OR(ISBLANK(N1777), ISBLANK(O1777)),
        "",
        MAX(
            1,
            IF(
                NETWORKDAYS(N1777, O1777, Holiday_Dates) &lt;= 0,
                1,
                NETWORKDAYS(N1777, O1777, Holiday_Dates) - IF(N1777 = O1777, 0, 1)
            )
        )
    ),
    ""
)</f>
        <v/>
      </c>
      <c r="T1777" s="385"/>
      <c r="U1777" s="385"/>
      <c r="V1777" s="385"/>
      <c r="W1777" s="385" t="s">
        <v>4710</v>
      </c>
      <c r="X1777" s="1"/>
    </row>
    <row r="1778" spans="1:24">
      <c r="A1778" s="385" t="s">
        <v>52</v>
      </c>
      <c r="B1778" s="385" t="s">
        <v>4231</v>
      </c>
      <c r="C1778" s="385" t="s">
        <v>653</v>
      </c>
      <c r="D1778" s="385" t="s">
        <v>88</v>
      </c>
      <c r="E1778" s="385" t="s">
        <v>37</v>
      </c>
      <c r="F1778" s="385"/>
      <c r="G1778" s="385" t="s">
        <v>28</v>
      </c>
      <c r="H1778" s="385"/>
      <c r="I1778" s="385"/>
      <c r="J1778" s="30"/>
      <c r="K1778" s="385" t="s">
        <v>64</v>
      </c>
      <c r="L1778" s="385"/>
      <c r="M1778" s="385"/>
      <c r="N1778" s="385"/>
      <c r="O1778" s="385"/>
      <c r="P1778" s="385" t="str">
        <f>IFERROR(
    IF(
        OR(ISBLANK(I1778), ISBLANK(L1778)),
        "",
        MAX(
            1,
            IF(
                NETWORKDAYS(I1778, L1778, Holiday_Dates) &lt;= 0,
                1,
                NETWORKDAYS(I1778, L1778, Holiday_Dates) - IF(I1778 = L1778, 0, 1)
            )
        )
    ),
    ""
)</f>
        <v/>
      </c>
      <c r="Q1778" s="385" t="str">
        <f>IF(
    OR(ISBLANK(L1778), ISBLANK(M1778)),
    "",
    MAX(
        1,
        IF(
            NETWORKDAYS(L1778, M1778, Holiday_Dates) &lt;= 0,
            1,
            NETWORKDAYS(L1778, M1778, Holiday_Dates) - IF(L1778 = M1778, 0, 1)
        )
    )
)</f>
        <v/>
      </c>
      <c r="R1778" s="385" t="str">
        <f>IFERROR(
    IF(
        OR(ISBLANK(N1778), AND(ISBLANK(L1778), ISBLANK(M1778))),
        "",
        MAX(
            1,
            IF(
                NETWORKDAYS(IF(NOT(ISBLANK(M1778)), M1778, L1778), N1778, Holiday_Dates) &lt;= 0,
                1,
                NETWORKDAYS(IF(NOT(ISBLANK(M1778)), M1778, L1778), N1778, Holiday_Dates)
                - IF(IF(NOT(ISBLANK(M1778)), M1778, L1778) = N1778, 0, 1)
            )
        )
    ),
    ""
)</f>
        <v/>
      </c>
      <c r="S1778" s="385" t="str">
        <f>IFERROR(
    IF(
        OR(ISBLANK(N1778), ISBLANK(O1778)),
        "",
        MAX(
            1,
            IF(
                NETWORKDAYS(N1778, O1778, Holiday_Dates) &lt;= 0,
                1,
                NETWORKDAYS(N1778, O1778, Holiday_Dates) - IF(N1778 = O1778, 0, 1)
            )
        )
    ),
    ""
)</f>
        <v/>
      </c>
      <c r="T1778" s="385"/>
      <c r="U1778" s="385"/>
      <c r="V1778" s="385"/>
      <c r="W1778" s="385" t="s">
        <v>4710</v>
      </c>
      <c r="X1778" s="1"/>
    </row>
    <row r="1779" spans="1:24">
      <c r="A1779" s="385" t="s">
        <v>65</v>
      </c>
      <c r="B1779" s="385" t="s">
        <v>528</v>
      </c>
      <c r="C1779" s="385" t="s">
        <v>3464</v>
      </c>
      <c r="D1779" s="385" t="s">
        <v>88</v>
      </c>
      <c r="E1779" s="385"/>
      <c r="F1779" s="385"/>
      <c r="G1779" s="385"/>
      <c r="H1779" s="385">
        <v>2024</v>
      </c>
      <c r="I1779" s="386">
        <v>45454</v>
      </c>
      <c r="J1779" s="30"/>
      <c r="K1779" s="385"/>
      <c r="L1779" s="385"/>
      <c r="M1779" s="385"/>
      <c r="N1779" s="385"/>
      <c r="O1779" s="385"/>
      <c r="P1779" s="385" t="str">
        <f>IFERROR(
    IF(
        OR(ISBLANK(I1779), ISBLANK(L1779)),
        "",
        MAX(
            1,
            IF(
                NETWORKDAYS(I1779, L1779, Holiday_Dates) &lt;= 0,
                1,
                NETWORKDAYS(I1779, L1779, Holiday_Dates) - IF(I1779 = L1779, 0, 1)
            )
        )
    ),
    ""
)</f>
        <v/>
      </c>
      <c r="Q1779" s="385" t="str">
        <f>IF(
    OR(ISBLANK(L1779), ISBLANK(M1779)),
    "",
    MAX(
        1,
        IF(
            NETWORKDAYS(L1779, M1779, Holiday_Dates) &lt;= 0,
            1,
            NETWORKDAYS(L1779, M1779, Holiday_Dates) - IF(L1779 = M1779, 0, 1)
        )
    )
)</f>
        <v/>
      </c>
      <c r="R1779" s="385" t="str">
        <f>IFERROR(
    IF(
        OR(ISBLANK(N1779), AND(ISBLANK(L1779), ISBLANK(M1779))),
        "",
        MAX(
            1,
            IF(
                NETWORKDAYS(IF(NOT(ISBLANK(M1779)), M1779, L1779), N1779, Holiday_Dates) &lt;= 0,
                1,
                NETWORKDAYS(IF(NOT(ISBLANK(M1779)), M1779, L1779), N1779, Holiday_Dates)
                - IF(IF(NOT(ISBLANK(M1779)), M1779, L1779) = N1779, 0, 1)
            )
        )
    ),
    ""
)</f>
        <v/>
      </c>
      <c r="S1779" s="385" t="str">
        <f>IFERROR(
    IF(
        OR(ISBLANK(N1779), ISBLANK(O1779)),
        "",
        MAX(
            1,
            IF(
                NETWORKDAYS(N1779, O1779, Holiday_Dates) &lt;= 0,
                1,
                NETWORKDAYS(N1779, O1779, Holiday_Dates) - IF(N1779 = O1779, 0, 1)
            )
        )
    ),
    ""
)</f>
        <v/>
      </c>
      <c r="T1779" s="385"/>
      <c r="U1779" s="385" t="s">
        <v>672</v>
      </c>
      <c r="V1779" s="385"/>
      <c r="W1779" s="385" t="s">
        <v>1436</v>
      </c>
      <c r="X1779" s="1"/>
    </row>
    <row r="1780" spans="1:24">
      <c r="A1780" s="385" t="s">
        <v>65</v>
      </c>
      <c r="B1780" s="385" t="s">
        <v>528</v>
      </c>
      <c r="C1780" s="385" t="s">
        <v>3466</v>
      </c>
      <c r="D1780" s="385" t="s">
        <v>88</v>
      </c>
      <c r="E1780" s="385"/>
      <c r="F1780" s="385"/>
      <c r="G1780" s="385"/>
      <c r="H1780" s="385">
        <v>2024</v>
      </c>
      <c r="I1780" s="386">
        <v>45454</v>
      </c>
      <c r="J1780" s="30"/>
      <c r="K1780" s="385"/>
      <c r="L1780" s="385"/>
      <c r="M1780" s="385"/>
      <c r="N1780" s="385"/>
      <c r="O1780" s="385"/>
      <c r="P1780" s="385" t="str">
        <f>IFERROR(
    IF(
        OR(ISBLANK(I1780), ISBLANK(L1780)),
        "",
        MAX(
            1,
            IF(
                NETWORKDAYS(I1780, L1780, Holiday_Dates) &lt;= 0,
                1,
                NETWORKDAYS(I1780, L1780, Holiday_Dates) - IF(I1780 = L1780, 0, 1)
            )
        )
    ),
    ""
)</f>
        <v/>
      </c>
      <c r="Q1780" s="385" t="str">
        <f>IF(
    OR(ISBLANK(L1780), ISBLANK(M1780)),
    "",
    MAX(
        1,
        IF(
            NETWORKDAYS(L1780, M1780, Holiday_Dates) &lt;= 0,
            1,
            NETWORKDAYS(L1780, M1780, Holiday_Dates) - IF(L1780 = M1780, 0, 1)
        )
    )
)</f>
        <v/>
      </c>
      <c r="R1780" s="385" t="str">
        <f>IFERROR(
    IF(
        OR(ISBLANK(N1780), AND(ISBLANK(L1780), ISBLANK(M1780))),
        "",
        MAX(
            1,
            IF(
                NETWORKDAYS(IF(NOT(ISBLANK(M1780)), M1780, L1780), N1780, Holiday_Dates) &lt;= 0,
                1,
                NETWORKDAYS(IF(NOT(ISBLANK(M1780)), M1780, L1780), N1780, Holiday_Dates)
                - IF(IF(NOT(ISBLANK(M1780)), M1780, L1780) = N1780, 0, 1)
            )
        )
    ),
    ""
)</f>
        <v/>
      </c>
      <c r="S1780" s="385" t="str">
        <f>IFERROR(
    IF(
        OR(ISBLANK(N1780), ISBLANK(O1780)),
        "",
        MAX(
            1,
            IF(
                NETWORKDAYS(N1780, O1780, Holiday_Dates) &lt;= 0,
                1,
                NETWORKDAYS(N1780, O1780, Holiday_Dates) - IF(N1780 = O1780, 0, 1)
            )
        )
    ),
    ""
)</f>
        <v/>
      </c>
      <c r="T1780" s="385"/>
      <c r="U1780" s="385" t="s">
        <v>672</v>
      </c>
      <c r="V1780" s="385"/>
      <c r="W1780" s="385" t="s">
        <v>1436</v>
      </c>
      <c r="X1780" s="1"/>
    </row>
    <row r="1781" spans="1:24">
      <c r="A1781" s="385" t="s">
        <v>52</v>
      </c>
      <c r="B1781" s="385" t="s">
        <v>4231</v>
      </c>
      <c r="C1781" s="385" t="s">
        <v>554</v>
      </c>
      <c r="D1781" s="385" t="s">
        <v>88</v>
      </c>
      <c r="E1781" s="385" t="s">
        <v>37</v>
      </c>
      <c r="F1781" s="385"/>
      <c r="G1781" s="385" t="s">
        <v>28</v>
      </c>
      <c r="H1781" s="385"/>
      <c r="I1781" s="385"/>
      <c r="J1781" s="30"/>
      <c r="K1781" s="385" t="s">
        <v>64</v>
      </c>
      <c r="L1781" s="385"/>
      <c r="M1781" s="385"/>
      <c r="N1781" s="385"/>
      <c r="O1781" s="385"/>
      <c r="P1781" s="385" t="str">
        <f>IFERROR(
    IF(
        OR(ISBLANK(I1781), ISBLANK(L1781)),
        "",
        MAX(
            1,
            IF(
                NETWORKDAYS(I1781, L1781, Holiday_Dates) &lt;= 0,
                1,
                NETWORKDAYS(I1781, L1781, Holiday_Dates) - IF(I1781 = L1781, 0, 1)
            )
        )
    ),
    ""
)</f>
        <v/>
      </c>
      <c r="Q1781" s="385" t="str">
        <f>IF(
    OR(ISBLANK(L1781), ISBLANK(M1781)),
    "",
    MAX(
        1,
        IF(
            NETWORKDAYS(L1781, M1781, Holiday_Dates) &lt;= 0,
            1,
            NETWORKDAYS(L1781, M1781, Holiday_Dates) - IF(L1781 = M1781, 0, 1)
        )
    )
)</f>
        <v/>
      </c>
      <c r="R1781" s="385" t="str">
        <f>IFERROR(
    IF(
        OR(ISBLANK(N1781), AND(ISBLANK(L1781), ISBLANK(M1781))),
        "",
        MAX(
            1,
            IF(
                NETWORKDAYS(IF(NOT(ISBLANK(M1781)), M1781, L1781), N1781, Holiday_Dates) &lt;= 0,
                1,
                NETWORKDAYS(IF(NOT(ISBLANK(M1781)), M1781, L1781), N1781, Holiday_Dates)
                - IF(IF(NOT(ISBLANK(M1781)), M1781, L1781) = N1781, 0, 1)
            )
        )
    ),
    ""
)</f>
        <v/>
      </c>
      <c r="S1781" s="385" t="str">
        <f>IFERROR(
    IF(
        OR(ISBLANK(N1781), ISBLANK(O1781)),
        "",
        MAX(
            1,
            IF(
                NETWORKDAYS(N1781, O1781, Holiday_Dates) &lt;= 0,
                1,
                NETWORKDAYS(N1781, O1781, Holiday_Dates) - IF(N1781 = O1781, 0, 1)
            )
        )
    ),
    ""
)</f>
        <v/>
      </c>
      <c r="T1781" s="385"/>
      <c r="U1781" s="385"/>
      <c r="V1781" s="385"/>
      <c r="W1781" s="385" t="s">
        <v>4710</v>
      </c>
      <c r="X1781" s="1"/>
    </row>
    <row r="1782" spans="1:24">
      <c r="A1782" s="385" t="s">
        <v>52</v>
      </c>
      <c r="B1782" s="385" t="s">
        <v>4231</v>
      </c>
      <c r="C1782" s="385" t="s">
        <v>4266</v>
      </c>
      <c r="D1782" s="385" t="s">
        <v>88</v>
      </c>
      <c r="E1782" s="385" t="s">
        <v>37</v>
      </c>
      <c r="F1782" s="385"/>
      <c r="G1782" s="385" t="s">
        <v>28</v>
      </c>
      <c r="H1782" s="385"/>
      <c r="I1782" s="385"/>
      <c r="J1782" s="30"/>
      <c r="K1782" s="385" t="s">
        <v>64</v>
      </c>
      <c r="L1782" s="385"/>
      <c r="M1782" s="385"/>
      <c r="N1782" s="385"/>
      <c r="O1782" s="385"/>
      <c r="P1782" s="385" t="str">
        <f>IFERROR(
    IF(
        OR(ISBLANK(I1782), ISBLANK(L1782)),
        "",
        MAX(
            1,
            IF(
                NETWORKDAYS(I1782, L1782, Holiday_Dates) &lt;= 0,
                1,
                NETWORKDAYS(I1782, L1782, Holiday_Dates) - IF(I1782 = L1782, 0, 1)
            )
        )
    ),
    ""
)</f>
        <v/>
      </c>
      <c r="Q1782" s="385" t="str">
        <f>IF(
    OR(ISBLANK(L1782), ISBLANK(M1782)),
    "",
    MAX(
        1,
        IF(
            NETWORKDAYS(L1782, M1782, Holiday_Dates) &lt;= 0,
            1,
            NETWORKDAYS(L1782, M1782, Holiday_Dates) - IF(L1782 = M1782, 0, 1)
        )
    )
)</f>
        <v/>
      </c>
      <c r="R1782" s="385" t="str">
        <f>IFERROR(
    IF(
        OR(ISBLANK(N1782), AND(ISBLANK(L1782), ISBLANK(M1782))),
        "",
        MAX(
            1,
            IF(
                NETWORKDAYS(IF(NOT(ISBLANK(M1782)), M1782, L1782), N1782, Holiday_Dates) &lt;= 0,
                1,
                NETWORKDAYS(IF(NOT(ISBLANK(M1782)), M1782, L1782), N1782, Holiday_Dates)
                - IF(IF(NOT(ISBLANK(M1782)), M1782, L1782) = N1782, 0, 1)
            )
        )
    ),
    ""
)</f>
        <v/>
      </c>
      <c r="S1782" s="385" t="str">
        <f>IFERROR(
    IF(
        OR(ISBLANK(N1782), ISBLANK(O1782)),
        "",
        MAX(
            1,
            IF(
                NETWORKDAYS(N1782, O1782, Holiday_Dates) &lt;= 0,
                1,
                NETWORKDAYS(N1782, O1782, Holiday_Dates) - IF(N1782 = O1782, 0, 1)
            )
        )
    ),
    ""
)</f>
        <v/>
      </c>
      <c r="T1782" s="385"/>
      <c r="U1782" s="385"/>
      <c r="V1782" s="385"/>
      <c r="W1782" s="385" t="s">
        <v>4710</v>
      </c>
      <c r="X1782" s="1"/>
    </row>
    <row r="1783" spans="1:24">
      <c r="A1783" s="385" t="s">
        <v>52</v>
      </c>
      <c r="B1783" s="385" t="s">
        <v>4231</v>
      </c>
      <c r="C1783" s="385" t="s">
        <v>4267</v>
      </c>
      <c r="D1783" s="385" t="s">
        <v>88</v>
      </c>
      <c r="E1783" s="385" t="s">
        <v>37</v>
      </c>
      <c r="F1783" s="385"/>
      <c r="G1783" s="385" t="s">
        <v>28</v>
      </c>
      <c r="H1783" s="385"/>
      <c r="I1783" s="385"/>
      <c r="J1783" s="30"/>
      <c r="K1783" s="385" t="s">
        <v>64</v>
      </c>
      <c r="L1783" s="385"/>
      <c r="M1783" s="385"/>
      <c r="N1783" s="385"/>
      <c r="O1783" s="385"/>
      <c r="P1783" s="385" t="str">
        <f>IFERROR(
    IF(
        OR(ISBLANK(I1783), ISBLANK(L1783)),
        "",
        MAX(
            1,
            IF(
                NETWORKDAYS(I1783, L1783, Holiday_Dates) &lt;= 0,
                1,
                NETWORKDAYS(I1783, L1783, Holiday_Dates) - IF(I1783 = L1783, 0, 1)
            )
        )
    ),
    ""
)</f>
        <v/>
      </c>
      <c r="Q1783" s="385" t="str">
        <f>IF(
    OR(ISBLANK(L1783), ISBLANK(M1783)),
    "",
    MAX(
        1,
        IF(
            NETWORKDAYS(L1783, M1783, Holiday_Dates) &lt;= 0,
            1,
            NETWORKDAYS(L1783, M1783, Holiday_Dates) - IF(L1783 = M1783, 0, 1)
        )
    )
)</f>
        <v/>
      </c>
      <c r="R1783" s="385" t="str">
        <f>IFERROR(
    IF(
        OR(ISBLANK(N1783), AND(ISBLANK(L1783), ISBLANK(M1783))),
        "",
        MAX(
            1,
            IF(
                NETWORKDAYS(IF(NOT(ISBLANK(M1783)), M1783, L1783), N1783, Holiday_Dates) &lt;= 0,
                1,
                NETWORKDAYS(IF(NOT(ISBLANK(M1783)), M1783, L1783), N1783, Holiday_Dates)
                - IF(IF(NOT(ISBLANK(M1783)), M1783, L1783) = N1783, 0, 1)
            )
        )
    ),
    ""
)</f>
        <v/>
      </c>
      <c r="S1783" s="385" t="str">
        <f>IFERROR(
    IF(
        OR(ISBLANK(N1783), ISBLANK(O1783)),
        "",
        MAX(
            1,
            IF(
                NETWORKDAYS(N1783, O1783, Holiday_Dates) &lt;= 0,
                1,
                NETWORKDAYS(N1783, O1783, Holiday_Dates) - IF(N1783 = O1783, 0, 1)
            )
        )
    ),
    ""
)</f>
        <v/>
      </c>
      <c r="T1783" s="385"/>
      <c r="U1783" s="385"/>
      <c r="V1783" s="385"/>
      <c r="W1783" s="385" t="s">
        <v>4710</v>
      </c>
      <c r="X1783" s="1"/>
    </row>
    <row r="1784" spans="1:24">
      <c r="A1784" s="608" t="s">
        <v>65</v>
      </c>
      <c r="B1784" s="608" t="s">
        <v>507</v>
      </c>
      <c r="C1784" s="608" t="s">
        <v>2910</v>
      </c>
      <c r="D1784" s="608" t="s">
        <v>89</v>
      </c>
      <c r="E1784" s="608" t="s">
        <v>29</v>
      </c>
      <c r="F1784" s="608"/>
      <c r="G1784" s="608" t="s">
        <v>130</v>
      </c>
      <c r="H1784" s="673"/>
      <c r="I1784" s="674">
        <v>46084</v>
      </c>
      <c r="J1784" s="671" t="s">
        <v>5382</v>
      </c>
      <c r="K1784" s="608" t="s">
        <v>45</v>
      </c>
      <c r="L1784" s="672"/>
      <c r="M1784" s="608"/>
      <c r="N1784" s="672"/>
      <c r="O1784" s="672"/>
      <c r="P1784" s="608"/>
      <c r="Q1784" s="608"/>
      <c r="R1784" s="608"/>
      <c r="S1784" s="608"/>
      <c r="T1784" s="608" t="s">
        <v>929</v>
      </c>
      <c r="U1784" s="608" t="s">
        <v>672</v>
      </c>
      <c r="V1784" s="608" t="s">
        <v>101</v>
      </c>
      <c r="W1784" s="385" t="s">
        <v>4710</v>
      </c>
      <c r="X1784" s="673" t="s">
        <v>5383</v>
      </c>
    </row>
    <row r="1785" spans="1:24">
      <c r="A1785" s="608" t="s">
        <v>65</v>
      </c>
      <c r="B1785" s="608" t="s">
        <v>507</v>
      </c>
      <c r="C1785" s="608" t="s">
        <v>2909</v>
      </c>
      <c r="D1785" s="608" t="s">
        <v>89</v>
      </c>
      <c r="E1785" s="608" t="s">
        <v>29</v>
      </c>
      <c r="F1785" s="608"/>
      <c r="G1785" s="608" t="s">
        <v>130</v>
      </c>
      <c r="H1785" s="673"/>
      <c r="I1785" s="673"/>
      <c r="J1785" s="671" t="s">
        <v>5384</v>
      </c>
      <c r="K1785" s="608" t="s">
        <v>45</v>
      </c>
      <c r="L1785" s="672">
        <v>46084</v>
      </c>
      <c r="M1785" s="608"/>
      <c r="N1785" s="672">
        <v>46088</v>
      </c>
      <c r="O1785" s="672">
        <v>46090</v>
      </c>
      <c r="P1785" s="608"/>
      <c r="Q1785" s="608"/>
      <c r="R1785" s="608"/>
      <c r="S1785" s="608"/>
      <c r="T1785" s="608" t="s">
        <v>929</v>
      </c>
      <c r="U1785" s="608" t="s">
        <v>672</v>
      </c>
      <c r="V1785" s="608" t="s">
        <v>101</v>
      </c>
      <c r="W1785" s="385" t="s">
        <v>4710</v>
      </c>
      <c r="X1785" s="673" t="s">
        <v>5383</v>
      </c>
    </row>
    <row r="1786" spans="1:24">
      <c r="A1786" s="385" t="s">
        <v>51</v>
      </c>
      <c r="B1786" s="385" t="s">
        <v>352</v>
      </c>
      <c r="C1786" s="385" t="s">
        <v>3594</v>
      </c>
      <c r="D1786" s="385" t="s">
        <v>88</v>
      </c>
      <c r="E1786" s="385" t="s">
        <v>32</v>
      </c>
      <c r="F1786" s="385"/>
      <c r="G1786" s="385" t="s">
        <v>133</v>
      </c>
      <c r="H1786" s="385"/>
      <c r="I1786" s="385"/>
      <c r="J1786" s="30"/>
      <c r="K1786" s="385"/>
      <c r="L1786" s="385"/>
      <c r="M1786" s="385"/>
      <c r="N1786" s="385"/>
      <c r="O1786" s="385"/>
      <c r="P1786" s="385" t="str">
        <f>IFERROR(
    IF(
        OR(ISBLANK(I1786), ISBLANK(L1786)),
        "",
        MAX(
            1,
            IF(
                NETWORKDAYS(I1786, L1786, Holiday_Dates) &lt;= 0,
                1,
                NETWORKDAYS(I1786, L1786, Holiday_Dates) - IF(I1786 = L1786, 0, 1)
            )
        )
    ),
    ""
)</f>
        <v/>
      </c>
      <c r="Q1786" s="385" t="str">
        <f>IF(
    OR(ISBLANK(L1786), ISBLANK(M1786)),
    "",
    MAX(
        1,
        IF(
            NETWORKDAYS(L1786, M1786, Holiday_Dates) &lt;= 0,
            1,
            NETWORKDAYS(L1786, M1786, Holiday_Dates) - IF(L1786 = M1786, 0, 1)
        )
    )
)</f>
        <v/>
      </c>
      <c r="R1786" s="385" t="str">
        <f>IFERROR(
    IF(
        OR(ISBLANK(N1786), AND(ISBLANK(L1786), ISBLANK(M1786))),
        "",
        MAX(
            1,
            IF(
                NETWORKDAYS(IF(NOT(ISBLANK(M1786)), M1786, L1786), N1786, Holiday_Dates) &lt;= 0,
                1,
                NETWORKDAYS(IF(NOT(ISBLANK(M1786)), M1786, L1786), N1786, Holiday_Dates)
                - IF(IF(NOT(ISBLANK(M1786)), M1786, L1786) = N1786, 0, 1)
            )
        )
    ),
    ""
)</f>
        <v/>
      </c>
      <c r="S1786" s="385" t="str">
        <f>IFERROR(
    IF(
        OR(ISBLANK(N1786), ISBLANK(O1786)),
        "",
        MAX(
            1,
            IF(
                NETWORKDAYS(N1786, O1786, Holiday_Dates) &lt;= 0,
                1,
                NETWORKDAYS(N1786, O1786, Holiday_Dates) - IF(N1786 = O1786, 0, 1)
            )
        )
    ),
    ""
)</f>
        <v/>
      </c>
      <c r="T1786" s="385"/>
      <c r="U1786" s="385"/>
      <c r="V1786" s="385"/>
      <c r="W1786" s="385" t="s">
        <v>4710</v>
      </c>
      <c r="X1786" s="1"/>
    </row>
    <row r="1787" spans="1:24">
      <c r="A1787" s="385" t="s">
        <v>51</v>
      </c>
      <c r="B1787" s="385" t="s">
        <v>352</v>
      </c>
      <c r="C1787" s="385" t="s">
        <v>2213</v>
      </c>
      <c r="D1787" s="385" t="s">
        <v>88</v>
      </c>
      <c r="E1787" s="385" t="s">
        <v>32</v>
      </c>
      <c r="F1787" s="385"/>
      <c r="G1787" s="385" t="s">
        <v>133</v>
      </c>
      <c r="H1787" s="385"/>
      <c r="I1787" s="385"/>
      <c r="J1787" s="30"/>
      <c r="K1787" s="385"/>
      <c r="L1787" s="385"/>
      <c r="M1787" s="385"/>
      <c r="N1787" s="385"/>
      <c r="O1787" s="385"/>
      <c r="P1787" s="385" t="str">
        <f>IFERROR(
    IF(
        OR(ISBLANK(I1787), ISBLANK(L1787)),
        "",
        MAX(
            1,
            IF(
                NETWORKDAYS(I1787, L1787, Holiday_Dates) &lt;= 0,
                1,
                NETWORKDAYS(I1787, L1787, Holiday_Dates) - IF(I1787 = L1787, 0, 1)
            )
        )
    ),
    ""
)</f>
        <v/>
      </c>
      <c r="Q1787" s="385" t="str">
        <f>IF(
    OR(ISBLANK(L1787), ISBLANK(M1787)),
    "",
    MAX(
        1,
        IF(
            NETWORKDAYS(L1787, M1787, Holiday_Dates) &lt;= 0,
            1,
            NETWORKDAYS(L1787, M1787, Holiday_Dates) - IF(L1787 = M1787, 0, 1)
        )
    )
)</f>
        <v/>
      </c>
      <c r="R1787" s="385" t="str">
        <f>IFERROR(
    IF(
        OR(ISBLANK(N1787), AND(ISBLANK(L1787), ISBLANK(M1787))),
        "",
        MAX(
            1,
            IF(
                NETWORKDAYS(IF(NOT(ISBLANK(M1787)), M1787, L1787), N1787, Holiday_Dates) &lt;= 0,
                1,
                NETWORKDAYS(IF(NOT(ISBLANK(M1787)), M1787, L1787), N1787, Holiday_Dates)
                - IF(IF(NOT(ISBLANK(M1787)), M1787, L1787) = N1787, 0, 1)
            )
        )
    ),
    ""
)</f>
        <v/>
      </c>
      <c r="S1787" s="385" t="str">
        <f>IFERROR(
    IF(
        OR(ISBLANK(N1787), ISBLANK(O1787)),
        "",
        MAX(
            1,
            IF(
                NETWORKDAYS(N1787, O1787, Holiday_Dates) &lt;= 0,
                1,
                NETWORKDAYS(N1787, O1787, Holiday_Dates) - IF(N1787 = O1787, 0, 1)
            )
        )
    ),
    ""
)</f>
        <v/>
      </c>
      <c r="T1787" s="385"/>
      <c r="U1787" s="385"/>
      <c r="V1787" s="385"/>
      <c r="W1787" s="385" t="s">
        <v>4710</v>
      </c>
      <c r="X1787" s="1"/>
    </row>
    <row r="1788" spans="1:24">
      <c r="A1788" s="385" t="s">
        <v>49</v>
      </c>
      <c r="B1788" s="385" t="s">
        <v>2352</v>
      </c>
      <c r="C1788" s="385" t="s">
        <v>2366</v>
      </c>
      <c r="D1788" s="385" t="s">
        <v>88</v>
      </c>
      <c r="E1788" s="385" t="s">
        <v>344</v>
      </c>
      <c r="F1788" s="385"/>
      <c r="G1788" s="385" t="s">
        <v>128</v>
      </c>
      <c r="H1788" s="385"/>
      <c r="I1788" s="385"/>
      <c r="J1788" s="30"/>
      <c r="K1788" s="385"/>
      <c r="L1788" s="385"/>
      <c r="M1788" s="385"/>
      <c r="N1788" s="385"/>
      <c r="O1788" s="385"/>
      <c r="P1788" s="385" t="str">
        <f>IFERROR(
    IF(
        OR(ISBLANK(I1788), ISBLANK(L1788)),
        "",
        MAX(
            1,
            IF(
                NETWORKDAYS(I1788, L1788, Holiday_Dates) &lt;= 0,
                1,
                NETWORKDAYS(I1788, L1788, Holiday_Dates) - IF(I1788 = L1788, 0, 1)
            )
        )
    ),
    ""
)</f>
        <v/>
      </c>
      <c r="Q1788" s="385" t="str">
        <f>IF(
    OR(ISBLANK(L1788), ISBLANK(M1788)),
    "",
    MAX(
        1,
        IF(
            NETWORKDAYS(L1788, M1788, Holiday_Dates) &lt;= 0,
            1,
            NETWORKDAYS(L1788, M1788, Holiday_Dates) - IF(L1788 = M1788, 0, 1)
        )
    )
)</f>
        <v/>
      </c>
      <c r="R1788" s="385" t="str">
        <f>IFERROR(
    IF(
        OR(ISBLANK(N1788), AND(ISBLANK(L1788), ISBLANK(M1788))),
        "",
        MAX(
            1,
            IF(
                NETWORKDAYS(IF(NOT(ISBLANK(M1788)), M1788, L1788), N1788, Holiday_Dates) &lt;= 0,
                1,
                NETWORKDAYS(IF(NOT(ISBLANK(M1788)), M1788, L1788), N1788, Holiday_Dates)
                - IF(IF(NOT(ISBLANK(M1788)), M1788, L1788) = N1788, 0, 1)
            )
        )
    ),
    ""
)</f>
        <v/>
      </c>
      <c r="S1788" s="385" t="str">
        <f>IFERROR(
    IF(
        OR(ISBLANK(N1788), ISBLANK(O1788)),
        "",
        MAX(
            1,
            IF(
                NETWORKDAYS(N1788, O1788, Holiday_Dates) &lt;= 0,
                1,
                NETWORKDAYS(N1788, O1788, Holiday_Dates) - IF(N1788 = O1788, 0, 1)
            )
        )
    ),
    ""
)</f>
        <v/>
      </c>
      <c r="T1788" s="385"/>
      <c r="U1788" s="385"/>
      <c r="V1788" s="385"/>
      <c r="W1788" s="385" t="s">
        <v>4710</v>
      </c>
      <c r="X1788" s="1"/>
    </row>
    <row r="1789" spans="1:24">
      <c r="A1789" s="385" t="s">
        <v>49</v>
      </c>
      <c r="B1789" s="385" t="s">
        <v>2352</v>
      </c>
      <c r="C1789" s="385" t="s">
        <v>2367</v>
      </c>
      <c r="D1789" s="385" t="s">
        <v>88</v>
      </c>
      <c r="E1789" s="385" t="s">
        <v>344</v>
      </c>
      <c r="F1789" s="385"/>
      <c r="G1789" s="385" t="s">
        <v>128</v>
      </c>
      <c r="H1789" s="385"/>
      <c r="I1789" s="385"/>
      <c r="J1789" s="30"/>
      <c r="K1789" s="385"/>
      <c r="L1789" s="385"/>
      <c r="M1789" s="385"/>
      <c r="N1789" s="385"/>
      <c r="O1789" s="385"/>
      <c r="P1789" s="385" t="str">
        <f>IFERROR(
    IF(
        OR(ISBLANK(I1789), ISBLANK(L1789)),
        "",
        MAX(
            1,
            IF(
                NETWORKDAYS(I1789, L1789, Holiday_Dates) &lt;= 0,
                1,
                NETWORKDAYS(I1789, L1789, Holiday_Dates) - IF(I1789 = L1789, 0, 1)
            )
        )
    ),
    ""
)</f>
        <v/>
      </c>
      <c r="Q1789" s="385" t="str">
        <f>IF(
    OR(ISBLANK(L1789), ISBLANK(M1789)),
    "",
    MAX(
        1,
        IF(
            NETWORKDAYS(L1789, M1789, Holiday_Dates) &lt;= 0,
            1,
            NETWORKDAYS(L1789, M1789, Holiday_Dates) - IF(L1789 = M1789, 0, 1)
        )
    )
)</f>
        <v/>
      </c>
      <c r="R1789" s="385" t="str">
        <f>IFERROR(
    IF(
        OR(ISBLANK(N1789), AND(ISBLANK(L1789), ISBLANK(M1789))),
        "",
        MAX(
            1,
            IF(
                NETWORKDAYS(IF(NOT(ISBLANK(M1789)), M1789, L1789), N1789, Holiday_Dates) &lt;= 0,
                1,
                NETWORKDAYS(IF(NOT(ISBLANK(M1789)), M1789, L1789), N1789, Holiday_Dates)
                - IF(IF(NOT(ISBLANK(M1789)), M1789, L1789) = N1789, 0, 1)
            )
        )
    ),
    ""
)</f>
        <v/>
      </c>
      <c r="S1789" s="385" t="str">
        <f>IFERROR(
    IF(
        OR(ISBLANK(N1789), ISBLANK(O1789)),
        "",
        MAX(
            1,
            IF(
                NETWORKDAYS(N1789, O1789, Holiday_Dates) &lt;= 0,
                1,
                NETWORKDAYS(N1789, O1789, Holiday_Dates) - IF(N1789 = O1789, 0, 1)
            )
        )
    ),
    ""
)</f>
        <v/>
      </c>
      <c r="T1789" s="385"/>
      <c r="U1789" s="385"/>
      <c r="V1789" s="385"/>
      <c r="W1789" s="385" t="s">
        <v>4710</v>
      </c>
      <c r="X1789" s="1"/>
    </row>
    <row r="1790" spans="1:24">
      <c r="A1790" s="385" t="s">
        <v>65</v>
      </c>
      <c r="B1790" s="385" t="s">
        <v>528</v>
      </c>
      <c r="C1790" s="385" t="s">
        <v>3473</v>
      </c>
      <c r="D1790" s="385" t="s">
        <v>88</v>
      </c>
      <c r="E1790" s="385"/>
      <c r="F1790" s="385"/>
      <c r="G1790" s="385"/>
      <c r="H1790" s="385">
        <v>2025</v>
      </c>
      <c r="I1790" s="386">
        <v>45798</v>
      </c>
      <c r="J1790" s="30" t="s">
        <v>5385</v>
      </c>
      <c r="K1790" s="385"/>
      <c r="L1790" s="385"/>
      <c r="M1790" s="385"/>
      <c r="N1790" s="385"/>
      <c r="O1790" s="385"/>
      <c r="P1790" s="385" t="str">
        <f>IFERROR(
    IF(
        OR(ISBLANK(I1790), ISBLANK(L1790)),
        "",
        MAX(
            1,
            IF(
                NETWORKDAYS(I1790, L1790, Holiday_Dates) &lt;= 0,
                1,
                NETWORKDAYS(I1790, L1790, Holiday_Dates) - IF(I1790 = L1790, 0, 1)
            )
        )
    ),
    ""
)</f>
        <v/>
      </c>
      <c r="Q1790" s="385" t="str">
        <f>IF(
    OR(ISBLANK(L1790), ISBLANK(M1790)),
    "",
    MAX(
        1,
        IF(
            NETWORKDAYS(L1790, M1790, Holiday_Dates) &lt;= 0,
            1,
            NETWORKDAYS(L1790, M1790, Holiday_Dates) - IF(L1790 = M1790, 0, 1)
        )
    )
)</f>
        <v/>
      </c>
      <c r="R1790" s="385" t="str">
        <f>IFERROR(
    IF(
        OR(ISBLANK(N1790), AND(ISBLANK(L1790), ISBLANK(M1790))),
        "",
        MAX(
            1,
            IF(
                NETWORKDAYS(IF(NOT(ISBLANK(M1790)), M1790, L1790), N1790, Holiday_Dates) &lt;= 0,
                1,
                NETWORKDAYS(IF(NOT(ISBLANK(M1790)), M1790, L1790), N1790, Holiday_Dates)
                - IF(IF(NOT(ISBLANK(M1790)), M1790, L1790) = N1790, 0, 1)
            )
        )
    ),
    ""
)</f>
        <v/>
      </c>
      <c r="S1790" s="385" t="str">
        <f>IFERROR(
    IF(
        OR(ISBLANK(N1790), ISBLANK(O1790)),
        "",
        MAX(
            1,
            IF(
                NETWORKDAYS(N1790, O1790, Holiday_Dates) &lt;= 0,
                1,
                NETWORKDAYS(N1790, O1790, Holiday_Dates) - IF(N1790 = O1790, 0, 1)
            )
        )
    ),
    ""
)</f>
        <v/>
      </c>
      <c r="T1790" s="385"/>
      <c r="U1790" s="385" t="s">
        <v>672</v>
      </c>
      <c r="V1790" s="385" t="s">
        <v>101</v>
      </c>
      <c r="W1790" s="385" t="s">
        <v>1436</v>
      </c>
      <c r="X1790" s="1"/>
    </row>
    <row r="1791" spans="1:24">
      <c r="A1791" s="385" t="s">
        <v>49</v>
      </c>
      <c r="B1791" s="385" t="s">
        <v>2352</v>
      </c>
      <c r="C1791" s="385" t="s">
        <v>2368</v>
      </c>
      <c r="D1791" s="385" t="s">
        <v>88</v>
      </c>
      <c r="E1791" s="385" t="s">
        <v>344</v>
      </c>
      <c r="F1791" s="385"/>
      <c r="G1791" s="385" t="s">
        <v>128</v>
      </c>
      <c r="H1791" s="385"/>
      <c r="I1791" s="385"/>
      <c r="J1791" s="30"/>
      <c r="K1791" s="385"/>
      <c r="L1791" s="385"/>
      <c r="M1791" s="385"/>
      <c r="N1791" s="385"/>
      <c r="O1791" s="385"/>
      <c r="P1791" s="385" t="str">
        <f>IFERROR(
    IF(
        OR(ISBLANK(I1791), ISBLANK(L1791)),
        "",
        MAX(
            1,
            IF(
                NETWORKDAYS(I1791, L1791, Holiday_Dates) &lt;= 0,
                1,
                NETWORKDAYS(I1791, L1791, Holiday_Dates) - IF(I1791 = L1791, 0, 1)
            )
        )
    ),
    ""
)</f>
        <v/>
      </c>
      <c r="Q1791" s="385" t="str">
        <f>IF(
    OR(ISBLANK(L1791), ISBLANK(M1791)),
    "",
    MAX(
        1,
        IF(
            NETWORKDAYS(L1791, M1791, Holiday_Dates) &lt;= 0,
            1,
            NETWORKDAYS(L1791, M1791, Holiday_Dates) - IF(L1791 = M1791, 0, 1)
        )
    )
)</f>
        <v/>
      </c>
      <c r="R1791" s="385" t="str">
        <f>IFERROR(
    IF(
        OR(ISBLANK(N1791), AND(ISBLANK(L1791), ISBLANK(M1791))),
        "",
        MAX(
            1,
            IF(
                NETWORKDAYS(IF(NOT(ISBLANK(M1791)), M1791, L1791), N1791, Holiday_Dates) &lt;= 0,
                1,
                NETWORKDAYS(IF(NOT(ISBLANK(M1791)), M1791, L1791), N1791, Holiday_Dates)
                - IF(IF(NOT(ISBLANK(M1791)), M1791, L1791) = N1791, 0, 1)
            )
        )
    ),
    ""
)</f>
        <v/>
      </c>
      <c r="S1791" s="385" t="str">
        <f>IFERROR(
    IF(
        OR(ISBLANK(N1791), ISBLANK(O1791)),
        "",
        MAX(
            1,
            IF(
                NETWORKDAYS(N1791, O1791, Holiday_Dates) &lt;= 0,
                1,
                NETWORKDAYS(N1791, O1791, Holiday_Dates) - IF(N1791 = O1791, 0, 1)
            )
        )
    ),
    ""
)</f>
        <v/>
      </c>
      <c r="T1791" s="385"/>
      <c r="U1791" s="385"/>
      <c r="V1791" s="385"/>
      <c r="W1791" s="385" t="s">
        <v>4710</v>
      </c>
      <c r="X1791" s="1"/>
    </row>
    <row r="1792" spans="1:24">
      <c r="A1792" s="385" t="s">
        <v>49</v>
      </c>
      <c r="B1792" s="385" t="s">
        <v>2352</v>
      </c>
      <c r="C1792" s="385" t="s">
        <v>2402</v>
      </c>
      <c r="D1792" s="385" t="s">
        <v>88</v>
      </c>
      <c r="E1792" s="385" t="s">
        <v>344</v>
      </c>
      <c r="F1792" s="385"/>
      <c r="G1792" s="385" t="s">
        <v>128</v>
      </c>
      <c r="H1792" s="385"/>
      <c r="I1792" s="385"/>
      <c r="J1792" s="30"/>
      <c r="K1792" s="385"/>
      <c r="L1792" s="385"/>
      <c r="M1792" s="385"/>
      <c r="N1792" s="385"/>
      <c r="O1792" s="385"/>
      <c r="P1792" s="385" t="str">
        <f>IFERROR(
    IF(
        OR(ISBLANK(I1792), ISBLANK(L1792)),
        "",
        MAX(
            1,
            IF(
                NETWORKDAYS(I1792, L1792, Holiday_Dates) &lt;= 0,
                1,
                NETWORKDAYS(I1792, L1792, Holiday_Dates) - IF(I1792 = L1792, 0, 1)
            )
        )
    ),
    ""
)</f>
        <v/>
      </c>
      <c r="Q1792" s="385" t="str">
        <f>IF(
    OR(ISBLANK(L1792), ISBLANK(M1792)),
    "",
    MAX(
        1,
        IF(
            NETWORKDAYS(L1792, M1792, Holiday_Dates) &lt;= 0,
            1,
            NETWORKDAYS(L1792, M1792, Holiday_Dates) - IF(L1792 = M1792, 0, 1)
        )
    )
)</f>
        <v/>
      </c>
      <c r="R1792" s="385" t="str">
        <f>IFERROR(
    IF(
        OR(ISBLANK(N1792), AND(ISBLANK(L1792), ISBLANK(M1792))),
        "",
        MAX(
            1,
            IF(
                NETWORKDAYS(IF(NOT(ISBLANK(M1792)), M1792, L1792), N1792, Holiday_Dates) &lt;= 0,
                1,
                NETWORKDAYS(IF(NOT(ISBLANK(M1792)), M1792, L1792), N1792, Holiday_Dates)
                - IF(IF(NOT(ISBLANK(M1792)), M1792, L1792) = N1792, 0, 1)
            )
        )
    ),
    ""
)</f>
        <v/>
      </c>
      <c r="S1792" s="385" t="str">
        <f>IFERROR(
    IF(
        OR(ISBLANK(N1792), ISBLANK(O1792)),
        "",
        MAX(
            1,
            IF(
                NETWORKDAYS(N1792, O1792, Holiday_Dates) &lt;= 0,
                1,
                NETWORKDAYS(N1792, O1792, Holiday_Dates) - IF(N1792 = O1792, 0, 1)
            )
        )
    ),
    ""
)</f>
        <v/>
      </c>
      <c r="T1792" s="385"/>
      <c r="U1792" s="385"/>
      <c r="V1792" s="385"/>
      <c r="W1792" s="385" t="s">
        <v>4710</v>
      </c>
      <c r="X1792" s="1"/>
    </row>
    <row r="1793" spans="1:24">
      <c r="A1793" s="385" t="s">
        <v>65</v>
      </c>
      <c r="B1793" s="385" t="s">
        <v>530</v>
      </c>
      <c r="C1793" s="385" t="s">
        <v>3475</v>
      </c>
      <c r="D1793" s="385" t="s">
        <v>88</v>
      </c>
      <c r="E1793" s="385"/>
      <c r="F1793" s="385"/>
      <c r="G1793" s="385"/>
      <c r="H1793" s="385">
        <v>2025</v>
      </c>
      <c r="I1793" s="386">
        <v>45699</v>
      </c>
      <c r="J1793" s="30" t="s">
        <v>5386</v>
      </c>
      <c r="K1793" s="385"/>
      <c r="L1793" s="385"/>
      <c r="M1793" s="385"/>
      <c r="N1793" s="385"/>
      <c r="O1793" s="385"/>
      <c r="P1793" s="385" t="str">
        <f>IFERROR(
    IF(
        OR(ISBLANK(I1793), ISBLANK(L1793)),
        "",
        MAX(
            1,
            IF(
                NETWORKDAYS(I1793, L1793, Holiday_Dates) &lt;= 0,
                1,
                NETWORKDAYS(I1793, L1793, Holiday_Dates) - IF(I1793 = L1793, 0, 1)
            )
        )
    ),
    ""
)</f>
        <v/>
      </c>
      <c r="Q1793" s="385" t="str">
        <f>IF(
    OR(ISBLANK(L1793), ISBLANK(M1793)),
    "",
    MAX(
        1,
        IF(
            NETWORKDAYS(L1793, M1793, Holiday_Dates) &lt;= 0,
            1,
            NETWORKDAYS(L1793, M1793, Holiday_Dates) - IF(L1793 = M1793, 0, 1)
        )
    )
)</f>
        <v/>
      </c>
      <c r="R1793" s="385" t="str">
        <f>IFERROR(
    IF(
        OR(ISBLANK(N1793), AND(ISBLANK(L1793), ISBLANK(M1793))),
        "",
        MAX(
            1,
            IF(
                NETWORKDAYS(IF(NOT(ISBLANK(M1793)), M1793, L1793), N1793, Holiday_Dates) &lt;= 0,
                1,
                NETWORKDAYS(IF(NOT(ISBLANK(M1793)), M1793, L1793), N1793, Holiday_Dates)
                - IF(IF(NOT(ISBLANK(M1793)), M1793, L1793) = N1793, 0, 1)
            )
        )
    ),
    ""
)</f>
        <v/>
      </c>
      <c r="S1793" s="385" t="str">
        <f>IFERROR(
    IF(
        OR(ISBLANK(N1793), ISBLANK(O1793)),
        "",
        MAX(
            1,
            IF(
                NETWORKDAYS(N1793, O1793, Holiday_Dates) &lt;= 0,
                1,
                NETWORKDAYS(N1793, O1793, Holiday_Dates) - IF(N1793 = O1793, 0, 1)
            )
        )
    ),
    ""
)</f>
        <v/>
      </c>
      <c r="T1793" s="385"/>
      <c r="U1793" s="385" t="s">
        <v>672</v>
      </c>
      <c r="V1793" s="385" t="s">
        <v>101</v>
      </c>
      <c r="W1793" s="385" t="s">
        <v>1436</v>
      </c>
      <c r="X1793" s="1"/>
    </row>
    <row r="1794" spans="1:24">
      <c r="A1794" s="385" t="s">
        <v>49</v>
      </c>
      <c r="B1794" s="385" t="s">
        <v>2352</v>
      </c>
      <c r="C1794" s="385" t="s">
        <v>2373</v>
      </c>
      <c r="D1794" s="385" t="s">
        <v>88</v>
      </c>
      <c r="E1794" s="385" t="s">
        <v>344</v>
      </c>
      <c r="F1794" s="385"/>
      <c r="G1794" s="385" t="s">
        <v>128</v>
      </c>
      <c r="H1794" s="385"/>
      <c r="I1794" s="385"/>
      <c r="J1794" s="30"/>
      <c r="K1794" s="385"/>
      <c r="L1794" s="385"/>
      <c r="M1794" s="385"/>
      <c r="N1794" s="385"/>
      <c r="O1794" s="385"/>
      <c r="P1794" s="385" t="str">
        <f>IFERROR(
    IF(
        OR(ISBLANK(I1794), ISBLANK(L1794)),
        "",
        MAX(
            1,
            IF(
                NETWORKDAYS(I1794, L1794, Holiday_Dates) &lt;= 0,
                1,
                NETWORKDAYS(I1794, L1794, Holiday_Dates) - IF(I1794 = L1794, 0, 1)
            )
        )
    ),
    ""
)</f>
        <v/>
      </c>
      <c r="Q1794" s="385" t="str">
        <f>IF(
    OR(ISBLANK(L1794), ISBLANK(M1794)),
    "",
    MAX(
        1,
        IF(
            NETWORKDAYS(L1794, M1794, Holiday_Dates) &lt;= 0,
            1,
            NETWORKDAYS(L1794, M1794, Holiday_Dates) - IF(L1794 = M1794, 0, 1)
        )
    )
)</f>
        <v/>
      </c>
      <c r="R1794" s="385" t="str">
        <f>IFERROR(
    IF(
        OR(ISBLANK(N1794), AND(ISBLANK(L1794), ISBLANK(M1794))),
        "",
        MAX(
            1,
            IF(
                NETWORKDAYS(IF(NOT(ISBLANK(M1794)), M1794, L1794), N1794, Holiday_Dates) &lt;= 0,
                1,
                NETWORKDAYS(IF(NOT(ISBLANK(M1794)), M1794, L1794), N1794, Holiday_Dates)
                - IF(IF(NOT(ISBLANK(M1794)), M1794, L1794) = N1794, 0, 1)
            )
        )
    ),
    ""
)</f>
        <v/>
      </c>
      <c r="S1794" s="385" t="str">
        <f>IFERROR(
    IF(
        OR(ISBLANK(N1794), ISBLANK(O1794)),
        "",
        MAX(
            1,
            IF(
                NETWORKDAYS(N1794, O1794, Holiday_Dates) &lt;= 0,
                1,
                NETWORKDAYS(N1794, O1794, Holiday_Dates) - IF(N1794 = O1794, 0, 1)
            )
        )
    ),
    ""
)</f>
        <v/>
      </c>
      <c r="T1794" s="385"/>
      <c r="U1794" s="385"/>
      <c r="V1794" s="385"/>
      <c r="W1794" s="385" t="s">
        <v>4710</v>
      </c>
      <c r="X1794" s="1"/>
    </row>
    <row r="1795" spans="1:24">
      <c r="A1795" s="385" t="s">
        <v>49</v>
      </c>
      <c r="B1795" s="385" t="s">
        <v>2352</v>
      </c>
      <c r="C1795" s="385" t="s">
        <v>2380</v>
      </c>
      <c r="D1795" s="385" t="s">
        <v>88</v>
      </c>
      <c r="E1795" s="385" t="s">
        <v>344</v>
      </c>
      <c r="F1795" s="385"/>
      <c r="G1795" s="385" t="s">
        <v>128</v>
      </c>
      <c r="H1795" s="385"/>
      <c r="I1795" s="385"/>
      <c r="J1795" s="30"/>
      <c r="K1795" s="385"/>
      <c r="L1795" s="385"/>
      <c r="M1795" s="385"/>
      <c r="N1795" s="385"/>
      <c r="O1795" s="385"/>
      <c r="P1795" s="385" t="str">
        <f>IFERROR(
    IF(
        OR(ISBLANK(I1795), ISBLANK(L1795)),
        "",
        MAX(
            1,
            IF(
                NETWORKDAYS(I1795, L1795, Holiday_Dates) &lt;= 0,
                1,
                NETWORKDAYS(I1795, L1795, Holiday_Dates) - IF(I1795 = L1795, 0, 1)
            )
        )
    ),
    ""
)</f>
        <v/>
      </c>
      <c r="Q1795" s="385" t="str">
        <f>IF(
    OR(ISBLANK(L1795), ISBLANK(M1795)),
    "",
    MAX(
        1,
        IF(
            NETWORKDAYS(L1795, M1795, Holiday_Dates) &lt;= 0,
            1,
            NETWORKDAYS(L1795, M1795, Holiday_Dates) - IF(L1795 = M1795, 0, 1)
        )
    )
)</f>
        <v/>
      </c>
      <c r="R1795" s="385" t="str">
        <f>IFERROR(
    IF(
        OR(ISBLANK(N1795), AND(ISBLANK(L1795), ISBLANK(M1795))),
        "",
        MAX(
            1,
            IF(
                NETWORKDAYS(IF(NOT(ISBLANK(M1795)), M1795, L1795), N1795, Holiday_Dates) &lt;= 0,
                1,
                NETWORKDAYS(IF(NOT(ISBLANK(M1795)), M1795, L1795), N1795, Holiday_Dates)
                - IF(IF(NOT(ISBLANK(M1795)), M1795, L1795) = N1795, 0, 1)
            )
        )
    ),
    ""
)</f>
        <v/>
      </c>
      <c r="S1795" s="385" t="str">
        <f>IFERROR(
    IF(
        OR(ISBLANK(N1795), ISBLANK(O1795)),
        "",
        MAX(
            1,
            IF(
                NETWORKDAYS(N1795, O1795, Holiday_Dates) &lt;= 0,
                1,
                NETWORKDAYS(N1795, O1795, Holiday_Dates) - IF(N1795 = O1795, 0, 1)
            )
        )
    ),
    ""
)</f>
        <v/>
      </c>
      <c r="T1795" s="385"/>
      <c r="U1795" s="385"/>
      <c r="V1795" s="385"/>
      <c r="W1795" s="385" t="s">
        <v>4710</v>
      </c>
      <c r="X1795" s="1"/>
    </row>
    <row r="1796" spans="1:24">
      <c r="A1796" s="385" t="s">
        <v>65</v>
      </c>
      <c r="B1796" s="385" t="s">
        <v>530</v>
      </c>
      <c r="C1796" s="385" t="s">
        <v>2899</v>
      </c>
      <c r="D1796" s="385" t="s">
        <v>88</v>
      </c>
      <c r="E1796" s="385"/>
      <c r="F1796" s="385"/>
      <c r="G1796" s="385"/>
      <c r="H1796" s="385">
        <v>2025</v>
      </c>
      <c r="I1796" s="386">
        <v>45699</v>
      </c>
      <c r="J1796" s="30" t="s">
        <v>5387</v>
      </c>
      <c r="K1796" s="385"/>
      <c r="L1796" s="385"/>
      <c r="M1796" s="385"/>
      <c r="N1796" s="385"/>
      <c r="O1796" s="385"/>
      <c r="P1796" s="385" t="str">
        <f>IFERROR(
    IF(
        OR(ISBLANK(I1796), ISBLANK(L1796)),
        "",
        MAX(
            1,
            IF(
                NETWORKDAYS(I1796, L1796, Holiday_Dates) &lt;= 0,
                1,
                NETWORKDAYS(I1796, L1796, Holiday_Dates) - IF(I1796 = L1796, 0, 1)
            )
        )
    ),
    ""
)</f>
        <v/>
      </c>
      <c r="Q1796" s="385" t="str">
        <f>IF(
    OR(ISBLANK(L1796), ISBLANK(M1796)),
    "",
    MAX(
        1,
        IF(
            NETWORKDAYS(L1796, M1796, Holiday_Dates) &lt;= 0,
            1,
            NETWORKDAYS(L1796, M1796, Holiday_Dates) - IF(L1796 = M1796, 0, 1)
        )
    )
)</f>
        <v/>
      </c>
      <c r="R1796" s="385" t="str">
        <f>IFERROR(
    IF(
        OR(ISBLANK(N1796), AND(ISBLANK(L1796), ISBLANK(M1796))),
        "",
        MAX(
            1,
            IF(
                NETWORKDAYS(IF(NOT(ISBLANK(M1796)), M1796, L1796), N1796, Holiday_Dates) &lt;= 0,
                1,
                NETWORKDAYS(IF(NOT(ISBLANK(M1796)), M1796, L1796), N1796, Holiday_Dates)
                - IF(IF(NOT(ISBLANK(M1796)), M1796, L1796) = N1796, 0, 1)
            )
        )
    ),
    ""
)</f>
        <v/>
      </c>
      <c r="S1796" s="385" t="str">
        <f>IFERROR(
    IF(
        OR(ISBLANK(N1796), ISBLANK(O1796)),
        "",
        MAX(
            1,
            IF(
                NETWORKDAYS(N1796, O1796, Holiday_Dates) &lt;= 0,
                1,
                NETWORKDAYS(N1796, O1796, Holiday_Dates) - IF(N1796 = O1796, 0, 1)
            )
        )
    ),
    ""
)</f>
        <v/>
      </c>
      <c r="T1796" s="385"/>
      <c r="U1796" s="385" t="s">
        <v>672</v>
      </c>
      <c r="V1796" s="385" t="s">
        <v>108</v>
      </c>
      <c r="W1796" s="385" t="s">
        <v>1436</v>
      </c>
      <c r="X1796" s="1"/>
    </row>
    <row r="1797" spans="1:24">
      <c r="A1797" s="385" t="s">
        <v>49</v>
      </c>
      <c r="B1797" s="385" t="s">
        <v>2352</v>
      </c>
      <c r="C1797" s="385" t="s">
        <v>2384</v>
      </c>
      <c r="D1797" s="385" t="s">
        <v>88</v>
      </c>
      <c r="E1797" s="385" t="s">
        <v>344</v>
      </c>
      <c r="F1797" s="385"/>
      <c r="G1797" s="385" t="s">
        <v>128</v>
      </c>
      <c r="H1797" s="385"/>
      <c r="I1797" s="385"/>
      <c r="J1797" s="30"/>
      <c r="K1797" s="385"/>
      <c r="L1797" s="385"/>
      <c r="M1797" s="385"/>
      <c r="N1797" s="385"/>
      <c r="O1797" s="385"/>
      <c r="P1797" s="385" t="str">
        <f>IFERROR(
    IF(
        OR(ISBLANK(I1797), ISBLANK(L1797)),
        "",
        MAX(
            1,
            IF(
                NETWORKDAYS(I1797, L1797, Holiday_Dates) &lt;= 0,
                1,
                NETWORKDAYS(I1797, L1797, Holiday_Dates) - IF(I1797 = L1797, 0, 1)
            )
        )
    ),
    ""
)</f>
        <v/>
      </c>
      <c r="Q1797" s="385" t="str">
        <f>IF(
    OR(ISBLANK(L1797), ISBLANK(M1797)),
    "",
    MAX(
        1,
        IF(
            NETWORKDAYS(L1797, M1797, Holiday_Dates) &lt;= 0,
            1,
            NETWORKDAYS(L1797, M1797, Holiday_Dates) - IF(L1797 = M1797, 0, 1)
        )
    )
)</f>
        <v/>
      </c>
      <c r="R1797" s="385" t="str">
        <f>IFERROR(
    IF(
        OR(ISBLANK(N1797), AND(ISBLANK(L1797), ISBLANK(M1797))),
        "",
        MAX(
            1,
            IF(
                NETWORKDAYS(IF(NOT(ISBLANK(M1797)), M1797, L1797), N1797, Holiday_Dates) &lt;= 0,
                1,
                NETWORKDAYS(IF(NOT(ISBLANK(M1797)), M1797, L1797), N1797, Holiday_Dates)
                - IF(IF(NOT(ISBLANK(M1797)), M1797, L1797) = N1797, 0, 1)
            )
        )
    ),
    ""
)</f>
        <v/>
      </c>
      <c r="S1797" s="385" t="str">
        <f>IFERROR(
    IF(
        OR(ISBLANK(N1797), ISBLANK(O1797)),
        "",
        MAX(
            1,
            IF(
                NETWORKDAYS(N1797, O1797, Holiday_Dates) &lt;= 0,
                1,
                NETWORKDAYS(N1797, O1797, Holiday_Dates) - IF(N1797 = O1797, 0, 1)
            )
        )
    ),
    ""
)</f>
        <v/>
      </c>
      <c r="T1797" s="385"/>
      <c r="U1797" s="385"/>
      <c r="V1797" s="385"/>
      <c r="W1797" s="385" t="s">
        <v>4710</v>
      </c>
      <c r="X1797" s="1"/>
    </row>
    <row r="1798" spans="1:24">
      <c r="A1798" s="385" t="s">
        <v>49</v>
      </c>
      <c r="B1798" s="385" t="s">
        <v>2352</v>
      </c>
      <c r="C1798" s="385" t="s">
        <v>1063</v>
      </c>
      <c r="D1798" s="385" t="s">
        <v>88</v>
      </c>
      <c r="E1798" s="385" t="s">
        <v>344</v>
      </c>
      <c r="F1798" s="385"/>
      <c r="G1798" s="385" t="s">
        <v>128</v>
      </c>
      <c r="H1798" s="385"/>
      <c r="I1798" s="385"/>
      <c r="J1798" s="30"/>
      <c r="K1798" s="385"/>
      <c r="L1798" s="385"/>
      <c r="M1798" s="385"/>
      <c r="N1798" s="385"/>
      <c r="O1798" s="385"/>
      <c r="P1798" s="385" t="str">
        <f>IFERROR(
    IF(
        OR(ISBLANK(I1798), ISBLANK(L1798)),
        "",
        MAX(
            1,
            IF(
                NETWORKDAYS(I1798, L1798, Holiday_Dates) &lt;= 0,
                1,
                NETWORKDAYS(I1798, L1798, Holiday_Dates) - IF(I1798 = L1798, 0, 1)
            )
        )
    ),
    ""
)</f>
        <v/>
      </c>
      <c r="Q1798" s="385" t="str">
        <f>IF(
    OR(ISBLANK(L1798), ISBLANK(M1798)),
    "",
    MAX(
        1,
        IF(
            NETWORKDAYS(L1798, M1798, Holiday_Dates) &lt;= 0,
            1,
            NETWORKDAYS(L1798, M1798, Holiday_Dates) - IF(L1798 = M1798, 0, 1)
        )
    )
)</f>
        <v/>
      </c>
      <c r="R1798" s="385" t="str">
        <f>IFERROR(
    IF(
        OR(ISBLANK(N1798), AND(ISBLANK(L1798), ISBLANK(M1798))),
        "",
        MAX(
            1,
            IF(
                NETWORKDAYS(IF(NOT(ISBLANK(M1798)), M1798, L1798), N1798, Holiday_Dates) &lt;= 0,
                1,
                NETWORKDAYS(IF(NOT(ISBLANK(M1798)), M1798, L1798), N1798, Holiday_Dates)
                - IF(IF(NOT(ISBLANK(M1798)), M1798, L1798) = N1798, 0, 1)
            )
        )
    ),
    ""
)</f>
        <v/>
      </c>
      <c r="S1798" s="385" t="str">
        <f>IFERROR(
    IF(
        OR(ISBLANK(N1798), ISBLANK(O1798)),
        "",
        MAX(
            1,
            IF(
                NETWORKDAYS(N1798, O1798, Holiday_Dates) &lt;= 0,
                1,
                NETWORKDAYS(N1798, O1798, Holiday_Dates) - IF(N1798 = O1798, 0, 1)
            )
        )
    ),
    ""
)</f>
        <v/>
      </c>
      <c r="T1798" s="385"/>
      <c r="U1798" s="385"/>
      <c r="V1798" s="385"/>
      <c r="W1798" s="385" t="s">
        <v>4710</v>
      </c>
      <c r="X1798" s="1"/>
    </row>
    <row r="1799" spans="1:24">
      <c r="A1799" s="385" t="s">
        <v>49</v>
      </c>
      <c r="B1799" s="385" t="s">
        <v>2352</v>
      </c>
      <c r="C1799" s="385" t="s">
        <v>2236</v>
      </c>
      <c r="D1799" s="385" t="s">
        <v>88</v>
      </c>
      <c r="E1799" s="385" t="s">
        <v>344</v>
      </c>
      <c r="F1799" s="385"/>
      <c r="G1799" s="385" t="s">
        <v>128</v>
      </c>
      <c r="H1799" s="385"/>
      <c r="I1799" s="385"/>
      <c r="J1799" s="30"/>
      <c r="K1799" s="385"/>
      <c r="L1799" s="385"/>
      <c r="M1799" s="385"/>
      <c r="N1799" s="385"/>
      <c r="O1799" s="385"/>
      <c r="P1799" s="385" t="str">
        <f>IFERROR(
    IF(
        OR(ISBLANK(I1799), ISBLANK(L1799)),
        "",
        MAX(
            1,
            IF(
                NETWORKDAYS(I1799, L1799, Holiday_Dates) &lt;= 0,
                1,
                NETWORKDAYS(I1799, L1799, Holiday_Dates) - IF(I1799 = L1799, 0, 1)
            )
        )
    ),
    ""
)</f>
        <v/>
      </c>
      <c r="Q1799" s="385" t="str">
        <f>IF(
    OR(ISBLANK(L1799), ISBLANK(M1799)),
    "",
    MAX(
        1,
        IF(
            NETWORKDAYS(L1799, M1799, Holiday_Dates) &lt;= 0,
            1,
            NETWORKDAYS(L1799, M1799, Holiday_Dates) - IF(L1799 = M1799, 0, 1)
        )
    )
)</f>
        <v/>
      </c>
      <c r="R1799" s="385" t="str">
        <f>IFERROR(
    IF(
        OR(ISBLANK(N1799), AND(ISBLANK(L1799), ISBLANK(M1799))),
        "",
        MAX(
            1,
            IF(
                NETWORKDAYS(IF(NOT(ISBLANK(M1799)), M1799, L1799), N1799, Holiday_Dates) &lt;= 0,
                1,
                NETWORKDAYS(IF(NOT(ISBLANK(M1799)), M1799, L1799), N1799, Holiday_Dates)
                - IF(IF(NOT(ISBLANK(M1799)), M1799, L1799) = N1799, 0, 1)
            )
        )
    ),
    ""
)</f>
        <v/>
      </c>
      <c r="S1799" s="385" t="str">
        <f>IFERROR(
    IF(
        OR(ISBLANK(N1799), ISBLANK(O1799)),
        "",
        MAX(
            1,
            IF(
                NETWORKDAYS(N1799, O1799, Holiday_Dates) &lt;= 0,
                1,
                NETWORKDAYS(N1799, O1799, Holiday_Dates) - IF(N1799 = O1799, 0, 1)
            )
        )
    ),
    ""
)</f>
        <v/>
      </c>
      <c r="T1799" s="385"/>
      <c r="U1799" s="385"/>
      <c r="V1799" s="385"/>
      <c r="W1799" s="385" t="s">
        <v>4710</v>
      </c>
      <c r="X1799" s="1"/>
    </row>
    <row r="1800" spans="1:24">
      <c r="A1800" s="385" t="s">
        <v>49</v>
      </c>
      <c r="B1800" s="385" t="s">
        <v>2417</v>
      </c>
      <c r="C1800" s="385" t="s">
        <v>2446</v>
      </c>
      <c r="D1800" s="385" t="s">
        <v>88</v>
      </c>
      <c r="E1800" s="385" t="s">
        <v>136</v>
      </c>
      <c r="F1800" s="385"/>
      <c r="G1800" s="385" t="s">
        <v>128</v>
      </c>
      <c r="H1800" s="385"/>
      <c r="I1800" s="385"/>
      <c r="J1800" s="30"/>
      <c r="K1800" s="385"/>
      <c r="L1800" s="385"/>
      <c r="M1800" s="385"/>
      <c r="N1800" s="385"/>
      <c r="O1800" s="385"/>
      <c r="P1800" s="385" t="str">
        <f>IFERROR(
    IF(
        OR(ISBLANK(I1800), ISBLANK(L1800)),
        "",
        MAX(
            1,
            IF(
                NETWORKDAYS(I1800, L1800, Holiday_Dates) &lt;= 0,
                1,
                NETWORKDAYS(I1800, L1800, Holiday_Dates) - IF(I1800 = L1800, 0, 1)
            )
        )
    ),
    ""
)</f>
        <v/>
      </c>
      <c r="Q1800" s="385" t="str">
        <f>IF(
    OR(ISBLANK(L1800), ISBLANK(M1800)),
    "",
    MAX(
        1,
        IF(
            NETWORKDAYS(L1800, M1800, Holiday_Dates) &lt;= 0,
            1,
            NETWORKDAYS(L1800, M1800, Holiday_Dates) - IF(L1800 = M1800, 0, 1)
        )
    )
)</f>
        <v/>
      </c>
      <c r="R1800" s="385" t="str">
        <f>IFERROR(
    IF(
        OR(ISBLANK(N1800), AND(ISBLANK(L1800), ISBLANK(M1800))),
        "",
        MAX(
            1,
            IF(
                NETWORKDAYS(IF(NOT(ISBLANK(M1800)), M1800, L1800), N1800, Holiday_Dates) &lt;= 0,
                1,
                NETWORKDAYS(IF(NOT(ISBLANK(M1800)), M1800, L1800), N1800, Holiday_Dates)
                - IF(IF(NOT(ISBLANK(M1800)), M1800, L1800) = N1800, 0, 1)
            )
        )
    ),
    ""
)</f>
        <v/>
      </c>
      <c r="S1800" s="385" t="str">
        <f>IFERROR(
    IF(
        OR(ISBLANK(N1800), ISBLANK(O1800)),
        "",
        MAX(
            1,
            IF(
                NETWORKDAYS(N1800, O1800, Holiday_Dates) &lt;= 0,
                1,
                NETWORKDAYS(N1800, O1800, Holiday_Dates) - IF(N1800 = O1800, 0, 1)
            )
        )
    ),
    ""
)</f>
        <v/>
      </c>
      <c r="T1800" s="385"/>
      <c r="U1800" s="385"/>
      <c r="V1800" s="385"/>
      <c r="W1800" s="385" t="s">
        <v>4710</v>
      </c>
      <c r="X1800" s="1"/>
    </row>
    <row r="1801" spans="1:24">
      <c r="A1801" s="385" t="s">
        <v>49</v>
      </c>
      <c r="B1801" s="385" t="s">
        <v>2573</v>
      </c>
      <c r="C1801" s="385" t="s">
        <v>631</v>
      </c>
      <c r="D1801" s="385" t="s">
        <v>88</v>
      </c>
      <c r="E1801" s="385" t="s">
        <v>136</v>
      </c>
      <c r="F1801" s="385"/>
      <c r="G1801" s="385" t="s">
        <v>128</v>
      </c>
      <c r="H1801" s="385"/>
      <c r="I1801" s="385"/>
      <c r="J1801" s="30"/>
      <c r="K1801" s="385"/>
      <c r="L1801" s="385"/>
      <c r="M1801" s="385"/>
      <c r="N1801" s="385"/>
      <c r="O1801" s="385"/>
      <c r="P1801" s="385" t="str">
        <f>IFERROR(
    IF(
        OR(ISBLANK(I1801), ISBLANK(L1801)),
        "",
        MAX(
            1,
            IF(
                NETWORKDAYS(I1801, L1801, Holiday_Dates) &lt;= 0,
                1,
                NETWORKDAYS(I1801, L1801, Holiday_Dates) - IF(I1801 = L1801, 0, 1)
            )
        )
    ),
    ""
)</f>
        <v/>
      </c>
      <c r="Q1801" s="385" t="str">
        <f>IF(
    OR(ISBLANK(L1801), ISBLANK(M1801)),
    "",
    MAX(
        1,
        IF(
            NETWORKDAYS(L1801, M1801, Holiday_Dates) &lt;= 0,
            1,
            NETWORKDAYS(L1801, M1801, Holiday_Dates) - IF(L1801 = M1801, 0, 1)
        )
    )
)</f>
        <v/>
      </c>
      <c r="R1801" s="385" t="str">
        <f>IFERROR(
    IF(
        OR(ISBLANK(N1801), AND(ISBLANK(L1801), ISBLANK(M1801))),
        "",
        MAX(
            1,
            IF(
                NETWORKDAYS(IF(NOT(ISBLANK(M1801)), M1801, L1801), N1801, Holiday_Dates) &lt;= 0,
                1,
                NETWORKDAYS(IF(NOT(ISBLANK(M1801)), M1801, L1801), N1801, Holiday_Dates)
                - IF(IF(NOT(ISBLANK(M1801)), M1801, L1801) = N1801, 0, 1)
            )
        )
    ),
    ""
)</f>
        <v/>
      </c>
      <c r="S1801" s="385" t="str">
        <f>IFERROR(
    IF(
        OR(ISBLANK(N1801), ISBLANK(O1801)),
        "",
        MAX(
            1,
            IF(
                NETWORKDAYS(N1801, O1801, Holiday_Dates) &lt;= 0,
                1,
                NETWORKDAYS(N1801, O1801, Holiday_Dates) - IF(N1801 = O1801, 0, 1)
            )
        )
    ),
    ""
)</f>
        <v/>
      </c>
      <c r="T1801" s="385"/>
      <c r="U1801" s="385"/>
      <c r="V1801" s="385"/>
      <c r="W1801" s="385" t="s">
        <v>4710</v>
      </c>
      <c r="X1801" s="1"/>
    </row>
    <row r="1802" spans="1:24">
      <c r="A1802" s="385" t="s">
        <v>49</v>
      </c>
      <c r="B1802" s="385" t="s">
        <v>2573</v>
      </c>
      <c r="C1802" s="385" t="s">
        <v>2606</v>
      </c>
      <c r="D1802" s="385" t="s">
        <v>88</v>
      </c>
      <c r="E1802" s="385" t="s">
        <v>136</v>
      </c>
      <c r="F1802" s="385"/>
      <c r="G1802" s="385" t="s">
        <v>128</v>
      </c>
      <c r="H1802" s="385"/>
      <c r="I1802" s="385"/>
      <c r="J1802" s="30"/>
      <c r="K1802" s="385"/>
      <c r="L1802" s="385"/>
      <c r="M1802" s="385"/>
      <c r="N1802" s="385"/>
      <c r="O1802" s="385"/>
      <c r="P1802" s="385" t="str">
        <f>IFERROR(
    IF(
        OR(ISBLANK(I1802), ISBLANK(L1802)),
        "",
        MAX(
            1,
            IF(
                NETWORKDAYS(I1802, L1802, Holiday_Dates) &lt;= 0,
                1,
                NETWORKDAYS(I1802, L1802, Holiday_Dates) - IF(I1802 = L1802, 0, 1)
            )
        )
    ),
    ""
)</f>
        <v/>
      </c>
      <c r="Q1802" s="385" t="str">
        <f>IF(
    OR(ISBLANK(L1802), ISBLANK(M1802)),
    "",
    MAX(
        1,
        IF(
            NETWORKDAYS(L1802, M1802, Holiday_Dates) &lt;= 0,
            1,
            NETWORKDAYS(L1802, M1802, Holiday_Dates) - IF(L1802 = M1802, 0, 1)
        )
    )
)</f>
        <v/>
      </c>
      <c r="R1802" s="385" t="str">
        <f>IFERROR(
    IF(
        OR(ISBLANK(N1802), AND(ISBLANK(L1802), ISBLANK(M1802))),
        "",
        MAX(
            1,
            IF(
                NETWORKDAYS(IF(NOT(ISBLANK(M1802)), M1802, L1802), N1802, Holiday_Dates) &lt;= 0,
                1,
                NETWORKDAYS(IF(NOT(ISBLANK(M1802)), M1802, L1802), N1802, Holiday_Dates)
                - IF(IF(NOT(ISBLANK(M1802)), M1802, L1802) = N1802, 0, 1)
            )
        )
    ),
    ""
)</f>
        <v/>
      </c>
      <c r="S1802" s="385" t="str">
        <f>IFERROR(
    IF(
        OR(ISBLANK(N1802), ISBLANK(O1802)),
        "",
        MAX(
            1,
            IF(
                NETWORKDAYS(N1802, O1802, Holiday_Dates) &lt;= 0,
                1,
                NETWORKDAYS(N1802, O1802, Holiday_Dates) - IF(N1802 = O1802, 0, 1)
            )
        )
    ),
    ""
)</f>
        <v/>
      </c>
      <c r="T1802" s="385"/>
      <c r="U1802" s="385"/>
      <c r="V1802" s="385"/>
      <c r="W1802" s="385" t="s">
        <v>4710</v>
      </c>
      <c r="X1802" s="1"/>
    </row>
    <row r="1803" spans="1:24">
      <c r="A1803" s="385" t="s">
        <v>49</v>
      </c>
      <c r="B1803" s="385" t="s">
        <v>2573</v>
      </c>
      <c r="C1803" s="385" t="s">
        <v>738</v>
      </c>
      <c r="D1803" s="385" t="s">
        <v>88</v>
      </c>
      <c r="E1803" s="385" t="s">
        <v>136</v>
      </c>
      <c r="F1803" s="385"/>
      <c r="G1803" s="385" t="s">
        <v>128</v>
      </c>
      <c r="H1803" s="385"/>
      <c r="I1803" s="385"/>
      <c r="J1803" s="30"/>
      <c r="K1803" s="385"/>
      <c r="L1803" s="385"/>
      <c r="M1803" s="385"/>
      <c r="N1803" s="385"/>
      <c r="O1803" s="385"/>
      <c r="P1803" s="385" t="str">
        <f>IFERROR(
    IF(
        OR(ISBLANK(I1803), ISBLANK(L1803)),
        "",
        MAX(
            1,
            IF(
                NETWORKDAYS(I1803, L1803, Holiday_Dates) &lt;= 0,
                1,
                NETWORKDAYS(I1803, L1803, Holiday_Dates) - IF(I1803 = L1803, 0, 1)
            )
        )
    ),
    ""
)</f>
        <v/>
      </c>
      <c r="Q1803" s="385" t="str">
        <f>IF(
    OR(ISBLANK(L1803), ISBLANK(M1803)),
    "",
    MAX(
        1,
        IF(
            NETWORKDAYS(L1803, M1803, Holiday_Dates) &lt;= 0,
            1,
            NETWORKDAYS(L1803, M1803, Holiday_Dates) - IF(L1803 = M1803, 0, 1)
        )
    )
)</f>
        <v/>
      </c>
      <c r="R1803" s="385" t="str">
        <f>IFERROR(
    IF(
        OR(ISBLANK(N1803), AND(ISBLANK(L1803), ISBLANK(M1803))),
        "",
        MAX(
            1,
            IF(
                NETWORKDAYS(IF(NOT(ISBLANK(M1803)), M1803, L1803), N1803, Holiday_Dates) &lt;= 0,
                1,
                NETWORKDAYS(IF(NOT(ISBLANK(M1803)), M1803, L1803), N1803, Holiday_Dates)
                - IF(IF(NOT(ISBLANK(M1803)), M1803, L1803) = N1803, 0, 1)
            )
        )
    ),
    ""
)</f>
        <v/>
      </c>
      <c r="S1803" s="385" t="str">
        <f>IFERROR(
    IF(
        OR(ISBLANK(N1803), ISBLANK(O1803)),
        "",
        MAX(
            1,
            IF(
                NETWORKDAYS(N1803, O1803, Holiday_Dates) &lt;= 0,
                1,
                NETWORKDAYS(N1803, O1803, Holiday_Dates) - IF(N1803 = O1803, 0, 1)
            )
        )
    ),
    ""
)</f>
        <v/>
      </c>
      <c r="T1803" s="385"/>
      <c r="U1803" s="385"/>
      <c r="V1803" s="385"/>
      <c r="W1803" s="385" t="s">
        <v>4710</v>
      </c>
      <c r="X1803" s="1"/>
    </row>
    <row r="1804" spans="1:24">
      <c r="A1804" s="385" t="s">
        <v>49</v>
      </c>
      <c r="B1804" s="385" t="s">
        <v>2573</v>
      </c>
      <c r="C1804" s="385" t="s">
        <v>2607</v>
      </c>
      <c r="D1804" s="385" t="s">
        <v>88</v>
      </c>
      <c r="E1804" s="385" t="s">
        <v>136</v>
      </c>
      <c r="F1804" s="385"/>
      <c r="G1804" s="385" t="s">
        <v>128</v>
      </c>
      <c r="H1804" s="385"/>
      <c r="I1804" s="385"/>
      <c r="J1804" s="30"/>
      <c r="K1804" s="385"/>
      <c r="L1804" s="385"/>
      <c r="M1804" s="385"/>
      <c r="N1804" s="385"/>
      <c r="O1804" s="385"/>
      <c r="P1804" s="385" t="str">
        <f>IFERROR(
    IF(
        OR(ISBLANK(I1804), ISBLANK(L1804)),
        "",
        MAX(
            1,
            IF(
                NETWORKDAYS(I1804, L1804, Holiday_Dates) &lt;= 0,
                1,
                NETWORKDAYS(I1804, L1804, Holiday_Dates) - IF(I1804 = L1804, 0, 1)
            )
        )
    ),
    ""
)</f>
        <v/>
      </c>
      <c r="Q1804" s="385" t="str">
        <f>IF(
    OR(ISBLANK(L1804), ISBLANK(M1804)),
    "",
    MAX(
        1,
        IF(
            NETWORKDAYS(L1804, M1804, Holiday_Dates) &lt;= 0,
            1,
            NETWORKDAYS(L1804, M1804, Holiday_Dates) - IF(L1804 = M1804, 0, 1)
        )
    )
)</f>
        <v/>
      </c>
      <c r="R1804" s="385" t="str">
        <f>IFERROR(
    IF(
        OR(ISBLANK(N1804), AND(ISBLANK(L1804), ISBLANK(M1804))),
        "",
        MAX(
            1,
            IF(
                NETWORKDAYS(IF(NOT(ISBLANK(M1804)), M1804, L1804), N1804, Holiday_Dates) &lt;= 0,
                1,
                NETWORKDAYS(IF(NOT(ISBLANK(M1804)), M1804, L1804), N1804, Holiday_Dates)
                - IF(IF(NOT(ISBLANK(M1804)), M1804, L1804) = N1804, 0, 1)
            )
        )
    ),
    ""
)</f>
        <v/>
      </c>
      <c r="S1804" s="385" t="str">
        <f>IFERROR(
    IF(
        OR(ISBLANK(N1804), ISBLANK(O1804)),
        "",
        MAX(
            1,
            IF(
                NETWORKDAYS(N1804, O1804, Holiday_Dates) &lt;= 0,
                1,
                NETWORKDAYS(N1804, O1804, Holiday_Dates) - IF(N1804 = O1804, 0, 1)
            )
        )
    ),
    ""
)</f>
        <v/>
      </c>
      <c r="T1804" s="385"/>
      <c r="U1804" s="385"/>
      <c r="V1804" s="385"/>
      <c r="W1804" s="385" t="s">
        <v>4710</v>
      </c>
      <c r="X1804" s="1"/>
    </row>
    <row r="1805" spans="1:24">
      <c r="A1805" s="388" t="s">
        <v>49</v>
      </c>
      <c r="B1805" s="388" t="s">
        <v>2573</v>
      </c>
      <c r="C1805" s="388" t="s">
        <v>5388</v>
      </c>
      <c r="D1805" s="388" t="s">
        <v>88</v>
      </c>
      <c r="E1805" s="385" t="s">
        <v>136</v>
      </c>
      <c r="F1805" s="385"/>
      <c r="G1805" s="385" t="s">
        <v>128</v>
      </c>
      <c r="H1805" s="388"/>
      <c r="I1805" s="389"/>
      <c r="J1805" s="532"/>
      <c r="K1805" s="385"/>
      <c r="L1805" s="385"/>
      <c r="M1805" s="388"/>
      <c r="N1805" s="388"/>
      <c r="O1805" s="388"/>
      <c r="P1805" s="385" t="str">
        <f>IFERROR(
    IF(
        OR(ISBLANK(I1805), ISBLANK(L1805)),
        "",
        MAX(
            1,
            IF(
                NETWORKDAYS(I1805, L1805, Holiday_Dates) &lt;= 0,
                1,
                NETWORKDAYS(I1805, L1805, Holiday_Dates) - IF(I1805 = L1805, 0, 1)
            )
        )
    ),
    ""
)</f>
        <v/>
      </c>
      <c r="Q1805" s="385" t="str">
        <f>IF(
    OR(ISBLANK(L1805), ISBLANK(M1805)),
    "",
    MAX(
        1,
        IF(
            NETWORKDAYS(L1805, M1805, Holiday_Dates) &lt;= 0,
            1,
            NETWORKDAYS(L1805, M1805, Holiday_Dates) - IF(L1805 = M1805, 0, 1)
        )
    )
)</f>
        <v/>
      </c>
      <c r="R1805" s="385" t="str">
        <f>IFERROR(
    IF(
        OR(ISBLANK(N1805), AND(ISBLANK(L1805), ISBLANK(M1805))),
        "",
        MAX(
            1,
            IF(
                NETWORKDAYS(IF(NOT(ISBLANK(M1805)), M1805, L1805), N1805, Holiday_Dates) &lt;= 0,
                1,
                NETWORKDAYS(IF(NOT(ISBLANK(M1805)), M1805, L1805), N1805, Holiday_Dates)
                - IF(IF(NOT(ISBLANK(M1805)), M1805, L1805) = N1805, 0, 1)
            )
        )
    ),
    ""
)</f>
        <v/>
      </c>
      <c r="S1805" s="385" t="str">
        <f>IFERROR(
    IF(
        OR(ISBLANK(N1805), ISBLANK(O1805)),
        "",
        MAX(
            1,
            IF(
                NETWORKDAYS(N1805, O1805, Holiday_Dates) &lt;= 0,
                1,
                NETWORKDAYS(N1805, O1805, Holiday_Dates) - IF(N1805 = O1805, 0, 1)
            )
        )
    ),
    ""
)</f>
        <v/>
      </c>
      <c r="T1805" s="385"/>
      <c r="U1805" s="388"/>
      <c r="V1805" s="388"/>
      <c r="W1805" s="385" t="s">
        <v>4710</v>
      </c>
      <c r="X1805" s="1"/>
    </row>
    <row r="1806" spans="1:24">
      <c r="A1806" s="385" t="s">
        <v>49</v>
      </c>
      <c r="B1806" s="385" t="s">
        <v>2573</v>
      </c>
      <c r="C1806" s="385" t="s">
        <v>520</v>
      </c>
      <c r="D1806" s="385" t="s">
        <v>88</v>
      </c>
      <c r="E1806" s="385" t="s">
        <v>136</v>
      </c>
      <c r="F1806" s="385"/>
      <c r="G1806" s="385" t="s">
        <v>128</v>
      </c>
      <c r="H1806" s="385"/>
      <c r="I1806" s="385"/>
      <c r="J1806" s="30"/>
      <c r="K1806" s="385"/>
      <c r="L1806" s="385"/>
      <c r="M1806" s="385"/>
      <c r="N1806" s="385"/>
      <c r="O1806" s="385"/>
      <c r="P1806" s="385" t="str">
        <f>IFERROR(
    IF(
        OR(ISBLANK(I1806), ISBLANK(L1806)),
        "",
        MAX(
            1,
            IF(
                NETWORKDAYS(I1806, L1806, Holiday_Dates) &lt;= 0,
                1,
                NETWORKDAYS(I1806, L1806, Holiday_Dates) - IF(I1806 = L1806, 0, 1)
            )
        )
    ),
    ""
)</f>
        <v/>
      </c>
      <c r="Q1806" s="385" t="str">
        <f>IF(
    OR(ISBLANK(L1806), ISBLANK(M1806)),
    "",
    MAX(
        1,
        IF(
            NETWORKDAYS(L1806, M1806, Holiday_Dates) &lt;= 0,
            1,
            NETWORKDAYS(L1806, M1806, Holiday_Dates) - IF(L1806 = M1806, 0, 1)
        )
    )
)</f>
        <v/>
      </c>
      <c r="R1806" s="385" t="str">
        <f>IFERROR(
    IF(
        OR(ISBLANK(N1806), AND(ISBLANK(L1806), ISBLANK(M1806))),
        "",
        MAX(
            1,
            IF(
                NETWORKDAYS(IF(NOT(ISBLANK(M1806)), M1806, L1806), N1806, Holiday_Dates) &lt;= 0,
                1,
                NETWORKDAYS(IF(NOT(ISBLANK(M1806)), M1806, L1806), N1806, Holiday_Dates)
                - IF(IF(NOT(ISBLANK(M1806)), M1806, L1806) = N1806, 0, 1)
            )
        )
    ),
    ""
)</f>
        <v/>
      </c>
      <c r="S1806" s="385" t="str">
        <f>IFERROR(
    IF(
        OR(ISBLANK(N1806), ISBLANK(O1806)),
        "",
        MAX(
            1,
            IF(
                NETWORKDAYS(N1806, O1806, Holiday_Dates) &lt;= 0,
                1,
                NETWORKDAYS(N1806, O1806, Holiday_Dates) - IF(N1806 = O1806, 0, 1)
            )
        )
    ),
    ""
)</f>
        <v/>
      </c>
      <c r="T1806" s="385"/>
      <c r="U1806" s="385"/>
      <c r="V1806" s="385"/>
      <c r="W1806" s="385" t="s">
        <v>4710</v>
      </c>
      <c r="X1806" s="1"/>
    </row>
    <row r="1807" spans="1:24">
      <c r="A1807" s="385" t="s">
        <v>65</v>
      </c>
      <c r="B1807" s="385" t="s">
        <v>530</v>
      </c>
      <c r="C1807" s="385" t="s">
        <v>3481</v>
      </c>
      <c r="D1807" s="385" t="s">
        <v>88</v>
      </c>
      <c r="E1807" s="385"/>
      <c r="F1807" s="385"/>
      <c r="G1807" s="385"/>
      <c r="H1807" s="385">
        <v>2025</v>
      </c>
      <c r="I1807" s="386">
        <v>45797</v>
      </c>
      <c r="J1807" s="30" t="s">
        <v>5389</v>
      </c>
      <c r="K1807" s="385"/>
      <c r="L1807" s="385"/>
      <c r="M1807" s="385"/>
      <c r="N1807" s="385"/>
      <c r="O1807" s="385"/>
      <c r="P1807" s="385" t="str">
        <f>IFERROR(
    IF(
        OR(ISBLANK(I1807), ISBLANK(L1807)),
        "",
        MAX(
            1,
            IF(
                NETWORKDAYS(I1807, L1807, Holiday_Dates) &lt;= 0,
                1,
                NETWORKDAYS(I1807, L1807, Holiday_Dates) - IF(I1807 = L1807, 0, 1)
            )
        )
    ),
    ""
)</f>
        <v/>
      </c>
      <c r="Q1807" s="385" t="str">
        <f>IF(
    OR(ISBLANK(L1807), ISBLANK(M1807)),
    "",
    MAX(
        1,
        IF(
            NETWORKDAYS(L1807, M1807, Holiday_Dates) &lt;= 0,
            1,
            NETWORKDAYS(L1807, M1807, Holiday_Dates) - IF(L1807 = M1807, 0, 1)
        )
    )
)</f>
        <v/>
      </c>
      <c r="R1807" s="385" t="str">
        <f>IFERROR(
    IF(
        OR(ISBLANK(N1807), AND(ISBLANK(L1807), ISBLANK(M1807))),
        "",
        MAX(
            1,
            IF(
                NETWORKDAYS(IF(NOT(ISBLANK(M1807)), M1807, L1807), N1807, Holiday_Dates) &lt;= 0,
                1,
                NETWORKDAYS(IF(NOT(ISBLANK(M1807)), M1807, L1807), N1807, Holiday_Dates)
                - IF(IF(NOT(ISBLANK(M1807)), M1807, L1807) = N1807, 0, 1)
            )
        )
    ),
    ""
)</f>
        <v/>
      </c>
      <c r="S1807" s="385" t="str">
        <f>IFERROR(
    IF(
        OR(ISBLANK(N1807), ISBLANK(O1807)),
        "",
        MAX(
            1,
            IF(
                NETWORKDAYS(N1807, O1807, Holiday_Dates) &lt;= 0,
                1,
                NETWORKDAYS(N1807, O1807, Holiday_Dates) - IF(N1807 = O1807, 0, 1)
            )
        )
    ),
    ""
)</f>
        <v/>
      </c>
      <c r="T1807" s="385"/>
      <c r="U1807" s="385" t="s">
        <v>4</v>
      </c>
      <c r="V1807" s="385" t="s">
        <v>101</v>
      </c>
      <c r="W1807" s="385" t="s">
        <v>1436</v>
      </c>
      <c r="X1807" s="1"/>
    </row>
    <row r="1808" spans="1:24">
      <c r="A1808" s="385" t="s">
        <v>49</v>
      </c>
      <c r="B1808" s="385" t="s">
        <v>2573</v>
      </c>
      <c r="C1808" s="385" t="s">
        <v>357</v>
      </c>
      <c r="D1808" s="385" t="s">
        <v>88</v>
      </c>
      <c r="E1808" s="385" t="s">
        <v>136</v>
      </c>
      <c r="F1808" s="385"/>
      <c r="G1808" s="385" t="s">
        <v>128</v>
      </c>
      <c r="H1808" s="385"/>
      <c r="I1808" s="385"/>
      <c r="J1808" s="30"/>
      <c r="K1808" s="385"/>
      <c r="L1808" s="385"/>
      <c r="M1808" s="385"/>
      <c r="N1808" s="385"/>
      <c r="O1808" s="385"/>
      <c r="P1808" s="385" t="str">
        <f>IFERROR(
    IF(
        OR(ISBLANK(I1808), ISBLANK(L1808)),
        "",
        MAX(
            1,
            IF(
                NETWORKDAYS(I1808, L1808, Holiday_Dates) &lt;= 0,
                1,
                NETWORKDAYS(I1808, L1808, Holiday_Dates) - IF(I1808 = L1808, 0, 1)
            )
        )
    ),
    ""
)</f>
        <v/>
      </c>
      <c r="Q1808" s="385" t="str">
        <f>IF(
    OR(ISBLANK(L1808), ISBLANK(M1808)),
    "",
    MAX(
        1,
        IF(
            NETWORKDAYS(L1808, M1808, Holiday_Dates) &lt;= 0,
            1,
            NETWORKDAYS(L1808, M1808, Holiday_Dates) - IF(L1808 = M1808, 0, 1)
        )
    )
)</f>
        <v/>
      </c>
      <c r="R1808" s="385" t="str">
        <f>IFERROR(
    IF(
        OR(ISBLANK(N1808), AND(ISBLANK(L1808), ISBLANK(M1808))),
        "",
        MAX(
            1,
            IF(
                NETWORKDAYS(IF(NOT(ISBLANK(M1808)), M1808, L1808), N1808, Holiday_Dates) &lt;= 0,
                1,
                NETWORKDAYS(IF(NOT(ISBLANK(M1808)), M1808, L1808), N1808, Holiday_Dates)
                - IF(IF(NOT(ISBLANK(M1808)), M1808, L1808) = N1808, 0, 1)
            )
        )
    ),
    ""
)</f>
        <v/>
      </c>
      <c r="S1808" s="385" t="str">
        <f>IFERROR(
    IF(
        OR(ISBLANK(N1808), ISBLANK(O1808)),
        "",
        MAX(
            1,
            IF(
                NETWORKDAYS(N1808, O1808, Holiday_Dates) &lt;= 0,
                1,
                NETWORKDAYS(N1808, O1808, Holiday_Dates) - IF(N1808 = O1808, 0, 1)
            )
        )
    ),
    ""
)</f>
        <v/>
      </c>
      <c r="T1808" s="385"/>
      <c r="U1808" s="385"/>
      <c r="V1808" s="385"/>
      <c r="W1808" s="385" t="s">
        <v>4710</v>
      </c>
      <c r="X1808" s="1"/>
    </row>
    <row r="1809" spans="1:24">
      <c r="A1809" s="385" t="s">
        <v>49</v>
      </c>
      <c r="B1809" s="385" t="s">
        <v>2573</v>
      </c>
      <c r="C1809" s="385" t="s">
        <v>2583</v>
      </c>
      <c r="D1809" s="385" t="s">
        <v>88</v>
      </c>
      <c r="E1809" s="385" t="s">
        <v>136</v>
      </c>
      <c r="F1809" s="385"/>
      <c r="G1809" s="385" t="s">
        <v>128</v>
      </c>
      <c r="H1809" s="385"/>
      <c r="I1809" s="385"/>
      <c r="J1809" s="30"/>
      <c r="K1809" s="385"/>
      <c r="L1809" s="385"/>
      <c r="M1809" s="385"/>
      <c r="N1809" s="385"/>
      <c r="O1809" s="385"/>
      <c r="P1809" s="385" t="str">
        <f>IFERROR(
    IF(
        OR(ISBLANK(I1809), ISBLANK(L1809)),
        "",
        MAX(
            1,
            IF(
                NETWORKDAYS(I1809, L1809, Holiday_Dates) &lt;= 0,
                1,
                NETWORKDAYS(I1809, L1809, Holiday_Dates) - IF(I1809 = L1809, 0, 1)
            )
        )
    ),
    ""
)</f>
        <v/>
      </c>
      <c r="Q1809" s="385" t="str">
        <f>IF(
    OR(ISBLANK(L1809), ISBLANK(M1809)),
    "",
    MAX(
        1,
        IF(
            NETWORKDAYS(L1809, M1809, Holiday_Dates) &lt;= 0,
            1,
            NETWORKDAYS(L1809, M1809, Holiday_Dates) - IF(L1809 = M1809, 0, 1)
        )
    )
)</f>
        <v/>
      </c>
      <c r="R1809" s="385" t="str">
        <f>IFERROR(
    IF(
        OR(ISBLANK(N1809), AND(ISBLANK(L1809), ISBLANK(M1809))),
        "",
        MAX(
            1,
            IF(
                NETWORKDAYS(IF(NOT(ISBLANK(M1809)), M1809, L1809), N1809, Holiday_Dates) &lt;= 0,
                1,
                NETWORKDAYS(IF(NOT(ISBLANK(M1809)), M1809, L1809), N1809, Holiday_Dates)
                - IF(IF(NOT(ISBLANK(M1809)), M1809, L1809) = N1809, 0, 1)
            )
        )
    ),
    ""
)</f>
        <v/>
      </c>
      <c r="S1809" s="385" t="str">
        <f>IFERROR(
    IF(
        OR(ISBLANK(N1809), ISBLANK(O1809)),
        "",
        MAX(
            1,
            IF(
                NETWORKDAYS(N1809, O1809, Holiday_Dates) &lt;= 0,
                1,
                NETWORKDAYS(N1809, O1809, Holiday_Dates) - IF(N1809 = O1809, 0, 1)
            )
        )
    ),
    ""
)</f>
        <v/>
      </c>
      <c r="T1809" s="385"/>
      <c r="U1809" s="385"/>
      <c r="V1809" s="385"/>
      <c r="W1809" s="385" t="s">
        <v>4710</v>
      </c>
      <c r="X1809" s="1"/>
    </row>
    <row r="1810" spans="1:24">
      <c r="A1810" s="385" t="s">
        <v>49</v>
      </c>
      <c r="B1810" s="385" t="s">
        <v>2573</v>
      </c>
      <c r="C1810" s="385" t="s">
        <v>1879</v>
      </c>
      <c r="D1810" s="385" t="s">
        <v>88</v>
      </c>
      <c r="E1810" s="385" t="s">
        <v>136</v>
      </c>
      <c r="F1810" s="385"/>
      <c r="G1810" s="385" t="s">
        <v>128</v>
      </c>
      <c r="H1810" s="385"/>
      <c r="I1810" s="385"/>
      <c r="J1810" s="30"/>
      <c r="K1810" s="385"/>
      <c r="L1810" s="385"/>
      <c r="M1810" s="385"/>
      <c r="N1810" s="385"/>
      <c r="O1810" s="385"/>
      <c r="P1810" s="385" t="str">
        <f>IFERROR(
    IF(
        OR(ISBLANK(I1810), ISBLANK(L1810)),
        "",
        MAX(
            1,
            IF(
                NETWORKDAYS(I1810, L1810, Holiday_Dates) &lt;= 0,
                1,
                NETWORKDAYS(I1810, L1810, Holiday_Dates) - IF(I1810 = L1810, 0, 1)
            )
        )
    ),
    ""
)</f>
        <v/>
      </c>
      <c r="Q1810" s="385" t="str">
        <f>IF(
    OR(ISBLANK(L1810), ISBLANK(M1810)),
    "",
    MAX(
        1,
        IF(
            NETWORKDAYS(L1810, M1810, Holiday_Dates) &lt;= 0,
            1,
            NETWORKDAYS(L1810, M1810, Holiday_Dates) - IF(L1810 = M1810, 0, 1)
        )
    )
)</f>
        <v/>
      </c>
      <c r="R1810" s="385" t="str">
        <f>IFERROR(
    IF(
        OR(ISBLANK(N1810), AND(ISBLANK(L1810), ISBLANK(M1810))),
        "",
        MAX(
            1,
            IF(
                NETWORKDAYS(IF(NOT(ISBLANK(M1810)), M1810, L1810), N1810, Holiday_Dates) &lt;= 0,
                1,
                NETWORKDAYS(IF(NOT(ISBLANK(M1810)), M1810, L1810), N1810, Holiday_Dates)
                - IF(IF(NOT(ISBLANK(M1810)), M1810, L1810) = N1810, 0, 1)
            )
        )
    ),
    ""
)</f>
        <v/>
      </c>
      <c r="S1810" s="385" t="str">
        <f>IFERROR(
    IF(
        OR(ISBLANK(N1810), ISBLANK(O1810)),
        "",
        MAX(
            1,
            IF(
                NETWORKDAYS(N1810, O1810, Holiday_Dates) &lt;= 0,
                1,
                NETWORKDAYS(N1810, O1810, Holiday_Dates) - IF(N1810 = O1810, 0, 1)
            )
        )
    ),
    ""
)</f>
        <v/>
      </c>
      <c r="T1810" s="385"/>
      <c r="U1810" s="385"/>
      <c r="V1810" s="385"/>
      <c r="W1810" s="385" t="s">
        <v>4710</v>
      </c>
      <c r="X1810" s="1"/>
    </row>
    <row r="1811" spans="1:24">
      <c r="A1811" s="385" t="s">
        <v>49</v>
      </c>
      <c r="B1811" s="385" t="s">
        <v>2573</v>
      </c>
      <c r="C1811" s="385" t="s">
        <v>2630</v>
      </c>
      <c r="D1811" s="385" t="s">
        <v>88</v>
      </c>
      <c r="E1811" s="385" t="s">
        <v>136</v>
      </c>
      <c r="F1811" s="385"/>
      <c r="G1811" s="385" t="s">
        <v>128</v>
      </c>
      <c r="H1811" s="385"/>
      <c r="I1811" s="385"/>
      <c r="J1811" s="30"/>
      <c r="K1811" s="385"/>
      <c r="L1811" s="385"/>
      <c r="M1811" s="385"/>
      <c r="N1811" s="385"/>
      <c r="O1811" s="385"/>
      <c r="P1811" s="385" t="str">
        <f>IFERROR(
    IF(
        OR(ISBLANK(I1811), ISBLANK(L1811)),
        "",
        MAX(
            1,
            IF(
                NETWORKDAYS(I1811, L1811, Holiday_Dates) &lt;= 0,
                1,
                NETWORKDAYS(I1811, L1811, Holiday_Dates) - IF(I1811 = L1811, 0, 1)
            )
        )
    ),
    ""
)</f>
        <v/>
      </c>
      <c r="Q1811" s="385" t="str">
        <f>IF(
    OR(ISBLANK(L1811), ISBLANK(M1811)),
    "",
    MAX(
        1,
        IF(
            NETWORKDAYS(L1811, M1811, Holiday_Dates) &lt;= 0,
            1,
            NETWORKDAYS(L1811, M1811, Holiday_Dates) - IF(L1811 = M1811, 0, 1)
        )
    )
)</f>
        <v/>
      </c>
      <c r="R1811" s="385" t="str">
        <f>IFERROR(
    IF(
        OR(ISBLANK(N1811), AND(ISBLANK(L1811), ISBLANK(M1811))),
        "",
        MAX(
            1,
            IF(
                NETWORKDAYS(IF(NOT(ISBLANK(M1811)), M1811, L1811), N1811, Holiday_Dates) &lt;= 0,
                1,
                NETWORKDAYS(IF(NOT(ISBLANK(M1811)), M1811, L1811), N1811, Holiday_Dates)
                - IF(IF(NOT(ISBLANK(M1811)), M1811, L1811) = N1811, 0, 1)
            )
        )
    ),
    ""
)</f>
        <v/>
      </c>
      <c r="S1811" s="385" t="str">
        <f>IFERROR(
    IF(
        OR(ISBLANK(N1811), ISBLANK(O1811)),
        "",
        MAX(
            1,
            IF(
                NETWORKDAYS(N1811, O1811, Holiday_Dates) &lt;= 0,
                1,
                NETWORKDAYS(N1811, O1811, Holiday_Dates) - IF(N1811 = O1811, 0, 1)
            )
        )
    ),
    ""
)</f>
        <v/>
      </c>
      <c r="T1811" s="385"/>
      <c r="U1811" s="385"/>
      <c r="V1811" s="385"/>
      <c r="W1811" s="385" t="s">
        <v>4710</v>
      </c>
      <c r="X1811" s="1"/>
    </row>
    <row r="1812" spans="1:24">
      <c r="A1812" s="385" t="s">
        <v>49</v>
      </c>
      <c r="B1812" s="385" t="s">
        <v>2573</v>
      </c>
      <c r="C1812" s="385" t="s">
        <v>2581</v>
      </c>
      <c r="D1812" s="385" t="s">
        <v>88</v>
      </c>
      <c r="E1812" s="385" t="s">
        <v>136</v>
      </c>
      <c r="F1812" s="385"/>
      <c r="G1812" s="385" t="s">
        <v>128</v>
      </c>
      <c r="H1812" s="385"/>
      <c r="I1812" s="385"/>
      <c r="J1812" s="30"/>
      <c r="K1812" s="385"/>
      <c r="L1812" s="385"/>
      <c r="M1812" s="385"/>
      <c r="N1812" s="385"/>
      <c r="O1812" s="385"/>
      <c r="P1812" s="385" t="str">
        <f>IFERROR(
    IF(
        OR(ISBLANK(I1812), ISBLANK(L1812)),
        "",
        MAX(
            1,
            IF(
                NETWORKDAYS(I1812, L1812, Holiday_Dates) &lt;= 0,
                1,
                NETWORKDAYS(I1812, L1812, Holiday_Dates) - IF(I1812 = L1812, 0, 1)
            )
        )
    ),
    ""
)</f>
        <v/>
      </c>
      <c r="Q1812" s="385" t="str">
        <f>IF(
    OR(ISBLANK(L1812), ISBLANK(M1812)),
    "",
    MAX(
        1,
        IF(
            NETWORKDAYS(L1812, M1812, Holiday_Dates) &lt;= 0,
            1,
            NETWORKDAYS(L1812, M1812, Holiday_Dates) - IF(L1812 = M1812, 0, 1)
        )
    )
)</f>
        <v/>
      </c>
      <c r="R1812" s="385" t="str">
        <f>IFERROR(
    IF(
        OR(ISBLANK(N1812), AND(ISBLANK(L1812), ISBLANK(M1812))),
        "",
        MAX(
            1,
            IF(
                NETWORKDAYS(IF(NOT(ISBLANK(M1812)), M1812, L1812), N1812, Holiday_Dates) &lt;= 0,
                1,
                NETWORKDAYS(IF(NOT(ISBLANK(M1812)), M1812, L1812), N1812, Holiday_Dates)
                - IF(IF(NOT(ISBLANK(M1812)), M1812, L1812) = N1812, 0, 1)
            )
        )
    ),
    ""
)</f>
        <v/>
      </c>
      <c r="S1812" s="385" t="str">
        <f>IFERROR(
    IF(
        OR(ISBLANK(N1812), ISBLANK(O1812)),
        "",
        MAX(
            1,
            IF(
                NETWORKDAYS(N1812, O1812, Holiday_Dates) &lt;= 0,
                1,
                NETWORKDAYS(N1812, O1812, Holiday_Dates) - IF(N1812 = O1812, 0, 1)
            )
        )
    ),
    ""
)</f>
        <v/>
      </c>
      <c r="T1812" s="385"/>
      <c r="U1812" s="385"/>
      <c r="V1812" s="385"/>
      <c r="W1812" s="385" t="s">
        <v>4710</v>
      </c>
      <c r="X1812" s="1"/>
    </row>
    <row r="1813" spans="1:24">
      <c r="A1813" s="385" t="s">
        <v>51</v>
      </c>
      <c r="B1813" s="385" t="s">
        <v>1364</v>
      </c>
      <c r="C1813" s="385" t="s">
        <v>3486</v>
      </c>
      <c r="D1813" s="385" t="s">
        <v>88</v>
      </c>
      <c r="E1813" s="385"/>
      <c r="F1813" s="385"/>
      <c r="G1813" s="385"/>
      <c r="H1813" s="385">
        <v>2025</v>
      </c>
      <c r="I1813" s="386">
        <v>45812</v>
      </c>
      <c r="J1813" s="30" t="s">
        <v>5390</v>
      </c>
      <c r="K1813" s="385"/>
      <c r="L1813" s="385"/>
      <c r="M1813" s="385"/>
      <c r="N1813" s="385"/>
      <c r="O1813" s="385"/>
      <c r="P1813" s="385" t="str">
        <f>IFERROR(
    IF(
        OR(ISBLANK(I1813), ISBLANK(L1813)),
        "",
        MAX(
            1,
            IF(
                NETWORKDAYS(I1813, L1813, Holiday_Dates) &lt;= 0,
                1,
                NETWORKDAYS(I1813, L1813, Holiday_Dates) - IF(I1813 = L1813, 0, 1)
            )
        )
    ),
    ""
)</f>
        <v/>
      </c>
      <c r="Q1813" s="385" t="str">
        <f>IF(
    OR(ISBLANK(L1813), ISBLANK(M1813)),
    "",
    MAX(
        1,
        IF(
            NETWORKDAYS(L1813, M1813, Holiday_Dates) &lt;= 0,
            1,
            NETWORKDAYS(L1813, M1813, Holiday_Dates) - IF(L1813 = M1813, 0, 1)
        )
    )
)</f>
        <v/>
      </c>
      <c r="R1813" s="385" t="str">
        <f>IFERROR(
    IF(
        OR(ISBLANK(N1813), AND(ISBLANK(L1813), ISBLANK(M1813))),
        "",
        MAX(
            1,
            IF(
                NETWORKDAYS(IF(NOT(ISBLANK(M1813)), M1813, L1813), N1813, Holiday_Dates) &lt;= 0,
                1,
                NETWORKDAYS(IF(NOT(ISBLANK(M1813)), M1813, L1813), N1813, Holiday_Dates)
                - IF(IF(NOT(ISBLANK(M1813)), M1813, L1813) = N1813, 0, 1)
            )
        )
    ),
    ""
)</f>
        <v/>
      </c>
      <c r="S1813" s="385" t="str">
        <f>IFERROR(
    IF(
        OR(ISBLANK(N1813), ISBLANK(O1813)),
        "",
        MAX(
            1,
            IF(
                NETWORKDAYS(N1813, O1813, Holiday_Dates) &lt;= 0,
                1,
                NETWORKDAYS(N1813, O1813, Holiday_Dates) - IF(N1813 = O1813, 0, 1)
            )
        )
    ),
    ""
)</f>
        <v/>
      </c>
      <c r="T1813" s="385"/>
      <c r="U1813" s="385" t="s">
        <v>672</v>
      </c>
      <c r="V1813" s="385" t="s">
        <v>108</v>
      </c>
      <c r="W1813" s="385" t="s">
        <v>1436</v>
      </c>
      <c r="X1813" s="1"/>
    </row>
    <row r="1814" spans="1:24">
      <c r="A1814" s="385" t="s">
        <v>49</v>
      </c>
      <c r="B1814" s="385" t="s">
        <v>2573</v>
      </c>
      <c r="C1814" s="385" t="s">
        <v>2631</v>
      </c>
      <c r="D1814" s="385" t="s">
        <v>88</v>
      </c>
      <c r="E1814" s="385" t="s">
        <v>136</v>
      </c>
      <c r="F1814" s="385"/>
      <c r="G1814" s="385" t="s">
        <v>128</v>
      </c>
      <c r="H1814" s="385"/>
      <c r="I1814" s="385"/>
      <c r="J1814" s="30"/>
      <c r="K1814" s="385"/>
      <c r="L1814" s="385"/>
      <c r="M1814" s="385"/>
      <c r="N1814" s="385"/>
      <c r="O1814" s="385"/>
      <c r="P1814" s="385" t="str">
        <f>IFERROR(
    IF(
        OR(ISBLANK(I1814), ISBLANK(L1814)),
        "",
        MAX(
            1,
            IF(
                NETWORKDAYS(I1814, L1814, Holiday_Dates) &lt;= 0,
                1,
                NETWORKDAYS(I1814, L1814, Holiday_Dates) - IF(I1814 = L1814, 0, 1)
            )
        )
    ),
    ""
)</f>
        <v/>
      </c>
      <c r="Q1814" s="385" t="str">
        <f>IF(
    OR(ISBLANK(L1814), ISBLANK(M1814)),
    "",
    MAX(
        1,
        IF(
            NETWORKDAYS(L1814, M1814, Holiday_Dates) &lt;= 0,
            1,
            NETWORKDAYS(L1814, M1814, Holiday_Dates) - IF(L1814 = M1814, 0, 1)
        )
    )
)</f>
        <v/>
      </c>
      <c r="R1814" s="385" t="str">
        <f>IFERROR(
    IF(
        OR(ISBLANK(N1814), AND(ISBLANK(L1814), ISBLANK(M1814))),
        "",
        MAX(
            1,
            IF(
                NETWORKDAYS(IF(NOT(ISBLANK(M1814)), M1814, L1814), N1814, Holiday_Dates) &lt;= 0,
                1,
                NETWORKDAYS(IF(NOT(ISBLANK(M1814)), M1814, L1814), N1814, Holiday_Dates)
                - IF(IF(NOT(ISBLANK(M1814)), M1814, L1814) = N1814, 0, 1)
            )
        )
    ),
    ""
)</f>
        <v/>
      </c>
      <c r="S1814" s="385" t="str">
        <f>IFERROR(
    IF(
        OR(ISBLANK(N1814), ISBLANK(O1814)),
        "",
        MAX(
            1,
            IF(
                NETWORKDAYS(N1814, O1814, Holiday_Dates) &lt;= 0,
                1,
                NETWORKDAYS(N1814, O1814, Holiday_Dates) - IF(N1814 = O1814, 0, 1)
            )
        )
    ),
    ""
)</f>
        <v/>
      </c>
      <c r="T1814" s="385"/>
      <c r="U1814" s="385"/>
      <c r="V1814" s="385"/>
      <c r="W1814" s="385" t="s">
        <v>4710</v>
      </c>
      <c r="X1814" s="1"/>
    </row>
    <row r="1815" spans="1:24">
      <c r="A1815" s="385" t="s">
        <v>49</v>
      </c>
      <c r="B1815" s="385" t="s">
        <v>2573</v>
      </c>
      <c r="C1815" s="385" t="s">
        <v>585</v>
      </c>
      <c r="D1815" s="385" t="s">
        <v>88</v>
      </c>
      <c r="E1815" s="385" t="s">
        <v>136</v>
      </c>
      <c r="F1815" s="385"/>
      <c r="G1815" s="385" t="s">
        <v>128</v>
      </c>
      <c r="H1815" s="385"/>
      <c r="I1815" s="385"/>
      <c r="J1815" s="30"/>
      <c r="K1815" s="385"/>
      <c r="L1815" s="385"/>
      <c r="M1815" s="385"/>
      <c r="N1815" s="385"/>
      <c r="O1815" s="385"/>
      <c r="P1815" s="385" t="str">
        <f>IFERROR(
    IF(
        OR(ISBLANK(I1815), ISBLANK(L1815)),
        "",
        MAX(
            1,
            IF(
                NETWORKDAYS(I1815, L1815, Holiday_Dates) &lt;= 0,
                1,
                NETWORKDAYS(I1815, L1815, Holiday_Dates) - IF(I1815 = L1815, 0, 1)
            )
        )
    ),
    ""
)</f>
        <v/>
      </c>
      <c r="Q1815" s="385" t="str">
        <f>IF(
    OR(ISBLANK(L1815), ISBLANK(M1815)),
    "",
    MAX(
        1,
        IF(
            NETWORKDAYS(L1815, M1815, Holiday_Dates) &lt;= 0,
            1,
            NETWORKDAYS(L1815, M1815, Holiday_Dates) - IF(L1815 = M1815, 0, 1)
        )
    )
)</f>
        <v/>
      </c>
      <c r="R1815" s="385" t="str">
        <f>IFERROR(
    IF(
        OR(ISBLANK(N1815), AND(ISBLANK(L1815), ISBLANK(M1815))),
        "",
        MAX(
            1,
            IF(
                NETWORKDAYS(IF(NOT(ISBLANK(M1815)), M1815, L1815), N1815, Holiday_Dates) &lt;= 0,
                1,
                NETWORKDAYS(IF(NOT(ISBLANK(M1815)), M1815, L1815), N1815, Holiday_Dates)
                - IF(IF(NOT(ISBLANK(M1815)), M1815, L1815) = N1815, 0, 1)
            )
        )
    ),
    ""
)</f>
        <v/>
      </c>
      <c r="S1815" s="385" t="str">
        <f>IFERROR(
    IF(
        OR(ISBLANK(N1815), ISBLANK(O1815)),
        "",
        MAX(
            1,
            IF(
                NETWORKDAYS(N1815, O1815, Holiday_Dates) &lt;= 0,
                1,
                NETWORKDAYS(N1815, O1815, Holiday_Dates) - IF(N1815 = O1815, 0, 1)
            )
        )
    ),
    ""
)</f>
        <v/>
      </c>
      <c r="T1815" s="385"/>
      <c r="U1815" s="385"/>
      <c r="V1815" s="385"/>
      <c r="W1815" s="385" t="s">
        <v>4710</v>
      </c>
      <c r="X1815" s="1"/>
    </row>
    <row r="1816" spans="1:24">
      <c r="A1816" s="385" t="s">
        <v>49</v>
      </c>
      <c r="B1816" s="385" t="s">
        <v>499</v>
      </c>
      <c r="C1816" s="385" t="s">
        <v>2485</v>
      </c>
      <c r="D1816" s="385" t="s">
        <v>88</v>
      </c>
      <c r="E1816" s="385" t="s">
        <v>344</v>
      </c>
      <c r="F1816" s="385"/>
      <c r="G1816" s="385" t="s">
        <v>128</v>
      </c>
      <c r="H1816" s="385"/>
      <c r="I1816" s="385"/>
      <c r="J1816" s="30"/>
      <c r="K1816" s="385"/>
      <c r="L1816" s="385"/>
      <c r="M1816" s="385"/>
      <c r="N1816" s="385"/>
      <c r="O1816" s="385"/>
      <c r="P1816" s="385" t="str">
        <f>IFERROR(
    IF(
        OR(ISBLANK(I1816), ISBLANK(L1816)),
        "",
        MAX(
            1,
            IF(
                NETWORKDAYS(I1816, L1816, Holiday_Dates) &lt;= 0,
                1,
                NETWORKDAYS(I1816, L1816, Holiday_Dates) - IF(I1816 = L1816, 0, 1)
            )
        )
    ),
    ""
)</f>
        <v/>
      </c>
      <c r="Q1816" s="385" t="str">
        <f>IF(
    OR(ISBLANK(L1816), ISBLANK(M1816)),
    "",
    MAX(
        1,
        IF(
            NETWORKDAYS(L1816, M1816, Holiday_Dates) &lt;= 0,
            1,
            NETWORKDAYS(L1816, M1816, Holiday_Dates) - IF(L1816 = M1816, 0, 1)
        )
    )
)</f>
        <v/>
      </c>
      <c r="R1816" s="385" t="str">
        <f>IFERROR(
    IF(
        OR(ISBLANK(N1816), AND(ISBLANK(L1816), ISBLANK(M1816))),
        "",
        MAX(
            1,
            IF(
                NETWORKDAYS(IF(NOT(ISBLANK(M1816)), M1816, L1816), N1816, Holiday_Dates) &lt;= 0,
                1,
                NETWORKDAYS(IF(NOT(ISBLANK(M1816)), M1816, L1816), N1816, Holiday_Dates)
                - IF(IF(NOT(ISBLANK(M1816)), M1816, L1816) = N1816, 0, 1)
            )
        )
    ),
    ""
)</f>
        <v/>
      </c>
      <c r="S1816" s="385" t="str">
        <f>IFERROR(
    IF(
        OR(ISBLANK(N1816), ISBLANK(O1816)),
        "",
        MAX(
            1,
            IF(
                NETWORKDAYS(N1816, O1816, Holiday_Dates) &lt;= 0,
                1,
                NETWORKDAYS(N1816, O1816, Holiday_Dates) - IF(N1816 = O1816, 0, 1)
            )
        )
    ),
    ""
)</f>
        <v/>
      </c>
      <c r="T1816" s="385"/>
      <c r="U1816" s="385"/>
      <c r="V1816" s="385"/>
      <c r="W1816" s="385" t="s">
        <v>4710</v>
      </c>
      <c r="X1816" s="1"/>
    </row>
    <row r="1817" spans="1:24">
      <c r="A1817" s="385" t="s">
        <v>51</v>
      </c>
      <c r="B1817" s="385" t="s">
        <v>1364</v>
      </c>
      <c r="C1817" s="385" t="s">
        <v>3490</v>
      </c>
      <c r="D1817" s="385" t="s">
        <v>88</v>
      </c>
      <c r="E1817" s="385"/>
      <c r="F1817" s="385"/>
      <c r="G1817" s="385"/>
      <c r="H1817" s="385">
        <v>2024</v>
      </c>
      <c r="I1817" s="386">
        <v>45546</v>
      </c>
      <c r="J1817" s="30"/>
      <c r="K1817" s="385"/>
      <c r="L1817" s="385"/>
      <c r="M1817" s="385"/>
      <c r="N1817" s="385"/>
      <c r="O1817" s="385"/>
      <c r="P1817" s="385" t="str">
        <f>IFERROR(
    IF(
        OR(ISBLANK(I1817), ISBLANK(L1817)),
        "",
        MAX(
            1,
            IF(
                NETWORKDAYS(I1817, L1817, Holiday_Dates) &lt;= 0,
                1,
                NETWORKDAYS(I1817, L1817, Holiday_Dates) - IF(I1817 = L1817, 0, 1)
            )
        )
    ),
    ""
)</f>
        <v/>
      </c>
      <c r="Q1817" s="385" t="str">
        <f>IF(
    OR(ISBLANK(L1817), ISBLANK(M1817)),
    "",
    MAX(
        1,
        IF(
            NETWORKDAYS(L1817, M1817, Holiday_Dates) &lt;= 0,
            1,
            NETWORKDAYS(L1817, M1817, Holiday_Dates) - IF(L1817 = M1817, 0, 1)
        )
    )
)</f>
        <v/>
      </c>
      <c r="R1817" s="385" t="str">
        <f>IFERROR(
    IF(
        OR(ISBLANK(N1817), AND(ISBLANK(L1817), ISBLANK(M1817))),
        "",
        MAX(
            1,
            IF(
                NETWORKDAYS(IF(NOT(ISBLANK(M1817)), M1817, L1817), N1817, Holiday_Dates) &lt;= 0,
                1,
                NETWORKDAYS(IF(NOT(ISBLANK(M1817)), M1817, L1817), N1817, Holiday_Dates)
                - IF(IF(NOT(ISBLANK(M1817)), M1817, L1817) = N1817, 0, 1)
            )
        )
    ),
    ""
)</f>
        <v/>
      </c>
      <c r="S1817" s="385" t="str">
        <f>IFERROR(
    IF(
        OR(ISBLANK(N1817), ISBLANK(O1817)),
        "",
        MAX(
            1,
            IF(
                NETWORKDAYS(N1817, O1817, Holiday_Dates) &lt;= 0,
                1,
                NETWORKDAYS(N1817, O1817, Holiday_Dates) - IF(N1817 = O1817, 0, 1)
            )
        )
    ),
    ""
)</f>
        <v/>
      </c>
      <c r="T1817" s="385"/>
      <c r="U1817" s="385" t="s">
        <v>4</v>
      </c>
      <c r="V1817" s="385" t="s">
        <v>101</v>
      </c>
      <c r="W1817" s="385" t="s">
        <v>1436</v>
      </c>
      <c r="X1817" s="1"/>
    </row>
    <row r="1818" spans="1:24">
      <c r="A1818" s="385" t="s">
        <v>51</v>
      </c>
      <c r="B1818" s="385" t="s">
        <v>1364</v>
      </c>
      <c r="C1818" s="385" t="s">
        <v>2322</v>
      </c>
      <c r="D1818" s="385" t="s">
        <v>88</v>
      </c>
      <c r="E1818" s="385"/>
      <c r="F1818" s="385"/>
      <c r="G1818" s="385"/>
      <c r="H1818" s="385">
        <v>2025</v>
      </c>
      <c r="I1818" s="386">
        <v>45729</v>
      </c>
      <c r="J1818" s="30" t="s">
        <v>5391</v>
      </c>
      <c r="K1818" s="385"/>
      <c r="L1818" s="385"/>
      <c r="M1818" s="385"/>
      <c r="N1818" s="385"/>
      <c r="O1818" s="385"/>
      <c r="P1818" s="385" t="str">
        <f>IFERROR(
    IF(
        OR(ISBLANK(I1818), ISBLANK(L1818)),
        "",
        MAX(
            1,
            IF(
                NETWORKDAYS(I1818, L1818, Holiday_Dates) &lt;= 0,
                1,
                NETWORKDAYS(I1818, L1818, Holiday_Dates) - IF(I1818 = L1818, 0, 1)
            )
        )
    ),
    ""
)</f>
        <v/>
      </c>
      <c r="Q1818" s="385" t="str">
        <f>IF(
    OR(ISBLANK(L1818), ISBLANK(M1818)),
    "",
    MAX(
        1,
        IF(
            NETWORKDAYS(L1818, M1818, Holiday_Dates) &lt;= 0,
            1,
            NETWORKDAYS(L1818, M1818, Holiday_Dates) - IF(L1818 = M1818, 0, 1)
        )
    )
)</f>
        <v/>
      </c>
      <c r="R1818" s="385" t="str">
        <f>IFERROR(
    IF(
        OR(ISBLANK(N1818), AND(ISBLANK(L1818), ISBLANK(M1818))),
        "",
        MAX(
            1,
            IF(
                NETWORKDAYS(IF(NOT(ISBLANK(M1818)), M1818, L1818), N1818, Holiday_Dates) &lt;= 0,
                1,
                NETWORKDAYS(IF(NOT(ISBLANK(M1818)), M1818, L1818), N1818, Holiday_Dates)
                - IF(IF(NOT(ISBLANK(M1818)), M1818, L1818) = N1818, 0, 1)
            )
        )
    ),
    ""
)</f>
        <v/>
      </c>
      <c r="S1818" s="385" t="str">
        <f>IFERROR(
    IF(
        OR(ISBLANK(N1818), ISBLANK(O1818)),
        "",
        MAX(
            1,
            IF(
                NETWORKDAYS(N1818, O1818, Holiday_Dates) &lt;= 0,
                1,
                NETWORKDAYS(N1818, O1818, Holiday_Dates) - IF(N1818 = O1818, 0, 1)
            )
        )
    ),
    ""
)</f>
        <v/>
      </c>
      <c r="T1818" s="385"/>
      <c r="U1818" s="385" t="s">
        <v>672</v>
      </c>
      <c r="V1818" s="385" t="s">
        <v>101</v>
      </c>
      <c r="W1818" s="385" t="s">
        <v>1436</v>
      </c>
      <c r="X1818" s="1"/>
    </row>
    <row r="1819" spans="1:24">
      <c r="A1819" s="385" t="s">
        <v>49</v>
      </c>
      <c r="B1819" s="385" t="s">
        <v>434</v>
      </c>
      <c r="C1819" s="385" t="s">
        <v>2456</v>
      </c>
      <c r="D1819" s="385" t="s">
        <v>88</v>
      </c>
      <c r="E1819" s="385" t="s">
        <v>136</v>
      </c>
      <c r="F1819" s="385"/>
      <c r="G1819" s="385" t="s">
        <v>128</v>
      </c>
      <c r="H1819" s="385"/>
      <c r="I1819" s="385"/>
      <c r="J1819" s="30"/>
      <c r="K1819" s="385"/>
      <c r="L1819" s="385"/>
      <c r="M1819" s="385"/>
      <c r="N1819" s="385"/>
      <c r="O1819" s="385"/>
      <c r="P1819" s="385" t="str">
        <f>IFERROR(
    IF(
        OR(ISBLANK(I1819), ISBLANK(L1819)),
        "",
        MAX(
            1,
            IF(
                NETWORKDAYS(I1819, L1819, Holiday_Dates) &lt;= 0,
                1,
                NETWORKDAYS(I1819, L1819, Holiday_Dates) - IF(I1819 = L1819, 0, 1)
            )
        )
    ),
    ""
)</f>
        <v/>
      </c>
      <c r="Q1819" s="385" t="str">
        <f>IF(
    OR(ISBLANK(L1819), ISBLANK(M1819)),
    "",
    MAX(
        1,
        IF(
            NETWORKDAYS(L1819, M1819, Holiday_Dates) &lt;= 0,
            1,
            NETWORKDAYS(L1819, M1819, Holiday_Dates) - IF(L1819 = M1819, 0, 1)
        )
    )
)</f>
        <v/>
      </c>
      <c r="R1819" s="385" t="str">
        <f>IFERROR(
    IF(
        OR(ISBLANK(N1819), AND(ISBLANK(L1819), ISBLANK(M1819))),
        "",
        MAX(
            1,
            IF(
                NETWORKDAYS(IF(NOT(ISBLANK(M1819)), M1819, L1819), N1819, Holiday_Dates) &lt;= 0,
                1,
                NETWORKDAYS(IF(NOT(ISBLANK(M1819)), M1819, L1819), N1819, Holiday_Dates)
                - IF(IF(NOT(ISBLANK(M1819)), M1819, L1819) = N1819, 0, 1)
            )
        )
    ),
    ""
)</f>
        <v/>
      </c>
      <c r="S1819" s="385" t="str">
        <f>IFERROR(
    IF(
        OR(ISBLANK(N1819), ISBLANK(O1819)),
        "",
        MAX(
            1,
            IF(
                NETWORKDAYS(N1819, O1819, Holiday_Dates) &lt;= 0,
                1,
                NETWORKDAYS(N1819, O1819, Holiday_Dates) - IF(N1819 = O1819, 0, 1)
            )
        )
    ),
    ""
)</f>
        <v/>
      </c>
      <c r="T1819" s="385"/>
      <c r="U1819" s="385"/>
      <c r="V1819" s="385"/>
      <c r="W1819" s="385" t="s">
        <v>4710</v>
      </c>
      <c r="X1819" s="1"/>
    </row>
    <row r="1820" spans="1:24">
      <c r="A1820" s="385" t="s">
        <v>49</v>
      </c>
      <c r="B1820" s="385" t="s">
        <v>437</v>
      </c>
      <c r="C1820" s="385" t="s">
        <v>694</v>
      </c>
      <c r="D1820" s="385" t="s">
        <v>88</v>
      </c>
      <c r="E1820" s="385" t="s">
        <v>136</v>
      </c>
      <c r="F1820" s="385"/>
      <c r="G1820" s="385" t="s">
        <v>128</v>
      </c>
      <c r="H1820" s="385"/>
      <c r="I1820" s="385"/>
      <c r="J1820" s="30"/>
      <c r="K1820" s="385"/>
      <c r="L1820" s="385"/>
      <c r="M1820" s="385"/>
      <c r="N1820" s="385"/>
      <c r="O1820" s="385"/>
      <c r="P1820" s="385" t="str">
        <f>IFERROR(
    IF(
        OR(ISBLANK(I1820), ISBLANK(L1820)),
        "",
        MAX(
            1,
            IF(
                NETWORKDAYS(I1820, L1820, Holiday_Dates) &lt;= 0,
                1,
                NETWORKDAYS(I1820, L1820, Holiday_Dates) - IF(I1820 = L1820, 0, 1)
            )
        )
    ),
    ""
)</f>
        <v/>
      </c>
      <c r="Q1820" s="385" t="str">
        <f>IF(
    OR(ISBLANK(L1820), ISBLANK(M1820)),
    "",
    MAX(
        1,
        IF(
            NETWORKDAYS(L1820, M1820, Holiday_Dates) &lt;= 0,
            1,
            NETWORKDAYS(L1820, M1820, Holiday_Dates) - IF(L1820 = M1820, 0, 1)
        )
    )
)</f>
        <v/>
      </c>
      <c r="R1820" s="385" t="str">
        <f>IFERROR(
    IF(
        OR(ISBLANK(N1820), AND(ISBLANK(L1820), ISBLANK(M1820))),
        "",
        MAX(
            1,
            IF(
                NETWORKDAYS(IF(NOT(ISBLANK(M1820)), M1820, L1820), N1820, Holiday_Dates) &lt;= 0,
                1,
                NETWORKDAYS(IF(NOT(ISBLANK(M1820)), M1820, L1820), N1820, Holiday_Dates)
                - IF(IF(NOT(ISBLANK(M1820)), M1820, L1820) = N1820, 0, 1)
            )
        )
    ),
    ""
)</f>
        <v/>
      </c>
      <c r="S1820" s="385" t="str">
        <f>IFERROR(
    IF(
        OR(ISBLANK(N1820), ISBLANK(O1820)),
        "",
        MAX(
            1,
            IF(
                NETWORKDAYS(N1820, O1820, Holiday_Dates) &lt;= 0,
                1,
                NETWORKDAYS(N1820, O1820, Holiday_Dates) - IF(N1820 = O1820, 0, 1)
            )
        )
    ),
    ""
)</f>
        <v/>
      </c>
      <c r="T1820" s="385"/>
      <c r="U1820" s="385"/>
      <c r="V1820" s="385"/>
      <c r="W1820" s="385" t="s">
        <v>4710</v>
      </c>
      <c r="X1820" s="1"/>
    </row>
    <row r="1821" spans="1:24">
      <c r="A1821" s="385" t="s">
        <v>49</v>
      </c>
      <c r="B1821" s="385" t="s">
        <v>499</v>
      </c>
      <c r="C1821" s="385" t="s">
        <v>1879</v>
      </c>
      <c r="D1821" s="385" t="s">
        <v>88</v>
      </c>
      <c r="E1821" s="385" t="s">
        <v>344</v>
      </c>
      <c r="F1821" s="385"/>
      <c r="G1821" s="385" t="s">
        <v>128</v>
      </c>
      <c r="H1821" s="385"/>
      <c r="I1821" s="385"/>
      <c r="J1821" s="30"/>
      <c r="K1821" s="385"/>
      <c r="L1821" s="385"/>
      <c r="M1821" s="385"/>
      <c r="N1821" s="385"/>
      <c r="O1821" s="385"/>
      <c r="P1821" s="385" t="str">
        <f>IFERROR(
    IF(
        OR(ISBLANK(I1821), ISBLANK(L1821)),
        "",
        MAX(
            1,
            IF(
                NETWORKDAYS(I1821, L1821, Holiday_Dates) &lt;= 0,
                1,
                NETWORKDAYS(I1821, L1821, Holiday_Dates) - IF(I1821 = L1821, 0, 1)
            )
        )
    ),
    ""
)</f>
        <v/>
      </c>
      <c r="Q1821" s="385" t="str">
        <f>IF(
    OR(ISBLANK(L1821), ISBLANK(M1821)),
    "",
    MAX(
        1,
        IF(
            NETWORKDAYS(L1821, M1821, Holiday_Dates) &lt;= 0,
            1,
            NETWORKDAYS(L1821, M1821, Holiday_Dates) - IF(L1821 = M1821, 0, 1)
        )
    )
)</f>
        <v/>
      </c>
      <c r="R1821" s="385" t="str">
        <f>IFERROR(
    IF(
        OR(ISBLANK(N1821), AND(ISBLANK(L1821), ISBLANK(M1821))),
        "",
        MAX(
            1,
            IF(
                NETWORKDAYS(IF(NOT(ISBLANK(M1821)), M1821, L1821), N1821, Holiday_Dates) &lt;= 0,
                1,
                NETWORKDAYS(IF(NOT(ISBLANK(M1821)), M1821, L1821), N1821, Holiday_Dates)
                - IF(IF(NOT(ISBLANK(M1821)), M1821, L1821) = N1821, 0, 1)
            )
        )
    ),
    ""
)</f>
        <v/>
      </c>
      <c r="S1821" s="385" t="str">
        <f>IFERROR(
    IF(
        OR(ISBLANK(N1821), ISBLANK(O1821)),
        "",
        MAX(
            1,
            IF(
                NETWORKDAYS(N1821, O1821, Holiday_Dates) &lt;= 0,
                1,
                NETWORKDAYS(N1821, O1821, Holiday_Dates) - IF(N1821 = O1821, 0, 1)
            )
        )
    ),
    ""
)</f>
        <v/>
      </c>
      <c r="T1821" s="385"/>
      <c r="U1821" s="385"/>
      <c r="V1821" s="385"/>
      <c r="W1821" s="385" t="s">
        <v>4710</v>
      </c>
      <c r="X1821" s="1"/>
    </row>
    <row r="1822" spans="1:24">
      <c r="A1822" s="385" t="s">
        <v>51</v>
      </c>
      <c r="B1822" s="385" t="s">
        <v>1364</v>
      </c>
      <c r="C1822" s="385" t="s">
        <v>3495</v>
      </c>
      <c r="D1822" s="385" t="s">
        <v>88</v>
      </c>
      <c r="E1822" s="385"/>
      <c r="F1822" s="385"/>
      <c r="G1822" s="385"/>
      <c r="H1822" s="385">
        <v>2025</v>
      </c>
      <c r="I1822" s="386">
        <v>45882</v>
      </c>
      <c r="J1822" s="30" t="s">
        <v>5392</v>
      </c>
      <c r="K1822" s="385"/>
      <c r="L1822" s="385"/>
      <c r="M1822" s="385"/>
      <c r="N1822" s="385"/>
      <c r="O1822" s="385"/>
      <c r="P1822" s="385" t="str">
        <f>IFERROR(
    IF(
        OR(ISBLANK(I1822), ISBLANK(L1822)),
        "",
        MAX(
            1,
            IF(
                NETWORKDAYS(I1822, L1822, Holiday_Dates) &lt;= 0,
                1,
                NETWORKDAYS(I1822, L1822, Holiday_Dates) - IF(I1822 = L1822, 0, 1)
            )
        )
    ),
    ""
)</f>
        <v/>
      </c>
      <c r="Q1822" s="385" t="str">
        <f>IF(
    OR(ISBLANK(L1822), ISBLANK(M1822)),
    "",
    MAX(
        1,
        IF(
            NETWORKDAYS(L1822, M1822, Holiday_Dates) &lt;= 0,
            1,
            NETWORKDAYS(L1822, M1822, Holiday_Dates) - IF(L1822 = M1822, 0, 1)
        )
    )
)</f>
        <v/>
      </c>
      <c r="R1822" s="385" t="str">
        <f>IFERROR(
    IF(
        OR(ISBLANK(N1822), AND(ISBLANK(L1822), ISBLANK(M1822))),
        "",
        MAX(
            1,
            IF(
                NETWORKDAYS(IF(NOT(ISBLANK(M1822)), M1822, L1822), N1822, Holiday_Dates) &lt;= 0,
                1,
                NETWORKDAYS(IF(NOT(ISBLANK(M1822)), M1822, L1822), N1822, Holiday_Dates)
                - IF(IF(NOT(ISBLANK(M1822)), M1822, L1822) = N1822, 0, 1)
            )
        )
    ),
    ""
)</f>
        <v/>
      </c>
      <c r="S1822" s="385" t="str">
        <f>IFERROR(
    IF(
        OR(ISBLANK(N1822), ISBLANK(O1822)),
        "",
        MAX(
            1,
            IF(
                NETWORKDAYS(N1822, O1822, Holiday_Dates) &lt;= 0,
                1,
                NETWORKDAYS(N1822, O1822, Holiday_Dates) - IF(N1822 = O1822, 0, 1)
            )
        )
    ),
    ""
)</f>
        <v/>
      </c>
      <c r="T1822" s="385"/>
      <c r="U1822" s="385" t="s">
        <v>672</v>
      </c>
      <c r="V1822" s="385" t="s">
        <v>101</v>
      </c>
      <c r="W1822" s="385" t="s">
        <v>1436</v>
      </c>
      <c r="X1822" s="1"/>
    </row>
    <row r="1823" spans="1:24">
      <c r="A1823" s="385" t="s">
        <v>51</v>
      </c>
      <c r="B1823" s="385" t="s">
        <v>1364</v>
      </c>
      <c r="C1823" s="385" t="s">
        <v>3496</v>
      </c>
      <c r="D1823" s="385" t="s">
        <v>88</v>
      </c>
      <c r="E1823" s="385"/>
      <c r="F1823" s="385"/>
      <c r="G1823" s="385"/>
      <c r="H1823" s="385">
        <v>2024</v>
      </c>
      <c r="I1823" s="386">
        <v>45575</v>
      </c>
      <c r="J1823" s="30"/>
      <c r="K1823" s="385"/>
      <c r="L1823" s="385"/>
      <c r="M1823" s="385"/>
      <c r="N1823" s="385"/>
      <c r="O1823" s="385"/>
      <c r="P1823" s="385" t="str">
        <f>IFERROR(
    IF(
        OR(ISBLANK(I1823), ISBLANK(L1823)),
        "",
        MAX(
            1,
            IF(
                NETWORKDAYS(I1823, L1823, Holiday_Dates) &lt;= 0,
                1,
                NETWORKDAYS(I1823, L1823, Holiday_Dates) - IF(I1823 = L1823, 0, 1)
            )
        )
    ),
    ""
)</f>
        <v/>
      </c>
      <c r="Q1823" s="385" t="str">
        <f>IF(
    OR(ISBLANK(L1823), ISBLANK(M1823)),
    "",
    MAX(
        1,
        IF(
            NETWORKDAYS(L1823, M1823, Holiday_Dates) &lt;= 0,
            1,
            NETWORKDAYS(L1823, M1823, Holiday_Dates) - IF(L1823 = M1823, 0, 1)
        )
    )
)</f>
        <v/>
      </c>
      <c r="R1823" s="385" t="str">
        <f>IFERROR(
    IF(
        OR(ISBLANK(N1823), AND(ISBLANK(L1823), ISBLANK(M1823))),
        "",
        MAX(
            1,
            IF(
                NETWORKDAYS(IF(NOT(ISBLANK(M1823)), M1823, L1823), N1823, Holiday_Dates) &lt;= 0,
                1,
                NETWORKDAYS(IF(NOT(ISBLANK(M1823)), M1823, L1823), N1823, Holiday_Dates)
                - IF(IF(NOT(ISBLANK(M1823)), M1823, L1823) = N1823, 0, 1)
            )
        )
    ),
    ""
)</f>
        <v/>
      </c>
      <c r="S1823" s="385" t="str">
        <f>IFERROR(
    IF(
        OR(ISBLANK(N1823), ISBLANK(O1823)),
        "",
        MAX(
            1,
            IF(
                NETWORKDAYS(N1823, O1823, Holiday_Dates) &lt;= 0,
                1,
                NETWORKDAYS(N1823, O1823, Holiday_Dates) - IF(N1823 = O1823, 0, 1)
            )
        )
    ),
    ""
)</f>
        <v/>
      </c>
      <c r="T1823" s="385"/>
      <c r="U1823" s="385" t="s">
        <v>4</v>
      </c>
      <c r="V1823" s="385" t="s">
        <v>101</v>
      </c>
      <c r="W1823" s="385" t="s">
        <v>1436</v>
      </c>
      <c r="X1823" s="1"/>
    </row>
    <row r="1824" spans="1:24">
      <c r="A1824" s="385" t="s">
        <v>51</v>
      </c>
      <c r="B1824" s="385" t="s">
        <v>1364</v>
      </c>
      <c r="C1824" s="385" t="s">
        <v>3498</v>
      </c>
      <c r="D1824" s="385" t="s">
        <v>88</v>
      </c>
      <c r="E1824" s="385"/>
      <c r="F1824" s="385"/>
      <c r="G1824" s="385"/>
      <c r="H1824" s="385">
        <v>2024</v>
      </c>
      <c r="I1824" s="386">
        <v>45546</v>
      </c>
      <c r="J1824" s="30"/>
      <c r="K1824" s="385"/>
      <c r="L1824" s="385"/>
      <c r="M1824" s="385"/>
      <c r="N1824" s="385"/>
      <c r="O1824" s="385"/>
      <c r="P1824" s="385" t="str">
        <f>IFERROR(
    IF(
        OR(ISBLANK(I1824), ISBLANK(L1824)),
        "",
        MAX(
            1,
            IF(
                NETWORKDAYS(I1824, L1824, Holiday_Dates) &lt;= 0,
                1,
                NETWORKDAYS(I1824, L1824, Holiday_Dates) - IF(I1824 = L1824, 0, 1)
            )
        )
    ),
    ""
)</f>
        <v/>
      </c>
      <c r="Q1824" s="385" t="str">
        <f>IF(
    OR(ISBLANK(L1824), ISBLANK(M1824)),
    "",
    MAX(
        1,
        IF(
            NETWORKDAYS(L1824, M1824, Holiday_Dates) &lt;= 0,
            1,
            NETWORKDAYS(L1824, M1824, Holiday_Dates) - IF(L1824 = M1824, 0, 1)
        )
    )
)</f>
        <v/>
      </c>
      <c r="R1824" s="385" t="str">
        <f>IFERROR(
    IF(
        OR(ISBLANK(N1824), AND(ISBLANK(L1824), ISBLANK(M1824))),
        "",
        MAX(
            1,
            IF(
                NETWORKDAYS(IF(NOT(ISBLANK(M1824)), M1824, L1824), N1824, Holiday_Dates) &lt;= 0,
                1,
                NETWORKDAYS(IF(NOT(ISBLANK(M1824)), M1824, L1824), N1824, Holiday_Dates)
                - IF(IF(NOT(ISBLANK(M1824)), M1824, L1824) = N1824, 0, 1)
            )
        )
    ),
    ""
)</f>
        <v/>
      </c>
      <c r="S1824" s="385" t="str">
        <f>IFERROR(
    IF(
        OR(ISBLANK(N1824), ISBLANK(O1824)),
        "",
        MAX(
            1,
            IF(
                NETWORKDAYS(N1824, O1824, Holiday_Dates) &lt;= 0,
                1,
                NETWORKDAYS(N1824, O1824, Holiday_Dates) - IF(N1824 = O1824, 0, 1)
            )
        )
    ),
    ""
)</f>
        <v/>
      </c>
      <c r="T1824" s="385"/>
      <c r="U1824" s="385" t="s">
        <v>4</v>
      </c>
      <c r="V1824" s="385" t="s">
        <v>101</v>
      </c>
      <c r="W1824" s="385" t="s">
        <v>1436</v>
      </c>
      <c r="X1824" s="1"/>
    </row>
    <row r="1825" spans="1:24">
      <c r="A1825" s="385" t="s">
        <v>51</v>
      </c>
      <c r="B1825" s="385" t="s">
        <v>1364</v>
      </c>
      <c r="C1825" s="385" t="s">
        <v>1079</v>
      </c>
      <c r="D1825" s="385" t="s">
        <v>88</v>
      </c>
      <c r="E1825" s="385"/>
      <c r="F1825" s="385"/>
      <c r="G1825" s="385"/>
      <c r="H1825" s="385">
        <v>2024</v>
      </c>
      <c r="I1825" s="386">
        <v>45506</v>
      </c>
      <c r="J1825" s="30"/>
      <c r="K1825" s="385"/>
      <c r="L1825" s="385"/>
      <c r="M1825" s="385"/>
      <c r="N1825" s="385"/>
      <c r="O1825" s="385"/>
      <c r="P1825" s="385" t="str">
        <f>IFERROR(
    IF(
        OR(ISBLANK(I1825), ISBLANK(L1825)),
        "",
        MAX(
            1,
            IF(
                NETWORKDAYS(I1825, L1825, Holiday_Dates) &lt;= 0,
                1,
                NETWORKDAYS(I1825, L1825, Holiday_Dates) - IF(I1825 = L1825, 0, 1)
            )
        )
    ),
    ""
)</f>
        <v/>
      </c>
      <c r="Q1825" s="385" t="str">
        <f>IF(
    OR(ISBLANK(L1825), ISBLANK(M1825)),
    "",
    MAX(
        1,
        IF(
            NETWORKDAYS(L1825, M1825, Holiday_Dates) &lt;= 0,
            1,
            NETWORKDAYS(L1825, M1825, Holiday_Dates) - IF(L1825 = M1825, 0, 1)
        )
    )
)</f>
        <v/>
      </c>
      <c r="R1825" s="385" t="str">
        <f>IFERROR(
    IF(
        OR(ISBLANK(N1825), AND(ISBLANK(L1825), ISBLANK(M1825))),
        "",
        MAX(
            1,
            IF(
                NETWORKDAYS(IF(NOT(ISBLANK(M1825)), M1825, L1825), N1825, Holiday_Dates) &lt;= 0,
                1,
                NETWORKDAYS(IF(NOT(ISBLANK(M1825)), M1825, L1825), N1825, Holiday_Dates)
                - IF(IF(NOT(ISBLANK(M1825)), M1825, L1825) = N1825, 0, 1)
            )
        )
    ),
    ""
)</f>
        <v/>
      </c>
      <c r="S1825" s="385" t="str">
        <f>IFERROR(
    IF(
        OR(ISBLANK(N1825), ISBLANK(O1825)),
        "",
        MAX(
            1,
            IF(
                NETWORKDAYS(N1825, O1825, Holiday_Dates) &lt;= 0,
                1,
                NETWORKDAYS(N1825, O1825, Holiday_Dates) - IF(N1825 = O1825, 0, 1)
            )
        )
    ),
    ""
)</f>
        <v/>
      </c>
      <c r="T1825" s="385"/>
      <c r="U1825" s="385" t="s">
        <v>4</v>
      </c>
      <c r="V1825" s="385" t="s">
        <v>101</v>
      </c>
      <c r="W1825" s="385" t="s">
        <v>1436</v>
      </c>
      <c r="X1825" s="1"/>
    </row>
    <row r="1826" spans="1:24">
      <c r="A1826" s="385" t="s">
        <v>51</v>
      </c>
      <c r="B1826" s="385" t="s">
        <v>1364</v>
      </c>
      <c r="C1826" s="385" t="s">
        <v>3517</v>
      </c>
      <c r="D1826" s="385" t="s">
        <v>88</v>
      </c>
      <c r="E1826" s="385"/>
      <c r="F1826" s="385"/>
      <c r="G1826" s="385"/>
      <c r="H1826" s="385">
        <v>2024</v>
      </c>
      <c r="I1826" s="386">
        <v>45505</v>
      </c>
      <c r="J1826" s="30"/>
      <c r="K1826" s="385"/>
      <c r="L1826" s="385"/>
      <c r="M1826" s="385"/>
      <c r="N1826" s="385"/>
      <c r="O1826" s="385"/>
      <c r="P1826" s="385" t="str">
        <f>IFERROR(
    IF(
        OR(ISBLANK(I1826), ISBLANK(L1826)),
        "",
        MAX(
            1,
            IF(
                NETWORKDAYS(I1826, L1826, Holiday_Dates) &lt;= 0,
                1,
                NETWORKDAYS(I1826, L1826, Holiday_Dates) - IF(I1826 = L1826, 0, 1)
            )
        )
    ),
    ""
)</f>
        <v/>
      </c>
      <c r="Q1826" s="385" t="str">
        <f>IF(
    OR(ISBLANK(L1826), ISBLANK(M1826)),
    "",
    MAX(
        1,
        IF(
            NETWORKDAYS(L1826, M1826, Holiday_Dates) &lt;= 0,
            1,
            NETWORKDAYS(L1826, M1826, Holiday_Dates) - IF(L1826 = M1826, 0, 1)
        )
    )
)</f>
        <v/>
      </c>
      <c r="R1826" s="385" t="str">
        <f>IFERROR(
    IF(
        OR(ISBLANK(N1826), AND(ISBLANK(L1826), ISBLANK(M1826))),
        "",
        MAX(
            1,
            IF(
                NETWORKDAYS(IF(NOT(ISBLANK(M1826)), M1826, L1826), N1826, Holiday_Dates) &lt;= 0,
                1,
                NETWORKDAYS(IF(NOT(ISBLANK(M1826)), M1826, L1826), N1826, Holiday_Dates)
                - IF(IF(NOT(ISBLANK(M1826)), M1826, L1826) = N1826, 0, 1)
            )
        )
    ),
    ""
)</f>
        <v/>
      </c>
      <c r="S1826" s="385" t="str">
        <f>IFERROR(
    IF(
        OR(ISBLANK(N1826), ISBLANK(O1826)),
        "",
        MAX(
            1,
            IF(
                NETWORKDAYS(N1826, O1826, Holiday_Dates) &lt;= 0,
                1,
                NETWORKDAYS(N1826, O1826, Holiday_Dates) - IF(N1826 = O1826, 0, 1)
            )
        )
    ),
    ""
)</f>
        <v/>
      </c>
      <c r="T1826" s="385"/>
      <c r="U1826" s="385" t="s">
        <v>4</v>
      </c>
      <c r="V1826" s="385" t="s">
        <v>101</v>
      </c>
      <c r="W1826" s="385" t="s">
        <v>1436</v>
      </c>
      <c r="X1826" s="1"/>
    </row>
    <row r="1827" spans="1:24">
      <c r="A1827" s="385" t="s">
        <v>51</v>
      </c>
      <c r="B1827" s="385" t="s">
        <v>1364</v>
      </c>
      <c r="C1827" s="385" t="s">
        <v>1365</v>
      </c>
      <c r="D1827" s="385" t="s">
        <v>88</v>
      </c>
      <c r="E1827" s="385"/>
      <c r="F1827" s="385"/>
      <c r="G1827" s="385"/>
      <c r="H1827" s="385">
        <v>2024</v>
      </c>
      <c r="I1827" s="386">
        <v>45546</v>
      </c>
      <c r="J1827" s="30"/>
      <c r="K1827" s="385"/>
      <c r="L1827" s="385"/>
      <c r="M1827" s="385"/>
      <c r="N1827" s="385"/>
      <c r="O1827" s="385"/>
      <c r="P1827" s="385" t="str">
        <f>IFERROR(
    IF(
        OR(ISBLANK(I1827), ISBLANK(L1827)),
        "",
        MAX(
            1,
            IF(
                NETWORKDAYS(I1827, L1827, Holiday_Dates) &lt;= 0,
                1,
                NETWORKDAYS(I1827, L1827, Holiday_Dates) - IF(I1827 = L1827, 0, 1)
            )
        )
    ),
    ""
)</f>
        <v/>
      </c>
      <c r="Q1827" s="385" t="str">
        <f>IF(
    OR(ISBLANK(L1827), ISBLANK(M1827)),
    "",
    MAX(
        1,
        IF(
            NETWORKDAYS(L1827, M1827, Holiday_Dates) &lt;= 0,
            1,
            NETWORKDAYS(L1827, M1827, Holiday_Dates) - IF(L1827 = M1827, 0, 1)
        )
    )
)</f>
        <v/>
      </c>
      <c r="R1827" s="385" t="str">
        <f>IFERROR(
    IF(
        OR(ISBLANK(N1827), AND(ISBLANK(L1827), ISBLANK(M1827))),
        "",
        MAX(
            1,
            IF(
                NETWORKDAYS(IF(NOT(ISBLANK(M1827)), M1827, L1827), N1827, Holiday_Dates) &lt;= 0,
                1,
                NETWORKDAYS(IF(NOT(ISBLANK(M1827)), M1827, L1827), N1827, Holiday_Dates)
                - IF(IF(NOT(ISBLANK(M1827)), M1827, L1827) = N1827, 0, 1)
            )
        )
    ),
    ""
)</f>
        <v/>
      </c>
      <c r="S1827" s="385" t="str">
        <f>IFERROR(
    IF(
        OR(ISBLANK(N1827), ISBLANK(O1827)),
        "",
        MAX(
            1,
            IF(
                NETWORKDAYS(N1827, O1827, Holiday_Dates) &lt;= 0,
                1,
                NETWORKDAYS(N1827, O1827, Holiday_Dates) - IF(N1827 = O1827, 0, 1)
            )
        )
    ),
    ""
)</f>
        <v/>
      </c>
      <c r="T1827" s="385"/>
      <c r="U1827" s="385" t="s">
        <v>4</v>
      </c>
      <c r="V1827" s="385" t="s">
        <v>101</v>
      </c>
      <c r="W1827" s="385" t="s">
        <v>1436</v>
      </c>
      <c r="X1827" s="1"/>
    </row>
    <row r="1828" spans="1:24">
      <c r="A1828" s="385" t="s">
        <v>51</v>
      </c>
      <c r="B1828" s="385" t="s">
        <v>1364</v>
      </c>
      <c r="C1828" s="385" t="s">
        <v>3502</v>
      </c>
      <c r="D1828" s="385" t="s">
        <v>88</v>
      </c>
      <c r="E1828" s="385"/>
      <c r="F1828" s="385"/>
      <c r="G1828" s="385"/>
      <c r="H1828" s="385">
        <v>2024</v>
      </c>
      <c r="I1828" s="386">
        <v>45506</v>
      </c>
      <c r="J1828" s="30"/>
      <c r="K1828" s="385"/>
      <c r="L1828" s="385"/>
      <c r="M1828" s="385"/>
      <c r="N1828" s="385"/>
      <c r="O1828" s="385"/>
      <c r="P1828" s="385" t="str">
        <f>IFERROR(
    IF(
        OR(ISBLANK(I1828), ISBLANK(L1828)),
        "",
        MAX(
            1,
            IF(
                NETWORKDAYS(I1828, L1828, Holiday_Dates) &lt;= 0,
                1,
                NETWORKDAYS(I1828, L1828, Holiday_Dates) - IF(I1828 = L1828, 0, 1)
            )
        )
    ),
    ""
)</f>
        <v/>
      </c>
      <c r="Q1828" s="385" t="str">
        <f>IF(
    OR(ISBLANK(L1828), ISBLANK(M1828)),
    "",
    MAX(
        1,
        IF(
            NETWORKDAYS(L1828, M1828, Holiday_Dates) &lt;= 0,
            1,
            NETWORKDAYS(L1828, M1828, Holiday_Dates) - IF(L1828 = M1828, 0, 1)
        )
    )
)</f>
        <v/>
      </c>
      <c r="R1828" s="385" t="str">
        <f>IFERROR(
    IF(
        OR(ISBLANK(N1828), AND(ISBLANK(L1828), ISBLANK(M1828))),
        "",
        MAX(
            1,
            IF(
                NETWORKDAYS(IF(NOT(ISBLANK(M1828)), M1828, L1828), N1828, Holiday_Dates) &lt;= 0,
                1,
                NETWORKDAYS(IF(NOT(ISBLANK(M1828)), M1828, L1828), N1828, Holiday_Dates)
                - IF(IF(NOT(ISBLANK(M1828)), M1828, L1828) = N1828, 0, 1)
            )
        )
    ),
    ""
)</f>
        <v/>
      </c>
      <c r="S1828" s="385" t="str">
        <f>IFERROR(
    IF(
        OR(ISBLANK(N1828), ISBLANK(O1828)),
        "",
        MAX(
            1,
            IF(
                NETWORKDAYS(N1828, O1828, Holiday_Dates) &lt;= 0,
                1,
                NETWORKDAYS(N1828, O1828, Holiday_Dates) - IF(N1828 = O1828, 0, 1)
            )
        )
    ),
    ""
)</f>
        <v/>
      </c>
      <c r="T1828" s="385"/>
      <c r="U1828" s="385" t="s">
        <v>4</v>
      </c>
      <c r="V1828" s="385" t="s">
        <v>101</v>
      </c>
      <c r="W1828" s="385" t="s">
        <v>1436</v>
      </c>
      <c r="X1828" s="1"/>
    </row>
    <row r="1829" spans="1:24">
      <c r="A1829" s="385" t="s">
        <v>49</v>
      </c>
      <c r="B1829" s="385" t="s">
        <v>439</v>
      </c>
      <c r="C1829" s="385" t="s">
        <v>1303</v>
      </c>
      <c r="D1829" s="385" t="s">
        <v>88</v>
      </c>
      <c r="E1829" s="385" t="s">
        <v>377</v>
      </c>
      <c r="F1829" s="385"/>
      <c r="G1829" s="385" t="s">
        <v>128</v>
      </c>
      <c r="H1829" s="385"/>
      <c r="I1829" s="385"/>
      <c r="J1829" s="30"/>
      <c r="K1829" s="385"/>
      <c r="L1829" s="385"/>
      <c r="M1829" s="385"/>
      <c r="N1829" s="385"/>
      <c r="O1829" s="385"/>
      <c r="P1829" s="385" t="str">
        <f>IFERROR(
    IF(
        OR(ISBLANK(I1829), ISBLANK(L1829)),
        "",
        MAX(
            1,
            IF(
                NETWORKDAYS(I1829, L1829, Holiday_Dates) &lt;= 0,
                1,
                NETWORKDAYS(I1829, L1829, Holiday_Dates) - IF(I1829 = L1829, 0, 1)
            )
        )
    ),
    ""
)</f>
        <v/>
      </c>
      <c r="Q1829" s="385" t="str">
        <f>IF(
    OR(ISBLANK(L1829), ISBLANK(M1829)),
    "",
    MAX(
        1,
        IF(
            NETWORKDAYS(L1829, M1829, Holiday_Dates) &lt;= 0,
            1,
            NETWORKDAYS(L1829, M1829, Holiday_Dates) - IF(L1829 = M1829, 0, 1)
        )
    )
)</f>
        <v/>
      </c>
      <c r="R1829" s="385" t="str">
        <f>IFERROR(
    IF(
        OR(ISBLANK(N1829), AND(ISBLANK(L1829), ISBLANK(M1829))),
        "",
        MAX(
            1,
            IF(
                NETWORKDAYS(IF(NOT(ISBLANK(M1829)), M1829, L1829), N1829, Holiday_Dates) &lt;= 0,
                1,
                NETWORKDAYS(IF(NOT(ISBLANK(M1829)), M1829, L1829), N1829, Holiday_Dates)
                - IF(IF(NOT(ISBLANK(M1829)), M1829, L1829) = N1829, 0, 1)
            )
        )
    ),
    ""
)</f>
        <v/>
      </c>
      <c r="S1829" s="385" t="str">
        <f>IFERROR(
    IF(
        OR(ISBLANK(N1829), ISBLANK(O1829)),
        "",
        MAX(
            1,
            IF(
                NETWORKDAYS(N1829, O1829, Holiday_Dates) &lt;= 0,
                1,
                NETWORKDAYS(N1829, O1829, Holiday_Dates) - IF(N1829 = O1829, 0, 1)
            )
        )
    ),
    ""
)</f>
        <v/>
      </c>
      <c r="T1829" s="385"/>
      <c r="U1829" s="385"/>
      <c r="V1829" s="385"/>
      <c r="W1829" s="385" t="s">
        <v>4710</v>
      </c>
      <c r="X1829" s="1"/>
    </row>
    <row r="1830" spans="1:24">
      <c r="A1830" s="385" t="s">
        <v>49</v>
      </c>
      <c r="B1830" s="385" t="s">
        <v>439</v>
      </c>
      <c r="C1830" s="385" t="s">
        <v>2536</v>
      </c>
      <c r="D1830" s="385" t="s">
        <v>88</v>
      </c>
      <c r="E1830" s="385" t="s">
        <v>377</v>
      </c>
      <c r="F1830" s="385"/>
      <c r="G1830" s="385" t="s">
        <v>128</v>
      </c>
      <c r="H1830" s="385"/>
      <c r="I1830" s="385"/>
      <c r="J1830" s="30"/>
      <c r="K1830" s="385"/>
      <c r="L1830" s="385"/>
      <c r="M1830" s="385"/>
      <c r="N1830" s="385"/>
      <c r="O1830" s="385"/>
      <c r="P1830" s="385" t="str">
        <f>IFERROR(
    IF(
        OR(ISBLANK(I1830), ISBLANK(L1830)),
        "",
        MAX(
            1,
            IF(
                NETWORKDAYS(I1830, L1830, Holiday_Dates) &lt;= 0,
                1,
                NETWORKDAYS(I1830, L1830, Holiday_Dates) - IF(I1830 = L1830, 0, 1)
            )
        )
    ),
    ""
)</f>
        <v/>
      </c>
      <c r="Q1830" s="385" t="str">
        <f>IF(
    OR(ISBLANK(L1830), ISBLANK(M1830)),
    "",
    MAX(
        1,
        IF(
            NETWORKDAYS(L1830, M1830, Holiday_Dates) &lt;= 0,
            1,
            NETWORKDAYS(L1830, M1830, Holiday_Dates) - IF(L1830 = M1830, 0, 1)
        )
    )
)</f>
        <v/>
      </c>
      <c r="R1830" s="385" t="str">
        <f>IFERROR(
    IF(
        OR(ISBLANK(N1830), AND(ISBLANK(L1830), ISBLANK(M1830))),
        "",
        MAX(
            1,
            IF(
                NETWORKDAYS(IF(NOT(ISBLANK(M1830)), M1830, L1830), N1830, Holiday_Dates) &lt;= 0,
                1,
                NETWORKDAYS(IF(NOT(ISBLANK(M1830)), M1830, L1830), N1830, Holiday_Dates)
                - IF(IF(NOT(ISBLANK(M1830)), M1830, L1830) = N1830, 0, 1)
            )
        )
    ),
    ""
)</f>
        <v/>
      </c>
      <c r="S1830" s="385" t="str">
        <f>IFERROR(
    IF(
        OR(ISBLANK(N1830), ISBLANK(O1830)),
        "",
        MAX(
            1,
            IF(
                NETWORKDAYS(N1830, O1830, Holiday_Dates) &lt;= 0,
                1,
                NETWORKDAYS(N1830, O1830, Holiday_Dates) - IF(N1830 = O1830, 0, 1)
            )
        )
    ),
    ""
)</f>
        <v/>
      </c>
      <c r="T1830" s="385"/>
      <c r="U1830" s="385"/>
      <c r="V1830" s="385"/>
      <c r="W1830" s="385" t="s">
        <v>4710</v>
      </c>
      <c r="X1830" s="1"/>
    </row>
    <row r="1831" spans="1:24">
      <c r="A1831" s="385" t="s">
        <v>51</v>
      </c>
      <c r="B1831" s="385" t="s">
        <v>1364</v>
      </c>
      <c r="C1831" s="385" t="s">
        <v>3505</v>
      </c>
      <c r="D1831" s="385" t="s">
        <v>88</v>
      </c>
      <c r="E1831" s="385"/>
      <c r="F1831" s="385"/>
      <c r="G1831" s="385"/>
      <c r="H1831" s="385">
        <v>2025</v>
      </c>
      <c r="I1831" s="386">
        <v>45699</v>
      </c>
      <c r="J1831" s="30" t="s">
        <v>5393</v>
      </c>
      <c r="K1831" s="385"/>
      <c r="L1831" s="385"/>
      <c r="M1831" s="385"/>
      <c r="N1831" s="385"/>
      <c r="O1831" s="385"/>
      <c r="P1831" s="385" t="str">
        <f>IFERROR(
    IF(
        OR(ISBLANK(I1831), ISBLANK(L1831)),
        "",
        MAX(
            1,
            IF(
                NETWORKDAYS(I1831, L1831, Holiday_Dates) &lt;= 0,
                1,
                NETWORKDAYS(I1831, L1831, Holiday_Dates) - IF(I1831 = L1831, 0, 1)
            )
        )
    ),
    ""
)</f>
        <v/>
      </c>
      <c r="Q1831" s="385" t="str">
        <f>IF(
    OR(ISBLANK(L1831), ISBLANK(M1831)),
    "",
    MAX(
        1,
        IF(
            NETWORKDAYS(L1831, M1831, Holiday_Dates) &lt;= 0,
            1,
            NETWORKDAYS(L1831, M1831, Holiday_Dates) - IF(L1831 = M1831, 0, 1)
        )
    )
)</f>
        <v/>
      </c>
      <c r="R1831" s="385" t="str">
        <f>IFERROR(
    IF(
        OR(ISBLANK(N1831), AND(ISBLANK(L1831), ISBLANK(M1831))),
        "",
        MAX(
            1,
            IF(
                NETWORKDAYS(IF(NOT(ISBLANK(M1831)), M1831, L1831), N1831, Holiday_Dates) &lt;= 0,
                1,
                NETWORKDAYS(IF(NOT(ISBLANK(M1831)), M1831, L1831), N1831, Holiday_Dates)
                - IF(IF(NOT(ISBLANK(M1831)), M1831, L1831) = N1831, 0, 1)
            )
        )
    ),
    ""
)</f>
        <v/>
      </c>
      <c r="S1831" s="385" t="str">
        <f>IFERROR(
    IF(
        OR(ISBLANK(N1831), ISBLANK(O1831)),
        "",
        MAX(
            1,
            IF(
                NETWORKDAYS(N1831, O1831, Holiday_Dates) &lt;= 0,
                1,
                NETWORKDAYS(N1831, O1831, Holiday_Dates) - IF(N1831 = O1831, 0, 1)
            )
        )
    ),
    ""
)</f>
        <v/>
      </c>
      <c r="T1831" s="385"/>
      <c r="U1831" s="385" t="s">
        <v>4</v>
      </c>
      <c r="V1831" s="385" t="s">
        <v>101</v>
      </c>
      <c r="W1831" s="385" t="s">
        <v>1436</v>
      </c>
      <c r="X1831" s="1"/>
    </row>
    <row r="1832" spans="1:24">
      <c r="A1832" s="385" t="s">
        <v>49</v>
      </c>
      <c r="B1832" s="385" t="s">
        <v>439</v>
      </c>
      <c r="C1832" s="385" t="s">
        <v>2467</v>
      </c>
      <c r="D1832" s="385" t="s">
        <v>88</v>
      </c>
      <c r="E1832" s="385" t="s">
        <v>377</v>
      </c>
      <c r="F1832" s="385"/>
      <c r="G1832" s="385" t="s">
        <v>128</v>
      </c>
      <c r="H1832" s="385"/>
      <c r="I1832" s="385"/>
      <c r="J1832" s="30"/>
      <c r="K1832" s="385"/>
      <c r="L1832" s="385"/>
      <c r="M1832" s="385"/>
      <c r="N1832" s="385"/>
      <c r="O1832" s="385"/>
      <c r="P1832" s="385" t="str">
        <f>IFERROR(
    IF(
        OR(ISBLANK(I1832), ISBLANK(L1832)),
        "",
        MAX(
            1,
            IF(
                NETWORKDAYS(I1832, L1832, Holiday_Dates) &lt;= 0,
                1,
                NETWORKDAYS(I1832, L1832, Holiday_Dates) - IF(I1832 = L1832, 0, 1)
            )
        )
    ),
    ""
)</f>
        <v/>
      </c>
      <c r="Q1832" s="385" t="str">
        <f>IF(
    OR(ISBLANK(L1832), ISBLANK(M1832)),
    "",
    MAX(
        1,
        IF(
            NETWORKDAYS(L1832, M1832, Holiday_Dates) &lt;= 0,
            1,
            NETWORKDAYS(L1832, M1832, Holiday_Dates) - IF(L1832 = M1832, 0, 1)
        )
    )
)</f>
        <v/>
      </c>
      <c r="R1832" s="385" t="str">
        <f>IFERROR(
    IF(
        OR(ISBLANK(N1832), AND(ISBLANK(L1832), ISBLANK(M1832))),
        "",
        MAX(
            1,
            IF(
                NETWORKDAYS(IF(NOT(ISBLANK(M1832)), M1832, L1832), N1832, Holiday_Dates) &lt;= 0,
                1,
                NETWORKDAYS(IF(NOT(ISBLANK(M1832)), M1832, L1832), N1832, Holiday_Dates)
                - IF(IF(NOT(ISBLANK(M1832)), M1832, L1832) = N1832, 0, 1)
            )
        )
    ),
    ""
)</f>
        <v/>
      </c>
      <c r="S1832" s="385" t="str">
        <f>IFERROR(
    IF(
        OR(ISBLANK(N1832), ISBLANK(O1832)),
        "",
        MAX(
            1,
            IF(
                NETWORKDAYS(N1832, O1832, Holiday_Dates) &lt;= 0,
                1,
                NETWORKDAYS(N1832, O1832, Holiday_Dates) - IF(N1832 = O1832, 0, 1)
            )
        )
    ),
    ""
)</f>
        <v/>
      </c>
      <c r="T1832" s="385"/>
      <c r="U1832" s="385"/>
      <c r="V1832" s="385"/>
      <c r="W1832" s="385" t="s">
        <v>4710</v>
      </c>
      <c r="X1832" s="1"/>
    </row>
    <row r="1833" spans="1:24">
      <c r="A1833" s="385" t="s">
        <v>51</v>
      </c>
      <c r="B1833" s="385" t="s">
        <v>1364</v>
      </c>
      <c r="C1833" s="385" t="s">
        <v>427</v>
      </c>
      <c r="D1833" s="385" t="s">
        <v>88</v>
      </c>
      <c r="E1833" s="385"/>
      <c r="F1833" s="385"/>
      <c r="G1833" s="385"/>
      <c r="H1833" s="385">
        <v>2025</v>
      </c>
      <c r="I1833" s="386">
        <v>45790</v>
      </c>
      <c r="J1833" s="30" t="s">
        <v>5394</v>
      </c>
      <c r="K1833" s="385"/>
      <c r="L1833" s="385"/>
      <c r="M1833" s="385"/>
      <c r="N1833" s="385"/>
      <c r="O1833" s="385"/>
      <c r="P1833" s="385" t="str">
        <f>IFERROR(
    IF(
        OR(ISBLANK(I1833), ISBLANK(L1833)),
        "",
        MAX(
            1,
            IF(
                NETWORKDAYS(I1833, L1833, Holiday_Dates) &lt;= 0,
                1,
                NETWORKDAYS(I1833, L1833, Holiday_Dates) - IF(I1833 = L1833, 0, 1)
            )
        )
    ),
    ""
)</f>
        <v/>
      </c>
      <c r="Q1833" s="385" t="str">
        <f>IF(
    OR(ISBLANK(L1833), ISBLANK(M1833)),
    "",
    MAX(
        1,
        IF(
            NETWORKDAYS(L1833, M1833, Holiday_Dates) &lt;= 0,
            1,
            NETWORKDAYS(L1833, M1833, Holiday_Dates) - IF(L1833 = M1833, 0, 1)
        )
    )
)</f>
        <v/>
      </c>
      <c r="R1833" s="385" t="str">
        <f>IFERROR(
    IF(
        OR(ISBLANK(N1833), AND(ISBLANK(L1833), ISBLANK(M1833))),
        "",
        MAX(
            1,
            IF(
                NETWORKDAYS(IF(NOT(ISBLANK(M1833)), M1833, L1833), N1833, Holiday_Dates) &lt;= 0,
                1,
                NETWORKDAYS(IF(NOT(ISBLANK(M1833)), M1833, L1833), N1833, Holiday_Dates)
                - IF(IF(NOT(ISBLANK(M1833)), M1833, L1833) = N1833, 0, 1)
            )
        )
    ),
    ""
)</f>
        <v/>
      </c>
      <c r="S1833" s="385" t="str">
        <f>IFERROR(
    IF(
        OR(ISBLANK(N1833), ISBLANK(O1833)),
        "",
        MAX(
            1,
            IF(
                NETWORKDAYS(N1833, O1833, Holiday_Dates) &lt;= 0,
                1,
                NETWORKDAYS(N1833, O1833, Holiday_Dates) - IF(N1833 = O1833, 0, 1)
            )
        )
    ),
    ""
)</f>
        <v/>
      </c>
      <c r="T1833" s="385"/>
      <c r="U1833" s="385" t="s">
        <v>672</v>
      </c>
      <c r="V1833" s="385" t="s">
        <v>101</v>
      </c>
      <c r="W1833" s="385" t="s">
        <v>1436</v>
      </c>
      <c r="X1833" s="1"/>
    </row>
    <row r="1834" spans="1:24">
      <c r="A1834" s="385" t="s">
        <v>51</v>
      </c>
      <c r="B1834" s="385" t="s">
        <v>1364</v>
      </c>
      <c r="C1834" s="385" t="s">
        <v>717</v>
      </c>
      <c r="D1834" s="385" t="s">
        <v>88</v>
      </c>
      <c r="E1834" s="385"/>
      <c r="F1834" s="385"/>
      <c r="G1834" s="385"/>
      <c r="H1834" s="385">
        <v>2024</v>
      </c>
      <c r="I1834" s="386">
        <v>45575</v>
      </c>
      <c r="J1834" s="30"/>
      <c r="K1834" s="385"/>
      <c r="L1834" s="385"/>
      <c r="M1834" s="385"/>
      <c r="N1834" s="385"/>
      <c r="O1834" s="385"/>
      <c r="P1834" s="385" t="str">
        <f>IFERROR(
    IF(
        OR(ISBLANK(I1834), ISBLANK(L1834)),
        "",
        MAX(
            1,
            IF(
                NETWORKDAYS(I1834, L1834, Holiday_Dates) &lt;= 0,
                1,
                NETWORKDAYS(I1834, L1834, Holiday_Dates) - IF(I1834 = L1834, 0, 1)
            )
        )
    ),
    ""
)</f>
        <v/>
      </c>
      <c r="Q1834" s="385" t="str">
        <f>IF(
    OR(ISBLANK(L1834), ISBLANK(M1834)),
    "",
    MAX(
        1,
        IF(
            NETWORKDAYS(L1834, M1834, Holiday_Dates) &lt;= 0,
            1,
            NETWORKDAYS(L1834, M1834, Holiday_Dates) - IF(L1834 = M1834, 0, 1)
        )
    )
)</f>
        <v/>
      </c>
      <c r="R1834" s="385" t="str">
        <f>IFERROR(
    IF(
        OR(ISBLANK(N1834), AND(ISBLANK(L1834), ISBLANK(M1834))),
        "",
        MAX(
            1,
            IF(
                NETWORKDAYS(IF(NOT(ISBLANK(M1834)), M1834, L1834), N1834, Holiday_Dates) &lt;= 0,
                1,
                NETWORKDAYS(IF(NOT(ISBLANK(M1834)), M1834, L1834), N1834, Holiday_Dates)
                - IF(IF(NOT(ISBLANK(M1834)), M1834, L1834) = N1834, 0, 1)
            )
        )
    ),
    ""
)</f>
        <v/>
      </c>
      <c r="S1834" s="385" t="str">
        <f>IFERROR(
    IF(
        OR(ISBLANK(N1834), ISBLANK(O1834)),
        "",
        MAX(
            1,
            IF(
                NETWORKDAYS(N1834, O1834, Holiday_Dates) &lt;= 0,
                1,
                NETWORKDAYS(N1834, O1834, Holiday_Dates) - IF(N1834 = O1834, 0, 1)
            )
        )
    ),
    ""
)</f>
        <v/>
      </c>
      <c r="T1834" s="385"/>
      <c r="U1834" s="385" t="s">
        <v>4</v>
      </c>
      <c r="V1834" s="385" t="s">
        <v>101</v>
      </c>
      <c r="W1834" s="385" t="s">
        <v>1436</v>
      </c>
      <c r="X1834" s="1"/>
    </row>
    <row r="1835" spans="1:24">
      <c r="A1835" s="385" t="s">
        <v>51</v>
      </c>
      <c r="B1835" s="385" t="s">
        <v>1364</v>
      </c>
      <c r="C1835" s="385" t="s">
        <v>3377</v>
      </c>
      <c r="D1835" s="385" t="s">
        <v>88</v>
      </c>
      <c r="E1835" s="385"/>
      <c r="F1835" s="385"/>
      <c r="G1835" s="385"/>
      <c r="H1835" s="385">
        <v>2024</v>
      </c>
      <c r="I1835" s="386">
        <v>45575</v>
      </c>
      <c r="J1835" s="30"/>
      <c r="K1835" s="385"/>
      <c r="L1835" s="385"/>
      <c r="M1835" s="385"/>
      <c r="N1835" s="385"/>
      <c r="O1835" s="385"/>
      <c r="P1835" s="385" t="str">
        <f>IFERROR(
    IF(
        OR(ISBLANK(I1835), ISBLANK(L1835)),
        "",
        MAX(
            1,
            IF(
                NETWORKDAYS(I1835, L1835, Holiday_Dates) &lt;= 0,
                1,
                NETWORKDAYS(I1835, L1835, Holiday_Dates) - IF(I1835 = L1835, 0, 1)
            )
        )
    ),
    ""
)</f>
        <v/>
      </c>
      <c r="Q1835" s="385" t="str">
        <f>IF(
    OR(ISBLANK(L1835), ISBLANK(M1835)),
    "",
    MAX(
        1,
        IF(
            NETWORKDAYS(L1835, M1835, Holiday_Dates) &lt;= 0,
            1,
            NETWORKDAYS(L1835, M1835, Holiday_Dates) - IF(L1835 = M1835, 0, 1)
        )
    )
)</f>
        <v/>
      </c>
      <c r="R1835" s="385" t="str">
        <f>IFERROR(
    IF(
        OR(ISBLANK(N1835), AND(ISBLANK(L1835), ISBLANK(M1835))),
        "",
        MAX(
            1,
            IF(
                NETWORKDAYS(IF(NOT(ISBLANK(M1835)), M1835, L1835), N1835, Holiday_Dates) &lt;= 0,
                1,
                NETWORKDAYS(IF(NOT(ISBLANK(M1835)), M1835, L1835), N1835, Holiday_Dates)
                - IF(IF(NOT(ISBLANK(M1835)), M1835, L1835) = N1835, 0, 1)
            )
        )
    ),
    ""
)</f>
        <v/>
      </c>
      <c r="S1835" s="385" t="str">
        <f>IFERROR(
    IF(
        OR(ISBLANK(N1835), ISBLANK(O1835)),
        "",
        MAX(
            1,
            IF(
                NETWORKDAYS(N1835, O1835, Holiday_Dates) &lt;= 0,
                1,
                NETWORKDAYS(N1835, O1835, Holiday_Dates) - IF(N1835 = O1835, 0, 1)
            )
        )
    ),
    ""
)</f>
        <v/>
      </c>
      <c r="T1835" s="385"/>
      <c r="U1835" s="385" t="s">
        <v>672</v>
      </c>
      <c r="V1835" s="385" t="s">
        <v>101</v>
      </c>
      <c r="W1835" s="385" t="s">
        <v>1436</v>
      </c>
      <c r="X1835" s="1"/>
    </row>
    <row r="1836" spans="1:24">
      <c r="A1836" s="385" t="s">
        <v>49</v>
      </c>
      <c r="B1836" s="385" t="s">
        <v>439</v>
      </c>
      <c r="C1836" s="385" t="s">
        <v>2542</v>
      </c>
      <c r="D1836" s="385" t="s">
        <v>88</v>
      </c>
      <c r="E1836" s="385" t="s">
        <v>377</v>
      </c>
      <c r="F1836" s="385"/>
      <c r="G1836" s="385" t="s">
        <v>128</v>
      </c>
      <c r="H1836" s="385"/>
      <c r="I1836" s="385"/>
      <c r="J1836" s="30"/>
      <c r="K1836" s="385"/>
      <c r="L1836" s="385"/>
      <c r="M1836" s="385"/>
      <c r="N1836" s="385"/>
      <c r="O1836" s="385"/>
      <c r="P1836" s="385" t="str">
        <f>IFERROR(
    IF(
        OR(ISBLANK(I1836), ISBLANK(L1836)),
        "",
        MAX(
            1,
            IF(
                NETWORKDAYS(I1836, L1836, Holiday_Dates) &lt;= 0,
                1,
                NETWORKDAYS(I1836, L1836, Holiday_Dates) - IF(I1836 = L1836, 0, 1)
            )
        )
    ),
    ""
)</f>
        <v/>
      </c>
      <c r="Q1836" s="385" t="str">
        <f>IF(
    OR(ISBLANK(L1836), ISBLANK(M1836)),
    "",
    MAX(
        1,
        IF(
            NETWORKDAYS(L1836, M1836, Holiday_Dates) &lt;= 0,
            1,
            NETWORKDAYS(L1836, M1836, Holiday_Dates) - IF(L1836 = M1836, 0, 1)
        )
    )
)</f>
        <v/>
      </c>
      <c r="R1836" s="385" t="str">
        <f>IFERROR(
    IF(
        OR(ISBLANK(N1836), AND(ISBLANK(L1836), ISBLANK(M1836))),
        "",
        MAX(
            1,
            IF(
                NETWORKDAYS(IF(NOT(ISBLANK(M1836)), M1836, L1836), N1836, Holiday_Dates) &lt;= 0,
                1,
                NETWORKDAYS(IF(NOT(ISBLANK(M1836)), M1836, L1836), N1836, Holiday_Dates)
                - IF(IF(NOT(ISBLANK(M1836)), M1836, L1836) = N1836, 0, 1)
            )
        )
    ),
    ""
)</f>
        <v/>
      </c>
      <c r="S1836" s="385" t="str">
        <f>IFERROR(
    IF(
        OR(ISBLANK(N1836), ISBLANK(O1836)),
        "",
        MAX(
            1,
            IF(
                NETWORKDAYS(N1836, O1836, Holiday_Dates) &lt;= 0,
                1,
                NETWORKDAYS(N1836, O1836, Holiday_Dates) - IF(N1836 = O1836, 0, 1)
            )
        )
    ),
    ""
)</f>
        <v/>
      </c>
      <c r="T1836" s="385"/>
      <c r="U1836" s="385"/>
      <c r="V1836" s="385"/>
      <c r="W1836" s="385" t="s">
        <v>4710</v>
      </c>
      <c r="X1836" s="1"/>
    </row>
    <row r="1837" spans="1:24">
      <c r="A1837" s="385" t="s">
        <v>51</v>
      </c>
      <c r="B1837" s="385" t="s">
        <v>1364</v>
      </c>
      <c r="C1837" s="385" t="s">
        <v>2236</v>
      </c>
      <c r="D1837" s="385" t="s">
        <v>88</v>
      </c>
      <c r="E1837" s="385"/>
      <c r="F1837" s="385"/>
      <c r="G1837" s="385"/>
      <c r="H1837" s="385">
        <v>2024</v>
      </c>
      <c r="I1837" s="386">
        <v>45546</v>
      </c>
      <c r="J1837" s="30"/>
      <c r="K1837" s="385"/>
      <c r="L1837" s="385"/>
      <c r="M1837" s="385"/>
      <c r="N1837" s="385"/>
      <c r="O1837" s="385"/>
      <c r="P1837" s="385" t="str">
        <f>IFERROR(
    IF(
        OR(ISBLANK(I1837), ISBLANK(L1837)),
        "",
        MAX(
            1,
            IF(
                NETWORKDAYS(I1837, L1837, Holiday_Dates) &lt;= 0,
                1,
                NETWORKDAYS(I1837, L1837, Holiday_Dates) - IF(I1837 = L1837, 0, 1)
            )
        )
    ),
    ""
)</f>
        <v/>
      </c>
      <c r="Q1837" s="385" t="str">
        <f>IF(
    OR(ISBLANK(L1837), ISBLANK(M1837)),
    "",
    MAX(
        1,
        IF(
            NETWORKDAYS(L1837, M1837, Holiday_Dates) &lt;= 0,
            1,
            NETWORKDAYS(L1837, M1837, Holiday_Dates) - IF(L1837 = M1837, 0, 1)
        )
    )
)</f>
        <v/>
      </c>
      <c r="R1837" s="385" t="str">
        <f>IFERROR(
    IF(
        OR(ISBLANK(N1837), AND(ISBLANK(L1837), ISBLANK(M1837))),
        "",
        MAX(
            1,
            IF(
                NETWORKDAYS(IF(NOT(ISBLANK(M1837)), M1837, L1837), N1837, Holiday_Dates) &lt;= 0,
                1,
                NETWORKDAYS(IF(NOT(ISBLANK(M1837)), M1837, L1837), N1837, Holiday_Dates)
                - IF(IF(NOT(ISBLANK(M1837)), M1837, L1837) = N1837, 0, 1)
            )
        )
    ),
    ""
)</f>
        <v/>
      </c>
      <c r="S1837" s="385" t="str">
        <f>IFERROR(
    IF(
        OR(ISBLANK(N1837), ISBLANK(O1837)),
        "",
        MAX(
            1,
            IF(
                NETWORKDAYS(N1837, O1837, Holiday_Dates) &lt;= 0,
                1,
                NETWORKDAYS(N1837, O1837, Holiday_Dates) - IF(N1837 = O1837, 0, 1)
            )
        )
    ),
    ""
)</f>
        <v/>
      </c>
      <c r="T1837" s="385"/>
      <c r="U1837" s="385" t="s">
        <v>4</v>
      </c>
      <c r="V1837" s="385" t="s">
        <v>101</v>
      </c>
      <c r="W1837" s="385" t="s">
        <v>1436</v>
      </c>
      <c r="X1837" s="1"/>
    </row>
    <row r="1838" spans="1:24">
      <c r="A1838" s="385" t="s">
        <v>51</v>
      </c>
      <c r="B1838" s="385" t="s">
        <v>1364</v>
      </c>
      <c r="C1838" s="385" t="s">
        <v>526</v>
      </c>
      <c r="D1838" s="385" t="s">
        <v>88</v>
      </c>
      <c r="E1838" s="385"/>
      <c r="F1838" s="385"/>
      <c r="G1838" s="385"/>
      <c r="H1838" s="385">
        <v>2025</v>
      </c>
      <c r="I1838" s="386">
        <v>45819</v>
      </c>
      <c r="J1838" s="30" t="s">
        <v>5395</v>
      </c>
      <c r="K1838" s="385"/>
      <c r="L1838" s="385"/>
      <c r="M1838" s="385"/>
      <c r="N1838" s="385"/>
      <c r="O1838" s="385"/>
      <c r="P1838" s="385" t="str">
        <f>IFERROR(
    IF(
        OR(ISBLANK(I1838), ISBLANK(L1838)),
        "",
        MAX(
            1,
            IF(
                NETWORKDAYS(I1838, L1838, Holiday_Dates) &lt;= 0,
                1,
                NETWORKDAYS(I1838, L1838, Holiday_Dates) - IF(I1838 = L1838, 0, 1)
            )
        )
    ),
    ""
)</f>
        <v/>
      </c>
      <c r="Q1838" s="385" t="str">
        <f>IF(
    OR(ISBLANK(L1838), ISBLANK(M1838)),
    "",
    MAX(
        1,
        IF(
            NETWORKDAYS(L1838, M1838, Holiday_Dates) &lt;= 0,
            1,
            NETWORKDAYS(L1838, M1838, Holiday_Dates) - IF(L1838 = M1838, 0, 1)
        )
    )
)</f>
        <v/>
      </c>
      <c r="R1838" s="385" t="str">
        <f>IFERROR(
    IF(
        OR(ISBLANK(N1838), AND(ISBLANK(L1838), ISBLANK(M1838))),
        "",
        MAX(
            1,
            IF(
                NETWORKDAYS(IF(NOT(ISBLANK(M1838)), M1838, L1838), N1838, Holiday_Dates) &lt;= 0,
                1,
                NETWORKDAYS(IF(NOT(ISBLANK(M1838)), M1838, L1838), N1838, Holiday_Dates)
                - IF(IF(NOT(ISBLANK(M1838)), M1838, L1838) = N1838, 0, 1)
            )
        )
    ),
    ""
)</f>
        <v/>
      </c>
      <c r="S1838" s="385" t="str">
        <f>IFERROR(
    IF(
        OR(ISBLANK(N1838), ISBLANK(O1838)),
        "",
        MAX(
            1,
            IF(
                NETWORKDAYS(N1838, O1838, Holiday_Dates) &lt;= 0,
                1,
                NETWORKDAYS(N1838, O1838, Holiday_Dates) - IF(N1838 = O1838, 0, 1)
            )
        )
    ),
    ""
)</f>
        <v/>
      </c>
      <c r="T1838" s="385"/>
      <c r="U1838" s="385" t="s">
        <v>4</v>
      </c>
      <c r="V1838" s="385" t="s">
        <v>101</v>
      </c>
      <c r="W1838" s="385" t="s">
        <v>1436</v>
      </c>
      <c r="X1838" s="1"/>
    </row>
    <row r="1839" spans="1:24">
      <c r="A1839" s="385" t="s">
        <v>49</v>
      </c>
      <c r="B1839" s="385" t="s">
        <v>439</v>
      </c>
      <c r="C1839" s="385" t="s">
        <v>2543</v>
      </c>
      <c r="D1839" s="385" t="s">
        <v>88</v>
      </c>
      <c r="E1839" s="385" t="s">
        <v>377</v>
      </c>
      <c r="F1839" s="385"/>
      <c r="G1839" s="385" t="s">
        <v>128</v>
      </c>
      <c r="H1839" s="385"/>
      <c r="I1839" s="385"/>
      <c r="J1839" s="30"/>
      <c r="K1839" s="385"/>
      <c r="L1839" s="385"/>
      <c r="M1839" s="385"/>
      <c r="N1839" s="385"/>
      <c r="O1839" s="385"/>
      <c r="P1839" s="385" t="str">
        <f>IFERROR(
    IF(
        OR(ISBLANK(I1839), ISBLANK(L1839)),
        "",
        MAX(
            1,
            IF(
                NETWORKDAYS(I1839, L1839, Holiday_Dates) &lt;= 0,
                1,
                NETWORKDAYS(I1839, L1839, Holiday_Dates) - IF(I1839 = L1839, 0, 1)
            )
        )
    ),
    ""
)</f>
        <v/>
      </c>
      <c r="Q1839" s="385" t="str">
        <f>IF(
    OR(ISBLANK(L1839), ISBLANK(M1839)),
    "",
    MAX(
        1,
        IF(
            NETWORKDAYS(L1839, M1839, Holiday_Dates) &lt;= 0,
            1,
            NETWORKDAYS(L1839, M1839, Holiday_Dates) - IF(L1839 = M1839, 0, 1)
        )
    )
)</f>
        <v/>
      </c>
      <c r="R1839" s="385" t="str">
        <f>IFERROR(
    IF(
        OR(ISBLANK(N1839), AND(ISBLANK(L1839), ISBLANK(M1839))),
        "",
        MAX(
            1,
            IF(
                NETWORKDAYS(IF(NOT(ISBLANK(M1839)), M1839, L1839), N1839, Holiday_Dates) &lt;= 0,
                1,
                NETWORKDAYS(IF(NOT(ISBLANK(M1839)), M1839, L1839), N1839, Holiday_Dates)
                - IF(IF(NOT(ISBLANK(M1839)), M1839, L1839) = N1839, 0, 1)
            )
        )
    ),
    ""
)</f>
        <v/>
      </c>
      <c r="S1839" s="385" t="str">
        <f>IFERROR(
    IF(
        OR(ISBLANK(N1839), ISBLANK(O1839)),
        "",
        MAX(
            1,
            IF(
                NETWORKDAYS(N1839, O1839, Holiday_Dates) &lt;= 0,
                1,
                NETWORKDAYS(N1839, O1839, Holiday_Dates) - IF(N1839 = O1839, 0, 1)
            )
        )
    ),
    ""
)</f>
        <v/>
      </c>
      <c r="T1839" s="385"/>
      <c r="U1839" s="385"/>
      <c r="V1839" s="385"/>
      <c r="W1839" s="385" t="s">
        <v>4710</v>
      </c>
      <c r="X1839" s="1"/>
    </row>
    <row r="1840" spans="1:24">
      <c r="A1840" s="385" t="s">
        <v>51</v>
      </c>
      <c r="B1840" s="385" t="s">
        <v>1364</v>
      </c>
      <c r="C1840" s="385" t="s">
        <v>3511</v>
      </c>
      <c r="D1840" s="385" t="s">
        <v>88</v>
      </c>
      <c r="E1840" s="385"/>
      <c r="F1840" s="385"/>
      <c r="G1840" s="385"/>
      <c r="H1840" s="385">
        <v>2024</v>
      </c>
      <c r="I1840" s="386">
        <v>45505</v>
      </c>
      <c r="J1840" s="30"/>
      <c r="K1840" s="385"/>
      <c r="L1840" s="385"/>
      <c r="M1840" s="385"/>
      <c r="N1840" s="385"/>
      <c r="O1840" s="385"/>
      <c r="P1840" s="385" t="str">
        <f>IFERROR(
    IF(
        OR(ISBLANK(I1840), ISBLANK(L1840)),
        "",
        MAX(
            1,
            IF(
                NETWORKDAYS(I1840, L1840, Holiday_Dates) &lt;= 0,
                1,
                NETWORKDAYS(I1840, L1840, Holiday_Dates) - IF(I1840 = L1840, 0, 1)
            )
        )
    ),
    ""
)</f>
        <v/>
      </c>
      <c r="Q1840" s="385" t="str">
        <f>IF(
    OR(ISBLANK(L1840), ISBLANK(M1840)),
    "",
    MAX(
        1,
        IF(
            NETWORKDAYS(L1840, M1840, Holiday_Dates) &lt;= 0,
            1,
            NETWORKDAYS(L1840, M1840, Holiday_Dates) - IF(L1840 = M1840, 0, 1)
        )
    )
)</f>
        <v/>
      </c>
      <c r="R1840" s="385" t="str">
        <f>IFERROR(
    IF(
        OR(ISBLANK(N1840), AND(ISBLANK(L1840), ISBLANK(M1840))),
        "",
        MAX(
            1,
            IF(
                NETWORKDAYS(IF(NOT(ISBLANK(M1840)), M1840, L1840), N1840, Holiday_Dates) &lt;= 0,
                1,
                NETWORKDAYS(IF(NOT(ISBLANK(M1840)), M1840, L1840), N1840, Holiday_Dates)
                - IF(IF(NOT(ISBLANK(M1840)), M1840, L1840) = N1840, 0, 1)
            )
        )
    ),
    ""
)</f>
        <v/>
      </c>
      <c r="S1840" s="385" t="str">
        <f>IFERROR(
    IF(
        OR(ISBLANK(N1840), ISBLANK(O1840)),
        "",
        MAX(
            1,
            IF(
                NETWORKDAYS(N1840, O1840, Holiday_Dates) &lt;= 0,
                1,
                NETWORKDAYS(N1840, O1840, Holiday_Dates) - IF(N1840 = O1840, 0, 1)
            )
        )
    ),
    ""
)</f>
        <v/>
      </c>
      <c r="T1840" s="385"/>
      <c r="U1840" s="385" t="s">
        <v>4</v>
      </c>
      <c r="V1840" s="385" t="s">
        <v>108</v>
      </c>
      <c r="W1840" s="385" t="s">
        <v>1436</v>
      </c>
      <c r="X1840" s="1"/>
    </row>
    <row r="1841" spans="1:24">
      <c r="A1841" s="385" t="s">
        <v>49</v>
      </c>
      <c r="B1841" s="385" t="s">
        <v>439</v>
      </c>
      <c r="C1841" s="385" t="s">
        <v>2544</v>
      </c>
      <c r="D1841" s="385" t="s">
        <v>88</v>
      </c>
      <c r="E1841" s="385" t="s">
        <v>377</v>
      </c>
      <c r="F1841" s="385"/>
      <c r="G1841" s="385" t="s">
        <v>128</v>
      </c>
      <c r="H1841" s="385"/>
      <c r="I1841" s="385"/>
      <c r="J1841" s="30"/>
      <c r="K1841" s="385"/>
      <c r="L1841" s="385"/>
      <c r="M1841" s="385"/>
      <c r="N1841" s="385"/>
      <c r="O1841" s="385"/>
      <c r="P1841" s="385" t="str">
        <f>IFERROR(
    IF(
        OR(ISBLANK(I1841), ISBLANK(L1841)),
        "",
        MAX(
            1,
            IF(
                NETWORKDAYS(I1841, L1841, Holiday_Dates) &lt;= 0,
                1,
                NETWORKDAYS(I1841, L1841, Holiday_Dates) - IF(I1841 = L1841, 0, 1)
            )
        )
    ),
    ""
)</f>
        <v/>
      </c>
      <c r="Q1841" s="385" t="str">
        <f>IF(
    OR(ISBLANK(L1841), ISBLANK(M1841)),
    "",
    MAX(
        1,
        IF(
            NETWORKDAYS(L1841, M1841, Holiday_Dates) &lt;= 0,
            1,
            NETWORKDAYS(L1841, M1841, Holiday_Dates) - IF(L1841 = M1841, 0, 1)
        )
    )
)</f>
        <v/>
      </c>
      <c r="R1841" s="385" t="str">
        <f>IFERROR(
    IF(
        OR(ISBLANK(N1841), AND(ISBLANK(L1841), ISBLANK(M1841))),
        "",
        MAX(
            1,
            IF(
                NETWORKDAYS(IF(NOT(ISBLANK(M1841)), M1841, L1841), N1841, Holiday_Dates) &lt;= 0,
                1,
                NETWORKDAYS(IF(NOT(ISBLANK(M1841)), M1841, L1841), N1841, Holiday_Dates)
                - IF(IF(NOT(ISBLANK(M1841)), M1841, L1841) = N1841, 0, 1)
            )
        )
    ),
    ""
)</f>
        <v/>
      </c>
      <c r="S1841" s="385" t="str">
        <f>IFERROR(
    IF(
        OR(ISBLANK(N1841), ISBLANK(O1841)),
        "",
        MAX(
            1,
            IF(
                NETWORKDAYS(N1841, O1841, Holiday_Dates) &lt;= 0,
                1,
                NETWORKDAYS(N1841, O1841, Holiday_Dates) - IF(N1841 = O1841, 0, 1)
            )
        )
    ),
    ""
)</f>
        <v/>
      </c>
      <c r="T1841" s="385"/>
      <c r="U1841" s="385"/>
      <c r="V1841" s="385"/>
      <c r="W1841" s="385" t="s">
        <v>4710</v>
      </c>
      <c r="X1841" s="1"/>
    </row>
    <row r="1842" spans="1:24">
      <c r="A1842" s="385" t="s">
        <v>49</v>
      </c>
      <c r="B1842" s="385" t="s">
        <v>439</v>
      </c>
      <c r="C1842" s="385" t="s">
        <v>2550</v>
      </c>
      <c r="D1842" s="385" t="s">
        <v>88</v>
      </c>
      <c r="E1842" s="385" t="s">
        <v>377</v>
      </c>
      <c r="F1842" s="385"/>
      <c r="G1842" s="385" t="s">
        <v>128</v>
      </c>
      <c r="H1842" s="385"/>
      <c r="I1842" s="385"/>
      <c r="J1842" s="30"/>
      <c r="K1842" s="385"/>
      <c r="L1842" s="385"/>
      <c r="M1842" s="385"/>
      <c r="N1842" s="385"/>
      <c r="O1842" s="385"/>
      <c r="P1842" s="385" t="str">
        <f>IFERROR(
    IF(
        OR(ISBLANK(I1842), ISBLANK(L1842)),
        "",
        MAX(
            1,
            IF(
                NETWORKDAYS(I1842, L1842, Holiday_Dates) &lt;= 0,
                1,
                NETWORKDAYS(I1842, L1842, Holiday_Dates) - IF(I1842 = L1842, 0, 1)
            )
        )
    ),
    ""
)</f>
        <v/>
      </c>
      <c r="Q1842" s="385" t="str">
        <f>IF(
    OR(ISBLANK(L1842), ISBLANK(M1842)),
    "",
    MAX(
        1,
        IF(
            NETWORKDAYS(L1842, M1842, Holiday_Dates) &lt;= 0,
            1,
            NETWORKDAYS(L1842, M1842, Holiday_Dates) - IF(L1842 = M1842, 0, 1)
        )
    )
)</f>
        <v/>
      </c>
      <c r="R1842" s="385" t="str">
        <f>IFERROR(
    IF(
        OR(ISBLANK(N1842), AND(ISBLANK(L1842), ISBLANK(M1842))),
        "",
        MAX(
            1,
            IF(
                NETWORKDAYS(IF(NOT(ISBLANK(M1842)), M1842, L1842), N1842, Holiday_Dates) &lt;= 0,
                1,
                NETWORKDAYS(IF(NOT(ISBLANK(M1842)), M1842, L1842), N1842, Holiday_Dates)
                - IF(IF(NOT(ISBLANK(M1842)), M1842, L1842) = N1842, 0, 1)
            )
        )
    ),
    ""
)</f>
        <v/>
      </c>
      <c r="S1842" s="385" t="str">
        <f>IFERROR(
    IF(
        OR(ISBLANK(N1842), ISBLANK(O1842)),
        "",
        MAX(
            1,
            IF(
                NETWORKDAYS(N1842, O1842, Holiday_Dates) &lt;= 0,
                1,
                NETWORKDAYS(N1842, O1842, Holiday_Dates) - IF(N1842 = O1842, 0, 1)
            )
        )
    ),
    ""
)</f>
        <v/>
      </c>
      <c r="T1842" s="385"/>
      <c r="U1842" s="385"/>
      <c r="V1842" s="385"/>
      <c r="W1842" s="385" t="s">
        <v>4710</v>
      </c>
      <c r="X1842" s="1"/>
    </row>
    <row r="1843" spans="1:24">
      <c r="A1843" s="385" t="s">
        <v>49</v>
      </c>
      <c r="B1843" s="385" t="s">
        <v>439</v>
      </c>
      <c r="C1843" s="385" t="s">
        <v>2572</v>
      </c>
      <c r="D1843" s="385" t="s">
        <v>88</v>
      </c>
      <c r="E1843" s="385" t="s">
        <v>377</v>
      </c>
      <c r="F1843" s="385"/>
      <c r="G1843" s="385" t="s">
        <v>128</v>
      </c>
      <c r="H1843" s="385"/>
      <c r="I1843" s="385"/>
      <c r="J1843" s="30"/>
      <c r="K1843" s="385"/>
      <c r="L1843" s="385"/>
      <c r="M1843" s="385"/>
      <c r="N1843" s="385"/>
      <c r="O1843" s="385"/>
      <c r="P1843" s="385" t="str">
        <f>IFERROR(
    IF(
        OR(ISBLANK(I1843), ISBLANK(L1843)),
        "",
        MAX(
            1,
            IF(
                NETWORKDAYS(I1843, L1843, Holiday_Dates) &lt;= 0,
                1,
                NETWORKDAYS(I1843, L1843, Holiday_Dates) - IF(I1843 = L1843, 0, 1)
            )
        )
    ),
    ""
)</f>
        <v/>
      </c>
      <c r="Q1843" s="385" t="str">
        <f>IF(
    OR(ISBLANK(L1843), ISBLANK(M1843)),
    "",
    MAX(
        1,
        IF(
            NETWORKDAYS(L1843, M1843, Holiday_Dates) &lt;= 0,
            1,
            NETWORKDAYS(L1843, M1843, Holiday_Dates) - IF(L1843 = M1843, 0, 1)
        )
    )
)</f>
        <v/>
      </c>
      <c r="R1843" s="385" t="str">
        <f>IFERROR(
    IF(
        OR(ISBLANK(N1843), AND(ISBLANK(L1843), ISBLANK(M1843))),
        "",
        MAX(
            1,
            IF(
                NETWORKDAYS(IF(NOT(ISBLANK(M1843)), M1843, L1843), N1843, Holiday_Dates) &lt;= 0,
                1,
                NETWORKDAYS(IF(NOT(ISBLANK(M1843)), M1843, L1843), N1843, Holiday_Dates)
                - IF(IF(NOT(ISBLANK(M1843)), M1843, L1843) = N1843, 0, 1)
            )
        )
    ),
    ""
)</f>
        <v/>
      </c>
      <c r="S1843" s="385" t="str">
        <f>IFERROR(
    IF(
        OR(ISBLANK(N1843), ISBLANK(O1843)),
        "",
        MAX(
            1,
            IF(
                NETWORKDAYS(N1843, O1843, Holiday_Dates) &lt;= 0,
                1,
                NETWORKDAYS(N1843, O1843, Holiday_Dates) - IF(N1843 = O1843, 0, 1)
            )
        )
    ),
    ""
)</f>
        <v/>
      </c>
      <c r="T1843" s="385"/>
      <c r="U1843" s="385"/>
      <c r="V1843" s="385"/>
      <c r="W1843" s="385" t="s">
        <v>4710</v>
      </c>
      <c r="X1843" s="1"/>
    </row>
    <row r="1844" spans="1:24">
      <c r="A1844" s="385" t="s">
        <v>51</v>
      </c>
      <c r="B1844" s="385" t="s">
        <v>351</v>
      </c>
      <c r="C1844" s="385" t="s">
        <v>3519</v>
      </c>
      <c r="D1844" s="385" t="s">
        <v>88</v>
      </c>
      <c r="E1844" s="385"/>
      <c r="F1844" s="385"/>
      <c r="G1844" s="385"/>
      <c r="H1844" s="385">
        <v>2025</v>
      </c>
      <c r="I1844" s="386">
        <v>45757</v>
      </c>
      <c r="J1844" s="30" t="s">
        <v>5396</v>
      </c>
      <c r="K1844" s="385"/>
      <c r="L1844" s="385"/>
      <c r="M1844" s="385"/>
      <c r="N1844" s="385"/>
      <c r="O1844" s="385"/>
      <c r="P1844" s="385" t="str">
        <f>IFERROR(
    IF(
        OR(ISBLANK(I1844), ISBLANK(L1844)),
        "",
        MAX(
            1,
            IF(
                NETWORKDAYS(I1844, L1844, Holiday_Dates) &lt;= 0,
                1,
                NETWORKDAYS(I1844, L1844, Holiday_Dates) - IF(I1844 = L1844, 0, 1)
            )
        )
    ),
    ""
)</f>
        <v/>
      </c>
      <c r="Q1844" s="385" t="str">
        <f>IF(
    OR(ISBLANK(L1844), ISBLANK(M1844)),
    "",
    MAX(
        1,
        IF(
            NETWORKDAYS(L1844, M1844, Holiday_Dates) &lt;= 0,
            1,
            NETWORKDAYS(L1844, M1844, Holiday_Dates) - IF(L1844 = M1844, 0, 1)
        )
    )
)</f>
        <v/>
      </c>
      <c r="R1844" s="385" t="str">
        <f>IFERROR(
    IF(
        OR(ISBLANK(N1844), AND(ISBLANK(L1844), ISBLANK(M1844))),
        "",
        MAX(
            1,
            IF(
                NETWORKDAYS(IF(NOT(ISBLANK(M1844)), M1844, L1844), N1844, Holiday_Dates) &lt;= 0,
                1,
                NETWORKDAYS(IF(NOT(ISBLANK(M1844)), M1844, L1844), N1844, Holiday_Dates)
                - IF(IF(NOT(ISBLANK(M1844)), M1844, L1844) = N1844, 0, 1)
            )
        )
    ),
    ""
)</f>
        <v/>
      </c>
      <c r="S1844" s="385" t="str">
        <f>IFERROR(
    IF(
        OR(ISBLANK(N1844), ISBLANK(O1844)),
        "",
        MAX(
            1,
            IF(
                NETWORKDAYS(N1844, O1844, Holiday_Dates) &lt;= 0,
                1,
                NETWORKDAYS(N1844, O1844, Holiday_Dates) - IF(N1844 = O1844, 0, 1)
            )
        )
    ),
    ""
)</f>
        <v/>
      </c>
      <c r="T1844" s="385"/>
      <c r="U1844" s="385" t="s">
        <v>672</v>
      </c>
      <c r="V1844" s="385" t="s">
        <v>1676</v>
      </c>
      <c r="W1844" s="385" t="s">
        <v>1436</v>
      </c>
      <c r="X1844" s="1"/>
    </row>
    <row r="1845" spans="1:24">
      <c r="A1845" s="385" t="s">
        <v>51</v>
      </c>
      <c r="B1845" s="385" t="s">
        <v>351</v>
      </c>
      <c r="C1845" s="385" t="s">
        <v>3520</v>
      </c>
      <c r="D1845" s="385" t="s">
        <v>88</v>
      </c>
      <c r="E1845" s="385"/>
      <c r="F1845" s="385"/>
      <c r="G1845" s="385"/>
      <c r="H1845" s="385">
        <v>2025</v>
      </c>
      <c r="I1845" s="386">
        <v>45757</v>
      </c>
      <c r="J1845" s="30" t="s">
        <v>5397</v>
      </c>
      <c r="K1845" s="385"/>
      <c r="L1845" s="385"/>
      <c r="M1845" s="385"/>
      <c r="N1845" s="385"/>
      <c r="O1845" s="385"/>
      <c r="P1845" s="385" t="str">
        <f>IFERROR(
    IF(
        OR(ISBLANK(I1845), ISBLANK(L1845)),
        "",
        MAX(
            1,
            IF(
                NETWORKDAYS(I1845, L1845, Holiday_Dates) &lt;= 0,
                1,
                NETWORKDAYS(I1845, L1845, Holiday_Dates) - IF(I1845 = L1845, 0, 1)
            )
        )
    ),
    ""
)</f>
        <v/>
      </c>
      <c r="Q1845" s="385" t="str">
        <f>IF(
    OR(ISBLANK(L1845), ISBLANK(M1845)),
    "",
    MAX(
        1,
        IF(
            NETWORKDAYS(L1845, M1845, Holiday_Dates) &lt;= 0,
            1,
            NETWORKDAYS(L1845, M1845, Holiday_Dates) - IF(L1845 = M1845, 0, 1)
        )
    )
)</f>
        <v/>
      </c>
      <c r="R1845" s="385" t="str">
        <f>IFERROR(
    IF(
        OR(ISBLANK(N1845), AND(ISBLANK(L1845), ISBLANK(M1845))),
        "",
        MAX(
            1,
            IF(
                NETWORKDAYS(IF(NOT(ISBLANK(M1845)), M1845, L1845), N1845, Holiday_Dates) &lt;= 0,
                1,
                NETWORKDAYS(IF(NOT(ISBLANK(M1845)), M1845, L1845), N1845, Holiday_Dates)
                - IF(IF(NOT(ISBLANK(M1845)), M1845, L1845) = N1845, 0, 1)
            )
        )
    ),
    ""
)</f>
        <v/>
      </c>
      <c r="S1845" s="385" t="str">
        <f>IFERROR(
    IF(
        OR(ISBLANK(N1845), ISBLANK(O1845)),
        "",
        MAX(
            1,
            IF(
                NETWORKDAYS(N1845, O1845, Holiday_Dates) &lt;= 0,
                1,
                NETWORKDAYS(N1845, O1845, Holiday_Dates) - IF(N1845 = O1845, 0, 1)
            )
        )
    ),
    ""
)</f>
        <v/>
      </c>
      <c r="T1845" s="385"/>
      <c r="U1845" s="385" t="s">
        <v>672</v>
      </c>
      <c r="V1845" s="385" t="s">
        <v>1676</v>
      </c>
      <c r="W1845" s="385" t="s">
        <v>1436</v>
      </c>
      <c r="X1845" s="1"/>
    </row>
    <row r="1846" spans="1:24">
      <c r="A1846" s="385" t="s">
        <v>51</v>
      </c>
      <c r="B1846" s="385" t="s">
        <v>351</v>
      </c>
      <c r="C1846" s="385" t="s">
        <v>3521</v>
      </c>
      <c r="D1846" s="385" t="s">
        <v>88</v>
      </c>
      <c r="E1846" s="385"/>
      <c r="F1846" s="385"/>
      <c r="G1846" s="385"/>
      <c r="H1846" s="385">
        <v>2025</v>
      </c>
      <c r="I1846" s="386">
        <v>45701</v>
      </c>
      <c r="J1846" s="30" t="s">
        <v>5398</v>
      </c>
      <c r="K1846" s="385"/>
      <c r="L1846" s="385"/>
      <c r="M1846" s="385"/>
      <c r="N1846" s="385"/>
      <c r="O1846" s="385"/>
      <c r="P1846" s="385" t="str">
        <f>IFERROR(
    IF(
        OR(ISBLANK(I1846), ISBLANK(L1846)),
        "",
        MAX(
            1,
            IF(
                NETWORKDAYS(I1846, L1846, Holiday_Dates) &lt;= 0,
                1,
                NETWORKDAYS(I1846, L1846, Holiday_Dates) - IF(I1846 = L1846, 0, 1)
            )
        )
    ),
    ""
)</f>
        <v/>
      </c>
      <c r="Q1846" s="385" t="str">
        <f>IF(
    OR(ISBLANK(L1846), ISBLANK(M1846)),
    "",
    MAX(
        1,
        IF(
            NETWORKDAYS(L1846, M1846, Holiday_Dates) &lt;= 0,
            1,
            NETWORKDAYS(L1846, M1846, Holiday_Dates) - IF(L1846 = M1846, 0, 1)
        )
    )
)</f>
        <v/>
      </c>
      <c r="R1846" s="385" t="str">
        <f>IFERROR(
    IF(
        OR(ISBLANK(N1846), AND(ISBLANK(L1846), ISBLANK(M1846))),
        "",
        MAX(
            1,
            IF(
                NETWORKDAYS(IF(NOT(ISBLANK(M1846)), M1846, L1846), N1846, Holiday_Dates) &lt;= 0,
                1,
                NETWORKDAYS(IF(NOT(ISBLANK(M1846)), M1846, L1846), N1846, Holiday_Dates)
                - IF(IF(NOT(ISBLANK(M1846)), M1846, L1846) = N1846, 0, 1)
            )
        )
    ),
    ""
)</f>
        <v/>
      </c>
      <c r="S1846" s="385" t="str">
        <f>IFERROR(
    IF(
        OR(ISBLANK(N1846), ISBLANK(O1846)),
        "",
        MAX(
            1,
            IF(
                NETWORKDAYS(N1846, O1846, Holiday_Dates) &lt;= 0,
                1,
                NETWORKDAYS(N1846, O1846, Holiday_Dates) - IF(N1846 = O1846, 0, 1)
            )
        )
    ),
    ""
)</f>
        <v/>
      </c>
      <c r="T1846" s="385"/>
      <c r="U1846" s="385" t="s">
        <v>672</v>
      </c>
      <c r="V1846" s="385" t="s">
        <v>101</v>
      </c>
      <c r="W1846" s="385" t="s">
        <v>1436</v>
      </c>
      <c r="X1846" s="1"/>
    </row>
    <row r="1847" spans="1:24">
      <c r="A1847" s="385" t="s">
        <v>51</v>
      </c>
      <c r="B1847" s="385" t="s">
        <v>351</v>
      </c>
      <c r="C1847" s="385" t="s">
        <v>1369</v>
      </c>
      <c r="D1847" s="385" t="s">
        <v>88</v>
      </c>
      <c r="E1847" s="385"/>
      <c r="F1847" s="385"/>
      <c r="G1847" s="385"/>
      <c r="H1847" s="385">
        <v>2024</v>
      </c>
      <c r="I1847" s="386">
        <v>45604</v>
      </c>
      <c r="J1847" s="30"/>
      <c r="K1847" s="385"/>
      <c r="L1847" s="385"/>
      <c r="M1847" s="385"/>
      <c r="N1847" s="385"/>
      <c r="O1847" s="385"/>
      <c r="P1847" s="385" t="str">
        <f>IFERROR(
    IF(
        OR(ISBLANK(I1847), ISBLANK(L1847)),
        "",
        MAX(
            1,
            IF(
                NETWORKDAYS(I1847, L1847, Holiday_Dates) &lt;= 0,
                1,
                NETWORKDAYS(I1847, L1847, Holiday_Dates) - IF(I1847 = L1847, 0, 1)
            )
        )
    ),
    ""
)</f>
        <v/>
      </c>
      <c r="Q1847" s="385" t="str">
        <f>IF(
    OR(ISBLANK(L1847), ISBLANK(M1847)),
    "",
    MAX(
        1,
        IF(
            NETWORKDAYS(L1847, M1847, Holiday_Dates) &lt;= 0,
            1,
            NETWORKDAYS(L1847, M1847, Holiday_Dates) - IF(L1847 = M1847, 0, 1)
        )
    )
)</f>
        <v/>
      </c>
      <c r="R1847" s="385" t="str">
        <f>IFERROR(
    IF(
        OR(ISBLANK(N1847), AND(ISBLANK(L1847), ISBLANK(M1847))),
        "",
        MAX(
            1,
            IF(
                NETWORKDAYS(IF(NOT(ISBLANK(M1847)), M1847, L1847), N1847, Holiday_Dates) &lt;= 0,
                1,
                NETWORKDAYS(IF(NOT(ISBLANK(M1847)), M1847, L1847), N1847, Holiday_Dates)
                - IF(IF(NOT(ISBLANK(M1847)), M1847, L1847) = N1847, 0, 1)
            )
        )
    ),
    ""
)</f>
        <v/>
      </c>
      <c r="S1847" s="385" t="str">
        <f>IFERROR(
    IF(
        OR(ISBLANK(N1847), ISBLANK(O1847)),
        "",
        MAX(
            1,
            IF(
                NETWORKDAYS(N1847, O1847, Holiday_Dates) &lt;= 0,
                1,
                NETWORKDAYS(N1847, O1847, Holiday_Dates) - IF(N1847 = O1847, 0, 1)
            )
        )
    ),
    ""
)</f>
        <v/>
      </c>
      <c r="T1847" s="385"/>
      <c r="U1847" s="385" t="s">
        <v>672</v>
      </c>
      <c r="V1847" s="385" t="s">
        <v>1676</v>
      </c>
      <c r="W1847" s="385" t="s">
        <v>1436</v>
      </c>
      <c r="X1847" s="1"/>
    </row>
    <row r="1848" spans="1:24">
      <c r="A1848" s="385" t="s">
        <v>51</v>
      </c>
      <c r="B1848" s="385" t="s">
        <v>351</v>
      </c>
      <c r="C1848" s="385" t="s">
        <v>3523</v>
      </c>
      <c r="D1848" s="385" t="s">
        <v>88</v>
      </c>
      <c r="E1848" s="385"/>
      <c r="F1848" s="385"/>
      <c r="G1848" s="385"/>
      <c r="H1848" s="385">
        <v>2025</v>
      </c>
      <c r="I1848" s="386">
        <v>45849</v>
      </c>
      <c r="J1848" s="30" t="s">
        <v>5399</v>
      </c>
      <c r="K1848" s="385"/>
      <c r="L1848" s="385"/>
      <c r="M1848" s="385"/>
      <c r="N1848" s="385"/>
      <c r="O1848" s="385"/>
      <c r="P1848" s="385" t="str">
        <f>IFERROR(
    IF(
        OR(ISBLANK(I1848), ISBLANK(L1848)),
        "",
        MAX(
            1,
            IF(
                NETWORKDAYS(I1848, L1848, Holiday_Dates) &lt;= 0,
                1,
                NETWORKDAYS(I1848, L1848, Holiday_Dates) - IF(I1848 = L1848, 0, 1)
            )
        )
    ),
    ""
)</f>
        <v/>
      </c>
      <c r="Q1848" s="385" t="str">
        <f>IF(
    OR(ISBLANK(L1848), ISBLANK(M1848)),
    "",
    MAX(
        1,
        IF(
            NETWORKDAYS(L1848, M1848, Holiday_Dates) &lt;= 0,
            1,
            NETWORKDAYS(L1848, M1848, Holiday_Dates) - IF(L1848 = M1848, 0, 1)
        )
    )
)</f>
        <v/>
      </c>
      <c r="R1848" s="385" t="str">
        <f>IFERROR(
    IF(
        OR(ISBLANK(N1848), AND(ISBLANK(L1848), ISBLANK(M1848))),
        "",
        MAX(
            1,
            IF(
                NETWORKDAYS(IF(NOT(ISBLANK(M1848)), M1848, L1848), N1848, Holiday_Dates) &lt;= 0,
                1,
                NETWORKDAYS(IF(NOT(ISBLANK(M1848)), M1848, L1848), N1848, Holiday_Dates)
                - IF(IF(NOT(ISBLANK(M1848)), M1848, L1848) = N1848, 0, 1)
            )
        )
    ),
    ""
)</f>
        <v/>
      </c>
      <c r="S1848" s="385" t="str">
        <f>IFERROR(
    IF(
        OR(ISBLANK(N1848), ISBLANK(O1848)),
        "",
        MAX(
            1,
            IF(
                NETWORKDAYS(N1848, O1848, Holiday_Dates) &lt;= 0,
                1,
                NETWORKDAYS(N1848, O1848, Holiday_Dates) - IF(N1848 = O1848, 0, 1)
            )
        )
    ),
    ""
)</f>
        <v/>
      </c>
      <c r="T1848" s="385"/>
      <c r="U1848" s="385" t="s">
        <v>672</v>
      </c>
      <c r="V1848" s="385" t="s">
        <v>1676</v>
      </c>
      <c r="W1848" s="385" t="s">
        <v>1436</v>
      </c>
      <c r="X1848" s="1"/>
    </row>
    <row r="1849" spans="1:24">
      <c r="A1849" s="385" t="s">
        <v>51</v>
      </c>
      <c r="B1849" s="385" t="s">
        <v>351</v>
      </c>
      <c r="C1849" s="385" t="s">
        <v>3524</v>
      </c>
      <c r="D1849" s="385" t="s">
        <v>88</v>
      </c>
      <c r="E1849" s="385"/>
      <c r="F1849" s="385"/>
      <c r="G1849" s="385"/>
      <c r="H1849" s="385">
        <v>2025</v>
      </c>
      <c r="I1849" s="386">
        <v>46158</v>
      </c>
      <c r="J1849" s="30" t="s">
        <v>5400</v>
      </c>
      <c r="K1849" s="385"/>
      <c r="L1849" s="385"/>
      <c r="M1849" s="385"/>
      <c r="N1849" s="385"/>
      <c r="O1849" s="385"/>
      <c r="P1849" s="385" t="str">
        <f>IFERROR(
    IF(
        OR(ISBLANK(I1849), ISBLANK(L1849)),
        "",
        MAX(
            1,
            IF(
                NETWORKDAYS(I1849, L1849, Holiday_Dates) &lt;= 0,
                1,
                NETWORKDAYS(I1849, L1849, Holiday_Dates) - IF(I1849 = L1849, 0, 1)
            )
        )
    ),
    ""
)</f>
        <v/>
      </c>
      <c r="Q1849" s="385" t="str">
        <f>IF(
    OR(ISBLANK(L1849), ISBLANK(M1849)),
    "",
    MAX(
        1,
        IF(
            NETWORKDAYS(L1849, M1849, Holiday_Dates) &lt;= 0,
            1,
            NETWORKDAYS(L1849, M1849, Holiday_Dates) - IF(L1849 = M1849, 0, 1)
        )
    )
)</f>
        <v/>
      </c>
      <c r="R1849" s="385" t="str">
        <f>IFERROR(
    IF(
        OR(ISBLANK(N1849), AND(ISBLANK(L1849), ISBLANK(M1849))),
        "",
        MAX(
            1,
            IF(
                NETWORKDAYS(IF(NOT(ISBLANK(M1849)), M1849, L1849), N1849, Holiday_Dates) &lt;= 0,
                1,
                NETWORKDAYS(IF(NOT(ISBLANK(M1849)), M1849, L1849), N1849, Holiday_Dates)
                - IF(IF(NOT(ISBLANK(M1849)), M1849, L1849) = N1849, 0, 1)
            )
        )
    ),
    ""
)</f>
        <v/>
      </c>
      <c r="S1849" s="385" t="str">
        <f>IFERROR(
    IF(
        OR(ISBLANK(N1849), ISBLANK(O1849)),
        "",
        MAX(
            1,
            IF(
                NETWORKDAYS(N1849, O1849, Holiday_Dates) &lt;= 0,
                1,
                NETWORKDAYS(N1849, O1849, Holiday_Dates) - IF(N1849 = O1849, 0, 1)
            )
        )
    ),
    ""
)</f>
        <v/>
      </c>
      <c r="T1849" s="385"/>
      <c r="U1849" s="385" t="s">
        <v>672</v>
      </c>
      <c r="V1849" s="385" t="s">
        <v>1676</v>
      </c>
      <c r="W1849" s="385" t="s">
        <v>1436</v>
      </c>
      <c r="X1849" s="1"/>
    </row>
    <row r="1850" spans="1:24">
      <c r="A1850" s="385" t="s">
        <v>51</v>
      </c>
      <c r="B1850" s="385" t="s">
        <v>351</v>
      </c>
      <c r="C1850" s="385" t="s">
        <v>2692</v>
      </c>
      <c r="D1850" s="385" t="s">
        <v>88</v>
      </c>
      <c r="E1850" s="385"/>
      <c r="F1850" s="385"/>
      <c r="G1850" s="385"/>
      <c r="H1850" s="385">
        <v>2024</v>
      </c>
      <c r="I1850" s="386">
        <v>45484</v>
      </c>
      <c r="J1850" s="30"/>
      <c r="K1850" s="385"/>
      <c r="L1850" s="385"/>
      <c r="M1850" s="385"/>
      <c r="N1850" s="385"/>
      <c r="O1850" s="385"/>
      <c r="P1850" s="385" t="str">
        <f>IFERROR(
    IF(
        OR(ISBLANK(I1850), ISBLANK(L1850)),
        "",
        MAX(
            1,
            IF(
                NETWORKDAYS(I1850, L1850, Holiday_Dates) &lt;= 0,
                1,
                NETWORKDAYS(I1850, L1850, Holiday_Dates) - IF(I1850 = L1850, 0, 1)
            )
        )
    ),
    ""
)</f>
        <v/>
      </c>
      <c r="Q1850" s="385" t="str">
        <f>IF(
    OR(ISBLANK(L1850), ISBLANK(M1850)),
    "",
    MAX(
        1,
        IF(
            NETWORKDAYS(L1850, M1850, Holiday_Dates) &lt;= 0,
            1,
            NETWORKDAYS(L1850, M1850, Holiday_Dates) - IF(L1850 = M1850, 0, 1)
        )
    )
)</f>
        <v/>
      </c>
      <c r="R1850" s="385" t="str">
        <f>IFERROR(
    IF(
        OR(ISBLANK(N1850), AND(ISBLANK(L1850), ISBLANK(M1850))),
        "",
        MAX(
            1,
            IF(
                NETWORKDAYS(IF(NOT(ISBLANK(M1850)), M1850, L1850), N1850, Holiday_Dates) &lt;= 0,
                1,
                NETWORKDAYS(IF(NOT(ISBLANK(M1850)), M1850, L1850), N1850, Holiday_Dates)
                - IF(IF(NOT(ISBLANK(M1850)), M1850, L1850) = N1850, 0, 1)
            )
        )
    ),
    ""
)</f>
        <v/>
      </c>
      <c r="S1850" s="385" t="str">
        <f>IFERROR(
    IF(
        OR(ISBLANK(N1850), ISBLANK(O1850)),
        "",
        MAX(
            1,
            IF(
                NETWORKDAYS(N1850, O1850, Holiday_Dates) &lt;= 0,
                1,
                NETWORKDAYS(N1850, O1850, Holiday_Dates) - IF(N1850 = O1850, 0, 1)
            )
        )
    ),
    ""
)</f>
        <v/>
      </c>
      <c r="T1850" s="385"/>
      <c r="U1850" s="385" t="s">
        <v>4</v>
      </c>
      <c r="V1850" s="385" t="s">
        <v>101</v>
      </c>
      <c r="W1850" s="385" t="s">
        <v>1436</v>
      </c>
      <c r="X1850" s="1"/>
    </row>
    <row r="1851" spans="1:24">
      <c r="A1851" s="385" t="s">
        <v>51</v>
      </c>
      <c r="B1851" s="385" t="s">
        <v>351</v>
      </c>
      <c r="C1851" s="385" t="s">
        <v>2178</v>
      </c>
      <c r="D1851" s="385" t="s">
        <v>88</v>
      </c>
      <c r="E1851" s="385"/>
      <c r="F1851" s="385"/>
      <c r="G1851" s="385"/>
      <c r="H1851" s="385">
        <v>2025</v>
      </c>
      <c r="I1851" s="386">
        <v>45855</v>
      </c>
      <c r="J1851" s="30" t="s">
        <v>5401</v>
      </c>
      <c r="K1851" s="385"/>
      <c r="L1851" s="385"/>
      <c r="M1851" s="385"/>
      <c r="N1851" s="385"/>
      <c r="O1851" s="385"/>
      <c r="P1851" s="385" t="str">
        <f>IFERROR(
    IF(
        OR(ISBLANK(I1851), ISBLANK(L1851)),
        "",
        MAX(
            1,
            IF(
                NETWORKDAYS(I1851, L1851, Holiday_Dates) &lt;= 0,
                1,
                NETWORKDAYS(I1851, L1851, Holiday_Dates) - IF(I1851 = L1851, 0, 1)
            )
        )
    ),
    ""
)</f>
        <v/>
      </c>
      <c r="Q1851" s="385" t="str">
        <f>IF(
    OR(ISBLANK(L1851), ISBLANK(M1851)),
    "",
    MAX(
        1,
        IF(
            NETWORKDAYS(L1851, M1851, Holiday_Dates) &lt;= 0,
            1,
            NETWORKDAYS(L1851, M1851, Holiday_Dates) - IF(L1851 = M1851, 0, 1)
        )
    )
)</f>
        <v/>
      </c>
      <c r="R1851" s="385" t="str">
        <f>IFERROR(
    IF(
        OR(ISBLANK(N1851), AND(ISBLANK(L1851), ISBLANK(M1851))),
        "",
        MAX(
            1,
            IF(
                NETWORKDAYS(IF(NOT(ISBLANK(M1851)), M1851, L1851), N1851, Holiday_Dates) &lt;= 0,
                1,
                NETWORKDAYS(IF(NOT(ISBLANK(M1851)), M1851, L1851), N1851, Holiday_Dates)
                - IF(IF(NOT(ISBLANK(M1851)), M1851, L1851) = N1851, 0, 1)
            )
        )
    ),
    ""
)</f>
        <v/>
      </c>
      <c r="S1851" s="385" t="str">
        <f>IFERROR(
    IF(
        OR(ISBLANK(N1851), ISBLANK(O1851)),
        "",
        MAX(
            1,
            IF(
                NETWORKDAYS(N1851, O1851, Holiday_Dates) &lt;= 0,
                1,
                NETWORKDAYS(N1851, O1851, Holiday_Dates) - IF(N1851 = O1851, 0, 1)
            )
        )
    ),
    ""
)</f>
        <v/>
      </c>
      <c r="T1851" s="385"/>
      <c r="U1851" s="385" t="s">
        <v>672</v>
      </c>
      <c r="V1851" s="385" t="s">
        <v>1676</v>
      </c>
      <c r="W1851" s="385" t="s">
        <v>1436</v>
      </c>
      <c r="X1851" s="1"/>
    </row>
    <row r="1852" spans="1:24">
      <c r="A1852" s="385" t="s">
        <v>51</v>
      </c>
      <c r="B1852" s="385" t="s">
        <v>351</v>
      </c>
      <c r="C1852" s="385" t="s">
        <v>653</v>
      </c>
      <c r="D1852" s="385" t="s">
        <v>88</v>
      </c>
      <c r="E1852" s="385"/>
      <c r="F1852" s="385"/>
      <c r="G1852" s="385"/>
      <c r="H1852" s="385">
        <v>2025</v>
      </c>
      <c r="I1852" s="386">
        <v>45911</v>
      </c>
      <c r="J1852" s="30" t="s">
        <v>5402</v>
      </c>
      <c r="K1852" s="385"/>
      <c r="L1852" s="385"/>
      <c r="M1852" s="385"/>
      <c r="N1852" s="385"/>
      <c r="O1852" s="385"/>
      <c r="P1852" s="385" t="str">
        <f>IFERROR(
    IF(
        OR(ISBLANK(I1852), ISBLANK(L1852)),
        "",
        MAX(
            1,
            IF(
                NETWORKDAYS(I1852, L1852, Holiday_Dates) &lt;= 0,
                1,
                NETWORKDAYS(I1852, L1852, Holiday_Dates) - IF(I1852 = L1852, 0, 1)
            )
        )
    ),
    ""
)</f>
        <v/>
      </c>
      <c r="Q1852" s="385" t="str">
        <f>IF(
    OR(ISBLANK(L1852), ISBLANK(M1852)),
    "",
    MAX(
        1,
        IF(
            NETWORKDAYS(L1852, M1852, Holiday_Dates) &lt;= 0,
            1,
            NETWORKDAYS(L1852, M1852, Holiday_Dates) - IF(L1852 = M1852, 0, 1)
        )
    )
)</f>
        <v/>
      </c>
      <c r="R1852" s="385" t="str">
        <f>IFERROR(
    IF(
        OR(ISBLANK(N1852), AND(ISBLANK(L1852), ISBLANK(M1852))),
        "",
        MAX(
            1,
            IF(
                NETWORKDAYS(IF(NOT(ISBLANK(M1852)), M1852, L1852), N1852, Holiday_Dates) &lt;= 0,
                1,
                NETWORKDAYS(IF(NOT(ISBLANK(M1852)), M1852, L1852), N1852, Holiday_Dates)
                - IF(IF(NOT(ISBLANK(M1852)), M1852, L1852) = N1852, 0, 1)
            )
        )
    ),
    ""
)</f>
        <v/>
      </c>
      <c r="S1852" s="385" t="str">
        <f>IFERROR(
    IF(
        OR(ISBLANK(N1852), ISBLANK(O1852)),
        "",
        MAX(
            1,
            IF(
                NETWORKDAYS(N1852, O1852, Holiday_Dates) &lt;= 0,
                1,
                NETWORKDAYS(N1852, O1852, Holiday_Dates) - IF(N1852 = O1852, 0, 1)
            )
        )
    ),
    ""
)</f>
        <v/>
      </c>
      <c r="T1852" s="385"/>
      <c r="U1852" s="385" t="s">
        <v>4</v>
      </c>
      <c r="V1852" s="385" t="s">
        <v>101</v>
      </c>
      <c r="W1852" s="385" t="s">
        <v>1436</v>
      </c>
      <c r="X1852" s="1"/>
    </row>
    <row r="1853" spans="1:24">
      <c r="A1853" s="385" t="s">
        <v>51</v>
      </c>
      <c r="B1853" s="385" t="s">
        <v>351</v>
      </c>
      <c r="C1853" s="385" t="s">
        <v>3526</v>
      </c>
      <c r="D1853" s="385" t="s">
        <v>88</v>
      </c>
      <c r="E1853" s="385"/>
      <c r="F1853" s="385"/>
      <c r="G1853" s="385"/>
      <c r="H1853" s="385">
        <v>2024</v>
      </c>
      <c r="I1853" s="386">
        <v>45604</v>
      </c>
      <c r="J1853" s="30"/>
      <c r="K1853" s="385"/>
      <c r="L1853" s="385"/>
      <c r="M1853" s="385"/>
      <c r="N1853" s="385"/>
      <c r="O1853" s="385"/>
      <c r="P1853" s="385" t="str">
        <f>IFERROR(
    IF(
        OR(ISBLANK(I1853), ISBLANK(L1853)),
        "",
        MAX(
            1,
            IF(
                NETWORKDAYS(I1853, L1853, Holiday_Dates) &lt;= 0,
                1,
                NETWORKDAYS(I1853, L1853, Holiday_Dates) - IF(I1853 = L1853, 0, 1)
            )
        )
    ),
    ""
)</f>
        <v/>
      </c>
      <c r="Q1853" s="385" t="str">
        <f>IF(
    OR(ISBLANK(L1853), ISBLANK(M1853)),
    "",
    MAX(
        1,
        IF(
            NETWORKDAYS(L1853, M1853, Holiday_Dates) &lt;= 0,
            1,
            NETWORKDAYS(L1853, M1853, Holiday_Dates) - IF(L1853 = M1853, 0, 1)
        )
    )
)</f>
        <v/>
      </c>
      <c r="R1853" s="385" t="str">
        <f>IFERROR(
    IF(
        OR(ISBLANK(N1853), AND(ISBLANK(L1853), ISBLANK(M1853))),
        "",
        MAX(
            1,
            IF(
                NETWORKDAYS(IF(NOT(ISBLANK(M1853)), M1853, L1853), N1853, Holiday_Dates) &lt;= 0,
                1,
                NETWORKDAYS(IF(NOT(ISBLANK(M1853)), M1853, L1853), N1853, Holiday_Dates)
                - IF(IF(NOT(ISBLANK(M1853)), M1853, L1853) = N1853, 0, 1)
            )
        )
    ),
    ""
)</f>
        <v/>
      </c>
      <c r="S1853" s="385" t="str">
        <f>IFERROR(
    IF(
        OR(ISBLANK(N1853), ISBLANK(O1853)),
        "",
        MAX(
            1,
            IF(
                NETWORKDAYS(N1853, O1853, Holiday_Dates) &lt;= 0,
                1,
                NETWORKDAYS(N1853, O1853, Holiday_Dates) - IF(N1853 = O1853, 0, 1)
            )
        )
    ),
    ""
)</f>
        <v/>
      </c>
      <c r="T1853" s="385"/>
      <c r="U1853" s="385" t="s">
        <v>672</v>
      </c>
      <c r="V1853" s="385" t="s">
        <v>1676</v>
      </c>
      <c r="W1853" s="385" t="s">
        <v>1436</v>
      </c>
      <c r="X1853" s="1"/>
    </row>
    <row r="1854" spans="1:24">
      <c r="A1854" s="385" t="s">
        <v>51</v>
      </c>
      <c r="B1854" s="385" t="s">
        <v>351</v>
      </c>
      <c r="C1854" s="385" t="s">
        <v>786</v>
      </c>
      <c r="D1854" s="385" t="s">
        <v>88</v>
      </c>
      <c r="E1854" s="385"/>
      <c r="F1854" s="385"/>
      <c r="G1854" s="385"/>
      <c r="H1854" s="385">
        <v>2024</v>
      </c>
      <c r="I1854" s="386">
        <v>45604</v>
      </c>
      <c r="J1854" s="30"/>
      <c r="K1854" s="385"/>
      <c r="L1854" s="385"/>
      <c r="M1854" s="385"/>
      <c r="N1854" s="385"/>
      <c r="O1854" s="385"/>
      <c r="P1854" s="385" t="str">
        <f>IFERROR(
    IF(
        OR(ISBLANK(I1854), ISBLANK(L1854)),
        "",
        MAX(
            1,
            IF(
                NETWORKDAYS(I1854, L1854, Holiday_Dates) &lt;= 0,
                1,
                NETWORKDAYS(I1854, L1854, Holiday_Dates) - IF(I1854 = L1854, 0, 1)
            )
        )
    ),
    ""
)</f>
        <v/>
      </c>
      <c r="Q1854" s="385" t="str">
        <f>IF(
    OR(ISBLANK(L1854), ISBLANK(M1854)),
    "",
    MAX(
        1,
        IF(
            NETWORKDAYS(L1854, M1854, Holiday_Dates) &lt;= 0,
            1,
            NETWORKDAYS(L1854, M1854, Holiday_Dates) - IF(L1854 = M1854, 0, 1)
        )
    )
)</f>
        <v/>
      </c>
      <c r="R1854" s="385" t="str">
        <f>IFERROR(
    IF(
        OR(ISBLANK(N1854), AND(ISBLANK(L1854), ISBLANK(M1854))),
        "",
        MAX(
            1,
            IF(
                NETWORKDAYS(IF(NOT(ISBLANK(M1854)), M1854, L1854), N1854, Holiday_Dates) &lt;= 0,
                1,
                NETWORKDAYS(IF(NOT(ISBLANK(M1854)), M1854, L1854), N1854, Holiday_Dates)
                - IF(IF(NOT(ISBLANK(M1854)), M1854, L1854) = N1854, 0, 1)
            )
        )
    ),
    ""
)</f>
        <v/>
      </c>
      <c r="S1854" s="385" t="str">
        <f>IFERROR(
    IF(
        OR(ISBLANK(N1854), ISBLANK(O1854)),
        "",
        MAX(
            1,
            IF(
                NETWORKDAYS(N1854, O1854, Holiday_Dates) &lt;= 0,
                1,
                NETWORKDAYS(N1854, O1854, Holiday_Dates) - IF(N1854 = O1854, 0, 1)
            )
        )
    ),
    ""
)</f>
        <v/>
      </c>
      <c r="T1854" s="385"/>
      <c r="U1854" s="385" t="s">
        <v>672</v>
      </c>
      <c r="V1854" s="385" t="s">
        <v>1676</v>
      </c>
      <c r="W1854" s="385" t="s">
        <v>1436</v>
      </c>
      <c r="X1854" s="1"/>
    </row>
    <row r="1855" spans="1:24">
      <c r="A1855" s="385" t="s">
        <v>51</v>
      </c>
      <c r="B1855" s="385" t="s">
        <v>351</v>
      </c>
      <c r="C1855" s="385" t="s">
        <v>3529</v>
      </c>
      <c r="D1855" s="385" t="s">
        <v>88</v>
      </c>
      <c r="E1855" s="385"/>
      <c r="F1855" s="385"/>
      <c r="G1855" s="385"/>
      <c r="H1855" s="385">
        <v>2024</v>
      </c>
      <c r="I1855" s="386">
        <v>45580</v>
      </c>
      <c r="J1855" s="30"/>
      <c r="K1855" s="385"/>
      <c r="L1855" s="385"/>
      <c r="M1855" s="385"/>
      <c r="N1855" s="385"/>
      <c r="O1855" s="385"/>
      <c r="P1855" s="385" t="str">
        <f>IFERROR(
    IF(
        OR(ISBLANK(I1855), ISBLANK(L1855)),
        "",
        MAX(
            1,
            IF(
                NETWORKDAYS(I1855, L1855, Holiday_Dates) &lt;= 0,
                1,
                NETWORKDAYS(I1855, L1855, Holiday_Dates) - IF(I1855 = L1855, 0, 1)
            )
        )
    ),
    ""
)</f>
        <v/>
      </c>
      <c r="Q1855" s="385" t="str">
        <f>IF(
    OR(ISBLANK(L1855), ISBLANK(M1855)),
    "",
    MAX(
        1,
        IF(
            NETWORKDAYS(L1855, M1855, Holiday_Dates) &lt;= 0,
            1,
            NETWORKDAYS(L1855, M1855, Holiday_Dates) - IF(L1855 = M1855, 0, 1)
        )
    )
)</f>
        <v/>
      </c>
      <c r="R1855" s="385" t="str">
        <f>IFERROR(
    IF(
        OR(ISBLANK(N1855), AND(ISBLANK(L1855), ISBLANK(M1855))),
        "",
        MAX(
            1,
            IF(
                NETWORKDAYS(IF(NOT(ISBLANK(M1855)), M1855, L1855), N1855, Holiday_Dates) &lt;= 0,
                1,
                NETWORKDAYS(IF(NOT(ISBLANK(M1855)), M1855, L1855), N1855, Holiday_Dates)
                - IF(IF(NOT(ISBLANK(M1855)), M1855, L1855) = N1855, 0, 1)
            )
        )
    ),
    ""
)</f>
        <v/>
      </c>
      <c r="S1855" s="385" t="str">
        <f>IFERROR(
    IF(
        OR(ISBLANK(N1855), ISBLANK(O1855)),
        "",
        MAX(
            1,
            IF(
                NETWORKDAYS(N1855, O1855, Holiday_Dates) &lt;= 0,
                1,
                NETWORKDAYS(N1855, O1855, Holiday_Dates) - IF(N1855 = O1855, 0, 1)
            )
        )
    ),
    ""
)</f>
        <v/>
      </c>
      <c r="T1855" s="385"/>
      <c r="U1855" s="385" t="s">
        <v>672</v>
      </c>
      <c r="V1855" s="385" t="s">
        <v>1676</v>
      </c>
      <c r="W1855" s="385" t="s">
        <v>1436</v>
      </c>
      <c r="X1855" s="1"/>
    </row>
    <row r="1856" spans="1:24">
      <c r="A1856" s="385" t="s">
        <v>49</v>
      </c>
      <c r="B1856" s="385" t="s">
        <v>439</v>
      </c>
      <c r="C1856" s="385" t="s">
        <v>2557</v>
      </c>
      <c r="D1856" s="385" t="s">
        <v>88</v>
      </c>
      <c r="E1856" s="385" t="s">
        <v>377</v>
      </c>
      <c r="F1856" s="385"/>
      <c r="G1856" s="385" t="s">
        <v>128</v>
      </c>
      <c r="H1856" s="385"/>
      <c r="I1856" s="385"/>
      <c r="J1856" s="30"/>
      <c r="K1856" s="385"/>
      <c r="L1856" s="385"/>
      <c r="M1856" s="385"/>
      <c r="N1856" s="385"/>
      <c r="O1856" s="385"/>
      <c r="P1856" s="385" t="str">
        <f>IFERROR(
    IF(
        OR(ISBLANK(I1856), ISBLANK(L1856)),
        "",
        MAX(
            1,
            IF(
                NETWORKDAYS(I1856, L1856, Holiday_Dates) &lt;= 0,
                1,
                NETWORKDAYS(I1856, L1856, Holiday_Dates) - IF(I1856 = L1856, 0, 1)
            )
        )
    ),
    ""
)</f>
        <v/>
      </c>
      <c r="Q1856" s="385" t="str">
        <f>IF(
    OR(ISBLANK(L1856), ISBLANK(M1856)),
    "",
    MAX(
        1,
        IF(
            NETWORKDAYS(L1856, M1856, Holiday_Dates) &lt;= 0,
            1,
            NETWORKDAYS(L1856, M1856, Holiday_Dates) - IF(L1856 = M1856, 0, 1)
        )
    )
)</f>
        <v/>
      </c>
      <c r="R1856" s="385" t="str">
        <f>IFERROR(
    IF(
        OR(ISBLANK(N1856), AND(ISBLANK(L1856), ISBLANK(M1856))),
        "",
        MAX(
            1,
            IF(
                NETWORKDAYS(IF(NOT(ISBLANK(M1856)), M1856, L1856), N1856, Holiday_Dates) &lt;= 0,
                1,
                NETWORKDAYS(IF(NOT(ISBLANK(M1856)), M1856, L1856), N1856, Holiday_Dates)
                - IF(IF(NOT(ISBLANK(M1856)), M1856, L1856) = N1856, 0, 1)
            )
        )
    ),
    ""
)</f>
        <v/>
      </c>
      <c r="S1856" s="385" t="str">
        <f>IFERROR(
    IF(
        OR(ISBLANK(N1856), ISBLANK(O1856)),
        "",
        MAX(
            1,
            IF(
                NETWORKDAYS(N1856, O1856, Holiday_Dates) &lt;= 0,
                1,
                NETWORKDAYS(N1856, O1856, Holiday_Dates) - IF(N1856 = O1856, 0, 1)
            )
        )
    ),
    ""
)</f>
        <v/>
      </c>
      <c r="T1856" s="385"/>
      <c r="U1856" s="385"/>
      <c r="V1856" s="385"/>
      <c r="W1856" s="385" t="s">
        <v>4710</v>
      </c>
      <c r="X1856" s="1"/>
    </row>
    <row r="1857" spans="1:24">
      <c r="A1857" s="385" t="s">
        <v>51</v>
      </c>
      <c r="B1857" s="385" t="s">
        <v>389</v>
      </c>
      <c r="C1857" s="385" t="s">
        <v>3532</v>
      </c>
      <c r="D1857" s="385" t="s">
        <v>88</v>
      </c>
      <c r="E1857" s="385"/>
      <c r="F1857" s="385"/>
      <c r="G1857" s="385"/>
      <c r="H1857" s="385">
        <v>2025</v>
      </c>
      <c r="I1857" s="386">
        <v>45811</v>
      </c>
      <c r="J1857" s="30" t="s">
        <v>5403</v>
      </c>
      <c r="K1857" s="385"/>
      <c r="L1857" s="385"/>
      <c r="M1857" s="385"/>
      <c r="N1857" s="385"/>
      <c r="O1857" s="385"/>
      <c r="P1857" s="385" t="str">
        <f>IFERROR(
    IF(
        OR(ISBLANK(I1857), ISBLANK(L1857)),
        "",
        MAX(
            1,
            IF(
                NETWORKDAYS(I1857, L1857, Holiday_Dates) &lt;= 0,
                1,
                NETWORKDAYS(I1857, L1857, Holiday_Dates) - IF(I1857 = L1857, 0, 1)
            )
        )
    ),
    ""
)</f>
        <v/>
      </c>
      <c r="Q1857" s="385" t="str">
        <f>IF(
    OR(ISBLANK(L1857), ISBLANK(M1857)),
    "",
    MAX(
        1,
        IF(
            NETWORKDAYS(L1857, M1857, Holiday_Dates) &lt;= 0,
            1,
            NETWORKDAYS(L1857, M1857, Holiday_Dates) - IF(L1857 = M1857, 0, 1)
        )
    )
)</f>
        <v/>
      </c>
      <c r="R1857" s="385" t="str">
        <f>IFERROR(
    IF(
        OR(ISBLANK(N1857), AND(ISBLANK(L1857), ISBLANK(M1857))),
        "",
        MAX(
            1,
            IF(
                NETWORKDAYS(IF(NOT(ISBLANK(M1857)), M1857, L1857), N1857, Holiday_Dates) &lt;= 0,
                1,
                NETWORKDAYS(IF(NOT(ISBLANK(M1857)), M1857, L1857), N1857, Holiday_Dates)
                - IF(IF(NOT(ISBLANK(M1857)), M1857, L1857) = N1857, 0, 1)
            )
        )
    ),
    ""
)</f>
        <v/>
      </c>
      <c r="S1857" s="385" t="str">
        <f>IFERROR(
    IF(
        OR(ISBLANK(N1857), ISBLANK(O1857)),
        "",
        MAX(
            1,
            IF(
                NETWORKDAYS(N1857, O1857, Holiday_Dates) &lt;= 0,
                1,
                NETWORKDAYS(N1857, O1857, Holiday_Dates) - IF(N1857 = O1857, 0, 1)
            )
        )
    ),
    ""
)</f>
        <v/>
      </c>
      <c r="T1857" s="385"/>
      <c r="U1857" s="385" t="s">
        <v>4</v>
      </c>
      <c r="V1857" s="385" t="s">
        <v>101</v>
      </c>
      <c r="W1857" s="385" t="s">
        <v>1436</v>
      </c>
      <c r="X1857" s="1"/>
    </row>
    <row r="1858" spans="1:24">
      <c r="A1858" s="385" t="s">
        <v>49</v>
      </c>
      <c r="B1858" s="385" t="s">
        <v>439</v>
      </c>
      <c r="C1858" s="385" t="s">
        <v>2558</v>
      </c>
      <c r="D1858" s="385" t="s">
        <v>88</v>
      </c>
      <c r="E1858" s="385" t="s">
        <v>377</v>
      </c>
      <c r="F1858" s="385"/>
      <c r="G1858" s="385" t="s">
        <v>128</v>
      </c>
      <c r="H1858" s="385"/>
      <c r="I1858" s="385"/>
      <c r="J1858" s="30"/>
      <c r="K1858" s="385"/>
      <c r="L1858" s="385"/>
      <c r="M1858" s="385"/>
      <c r="N1858" s="385"/>
      <c r="O1858" s="385"/>
      <c r="P1858" s="385" t="str">
        <f>IFERROR(
    IF(
        OR(ISBLANK(I1858), ISBLANK(L1858)),
        "",
        MAX(
            1,
            IF(
                NETWORKDAYS(I1858, L1858, Holiday_Dates) &lt;= 0,
                1,
                NETWORKDAYS(I1858, L1858, Holiday_Dates) - IF(I1858 = L1858, 0, 1)
            )
        )
    ),
    ""
)</f>
        <v/>
      </c>
      <c r="Q1858" s="385" t="str">
        <f>IF(
    OR(ISBLANK(L1858), ISBLANK(M1858)),
    "",
    MAX(
        1,
        IF(
            NETWORKDAYS(L1858, M1858, Holiday_Dates) &lt;= 0,
            1,
            NETWORKDAYS(L1858, M1858, Holiday_Dates) - IF(L1858 = M1858, 0, 1)
        )
    )
)</f>
        <v/>
      </c>
      <c r="R1858" s="385" t="str">
        <f>IFERROR(
    IF(
        OR(ISBLANK(N1858), AND(ISBLANK(L1858), ISBLANK(M1858))),
        "",
        MAX(
            1,
            IF(
                NETWORKDAYS(IF(NOT(ISBLANK(M1858)), M1858, L1858), N1858, Holiday_Dates) &lt;= 0,
                1,
                NETWORKDAYS(IF(NOT(ISBLANK(M1858)), M1858, L1858), N1858, Holiday_Dates)
                - IF(IF(NOT(ISBLANK(M1858)), M1858, L1858) = N1858, 0, 1)
            )
        )
    ),
    ""
)</f>
        <v/>
      </c>
      <c r="S1858" s="385" t="str">
        <f>IFERROR(
    IF(
        OR(ISBLANK(N1858), ISBLANK(O1858)),
        "",
        MAX(
            1,
            IF(
                NETWORKDAYS(N1858, O1858, Holiday_Dates) &lt;= 0,
                1,
                NETWORKDAYS(N1858, O1858, Holiday_Dates) - IF(N1858 = O1858, 0, 1)
            )
        )
    ),
    ""
)</f>
        <v/>
      </c>
      <c r="T1858" s="385"/>
      <c r="U1858" s="385"/>
      <c r="V1858" s="385"/>
      <c r="W1858" s="385" t="s">
        <v>4710</v>
      </c>
      <c r="X1858" s="1"/>
    </row>
    <row r="1859" spans="1:24">
      <c r="A1859" s="385" t="s">
        <v>51</v>
      </c>
      <c r="B1859" s="385" t="s">
        <v>389</v>
      </c>
      <c r="C1859" s="385" t="s">
        <v>3534</v>
      </c>
      <c r="D1859" s="385" t="s">
        <v>88</v>
      </c>
      <c r="E1859" s="385"/>
      <c r="F1859" s="385"/>
      <c r="G1859" s="385"/>
      <c r="H1859" s="385">
        <v>2024</v>
      </c>
      <c r="I1859" s="386">
        <v>45539</v>
      </c>
      <c r="J1859" s="30"/>
      <c r="K1859" s="385"/>
      <c r="L1859" s="385"/>
      <c r="M1859" s="385"/>
      <c r="N1859" s="385"/>
      <c r="O1859" s="385"/>
      <c r="P1859" s="385" t="str">
        <f>IFERROR(
    IF(
        OR(ISBLANK(I1859), ISBLANK(L1859)),
        "",
        MAX(
            1,
            IF(
                NETWORKDAYS(I1859, L1859, Holiday_Dates) &lt;= 0,
                1,
                NETWORKDAYS(I1859, L1859, Holiday_Dates) - IF(I1859 = L1859, 0, 1)
            )
        )
    ),
    ""
)</f>
        <v/>
      </c>
      <c r="Q1859" s="385" t="str">
        <f>IF(
    OR(ISBLANK(L1859), ISBLANK(M1859)),
    "",
    MAX(
        1,
        IF(
            NETWORKDAYS(L1859, M1859, Holiday_Dates) &lt;= 0,
            1,
            NETWORKDAYS(L1859, M1859, Holiday_Dates) - IF(L1859 = M1859, 0, 1)
        )
    )
)</f>
        <v/>
      </c>
      <c r="R1859" s="385" t="str">
        <f>IFERROR(
    IF(
        OR(ISBLANK(N1859), AND(ISBLANK(L1859), ISBLANK(M1859))),
        "",
        MAX(
            1,
            IF(
                NETWORKDAYS(IF(NOT(ISBLANK(M1859)), M1859, L1859), N1859, Holiday_Dates) &lt;= 0,
                1,
                NETWORKDAYS(IF(NOT(ISBLANK(M1859)), M1859, L1859), N1859, Holiday_Dates)
                - IF(IF(NOT(ISBLANK(M1859)), M1859, L1859) = N1859, 0, 1)
            )
        )
    ),
    ""
)</f>
        <v/>
      </c>
      <c r="S1859" s="385" t="str">
        <f>IFERROR(
    IF(
        OR(ISBLANK(N1859), ISBLANK(O1859)),
        "",
        MAX(
            1,
            IF(
                NETWORKDAYS(N1859, O1859, Holiday_Dates) &lt;= 0,
                1,
                NETWORKDAYS(N1859, O1859, Holiday_Dates) - IF(N1859 = O1859, 0, 1)
            )
        )
    ),
    ""
)</f>
        <v/>
      </c>
      <c r="T1859" s="385"/>
      <c r="U1859" s="385" t="s">
        <v>4</v>
      </c>
      <c r="V1859" s="385" t="s">
        <v>101</v>
      </c>
      <c r="W1859" s="385" t="s">
        <v>1436</v>
      </c>
      <c r="X1859" s="1"/>
    </row>
    <row r="1860" spans="1:24">
      <c r="A1860" s="385" t="s">
        <v>49</v>
      </c>
      <c r="B1860" s="385" t="s">
        <v>439</v>
      </c>
      <c r="C1860" s="385" t="s">
        <v>1069</v>
      </c>
      <c r="D1860" s="385" t="s">
        <v>88</v>
      </c>
      <c r="E1860" s="385" t="s">
        <v>377</v>
      </c>
      <c r="F1860" s="385"/>
      <c r="G1860" s="385" t="s">
        <v>128</v>
      </c>
      <c r="H1860" s="385"/>
      <c r="I1860" s="385"/>
      <c r="J1860" s="30"/>
      <c r="K1860" s="385"/>
      <c r="L1860" s="385"/>
      <c r="M1860" s="385"/>
      <c r="N1860" s="385"/>
      <c r="O1860" s="385"/>
      <c r="P1860" s="385" t="str">
        <f>IFERROR(
    IF(
        OR(ISBLANK(I1860), ISBLANK(L1860)),
        "",
        MAX(
            1,
            IF(
                NETWORKDAYS(I1860, L1860, Holiday_Dates) &lt;= 0,
                1,
                NETWORKDAYS(I1860, L1860, Holiday_Dates) - IF(I1860 = L1860, 0, 1)
            )
        )
    ),
    ""
)</f>
        <v/>
      </c>
      <c r="Q1860" s="385" t="str">
        <f>IF(
    OR(ISBLANK(L1860), ISBLANK(M1860)),
    "",
    MAX(
        1,
        IF(
            NETWORKDAYS(L1860, M1860, Holiday_Dates) &lt;= 0,
            1,
            NETWORKDAYS(L1860, M1860, Holiday_Dates) - IF(L1860 = M1860, 0, 1)
        )
    )
)</f>
        <v/>
      </c>
      <c r="R1860" s="385" t="str">
        <f>IFERROR(
    IF(
        OR(ISBLANK(N1860), AND(ISBLANK(L1860), ISBLANK(M1860))),
        "",
        MAX(
            1,
            IF(
                NETWORKDAYS(IF(NOT(ISBLANK(M1860)), M1860, L1860), N1860, Holiday_Dates) &lt;= 0,
                1,
                NETWORKDAYS(IF(NOT(ISBLANK(M1860)), M1860, L1860), N1860, Holiday_Dates)
                - IF(IF(NOT(ISBLANK(M1860)), M1860, L1860) = N1860, 0, 1)
            )
        )
    ),
    ""
)</f>
        <v/>
      </c>
      <c r="S1860" s="385" t="str">
        <f>IFERROR(
    IF(
        OR(ISBLANK(N1860), ISBLANK(O1860)),
        "",
        MAX(
            1,
            IF(
                NETWORKDAYS(N1860, O1860, Holiday_Dates) &lt;= 0,
                1,
                NETWORKDAYS(N1860, O1860, Holiday_Dates) - IF(N1860 = O1860, 0, 1)
            )
        )
    ),
    ""
)</f>
        <v/>
      </c>
      <c r="T1860" s="385"/>
      <c r="U1860" s="385"/>
      <c r="V1860" s="385"/>
      <c r="W1860" s="385" t="s">
        <v>4710</v>
      </c>
      <c r="X1860" s="1"/>
    </row>
    <row r="1861" spans="1:24">
      <c r="A1861" s="385" t="s">
        <v>49</v>
      </c>
      <c r="B1861" s="385" t="s">
        <v>439</v>
      </c>
      <c r="C1861" s="385" t="s">
        <v>2559</v>
      </c>
      <c r="D1861" s="385" t="s">
        <v>88</v>
      </c>
      <c r="E1861" s="385" t="s">
        <v>377</v>
      </c>
      <c r="F1861" s="385"/>
      <c r="G1861" s="385" t="s">
        <v>128</v>
      </c>
      <c r="H1861" s="385"/>
      <c r="I1861" s="385"/>
      <c r="J1861" s="30"/>
      <c r="K1861" s="385"/>
      <c r="L1861" s="385"/>
      <c r="M1861" s="385"/>
      <c r="N1861" s="385"/>
      <c r="O1861" s="385"/>
      <c r="P1861" s="385" t="str">
        <f>IFERROR(
    IF(
        OR(ISBLANK(I1861), ISBLANK(L1861)),
        "",
        MAX(
            1,
            IF(
                NETWORKDAYS(I1861, L1861, Holiday_Dates) &lt;= 0,
                1,
                NETWORKDAYS(I1861, L1861, Holiday_Dates) - IF(I1861 = L1861, 0, 1)
            )
        )
    ),
    ""
)</f>
        <v/>
      </c>
      <c r="Q1861" s="385" t="str">
        <f>IF(
    OR(ISBLANK(L1861), ISBLANK(M1861)),
    "",
    MAX(
        1,
        IF(
            NETWORKDAYS(L1861, M1861, Holiday_Dates) &lt;= 0,
            1,
            NETWORKDAYS(L1861, M1861, Holiday_Dates) - IF(L1861 = M1861, 0, 1)
        )
    )
)</f>
        <v/>
      </c>
      <c r="R1861" s="385" t="str">
        <f>IFERROR(
    IF(
        OR(ISBLANK(N1861), AND(ISBLANK(L1861), ISBLANK(M1861))),
        "",
        MAX(
            1,
            IF(
                NETWORKDAYS(IF(NOT(ISBLANK(M1861)), M1861, L1861), N1861, Holiday_Dates) &lt;= 0,
                1,
                NETWORKDAYS(IF(NOT(ISBLANK(M1861)), M1861, L1861), N1861, Holiday_Dates)
                - IF(IF(NOT(ISBLANK(M1861)), M1861, L1861) = N1861, 0, 1)
            )
        )
    ),
    ""
)</f>
        <v/>
      </c>
      <c r="S1861" s="385" t="str">
        <f>IFERROR(
    IF(
        OR(ISBLANK(N1861), ISBLANK(O1861)),
        "",
        MAX(
            1,
            IF(
                NETWORKDAYS(N1861, O1861, Holiday_Dates) &lt;= 0,
                1,
                NETWORKDAYS(N1861, O1861, Holiday_Dates) - IF(N1861 = O1861, 0, 1)
            )
        )
    ),
    ""
)</f>
        <v/>
      </c>
      <c r="T1861" s="385"/>
      <c r="U1861" s="385"/>
      <c r="V1861" s="385"/>
      <c r="W1861" s="385" t="s">
        <v>4710</v>
      </c>
      <c r="X1861" s="1"/>
    </row>
    <row r="1862" spans="1:24">
      <c r="A1862" s="385" t="s">
        <v>51</v>
      </c>
      <c r="B1862" s="385" t="s">
        <v>389</v>
      </c>
      <c r="C1862" s="385" t="s">
        <v>3537</v>
      </c>
      <c r="D1862" s="385" t="s">
        <v>88</v>
      </c>
      <c r="E1862" s="385"/>
      <c r="F1862" s="385"/>
      <c r="G1862" s="385"/>
      <c r="H1862" s="385">
        <v>2025</v>
      </c>
      <c r="I1862" s="386">
        <v>45700</v>
      </c>
      <c r="J1862" s="30" t="s">
        <v>5404</v>
      </c>
      <c r="K1862" s="385"/>
      <c r="L1862" s="385"/>
      <c r="M1862" s="385"/>
      <c r="N1862" s="385"/>
      <c r="O1862" s="385"/>
      <c r="P1862" s="385" t="str">
        <f>IFERROR(
    IF(
        OR(ISBLANK(I1862), ISBLANK(L1862)),
        "",
        MAX(
            1,
            IF(
                NETWORKDAYS(I1862, L1862, Holiday_Dates) &lt;= 0,
                1,
                NETWORKDAYS(I1862, L1862, Holiday_Dates) - IF(I1862 = L1862, 0, 1)
            )
        )
    ),
    ""
)</f>
        <v/>
      </c>
      <c r="Q1862" s="385" t="str">
        <f>IF(
    OR(ISBLANK(L1862), ISBLANK(M1862)),
    "",
    MAX(
        1,
        IF(
            NETWORKDAYS(L1862, M1862, Holiday_Dates) &lt;= 0,
            1,
            NETWORKDAYS(L1862, M1862, Holiday_Dates) - IF(L1862 = M1862, 0, 1)
        )
    )
)</f>
        <v/>
      </c>
      <c r="R1862" s="385" t="str">
        <f>IFERROR(
    IF(
        OR(ISBLANK(N1862), AND(ISBLANK(L1862), ISBLANK(M1862))),
        "",
        MAX(
            1,
            IF(
                NETWORKDAYS(IF(NOT(ISBLANK(M1862)), M1862, L1862), N1862, Holiday_Dates) &lt;= 0,
                1,
                NETWORKDAYS(IF(NOT(ISBLANK(M1862)), M1862, L1862), N1862, Holiday_Dates)
                - IF(IF(NOT(ISBLANK(M1862)), M1862, L1862) = N1862, 0, 1)
            )
        )
    ),
    ""
)</f>
        <v/>
      </c>
      <c r="S1862" s="385" t="str">
        <f>IFERROR(
    IF(
        OR(ISBLANK(N1862), ISBLANK(O1862)),
        "",
        MAX(
            1,
            IF(
                NETWORKDAYS(N1862, O1862, Holiday_Dates) &lt;= 0,
                1,
                NETWORKDAYS(N1862, O1862, Holiday_Dates) - IF(N1862 = O1862, 0, 1)
            )
        )
    ),
    ""
)</f>
        <v/>
      </c>
      <c r="T1862" s="385"/>
      <c r="U1862" s="385" t="s">
        <v>4</v>
      </c>
      <c r="V1862" s="385" t="s">
        <v>108</v>
      </c>
      <c r="W1862" s="385" t="s">
        <v>1436</v>
      </c>
      <c r="X1862" s="1"/>
    </row>
    <row r="1863" spans="1:24">
      <c r="A1863" s="385" t="s">
        <v>51</v>
      </c>
      <c r="B1863" s="385" t="s">
        <v>389</v>
      </c>
      <c r="C1863" s="385" t="s">
        <v>3538</v>
      </c>
      <c r="D1863" s="385" t="s">
        <v>88</v>
      </c>
      <c r="E1863" s="385"/>
      <c r="F1863" s="385"/>
      <c r="G1863" s="385"/>
      <c r="H1863" s="385">
        <v>2025</v>
      </c>
      <c r="I1863" s="386">
        <v>45882</v>
      </c>
      <c r="J1863" s="30" t="s">
        <v>5405</v>
      </c>
      <c r="K1863" s="385"/>
      <c r="L1863" s="385"/>
      <c r="M1863" s="385"/>
      <c r="N1863" s="385"/>
      <c r="O1863" s="385"/>
      <c r="P1863" s="385" t="str">
        <f>IFERROR(
    IF(
        OR(ISBLANK(I1863), ISBLANK(L1863)),
        "",
        MAX(
            1,
            IF(
                NETWORKDAYS(I1863, L1863, Holiday_Dates) &lt;= 0,
                1,
                NETWORKDAYS(I1863, L1863, Holiday_Dates) - IF(I1863 = L1863, 0, 1)
            )
        )
    ),
    ""
)</f>
        <v/>
      </c>
      <c r="Q1863" s="385" t="str">
        <f>IF(
    OR(ISBLANK(L1863), ISBLANK(M1863)),
    "",
    MAX(
        1,
        IF(
            NETWORKDAYS(L1863, M1863, Holiday_Dates) &lt;= 0,
            1,
            NETWORKDAYS(L1863, M1863, Holiday_Dates) - IF(L1863 = M1863, 0, 1)
        )
    )
)</f>
        <v/>
      </c>
      <c r="R1863" s="385" t="str">
        <f>IFERROR(
    IF(
        OR(ISBLANK(N1863), AND(ISBLANK(L1863), ISBLANK(M1863))),
        "",
        MAX(
            1,
            IF(
                NETWORKDAYS(IF(NOT(ISBLANK(M1863)), M1863, L1863), N1863, Holiday_Dates) &lt;= 0,
                1,
                NETWORKDAYS(IF(NOT(ISBLANK(M1863)), M1863, L1863), N1863, Holiday_Dates)
                - IF(IF(NOT(ISBLANK(M1863)), M1863, L1863) = N1863, 0, 1)
            )
        )
    ),
    ""
)</f>
        <v/>
      </c>
      <c r="S1863" s="385" t="str">
        <f>IFERROR(
    IF(
        OR(ISBLANK(N1863), ISBLANK(O1863)),
        "",
        MAX(
            1,
            IF(
                NETWORKDAYS(N1863, O1863, Holiday_Dates) &lt;= 0,
                1,
                NETWORKDAYS(N1863, O1863, Holiday_Dates) - IF(N1863 = O1863, 0, 1)
            )
        )
    ),
    ""
)</f>
        <v/>
      </c>
      <c r="T1863" s="385"/>
      <c r="U1863" s="385" t="s">
        <v>4</v>
      </c>
      <c r="V1863" s="385" t="s">
        <v>108</v>
      </c>
      <c r="W1863" s="385" t="s">
        <v>1436</v>
      </c>
      <c r="X1863" s="1"/>
    </row>
    <row r="1864" spans="1:24">
      <c r="A1864" s="385" t="s">
        <v>51</v>
      </c>
      <c r="B1864" s="385" t="s">
        <v>389</v>
      </c>
      <c r="C1864" s="385" t="s">
        <v>3557</v>
      </c>
      <c r="D1864" s="385" t="s">
        <v>88</v>
      </c>
      <c r="E1864" s="385"/>
      <c r="F1864" s="385"/>
      <c r="G1864" s="385"/>
      <c r="H1864" s="385">
        <v>2025</v>
      </c>
      <c r="I1864" s="386">
        <v>45847</v>
      </c>
      <c r="J1864" s="30" t="s">
        <v>5406</v>
      </c>
      <c r="K1864" s="385"/>
      <c r="L1864" s="385"/>
      <c r="M1864" s="385"/>
      <c r="N1864" s="385"/>
      <c r="O1864" s="385"/>
      <c r="P1864" s="385" t="str">
        <f>IFERROR(
    IF(
        OR(ISBLANK(I1864), ISBLANK(L1864)),
        "",
        MAX(
            1,
            IF(
                NETWORKDAYS(I1864, L1864, Holiday_Dates) &lt;= 0,
                1,
                NETWORKDAYS(I1864, L1864, Holiday_Dates) - IF(I1864 = L1864, 0, 1)
            )
        )
    ),
    ""
)</f>
        <v/>
      </c>
      <c r="Q1864" s="385" t="str">
        <f>IF(
    OR(ISBLANK(L1864), ISBLANK(M1864)),
    "",
    MAX(
        1,
        IF(
            NETWORKDAYS(L1864, M1864, Holiday_Dates) &lt;= 0,
            1,
            NETWORKDAYS(L1864, M1864, Holiday_Dates) - IF(L1864 = M1864, 0, 1)
        )
    )
)</f>
        <v/>
      </c>
      <c r="R1864" s="385" t="str">
        <f>IFERROR(
    IF(
        OR(ISBLANK(N1864), AND(ISBLANK(L1864), ISBLANK(M1864))),
        "",
        MAX(
            1,
            IF(
                NETWORKDAYS(IF(NOT(ISBLANK(M1864)), M1864, L1864), N1864, Holiday_Dates) &lt;= 0,
                1,
                NETWORKDAYS(IF(NOT(ISBLANK(M1864)), M1864, L1864), N1864, Holiday_Dates)
                - IF(IF(NOT(ISBLANK(M1864)), M1864, L1864) = N1864, 0, 1)
            )
        )
    ),
    ""
)</f>
        <v/>
      </c>
      <c r="S1864" s="385" t="str">
        <f>IFERROR(
    IF(
        OR(ISBLANK(N1864), ISBLANK(O1864)),
        "",
        MAX(
            1,
            IF(
                NETWORKDAYS(N1864, O1864, Holiday_Dates) &lt;= 0,
                1,
                NETWORKDAYS(N1864, O1864, Holiday_Dates) - IF(N1864 = O1864, 0, 1)
            )
        )
    ),
    ""
)</f>
        <v/>
      </c>
      <c r="T1864" s="385"/>
      <c r="U1864" s="385" t="s">
        <v>4</v>
      </c>
      <c r="V1864" s="385" t="s">
        <v>108</v>
      </c>
      <c r="W1864" s="385" t="s">
        <v>1436</v>
      </c>
      <c r="X1864" s="1"/>
    </row>
    <row r="1865" spans="1:24">
      <c r="A1865" s="385" t="s">
        <v>49</v>
      </c>
      <c r="B1865" s="385" t="s">
        <v>439</v>
      </c>
      <c r="C1865" s="385" t="s">
        <v>2560</v>
      </c>
      <c r="D1865" s="385" t="s">
        <v>88</v>
      </c>
      <c r="E1865" s="385" t="s">
        <v>377</v>
      </c>
      <c r="F1865" s="385"/>
      <c r="G1865" s="385" t="s">
        <v>128</v>
      </c>
      <c r="H1865" s="385"/>
      <c r="I1865" s="385"/>
      <c r="J1865" s="30"/>
      <c r="K1865" s="385"/>
      <c r="L1865" s="385"/>
      <c r="M1865" s="385"/>
      <c r="N1865" s="385"/>
      <c r="O1865" s="385"/>
      <c r="P1865" s="385" t="str">
        <f>IFERROR(
    IF(
        OR(ISBLANK(I1865), ISBLANK(L1865)),
        "",
        MAX(
            1,
            IF(
                NETWORKDAYS(I1865, L1865, Holiday_Dates) &lt;= 0,
                1,
                NETWORKDAYS(I1865, L1865, Holiday_Dates) - IF(I1865 = L1865, 0, 1)
            )
        )
    ),
    ""
)</f>
        <v/>
      </c>
      <c r="Q1865" s="385" t="str">
        <f>IF(
    OR(ISBLANK(L1865), ISBLANK(M1865)),
    "",
    MAX(
        1,
        IF(
            NETWORKDAYS(L1865, M1865, Holiday_Dates) &lt;= 0,
            1,
            NETWORKDAYS(L1865, M1865, Holiday_Dates) - IF(L1865 = M1865, 0, 1)
        )
    )
)</f>
        <v/>
      </c>
      <c r="R1865" s="385" t="str">
        <f>IFERROR(
    IF(
        OR(ISBLANK(N1865), AND(ISBLANK(L1865), ISBLANK(M1865))),
        "",
        MAX(
            1,
            IF(
                NETWORKDAYS(IF(NOT(ISBLANK(M1865)), M1865, L1865), N1865, Holiday_Dates) &lt;= 0,
                1,
                NETWORKDAYS(IF(NOT(ISBLANK(M1865)), M1865, L1865), N1865, Holiday_Dates)
                - IF(IF(NOT(ISBLANK(M1865)), M1865, L1865) = N1865, 0, 1)
            )
        )
    ),
    ""
)</f>
        <v/>
      </c>
      <c r="S1865" s="385" t="str">
        <f>IFERROR(
    IF(
        OR(ISBLANK(N1865), ISBLANK(O1865)),
        "",
        MAX(
            1,
            IF(
                NETWORKDAYS(N1865, O1865, Holiday_Dates) &lt;= 0,
                1,
                NETWORKDAYS(N1865, O1865, Holiday_Dates) - IF(N1865 = O1865, 0, 1)
            )
        )
    ),
    ""
)</f>
        <v/>
      </c>
      <c r="T1865" s="385"/>
      <c r="U1865" s="385"/>
      <c r="V1865" s="385"/>
      <c r="W1865" s="385" t="s">
        <v>4710</v>
      </c>
      <c r="X1865" s="1"/>
    </row>
    <row r="1866" spans="1:24">
      <c r="A1866" s="385" t="s">
        <v>49</v>
      </c>
      <c r="B1866" s="385" t="s">
        <v>439</v>
      </c>
      <c r="C1866" s="385" t="s">
        <v>926</v>
      </c>
      <c r="D1866" s="385" t="s">
        <v>88</v>
      </c>
      <c r="E1866" s="385" t="s">
        <v>377</v>
      </c>
      <c r="F1866" s="385"/>
      <c r="G1866" s="385" t="s">
        <v>128</v>
      </c>
      <c r="H1866" s="385"/>
      <c r="I1866" s="385"/>
      <c r="J1866" s="30"/>
      <c r="K1866" s="385"/>
      <c r="L1866" s="385"/>
      <c r="M1866" s="385"/>
      <c r="N1866" s="385"/>
      <c r="O1866" s="385"/>
      <c r="P1866" s="385" t="str">
        <f>IFERROR(
    IF(
        OR(ISBLANK(I1866), ISBLANK(L1866)),
        "",
        MAX(
            1,
            IF(
                NETWORKDAYS(I1866, L1866, Holiday_Dates) &lt;= 0,
                1,
                NETWORKDAYS(I1866, L1866, Holiday_Dates) - IF(I1866 = L1866, 0, 1)
            )
        )
    ),
    ""
)</f>
        <v/>
      </c>
      <c r="Q1866" s="385" t="str">
        <f>IF(
    OR(ISBLANK(L1866), ISBLANK(M1866)),
    "",
    MAX(
        1,
        IF(
            NETWORKDAYS(L1866, M1866, Holiday_Dates) &lt;= 0,
            1,
            NETWORKDAYS(L1866, M1866, Holiday_Dates) - IF(L1866 = M1866, 0, 1)
        )
    )
)</f>
        <v/>
      </c>
      <c r="R1866" s="385" t="str">
        <f>IFERROR(
    IF(
        OR(ISBLANK(N1866), AND(ISBLANK(L1866), ISBLANK(M1866))),
        "",
        MAX(
            1,
            IF(
                NETWORKDAYS(IF(NOT(ISBLANK(M1866)), M1866, L1866), N1866, Holiday_Dates) &lt;= 0,
                1,
                NETWORKDAYS(IF(NOT(ISBLANK(M1866)), M1866, L1866), N1866, Holiday_Dates)
                - IF(IF(NOT(ISBLANK(M1866)), M1866, L1866) = N1866, 0, 1)
            )
        )
    ),
    ""
)</f>
        <v/>
      </c>
      <c r="S1866" s="385" t="str">
        <f>IFERROR(
    IF(
        OR(ISBLANK(N1866), ISBLANK(O1866)),
        "",
        MAX(
            1,
            IF(
                NETWORKDAYS(N1866, O1866, Holiday_Dates) &lt;= 0,
                1,
                NETWORKDAYS(N1866, O1866, Holiday_Dates) - IF(N1866 = O1866, 0, 1)
            )
        )
    ),
    ""
)</f>
        <v/>
      </c>
      <c r="T1866" s="385"/>
      <c r="U1866" s="385"/>
      <c r="V1866" s="385"/>
      <c r="W1866" s="385" t="s">
        <v>4710</v>
      </c>
      <c r="X1866" s="1"/>
    </row>
    <row r="1867" spans="1:24">
      <c r="A1867" s="385" t="s">
        <v>49</v>
      </c>
      <c r="B1867" s="385" t="s">
        <v>439</v>
      </c>
      <c r="C1867" s="385" t="s">
        <v>2561</v>
      </c>
      <c r="D1867" s="385" t="s">
        <v>88</v>
      </c>
      <c r="E1867" s="385" t="s">
        <v>377</v>
      </c>
      <c r="F1867" s="385"/>
      <c r="G1867" s="385" t="s">
        <v>128</v>
      </c>
      <c r="H1867" s="385"/>
      <c r="I1867" s="385"/>
      <c r="J1867" s="30"/>
      <c r="K1867" s="385"/>
      <c r="L1867" s="385"/>
      <c r="M1867" s="385"/>
      <c r="N1867" s="385"/>
      <c r="O1867" s="385"/>
      <c r="P1867" s="385" t="str">
        <f>IFERROR(
    IF(
        OR(ISBLANK(I1867), ISBLANK(L1867)),
        "",
        MAX(
            1,
            IF(
                NETWORKDAYS(I1867, L1867, Holiday_Dates) &lt;= 0,
                1,
                NETWORKDAYS(I1867, L1867, Holiday_Dates) - IF(I1867 = L1867, 0, 1)
            )
        )
    ),
    ""
)</f>
        <v/>
      </c>
      <c r="Q1867" s="385" t="str">
        <f>IF(
    OR(ISBLANK(L1867), ISBLANK(M1867)),
    "",
    MAX(
        1,
        IF(
            NETWORKDAYS(L1867, M1867, Holiday_Dates) &lt;= 0,
            1,
            NETWORKDAYS(L1867, M1867, Holiday_Dates) - IF(L1867 = M1867, 0, 1)
        )
    )
)</f>
        <v/>
      </c>
      <c r="R1867" s="385" t="str">
        <f>IFERROR(
    IF(
        OR(ISBLANK(N1867), AND(ISBLANK(L1867), ISBLANK(M1867))),
        "",
        MAX(
            1,
            IF(
                NETWORKDAYS(IF(NOT(ISBLANK(M1867)), M1867, L1867), N1867, Holiday_Dates) &lt;= 0,
                1,
                NETWORKDAYS(IF(NOT(ISBLANK(M1867)), M1867, L1867), N1867, Holiday_Dates)
                - IF(IF(NOT(ISBLANK(M1867)), M1867, L1867) = N1867, 0, 1)
            )
        )
    ),
    ""
)</f>
        <v/>
      </c>
      <c r="S1867" s="385" t="str">
        <f>IFERROR(
    IF(
        OR(ISBLANK(N1867), ISBLANK(O1867)),
        "",
        MAX(
            1,
            IF(
                NETWORKDAYS(N1867, O1867, Holiday_Dates) &lt;= 0,
                1,
                NETWORKDAYS(N1867, O1867, Holiday_Dates) - IF(N1867 = O1867, 0, 1)
            )
        )
    ),
    ""
)</f>
        <v/>
      </c>
      <c r="T1867" s="385"/>
      <c r="U1867" s="385"/>
      <c r="V1867" s="385"/>
      <c r="W1867" s="385" t="s">
        <v>4710</v>
      </c>
      <c r="X1867" s="1"/>
    </row>
    <row r="1868" spans="1:24">
      <c r="A1868" s="385" t="s">
        <v>51</v>
      </c>
      <c r="B1868" s="385" t="s">
        <v>389</v>
      </c>
      <c r="C1868" s="385" t="s">
        <v>3541</v>
      </c>
      <c r="D1868" s="385" t="s">
        <v>88</v>
      </c>
      <c r="E1868" s="385"/>
      <c r="F1868" s="385"/>
      <c r="G1868" s="385"/>
      <c r="H1868" s="385">
        <v>2024</v>
      </c>
      <c r="I1868" s="386">
        <v>45447</v>
      </c>
      <c r="J1868" s="30"/>
      <c r="K1868" s="385"/>
      <c r="L1868" s="385"/>
      <c r="M1868" s="385"/>
      <c r="N1868" s="385"/>
      <c r="O1868" s="385"/>
      <c r="P1868" s="385" t="str">
        <f>IFERROR(
    IF(
        OR(ISBLANK(I1868), ISBLANK(L1868)),
        "",
        MAX(
            1,
            IF(
                NETWORKDAYS(I1868, L1868, Holiday_Dates) &lt;= 0,
                1,
                NETWORKDAYS(I1868, L1868, Holiday_Dates) - IF(I1868 = L1868, 0, 1)
            )
        )
    ),
    ""
)</f>
        <v/>
      </c>
      <c r="Q1868" s="385" t="str">
        <f>IF(
    OR(ISBLANK(L1868), ISBLANK(M1868)),
    "",
    MAX(
        1,
        IF(
            NETWORKDAYS(L1868, M1868, Holiday_Dates) &lt;= 0,
            1,
            NETWORKDAYS(L1868, M1868, Holiday_Dates) - IF(L1868 = M1868, 0, 1)
        )
    )
)</f>
        <v/>
      </c>
      <c r="R1868" s="385" t="str">
        <f>IFERROR(
    IF(
        OR(ISBLANK(N1868), AND(ISBLANK(L1868), ISBLANK(M1868))),
        "",
        MAX(
            1,
            IF(
                NETWORKDAYS(IF(NOT(ISBLANK(M1868)), M1868, L1868), N1868, Holiday_Dates) &lt;= 0,
                1,
                NETWORKDAYS(IF(NOT(ISBLANK(M1868)), M1868, L1868), N1868, Holiday_Dates)
                - IF(IF(NOT(ISBLANK(M1868)), M1868, L1868) = N1868, 0, 1)
            )
        )
    ),
    ""
)</f>
        <v/>
      </c>
      <c r="S1868" s="385" t="str">
        <f>IFERROR(
    IF(
        OR(ISBLANK(N1868), ISBLANK(O1868)),
        "",
        MAX(
            1,
            IF(
                NETWORKDAYS(N1868, O1868, Holiday_Dates) &lt;= 0,
                1,
                NETWORKDAYS(N1868, O1868, Holiday_Dates) - IF(N1868 = O1868, 0, 1)
            )
        )
    ),
    ""
)</f>
        <v/>
      </c>
      <c r="T1868" s="385"/>
      <c r="U1868" s="385" t="s">
        <v>672</v>
      </c>
      <c r="V1868" s="385"/>
      <c r="W1868" s="385" t="s">
        <v>1436</v>
      </c>
      <c r="X1868" s="1"/>
    </row>
    <row r="1869" spans="1:24">
      <c r="A1869" s="385" t="s">
        <v>49</v>
      </c>
      <c r="B1869" s="385" t="s">
        <v>439</v>
      </c>
      <c r="C1869" s="385" t="s">
        <v>764</v>
      </c>
      <c r="D1869" s="385" t="s">
        <v>88</v>
      </c>
      <c r="E1869" s="385" t="s">
        <v>377</v>
      </c>
      <c r="F1869" s="385"/>
      <c r="G1869" s="385" t="s">
        <v>128</v>
      </c>
      <c r="H1869" s="385"/>
      <c r="I1869" s="385"/>
      <c r="J1869" s="30"/>
      <c r="K1869" s="385"/>
      <c r="L1869" s="385"/>
      <c r="M1869" s="385"/>
      <c r="N1869" s="385"/>
      <c r="O1869" s="385"/>
      <c r="P1869" s="385" t="str">
        <f>IFERROR(
    IF(
        OR(ISBLANK(I1869), ISBLANK(L1869)),
        "",
        MAX(
            1,
            IF(
                NETWORKDAYS(I1869, L1869, Holiday_Dates) &lt;= 0,
                1,
                NETWORKDAYS(I1869, L1869, Holiday_Dates) - IF(I1869 = L1869, 0, 1)
            )
        )
    ),
    ""
)</f>
        <v/>
      </c>
      <c r="Q1869" s="385" t="str">
        <f>IF(
    OR(ISBLANK(L1869), ISBLANK(M1869)),
    "",
    MAX(
        1,
        IF(
            NETWORKDAYS(L1869, M1869, Holiday_Dates) &lt;= 0,
            1,
            NETWORKDAYS(L1869, M1869, Holiday_Dates) - IF(L1869 = M1869, 0, 1)
        )
    )
)</f>
        <v/>
      </c>
      <c r="R1869" s="385" t="str">
        <f>IFERROR(
    IF(
        OR(ISBLANK(N1869), AND(ISBLANK(L1869), ISBLANK(M1869))),
        "",
        MAX(
            1,
            IF(
                NETWORKDAYS(IF(NOT(ISBLANK(M1869)), M1869, L1869), N1869, Holiday_Dates) &lt;= 0,
                1,
                NETWORKDAYS(IF(NOT(ISBLANK(M1869)), M1869, L1869), N1869, Holiday_Dates)
                - IF(IF(NOT(ISBLANK(M1869)), M1869, L1869) = N1869, 0, 1)
            )
        )
    ),
    ""
)</f>
        <v/>
      </c>
      <c r="S1869" s="385" t="str">
        <f>IFERROR(
    IF(
        OR(ISBLANK(N1869), ISBLANK(O1869)),
        "",
        MAX(
            1,
            IF(
                NETWORKDAYS(N1869, O1869, Holiday_Dates) &lt;= 0,
                1,
                NETWORKDAYS(N1869, O1869, Holiday_Dates) - IF(N1869 = O1869, 0, 1)
            )
        )
    ),
    ""
)</f>
        <v/>
      </c>
      <c r="T1869" s="385"/>
      <c r="U1869" s="385"/>
      <c r="V1869" s="385"/>
      <c r="W1869" s="385" t="s">
        <v>4710</v>
      </c>
      <c r="X1869" s="1"/>
    </row>
    <row r="1870" spans="1:24">
      <c r="A1870" s="385" t="s">
        <v>49</v>
      </c>
      <c r="B1870" s="385" t="s">
        <v>439</v>
      </c>
      <c r="C1870" s="385" t="s">
        <v>2562</v>
      </c>
      <c r="D1870" s="385" t="s">
        <v>88</v>
      </c>
      <c r="E1870" s="385" t="s">
        <v>377</v>
      </c>
      <c r="F1870" s="385"/>
      <c r="G1870" s="385" t="s">
        <v>128</v>
      </c>
      <c r="H1870" s="385"/>
      <c r="I1870" s="385"/>
      <c r="J1870" s="30"/>
      <c r="K1870" s="385"/>
      <c r="L1870" s="385"/>
      <c r="M1870" s="385"/>
      <c r="N1870" s="385"/>
      <c r="O1870" s="385"/>
      <c r="P1870" s="385" t="str">
        <f>IFERROR(
    IF(
        OR(ISBLANK(I1870), ISBLANK(L1870)),
        "",
        MAX(
            1,
            IF(
                NETWORKDAYS(I1870, L1870, Holiday_Dates) &lt;= 0,
                1,
                NETWORKDAYS(I1870, L1870, Holiday_Dates) - IF(I1870 = L1870, 0, 1)
            )
        )
    ),
    ""
)</f>
        <v/>
      </c>
      <c r="Q1870" s="385" t="str">
        <f>IF(
    OR(ISBLANK(L1870), ISBLANK(M1870)),
    "",
    MAX(
        1,
        IF(
            NETWORKDAYS(L1870, M1870, Holiday_Dates) &lt;= 0,
            1,
            NETWORKDAYS(L1870, M1870, Holiday_Dates) - IF(L1870 = M1870, 0, 1)
        )
    )
)</f>
        <v/>
      </c>
      <c r="R1870" s="385" t="str">
        <f>IFERROR(
    IF(
        OR(ISBLANK(N1870), AND(ISBLANK(L1870), ISBLANK(M1870))),
        "",
        MAX(
            1,
            IF(
                NETWORKDAYS(IF(NOT(ISBLANK(M1870)), M1870, L1870), N1870, Holiday_Dates) &lt;= 0,
                1,
                NETWORKDAYS(IF(NOT(ISBLANK(M1870)), M1870, L1870), N1870, Holiday_Dates)
                - IF(IF(NOT(ISBLANK(M1870)), M1870, L1870) = N1870, 0, 1)
            )
        )
    ),
    ""
)</f>
        <v/>
      </c>
      <c r="S1870" s="385" t="str">
        <f>IFERROR(
    IF(
        OR(ISBLANK(N1870), ISBLANK(O1870)),
        "",
        MAX(
            1,
            IF(
                NETWORKDAYS(N1870, O1870, Holiday_Dates) &lt;= 0,
                1,
                NETWORKDAYS(N1870, O1870, Holiday_Dates) - IF(N1870 = O1870, 0, 1)
            )
        )
    ),
    ""
)</f>
        <v/>
      </c>
      <c r="T1870" s="385"/>
      <c r="U1870" s="385"/>
      <c r="V1870" s="385"/>
      <c r="W1870" s="385" t="s">
        <v>4710</v>
      </c>
      <c r="X1870" s="1"/>
    </row>
    <row r="1871" spans="1:24">
      <c r="A1871" s="385" t="s">
        <v>51</v>
      </c>
      <c r="B1871" s="385" t="s">
        <v>389</v>
      </c>
      <c r="C1871" s="385" t="s">
        <v>3544</v>
      </c>
      <c r="D1871" s="385" t="s">
        <v>88</v>
      </c>
      <c r="E1871" s="385"/>
      <c r="F1871" s="385"/>
      <c r="G1871" s="385"/>
      <c r="H1871" s="385">
        <v>2024</v>
      </c>
      <c r="I1871" s="386">
        <v>45485</v>
      </c>
      <c r="J1871" s="30"/>
      <c r="K1871" s="385"/>
      <c r="L1871" s="385"/>
      <c r="M1871" s="385"/>
      <c r="N1871" s="385"/>
      <c r="O1871" s="385"/>
      <c r="P1871" s="385" t="str">
        <f>IFERROR(
    IF(
        OR(ISBLANK(I1871), ISBLANK(L1871)),
        "",
        MAX(
            1,
            IF(
                NETWORKDAYS(I1871, L1871, Holiday_Dates) &lt;= 0,
                1,
                NETWORKDAYS(I1871, L1871, Holiday_Dates) - IF(I1871 = L1871, 0, 1)
            )
        )
    ),
    ""
)</f>
        <v/>
      </c>
      <c r="Q1871" s="385" t="str">
        <f>IF(
    OR(ISBLANK(L1871), ISBLANK(M1871)),
    "",
    MAX(
        1,
        IF(
            NETWORKDAYS(L1871, M1871, Holiday_Dates) &lt;= 0,
            1,
            NETWORKDAYS(L1871, M1871, Holiday_Dates) - IF(L1871 = M1871, 0, 1)
        )
    )
)</f>
        <v/>
      </c>
      <c r="R1871" s="385" t="str">
        <f>IFERROR(
    IF(
        OR(ISBLANK(N1871), AND(ISBLANK(L1871), ISBLANK(M1871))),
        "",
        MAX(
            1,
            IF(
                NETWORKDAYS(IF(NOT(ISBLANK(M1871)), M1871, L1871), N1871, Holiday_Dates) &lt;= 0,
                1,
                NETWORKDAYS(IF(NOT(ISBLANK(M1871)), M1871, L1871), N1871, Holiday_Dates)
                - IF(IF(NOT(ISBLANK(M1871)), M1871, L1871) = N1871, 0, 1)
            )
        )
    ),
    ""
)</f>
        <v/>
      </c>
      <c r="S1871" s="385" t="str">
        <f>IFERROR(
    IF(
        OR(ISBLANK(N1871), ISBLANK(O1871)),
        "",
        MAX(
            1,
            IF(
                NETWORKDAYS(N1871, O1871, Holiday_Dates) &lt;= 0,
                1,
                NETWORKDAYS(N1871, O1871, Holiday_Dates) - IF(N1871 = O1871, 0, 1)
            )
        )
    ),
    ""
)</f>
        <v/>
      </c>
      <c r="T1871" s="385"/>
      <c r="U1871" s="385" t="s">
        <v>672</v>
      </c>
      <c r="V1871" s="393"/>
      <c r="W1871" s="385" t="s">
        <v>1436</v>
      </c>
      <c r="X1871" s="1"/>
    </row>
    <row r="1872" spans="1:24">
      <c r="A1872" s="385" t="s">
        <v>51</v>
      </c>
      <c r="B1872" s="385" t="s">
        <v>389</v>
      </c>
      <c r="C1872" s="385" t="s">
        <v>3546</v>
      </c>
      <c r="D1872" s="385" t="s">
        <v>88</v>
      </c>
      <c r="E1872" s="385"/>
      <c r="F1872" s="385"/>
      <c r="G1872" s="385"/>
      <c r="H1872" s="385">
        <v>2025</v>
      </c>
      <c r="I1872" s="386">
        <v>45882</v>
      </c>
      <c r="J1872" s="30" t="s">
        <v>5407</v>
      </c>
      <c r="K1872" s="385"/>
      <c r="L1872" s="385"/>
      <c r="M1872" s="385"/>
      <c r="N1872" s="385"/>
      <c r="O1872" s="385"/>
      <c r="P1872" s="385" t="str">
        <f>IFERROR(
    IF(
        OR(ISBLANK(I1872), ISBLANK(L1872)),
        "",
        MAX(
            1,
            IF(
                NETWORKDAYS(I1872, L1872, Holiday_Dates) &lt;= 0,
                1,
                NETWORKDAYS(I1872, L1872, Holiday_Dates) - IF(I1872 = L1872, 0, 1)
            )
        )
    ),
    ""
)</f>
        <v/>
      </c>
      <c r="Q1872" s="385" t="str">
        <f>IF(
    OR(ISBLANK(L1872), ISBLANK(M1872)),
    "",
    MAX(
        1,
        IF(
            NETWORKDAYS(L1872, M1872, Holiday_Dates) &lt;= 0,
            1,
            NETWORKDAYS(L1872, M1872, Holiday_Dates) - IF(L1872 = M1872, 0, 1)
        )
    )
)</f>
        <v/>
      </c>
      <c r="R1872" s="385" t="str">
        <f>IFERROR(
    IF(
        OR(ISBLANK(N1872), AND(ISBLANK(L1872), ISBLANK(M1872))),
        "",
        MAX(
            1,
            IF(
                NETWORKDAYS(IF(NOT(ISBLANK(M1872)), M1872, L1872), N1872, Holiday_Dates) &lt;= 0,
                1,
                NETWORKDAYS(IF(NOT(ISBLANK(M1872)), M1872, L1872), N1872, Holiday_Dates)
                - IF(IF(NOT(ISBLANK(M1872)), M1872, L1872) = N1872, 0, 1)
            )
        )
    ),
    ""
)</f>
        <v/>
      </c>
      <c r="S1872" s="385" t="str">
        <f>IFERROR(
    IF(
        OR(ISBLANK(N1872), ISBLANK(O1872)),
        "",
        MAX(
            1,
            IF(
                NETWORKDAYS(N1872, O1872, Holiday_Dates) &lt;= 0,
                1,
                NETWORKDAYS(N1872, O1872, Holiday_Dates) - IF(N1872 = O1872, 0, 1)
            )
        )
    ),
    ""
)</f>
        <v/>
      </c>
      <c r="T1872" s="385"/>
      <c r="U1872" s="385" t="s">
        <v>4</v>
      </c>
      <c r="V1872" s="385" t="s">
        <v>108</v>
      </c>
      <c r="W1872" s="385" t="s">
        <v>1436</v>
      </c>
      <c r="X1872" s="1"/>
    </row>
    <row r="1873" spans="1:24">
      <c r="A1873" s="385" t="s">
        <v>51</v>
      </c>
      <c r="B1873" s="385" t="s">
        <v>389</v>
      </c>
      <c r="C1873" s="385" t="s">
        <v>3547</v>
      </c>
      <c r="D1873" s="385" t="s">
        <v>88</v>
      </c>
      <c r="E1873" s="385"/>
      <c r="F1873" s="385"/>
      <c r="G1873" s="385"/>
      <c r="H1873" s="385">
        <v>2025</v>
      </c>
      <c r="I1873" s="386">
        <v>45882</v>
      </c>
      <c r="J1873" s="30" t="s">
        <v>5408</v>
      </c>
      <c r="K1873" s="385"/>
      <c r="L1873" s="385"/>
      <c r="M1873" s="385"/>
      <c r="N1873" s="385"/>
      <c r="O1873" s="385"/>
      <c r="P1873" s="385" t="str">
        <f>IFERROR(
    IF(
        OR(ISBLANK(I1873), ISBLANK(L1873)),
        "",
        MAX(
            1,
            IF(
                NETWORKDAYS(I1873, L1873, Holiday_Dates) &lt;= 0,
                1,
                NETWORKDAYS(I1873, L1873, Holiday_Dates) - IF(I1873 = L1873, 0, 1)
            )
        )
    ),
    ""
)</f>
        <v/>
      </c>
      <c r="Q1873" s="385" t="str">
        <f>IF(
    OR(ISBLANK(L1873), ISBLANK(M1873)),
    "",
    MAX(
        1,
        IF(
            NETWORKDAYS(L1873, M1873, Holiday_Dates) &lt;= 0,
            1,
            NETWORKDAYS(L1873, M1873, Holiday_Dates) - IF(L1873 = M1873, 0, 1)
        )
    )
)</f>
        <v/>
      </c>
      <c r="R1873" s="385" t="str">
        <f>IFERROR(
    IF(
        OR(ISBLANK(N1873), AND(ISBLANK(L1873), ISBLANK(M1873))),
        "",
        MAX(
            1,
            IF(
                NETWORKDAYS(IF(NOT(ISBLANK(M1873)), M1873, L1873), N1873, Holiday_Dates) &lt;= 0,
                1,
                NETWORKDAYS(IF(NOT(ISBLANK(M1873)), M1873, L1873), N1873, Holiday_Dates)
                - IF(IF(NOT(ISBLANK(M1873)), M1873, L1873) = N1873, 0, 1)
            )
        )
    ),
    ""
)</f>
        <v/>
      </c>
      <c r="S1873" s="385" t="str">
        <f>IFERROR(
    IF(
        OR(ISBLANK(N1873), ISBLANK(O1873)),
        "",
        MAX(
            1,
            IF(
                NETWORKDAYS(N1873, O1873, Holiday_Dates) &lt;= 0,
                1,
                NETWORKDAYS(N1873, O1873, Holiday_Dates) - IF(N1873 = O1873, 0, 1)
            )
        )
    ),
    ""
)</f>
        <v/>
      </c>
      <c r="T1873" s="385"/>
      <c r="U1873" s="385" t="s">
        <v>4</v>
      </c>
      <c r="V1873" s="385" t="s">
        <v>101</v>
      </c>
      <c r="W1873" s="385" t="s">
        <v>1436</v>
      </c>
      <c r="X1873" s="1"/>
    </row>
    <row r="1874" spans="1:24">
      <c r="A1874" s="385" t="s">
        <v>49</v>
      </c>
      <c r="B1874" s="385" t="s">
        <v>439</v>
      </c>
      <c r="C1874" s="385" t="s">
        <v>2563</v>
      </c>
      <c r="D1874" s="385" t="s">
        <v>88</v>
      </c>
      <c r="E1874" s="385" t="s">
        <v>377</v>
      </c>
      <c r="F1874" s="385"/>
      <c r="G1874" s="385" t="s">
        <v>128</v>
      </c>
      <c r="H1874" s="385"/>
      <c r="I1874" s="385"/>
      <c r="J1874" s="30"/>
      <c r="K1874" s="385"/>
      <c r="L1874" s="385"/>
      <c r="M1874" s="385"/>
      <c r="N1874" s="385"/>
      <c r="O1874" s="385"/>
      <c r="P1874" s="385" t="str">
        <f>IFERROR(
    IF(
        OR(ISBLANK(I1874), ISBLANK(L1874)),
        "",
        MAX(
            1,
            IF(
                NETWORKDAYS(I1874, L1874, Holiday_Dates) &lt;= 0,
                1,
                NETWORKDAYS(I1874, L1874, Holiday_Dates) - IF(I1874 = L1874, 0, 1)
            )
        )
    ),
    ""
)</f>
        <v/>
      </c>
      <c r="Q1874" s="385" t="str">
        <f>IF(
    OR(ISBLANK(L1874), ISBLANK(M1874)),
    "",
    MAX(
        1,
        IF(
            NETWORKDAYS(L1874, M1874, Holiday_Dates) &lt;= 0,
            1,
            NETWORKDAYS(L1874, M1874, Holiday_Dates) - IF(L1874 = M1874, 0, 1)
        )
    )
)</f>
        <v/>
      </c>
      <c r="R1874" s="385" t="str">
        <f>IFERROR(
    IF(
        OR(ISBLANK(N1874), AND(ISBLANK(L1874), ISBLANK(M1874))),
        "",
        MAX(
            1,
            IF(
                NETWORKDAYS(IF(NOT(ISBLANK(M1874)), M1874, L1874), N1874, Holiday_Dates) &lt;= 0,
                1,
                NETWORKDAYS(IF(NOT(ISBLANK(M1874)), M1874, L1874), N1874, Holiday_Dates)
                - IF(IF(NOT(ISBLANK(M1874)), M1874, L1874) = N1874, 0, 1)
            )
        )
    ),
    ""
)</f>
        <v/>
      </c>
      <c r="S1874" s="385" t="str">
        <f>IFERROR(
    IF(
        OR(ISBLANK(N1874), ISBLANK(O1874)),
        "",
        MAX(
            1,
            IF(
                NETWORKDAYS(N1874, O1874, Holiday_Dates) &lt;= 0,
                1,
                NETWORKDAYS(N1874, O1874, Holiday_Dates) - IF(N1874 = O1874, 0, 1)
            )
        )
    ),
    ""
)</f>
        <v/>
      </c>
      <c r="T1874" s="385"/>
      <c r="U1874" s="385"/>
      <c r="V1874" s="385"/>
      <c r="W1874" s="385" t="s">
        <v>4710</v>
      </c>
      <c r="X1874" s="1"/>
    </row>
    <row r="1875" spans="1:24">
      <c r="A1875" s="385" t="s">
        <v>49</v>
      </c>
      <c r="B1875" s="385" t="s">
        <v>439</v>
      </c>
      <c r="C1875" s="385" t="s">
        <v>2564</v>
      </c>
      <c r="D1875" s="385" t="s">
        <v>88</v>
      </c>
      <c r="E1875" s="385" t="s">
        <v>377</v>
      </c>
      <c r="F1875" s="385"/>
      <c r="G1875" s="385" t="s">
        <v>128</v>
      </c>
      <c r="H1875" s="385"/>
      <c r="I1875" s="385"/>
      <c r="J1875" s="30"/>
      <c r="K1875" s="385"/>
      <c r="L1875" s="385"/>
      <c r="M1875" s="385"/>
      <c r="N1875" s="385"/>
      <c r="O1875" s="385"/>
      <c r="P1875" s="385" t="str">
        <f>IFERROR(
    IF(
        OR(ISBLANK(I1875), ISBLANK(L1875)),
        "",
        MAX(
            1,
            IF(
                NETWORKDAYS(I1875, L1875, Holiday_Dates) &lt;= 0,
                1,
                NETWORKDAYS(I1875, L1875, Holiday_Dates) - IF(I1875 = L1875, 0, 1)
            )
        )
    ),
    ""
)</f>
        <v/>
      </c>
      <c r="Q1875" s="385" t="str">
        <f>IF(
    OR(ISBLANK(L1875), ISBLANK(M1875)),
    "",
    MAX(
        1,
        IF(
            NETWORKDAYS(L1875, M1875, Holiday_Dates) &lt;= 0,
            1,
            NETWORKDAYS(L1875, M1875, Holiday_Dates) - IF(L1875 = M1875, 0, 1)
        )
    )
)</f>
        <v/>
      </c>
      <c r="R1875" s="385" t="str">
        <f>IFERROR(
    IF(
        OR(ISBLANK(N1875), AND(ISBLANK(L1875), ISBLANK(M1875))),
        "",
        MAX(
            1,
            IF(
                NETWORKDAYS(IF(NOT(ISBLANK(M1875)), M1875, L1875), N1875, Holiday_Dates) &lt;= 0,
                1,
                NETWORKDAYS(IF(NOT(ISBLANK(M1875)), M1875, L1875), N1875, Holiday_Dates)
                - IF(IF(NOT(ISBLANK(M1875)), M1875, L1875) = N1875, 0, 1)
            )
        )
    ),
    ""
)</f>
        <v/>
      </c>
      <c r="S1875" s="385" t="str">
        <f>IFERROR(
    IF(
        OR(ISBLANK(N1875), ISBLANK(O1875)),
        "",
        MAX(
            1,
            IF(
                NETWORKDAYS(N1875, O1875, Holiday_Dates) &lt;= 0,
                1,
                NETWORKDAYS(N1875, O1875, Holiday_Dates) - IF(N1875 = O1875, 0, 1)
            )
        )
    ),
    ""
)</f>
        <v/>
      </c>
      <c r="T1875" s="385"/>
      <c r="U1875" s="385"/>
      <c r="V1875" s="385"/>
      <c r="W1875" s="385" t="s">
        <v>4710</v>
      </c>
      <c r="X1875" s="1"/>
    </row>
    <row r="1876" spans="1:24">
      <c r="A1876" s="385" t="s">
        <v>51</v>
      </c>
      <c r="B1876" s="385" t="s">
        <v>389</v>
      </c>
      <c r="C1876" s="385" t="s">
        <v>3549</v>
      </c>
      <c r="D1876" s="385" t="s">
        <v>88</v>
      </c>
      <c r="E1876" s="385"/>
      <c r="F1876" s="385"/>
      <c r="G1876" s="385"/>
      <c r="H1876" s="385">
        <v>2025</v>
      </c>
      <c r="I1876" s="386">
        <v>45882</v>
      </c>
      <c r="J1876" s="30" t="s">
        <v>5409</v>
      </c>
      <c r="K1876" s="385"/>
      <c r="L1876" s="385"/>
      <c r="M1876" s="385"/>
      <c r="N1876" s="385"/>
      <c r="O1876" s="385"/>
      <c r="P1876" s="385" t="str">
        <f>IFERROR(
    IF(
        OR(ISBLANK(I1876), ISBLANK(L1876)),
        "",
        MAX(
            1,
            IF(
                NETWORKDAYS(I1876, L1876, Holiday_Dates) &lt;= 0,
                1,
                NETWORKDAYS(I1876, L1876, Holiday_Dates) - IF(I1876 = L1876, 0, 1)
            )
        )
    ),
    ""
)</f>
        <v/>
      </c>
      <c r="Q1876" s="385" t="str">
        <f>IF(
    OR(ISBLANK(L1876), ISBLANK(M1876)),
    "",
    MAX(
        1,
        IF(
            NETWORKDAYS(L1876, M1876, Holiday_Dates) &lt;= 0,
            1,
            NETWORKDAYS(L1876, M1876, Holiday_Dates) - IF(L1876 = M1876, 0, 1)
        )
    )
)</f>
        <v/>
      </c>
      <c r="R1876" s="385" t="str">
        <f>IFERROR(
    IF(
        OR(ISBLANK(N1876), AND(ISBLANK(L1876), ISBLANK(M1876))),
        "",
        MAX(
            1,
            IF(
                NETWORKDAYS(IF(NOT(ISBLANK(M1876)), M1876, L1876), N1876, Holiday_Dates) &lt;= 0,
                1,
                NETWORKDAYS(IF(NOT(ISBLANK(M1876)), M1876, L1876), N1876, Holiday_Dates)
                - IF(IF(NOT(ISBLANK(M1876)), M1876, L1876) = N1876, 0, 1)
            )
        )
    ),
    ""
)</f>
        <v/>
      </c>
      <c r="S1876" s="385" t="str">
        <f>IFERROR(
    IF(
        OR(ISBLANK(N1876), ISBLANK(O1876)),
        "",
        MAX(
            1,
            IF(
                NETWORKDAYS(N1876, O1876, Holiday_Dates) &lt;= 0,
                1,
                NETWORKDAYS(N1876, O1876, Holiday_Dates) - IF(N1876 = O1876, 0, 1)
            )
        )
    ),
    ""
)</f>
        <v/>
      </c>
      <c r="T1876" s="385"/>
      <c r="U1876" s="385" t="s">
        <v>4</v>
      </c>
      <c r="V1876" s="385" t="s">
        <v>108</v>
      </c>
      <c r="W1876" s="385" t="s">
        <v>1436</v>
      </c>
      <c r="X1876" s="1"/>
    </row>
    <row r="1877" spans="1:24">
      <c r="A1877" s="385" t="s">
        <v>49</v>
      </c>
      <c r="B1877" s="385" t="s">
        <v>439</v>
      </c>
      <c r="C1877" s="385" t="s">
        <v>2565</v>
      </c>
      <c r="D1877" s="385" t="s">
        <v>88</v>
      </c>
      <c r="E1877" s="385" t="s">
        <v>377</v>
      </c>
      <c r="F1877" s="385"/>
      <c r="G1877" s="385" t="s">
        <v>128</v>
      </c>
      <c r="H1877" s="385"/>
      <c r="I1877" s="385"/>
      <c r="J1877" s="30"/>
      <c r="K1877" s="385"/>
      <c r="L1877" s="385"/>
      <c r="M1877" s="385"/>
      <c r="N1877" s="385"/>
      <c r="O1877" s="385"/>
      <c r="P1877" s="385" t="str">
        <f>IFERROR(
    IF(
        OR(ISBLANK(I1877), ISBLANK(L1877)),
        "",
        MAX(
            1,
            IF(
                NETWORKDAYS(I1877, L1877, Holiday_Dates) &lt;= 0,
                1,
                NETWORKDAYS(I1877, L1877, Holiday_Dates) - IF(I1877 = L1877, 0, 1)
            )
        )
    ),
    ""
)</f>
        <v/>
      </c>
      <c r="Q1877" s="385" t="str">
        <f>IF(
    OR(ISBLANK(L1877), ISBLANK(M1877)),
    "",
    MAX(
        1,
        IF(
            NETWORKDAYS(L1877, M1877, Holiday_Dates) &lt;= 0,
            1,
            NETWORKDAYS(L1877, M1877, Holiday_Dates) - IF(L1877 = M1877, 0, 1)
        )
    )
)</f>
        <v/>
      </c>
      <c r="R1877" s="385" t="str">
        <f>IFERROR(
    IF(
        OR(ISBLANK(N1877), AND(ISBLANK(L1877), ISBLANK(M1877))),
        "",
        MAX(
            1,
            IF(
                NETWORKDAYS(IF(NOT(ISBLANK(M1877)), M1877, L1877), N1877, Holiday_Dates) &lt;= 0,
                1,
                NETWORKDAYS(IF(NOT(ISBLANK(M1877)), M1877, L1877), N1877, Holiday_Dates)
                - IF(IF(NOT(ISBLANK(M1877)), M1877, L1877) = N1877, 0, 1)
            )
        )
    ),
    ""
)</f>
        <v/>
      </c>
      <c r="S1877" s="385" t="str">
        <f>IFERROR(
    IF(
        OR(ISBLANK(N1877), ISBLANK(O1877)),
        "",
        MAX(
            1,
            IF(
                NETWORKDAYS(N1877, O1877, Holiday_Dates) &lt;= 0,
                1,
                NETWORKDAYS(N1877, O1877, Holiday_Dates) - IF(N1877 = O1877, 0, 1)
            )
        )
    ),
    ""
)</f>
        <v/>
      </c>
      <c r="T1877" s="385"/>
      <c r="U1877" s="385"/>
      <c r="V1877" s="385"/>
      <c r="W1877" s="385" t="s">
        <v>4710</v>
      </c>
      <c r="X1877" s="1"/>
    </row>
    <row r="1878" spans="1:24">
      <c r="A1878" s="385" t="s">
        <v>51</v>
      </c>
      <c r="B1878" s="385" t="s">
        <v>389</v>
      </c>
      <c r="C1878" s="385" t="s">
        <v>3550</v>
      </c>
      <c r="D1878" s="385" t="s">
        <v>88</v>
      </c>
      <c r="E1878" s="385"/>
      <c r="F1878" s="385"/>
      <c r="G1878" s="385"/>
      <c r="H1878" s="385">
        <v>2025</v>
      </c>
      <c r="I1878" s="386">
        <v>45882</v>
      </c>
      <c r="J1878" s="30" t="s">
        <v>5410</v>
      </c>
      <c r="K1878" s="385"/>
      <c r="L1878" s="385"/>
      <c r="M1878" s="385"/>
      <c r="N1878" s="385"/>
      <c r="O1878" s="385"/>
      <c r="P1878" s="385" t="str">
        <f>IFERROR(
    IF(
        OR(ISBLANK(I1878), ISBLANK(L1878)),
        "",
        MAX(
            1,
            IF(
                NETWORKDAYS(I1878, L1878, Holiday_Dates) &lt;= 0,
                1,
                NETWORKDAYS(I1878, L1878, Holiday_Dates) - IF(I1878 = L1878, 0, 1)
            )
        )
    ),
    ""
)</f>
        <v/>
      </c>
      <c r="Q1878" s="385" t="str">
        <f>IF(
    OR(ISBLANK(L1878), ISBLANK(M1878)),
    "",
    MAX(
        1,
        IF(
            NETWORKDAYS(L1878, M1878, Holiday_Dates) &lt;= 0,
            1,
            NETWORKDAYS(L1878, M1878, Holiday_Dates) - IF(L1878 = M1878, 0, 1)
        )
    )
)</f>
        <v/>
      </c>
      <c r="R1878" s="385" t="str">
        <f>IFERROR(
    IF(
        OR(ISBLANK(N1878), AND(ISBLANK(L1878), ISBLANK(M1878))),
        "",
        MAX(
            1,
            IF(
                NETWORKDAYS(IF(NOT(ISBLANK(M1878)), M1878, L1878), N1878, Holiday_Dates) &lt;= 0,
                1,
                NETWORKDAYS(IF(NOT(ISBLANK(M1878)), M1878, L1878), N1878, Holiday_Dates)
                - IF(IF(NOT(ISBLANK(M1878)), M1878, L1878) = N1878, 0, 1)
            )
        )
    ),
    ""
)</f>
        <v/>
      </c>
      <c r="S1878" s="385" t="str">
        <f>IFERROR(
    IF(
        OR(ISBLANK(N1878), ISBLANK(O1878)),
        "",
        MAX(
            1,
            IF(
                NETWORKDAYS(N1878, O1878, Holiday_Dates) &lt;= 0,
                1,
                NETWORKDAYS(N1878, O1878, Holiday_Dates) - IF(N1878 = O1878, 0, 1)
            )
        )
    ),
    ""
)</f>
        <v/>
      </c>
      <c r="T1878" s="385"/>
      <c r="U1878" s="385" t="s">
        <v>4</v>
      </c>
      <c r="V1878" s="385" t="s">
        <v>108</v>
      </c>
      <c r="W1878" s="385" t="s">
        <v>1436</v>
      </c>
      <c r="X1878" s="1"/>
    </row>
    <row r="1879" spans="1:24">
      <c r="A1879" s="385" t="s">
        <v>51</v>
      </c>
      <c r="B1879" s="385" t="s">
        <v>389</v>
      </c>
      <c r="C1879" s="385" t="s">
        <v>3551</v>
      </c>
      <c r="D1879" s="385" t="s">
        <v>88</v>
      </c>
      <c r="E1879" s="385"/>
      <c r="F1879" s="385"/>
      <c r="G1879" s="385"/>
      <c r="H1879" s="385">
        <v>2024</v>
      </c>
      <c r="I1879" s="386">
        <v>45447</v>
      </c>
      <c r="J1879" s="30"/>
      <c r="K1879" s="385"/>
      <c r="L1879" s="385"/>
      <c r="M1879" s="385"/>
      <c r="N1879" s="385"/>
      <c r="O1879" s="385"/>
      <c r="P1879" s="385" t="str">
        <f>IFERROR(
    IF(
        OR(ISBLANK(I1879), ISBLANK(L1879)),
        "",
        MAX(
            1,
            IF(
                NETWORKDAYS(I1879, L1879, Holiday_Dates) &lt;= 0,
                1,
                NETWORKDAYS(I1879, L1879, Holiday_Dates) - IF(I1879 = L1879, 0, 1)
            )
        )
    ),
    ""
)</f>
        <v/>
      </c>
      <c r="Q1879" s="385" t="str">
        <f>IF(
    OR(ISBLANK(L1879), ISBLANK(M1879)),
    "",
    MAX(
        1,
        IF(
            NETWORKDAYS(L1879, M1879, Holiday_Dates) &lt;= 0,
            1,
            NETWORKDAYS(L1879, M1879, Holiday_Dates) - IF(L1879 = M1879, 0, 1)
        )
    )
)</f>
        <v/>
      </c>
      <c r="R1879" s="385" t="str">
        <f>IFERROR(
    IF(
        OR(ISBLANK(N1879), AND(ISBLANK(L1879), ISBLANK(M1879))),
        "",
        MAX(
            1,
            IF(
                NETWORKDAYS(IF(NOT(ISBLANK(M1879)), M1879, L1879), N1879, Holiday_Dates) &lt;= 0,
                1,
                NETWORKDAYS(IF(NOT(ISBLANK(M1879)), M1879, L1879), N1879, Holiday_Dates)
                - IF(IF(NOT(ISBLANK(M1879)), M1879, L1879) = N1879, 0, 1)
            )
        )
    ),
    ""
)</f>
        <v/>
      </c>
      <c r="S1879" s="385" t="str">
        <f>IFERROR(
    IF(
        OR(ISBLANK(N1879), ISBLANK(O1879)),
        "",
        MAX(
            1,
            IF(
                NETWORKDAYS(N1879, O1879, Holiday_Dates) &lt;= 0,
                1,
                NETWORKDAYS(N1879, O1879, Holiday_Dates) - IF(N1879 = O1879, 0, 1)
            )
        )
    ),
    ""
)</f>
        <v/>
      </c>
      <c r="T1879" s="385"/>
      <c r="U1879" s="385" t="s">
        <v>672</v>
      </c>
      <c r="V1879" s="385"/>
      <c r="W1879" s="385" t="s">
        <v>1436</v>
      </c>
      <c r="X1879" s="1"/>
    </row>
    <row r="1880" spans="1:24">
      <c r="A1880" s="385" t="s">
        <v>51</v>
      </c>
      <c r="B1880" s="385" t="s">
        <v>389</v>
      </c>
      <c r="C1880" s="385" t="s">
        <v>2456</v>
      </c>
      <c r="D1880" s="385" t="s">
        <v>88</v>
      </c>
      <c r="E1880" s="385"/>
      <c r="F1880" s="385"/>
      <c r="G1880" s="385"/>
      <c r="H1880" s="385">
        <v>2025</v>
      </c>
      <c r="I1880" s="386">
        <v>45847</v>
      </c>
      <c r="J1880" s="30" t="s">
        <v>5411</v>
      </c>
      <c r="K1880" s="385"/>
      <c r="L1880" s="385"/>
      <c r="M1880" s="385"/>
      <c r="N1880" s="385"/>
      <c r="O1880" s="385"/>
      <c r="P1880" s="385" t="str">
        <f>IFERROR(
    IF(
        OR(ISBLANK(I1880), ISBLANK(L1880)),
        "",
        MAX(
            1,
            IF(
                NETWORKDAYS(I1880, L1880, Holiday_Dates) &lt;= 0,
                1,
                NETWORKDAYS(I1880, L1880, Holiday_Dates) - IF(I1880 = L1880, 0, 1)
            )
        )
    ),
    ""
)</f>
        <v/>
      </c>
      <c r="Q1880" s="385" t="str">
        <f>IF(
    OR(ISBLANK(L1880), ISBLANK(M1880)),
    "",
    MAX(
        1,
        IF(
            NETWORKDAYS(L1880, M1880, Holiday_Dates) &lt;= 0,
            1,
            NETWORKDAYS(L1880, M1880, Holiday_Dates) - IF(L1880 = M1880, 0, 1)
        )
    )
)</f>
        <v/>
      </c>
      <c r="R1880" s="385" t="str">
        <f>IFERROR(
    IF(
        OR(ISBLANK(N1880), AND(ISBLANK(L1880), ISBLANK(M1880))),
        "",
        MAX(
            1,
            IF(
                NETWORKDAYS(IF(NOT(ISBLANK(M1880)), M1880, L1880), N1880, Holiday_Dates) &lt;= 0,
                1,
                NETWORKDAYS(IF(NOT(ISBLANK(M1880)), M1880, L1880), N1880, Holiday_Dates)
                - IF(IF(NOT(ISBLANK(M1880)), M1880, L1880) = N1880, 0, 1)
            )
        )
    ),
    ""
)</f>
        <v/>
      </c>
      <c r="S1880" s="385" t="str">
        <f>IFERROR(
    IF(
        OR(ISBLANK(N1880), ISBLANK(O1880)),
        "",
        MAX(
            1,
            IF(
                NETWORKDAYS(N1880, O1880, Holiday_Dates) &lt;= 0,
                1,
                NETWORKDAYS(N1880, O1880, Holiday_Dates) - IF(N1880 = O1880, 0, 1)
            )
        )
    ),
    ""
)</f>
        <v/>
      </c>
      <c r="T1880" s="385"/>
      <c r="U1880" s="385" t="s">
        <v>4</v>
      </c>
      <c r="V1880" s="385" t="s">
        <v>108</v>
      </c>
      <c r="W1880" s="385" t="s">
        <v>1436</v>
      </c>
      <c r="X1880" s="1"/>
    </row>
    <row r="1881" spans="1:24">
      <c r="A1881" s="385" t="s">
        <v>51</v>
      </c>
      <c r="B1881" s="385" t="s">
        <v>389</v>
      </c>
      <c r="C1881" s="385" t="s">
        <v>717</v>
      </c>
      <c r="D1881" s="385" t="s">
        <v>88</v>
      </c>
      <c r="E1881" s="385"/>
      <c r="F1881" s="385"/>
      <c r="G1881" s="385"/>
      <c r="H1881" s="385">
        <v>2025</v>
      </c>
      <c r="I1881" s="386">
        <v>45939</v>
      </c>
      <c r="J1881" s="30" t="s">
        <v>5412</v>
      </c>
      <c r="K1881" s="385"/>
      <c r="L1881" s="385"/>
      <c r="M1881" s="385"/>
      <c r="N1881" s="385"/>
      <c r="O1881" s="385"/>
      <c r="P1881" s="385" t="str">
        <f>IFERROR(
    IF(
        OR(ISBLANK(I1881), ISBLANK(L1881)),
        "",
        MAX(
            1,
            IF(
                NETWORKDAYS(I1881, L1881, Holiday_Dates) &lt;= 0,
                1,
                NETWORKDAYS(I1881, L1881, Holiday_Dates) - IF(I1881 = L1881, 0, 1)
            )
        )
    ),
    ""
)</f>
        <v/>
      </c>
      <c r="Q1881" s="385" t="str">
        <f>IF(
    OR(ISBLANK(L1881), ISBLANK(M1881)),
    "",
    MAX(
        1,
        IF(
            NETWORKDAYS(L1881, M1881, Holiday_Dates) &lt;= 0,
            1,
            NETWORKDAYS(L1881, M1881, Holiday_Dates) - IF(L1881 = M1881, 0, 1)
        )
    )
)</f>
        <v/>
      </c>
      <c r="R1881" s="385" t="str">
        <f>IFERROR(
    IF(
        OR(ISBLANK(N1881), AND(ISBLANK(L1881), ISBLANK(M1881))),
        "",
        MAX(
            1,
            IF(
                NETWORKDAYS(IF(NOT(ISBLANK(M1881)), M1881, L1881), N1881, Holiday_Dates) &lt;= 0,
                1,
                NETWORKDAYS(IF(NOT(ISBLANK(M1881)), M1881, L1881), N1881, Holiday_Dates)
                - IF(IF(NOT(ISBLANK(M1881)), M1881, L1881) = N1881, 0, 1)
            )
        )
    ),
    ""
)</f>
        <v/>
      </c>
      <c r="S1881" s="385" t="str">
        <f>IFERROR(
    IF(
        OR(ISBLANK(N1881), ISBLANK(O1881)),
        "",
        MAX(
            1,
            IF(
                NETWORKDAYS(N1881, O1881, Holiday_Dates) &lt;= 0,
                1,
                NETWORKDAYS(N1881, O1881, Holiday_Dates) - IF(N1881 = O1881, 0, 1)
            )
        )
    ),
    ""
)</f>
        <v/>
      </c>
      <c r="T1881" s="385"/>
      <c r="U1881" s="385" t="s">
        <v>4</v>
      </c>
      <c r="V1881" s="385" t="s">
        <v>108</v>
      </c>
      <c r="W1881" s="385" t="s">
        <v>1436</v>
      </c>
      <c r="X1881" s="1"/>
    </row>
    <row r="1882" spans="1:24">
      <c r="A1882" s="385" t="s">
        <v>49</v>
      </c>
      <c r="B1882" s="385" t="s">
        <v>439</v>
      </c>
      <c r="C1882" s="385" t="s">
        <v>2566</v>
      </c>
      <c r="D1882" s="385" t="s">
        <v>88</v>
      </c>
      <c r="E1882" s="385" t="s">
        <v>377</v>
      </c>
      <c r="F1882" s="385"/>
      <c r="G1882" s="385" t="s">
        <v>128</v>
      </c>
      <c r="H1882" s="385"/>
      <c r="I1882" s="385"/>
      <c r="J1882" s="30"/>
      <c r="K1882" s="385"/>
      <c r="L1882" s="385"/>
      <c r="M1882" s="385"/>
      <c r="N1882" s="385"/>
      <c r="O1882" s="385"/>
      <c r="P1882" s="385" t="str">
        <f>IFERROR(
    IF(
        OR(ISBLANK(I1882), ISBLANK(L1882)),
        "",
        MAX(
            1,
            IF(
                NETWORKDAYS(I1882, L1882, Holiday_Dates) &lt;= 0,
                1,
                NETWORKDAYS(I1882, L1882, Holiday_Dates) - IF(I1882 = L1882, 0, 1)
            )
        )
    ),
    ""
)</f>
        <v/>
      </c>
      <c r="Q1882" s="385" t="str">
        <f>IF(
    OR(ISBLANK(L1882), ISBLANK(M1882)),
    "",
    MAX(
        1,
        IF(
            NETWORKDAYS(L1882, M1882, Holiday_Dates) &lt;= 0,
            1,
            NETWORKDAYS(L1882, M1882, Holiday_Dates) - IF(L1882 = M1882, 0, 1)
        )
    )
)</f>
        <v/>
      </c>
      <c r="R1882" s="385" t="str">
        <f>IFERROR(
    IF(
        OR(ISBLANK(N1882), AND(ISBLANK(L1882), ISBLANK(M1882))),
        "",
        MAX(
            1,
            IF(
                NETWORKDAYS(IF(NOT(ISBLANK(M1882)), M1882, L1882), N1882, Holiday_Dates) &lt;= 0,
                1,
                NETWORKDAYS(IF(NOT(ISBLANK(M1882)), M1882, L1882), N1882, Holiday_Dates)
                - IF(IF(NOT(ISBLANK(M1882)), M1882, L1882) = N1882, 0, 1)
            )
        )
    ),
    ""
)</f>
        <v/>
      </c>
      <c r="S1882" s="385" t="str">
        <f>IFERROR(
    IF(
        OR(ISBLANK(N1882), ISBLANK(O1882)),
        "",
        MAX(
            1,
            IF(
                NETWORKDAYS(N1882, O1882, Holiday_Dates) &lt;= 0,
                1,
                NETWORKDAYS(N1882, O1882, Holiday_Dates) - IF(N1882 = O1882, 0, 1)
            )
        )
    ),
    ""
)</f>
        <v/>
      </c>
      <c r="T1882" s="385"/>
      <c r="U1882" s="385"/>
      <c r="V1882" s="385"/>
      <c r="W1882" s="385" t="s">
        <v>4710</v>
      </c>
      <c r="X1882" s="1"/>
    </row>
    <row r="1883" spans="1:24">
      <c r="A1883" s="385" t="s">
        <v>49</v>
      </c>
      <c r="B1883" s="385" t="s">
        <v>439</v>
      </c>
      <c r="C1883" s="385" t="s">
        <v>2569</v>
      </c>
      <c r="D1883" s="385" t="s">
        <v>88</v>
      </c>
      <c r="E1883" s="385" t="s">
        <v>377</v>
      </c>
      <c r="F1883" s="385"/>
      <c r="G1883" s="385" t="s">
        <v>128</v>
      </c>
      <c r="H1883" s="385"/>
      <c r="I1883" s="385"/>
      <c r="J1883" s="30"/>
      <c r="K1883" s="385"/>
      <c r="L1883" s="385"/>
      <c r="M1883" s="385"/>
      <c r="N1883" s="385"/>
      <c r="O1883" s="385"/>
      <c r="P1883" s="385" t="str">
        <f>IFERROR(
    IF(
        OR(ISBLANK(I1883), ISBLANK(L1883)),
        "",
        MAX(
            1,
            IF(
                NETWORKDAYS(I1883, L1883, Holiday_Dates) &lt;= 0,
                1,
                NETWORKDAYS(I1883, L1883, Holiday_Dates) - IF(I1883 = L1883, 0, 1)
            )
        )
    ),
    ""
)</f>
        <v/>
      </c>
      <c r="Q1883" s="385" t="str">
        <f>IF(
    OR(ISBLANK(L1883), ISBLANK(M1883)),
    "",
    MAX(
        1,
        IF(
            NETWORKDAYS(L1883, M1883, Holiday_Dates) &lt;= 0,
            1,
            NETWORKDAYS(L1883, M1883, Holiday_Dates) - IF(L1883 = M1883, 0, 1)
        )
    )
)</f>
        <v/>
      </c>
      <c r="R1883" s="385" t="str">
        <f>IFERROR(
    IF(
        OR(ISBLANK(N1883), AND(ISBLANK(L1883), ISBLANK(M1883))),
        "",
        MAX(
            1,
            IF(
                NETWORKDAYS(IF(NOT(ISBLANK(M1883)), M1883, L1883), N1883, Holiday_Dates) &lt;= 0,
                1,
                NETWORKDAYS(IF(NOT(ISBLANK(M1883)), M1883, L1883), N1883, Holiday_Dates)
                - IF(IF(NOT(ISBLANK(M1883)), M1883, L1883) = N1883, 0, 1)
            )
        )
    ),
    ""
)</f>
        <v/>
      </c>
      <c r="S1883" s="385" t="str">
        <f>IFERROR(
    IF(
        OR(ISBLANK(N1883), ISBLANK(O1883)),
        "",
        MAX(
            1,
            IF(
                NETWORKDAYS(N1883, O1883, Holiday_Dates) &lt;= 0,
                1,
                NETWORKDAYS(N1883, O1883, Holiday_Dates) - IF(N1883 = O1883, 0, 1)
            )
        )
    ),
    ""
)</f>
        <v/>
      </c>
      <c r="T1883" s="385"/>
      <c r="U1883" s="385"/>
      <c r="V1883" s="385"/>
      <c r="W1883" s="385" t="s">
        <v>4710</v>
      </c>
      <c r="X1883" s="1"/>
    </row>
    <row r="1884" spans="1:24">
      <c r="A1884" s="385" t="s">
        <v>49</v>
      </c>
      <c r="B1884" s="385" t="s">
        <v>439</v>
      </c>
      <c r="C1884" s="385" t="s">
        <v>2571</v>
      </c>
      <c r="D1884" s="385" t="s">
        <v>88</v>
      </c>
      <c r="E1884" s="385" t="s">
        <v>377</v>
      </c>
      <c r="F1884" s="385"/>
      <c r="G1884" s="385" t="s">
        <v>128</v>
      </c>
      <c r="H1884" s="385"/>
      <c r="I1884" s="385"/>
      <c r="J1884" s="30"/>
      <c r="K1884" s="385"/>
      <c r="L1884" s="385"/>
      <c r="M1884" s="385"/>
      <c r="N1884" s="385"/>
      <c r="O1884" s="385"/>
      <c r="P1884" s="385" t="str">
        <f>IFERROR(
    IF(
        OR(ISBLANK(I1884), ISBLANK(L1884)),
        "",
        MAX(
            1,
            IF(
                NETWORKDAYS(I1884, L1884, Holiday_Dates) &lt;= 0,
                1,
                NETWORKDAYS(I1884, L1884, Holiday_Dates) - IF(I1884 = L1884, 0, 1)
            )
        )
    ),
    ""
)</f>
        <v/>
      </c>
      <c r="Q1884" s="385" t="str">
        <f>IF(
    OR(ISBLANK(L1884), ISBLANK(M1884)),
    "",
    MAX(
        1,
        IF(
            NETWORKDAYS(L1884, M1884, Holiday_Dates) &lt;= 0,
            1,
            NETWORKDAYS(L1884, M1884, Holiday_Dates) - IF(L1884 = M1884, 0, 1)
        )
    )
)</f>
        <v/>
      </c>
      <c r="R1884" s="385" t="str">
        <f>IFERROR(
    IF(
        OR(ISBLANK(N1884), AND(ISBLANK(L1884), ISBLANK(M1884))),
        "",
        MAX(
            1,
            IF(
                NETWORKDAYS(IF(NOT(ISBLANK(M1884)), M1884, L1884), N1884, Holiday_Dates) &lt;= 0,
                1,
                NETWORKDAYS(IF(NOT(ISBLANK(M1884)), M1884, L1884), N1884, Holiday_Dates)
                - IF(IF(NOT(ISBLANK(M1884)), M1884, L1884) = N1884, 0, 1)
            )
        )
    ),
    ""
)</f>
        <v/>
      </c>
      <c r="S1884" s="385" t="str">
        <f>IFERROR(
    IF(
        OR(ISBLANK(N1884), ISBLANK(O1884)),
        "",
        MAX(
            1,
            IF(
                NETWORKDAYS(N1884, O1884, Holiday_Dates) &lt;= 0,
                1,
                NETWORKDAYS(N1884, O1884, Holiday_Dates) - IF(N1884 = O1884, 0, 1)
            )
        )
    ),
    ""
)</f>
        <v/>
      </c>
      <c r="T1884" s="385"/>
      <c r="U1884" s="385"/>
      <c r="V1884" s="385"/>
      <c r="W1884" s="385" t="s">
        <v>4710</v>
      </c>
      <c r="X1884" s="1"/>
    </row>
    <row r="1885" spans="1:24">
      <c r="A1885" s="385" t="s">
        <v>51</v>
      </c>
      <c r="B1885" s="385" t="s">
        <v>389</v>
      </c>
      <c r="C1885" s="385" t="s">
        <v>3556</v>
      </c>
      <c r="D1885" s="385" t="s">
        <v>88</v>
      </c>
      <c r="E1885" s="385"/>
      <c r="F1885" s="385"/>
      <c r="G1885" s="385"/>
      <c r="H1885" s="385">
        <v>2025</v>
      </c>
      <c r="I1885" s="386">
        <v>45700</v>
      </c>
      <c r="J1885" s="30" t="s">
        <v>5413</v>
      </c>
      <c r="K1885" s="385"/>
      <c r="L1885" s="385"/>
      <c r="M1885" s="385"/>
      <c r="N1885" s="385"/>
      <c r="O1885" s="385"/>
      <c r="P1885" s="385" t="str">
        <f>IFERROR(
    IF(
        OR(ISBLANK(I1885), ISBLANK(L1885)),
        "",
        MAX(
            1,
            IF(
                NETWORKDAYS(I1885, L1885, Holiday_Dates) &lt;= 0,
                1,
                NETWORKDAYS(I1885, L1885, Holiday_Dates) - IF(I1885 = L1885, 0, 1)
            )
        )
    ),
    ""
)</f>
        <v/>
      </c>
      <c r="Q1885" s="385" t="str">
        <f>IF(
    OR(ISBLANK(L1885), ISBLANK(M1885)),
    "",
    MAX(
        1,
        IF(
            NETWORKDAYS(L1885, M1885, Holiday_Dates) &lt;= 0,
            1,
            NETWORKDAYS(L1885, M1885, Holiday_Dates) - IF(L1885 = M1885, 0, 1)
        )
    )
)</f>
        <v/>
      </c>
      <c r="R1885" s="385" t="str">
        <f>IFERROR(
    IF(
        OR(ISBLANK(N1885), AND(ISBLANK(L1885), ISBLANK(M1885))),
        "",
        MAX(
            1,
            IF(
                NETWORKDAYS(IF(NOT(ISBLANK(M1885)), M1885, L1885), N1885, Holiday_Dates) &lt;= 0,
                1,
                NETWORKDAYS(IF(NOT(ISBLANK(M1885)), M1885, L1885), N1885, Holiday_Dates)
                - IF(IF(NOT(ISBLANK(M1885)), M1885, L1885) = N1885, 0, 1)
            )
        )
    ),
    ""
)</f>
        <v/>
      </c>
      <c r="S1885" s="385" t="str">
        <f>IFERROR(
    IF(
        OR(ISBLANK(N1885), ISBLANK(O1885)),
        "",
        MAX(
            1,
            IF(
                NETWORKDAYS(N1885, O1885, Holiday_Dates) &lt;= 0,
                1,
                NETWORKDAYS(N1885, O1885, Holiday_Dates) - IF(N1885 = O1885, 0, 1)
            )
        )
    ),
    ""
)</f>
        <v/>
      </c>
      <c r="T1885" s="385"/>
      <c r="U1885" s="385" t="s">
        <v>4</v>
      </c>
      <c r="V1885" s="385" t="s">
        <v>108</v>
      </c>
      <c r="W1885" s="385" t="s">
        <v>1436</v>
      </c>
      <c r="X1885" s="1"/>
    </row>
    <row r="1886" spans="1:24">
      <c r="A1886" s="385" t="s">
        <v>51</v>
      </c>
      <c r="B1886" s="385" t="s">
        <v>414</v>
      </c>
      <c r="C1886" s="385" t="s">
        <v>3558</v>
      </c>
      <c r="D1886" s="385" t="s">
        <v>88</v>
      </c>
      <c r="E1886" s="385"/>
      <c r="F1886" s="385"/>
      <c r="G1886" s="385"/>
      <c r="H1886" s="385">
        <v>2024</v>
      </c>
      <c r="I1886" s="386">
        <v>45608</v>
      </c>
      <c r="J1886" s="30"/>
      <c r="K1886" s="385"/>
      <c r="L1886" s="385"/>
      <c r="M1886" s="385"/>
      <c r="N1886" s="385"/>
      <c r="O1886" s="385"/>
      <c r="P1886" s="385" t="str">
        <f>IFERROR(
    IF(
        OR(ISBLANK(I1886), ISBLANK(L1886)),
        "",
        MAX(
            1,
            IF(
                NETWORKDAYS(I1886, L1886, Holiday_Dates) &lt;= 0,
                1,
                NETWORKDAYS(I1886, L1886, Holiday_Dates) - IF(I1886 = L1886, 0, 1)
            )
        )
    ),
    ""
)</f>
        <v/>
      </c>
      <c r="Q1886" s="385" t="str">
        <f>IF(
    OR(ISBLANK(L1886), ISBLANK(M1886)),
    "",
    MAX(
        1,
        IF(
            NETWORKDAYS(L1886, M1886, Holiday_Dates) &lt;= 0,
            1,
            NETWORKDAYS(L1886, M1886, Holiday_Dates) - IF(L1886 = M1886, 0, 1)
        )
    )
)</f>
        <v/>
      </c>
      <c r="R1886" s="385" t="str">
        <f>IFERROR(
    IF(
        OR(ISBLANK(N1886), AND(ISBLANK(L1886), ISBLANK(M1886))),
        "",
        MAX(
            1,
            IF(
                NETWORKDAYS(IF(NOT(ISBLANK(M1886)), M1886, L1886), N1886, Holiday_Dates) &lt;= 0,
                1,
                NETWORKDAYS(IF(NOT(ISBLANK(M1886)), M1886, L1886), N1886, Holiday_Dates)
                - IF(IF(NOT(ISBLANK(M1886)), M1886, L1886) = N1886, 0, 1)
            )
        )
    ),
    ""
)</f>
        <v/>
      </c>
      <c r="S1886" s="385" t="str">
        <f>IFERROR(
    IF(
        OR(ISBLANK(N1886), ISBLANK(O1886)),
        "",
        MAX(
            1,
            IF(
                NETWORKDAYS(N1886, O1886, Holiday_Dates) &lt;= 0,
                1,
                NETWORKDAYS(N1886, O1886, Holiday_Dates) - IF(N1886 = O1886, 0, 1)
            )
        )
    ),
    ""
)</f>
        <v/>
      </c>
      <c r="T1886" s="385"/>
      <c r="U1886" s="385" t="s">
        <v>4</v>
      </c>
      <c r="V1886" s="385" t="s">
        <v>101</v>
      </c>
      <c r="W1886" s="385" t="s">
        <v>1436</v>
      </c>
      <c r="X1886" s="1"/>
    </row>
    <row r="1887" spans="1:24">
      <c r="A1887" s="385" t="s">
        <v>51</v>
      </c>
      <c r="B1887" s="385" t="s">
        <v>414</v>
      </c>
      <c r="C1887" s="385" t="s">
        <v>3560</v>
      </c>
      <c r="D1887" s="385" t="s">
        <v>88</v>
      </c>
      <c r="E1887" s="385"/>
      <c r="F1887" s="385"/>
      <c r="G1887" s="385"/>
      <c r="H1887" s="385">
        <v>2024</v>
      </c>
      <c r="I1887" s="386">
        <v>45541</v>
      </c>
      <c r="J1887" s="30"/>
      <c r="K1887" s="385"/>
      <c r="L1887" s="385"/>
      <c r="M1887" s="385"/>
      <c r="N1887" s="385"/>
      <c r="O1887" s="385"/>
      <c r="P1887" s="385" t="str">
        <f>IFERROR(
    IF(
        OR(ISBLANK(I1887), ISBLANK(L1887)),
        "",
        MAX(
            1,
            IF(
                NETWORKDAYS(I1887, L1887, Holiday_Dates) &lt;= 0,
                1,
                NETWORKDAYS(I1887, L1887, Holiday_Dates) - IF(I1887 = L1887, 0, 1)
            )
        )
    ),
    ""
)</f>
        <v/>
      </c>
      <c r="Q1887" s="385" t="str">
        <f>IF(
    OR(ISBLANK(L1887), ISBLANK(M1887)),
    "",
    MAX(
        1,
        IF(
            NETWORKDAYS(L1887, M1887, Holiday_Dates) &lt;= 0,
            1,
            NETWORKDAYS(L1887, M1887, Holiday_Dates) - IF(L1887 = M1887, 0, 1)
        )
    )
)</f>
        <v/>
      </c>
      <c r="R1887" s="385" t="str">
        <f>IFERROR(
    IF(
        OR(ISBLANK(N1887), AND(ISBLANK(L1887), ISBLANK(M1887))),
        "",
        MAX(
            1,
            IF(
                NETWORKDAYS(IF(NOT(ISBLANK(M1887)), M1887, L1887), N1887, Holiday_Dates) &lt;= 0,
                1,
                NETWORKDAYS(IF(NOT(ISBLANK(M1887)), M1887, L1887), N1887, Holiday_Dates)
                - IF(IF(NOT(ISBLANK(M1887)), M1887, L1887) = N1887, 0, 1)
            )
        )
    ),
    ""
)</f>
        <v/>
      </c>
      <c r="S1887" s="385" t="str">
        <f>IFERROR(
    IF(
        OR(ISBLANK(N1887), ISBLANK(O1887)),
        "",
        MAX(
            1,
            IF(
                NETWORKDAYS(N1887, O1887, Holiday_Dates) &lt;= 0,
                1,
                NETWORKDAYS(N1887, O1887, Holiday_Dates) - IF(N1887 = O1887, 0, 1)
            )
        )
    ),
    ""
)</f>
        <v/>
      </c>
      <c r="T1887" s="385"/>
      <c r="U1887" s="385" t="s">
        <v>4</v>
      </c>
      <c r="V1887" s="385" t="s">
        <v>101</v>
      </c>
      <c r="W1887" s="385" t="s">
        <v>1436</v>
      </c>
      <c r="X1887" s="1"/>
    </row>
    <row r="1888" spans="1:24">
      <c r="A1888" s="385" t="s">
        <v>51</v>
      </c>
      <c r="B1888" s="385" t="s">
        <v>414</v>
      </c>
      <c r="C1888" s="385" t="s">
        <v>3562</v>
      </c>
      <c r="D1888" s="385" t="s">
        <v>88</v>
      </c>
      <c r="E1888" s="385"/>
      <c r="F1888" s="385"/>
      <c r="G1888" s="385"/>
      <c r="H1888" s="385">
        <v>2025</v>
      </c>
      <c r="I1888" s="386">
        <v>45968</v>
      </c>
      <c r="J1888" s="30" t="s">
        <v>5414</v>
      </c>
      <c r="K1888" s="385"/>
      <c r="L1888" s="385"/>
      <c r="M1888" s="385"/>
      <c r="N1888" s="385"/>
      <c r="O1888" s="385"/>
      <c r="P1888" s="385" t="str">
        <f>IFERROR(
    IF(
        OR(ISBLANK(I1888), ISBLANK(L1888)),
        "",
        MAX(
            1,
            IF(
                NETWORKDAYS(I1888, L1888, Holiday_Dates) &lt;= 0,
                1,
                NETWORKDAYS(I1888, L1888, Holiday_Dates) - IF(I1888 = L1888, 0, 1)
            )
        )
    ),
    ""
)</f>
        <v/>
      </c>
      <c r="Q1888" s="385" t="str">
        <f>IF(
    OR(ISBLANK(L1888), ISBLANK(M1888)),
    "",
    MAX(
        1,
        IF(
            NETWORKDAYS(L1888, M1888, Holiday_Dates) &lt;= 0,
            1,
            NETWORKDAYS(L1888, M1888, Holiday_Dates) - IF(L1888 = M1888, 0, 1)
        )
    )
)</f>
        <v/>
      </c>
      <c r="R1888" s="385" t="str">
        <f>IFERROR(
    IF(
        OR(ISBLANK(N1888), AND(ISBLANK(L1888), ISBLANK(M1888))),
        "",
        MAX(
            1,
            IF(
                NETWORKDAYS(IF(NOT(ISBLANK(M1888)), M1888, L1888), N1888, Holiday_Dates) &lt;= 0,
                1,
                NETWORKDAYS(IF(NOT(ISBLANK(M1888)), M1888, L1888), N1888, Holiday_Dates)
                - IF(IF(NOT(ISBLANK(M1888)), M1888, L1888) = N1888, 0, 1)
            )
        )
    ),
    ""
)</f>
        <v/>
      </c>
      <c r="S1888" s="385" t="str">
        <f>IFERROR(
    IF(
        OR(ISBLANK(N1888), ISBLANK(O1888)),
        "",
        MAX(
            1,
            IF(
                NETWORKDAYS(N1888, O1888, Holiday_Dates) &lt;= 0,
                1,
                NETWORKDAYS(N1888, O1888, Holiday_Dates) - IF(N1888 = O1888, 0, 1)
            )
        )
    ),
    ""
)</f>
        <v/>
      </c>
      <c r="T1888" s="385"/>
      <c r="U1888" s="385" t="s">
        <v>672</v>
      </c>
      <c r="V1888" s="385" t="s">
        <v>101</v>
      </c>
      <c r="W1888" s="385" t="s">
        <v>1436</v>
      </c>
      <c r="X1888" s="1"/>
    </row>
    <row r="1889" spans="1:24">
      <c r="A1889" s="385" t="s">
        <v>51</v>
      </c>
      <c r="B1889" s="385" t="s">
        <v>414</v>
      </c>
      <c r="C1889" s="385" t="s">
        <v>3563</v>
      </c>
      <c r="D1889" s="385" t="s">
        <v>88</v>
      </c>
      <c r="E1889" s="385"/>
      <c r="F1889" s="385"/>
      <c r="G1889" s="385"/>
      <c r="H1889" s="385">
        <v>2024</v>
      </c>
      <c r="I1889" s="386">
        <v>45541</v>
      </c>
      <c r="J1889" s="30"/>
      <c r="K1889" s="385"/>
      <c r="L1889" s="385"/>
      <c r="M1889" s="385"/>
      <c r="N1889" s="385"/>
      <c r="O1889" s="385"/>
      <c r="P1889" s="385" t="str">
        <f>IFERROR(
    IF(
        OR(ISBLANK(I1889), ISBLANK(L1889)),
        "",
        MAX(
            1,
            IF(
                NETWORKDAYS(I1889, L1889, Holiday_Dates) &lt;= 0,
                1,
                NETWORKDAYS(I1889, L1889, Holiday_Dates) - IF(I1889 = L1889, 0, 1)
            )
        )
    ),
    ""
)</f>
        <v/>
      </c>
      <c r="Q1889" s="385" t="str">
        <f>IF(
    OR(ISBLANK(L1889), ISBLANK(M1889)),
    "",
    MAX(
        1,
        IF(
            NETWORKDAYS(L1889, M1889, Holiday_Dates) &lt;= 0,
            1,
            NETWORKDAYS(L1889, M1889, Holiday_Dates) - IF(L1889 = M1889, 0, 1)
        )
    )
)</f>
        <v/>
      </c>
      <c r="R1889" s="385" t="str">
        <f>IFERROR(
    IF(
        OR(ISBLANK(N1889), AND(ISBLANK(L1889), ISBLANK(M1889))),
        "",
        MAX(
            1,
            IF(
                NETWORKDAYS(IF(NOT(ISBLANK(M1889)), M1889, L1889), N1889, Holiday_Dates) &lt;= 0,
                1,
                NETWORKDAYS(IF(NOT(ISBLANK(M1889)), M1889, L1889), N1889, Holiday_Dates)
                - IF(IF(NOT(ISBLANK(M1889)), M1889, L1889) = N1889, 0, 1)
            )
        )
    ),
    ""
)</f>
        <v/>
      </c>
      <c r="S1889" s="385" t="str">
        <f>IFERROR(
    IF(
        OR(ISBLANK(N1889), ISBLANK(O1889)),
        "",
        MAX(
            1,
            IF(
                NETWORKDAYS(N1889, O1889, Holiday_Dates) &lt;= 0,
                1,
                NETWORKDAYS(N1889, O1889, Holiday_Dates) - IF(N1889 = O1889, 0, 1)
            )
        )
    ),
    ""
)</f>
        <v/>
      </c>
      <c r="T1889" s="385"/>
      <c r="U1889" s="385" t="s">
        <v>4</v>
      </c>
      <c r="V1889" s="385" t="s">
        <v>101</v>
      </c>
      <c r="W1889" s="385" t="s">
        <v>1436</v>
      </c>
      <c r="X1889" s="1"/>
    </row>
    <row r="1890" spans="1:24">
      <c r="A1890" s="385" t="s">
        <v>51</v>
      </c>
      <c r="B1890" s="385" t="s">
        <v>414</v>
      </c>
      <c r="C1890" s="385" t="s">
        <v>3565</v>
      </c>
      <c r="D1890" s="385" t="s">
        <v>88</v>
      </c>
      <c r="E1890" s="385"/>
      <c r="F1890" s="385"/>
      <c r="G1890" s="385"/>
      <c r="H1890" s="385">
        <v>2025</v>
      </c>
      <c r="I1890" s="386">
        <v>45818</v>
      </c>
      <c r="J1890" s="30" t="s">
        <v>5415</v>
      </c>
      <c r="K1890" s="385"/>
      <c r="L1890" s="385"/>
      <c r="M1890" s="385"/>
      <c r="N1890" s="385"/>
      <c r="O1890" s="385"/>
      <c r="P1890" s="385" t="str">
        <f>IFERROR(
    IF(
        OR(ISBLANK(I1890), ISBLANK(L1890)),
        "",
        MAX(
            1,
            IF(
                NETWORKDAYS(I1890, L1890, Holiday_Dates) &lt;= 0,
                1,
                NETWORKDAYS(I1890, L1890, Holiday_Dates) - IF(I1890 = L1890, 0, 1)
            )
        )
    ),
    ""
)</f>
        <v/>
      </c>
      <c r="Q1890" s="385" t="str">
        <f>IF(
    OR(ISBLANK(L1890), ISBLANK(M1890)),
    "",
    MAX(
        1,
        IF(
            NETWORKDAYS(L1890, M1890, Holiday_Dates) &lt;= 0,
            1,
            NETWORKDAYS(L1890, M1890, Holiday_Dates) - IF(L1890 = M1890, 0, 1)
        )
    )
)</f>
        <v/>
      </c>
      <c r="R1890" s="385" t="str">
        <f>IFERROR(
    IF(
        OR(ISBLANK(N1890), AND(ISBLANK(L1890), ISBLANK(M1890))),
        "",
        MAX(
            1,
            IF(
                NETWORKDAYS(IF(NOT(ISBLANK(M1890)), M1890, L1890), N1890, Holiday_Dates) &lt;= 0,
                1,
                NETWORKDAYS(IF(NOT(ISBLANK(M1890)), M1890, L1890), N1890, Holiday_Dates)
                - IF(IF(NOT(ISBLANK(M1890)), M1890, L1890) = N1890, 0, 1)
            )
        )
    ),
    ""
)</f>
        <v/>
      </c>
      <c r="S1890" s="385" t="str">
        <f>IFERROR(
    IF(
        OR(ISBLANK(N1890), ISBLANK(O1890)),
        "",
        MAX(
            1,
            IF(
                NETWORKDAYS(N1890, O1890, Holiday_Dates) &lt;= 0,
                1,
                NETWORKDAYS(N1890, O1890, Holiday_Dates) - IF(N1890 = O1890, 0, 1)
            )
        )
    ),
    ""
)</f>
        <v/>
      </c>
      <c r="T1890" s="385"/>
      <c r="U1890" s="385" t="s">
        <v>4</v>
      </c>
      <c r="V1890" s="385" t="s">
        <v>101</v>
      </c>
      <c r="W1890" s="385" t="s">
        <v>1436</v>
      </c>
      <c r="X1890" s="1"/>
    </row>
    <row r="1891" spans="1:24" ht="28.5">
      <c r="A1891" s="385" t="s">
        <v>51</v>
      </c>
      <c r="B1891" s="385" t="s">
        <v>414</v>
      </c>
      <c r="C1891" s="385" t="s">
        <v>250</v>
      </c>
      <c r="D1891" s="385" t="s">
        <v>88</v>
      </c>
      <c r="E1891" s="385"/>
      <c r="F1891" s="385"/>
      <c r="G1891" s="385"/>
      <c r="H1891" s="30" t="s">
        <v>4595</v>
      </c>
      <c r="I1891" s="386" t="s">
        <v>5416</v>
      </c>
      <c r="J1891" s="30" t="s">
        <v>5417</v>
      </c>
      <c r="K1891" s="385"/>
      <c r="L1891" s="385"/>
      <c r="M1891" s="385"/>
      <c r="N1891" s="385"/>
      <c r="O1891" s="385"/>
      <c r="P1891" s="385" t="str">
        <f>IFERROR(
    IF(
        OR(ISBLANK(I1891), ISBLANK(L1891)),
        "",
        MAX(
            1,
            IF(
                NETWORKDAYS(I1891, L1891, Holiday_Dates) &lt;= 0,
                1,
                NETWORKDAYS(I1891, L1891, Holiday_Dates) - IF(I1891 = L1891, 0, 1)
            )
        )
    ),
    ""
)</f>
        <v/>
      </c>
      <c r="Q1891" s="385" t="str">
        <f>IF(
    OR(ISBLANK(L1891), ISBLANK(M1891)),
    "",
    MAX(
        1,
        IF(
            NETWORKDAYS(L1891, M1891, Holiday_Dates) &lt;= 0,
            1,
            NETWORKDAYS(L1891, M1891, Holiday_Dates) - IF(L1891 = M1891, 0, 1)
        )
    )
)</f>
        <v/>
      </c>
      <c r="R1891" s="385" t="str">
        <f>IFERROR(
    IF(
        OR(ISBLANK(N1891), AND(ISBLANK(L1891), ISBLANK(M1891))),
        "",
        MAX(
            1,
            IF(
                NETWORKDAYS(IF(NOT(ISBLANK(M1891)), M1891, L1891), N1891, Holiday_Dates) &lt;= 0,
                1,
                NETWORKDAYS(IF(NOT(ISBLANK(M1891)), M1891, L1891), N1891, Holiday_Dates)
                - IF(IF(NOT(ISBLANK(M1891)), M1891, L1891) = N1891, 0, 1)
            )
        )
    ),
    ""
)</f>
        <v/>
      </c>
      <c r="S1891" s="385" t="str">
        <f>IFERROR(
    IF(
        OR(ISBLANK(N1891), ISBLANK(O1891)),
        "",
        MAX(
            1,
            IF(
                NETWORKDAYS(N1891, O1891, Holiday_Dates) &lt;= 0,
                1,
                NETWORKDAYS(N1891, O1891, Holiday_Dates) - IF(N1891 = O1891, 0, 1)
            )
        )
    ),
    ""
)</f>
        <v/>
      </c>
      <c r="T1891" s="385"/>
      <c r="U1891" s="385" t="s">
        <v>4</v>
      </c>
      <c r="V1891" s="385" t="s">
        <v>101</v>
      </c>
      <c r="W1891" s="385" t="s">
        <v>1436</v>
      </c>
      <c r="X1891" s="1"/>
    </row>
    <row r="1892" spans="1:24">
      <c r="A1892" s="385" t="s">
        <v>51</v>
      </c>
      <c r="B1892" s="385" t="s">
        <v>414</v>
      </c>
      <c r="C1892" s="385" t="s">
        <v>3386</v>
      </c>
      <c r="D1892" s="385" t="s">
        <v>88</v>
      </c>
      <c r="E1892" s="385"/>
      <c r="F1892" s="385"/>
      <c r="G1892" s="385"/>
      <c r="H1892" s="385">
        <v>2024</v>
      </c>
      <c r="I1892" s="386">
        <v>45541</v>
      </c>
      <c r="J1892" s="30"/>
      <c r="K1892" s="385"/>
      <c r="L1892" s="385"/>
      <c r="M1892" s="385"/>
      <c r="N1892" s="385"/>
      <c r="O1892" s="385"/>
      <c r="P1892" s="385" t="str">
        <f>IFERROR(
    IF(
        OR(ISBLANK(I1892), ISBLANK(L1892)),
        "",
        MAX(
            1,
            IF(
                NETWORKDAYS(I1892, L1892, Holiday_Dates) &lt;= 0,
                1,
                NETWORKDAYS(I1892, L1892, Holiday_Dates) - IF(I1892 = L1892, 0, 1)
            )
        )
    ),
    ""
)</f>
        <v/>
      </c>
      <c r="Q1892" s="385" t="str">
        <f>IF(
    OR(ISBLANK(L1892), ISBLANK(M1892)),
    "",
    MAX(
        1,
        IF(
            NETWORKDAYS(L1892, M1892, Holiday_Dates) &lt;= 0,
            1,
            NETWORKDAYS(L1892, M1892, Holiday_Dates) - IF(L1892 = M1892, 0, 1)
        )
    )
)</f>
        <v/>
      </c>
      <c r="R1892" s="385" t="str">
        <f>IFERROR(
    IF(
        OR(ISBLANK(N1892), AND(ISBLANK(L1892), ISBLANK(M1892))),
        "",
        MAX(
            1,
            IF(
                NETWORKDAYS(IF(NOT(ISBLANK(M1892)), M1892, L1892), N1892, Holiday_Dates) &lt;= 0,
                1,
                NETWORKDAYS(IF(NOT(ISBLANK(M1892)), M1892, L1892), N1892, Holiday_Dates)
                - IF(IF(NOT(ISBLANK(M1892)), M1892, L1892) = N1892, 0, 1)
            )
        )
    ),
    ""
)</f>
        <v/>
      </c>
      <c r="S1892" s="385" t="str">
        <f>IFERROR(
    IF(
        OR(ISBLANK(N1892), ISBLANK(O1892)),
        "",
        MAX(
            1,
            IF(
                NETWORKDAYS(N1892, O1892, Holiday_Dates) &lt;= 0,
                1,
                NETWORKDAYS(N1892, O1892, Holiday_Dates) - IF(N1892 = O1892, 0, 1)
            )
        )
    ),
    ""
)</f>
        <v/>
      </c>
      <c r="T1892" s="385"/>
      <c r="U1892" s="385" t="s">
        <v>4</v>
      </c>
      <c r="V1892" s="385" t="s">
        <v>101</v>
      </c>
      <c r="W1892" s="385" t="s">
        <v>1436</v>
      </c>
      <c r="X1892" s="1"/>
    </row>
    <row r="1893" spans="1:24" ht="28.5">
      <c r="A1893" s="385" t="s">
        <v>51</v>
      </c>
      <c r="B1893" s="385" t="s">
        <v>414</v>
      </c>
      <c r="C1893" s="385" t="s">
        <v>3568</v>
      </c>
      <c r="D1893" s="385" t="s">
        <v>88</v>
      </c>
      <c r="E1893" s="385"/>
      <c r="F1893" s="385"/>
      <c r="G1893" s="385"/>
      <c r="H1893" s="30" t="s">
        <v>4595</v>
      </c>
      <c r="I1893" s="386" t="s">
        <v>5418</v>
      </c>
      <c r="J1893" s="30" t="s">
        <v>5419</v>
      </c>
      <c r="K1893" s="385"/>
      <c r="L1893" s="385"/>
      <c r="M1893" s="385"/>
      <c r="N1893" s="385"/>
      <c r="O1893" s="385"/>
      <c r="P1893" s="385" t="str">
        <f>IFERROR(
    IF(
        OR(ISBLANK(I1893), ISBLANK(L1893)),
        "",
        MAX(
            1,
            IF(
                NETWORKDAYS(I1893, L1893, Holiday_Dates) &lt;= 0,
                1,
                NETWORKDAYS(I1893, L1893, Holiday_Dates) - IF(I1893 = L1893, 0, 1)
            )
        )
    ),
    ""
)</f>
        <v/>
      </c>
      <c r="Q1893" s="385" t="str">
        <f>IF(
    OR(ISBLANK(L1893), ISBLANK(M1893)),
    "",
    MAX(
        1,
        IF(
            NETWORKDAYS(L1893, M1893, Holiday_Dates) &lt;= 0,
            1,
            NETWORKDAYS(L1893, M1893, Holiday_Dates) - IF(L1893 = M1893, 0, 1)
        )
    )
)</f>
        <v/>
      </c>
      <c r="R1893" s="385" t="str">
        <f>IFERROR(
    IF(
        OR(ISBLANK(N1893), AND(ISBLANK(L1893), ISBLANK(M1893))),
        "",
        MAX(
            1,
            IF(
                NETWORKDAYS(IF(NOT(ISBLANK(M1893)), M1893, L1893), N1893, Holiday_Dates) &lt;= 0,
                1,
                NETWORKDAYS(IF(NOT(ISBLANK(M1893)), M1893, L1893), N1893, Holiday_Dates)
                - IF(IF(NOT(ISBLANK(M1893)), M1893, L1893) = N1893, 0, 1)
            )
        )
    ),
    ""
)</f>
        <v/>
      </c>
      <c r="S1893" s="385" t="str">
        <f>IFERROR(
    IF(
        OR(ISBLANK(N1893), ISBLANK(O1893)),
        "",
        MAX(
            1,
            IF(
                NETWORKDAYS(N1893, O1893, Holiday_Dates) &lt;= 0,
                1,
                NETWORKDAYS(N1893, O1893, Holiday_Dates) - IF(N1893 = O1893, 0, 1)
            )
        )
    ),
    ""
)</f>
        <v/>
      </c>
      <c r="T1893" s="385"/>
      <c r="U1893" s="385" t="s">
        <v>4</v>
      </c>
      <c r="V1893" s="385" t="s">
        <v>101</v>
      </c>
      <c r="W1893" s="385" t="s">
        <v>1436</v>
      </c>
      <c r="X1893" s="1"/>
    </row>
    <row r="1894" spans="1:24">
      <c r="A1894" s="385" t="s">
        <v>51</v>
      </c>
      <c r="B1894" s="385" t="s">
        <v>414</v>
      </c>
      <c r="C1894" s="385" t="s">
        <v>3570</v>
      </c>
      <c r="D1894" s="385" t="s">
        <v>88</v>
      </c>
      <c r="E1894" s="385"/>
      <c r="F1894" s="385"/>
      <c r="G1894" s="385"/>
      <c r="H1894" s="385">
        <v>2024</v>
      </c>
      <c r="I1894" s="386">
        <v>45608</v>
      </c>
      <c r="J1894" s="30"/>
      <c r="K1894" s="385"/>
      <c r="L1894" s="385"/>
      <c r="M1894" s="385"/>
      <c r="N1894" s="385"/>
      <c r="O1894" s="385"/>
      <c r="P1894" s="385" t="str">
        <f>IFERROR(
    IF(
        OR(ISBLANK(I1894), ISBLANK(L1894)),
        "",
        MAX(
            1,
            IF(
                NETWORKDAYS(I1894, L1894, Holiday_Dates) &lt;= 0,
                1,
                NETWORKDAYS(I1894, L1894, Holiday_Dates) - IF(I1894 = L1894, 0, 1)
            )
        )
    ),
    ""
)</f>
        <v/>
      </c>
      <c r="Q1894" s="385" t="str">
        <f>IF(
    OR(ISBLANK(L1894), ISBLANK(M1894)),
    "",
    MAX(
        1,
        IF(
            NETWORKDAYS(L1894, M1894, Holiday_Dates) &lt;= 0,
            1,
            NETWORKDAYS(L1894, M1894, Holiday_Dates) - IF(L1894 = M1894, 0, 1)
        )
    )
)</f>
        <v/>
      </c>
      <c r="R1894" s="385" t="str">
        <f>IFERROR(
    IF(
        OR(ISBLANK(N1894), AND(ISBLANK(L1894), ISBLANK(M1894))),
        "",
        MAX(
            1,
            IF(
                NETWORKDAYS(IF(NOT(ISBLANK(M1894)), M1894, L1894), N1894, Holiday_Dates) &lt;= 0,
                1,
                NETWORKDAYS(IF(NOT(ISBLANK(M1894)), M1894, L1894), N1894, Holiday_Dates)
                - IF(IF(NOT(ISBLANK(M1894)), M1894, L1894) = N1894, 0, 1)
            )
        )
    ),
    ""
)</f>
        <v/>
      </c>
      <c r="S1894" s="385" t="str">
        <f>IFERROR(
    IF(
        OR(ISBLANK(N1894), ISBLANK(O1894)),
        "",
        MAX(
            1,
            IF(
                NETWORKDAYS(N1894, O1894, Holiday_Dates) &lt;= 0,
                1,
                NETWORKDAYS(N1894, O1894, Holiday_Dates) - IF(N1894 = O1894, 0, 1)
            )
        )
    ),
    ""
)</f>
        <v/>
      </c>
      <c r="T1894" s="385"/>
      <c r="U1894" s="385" t="s">
        <v>4</v>
      </c>
      <c r="V1894" s="385" t="s">
        <v>101</v>
      </c>
      <c r="W1894" s="385" t="s">
        <v>1436</v>
      </c>
      <c r="X1894" s="1"/>
    </row>
    <row r="1895" spans="1:24">
      <c r="A1895" s="385" t="s">
        <v>51</v>
      </c>
      <c r="B1895" s="385" t="s">
        <v>414</v>
      </c>
      <c r="C1895" s="385" t="s">
        <v>3572</v>
      </c>
      <c r="D1895" s="385" t="s">
        <v>88</v>
      </c>
      <c r="E1895" s="385"/>
      <c r="F1895" s="385"/>
      <c r="G1895" s="385"/>
      <c r="H1895" s="385">
        <v>2024</v>
      </c>
      <c r="I1895" s="386">
        <v>45541</v>
      </c>
      <c r="J1895" s="30"/>
      <c r="K1895" s="385"/>
      <c r="L1895" s="385"/>
      <c r="M1895" s="385"/>
      <c r="N1895" s="385"/>
      <c r="O1895" s="385"/>
      <c r="P1895" s="385" t="str">
        <f>IFERROR(
    IF(
        OR(ISBLANK(I1895), ISBLANK(L1895)),
        "",
        MAX(
            1,
            IF(
                NETWORKDAYS(I1895, L1895, Holiday_Dates) &lt;= 0,
                1,
                NETWORKDAYS(I1895, L1895, Holiday_Dates) - IF(I1895 = L1895, 0, 1)
            )
        )
    ),
    ""
)</f>
        <v/>
      </c>
      <c r="Q1895" s="385" t="str">
        <f>IF(
    OR(ISBLANK(L1895), ISBLANK(M1895)),
    "",
    MAX(
        1,
        IF(
            NETWORKDAYS(L1895, M1895, Holiday_Dates) &lt;= 0,
            1,
            NETWORKDAYS(L1895, M1895, Holiday_Dates) - IF(L1895 = M1895, 0, 1)
        )
    )
)</f>
        <v/>
      </c>
      <c r="R1895" s="385" t="str">
        <f>IFERROR(
    IF(
        OR(ISBLANK(N1895), AND(ISBLANK(L1895), ISBLANK(M1895))),
        "",
        MAX(
            1,
            IF(
                NETWORKDAYS(IF(NOT(ISBLANK(M1895)), M1895, L1895), N1895, Holiday_Dates) &lt;= 0,
                1,
                NETWORKDAYS(IF(NOT(ISBLANK(M1895)), M1895, L1895), N1895, Holiday_Dates)
                - IF(IF(NOT(ISBLANK(M1895)), M1895, L1895) = N1895, 0, 1)
            )
        )
    ),
    ""
)</f>
        <v/>
      </c>
      <c r="S1895" s="385" t="str">
        <f>IFERROR(
    IF(
        OR(ISBLANK(N1895), ISBLANK(O1895)),
        "",
        MAX(
            1,
            IF(
                NETWORKDAYS(N1895, O1895, Holiday_Dates) &lt;= 0,
                1,
                NETWORKDAYS(N1895, O1895, Holiday_Dates) - IF(N1895 = O1895, 0, 1)
            )
        )
    ),
    ""
)</f>
        <v/>
      </c>
      <c r="T1895" s="385"/>
      <c r="U1895" s="385" t="s">
        <v>4</v>
      </c>
      <c r="V1895" s="385" t="s">
        <v>101</v>
      </c>
      <c r="W1895" s="385" t="s">
        <v>1436</v>
      </c>
      <c r="X1895" s="1"/>
    </row>
    <row r="1896" spans="1:24">
      <c r="A1896" s="385" t="s">
        <v>51</v>
      </c>
      <c r="B1896" s="385" t="s">
        <v>414</v>
      </c>
      <c r="C1896" s="385" t="s">
        <v>3574</v>
      </c>
      <c r="D1896" s="385" t="s">
        <v>88</v>
      </c>
      <c r="E1896" s="385"/>
      <c r="F1896" s="385"/>
      <c r="G1896" s="385"/>
      <c r="H1896" s="385">
        <v>2024</v>
      </c>
      <c r="I1896" s="386">
        <v>45482</v>
      </c>
      <c r="J1896" s="30"/>
      <c r="K1896" s="385"/>
      <c r="L1896" s="385"/>
      <c r="M1896" s="385"/>
      <c r="N1896" s="385"/>
      <c r="O1896" s="385"/>
      <c r="P1896" s="385" t="str">
        <f>IFERROR(
    IF(
        OR(ISBLANK(I1896), ISBLANK(L1896)),
        "",
        MAX(
            1,
            IF(
                NETWORKDAYS(I1896, L1896, Holiday_Dates) &lt;= 0,
                1,
                NETWORKDAYS(I1896, L1896, Holiday_Dates) - IF(I1896 = L1896, 0, 1)
            )
        )
    ),
    ""
)</f>
        <v/>
      </c>
      <c r="Q1896" s="385" t="str">
        <f>IF(
    OR(ISBLANK(L1896), ISBLANK(M1896)),
    "",
    MAX(
        1,
        IF(
            NETWORKDAYS(L1896, M1896, Holiday_Dates) &lt;= 0,
            1,
            NETWORKDAYS(L1896, M1896, Holiday_Dates) - IF(L1896 = M1896, 0, 1)
        )
    )
)</f>
        <v/>
      </c>
      <c r="R1896" s="385" t="str">
        <f>IFERROR(
    IF(
        OR(ISBLANK(N1896), AND(ISBLANK(L1896), ISBLANK(M1896))),
        "",
        MAX(
            1,
            IF(
                NETWORKDAYS(IF(NOT(ISBLANK(M1896)), M1896, L1896), N1896, Holiday_Dates) &lt;= 0,
                1,
                NETWORKDAYS(IF(NOT(ISBLANK(M1896)), M1896, L1896), N1896, Holiday_Dates)
                - IF(IF(NOT(ISBLANK(M1896)), M1896, L1896) = N1896, 0, 1)
            )
        )
    ),
    ""
)</f>
        <v/>
      </c>
      <c r="S1896" s="385" t="str">
        <f>IFERROR(
    IF(
        OR(ISBLANK(N1896), ISBLANK(O1896)),
        "",
        MAX(
            1,
            IF(
                NETWORKDAYS(N1896, O1896, Holiday_Dates) &lt;= 0,
                1,
                NETWORKDAYS(N1896, O1896, Holiday_Dates) - IF(N1896 = O1896, 0, 1)
            )
        )
    ),
    ""
)</f>
        <v/>
      </c>
      <c r="T1896" s="385"/>
      <c r="U1896" s="385" t="s">
        <v>4</v>
      </c>
      <c r="V1896" s="385" t="s">
        <v>101</v>
      </c>
      <c r="W1896" s="385" t="s">
        <v>1436</v>
      </c>
      <c r="X1896" s="1"/>
    </row>
    <row r="1897" spans="1:24">
      <c r="A1897" s="385" t="s">
        <v>51</v>
      </c>
      <c r="B1897" s="385" t="s">
        <v>414</v>
      </c>
      <c r="C1897" s="385" t="s">
        <v>3576</v>
      </c>
      <c r="D1897" s="385" t="s">
        <v>88</v>
      </c>
      <c r="E1897" s="385"/>
      <c r="F1897" s="385"/>
      <c r="G1897" s="385"/>
      <c r="H1897" s="385">
        <v>2025</v>
      </c>
      <c r="I1897" s="386">
        <v>45940</v>
      </c>
      <c r="J1897" s="30" t="s">
        <v>5420</v>
      </c>
      <c r="K1897" s="385"/>
      <c r="L1897" s="385"/>
      <c r="M1897" s="385"/>
      <c r="N1897" s="385"/>
      <c r="O1897" s="385"/>
      <c r="P1897" s="385" t="str">
        <f>IFERROR(
    IF(
        OR(ISBLANK(I1897), ISBLANK(L1897)),
        "",
        MAX(
            1,
            IF(
                NETWORKDAYS(I1897, L1897, Holiday_Dates) &lt;= 0,
                1,
                NETWORKDAYS(I1897, L1897, Holiday_Dates) - IF(I1897 = L1897, 0, 1)
            )
        )
    ),
    ""
)</f>
        <v/>
      </c>
      <c r="Q1897" s="385" t="str">
        <f>IF(
    OR(ISBLANK(L1897), ISBLANK(M1897)),
    "",
    MAX(
        1,
        IF(
            NETWORKDAYS(L1897, M1897, Holiday_Dates) &lt;= 0,
            1,
            NETWORKDAYS(L1897, M1897, Holiday_Dates) - IF(L1897 = M1897, 0, 1)
        )
    )
)</f>
        <v/>
      </c>
      <c r="R1897" s="385" t="str">
        <f>IFERROR(
    IF(
        OR(ISBLANK(N1897), AND(ISBLANK(L1897), ISBLANK(M1897))),
        "",
        MAX(
            1,
            IF(
                NETWORKDAYS(IF(NOT(ISBLANK(M1897)), M1897, L1897), N1897, Holiday_Dates) &lt;= 0,
                1,
                NETWORKDAYS(IF(NOT(ISBLANK(M1897)), M1897, L1897), N1897, Holiday_Dates)
                - IF(IF(NOT(ISBLANK(M1897)), M1897, L1897) = N1897, 0, 1)
            )
        )
    ),
    ""
)</f>
        <v/>
      </c>
      <c r="S1897" s="385" t="str">
        <f>IFERROR(
    IF(
        OR(ISBLANK(N1897), ISBLANK(O1897)),
        "",
        MAX(
            1,
            IF(
                NETWORKDAYS(N1897, O1897, Holiday_Dates) &lt;= 0,
                1,
                NETWORKDAYS(N1897, O1897, Holiday_Dates) - IF(N1897 = O1897, 0, 1)
            )
        )
    ),
    ""
)</f>
        <v/>
      </c>
      <c r="T1897" s="385"/>
      <c r="U1897" s="385" t="s">
        <v>672</v>
      </c>
      <c r="V1897" s="385" t="s">
        <v>101</v>
      </c>
      <c r="W1897" s="385" t="s">
        <v>1436</v>
      </c>
      <c r="X1897" s="1"/>
    </row>
    <row r="1898" spans="1:24">
      <c r="A1898" s="385" t="s">
        <v>51</v>
      </c>
      <c r="B1898" s="385" t="s">
        <v>414</v>
      </c>
      <c r="C1898" s="385" t="s">
        <v>3577</v>
      </c>
      <c r="D1898" s="385" t="s">
        <v>88</v>
      </c>
      <c r="E1898" s="385"/>
      <c r="F1898" s="385"/>
      <c r="G1898" s="385"/>
      <c r="H1898" s="385">
        <v>2025</v>
      </c>
      <c r="I1898" s="386">
        <v>45846</v>
      </c>
      <c r="J1898" s="30" t="s">
        <v>5421</v>
      </c>
      <c r="K1898" s="385"/>
      <c r="L1898" s="385"/>
      <c r="M1898" s="385"/>
      <c r="N1898" s="385"/>
      <c r="O1898" s="385"/>
      <c r="P1898" s="385" t="str">
        <f>IFERROR(
    IF(
        OR(ISBLANK(I1898), ISBLANK(L1898)),
        "",
        MAX(
            1,
            IF(
                NETWORKDAYS(I1898, L1898, Holiday_Dates) &lt;= 0,
                1,
                NETWORKDAYS(I1898, L1898, Holiday_Dates) - IF(I1898 = L1898, 0, 1)
            )
        )
    ),
    ""
)</f>
        <v/>
      </c>
      <c r="Q1898" s="385" t="str">
        <f>IF(
    OR(ISBLANK(L1898), ISBLANK(M1898)),
    "",
    MAX(
        1,
        IF(
            NETWORKDAYS(L1898, M1898, Holiday_Dates) &lt;= 0,
            1,
            NETWORKDAYS(L1898, M1898, Holiday_Dates) - IF(L1898 = M1898, 0, 1)
        )
    )
)</f>
        <v/>
      </c>
      <c r="R1898" s="385" t="str">
        <f>IFERROR(
    IF(
        OR(ISBLANK(N1898), AND(ISBLANK(L1898), ISBLANK(M1898))),
        "",
        MAX(
            1,
            IF(
                NETWORKDAYS(IF(NOT(ISBLANK(M1898)), M1898, L1898), N1898, Holiday_Dates) &lt;= 0,
                1,
                NETWORKDAYS(IF(NOT(ISBLANK(M1898)), M1898, L1898), N1898, Holiday_Dates)
                - IF(IF(NOT(ISBLANK(M1898)), M1898, L1898) = N1898, 0, 1)
            )
        )
    ),
    ""
)</f>
        <v/>
      </c>
      <c r="S1898" s="385" t="str">
        <f>IFERROR(
    IF(
        OR(ISBLANK(N1898), ISBLANK(O1898)),
        "",
        MAX(
            1,
            IF(
                NETWORKDAYS(N1898, O1898, Holiday_Dates) &lt;= 0,
                1,
                NETWORKDAYS(N1898, O1898, Holiday_Dates) - IF(N1898 = O1898, 0, 1)
            )
        )
    ),
    ""
)</f>
        <v/>
      </c>
      <c r="T1898" s="385"/>
      <c r="U1898" s="385" t="s">
        <v>672</v>
      </c>
      <c r="V1898" s="385" t="s">
        <v>101</v>
      </c>
      <c r="W1898" s="385" t="s">
        <v>1436</v>
      </c>
      <c r="X1898" s="1"/>
    </row>
    <row r="1899" spans="1:24">
      <c r="A1899" s="385" t="s">
        <v>51</v>
      </c>
      <c r="B1899" s="385" t="s">
        <v>414</v>
      </c>
      <c r="C1899" s="385" t="s">
        <v>3578</v>
      </c>
      <c r="D1899" s="385" t="s">
        <v>88</v>
      </c>
      <c r="E1899" s="385"/>
      <c r="F1899" s="385"/>
      <c r="G1899" s="385"/>
      <c r="H1899" s="385">
        <v>2024</v>
      </c>
      <c r="I1899" s="386">
        <v>45545</v>
      </c>
      <c r="J1899" s="30"/>
      <c r="K1899" s="385"/>
      <c r="L1899" s="385"/>
      <c r="M1899" s="385"/>
      <c r="N1899" s="385"/>
      <c r="O1899" s="385"/>
      <c r="P1899" s="385" t="str">
        <f>IFERROR(
    IF(
        OR(ISBLANK(I1899), ISBLANK(L1899)),
        "",
        MAX(
            1,
            IF(
                NETWORKDAYS(I1899, L1899, Holiday_Dates) &lt;= 0,
                1,
                NETWORKDAYS(I1899, L1899, Holiday_Dates) - IF(I1899 = L1899, 0, 1)
            )
        )
    ),
    ""
)</f>
        <v/>
      </c>
      <c r="Q1899" s="385" t="str">
        <f>IF(
    OR(ISBLANK(L1899), ISBLANK(M1899)),
    "",
    MAX(
        1,
        IF(
            NETWORKDAYS(L1899, M1899, Holiday_Dates) &lt;= 0,
            1,
            NETWORKDAYS(L1899, M1899, Holiday_Dates) - IF(L1899 = M1899, 0, 1)
        )
    )
)</f>
        <v/>
      </c>
      <c r="R1899" s="385" t="str">
        <f>IFERROR(
    IF(
        OR(ISBLANK(N1899), AND(ISBLANK(L1899), ISBLANK(M1899))),
        "",
        MAX(
            1,
            IF(
                NETWORKDAYS(IF(NOT(ISBLANK(M1899)), M1899, L1899), N1899, Holiday_Dates) &lt;= 0,
                1,
                NETWORKDAYS(IF(NOT(ISBLANK(M1899)), M1899, L1899), N1899, Holiday_Dates)
                - IF(IF(NOT(ISBLANK(M1899)), M1899, L1899) = N1899, 0, 1)
            )
        )
    ),
    ""
)</f>
        <v/>
      </c>
      <c r="S1899" s="385" t="str">
        <f>IFERROR(
    IF(
        OR(ISBLANK(N1899), ISBLANK(O1899)),
        "",
        MAX(
            1,
            IF(
                NETWORKDAYS(N1899, O1899, Holiday_Dates) &lt;= 0,
                1,
                NETWORKDAYS(N1899, O1899, Holiday_Dates) - IF(N1899 = O1899, 0, 1)
            )
        )
    ),
    ""
)</f>
        <v/>
      </c>
      <c r="T1899" s="385"/>
      <c r="U1899" s="385" t="s">
        <v>4</v>
      </c>
      <c r="V1899" s="385" t="s">
        <v>101</v>
      </c>
      <c r="W1899" s="385" t="s">
        <v>1436</v>
      </c>
      <c r="X1899" s="1"/>
    </row>
    <row r="1900" spans="1:24">
      <c r="A1900" s="385" t="s">
        <v>51</v>
      </c>
      <c r="B1900" s="385" t="s">
        <v>414</v>
      </c>
      <c r="C1900" s="385" t="s">
        <v>714</v>
      </c>
      <c r="D1900" s="385" t="s">
        <v>88</v>
      </c>
      <c r="E1900" s="385"/>
      <c r="F1900" s="385"/>
      <c r="G1900" s="385"/>
      <c r="H1900" s="385">
        <v>2025</v>
      </c>
      <c r="I1900" s="386">
        <v>45846</v>
      </c>
      <c r="J1900" s="30" t="s">
        <v>5422</v>
      </c>
      <c r="K1900" s="385"/>
      <c r="L1900" s="385"/>
      <c r="M1900" s="385"/>
      <c r="N1900" s="385"/>
      <c r="O1900" s="385"/>
      <c r="P1900" s="385" t="str">
        <f>IFERROR(
    IF(
        OR(ISBLANK(I1900), ISBLANK(L1900)),
        "",
        MAX(
            1,
            IF(
                NETWORKDAYS(I1900, L1900, Holiday_Dates) &lt;= 0,
                1,
                NETWORKDAYS(I1900, L1900, Holiday_Dates) - IF(I1900 = L1900, 0, 1)
            )
        )
    ),
    ""
)</f>
        <v/>
      </c>
      <c r="Q1900" s="385" t="str">
        <f>IF(
    OR(ISBLANK(L1900), ISBLANK(M1900)),
    "",
    MAX(
        1,
        IF(
            NETWORKDAYS(L1900, M1900, Holiday_Dates) &lt;= 0,
            1,
            NETWORKDAYS(L1900, M1900, Holiday_Dates) - IF(L1900 = M1900, 0, 1)
        )
    )
)</f>
        <v/>
      </c>
      <c r="R1900" s="385" t="str">
        <f>IFERROR(
    IF(
        OR(ISBLANK(N1900), AND(ISBLANK(L1900), ISBLANK(M1900))),
        "",
        MAX(
            1,
            IF(
                NETWORKDAYS(IF(NOT(ISBLANK(M1900)), M1900, L1900), N1900, Holiday_Dates) &lt;= 0,
                1,
                NETWORKDAYS(IF(NOT(ISBLANK(M1900)), M1900, L1900), N1900, Holiday_Dates)
                - IF(IF(NOT(ISBLANK(M1900)), M1900, L1900) = N1900, 0, 1)
            )
        )
    ),
    ""
)</f>
        <v/>
      </c>
      <c r="S1900" s="385" t="str">
        <f>IFERROR(
    IF(
        OR(ISBLANK(N1900), ISBLANK(O1900)),
        "",
        MAX(
            1,
            IF(
                NETWORKDAYS(N1900, O1900, Holiday_Dates) &lt;= 0,
                1,
                NETWORKDAYS(N1900, O1900, Holiday_Dates) - IF(N1900 = O1900, 0, 1)
            )
        )
    ),
    ""
)</f>
        <v/>
      </c>
      <c r="T1900" s="385"/>
      <c r="U1900" s="385" t="s">
        <v>4</v>
      </c>
      <c r="V1900" s="385" t="s">
        <v>101</v>
      </c>
      <c r="W1900" s="385" t="s">
        <v>1436</v>
      </c>
      <c r="X1900" s="1"/>
    </row>
    <row r="1901" spans="1:24">
      <c r="A1901" s="385" t="s">
        <v>51</v>
      </c>
      <c r="B1901" s="385" t="s">
        <v>414</v>
      </c>
      <c r="C1901" s="385" t="s">
        <v>520</v>
      </c>
      <c r="D1901" s="385" t="s">
        <v>88</v>
      </c>
      <c r="E1901" s="385"/>
      <c r="F1901" s="385"/>
      <c r="G1901" s="385"/>
      <c r="H1901" s="385">
        <v>2024</v>
      </c>
      <c r="I1901" s="386">
        <v>45546</v>
      </c>
      <c r="J1901" s="30"/>
      <c r="K1901" s="385"/>
      <c r="L1901" s="385"/>
      <c r="M1901" s="385"/>
      <c r="N1901" s="385"/>
      <c r="O1901" s="385"/>
      <c r="P1901" s="385" t="str">
        <f>IFERROR(
    IF(
        OR(ISBLANK(I1901), ISBLANK(L1901)),
        "",
        MAX(
            1,
            IF(
                NETWORKDAYS(I1901, L1901, Holiday_Dates) &lt;= 0,
                1,
                NETWORKDAYS(I1901, L1901, Holiday_Dates) - IF(I1901 = L1901, 0, 1)
            )
        )
    ),
    ""
)</f>
        <v/>
      </c>
      <c r="Q1901" s="385" t="str">
        <f>IF(
    OR(ISBLANK(L1901), ISBLANK(M1901)),
    "",
    MAX(
        1,
        IF(
            NETWORKDAYS(L1901, M1901, Holiday_Dates) &lt;= 0,
            1,
            NETWORKDAYS(L1901, M1901, Holiday_Dates) - IF(L1901 = M1901, 0, 1)
        )
    )
)</f>
        <v/>
      </c>
      <c r="R1901" s="385" t="str">
        <f>IFERROR(
    IF(
        OR(ISBLANK(N1901), AND(ISBLANK(L1901), ISBLANK(M1901))),
        "",
        MAX(
            1,
            IF(
                NETWORKDAYS(IF(NOT(ISBLANK(M1901)), M1901, L1901), N1901, Holiday_Dates) &lt;= 0,
                1,
                NETWORKDAYS(IF(NOT(ISBLANK(M1901)), M1901, L1901), N1901, Holiday_Dates)
                - IF(IF(NOT(ISBLANK(M1901)), M1901, L1901) = N1901, 0, 1)
            )
        )
    ),
    ""
)</f>
        <v/>
      </c>
      <c r="S1901" s="385" t="str">
        <f>IFERROR(
    IF(
        OR(ISBLANK(N1901), ISBLANK(O1901)),
        "",
        MAX(
            1,
            IF(
                NETWORKDAYS(N1901, O1901, Holiday_Dates) &lt;= 0,
                1,
                NETWORKDAYS(N1901, O1901, Holiday_Dates) - IF(N1901 = O1901, 0, 1)
            )
        )
    ),
    ""
)</f>
        <v/>
      </c>
      <c r="T1901" s="385"/>
      <c r="U1901" s="385" t="s">
        <v>4</v>
      </c>
      <c r="V1901" s="385" t="s">
        <v>101</v>
      </c>
      <c r="W1901" s="385" t="s">
        <v>1436</v>
      </c>
      <c r="X1901" s="1"/>
    </row>
    <row r="1902" spans="1:24">
      <c r="A1902" s="385" t="s">
        <v>51</v>
      </c>
      <c r="B1902" s="385" t="s">
        <v>414</v>
      </c>
      <c r="C1902" s="385" t="s">
        <v>653</v>
      </c>
      <c r="D1902" s="385" t="s">
        <v>88</v>
      </c>
      <c r="E1902" s="385"/>
      <c r="F1902" s="385"/>
      <c r="G1902" s="385"/>
      <c r="H1902" s="385">
        <v>2025</v>
      </c>
      <c r="I1902" s="386">
        <v>45701</v>
      </c>
      <c r="J1902" s="30" t="s">
        <v>5423</v>
      </c>
      <c r="K1902" s="385"/>
      <c r="L1902" s="385"/>
      <c r="M1902" s="385"/>
      <c r="N1902" s="385"/>
      <c r="O1902" s="385"/>
      <c r="P1902" s="385" t="str">
        <f>IFERROR(
    IF(
        OR(ISBLANK(I1902), ISBLANK(L1902)),
        "",
        MAX(
            1,
            IF(
                NETWORKDAYS(I1902, L1902, Holiday_Dates) &lt;= 0,
                1,
                NETWORKDAYS(I1902, L1902, Holiday_Dates) - IF(I1902 = L1902, 0, 1)
            )
        )
    ),
    ""
)</f>
        <v/>
      </c>
      <c r="Q1902" s="385" t="str">
        <f>IF(
    OR(ISBLANK(L1902), ISBLANK(M1902)),
    "",
    MAX(
        1,
        IF(
            NETWORKDAYS(L1902, M1902, Holiday_Dates) &lt;= 0,
            1,
            NETWORKDAYS(L1902, M1902, Holiday_Dates) - IF(L1902 = M1902, 0, 1)
        )
    )
)</f>
        <v/>
      </c>
      <c r="R1902" s="385" t="str">
        <f>IFERROR(
    IF(
        OR(ISBLANK(N1902), AND(ISBLANK(L1902), ISBLANK(M1902))),
        "",
        MAX(
            1,
            IF(
                NETWORKDAYS(IF(NOT(ISBLANK(M1902)), M1902, L1902), N1902, Holiday_Dates) &lt;= 0,
                1,
                NETWORKDAYS(IF(NOT(ISBLANK(M1902)), M1902, L1902), N1902, Holiday_Dates)
                - IF(IF(NOT(ISBLANK(M1902)), M1902, L1902) = N1902, 0, 1)
            )
        )
    ),
    ""
)</f>
        <v/>
      </c>
      <c r="S1902" s="385" t="str">
        <f>IFERROR(
    IF(
        OR(ISBLANK(N1902), ISBLANK(O1902)),
        "",
        MAX(
            1,
            IF(
                NETWORKDAYS(N1902, O1902, Holiday_Dates) &lt;= 0,
                1,
                NETWORKDAYS(N1902, O1902, Holiday_Dates) - IF(N1902 = O1902, 0, 1)
            )
        )
    ),
    ""
)</f>
        <v/>
      </c>
      <c r="T1902" s="385"/>
      <c r="U1902" s="385" t="s">
        <v>4</v>
      </c>
      <c r="V1902" s="385" t="s">
        <v>101</v>
      </c>
      <c r="W1902" s="385" t="s">
        <v>1436</v>
      </c>
      <c r="X1902" s="1"/>
    </row>
    <row r="1903" spans="1:24">
      <c r="A1903" s="385" t="s">
        <v>51</v>
      </c>
      <c r="B1903" s="385" t="s">
        <v>414</v>
      </c>
      <c r="C1903" s="385" t="s">
        <v>2235</v>
      </c>
      <c r="D1903" s="385" t="s">
        <v>88</v>
      </c>
      <c r="E1903" s="385"/>
      <c r="F1903" s="385"/>
      <c r="G1903" s="385"/>
      <c r="H1903" s="385">
        <v>2025</v>
      </c>
      <c r="I1903" s="386">
        <v>45968</v>
      </c>
      <c r="J1903" s="30" t="s">
        <v>5424</v>
      </c>
      <c r="K1903" s="385"/>
      <c r="L1903" s="385"/>
      <c r="M1903" s="385"/>
      <c r="N1903" s="385"/>
      <c r="O1903" s="385"/>
      <c r="P1903" s="385" t="str">
        <f>IFERROR(
    IF(
        OR(ISBLANK(I1903), ISBLANK(L1903)),
        "",
        MAX(
            1,
            IF(
                NETWORKDAYS(I1903, L1903, Holiday_Dates) &lt;= 0,
                1,
                NETWORKDAYS(I1903, L1903, Holiday_Dates) - IF(I1903 = L1903, 0, 1)
            )
        )
    ),
    ""
)</f>
        <v/>
      </c>
      <c r="Q1903" s="385" t="str">
        <f>IF(
    OR(ISBLANK(L1903), ISBLANK(M1903)),
    "",
    MAX(
        1,
        IF(
            NETWORKDAYS(L1903, M1903, Holiday_Dates) &lt;= 0,
            1,
            NETWORKDAYS(L1903, M1903, Holiday_Dates) - IF(L1903 = M1903, 0, 1)
        )
    )
)</f>
        <v/>
      </c>
      <c r="R1903" s="385" t="str">
        <f>IFERROR(
    IF(
        OR(ISBLANK(N1903), AND(ISBLANK(L1903), ISBLANK(M1903))),
        "",
        MAX(
            1,
            IF(
                NETWORKDAYS(IF(NOT(ISBLANK(M1903)), M1903, L1903), N1903, Holiday_Dates) &lt;= 0,
                1,
                NETWORKDAYS(IF(NOT(ISBLANK(M1903)), M1903, L1903), N1903, Holiday_Dates)
                - IF(IF(NOT(ISBLANK(M1903)), M1903, L1903) = N1903, 0, 1)
            )
        )
    ),
    ""
)</f>
        <v/>
      </c>
      <c r="S1903" s="385" t="str">
        <f>IFERROR(
    IF(
        OR(ISBLANK(N1903), ISBLANK(O1903)),
        "",
        MAX(
            1,
            IF(
                NETWORKDAYS(N1903, O1903, Holiday_Dates) &lt;= 0,
                1,
                NETWORKDAYS(N1903, O1903, Holiday_Dates) - IF(N1903 = O1903, 0, 1)
            )
        )
    ),
    ""
)</f>
        <v/>
      </c>
      <c r="T1903" s="385"/>
      <c r="U1903" s="385" t="s">
        <v>672</v>
      </c>
      <c r="V1903" s="385" t="s">
        <v>101</v>
      </c>
      <c r="W1903" s="385" t="s">
        <v>1436</v>
      </c>
      <c r="X1903" s="1"/>
    </row>
    <row r="1904" spans="1:24">
      <c r="A1904" s="385" t="s">
        <v>51</v>
      </c>
      <c r="B1904" s="385" t="s">
        <v>414</v>
      </c>
      <c r="C1904" s="385" t="s">
        <v>2282</v>
      </c>
      <c r="D1904" s="385" t="s">
        <v>88</v>
      </c>
      <c r="E1904" s="385"/>
      <c r="F1904" s="385"/>
      <c r="G1904" s="385"/>
      <c r="H1904" s="385">
        <v>2025</v>
      </c>
      <c r="I1904" s="386">
        <v>45945</v>
      </c>
      <c r="J1904" s="30" t="s">
        <v>5425</v>
      </c>
      <c r="K1904" s="385"/>
      <c r="L1904" s="385"/>
      <c r="M1904" s="385"/>
      <c r="N1904" s="385"/>
      <c r="O1904" s="385"/>
      <c r="P1904" s="385" t="str">
        <f>IFERROR(
    IF(
        OR(ISBLANK(I1904), ISBLANK(L1904)),
        "",
        MAX(
            1,
            IF(
                NETWORKDAYS(I1904, L1904, Holiday_Dates) &lt;= 0,
                1,
                NETWORKDAYS(I1904, L1904, Holiday_Dates) - IF(I1904 = L1904, 0, 1)
            )
        )
    ),
    ""
)</f>
        <v/>
      </c>
      <c r="Q1904" s="385" t="str">
        <f>IF(
    OR(ISBLANK(L1904), ISBLANK(M1904)),
    "",
    MAX(
        1,
        IF(
            NETWORKDAYS(L1904, M1904, Holiday_Dates) &lt;= 0,
            1,
            NETWORKDAYS(L1904, M1904, Holiday_Dates) - IF(L1904 = M1904, 0, 1)
        )
    )
)</f>
        <v/>
      </c>
      <c r="R1904" s="385" t="str">
        <f>IFERROR(
    IF(
        OR(ISBLANK(N1904), AND(ISBLANK(L1904), ISBLANK(M1904))),
        "",
        MAX(
            1,
            IF(
                NETWORKDAYS(IF(NOT(ISBLANK(M1904)), M1904, L1904), N1904, Holiday_Dates) &lt;= 0,
                1,
                NETWORKDAYS(IF(NOT(ISBLANK(M1904)), M1904, L1904), N1904, Holiday_Dates)
                - IF(IF(NOT(ISBLANK(M1904)), M1904, L1904) = N1904, 0, 1)
            )
        )
    ),
    ""
)</f>
        <v/>
      </c>
      <c r="S1904" s="385" t="str">
        <f>IFERROR(
    IF(
        OR(ISBLANK(N1904), ISBLANK(O1904)),
        "",
        MAX(
            1,
            IF(
                NETWORKDAYS(N1904, O1904, Holiday_Dates) &lt;= 0,
                1,
                NETWORKDAYS(N1904, O1904, Holiday_Dates) - IF(N1904 = O1904, 0, 1)
            )
        )
    ),
    ""
)</f>
        <v/>
      </c>
      <c r="T1904" s="385"/>
      <c r="U1904" s="385" t="s">
        <v>672</v>
      </c>
      <c r="V1904" s="385" t="s">
        <v>101</v>
      </c>
      <c r="W1904" s="385" t="s">
        <v>1436</v>
      </c>
      <c r="X1904" s="1"/>
    </row>
    <row r="1905" spans="1:24">
      <c r="A1905" s="385" t="s">
        <v>51</v>
      </c>
      <c r="B1905" s="385" t="s">
        <v>414</v>
      </c>
      <c r="C1905" s="385" t="s">
        <v>1077</v>
      </c>
      <c r="D1905" s="385" t="s">
        <v>88</v>
      </c>
      <c r="E1905" s="385"/>
      <c r="F1905" s="385"/>
      <c r="G1905" s="385"/>
      <c r="H1905" s="385">
        <v>2024</v>
      </c>
      <c r="I1905" s="386">
        <v>45608</v>
      </c>
      <c r="J1905" s="30"/>
      <c r="K1905" s="385"/>
      <c r="L1905" s="385"/>
      <c r="M1905" s="385"/>
      <c r="N1905" s="385"/>
      <c r="O1905" s="385"/>
      <c r="P1905" s="385" t="str">
        <f>IFERROR(
    IF(
        OR(ISBLANK(I1905), ISBLANK(L1905)),
        "",
        MAX(
            1,
            IF(
                NETWORKDAYS(I1905, L1905, Holiday_Dates) &lt;= 0,
                1,
                NETWORKDAYS(I1905, L1905, Holiday_Dates) - IF(I1905 = L1905, 0, 1)
            )
        )
    ),
    ""
)</f>
        <v/>
      </c>
      <c r="Q1905" s="385" t="str">
        <f>IF(
    OR(ISBLANK(L1905), ISBLANK(M1905)),
    "",
    MAX(
        1,
        IF(
            NETWORKDAYS(L1905, M1905, Holiday_Dates) &lt;= 0,
            1,
            NETWORKDAYS(L1905, M1905, Holiday_Dates) - IF(L1905 = M1905, 0, 1)
        )
    )
)</f>
        <v/>
      </c>
      <c r="R1905" s="385" t="str">
        <f>IFERROR(
    IF(
        OR(ISBLANK(N1905), AND(ISBLANK(L1905), ISBLANK(M1905))),
        "",
        MAX(
            1,
            IF(
                NETWORKDAYS(IF(NOT(ISBLANK(M1905)), M1905, L1905), N1905, Holiday_Dates) &lt;= 0,
                1,
                NETWORKDAYS(IF(NOT(ISBLANK(M1905)), M1905, L1905), N1905, Holiday_Dates)
                - IF(IF(NOT(ISBLANK(M1905)), M1905, L1905) = N1905, 0, 1)
            )
        )
    ),
    ""
)</f>
        <v/>
      </c>
      <c r="S1905" s="385" t="str">
        <f>IFERROR(
    IF(
        OR(ISBLANK(N1905), ISBLANK(O1905)),
        "",
        MAX(
            1,
            IF(
                NETWORKDAYS(N1905, O1905, Holiday_Dates) &lt;= 0,
                1,
                NETWORKDAYS(N1905, O1905, Holiday_Dates) - IF(N1905 = O1905, 0, 1)
            )
        )
    ),
    ""
)</f>
        <v/>
      </c>
      <c r="T1905" s="385"/>
      <c r="U1905" s="385" t="s">
        <v>4</v>
      </c>
      <c r="V1905" s="385" t="s">
        <v>101</v>
      </c>
      <c r="W1905" s="385" t="s">
        <v>1436</v>
      </c>
      <c r="X1905" s="1"/>
    </row>
    <row r="1906" spans="1:24" ht="28.5">
      <c r="A1906" s="385" t="s">
        <v>51</v>
      </c>
      <c r="B1906" s="385" t="s">
        <v>414</v>
      </c>
      <c r="C1906" s="385" t="s">
        <v>3582</v>
      </c>
      <c r="D1906" s="385" t="s">
        <v>88</v>
      </c>
      <c r="E1906" s="385"/>
      <c r="F1906" s="385"/>
      <c r="G1906" s="385"/>
      <c r="H1906" s="30" t="s">
        <v>4595</v>
      </c>
      <c r="I1906" s="386" t="s">
        <v>5416</v>
      </c>
      <c r="J1906" s="30" t="s">
        <v>5426</v>
      </c>
      <c r="K1906" s="385"/>
      <c r="L1906" s="385"/>
      <c r="M1906" s="385"/>
      <c r="N1906" s="385"/>
      <c r="O1906" s="385"/>
      <c r="P1906" s="385" t="str">
        <f>IFERROR(
    IF(
        OR(ISBLANK(I1906), ISBLANK(L1906)),
        "",
        MAX(
            1,
            IF(
                NETWORKDAYS(I1906, L1906, Holiday_Dates) &lt;= 0,
                1,
                NETWORKDAYS(I1906, L1906, Holiday_Dates) - IF(I1906 = L1906, 0, 1)
            )
        )
    ),
    ""
)</f>
        <v/>
      </c>
      <c r="Q1906" s="385" t="str">
        <f>IF(
    OR(ISBLANK(L1906), ISBLANK(M1906)),
    "",
    MAX(
        1,
        IF(
            NETWORKDAYS(L1906, M1906, Holiday_Dates) &lt;= 0,
            1,
            NETWORKDAYS(L1906, M1906, Holiday_Dates) - IF(L1906 = M1906, 0, 1)
        )
    )
)</f>
        <v/>
      </c>
      <c r="R1906" s="385" t="str">
        <f>IFERROR(
    IF(
        OR(ISBLANK(N1906), AND(ISBLANK(L1906), ISBLANK(M1906))),
        "",
        MAX(
            1,
            IF(
                NETWORKDAYS(IF(NOT(ISBLANK(M1906)), M1906, L1906), N1906, Holiday_Dates) &lt;= 0,
                1,
                NETWORKDAYS(IF(NOT(ISBLANK(M1906)), M1906, L1906), N1906, Holiday_Dates)
                - IF(IF(NOT(ISBLANK(M1906)), M1906, L1906) = N1906, 0, 1)
            )
        )
    ),
    ""
)</f>
        <v/>
      </c>
      <c r="S1906" s="385" t="str">
        <f>IFERROR(
    IF(
        OR(ISBLANK(N1906), ISBLANK(O1906)),
        "",
        MAX(
            1,
            IF(
                NETWORKDAYS(N1906, O1906, Holiday_Dates) &lt;= 0,
                1,
                NETWORKDAYS(N1906, O1906, Holiday_Dates) - IF(N1906 = O1906, 0, 1)
            )
        )
    ),
    ""
)</f>
        <v/>
      </c>
      <c r="T1906" s="385"/>
      <c r="U1906" s="385" t="s">
        <v>4</v>
      </c>
      <c r="V1906" s="385" t="s">
        <v>101</v>
      </c>
      <c r="W1906" s="385" t="s">
        <v>1436</v>
      </c>
      <c r="X1906" s="1"/>
    </row>
    <row r="1907" spans="1:24">
      <c r="A1907" s="385" t="s">
        <v>49</v>
      </c>
      <c r="B1907" s="385" t="s">
        <v>440</v>
      </c>
      <c r="C1907" s="385" t="s">
        <v>2636</v>
      </c>
      <c r="D1907" s="385" t="s">
        <v>88</v>
      </c>
      <c r="E1907" s="385" t="s">
        <v>377</v>
      </c>
      <c r="F1907" s="385"/>
      <c r="G1907" s="385" t="s">
        <v>128</v>
      </c>
      <c r="H1907" s="385"/>
      <c r="I1907" s="385"/>
      <c r="J1907" s="30"/>
      <c r="K1907" s="385"/>
      <c r="L1907" s="385"/>
      <c r="M1907" s="385"/>
      <c r="N1907" s="385"/>
      <c r="O1907" s="385"/>
      <c r="P1907" s="385" t="str">
        <f>IFERROR(
    IF(
        OR(ISBLANK(I1907), ISBLANK(L1907)),
        "",
        MAX(
            1,
            IF(
                NETWORKDAYS(I1907, L1907, Holiday_Dates) &lt;= 0,
                1,
                NETWORKDAYS(I1907, L1907, Holiday_Dates) - IF(I1907 = L1907, 0, 1)
            )
        )
    ),
    ""
)</f>
        <v/>
      </c>
      <c r="Q1907" s="385" t="str">
        <f>IF(
    OR(ISBLANK(L1907), ISBLANK(M1907)),
    "",
    MAX(
        1,
        IF(
            NETWORKDAYS(L1907, M1907, Holiday_Dates) &lt;= 0,
            1,
            NETWORKDAYS(L1907, M1907, Holiday_Dates) - IF(L1907 = M1907, 0, 1)
        )
    )
)</f>
        <v/>
      </c>
      <c r="R1907" s="385" t="str">
        <f>IFERROR(
    IF(
        OR(ISBLANK(N1907), AND(ISBLANK(L1907), ISBLANK(M1907))),
        "",
        MAX(
            1,
            IF(
                NETWORKDAYS(IF(NOT(ISBLANK(M1907)), M1907, L1907), N1907, Holiday_Dates) &lt;= 0,
                1,
                NETWORKDAYS(IF(NOT(ISBLANK(M1907)), M1907, L1907), N1907, Holiday_Dates)
                - IF(IF(NOT(ISBLANK(M1907)), M1907, L1907) = N1907, 0, 1)
            )
        )
    ),
    ""
)</f>
        <v/>
      </c>
      <c r="S1907" s="385" t="str">
        <f>IFERROR(
    IF(
        OR(ISBLANK(N1907), ISBLANK(O1907)),
        "",
        MAX(
            1,
            IF(
                NETWORKDAYS(N1907, O1907, Holiday_Dates) &lt;= 0,
                1,
                NETWORKDAYS(N1907, O1907, Holiday_Dates) - IF(N1907 = O1907, 0, 1)
            )
        )
    ),
    ""
)</f>
        <v/>
      </c>
      <c r="T1907" s="385"/>
      <c r="U1907" s="385"/>
      <c r="V1907" s="385"/>
      <c r="W1907" s="385" t="s">
        <v>4710</v>
      </c>
      <c r="X1907" s="1"/>
    </row>
    <row r="1908" spans="1:24">
      <c r="A1908" s="385" t="s">
        <v>51</v>
      </c>
      <c r="B1908" s="385" t="s">
        <v>352</v>
      </c>
      <c r="C1908" s="385" t="s">
        <v>2252</v>
      </c>
      <c r="D1908" s="385" t="s">
        <v>88</v>
      </c>
      <c r="E1908" s="385"/>
      <c r="F1908" s="385"/>
      <c r="G1908" s="385"/>
      <c r="H1908" s="385">
        <v>2024</v>
      </c>
      <c r="I1908" s="386">
        <v>45610</v>
      </c>
      <c r="J1908" s="30"/>
      <c r="K1908" s="385"/>
      <c r="L1908" s="385"/>
      <c r="M1908" s="385"/>
      <c r="N1908" s="385"/>
      <c r="O1908" s="385"/>
      <c r="P1908" s="385" t="str">
        <f>IFERROR(
    IF(
        OR(ISBLANK(I1908), ISBLANK(L1908)),
        "",
        MAX(
            1,
            IF(
                NETWORKDAYS(I1908, L1908, Holiday_Dates) &lt;= 0,
                1,
                NETWORKDAYS(I1908, L1908, Holiday_Dates) - IF(I1908 = L1908, 0, 1)
            )
        )
    ),
    ""
)</f>
        <v/>
      </c>
      <c r="Q1908" s="385" t="str">
        <f>IF(
    OR(ISBLANK(L1908), ISBLANK(M1908)),
    "",
    MAX(
        1,
        IF(
            NETWORKDAYS(L1908, M1908, Holiday_Dates) &lt;= 0,
            1,
            NETWORKDAYS(L1908, M1908, Holiday_Dates) - IF(L1908 = M1908, 0, 1)
        )
    )
)</f>
        <v/>
      </c>
      <c r="R1908" s="385" t="str">
        <f>IFERROR(
    IF(
        OR(ISBLANK(N1908), AND(ISBLANK(L1908), ISBLANK(M1908))),
        "",
        MAX(
            1,
            IF(
                NETWORKDAYS(IF(NOT(ISBLANK(M1908)), M1908, L1908), N1908, Holiday_Dates) &lt;= 0,
                1,
                NETWORKDAYS(IF(NOT(ISBLANK(M1908)), M1908, L1908), N1908, Holiday_Dates)
                - IF(IF(NOT(ISBLANK(M1908)), M1908, L1908) = N1908, 0, 1)
            )
        )
    ),
    ""
)</f>
        <v/>
      </c>
      <c r="S1908" s="385" t="str">
        <f>IFERROR(
    IF(
        OR(ISBLANK(N1908), ISBLANK(O1908)),
        "",
        MAX(
            1,
            IF(
                NETWORKDAYS(N1908, O1908, Holiday_Dates) &lt;= 0,
                1,
                NETWORKDAYS(N1908, O1908, Holiday_Dates) - IF(N1908 = O1908, 0, 1)
            )
        )
    ),
    ""
)</f>
        <v/>
      </c>
      <c r="T1908" s="385"/>
      <c r="U1908" s="385" t="s">
        <v>4</v>
      </c>
      <c r="V1908" s="385" t="s">
        <v>108</v>
      </c>
      <c r="W1908" s="385" t="s">
        <v>1436</v>
      </c>
      <c r="X1908" s="1"/>
    </row>
    <row r="1909" spans="1:24">
      <c r="A1909" s="385" t="s">
        <v>49</v>
      </c>
      <c r="B1909" s="385" t="s">
        <v>440</v>
      </c>
      <c r="C1909" s="385" t="s">
        <v>2637</v>
      </c>
      <c r="D1909" s="385" t="s">
        <v>88</v>
      </c>
      <c r="E1909" s="385" t="s">
        <v>377</v>
      </c>
      <c r="F1909" s="385"/>
      <c r="G1909" s="385" t="s">
        <v>128</v>
      </c>
      <c r="H1909" s="385"/>
      <c r="I1909" s="385"/>
      <c r="J1909" s="30"/>
      <c r="K1909" s="385"/>
      <c r="L1909" s="385"/>
      <c r="M1909" s="385"/>
      <c r="N1909" s="385"/>
      <c r="O1909" s="385"/>
      <c r="P1909" s="385" t="str">
        <f>IFERROR(
    IF(
        OR(ISBLANK(I1909), ISBLANK(L1909)),
        "",
        MAX(
            1,
            IF(
                NETWORKDAYS(I1909, L1909, Holiday_Dates) &lt;= 0,
                1,
                NETWORKDAYS(I1909, L1909, Holiday_Dates) - IF(I1909 = L1909, 0, 1)
            )
        )
    ),
    ""
)</f>
        <v/>
      </c>
      <c r="Q1909" s="385" t="str">
        <f>IF(
    OR(ISBLANK(L1909), ISBLANK(M1909)),
    "",
    MAX(
        1,
        IF(
            NETWORKDAYS(L1909, M1909, Holiday_Dates) &lt;= 0,
            1,
            NETWORKDAYS(L1909, M1909, Holiday_Dates) - IF(L1909 = M1909, 0, 1)
        )
    )
)</f>
        <v/>
      </c>
      <c r="R1909" s="385" t="str">
        <f>IFERROR(
    IF(
        OR(ISBLANK(N1909), AND(ISBLANK(L1909), ISBLANK(M1909))),
        "",
        MAX(
            1,
            IF(
                NETWORKDAYS(IF(NOT(ISBLANK(M1909)), M1909, L1909), N1909, Holiday_Dates) &lt;= 0,
                1,
                NETWORKDAYS(IF(NOT(ISBLANK(M1909)), M1909, L1909), N1909, Holiday_Dates)
                - IF(IF(NOT(ISBLANK(M1909)), M1909, L1909) = N1909, 0, 1)
            )
        )
    ),
    ""
)</f>
        <v/>
      </c>
      <c r="S1909" s="385" t="str">
        <f>IFERROR(
    IF(
        OR(ISBLANK(N1909), ISBLANK(O1909)),
        "",
        MAX(
            1,
            IF(
                NETWORKDAYS(N1909, O1909, Holiday_Dates) &lt;= 0,
                1,
                NETWORKDAYS(N1909, O1909, Holiday_Dates) - IF(N1909 = O1909, 0, 1)
            )
        )
    ),
    ""
)</f>
        <v/>
      </c>
      <c r="T1909" s="385"/>
      <c r="U1909" s="385"/>
      <c r="V1909" s="385"/>
      <c r="W1909" s="385" t="s">
        <v>4710</v>
      </c>
      <c r="X1909" s="1"/>
    </row>
    <row r="1910" spans="1:24">
      <c r="A1910" s="385" t="s">
        <v>51</v>
      </c>
      <c r="B1910" s="385" t="s">
        <v>352</v>
      </c>
      <c r="C1910" s="385" t="s">
        <v>3585</v>
      </c>
      <c r="D1910" s="385" t="s">
        <v>88</v>
      </c>
      <c r="E1910" s="385"/>
      <c r="F1910" s="385"/>
      <c r="G1910" s="385"/>
      <c r="H1910" s="385">
        <v>2025</v>
      </c>
      <c r="I1910" s="386">
        <v>45923</v>
      </c>
      <c r="J1910" s="30" t="s">
        <v>5427</v>
      </c>
      <c r="K1910" s="385"/>
      <c r="L1910" s="385"/>
      <c r="M1910" s="385"/>
      <c r="N1910" s="385"/>
      <c r="O1910" s="385"/>
      <c r="P1910" s="385" t="str">
        <f>IFERROR(
    IF(
        OR(ISBLANK(I1910), ISBLANK(L1910)),
        "",
        MAX(
            1,
            IF(
                NETWORKDAYS(I1910, L1910, Holiday_Dates) &lt;= 0,
                1,
                NETWORKDAYS(I1910, L1910, Holiday_Dates) - IF(I1910 = L1910, 0, 1)
            )
        )
    ),
    ""
)</f>
        <v/>
      </c>
      <c r="Q1910" s="385" t="str">
        <f>IF(
    OR(ISBLANK(L1910), ISBLANK(M1910)),
    "",
    MAX(
        1,
        IF(
            NETWORKDAYS(L1910, M1910, Holiday_Dates) &lt;= 0,
            1,
            NETWORKDAYS(L1910, M1910, Holiday_Dates) - IF(L1910 = M1910, 0, 1)
        )
    )
)</f>
        <v/>
      </c>
      <c r="R1910" s="385" t="str">
        <f>IFERROR(
    IF(
        OR(ISBLANK(N1910), AND(ISBLANK(L1910), ISBLANK(M1910))),
        "",
        MAX(
            1,
            IF(
                NETWORKDAYS(IF(NOT(ISBLANK(M1910)), M1910, L1910), N1910, Holiday_Dates) &lt;= 0,
                1,
                NETWORKDAYS(IF(NOT(ISBLANK(M1910)), M1910, L1910), N1910, Holiday_Dates)
                - IF(IF(NOT(ISBLANK(M1910)), M1910, L1910) = N1910, 0, 1)
            )
        )
    ),
    ""
)</f>
        <v/>
      </c>
      <c r="S1910" s="385" t="str">
        <f>IFERROR(
    IF(
        OR(ISBLANK(N1910), ISBLANK(O1910)),
        "",
        MAX(
            1,
            IF(
                NETWORKDAYS(N1910, O1910, Holiday_Dates) &lt;= 0,
                1,
                NETWORKDAYS(N1910, O1910, Holiday_Dates) - IF(N1910 = O1910, 0, 1)
            )
        )
    ),
    ""
)</f>
        <v/>
      </c>
      <c r="T1910" s="385"/>
      <c r="U1910" s="385" t="s">
        <v>4</v>
      </c>
      <c r="V1910" s="385" t="s">
        <v>101</v>
      </c>
      <c r="W1910" s="385" t="s">
        <v>1436</v>
      </c>
      <c r="X1910" s="1"/>
    </row>
    <row r="1911" spans="1:24">
      <c r="A1911" s="385" t="s">
        <v>49</v>
      </c>
      <c r="B1911" s="385" t="s">
        <v>440</v>
      </c>
      <c r="C1911" s="385" t="s">
        <v>2638</v>
      </c>
      <c r="D1911" s="385" t="s">
        <v>88</v>
      </c>
      <c r="E1911" s="385" t="s">
        <v>377</v>
      </c>
      <c r="F1911" s="385"/>
      <c r="G1911" s="385" t="s">
        <v>128</v>
      </c>
      <c r="H1911" s="385"/>
      <c r="I1911" s="385"/>
      <c r="J1911" s="30"/>
      <c r="K1911" s="385"/>
      <c r="L1911" s="385"/>
      <c r="M1911" s="385"/>
      <c r="N1911" s="385"/>
      <c r="O1911" s="385"/>
      <c r="P1911" s="385" t="str">
        <f>IFERROR(
    IF(
        OR(ISBLANK(I1911), ISBLANK(L1911)),
        "",
        MAX(
            1,
            IF(
                NETWORKDAYS(I1911, L1911, Holiday_Dates) &lt;= 0,
                1,
                NETWORKDAYS(I1911, L1911, Holiday_Dates) - IF(I1911 = L1911, 0, 1)
            )
        )
    ),
    ""
)</f>
        <v/>
      </c>
      <c r="Q1911" s="385" t="str">
        <f>IF(
    OR(ISBLANK(L1911), ISBLANK(M1911)),
    "",
    MAX(
        1,
        IF(
            NETWORKDAYS(L1911, M1911, Holiday_Dates) &lt;= 0,
            1,
            NETWORKDAYS(L1911, M1911, Holiday_Dates) - IF(L1911 = M1911, 0, 1)
        )
    )
)</f>
        <v/>
      </c>
      <c r="R1911" s="385" t="str">
        <f>IFERROR(
    IF(
        OR(ISBLANK(N1911), AND(ISBLANK(L1911), ISBLANK(M1911))),
        "",
        MAX(
            1,
            IF(
                NETWORKDAYS(IF(NOT(ISBLANK(M1911)), M1911, L1911), N1911, Holiday_Dates) &lt;= 0,
                1,
                NETWORKDAYS(IF(NOT(ISBLANK(M1911)), M1911, L1911), N1911, Holiday_Dates)
                - IF(IF(NOT(ISBLANK(M1911)), M1911, L1911) = N1911, 0, 1)
            )
        )
    ),
    ""
)</f>
        <v/>
      </c>
      <c r="S1911" s="385" t="str">
        <f>IFERROR(
    IF(
        OR(ISBLANK(N1911), ISBLANK(O1911)),
        "",
        MAX(
            1,
            IF(
                NETWORKDAYS(N1911, O1911, Holiday_Dates) &lt;= 0,
                1,
                NETWORKDAYS(N1911, O1911, Holiday_Dates) - IF(N1911 = O1911, 0, 1)
            )
        )
    ),
    ""
)</f>
        <v/>
      </c>
      <c r="T1911" s="385"/>
      <c r="U1911" s="385"/>
      <c r="V1911" s="385"/>
      <c r="W1911" s="385" t="s">
        <v>4710</v>
      </c>
      <c r="X1911" s="1"/>
    </row>
    <row r="1912" spans="1:24">
      <c r="A1912" s="385" t="s">
        <v>49</v>
      </c>
      <c r="B1912" s="385" t="s">
        <v>440</v>
      </c>
      <c r="C1912" s="385" t="s">
        <v>2639</v>
      </c>
      <c r="D1912" s="385" t="s">
        <v>88</v>
      </c>
      <c r="E1912" s="385" t="s">
        <v>377</v>
      </c>
      <c r="F1912" s="385"/>
      <c r="G1912" s="385" t="s">
        <v>128</v>
      </c>
      <c r="H1912" s="385"/>
      <c r="I1912" s="385"/>
      <c r="J1912" s="30"/>
      <c r="K1912" s="385"/>
      <c r="L1912" s="385"/>
      <c r="M1912" s="385"/>
      <c r="N1912" s="385"/>
      <c r="O1912" s="385"/>
      <c r="P1912" s="385" t="str">
        <f>IFERROR(
    IF(
        OR(ISBLANK(I1912), ISBLANK(L1912)),
        "",
        MAX(
            1,
            IF(
                NETWORKDAYS(I1912, L1912, Holiday_Dates) &lt;= 0,
                1,
                NETWORKDAYS(I1912, L1912, Holiday_Dates) - IF(I1912 = L1912, 0, 1)
            )
        )
    ),
    ""
)</f>
        <v/>
      </c>
      <c r="Q1912" s="385" t="str">
        <f>IF(
    OR(ISBLANK(L1912), ISBLANK(M1912)),
    "",
    MAX(
        1,
        IF(
            NETWORKDAYS(L1912, M1912, Holiday_Dates) &lt;= 0,
            1,
            NETWORKDAYS(L1912, M1912, Holiday_Dates) - IF(L1912 = M1912, 0, 1)
        )
    )
)</f>
        <v/>
      </c>
      <c r="R1912" s="385" t="str">
        <f>IFERROR(
    IF(
        OR(ISBLANK(N1912), AND(ISBLANK(L1912), ISBLANK(M1912))),
        "",
        MAX(
            1,
            IF(
                NETWORKDAYS(IF(NOT(ISBLANK(M1912)), M1912, L1912), N1912, Holiday_Dates) &lt;= 0,
                1,
                NETWORKDAYS(IF(NOT(ISBLANK(M1912)), M1912, L1912), N1912, Holiday_Dates)
                - IF(IF(NOT(ISBLANK(M1912)), M1912, L1912) = N1912, 0, 1)
            )
        )
    ),
    ""
)</f>
        <v/>
      </c>
      <c r="S1912" s="385" t="str">
        <f>IFERROR(
    IF(
        OR(ISBLANK(N1912), ISBLANK(O1912)),
        "",
        MAX(
            1,
            IF(
                NETWORKDAYS(N1912, O1912, Holiday_Dates) &lt;= 0,
                1,
                NETWORKDAYS(N1912, O1912, Holiday_Dates) - IF(N1912 = O1912, 0, 1)
            )
        )
    ),
    ""
)</f>
        <v/>
      </c>
      <c r="T1912" s="385"/>
      <c r="U1912" s="385"/>
      <c r="V1912" s="385"/>
      <c r="W1912" s="385" t="s">
        <v>4710</v>
      </c>
      <c r="X1912" s="1"/>
    </row>
    <row r="1913" spans="1:24">
      <c r="A1913" s="385" t="s">
        <v>49</v>
      </c>
      <c r="B1913" s="385" t="s">
        <v>440</v>
      </c>
      <c r="C1913" s="385" t="s">
        <v>2640</v>
      </c>
      <c r="D1913" s="385" t="s">
        <v>88</v>
      </c>
      <c r="E1913" s="385" t="s">
        <v>377</v>
      </c>
      <c r="F1913" s="385"/>
      <c r="G1913" s="385" t="s">
        <v>128</v>
      </c>
      <c r="H1913" s="385"/>
      <c r="I1913" s="385"/>
      <c r="J1913" s="30"/>
      <c r="K1913" s="385"/>
      <c r="L1913" s="385"/>
      <c r="M1913" s="385"/>
      <c r="N1913" s="385"/>
      <c r="O1913" s="385"/>
      <c r="P1913" s="385" t="str">
        <f>IFERROR(
    IF(
        OR(ISBLANK(I1913), ISBLANK(L1913)),
        "",
        MAX(
            1,
            IF(
                NETWORKDAYS(I1913, L1913, Holiday_Dates) &lt;= 0,
                1,
                NETWORKDAYS(I1913, L1913, Holiday_Dates) - IF(I1913 = L1913, 0, 1)
            )
        )
    ),
    ""
)</f>
        <v/>
      </c>
      <c r="Q1913" s="385" t="str">
        <f>IF(
    OR(ISBLANK(L1913), ISBLANK(M1913)),
    "",
    MAX(
        1,
        IF(
            NETWORKDAYS(L1913, M1913, Holiday_Dates) &lt;= 0,
            1,
            NETWORKDAYS(L1913, M1913, Holiday_Dates) - IF(L1913 = M1913, 0, 1)
        )
    )
)</f>
        <v/>
      </c>
      <c r="R1913" s="385" t="str">
        <f>IFERROR(
    IF(
        OR(ISBLANK(N1913), AND(ISBLANK(L1913), ISBLANK(M1913))),
        "",
        MAX(
            1,
            IF(
                NETWORKDAYS(IF(NOT(ISBLANK(M1913)), M1913, L1913), N1913, Holiday_Dates) &lt;= 0,
                1,
                NETWORKDAYS(IF(NOT(ISBLANK(M1913)), M1913, L1913), N1913, Holiday_Dates)
                - IF(IF(NOT(ISBLANK(M1913)), M1913, L1913) = N1913, 0, 1)
            )
        )
    ),
    ""
)</f>
        <v/>
      </c>
      <c r="S1913" s="385" t="str">
        <f>IFERROR(
    IF(
        OR(ISBLANK(N1913), ISBLANK(O1913)),
        "",
        MAX(
            1,
            IF(
                NETWORKDAYS(N1913, O1913, Holiday_Dates) &lt;= 0,
                1,
                NETWORKDAYS(N1913, O1913, Holiday_Dates) - IF(N1913 = O1913, 0, 1)
            )
        )
    ),
    ""
)</f>
        <v/>
      </c>
      <c r="T1913" s="385"/>
      <c r="U1913" s="385"/>
      <c r="V1913" s="385"/>
      <c r="W1913" s="385" t="s">
        <v>4710</v>
      </c>
      <c r="X1913" s="1"/>
    </row>
    <row r="1914" spans="1:24">
      <c r="A1914" s="385" t="s">
        <v>49</v>
      </c>
      <c r="B1914" s="385" t="s">
        <v>440</v>
      </c>
      <c r="C1914" s="385" t="s">
        <v>2641</v>
      </c>
      <c r="D1914" s="385" t="s">
        <v>88</v>
      </c>
      <c r="E1914" s="385" t="s">
        <v>377</v>
      </c>
      <c r="F1914" s="385"/>
      <c r="G1914" s="385" t="s">
        <v>128</v>
      </c>
      <c r="H1914" s="385"/>
      <c r="I1914" s="385"/>
      <c r="J1914" s="30"/>
      <c r="K1914" s="385"/>
      <c r="L1914" s="385"/>
      <c r="M1914" s="385"/>
      <c r="N1914" s="385"/>
      <c r="O1914" s="385"/>
      <c r="P1914" s="385" t="str">
        <f>IFERROR(
    IF(
        OR(ISBLANK(I1914), ISBLANK(L1914)),
        "",
        MAX(
            1,
            IF(
                NETWORKDAYS(I1914, L1914, Holiday_Dates) &lt;= 0,
                1,
                NETWORKDAYS(I1914, L1914, Holiday_Dates) - IF(I1914 = L1914, 0, 1)
            )
        )
    ),
    ""
)</f>
        <v/>
      </c>
      <c r="Q1914" s="385" t="str">
        <f>IF(
    OR(ISBLANK(L1914), ISBLANK(M1914)),
    "",
    MAX(
        1,
        IF(
            NETWORKDAYS(L1914, M1914, Holiday_Dates) &lt;= 0,
            1,
            NETWORKDAYS(L1914, M1914, Holiday_Dates) - IF(L1914 = M1914, 0, 1)
        )
    )
)</f>
        <v/>
      </c>
      <c r="R1914" s="385" t="str">
        <f>IFERROR(
    IF(
        OR(ISBLANK(N1914), AND(ISBLANK(L1914), ISBLANK(M1914))),
        "",
        MAX(
            1,
            IF(
                NETWORKDAYS(IF(NOT(ISBLANK(M1914)), M1914, L1914), N1914, Holiday_Dates) &lt;= 0,
                1,
                NETWORKDAYS(IF(NOT(ISBLANK(M1914)), M1914, L1914), N1914, Holiday_Dates)
                - IF(IF(NOT(ISBLANK(M1914)), M1914, L1914) = N1914, 0, 1)
            )
        )
    ),
    ""
)</f>
        <v/>
      </c>
      <c r="S1914" s="385" t="str">
        <f>IFERROR(
    IF(
        OR(ISBLANK(N1914), ISBLANK(O1914)),
        "",
        MAX(
            1,
            IF(
                NETWORKDAYS(N1914, O1914, Holiday_Dates) &lt;= 0,
                1,
                NETWORKDAYS(N1914, O1914, Holiday_Dates) - IF(N1914 = O1914, 0, 1)
            )
        )
    ),
    ""
)</f>
        <v/>
      </c>
      <c r="T1914" s="385"/>
      <c r="U1914" s="385"/>
      <c r="V1914" s="385"/>
      <c r="W1914" s="385" t="s">
        <v>4710</v>
      </c>
      <c r="X1914" s="1"/>
    </row>
    <row r="1915" spans="1:24">
      <c r="A1915" s="385" t="s">
        <v>51</v>
      </c>
      <c r="B1915" s="385" t="s">
        <v>352</v>
      </c>
      <c r="C1915" s="385" t="s">
        <v>3590</v>
      </c>
      <c r="D1915" s="385" t="s">
        <v>88</v>
      </c>
      <c r="E1915" s="385"/>
      <c r="F1915" s="385"/>
      <c r="G1915" s="385"/>
      <c r="H1915" s="385">
        <v>2024</v>
      </c>
      <c r="I1915" s="386">
        <v>45390</v>
      </c>
      <c r="J1915" s="30"/>
      <c r="K1915" s="385"/>
      <c r="L1915" s="385"/>
      <c r="M1915" s="385"/>
      <c r="N1915" s="385"/>
      <c r="O1915" s="385"/>
      <c r="P1915" s="385" t="str">
        <f>IFERROR(
    IF(
        OR(ISBLANK(I1915), ISBLANK(L1915)),
        "",
        MAX(
            1,
            IF(
                NETWORKDAYS(I1915, L1915, Holiday_Dates) &lt;= 0,
                1,
                NETWORKDAYS(I1915, L1915, Holiday_Dates) - IF(I1915 = L1915, 0, 1)
            )
        )
    ),
    ""
)</f>
        <v/>
      </c>
      <c r="Q1915" s="385" t="str">
        <f>IF(
    OR(ISBLANK(L1915), ISBLANK(M1915)),
    "",
    MAX(
        1,
        IF(
            NETWORKDAYS(L1915, M1915, Holiday_Dates) &lt;= 0,
            1,
            NETWORKDAYS(L1915, M1915, Holiday_Dates) - IF(L1915 = M1915, 0, 1)
        )
    )
)</f>
        <v/>
      </c>
      <c r="R1915" s="385" t="str">
        <f>IFERROR(
    IF(
        OR(ISBLANK(N1915), AND(ISBLANK(L1915), ISBLANK(M1915))),
        "",
        MAX(
            1,
            IF(
                NETWORKDAYS(IF(NOT(ISBLANK(M1915)), M1915, L1915), N1915, Holiday_Dates) &lt;= 0,
                1,
                NETWORKDAYS(IF(NOT(ISBLANK(M1915)), M1915, L1915), N1915, Holiday_Dates)
                - IF(IF(NOT(ISBLANK(M1915)), M1915, L1915) = N1915, 0, 1)
            )
        )
    ),
    ""
)</f>
        <v/>
      </c>
      <c r="S1915" s="385" t="str">
        <f>IFERROR(
    IF(
        OR(ISBLANK(N1915), ISBLANK(O1915)),
        "",
        MAX(
            1,
            IF(
                NETWORKDAYS(N1915, O1915, Holiday_Dates) &lt;= 0,
                1,
                NETWORKDAYS(N1915, O1915, Holiday_Dates) - IF(N1915 = O1915, 0, 1)
            )
        )
    ),
    ""
)</f>
        <v/>
      </c>
      <c r="T1915" s="385"/>
      <c r="U1915" s="385" t="s">
        <v>672</v>
      </c>
      <c r="V1915" s="385"/>
      <c r="W1915" s="385" t="s">
        <v>1436</v>
      </c>
      <c r="X1915" s="1"/>
    </row>
    <row r="1916" spans="1:24">
      <c r="A1916" s="385" t="s">
        <v>51</v>
      </c>
      <c r="B1916" s="385" t="s">
        <v>352</v>
      </c>
      <c r="C1916" s="385" t="s">
        <v>3592</v>
      </c>
      <c r="D1916" s="385" t="s">
        <v>88</v>
      </c>
      <c r="E1916" s="385"/>
      <c r="F1916" s="385"/>
      <c r="G1916" s="385"/>
      <c r="H1916" s="385">
        <v>2024</v>
      </c>
      <c r="I1916" s="386">
        <v>45610</v>
      </c>
      <c r="J1916" s="30"/>
      <c r="K1916" s="385"/>
      <c r="L1916" s="385"/>
      <c r="M1916" s="385"/>
      <c r="N1916" s="385"/>
      <c r="O1916" s="385"/>
      <c r="P1916" s="385" t="str">
        <f>IFERROR(
    IF(
        OR(ISBLANK(I1916), ISBLANK(L1916)),
        "",
        MAX(
            1,
            IF(
                NETWORKDAYS(I1916, L1916, Holiday_Dates) &lt;= 0,
                1,
                NETWORKDAYS(I1916, L1916, Holiday_Dates) - IF(I1916 = L1916, 0, 1)
            )
        )
    ),
    ""
)</f>
        <v/>
      </c>
      <c r="Q1916" s="385" t="str">
        <f>IF(
    OR(ISBLANK(L1916), ISBLANK(M1916)),
    "",
    MAX(
        1,
        IF(
            NETWORKDAYS(L1916, M1916, Holiday_Dates) &lt;= 0,
            1,
            NETWORKDAYS(L1916, M1916, Holiday_Dates) - IF(L1916 = M1916, 0, 1)
        )
    )
)</f>
        <v/>
      </c>
      <c r="R1916" s="385" t="str">
        <f>IFERROR(
    IF(
        OR(ISBLANK(N1916), AND(ISBLANK(L1916), ISBLANK(M1916))),
        "",
        MAX(
            1,
            IF(
                NETWORKDAYS(IF(NOT(ISBLANK(M1916)), M1916, L1916), N1916, Holiday_Dates) &lt;= 0,
                1,
                NETWORKDAYS(IF(NOT(ISBLANK(M1916)), M1916, L1916), N1916, Holiday_Dates)
                - IF(IF(NOT(ISBLANK(M1916)), M1916, L1916) = N1916, 0, 1)
            )
        )
    ),
    ""
)</f>
        <v/>
      </c>
      <c r="S1916" s="385" t="str">
        <f>IFERROR(
    IF(
        OR(ISBLANK(N1916), ISBLANK(O1916)),
        "",
        MAX(
            1,
            IF(
                NETWORKDAYS(N1916, O1916, Holiday_Dates) &lt;= 0,
                1,
                NETWORKDAYS(N1916, O1916, Holiday_Dates) - IF(N1916 = O1916, 0, 1)
            )
        )
    ),
    ""
)</f>
        <v/>
      </c>
      <c r="T1916" s="385"/>
      <c r="U1916" s="385" t="s">
        <v>4</v>
      </c>
      <c r="V1916" s="385" t="s">
        <v>108</v>
      </c>
      <c r="W1916" s="385" t="s">
        <v>1436</v>
      </c>
      <c r="X1916" s="1"/>
    </row>
    <row r="1917" spans="1:24">
      <c r="A1917" s="385" t="s">
        <v>51</v>
      </c>
      <c r="B1917" s="385" t="s">
        <v>352</v>
      </c>
      <c r="C1917" s="385" t="s">
        <v>2823</v>
      </c>
      <c r="D1917" s="385" t="s">
        <v>88</v>
      </c>
      <c r="E1917" s="385"/>
      <c r="F1917" s="385"/>
      <c r="G1917" s="385"/>
      <c r="H1917" s="385">
        <v>2025</v>
      </c>
      <c r="I1917" s="386">
        <v>45925</v>
      </c>
      <c r="J1917" s="30" t="s">
        <v>5428</v>
      </c>
      <c r="K1917" s="385"/>
      <c r="L1917" s="385"/>
      <c r="M1917" s="385"/>
      <c r="N1917" s="385"/>
      <c r="O1917" s="385"/>
      <c r="P1917" s="385" t="str">
        <f>IFERROR(
    IF(
        OR(ISBLANK(I1917), ISBLANK(L1917)),
        "",
        MAX(
            1,
            IF(
                NETWORKDAYS(I1917, L1917, Holiday_Dates) &lt;= 0,
                1,
                NETWORKDAYS(I1917, L1917, Holiday_Dates) - IF(I1917 = L1917, 0, 1)
            )
        )
    ),
    ""
)</f>
        <v/>
      </c>
      <c r="Q1917" s="385" t="str">
        <f>IF(
    OR(ISBLANK(L1917), ISBLANK(M1917)),
    "",
    MAX(
        1,
        IF(
            NETWORKDAYS(L1917, M1917, Holiday_Dates) &lt;= 0,
            1,
            NETWORKDAYS(L1917, M1917, Holiday_Dates) - IF(L1917 = M1917, 0, 1)
        )
    )
)</f>
        <v/>
      </c>
      <c r="R1917" s="385" t="str">
        <f>IFERROR(
    IF(
        OR(ISBLANK(N1917), AND(ISBLANK(L1917), ISBLANK(M1917))),
        "",
        MAX(
            1,
            IF(
                NETWORKDAYS(IF(NOT(ISBLANK(M1917)), M1917, L1917), N1917, Holiday_Dates) &lt;= 0,
                1,
                NETWORKDAYS(IF(NOT(ISBLANK(M1917)), M1917, L1917), N1917, Holiday_Dates)
                - IF(IF(NOT(ISBLANK(M1917)), M1917, L1917) = N1917, 0, 1)
            )
        )
    ),
    ""
)</f>
        <v/>
      </c>
      <c r="S1917" s="385" t="str">
        <f>IFERROR(
    IF(
        OR(ISBLANK(N1917), ISBLANK(O1917)),
        "",
        MAX(
            1,
            IF(
                NETWORKDAYS(N1917, O1917, Holiday_Dates) &lt;= 0,
                1,
                NETWORKDAYS(N1917, O1917, Holiday_Dates) - IF(N1917 = O1917, 0, 1)
            )
        )
    ),
    ""
)</f>
        <v/>
      </c>
      <c r="T1917" s="385"/>
      <c r="U1917" s="385" t="s">
        <v>672</v>
      </c>
      <c r="V1917" s="385" t="s">
        <v>101</v>
      </c>
      <c r="W1917" s="385" t="s">
        <v>1436</v>
      </c>
      <c r="X1917" s="1"/>
    </row>
    <row r="1918" spans="1:24">
      <c r="A1918" s="385" t="s">
        <v>49</v>
      </c>
      <c r="B1918" s="385" t="s">
        <v>440</v>
      </c>
      <c r="C1918" s="385" t="s">
        <v>2642</v>
      </c>
      <c r="D1918" s="385" t="s">
        <v>88</v>
      </c>
      <c r="E1918" s="385" t="s">
        <v>377</v>
      </c>
      <c r="F1918" s="385"/>
      <c r="G1918" s="385" t="s">
        <v>128</v>
      </c>
      <c r="H1918" s="385"/>
      <c r="I1918" s="385"/>
      <c r="J1918" s="30"/>
      <c r="K1918" s="385"/>
      <c r="L1918" s="385"/>
      <c r="M1918" s="385"/>
      <c r="N1918" s="385"/>
      <c r="O1918" s="385"/>
      <c r="P1918" s="385" t="str">
        <f>IFERROR(
    IF(
        OR(ISBLANK(I1918), ISBLANK(L1918)),
        "",
        MAX(
            1,
            IF(
                NETWORKDAYS(I1918, L1918, Holiday_Dates) &lt;= 0,
                1,
                NETWORKDAYS(I1918, L1918, Holiday_Dates) - IF(I1918 = L1918, 0, 1)
            )
        )
    ),
    ""
)</f>
        <v/>
      </c>
      <c r="Q1918" s="385" t="str">
        <f>IF(
    OR(ISBLANK(L1918), ISBLANK(M1918)),
    "",
    MAX(
        1,
        IF(
            NETWORKDAYS(L1918, M1918, Holiday_Dates) &lt;= 0,
            1,
            NETWORKDAYS(L1918, M1918, Holiday_Dates) - IF(L1918 = M1918, 0, 1)
        )
    )
)</f>
        <v/>
      </c>
      <c r="R1918" s="385" t="str">
        <f>IFERROR(
    IF(
        OR(ISBLANK(N1918), AND(ISBLANK(L1918), ISBLANK(M1918))),
        "",
        MAX(
            1,
            IF(
                NETWORKDAYS(IF(NOT(ISBLANK(M1918)), M1918, L1918), N1918, Holiday_Dates) &lt;= 0,
                1,
                NETWORKDAYS(IF(NOT(ISBLANK(M1918)), M1918, L1918), N1918, Holiday_Dates)
                - IF(IF(NOT(ISBLANK(M1918)), M1918, L1918) = N1918, 0, 1)
            )
        )
    ),
    ""
)</f>
        <v/>
      </c>
      <c r="S1918" s="385" t="str">
        <f>IFERROR(
    IF(
        OR(ISBLANK(N1918), ISBLANK(O1918)),
        "",
        MAX(
            1,
            IF(
                NETWORKDAYS(N1918, O1918, Holiday_Dates) &lt;= 0,
                1,
                NETWORKDAYS(N1918, O1918, Holiday_Dates) - IF(N1918 = O1918, 0, 1)
            )
        )
    ),
    ""
)</f>
        <v/>
      </c>
      <c r="T1918" s="385"/>
      <c r="U1918" s="385"/>
      <c r="V1918" s="385"/>
      <c r="W1918" s="385" t="s">
        <v>4710</v>
      </c>
      <c r="X1918" s="1"/>
    </row>
    <row r="1919" spans="1:24">
      <c r="A1919" s="385" t="s">
        <v>51</v>
      </c>
      <c r="B1919" s="385" t="s">
        <v>352</v>
      </c>
      <c r="C1919" s="385" t="s">
        <v>1078</v>
      </c>
      <c r="D1919" s="385" t="s">
        <v>88</v>
      </c>
      <c r="E1919" s="385"/>
      <c r="F1919" s="385"/>
      <c r="G1919" s="385"/>
      <c r="H1919" s="385">
        <v>2024</v>
      </c>
      <c r="I1919" s="386">
        <v>45610</v>
      </c>
      <c r="J1919" s="30"/>
      <c r="K1919" s="385"/>
      <c r="L1919" s="385"/>
      <c r="M1919" s="385"/>
      <c r="N1919" s="385"/>
      <c r="O1919" s="385"/>
      <c r="P1919" s="385" t="str">
        <f>IFERROR(
    IF(
        OR(ISBLANK(I1919), ISBLANK(L1919)),
        "",
        MAX(
            1,
            IF(
                NETWORKDAYS(I1919, L1919, Holiday_Dates) &lt;= 0,
                1,
                NETWORKDAYS(I1919, L1919, Holiday_Dates) - IF(I1919 = L1919, 0, 1)
            )
        )
    ),
    ""
)</f>
        <v/>
      </c>
      <c r="Q1919" s="385" t="str">
        <f>IF(
    OR(ISBLANK(L1919), ISBLANK(M1919)),
    "",
    MAX(
        1,
        IF(
            NETWORKDAYS(L1919, M1919, Holiday_Dates) &lt;= 0,
            1,
            NETWORKDAYS(L1919, M1919, Holiday_Dates) - IF(L1919 = M1919, 0, 1)
        )
    )
)</f>
        <v/>
      </c>
      <c r="R1919" s="385" t="str">
        <f>IFERROR(
    IF(
        OR(ISBLANK(N1919), AND(ISBLANK(L1919), ISBLANK(M1919))),
        "",
        MAX(
            1,
            IF(
                NETWORKDAYS(IF(NOT(ISBLANK(M1919)), M1919, L1919), N1919, Holiday_Dates) &lt;= 0,
                1,
                NETWORKDAYS(IF(NOT(ISBLANK(M1919)), M1919, L1919), N1919, Holiday_Dates)
                - IF(IF(NOT(ISBLANK(M1919)), M1919, L1919) = N1919, 0, 1)
            )
        )
    ),
    ""
)</f>
        <v/>
      </c>
      <c r="S1919" s="385" t="str">
        <f>IFERROR(
    IF(
        OR(ISBLANK(N1919), ISBLANK(O1919)),
        "",
        MAX(
            1,
            IF(
                NETWORKDAYS(N1919, O1919, Holiday_Dates) &lt;= 0,
                1,
                NETWORKDAYS(N1919, O1919, Holiday_Dates) - IF(N1919 = O1919, 0, 1)
            )
        )
    ),
    ""
)</f>
        <v/>
      </c>
      <c r="T1919" s="385"/>
      <c r="U1919" s="385" t="s">
        <v>4</v>
      </c>
      <c r="V1919" s="385" t="s">
        <v>101</v>
      </c>
      <c r="W1919" s="385" t="s">
        <v>1436</v>
      </c>
      <c r="X1919" s="1"/>
    </row>
    <row r="1920" spans="1:24">
      <c r="A1920" s="385" t="s">
        <v>49</v>
      </c>
      <c r="B1920" s="385" t="s">
        <v>440</v>
      </c>
      <c r="C1920" s="385" t="s">
        <v>2306</v>
      </c>
      <c r="D1920" s="385" t="s">
        <v>88</v>
      </c>
      <c r="E1920" s="385" t="s">
        <v>377</v>
      </c>
      <c r="F1920" s="385"/>
      <c r="G1920" s="385" t="s">
        <v>128</v>
      </c>
      <c r="H1920" s="385"/>
      <c r="I1920" s="385"/>
      <c r="J1920" s="30"/>
      <c r="K1920" s="385"/>
      <c r="L1920" s="385"/>
      <c r="M1920" s="385"/>
      <c r="N1920" s="385"/>
      <c r="O1920" s="385"/>
      <c r="P1920" s="385" t="str">
        <f>IFERROR(
    IF(
        OR(ISBLANK(I1920), ISBLANK(L1920)),
        "",
        MAX(
            1,
            IF(
                NETWORKDAYS(I1920, L1920, Holiday_Dates) &lt;= 0,
                1,
                NETWORKDAYS(I1920, L1920, Holiday_Dates) - IF(I1920 = L1920, 0, 1)
            )
        )
    ),
    ""
)</f>
        <v/>
      </c>
      <c r="Q1920" s="385" t="str">
        <f>IF(
    OR(ISBLANK(L1920), ISBLANK(M1920)),
    "",
    MAX(
        1,
        IF(
            NETWORKDAYS(L1920, M1920, Holiday_Dates) &lt;= 0,
            1,
            NETWORKDAYS(L1920, M1920, Holiday_Dates) - IF(L1920 = M1920, 0, 1)
        )
    )
)</f>
        <v/>
      </c>
      <c r="R1920" s="385" t="str">
        <f>IFERROR(
    IF(
        OR(ISBLANK(N1920), AND(ISBLANK(L1920), ISBLANK(M1920))),
        "",
        MAX(
            1,
            IF(
                NETWORKDAYS(IF(NOT(ISBLANK(M1920)), M1920, L1920), N1920, Holiday_Dates) &lt;= 0,
                1,
                NETWORKDAYS(IF(NOT(ISBLANK(M1920)), M1920, L1920), N1920, Holiday_Dates)
                - IF(IF(NOT(ISBLANK(M1920)), M1920, L1920) = N1920, 0, 1)
            )
        )
    ),
    ""
)</f>
        <v/>
      </c>
      <c r="S1920" s="385" t="str">
        <f>IFERROR(
    IF(
        OR(ISBLANK(N1920), ISBLANK(O1920)),
        "",
        MAX(
            1,
            IF(
                NETWORKDAYS(N1920, O1920, Holiday_Dates) &lt;= 0,
                1,
                NETWORKDAYS(N1920, O1920, Holiday_Dates) - IF(N1920 = O1920, 0, 1)
            )
        )
    ),
    ""
)</f>
        <v/>
      </c>
      <c r="T1920" s="385"/>
      <c r="U1920" s="385"/>
      <c r="V1920" s="385"/>
      <c r="W1920" s="385" t="s">
        <v>4710</v>
      </c>
      <c r="X1920" s="1"/>
    </row>
    <row r="1921" spans="1:24">
      <c r="A1921" s="385" t="s">
        <v>49</v>
      </c>
      <c r="B1921" s="385" t="s">
        <v>440</v>
      </c>
      <c r="C1921" s="385" t="s">
        <v>2647</v>
      </c>
      <c r="D1921" s="385" t="s">
        <v>88</v>
      </c>
      <c r="E1921" s="385" t="s">
        <v>377</v>
      </c>
      <c r="F1921" s="385"/>
      <c r="G1921" s="385" t="s">
        <v>128</v>
      </c>
      <c r="H1921" s="385"/>
      <c r="I1921" s="385"/>
      <c r="J1921" s="30"/>
      <c r="K1921" s="385"/>
      <c r="L1921" s="385"/>
      <c r="M1921" s="385"/>
      <c r="N1921" s="385"/>
      <c r="O1921" s="385"/>
      <c r="P1921" s="385" t="str">
        <f>IFERROR(
    IF(
        OR(ISBLANK(I1921), ISBLANK(L1921)),
        "",
        MAX(
            1,
            IF(
                NETWORKDAYS(I1921, L1921, Holiday_Dates) &lt;= 0,
                1,
                NETWORKDAYS(I1921, L1921, Holiday_Dates) - IF(I1921 = L1921, 0, 1)
            )
        )
    ),
    ""
)</f>
        <v/>
      </c>
      <c r="Q1921" s="385" t="str">
        <f>IF(
    OR(ISBLANK(L1921), ISBLANK(M1921)),
    "",
    MAX(
        1,
        IF(
            NETWORKDAYS(L1921, M1921, Holiday_Dates) &lt;= 0,
            1,
            NETWORKDAYS(L1921, M1921, Holiday_Dates) - IF(L1921 = M1921, 0, 1)
        )
    )
)</f>
        <v/>
      </c>
      <c r="R1921" s="385" t="str">
        <f>IFERROR(
    IF(
        OR(ISBLANK(N1921), AND(ISBLANK(L1921), ISBLANK(M1921))),
        "",
        MAX(
            1,
            IF(
                NETWORKDAYS(IF(NOT(ISBLANK(M1921)), M1921, L1921), N1921, Holiday_Dates) &lt;= 0,
                1,
                NETWORKDAYS(IF(NOT(ISBLANK(M1921)), M1921, L1921), N1921, Holiday_Dates)
                - IF(IF(NOT(ISBLANK(M1921)), M1921, L1921) = N1921, 0, 1)
            )
        )
    ),
    ""
)</f>
        <v/>
      </c>
      <c r="S1921" s="385" t="str">
        <f>IFERROR(
    IF(
        OR(ISBLANK(N1921), ISBLANK(O1921)),
        "",
        MAX(
            1,
            IF(
                NETWORKDAYS(N1921, O1921, Holiday_Dates) &lt;= 0,
                1,
                NETWORKDAYS(N1921, O1921, Holiday_Dates) - IF(N1921 = O1921, 0, 1)
            )
        )
    ),
    ""
)</f>
        <v/>
      </c>
      <c r="T1921" s="385"/>
      <c r="U1921" s="385"/>
      <c r="V1921" s="385"/>
      <c r="W1921" s="385" t="s">
        <v>4710</v>
      </c>
      <c r="X1921" s="1"/>
    </row>
    <row r="1922" spans="1:24">
      <c r="A1922" s="385" t="s">
        <v>51</v>
      </c>
      <c r="B1922" s="385" t="s">
        <v>352</v>
      </c>
      <c r="C1922" s="385" t="s">
        <v>3597</v>
      </c>
      <c r="D1922" s="385" t="s">
        <v>88</v>
      </c>
      <c r="E1922" s="385"/>
      <c r="F1922" s="385"/>
      <c r="G1922" s="385"/>
      <c r="H1922" s="385">
        <v>2025</v>
      </c>
      <c r="I1922" s="386">
        <v>45927</v>
      </c>
      <c r="J1922" s="30" t="s">
        <v>5429</v>
      </c>
      <c r="K1922" s="385"/>
      <c r="L1922" s="385"/>
      <c r="M1922" s="385"/>
      <c r="N1922" s="385"/>
      <c r="O1922" s="385"/>
      <c r="P1922" s="385" t="str">
        <f>IFERROR(
    IF(
        OR(ISBLANK(I1922), ISBLANK(L1922)),
        "",
        MAX(
            1,
            IF(
                NETWORKDAYS(I1922, L1922, Holiday_Dates) &lt;= 0,
                1,
                NETWORKDAYS(I1922, L1922, Holiday_Dates) - IF(I1922 = L1922, 0, 1)
            )
        )
    ),
    ""
)</f>
        <v/>
      </c>
      <c r="Q1922" s="385" t="str">
        <f>IF(
    OR(ISBLANK(L1922), ISBLANK(M1922)),
    "",
    MAX(
        1,
        IF(
            NETWORKDAYS(L1922, M1922, Holiday_Dates) &lt;= 0,
            1,
            NETWORKDAYS(L1922, M1922, Holiday_Dates) - IF(L1922 = M1922, 0, 1)
        )
    )
)</f>
        <v/>
      </c>
      <c r="R1922" s="385" t="str">
        <f>IFERROR(
    IF(
        OR(ISBLANK(N1922), AND(ISBLANK(L1922), ISBLANK(M1922))),
        "",
        MAX(
            1,
            IF(
                NETWORKDAYS(IF(NOT(ISBLANK(M1922)), M1922, L1922), N1922, Holiday_Dates) &lt;= 0,
                1,
                NETWORKDAYS(IF(NOT(ISBLANK(M1922)), M1922, L1922), N1922, Holiday_Dates)
                - IF(IF(NOT(ISBLANK(M1922)), M1922, L1922) = N1922, 0, 1)
            )
        )
    ),
    ""
)</f>
        <v/>
      </c>
      <c r="S1922" s="385" t="str">
        <f>IFERROR(
    IF(
        OR(ISBLANK(N1922), ISBLANK(O1922)),
        "",
        MAX(
            1,
            IF(
                NETWORKDAYS(N1922, O1922, Holiday_Dates) &lt;= 0,
                1,
                NETWORKDAYS(N1922, O1922, Holiday_Dates) - IF(N1922 = O1922, 0, 1)
            )
        )
    ),
    ""
)</f>
        <v/>
      </c>
      <c r="T1922" s="385"/>
      <c r="U1922" s="385" t="s">
        <v>672</v>
      </c>
      <c r="V1922" s="385" t="s">
        <v>101</v>
      </c>
      <c r="W1922" s="385" t="s">
        <v>1436</v>
      </c>
      <c r="X1922" s="1"/>
    </row>
    <row r="1923" spans="1:24">
      <c r="A1923" s="385" t="s">
        <v>49</v>
      </c>
      <c r="B1923" s="385" t="s">
        <v>440</v>
      </c>
      <c r="C1923" s="385" t="s">
        <v>2648</v>
      </c>
      <c r="D1923" s="385" t="s">
        <v>88</v>
      </c>
      <c r="E1923" s="385" t="s">
        <v>377</v>
      </c>
      <c r="F1923" s="385"/>
      <c r="G1923" s="385" t="s">
        <v>128</v>
      </c>
      <c r="H1923" s="385"/>
      <c r="I1923" s="385"/>
      <c r="J1923" s="30"/>
      <c r="K1923" s="385"/>
      <c r="L1923" s="385"/>
      <c r="M1923" s="385"/>
      <c r="N1923" s="385"/>
      <c r="O1923" s="385"/>
      <c r="P1923" s="385" t="str">
        <f>IFERROR(
    IF(
        OR(ISBLANK(I1923), ISBLANK(L1923)),
        "",
        MAX(
            1,
            IF(
                NETWORKDAYS(I1923, L1923, Holiday_Dates) &lt;= 0,
                1,
                NETWORKDAYS(I1923, L1923, Holiday_Dates) - IF(I1923 = L1923, 0, 1)
            )
        )
    ),
    ""
)</f>
        <v/>
      </c>
      <c r="Q1923" s="385" t="str">
        <f>IF(
    OR(ISBLANK(L1923), ISBLANK(M1923)),
    "",
    MAX(
        1,
        IF(
            NETWORKDAYS(L1923, M1923, Holiday_Dates) &lt;= 0,
            1,
            NETWORKDAYS(L1923, M1923, Holiday_Dates) - IF(L1923 = M1923, 0, 1)
        )
    )
)</f>
        <v/>
      </c>
      <c r="R1923" s="385" t="str">
        <f>IFERROR(
    IF(
        OR(ISBLANK(N1923), AND(ISBLANK(L1923), ISBLANK(M1923))),
        "",
        MAX(
            1,
            IF(
                NETWORKDAYS(IF(NOT(ISBLANK(M1923)), M1923, L1923), N1923, Holiday_Dates) &lt;= 0,
                1,
                NETWORKDAYS(IF(NOT(ISBLANK(M1923)), M1923, L1923), N1923, Holiday_Dates)
                - IF(IF(NOT(ISBLANK(M1923)), M1923, L1923) = N1923, 0, 1)
            )
        )
    ),
    ""
)</f>
        <v/>
      </c>
      <c r="S1923" s="385" t="str">
        <f>IFERROR(
    IF(
        OR(ISBLANK(N1923), ISBLANK(O1923)),
        "",
        MAX(
            1,
            IF(
                NETWORKDAYS(N1923, O1923, Holiday_Dates) &lt;= 0,
                1,
                NETWORKDAYS(N1923, O1923, Holiday_Dates) - IF(N1923 = O1923, 0, 1)
            )
        )
    ),
    ""
)</f>
        <v/>
      </c>
      <c r="T1923" s="385"/>
      <c r="U1923" s="385"/>
      <c r="V1923" s="385"/>
      <c r="W1923" s="385" t="s">
        <v>4710</v>
      </c>
      <c r="X1923" s="1"/>
    </row>
    <row r="1924" spans="1:24">
      <c r="A1924" s="385" t="s">
        <v>49</v>
      </c>
      <c r="B1924" s="385" t="s">
        <v>440</v>
      </c>
      <c r="C1924" s="385" t="s">
        <v>2649</v>
      </c>
      <c r="D1924" s="385" t="s">
        <v>88</v>
      </c>
      <c r="E1924" s="385" t="s">
        <v>377</v>
      </c>
      <c r="F1924" s="385"/>
      <c r="G1924" s="385" t="s">
        <v>128</v>
      </c>
      <c r="H1924" s="385"/>
      <c r="I1924" s="385"/>
      <c r="J1924" s="30"/>
      <c r="K1924" s="385"/>
      <c r="L1924" s="385"/>
      <c r="M1924" s="385"/>
      <c r="N1924" s="385"/>
      <c r="O1924" s="385"/>
      <c r="P1924" s="385" t="str">
        <f>IFERROR(
    IF(
        OR(ISBLANK(I1924), ISBLANK(L1924)),
        "",
        MAX(
            1,
            IF(
                NETWORKDAYS(I1924, L1924, Holiday_Dates) &lt;= 0,
                1,
                NETWORKDAYS(I1924, L1924, Holiday_Dates) - IF(I1924 = L1924, 0, 1)
            )
        )
    ),
    ""
)</f>
        <v/>
      </c>
      <c r="Q1924" s="385" t="str">
        <f>IF(
    OR(ISBLANK(L1924), ISBLANK(M1924)),
    "",
    MAX(
        1,
        IF(
            NETWORKDAYS(L1924, M1924, Holiday_Dates) &lt;= 0,
            1,
            NETWORKDAYS(L1924, M1924, Holiday_Dates) - IF(L1924 = M1924, 0, 1)
        )
    )
)</f>
        <v/>
      </c>
      <c r="R1924" s="385" t="str">
        <f>IFERROR(
    IF(
        OR(ISBLANK(N1924), AND(ISBLANK(L1924), ISBLANK(M1924))),
        "",
        MAX(
            1,
            IF(
                NETWORKDAYS(IF(NOT(ISBLANK(M1924)), M1924, L1924), N1924, Holiday_Dates) &lt;= 0,
                1,
                NETWORKDAYS(IF(NOT(ISBLANK(M1924)), M1924, L1924), N1924, Holiday_Dates)
                - IF(IF(NOT(ISBLANK(M1924)), M1924, L1924) = N1924, 0, 1)
            )
        )
    ),
    ""
)</f>
        <v/>
      </c>
      <c r="S1924" s="385" t="str">
        <f>IFERROR(
    IF(
        OR(ISBLANK(N1924), ISBLANK(O1924)),
        "",
        MAX(
            1,
            IF(
                NETWORKDAYS(N1924, O1924, Holiday_Dates) &lt;= 0,
                1,
                NETWORKDAYS(N1924, O1924, Holiday_Dates) - IF(N1924 = O1924, 0, 1)
            )
        )
    ),
    ""
)</f>
        <v/>
      </c>
      <c r="T1924" s="385"/>
      <c r="U1924" s="385"/>
      <c r="V1924" s="385"/>
      <c r="W1924" s="385" t="s">
        <v>4710</v>
      </c>
      <c r="X1924" s="1"/>
    </row>
    <row r="1925" spans="1:24">
      <c r="A1925" s="385" t="s">
        <v>49</v>
      </c>
      <c r="B1925" s="385" t="s">
        <v>440</v>
      </c>
      <c r="C1925" s="385" t="s">
        <v>2650</v>
      </c>
      <c r="D1925" s="385" t="s">
        <v>88</v>
      </c>
      <c r="E1925" s="385" t="s">
        <v>377</v>
      </c>
      <c r="F1925" s="385"/>
      <c r="G1925" s="385" t="s">
        <v>128</v>
      </c>
      <c r="H1925" s="385"/>
      <c r="I1925" s="385"/>
      <c r="J1925" s="30"/>
      <c r="K1925" s="385"/>
      <c r="L1925" s="385"/>
      <c r="M1925" s="385"/>
      <c r="N1925" s="385"/>
      <c r="O1925" s="385"/>
      <c r="P1925" s="385" t="str">
        <f>IFERROR(
    IF(
        OR(ISBLANK(I1925), ISBLANK(L1925)),
        "",
        MAX(
            1,
            IF(
                NETWORKDAYS(I1925, L1925, Holiday_Dates) &lt;= 0,
                1,
                NETWORKDAYS(I1925, L1925, Holiday_Dates) - IF(I1925 = L1925, 0, 1)
            )
        )
    ),
    ""
)</f>
        <v/>
      </c>
      <c r="Q1925" s="385" t="str">
        <f>IF(
    OR(ISBLANK(L1925), ISBLANK(M1925)),
    "",
    MAX(
        1,
        IF(
            NETWORKDAYS(L1925, M1925, Holiday_Dates) &lt;= 0,
            1,
            NETWORKDAYS(L1925, M1925, Holiday_Dates) - IF(L1925 = M1925, 0, 1)
        )
    )
)</f>
        <v/>
      </c>
      <c r="R1925" s="385" t="str">
        <f>IFERROR(
    IF(
        OR(ISBLANK(N1925), AND(ISBLANK(L1925), ISBLANK(M1925))),
        "",
        MAX(
            1,
            IF(
                NETWORKDAYS(IF(NOT(ISBLANK(M1925)), M1925, L1925), N1925, Holiday_Dates) &lt;= 0,
                1,
                NETWORKDAYS(IF(NOT(ISBLANK(M1925)), M1925, L1925), N1925, Holiday_Dates)
                - IF(IF(NOT(ISBLANK(M1925)), M1925, L1925) = N1925, 0, 1)
            )
        )
    ),
    ""
)</f>
        <v/>
      </c>
      <c r="S1925" s="385" t="str">
        <f>IFERROR(
    IF(
        OR(ISBLANK(N1925), ISBLANK(O1925)),
        "",
        MAX(
            1,
            IF(
                NETWORKDAYS(N1925, O1925, Holiday_Dates) &lt;= 0,
                1,
                NETWORKDAYS(N1925, O1925, Holiday_Dates) - IF(N1925 = O1925, 0, 1)
            )
        )
    ),
    ""
)</f>
        <v/>
      </c>
      <c r="T1925" s="385"/>
      <c r="U1925" s="385"/>
      <c r="V1925" s="385"/>
      <c r="W1925" s="385" t="s">
        <v>4710</v>
      </c>
      <c r="X1925" s="1"/>
    </row>
    <row r="1926" spans="1:24">
      <c r="A1926" s="385" t="s">
        <v>51</v>
      </c>
      <c r="B1926" s="385" t="s">
        <v>352</v>
      </c>
      <c r="C1926" s="385" t="s">
        <v>3599</v>
      </c>
      <c r="D1926" s="385" t="s">
        <v>88</v>
      </c>
      <c r="E1926" s="385"/>
      <c r="F1926" s="385"/>
      <c r="G1926" s="385"/>
      <c r="H1926" s="385">
        <v>2025</v>
      </c>
      <c r="I1926" s="386">
        <v>45897</v>
      </c>
      <c r="J1926" s="30" t="s">
        <v>5430</v>
      </c>
      <c r="K1926" s="385"/>
      <c r="L1926" s="385"/>
      <c r="M1926" s="385"/>
      <c r="N1926" s="385"/>
      <c r="O1926" s="385"/>
      <c r="P1926" s="385" t="str">
        <f>IFERROR(
    IF(
        OR(ISBLANK(I1926), ISBLANK(L1926)),
        "",
        MAX(
            1,
            IF(
                NETWORKDAYS(I1926, L1926, Holiday_Dates) &lt;= 0,
                1,
                NETWORKDAYS(I1926, L1926, Holiday_Dates) - IF(I1926 = L1926, 0, 1)
            )
        )
    ),
    ""
)</f>
        <v/>
      </c>
      <c r="Q1926" s="385" t="str">
        <f>IF(
    OR(ISBLANK(L1926), ISBLANK(M1926)),
    "",
    MAX(
        1,
        IF(
            NETWORKDAYS(L1926, M1926, Holiday_Dates) &lt;= 0,
            1,
            NETWORKDAYS(L1926, M1926, Holiday_Dates) - IF(L1926 = M1926, 0, 1)
        )
    )
)</f>
        <v/>
      </c>
      <c r="R1926" s="385" t="str">
        <f>IFERROR(
    IF(
        OR(ISBLANK(N1926), AND(ISBLANK(L1926), ISBLANK(M1926))),
        "",
        MAX(
            1,
            IF(
                NETWORKDAYS(IF(NOT(ISBLANK(M1926)), M1926, L1926), N1926, Holiday_Dates) &lt;= 0,
                1,
                NETWORKDAYS(IF(NOT(ISBLANK(M1926)), M1926, L1926), N1926, Holiday_Dates)
                - IF(IF(NOT(ISBLANK(M1926)), M1926, L1926) = N1926, 0, 1)
            )
        )
    ),
    ""
)</f>
        <v/>
      </c>
      <c r="S1926" s="385" t="str">
        <f>IFERROR(
    IF(
        OR(ISBLANK(N1926), ISBLANK(O1926)),
        "",
        MAX(
            1,
            IF(
                NETWORKDAYS(N1926, O1926, Holiday_Dates) &lt;= 0,
                1,
                NETWORKDAYS(N1926, O1926, Holiday_Dates) - IF(N1926 = O1926, 0, 1)
            )
        )
    ),
    ""
)</f>
        <v/>
      </c>
      <c r="T1926" s="385"/>
      <c r="U1926" s="385" t="s">
        <v>4</v>
      </c>
      <c r="V1926" s="385" t="s">
        <v>101</v>
      </c>
      <c r="W1926" s="385" t="s">
        <v>1436</v>
      </c>
      <c r="X1926" s="1"/>
    </row>
    <row r="1927" spans="1:24">
      <c r="A1927" s="385" t="s">
        <v>49</v>
      </c>
      <c r="B1927" s="385" t="s">
        <v>440</v>
      </c>
      <c r="C1927" s="385" t="s">
        <v>2654</v>
      </c>
      <c r="D1927" s="385" t="s">
        <v>88</v>
      </c>
      <c r="E1927" s="385" t="s">
        <v>377</v>
      </c>
      <c r="F1927" s="385"/>
      <c r="G1927" s="385" t="s">
        <v>128</v>
      </c>
      <c r="H1927" s="385"/>
      <c r="I1927" s="385"/>
      <c r="J1927" s="30"/>
      <c r="K1927" s="385"/>
      <c r="L1927" s="385"/>
      <c r="M1927" s="385"/>
      <c r="N1927" s="385"/>
      <c r="O1927" s="385"/>
      <c r="P1927" s="385" t="str">
        <f>IFERROR(
    IF(
        OR(ISBLANK(I1927), ISBLANK(L1927)),
        "",
        MAX(
            1,
            IF(
                NETWORKDAYS(I1927, L1927, Holiday_Dates) &lt;= 0,
                1,
                NETWORKDAYS(I1927, L1927, Holiday_Dates) - IF(I1927 = L1927, 0, 1)
            )
        )
    ),
    ""
)</f>
        <v/>
      </c>
      <c r="Q1927" s="385" t="str">
        <f>IF(
    OR(ISBLANK(L1927), ISBLANK(M1927)),
    "",
    MAX(
        1,
        IF(
            NETWORKDAYS(L1927, M1927, Holiday_Dates) &lt;= 0,
            1,
            NETWORKDAYS(L1927, M1927, Holiday_Dates) - IF(L1927 = M1927, 0, 1)
        )
    )
)</f>
        <v/>
      </c>
      <c r="R1927" s="385" t="str">
        <f>IFERROR(
    IF(
        OR(ISBLANK(N1927), AND(ISBLANK(L1927), ISBLANK(M1927))),
        "",
        MAX(
            1,
            IF(
                NETWORKDAYS(IF(NOT(ISBLANK(M1927)), M1927, L1927), N1927, Holiday_Dates) &lt;= 0,
                1,
                NETWORKDAYS(IF(NOT(ISBLANK(M1927)), M1927, L1927), N1927, Holiday_Dates)
                - IF(IF(NOT(ISBLANK(M1927)), M1927, L1927) = N1927, 0, 1)
            )
        )
    ),
    ""
)</f>
        <v/>
      </c>
      <c r="S1927" s="385" t="str">
        <f>IFERROR(
    IF(
        OR(ISBLANK(N1927), ISBLANK(O1927)),
        "",
        MAX(
            1,
            IF(
                NETWORKDAYS(N1927, O1927, Holiday_Dates) &lt;= 0,
                1,
                NETWORKDAYS(N1927, O1927, Holiday_Dates) - IF(N1927 = O1927, 0, 1)
            )
        )
    ),
    ""
)</f>
        <v/>
      </c>
      <c r="T1927" s="385"/>
      <c r="U1927" s="385"/>
      <c r="V1927" s="385"/>
      <c r="W1927" s="385" t="s">
        <v>4710</v>
      </c>
      <c r="X1927" s="1"/>
    </row>
    <row r="1928" spans="1:24">
      <c r="A1928" s="385" t="s">
        <v>51</v>
      </c>
      <c r="B1928" s="385" t="s">
        <v>352</v>
      </c>
      <c r="C1928" s="385" t="s">
        <v>3601</v>
      </c>
      <c r="D1928" s="385" t="s">
        <v>88</v>
      </c>
      <c r="E1928" s="385"/>
      <c r="F1928" s="385"/>
      <c r="G1928" s="385"/>
      <c r="H1928" s="385">
        <v>2024</v>
      </c>
      <c r="I1928" s="386">
        <v>45610</v>
      </c>
      <c r="J1928" s="30"/>
      <c r="K1928" s="385"/>
      <c r="L1928" s="385"/>
      <c r="M1928" s="385"/>
      <c r="N1928" s="385"/>
      <c r="O1928" s="385"/>
      <c r="P1928" s="385" t="str">
        <f>IFERROR(
    IF(
        OR(ISBLANK(I1928), ISBLANK(L1928)),
        "",
        MAX(
            1,
            IF(
                NETWORKDAYS(I1928, L1928, Holiday_Dates) &lt;= 0,
                1,
                NETWORKDAYS(I1928, L1928, Holiday_Dates) - IF(I1928 = L1928, 0, 1)
            )
        )
    ),
    ""
)</f>
        <v/>
      </c>
      <c r="Q1928" s="385" t="str">
        <f>IF(
    OR(ISBLANK(L1928), ISBLANK(M1928)),
    "",
    MAX(
        1,
        IF(
            NETWORKDAYS(L1928, M1928, Holiday_Dates) &lt;= 0,
            1,
            NETWORKDAYS(L1928, M1928, Holiday_Dates) - IF(L1928 = M1928, 0, 1)
        )
    )
)</f>
        <v/>
      </c>
      <c r="R1928" s="385" t="str">
        <f>IFERROR(
    IF(
        OR(ISBLANK(N1928), AND(ISBLANK(L1928), ISBLANK(M1928))),
        "",
        MAX(
            1,
            IF(
                NETWORKDAYS(IF(NOT(ISBLANK(M1928)), M1928, L1928), N1928, Holiday_Dates) &lt;= 0,
                1,
                NETWORKDAYS(IF(NOT(ISBLANK(M1928)), M1928, L1928), N1928, Holiday_Dates)
                - IF(IF(NOT(ISBLANK(M1928)), M1928, L1928) = N1928, 0, 1)
            )
        )
    ),
    ""
)</f>
        <v/>
      </c>
      <c r="S1928" s="385" t="str">
        <f>IFERROR(
    IF(
        OR(ISBLANK(N1928), ISBLANK(O1928)),
        "",
        MAX(
            1,
            IF(
                NETWORKDAYS(N1928, O1928, Holiday_Dates) &lt;= 0,
                1,
                NETWORKDAYS(N1928, O1928, Holiday_Dates) - IF(N1928 = O1928, 0, 1)
            )
        )
    ),
    ""
)</f>
        <v/>
      </c>
      <c r="T1928" s="385"/>
      <c r="U1928" s="385" t="s">
        <v>4</v>
      </c>
      <c r="V1928" s="385" t="s">
        <v>108</v>
      </c>
      <c r="W1928" s="385" t="s">
        <v>1436</v>
      </c>
      <c r="X1928" s="1"/>
    </row>
    <row r="1929" spans="1:24">
      <c r="A1929" s="385" t="s">
        <v>49</v>
      </c>
      <c r="B1929" s="385" t="s">
        <v>440</v>
      </c>
      <c r="C1929" s="385" t="s">
        <v>2655</v>
      </c>
      <c r="D1929" s="385" t="s">
        <v>88</v>
      </c>
      <c r="E1929" s="385" t="s">
        <v>377</v>
      </c>
      <c r="F1929" s="385"/>
      <c r="G1929" s="385" t="s">
        <v>128</v>
      </c>
      <c r="H1929" s="385"/>
      <c r="I1929" s="385"/>
      <c r="J1929" s="30"/>
      <c r="K1929" s="385"/>
      <c r="L1929" s="385"/>
      <c r="M1929" s="385"/>
      <c r="N1929" s="385"/>
      <c r="O1929" s="385"/>
      <c r="P1929" s="385" t="str">
        <f>IFERROR(
    IF(
        OR(ISBLANK(I1929), ISBLANK(L1929)),
        "",
        MAX(
            1,
            IF(
                NETWORKDAYS(I1929, L1929, Holiday_Dates) &lt;= 0,
                1,
                NETWORKDAYS(I1929, L1929, Holiday_Dates) - IF(I1929 = L1929, 0, 1)
            )
        )
    ),
    ""
)</f>
        <v/>
      </c>
      <c r="Q1929" s="385" t="str">
        <f>IF(
    OR(ISBLANK(L1929), ISBLANK(M1929)),
    "",
    MAX(
        1,
        IF(
            NETWORKDAYS(L1929, M1929, Holiday_Dates) &lt;= 0,
            1,
            NETWORKDAYS(L1929, M1929, Holiday_Dates) - IF(L1929 = M1929, 0, 1)
        )
    )
)</f>
        <v/>
      </c>
      <c r="R1929" s="385" t="str">
        <f>IFERROR(
    IF(
        OR(ISBLANK(N1929), AND(ISBLANK(L1929), ISBLANK(M1929))),
        "",
        MAX(
            1,
            IF(
                NETWORKDAYS(IF(NOT(ISBLANK(M1929)), M1929, L1929), N1929, Holiday_Dates) &lt;= 0,
                1,
                NETWORKDAYS(IF(NOT(ISBLANK(M1929)), M1929, L1929), N1929, Holiday_Dates)
                - IF(IF(NOT(ISBLANK(M1929)), M1929, L1929) = N1929, 0, 1)
            )
        )
    ),
    ""
)</f>
        <v/>
      </c>
      <c r="S1929" s="385" t="str">
        <f>IFERROR(
    IF(
        OR(ISBLANK(N1929), ISBLANK(O1929)),
        "",
        MAX(
            1,
            IF(
                NETWORKDAYS(N1929, O1929, Holiday_Dates) &lt;= 0,
                1,
                NETWORKDAYS(N1929, O1929, Holiday_Dates) - IF(N1929 = O1929, 0, 1)
            )
        )
    ),
    ""
)</f>
        <v/>
      </c>
      <c r="T1929" s="385"/>
      <c r="U1929" s="385"/>
      <c r="V1929" s="385"/>
      <c r="W1929" s="385" t="s">
        <v>4710</v>
      </c>
      <c r="X1929" s="1"/>
    </row>
    <row r="1930" spans="1:24">
      <c r="A1930" s="385" t="s">
        <v>49</v>
      </c>
      <c r="B1930" s="385" t="s">
        <v>440</v>
      </c>
      <c r="C1930" s="385" t="s">
        <v>2656</v>
      </c>
      <c r="D1930" s="385" t="s">
        <v>88</v>
      </c>
      <c r="E1930" s="385" t="s">
        <v>377</v>
      </c>
      <c r="F1930" s="385"/>
      <c r="G1930" s="385" t="s">
        <v>128</v>
      </c>
      <c r="H1930" s="385"/>
      <c r="I1930" s="385"/>
      <c r="J1930" s="30"/>
      <c r="K1930" s="385"/>
      <c r="L1930" s="385"/>
      <c r="M1930" s="385"/>
      <c r="N1930" s="385"/>
      <c r="O1930" s="385"/>
      <c r="P1930" s="385" t="str">
        <f>IFERROR(
    IF(
        OR(ISBLANK(I1930), ISBLANK(L1930)),
        "",
        MAX(
            1,
            IF(
                NETWORKDAYS(I1930, L1930, Holiday_Dates) &lt;= 0,
                1,
                NETWORKDAYS(I1930, L1930, Holiday_Dates) - IF(I1930 = L1930, 0, 1)
            )
        )
    ),
    ""
)</f>
        <v/>
      </c>
      <c r="Q1930" s="385" t="str">
        <f>IF(
    OR(ISBLANK(L1930), ISBLANK(M1930)),
    "",
    MAX(
        1,
        IF(
            NETWORKDAYS(L1930, M1930, Holiday_Dates) &lt;= 0,
            1,
            NETWORKDAYS(L1930, M1930, Holiday_Dates) - IF(L1930 = M1930, 0, 1)
        )
    )
)</f>
        <v/>
      </c>
      <c r="R1930" s="385" t="str">
        <f>IFERROR(
    IF(
        OR(ISBLANK(N1930), AND(ISBLANK(L1930), ISBLANK(M1930))),
        "",
        MAX(
            1,
            IF(
                NETWORKDAYS(IF(NOT(ISBLANK(M1930)), M1930, L1930), N1930, Holiday_Dates) &lt;= 0,
                1,
                NETWORKDAYS(IF(NOT(ISBLANK(M1930)), M1930, L1930), N1930, Holiday_Dates)
                - IF(IF(NOT(ISBLANK(M1930)), M1930, L1930) = N1930, 0, 1)
            )
        )
    ),
    ""
)</f>
        <v/>
      </c>
      <c r="S1930" s="385" t="str">
        <f>IFERROR(
    IF(
        OR(ISBLANK(N1930), ISBLANK(O1930)),
        "",
        MAX(
            1,
            IF(
                NETWORKDAYS(N1930, O1930, Holiday_Dates) &lt;= 0,
                1,
                NETWORKDAYS(N1930, O1930, Holiday_Dates) - IF(N1930 = O1930, 0, 1)
            )
        )
    ),
    ""
)</f>
        <v/>
      </c>
      <c r="T1930" s="385"/>
      <c r="U1930" s="385"/>
      <c r="V1930" s="385"/>
      <c r="W1930" s="385" t="s">
        <v>4710</v>
      </c>
      <c r="X1930" s="1"/>
    </row>
    <row r="1931" spans="1:24">
      <c r="A1931" s="385" t="s">
        <v>49</v>
      </c>
      <c r="B1931" s="385" t="s">
        <v>440</v>
      </c>
      <c r="C1931" s="385" t="s">
        <v>2454</v>
      </c>
      <c r="D1931" s="385" t="s">
        <v>88</v>
      </c>
      <c r="E1931" s="385" t="s">
        <v>377</v>
      </c>
      <c r="F1931" s="385"/>
      <c r="G1931" s="385" t="s">
        <v>128</v>
      </c>
      <c r="H1931" s="385"/>
      <c r="I1931" s="385"/>
      <c r="J1931" s="30"/>
      <c r="K1931" s="385"/>
      <c r="L1931" s="385"/>
      <c r="M1931" s="385"/>
      <c r="N1931" s="385"/>
      <c r="O1931" s="385"/>
      <c r="P1931" s="385" t="str">
        <f>IFERROR(
    IF(
        OR(ISBLANK(I1931), ISBLANK(L1931)),
        "",
        MAX(
            1,
            IF(
                NETWORKDAYS(I1931, L1931, Holiday_Dates) &lt;= 0,
                1,
                NETWORKDAYS(I1931, L1931, Holiday_Dates) - IF(I1931 = L1931, 0, 1)
            )
        )
    ),
    ""
)</f>
        <v/>
      </c>
      <c r="Q1931" s="385" t="str">
        <f>IF(
    OR(ISBLANK(L1931), ISBLANK(M1931)),
    "",
    MAX(
        1,
        IF(
            NETWORKDAYS(L1931, M1931, Holiday_Dates) &lt;= 0,
            1,
            NETWORKDAYS(L1931, M1931, Holiday_Dates) - IF(L1931 = M1931, 0, 1)
        )
    )
)</f>
        <v/>
      </c>
      <c r="R1931" s="385" t="str">
        <f>IFERROR(
    IF(
        OR(ISBLANK(N1931), AND(ISBLANK(L1931), ISBLANK(M1931))),
        "",
        MAX(
            1,
            IF(
                NETWORKDAYS(IF(NOT(ISBLANK(M1931)), M1931, L1931), N1931, Holiday_Dates) &lt;= 0,
                1,
                NETWORKDAYS(IF(NOT(ISBLANK(M1931)), M1931, L1931), N1931, Holiday_Dates)
                - IF(IF(NOT(ISBLANK(M1931)), M1931, L1931) = N1931, 0, 1)
            )
        )
    ),
    ""
)</f>
        <v/>
      </c>
      <c r="S1931" s="385" t="str">
        <f>IFERROR(
    IF(
        OR(ISBLANK(N1931), ISBLANK(O1931)),
        "",
        MAX(
            1,
            IF(
                NETWORKDAYS(N1931, O1931, Holiday_Dates) &lt;= 0,
                1,
                NETWORKDAYS(N1931, O1931, Holiday_Dates) - IF(N1931 = O1931, 0, 1)
            )
        )
    ),
    ""
)</f>
        <v/>
      </c>
      <c r="T1931" s="385"/>
      <c r="U1931" s="385"/>
      <c r="V1931" s="385"/>
      <c r="W1931" s="385" t="s">
        <v>4710</v>
      </c>
      <c r="X1931" s="1"/>
    </row>
    <row r="1932" spans="1:24">
      <c r="A1932" s="385" t="s">
        <v>51</v>
      </c>
      <c r="B1932" s="385" t="s">
        <v>352</v>
      </c>
      <c r="C1932" s="385" t="s">
        <v>3604</v>
      </c>
      <c r="D1932" s="385" t="s">
        <v>88</v>
      </c>
      <c r="E1932" s="385"/>
      <c r="F1932" s="385"/>
      <c r="G1932" s="385"/>
      <c r="H1932" s="385">
        <v>2024</v>
      </c>
      <c r="I1932" s="386">
        <v>45610</v>
      </c>
      <c r="J1932" s="30"/>
      <c r="K1932" s="385"/>
      <c r="L1932" s="385"/>
      <c r="M1932" s="385"/>
      <c r="N1932" s="385"/>
      <c r="O1932" s="385"/>
      <c r="P1932" s="385" t="str">
        <f>IFERROR(
    IF(
        OR(ISBLANK(I1932), ISBLANK(L1932)),
        "",
        MAX(
            1,
            IF(
                NETWORKDAYS(I1932, L1932, Holiday_Dates) &lt;= 0,
                1,
                NETWORKDAYS(I1932, L1932, Holiday_Dates) - IF(I1932 = L1932, 0, 1)
            )
        )
    ),
    ""
)</f>
        <v/>
      </c>
      <c r="Q1932" s="385" t="str">
        <f>IF(
    OR(ISBLANK(L1932), ISBLANK(M1932)),
    "",
    MAX(
        1,
        IF(
            NETWORKDAYS(L1932, M1932, Holiday_Dates) &lt;= 0,
            1,
            NETWORKDAYS(L1932, M1932, Holiday_Dates) - IF(L1932 = M1932, 0, 1)
        )
    )
)</f>
        <v/>
      </c>
      <c r="R1932" s="385" t="str">
        <f>IFERROR(
    IF(
        OR(ISBLANK(N1932), AND(ISBLANK(L1932), ISBLANK(M1932))),
        "",
        MAX(
            1,
            IF(
                NETWORKDAYS(IF(NOT(ISBLANK(M1932)), M1932, L1932), N1932, Holiday_Dates) &lt;= 0,
                1,
                NETWORKDAYS(IF(NOT(ISBLANK(M1932)), M1932, L1932), N1932, Holiday_Dates)
                - IF(IF(NOT(ISBLANK(M1932)), M1932, L1932) = N1932, 0, 1)
            )
        )
    ),
    ""
)</f>
        <v/>
      </c>
      <c r="S1932" s="385" t="str">
        <f>IFERROR(
    IF(
        OR(ISBLANK(N1932), ISBLANK(O1932)),
        "",
        MAX(
            1,
            IF(
                NETWORKDAYS(N1932, O1932, Holiday_Dates) &lt;= 0,
                1,
                NETWORKDAYS(N1932, O1932, Holiday_Dates) - IF(N1932 = O1932, 0, 1)
            )
        )
    ),
    ""
)</f>
        <v/>
      </c>
      <c r="T1932" s="385"/>
      <c r="U1932" s="385" t="s">
        <v>4</v>
      </c>
      <c r="V1932" s="385" t="s">
        <v>101</v>
      </c>
      <c r="W1932" s="385" t="s">
        <v>1436</v>
      </c>
      <c r="X1932" s="1"/>
    </row>
    <row r="1933" spans="1:24">
      <c r="A1933" s="385" t="s">
        <v>49</v>
      </c>
      <c r="B1933" s="385" t="s">
        <v>440</v>
      </c>
      <c r="C1933" s="385" t="s">
        <v>2657</v>
      </c>
      <c r="D1933" s="385" t="s">
        <v>88</v>
      </c>
      <c r="E1933" s="385" t="s">
        <v>377</v>
      </c>
      <c r="F1933" s="385"/>
      <c r="G1933" s="385" t="s">
        <v>128</v>
      </c>
      <c r="H1933" s="385"/>
      <c r="I1933" s="385"/>
      <c r="J1933" s="30"/>
      <c r="K1933" s="385"/>
      <c r="L1933" s="385"/>
      <c r="M1933" s="385"/>
      <c r="N1933" s="385"/>
      <c r="O1933" s="385"/>
      <c r="P1933" s="385" t="str">
        <f>IFERROR(
    IF(
        OR(ISBLANK(I1933), ISBLANK(L1933)),
        "",
        MAX(
            1,
            IF(
                NETWORKDAYS(I1933, L1933, Holiday_Dates) &lt;= 0,
                1,
                NETWORKDAYS(I1933, L1933, Holiday_Dates) - IF(I1933 = L1933, 0, 1)
            )
        )
    ),
    ""
)</f>
        <v/>
      </c>
      <c r="Q1933" s="385" t="str">
        <f>IF(
    OR(ISBLANK(L1933), ISBLANK(M1933)),
    "",
    MAX(
        1,
        IF(
            NETWORKDAYS(L1933, M1933, Holiday_Dates) &lt;= 0,
            1,
            NETWORKDAYS(L1933, M1933, Holiday_Dates) - IF(L1933 = M1933, 0, 1)
        )
    )
)</f>
        <v/>
      </c>
      <c r="R1933" s="385" t="str">
        <f>IFERROR(
    IF(
        OR(ISBLANK(N1933), AND(ISBLANK(L1933), ISBLANK(M1933))),
        "",
        MAX(
            1,
            IF(
                NETWORKDAYS(IF(NOT(ISBLANK(M1933)), M1933, L1933), N1933, Holiday_Dates) &lt;= 0,
                1,
                NETWORKDAYS(IF(NOT(ISBLANK(M1933)), M1933, L1933), N1933, Holiday_Dates)
                - IF(IF(NOT(ISBLANK(M1933)), M1933, L1933) = N1933, 0, 1)
            )
        )
    ),
    ""
)</f>
        <v/>
      </c>
      <c r="S1933" s="385" t="str">
        <f>IFERROR(
    IF(
        OR(ISBLANK(N1933), ISBLANK(O1933)),
        "",
        MAX(
            1,
            IF(
                NETWORKDAYS(N1933, O1933, Holiday_Dates) &lt;= 0,
                1,
                NETWORKDAYS(N1933, O1933, Holiday_Dates) - IF(N1933 = O1933, 0, 1)
            )
        )
    ),
    ""
)</f>
        <v/>
      </c>
      <c r="T1933" s="385"/>
      <c r="U1933" s="385"/>
      <c r="V1933" s="385"/>
      <c r="W1933" s="385" t="s">
        <v>4710</v>
      </c>
      <c r="X1933" s="1"/>
    </row>
    <row r="1934" spans="1:24">
      <c r="A1934" s="385" t="s">
        <v>49</v>
      </c>
      <c r="B1934" s="385" t="s">
        <v>440</v>
      </c>
      <c r="C1934" s="385" t="s">
        <v>2659</v>
      </c>
      <c r="D1934" s="385" t="s">
        <v>88</v>
      </c>
      <c r="E1934" s="385" t="s">
        <v>377</v>
      </c>
      <c r="F1934" s="385"/>
      <c r="G1934" s="385" t="s">
        <v>128</v>
      </c>
      <c r="H1934" s="385"/>
      <c r="I1934" s="385"/>
      <c r="J1934" s="30"/>
      <c r="K1934" s="385"/>
      <c r="L1934" s="385"/>
      <c r="M1934" s="385"/>
      <c r="N1934" s="385"/>
      <c r="O1934" s="385"/>
      <c r="P1934" s="385" t="str">
        <f>IFERROR(
    IF(
        OR(ISBLANK(I1934), ISBLANK(L1934)),
        "",
        MAX(
            1,
            IF(
                NETWORKDAYS(I1934, L1934, Holiday_Dates) &lt;= 0,
                1,
                NETWORKDAYS(I1934, L1934, Holiday_Dates) - IF(I1934 = L1934, 0, 1)
            )
        )
    ),
    ""
)</f>
        <v/>
      </c>
      <c r="Q1934" s="385" t="str">
        <f>IF(
    OR(ISBLANK(L1934), ISBLANK(M1934)),
    "",
    MAX(
        1,
        IF(
            NETWORKDAYS(L1934, M1934, Holiday_Dates) &lt;= 0,
            1,
            NETWORKDAYS(L1934, M1934, Holiday_Dates) - IF(L1934 = M1934, 0, 1)
        )
    )
)</f>
        <v/>
      </c>
      <c r="R1934" s="385" t="str">
        <f>IFERROR(
    IF(
        OR(ISBLANK(N1934), AND(ISBLANK(L1934), ISBLANK(M1934))),
        "",
        MAX(
            1,
            IF(
                NETWORKDAYS(IF(NOT(ISBLANK(M1934)), M1934, L1934), N1934, Holiday_Dates) &lt;= 0,
                1,
                NETWORKDAYS(IF(NOT(ISBLANK(M1934)), M1934, L1934), N1934, Holiday_Dates)
                - IF(IF(NOT(ISBLANK(M1934)), M1934, L1934) = N1934, 0, 1)
            )
        )
    ),
    ""
)</f>
        <v/>
      </c>
      <c r="S1934" s="385" t="str">
        <f>IFERROR(
    IF(
        OR(ISBLANK(N1934), ISBLANK(O1934)),
        "",
        MAX(
            1,
            IF(
                NETWORKDAYS(N1934, O1934, Holiday_Dates) &lt;= 0,
                1,
                NETWORKDAYS(N1934, O1934, Holiday_Dates) - IF(N1934 = O1934, 0, 1)
            )
        )
    ),
    ""
)</f>
        <v/>
      </c>
      <c r="T1934" s="385"/>
      <c r="U1934" s="385"/>
      <c r="V1934" s="385"/>
      <c r="W1934" s="385" t="s">
        <v>4710</v>
      </c>
      <c r="X1934" s="1"/>
    </row>
    <row r="1935" spans="1:24">
      <c r="A1935" s="385" t="s">
        <v>51</v>
      </c>
      <c r="B1935" s="385" t="s">
        <v>352</v>
      </c>
      <c r="C1935" s="385" t="s">
        <v>3607</v>
      </c>
      <c r="D1935" s="385" t="s">
        <v>88</v>
      </c>
      <c r="E1935" s="385"/>
      <c r="F1935" s="385"/>
      <c r="G1935" s="385"/>
      <c r="H1935" s="385">
        <v>2025</v>
      </c>
      <c r="I1935" s="386">
        <v>45923</v>
      </c>
      <c r="J1935" s="30" t="s">
        <v>5431</v>
      </c>
      <c r="K1935" s="385"/>
      <c r="L1935" s="385"/>
      <c r="M1935" s="385"/>
      <c r="N1935" s="385"/>
      <c r="O1935" s="385"/>
      <c r="P1935" s="385" t="str">
        <f>IFERROR(
    IF(
        OR(ISBLANK(I1935), ISBLANK(L1935)),
        "",
        MAX(
            1,
            IF(
                NETWORKDAYS(I1935, L1935, Holiday_Dates) &lt;= 0,
                1,
                NETWORKDAYS(I1935, L1935, Holiday_Dates) - IF(I1935 = L1935, 0, 1)
            )
        )
    ),
    ""
)</f>
        <v/>
      </c>
      <c r="Q1935" s="385" t="str">
        <f>IF(
    OR(ISBLANK(L1935), ISBLANK(M1935)),
    "",
    MAX(
        1,
        IF(
            NETWORKDAYS(L1935, M1935, Holiday_Dates) &lt;= 0,
            1,
            NETWORKDAYS(L1935, M1935, Holiday_Dates) - IF(L1935 = M1935, 0, 1)
        )
    )
)</f>
        <v/>
      </c>
      <c r="R1935" s="385" t="str">
        <f>IFERROR(
    IF(
        OR(ISBLANK(N1935), AND(ISBLANK(L1935), ISBLANK(M1935))),
        "",
        MAX(
            1,
            IF(
                NETWORKDAYS(IF(NOT(ISBLANK(M1935)), M1935, L1935), N1935, Holiday_Dates) &lt;= 0,
                1,
                NETWORKDAYS(IF(NOT(ISBLANK(M1935)), M1935, L1935), N1935, Holiday_Dates)
                - IF(IF(NOT(ISBLANK(M1935)), M1935, L1935) = N1935, 0, 1)
            )
        )
    ),
    ""
)</f>
        <v/>
      </c>
      <c r="S1935" s="385" t="str">
        <f>IFERROR(
    IF(
        OR(ISBLANK(N1935), ISBLANK(O1935)),
        "",
        MAX(
            1,
            IF(
                NETWORKDAYS(N1935, O1935, Holiday_Dates) &lt;= 0,
                1,
                NETWORKDAYS(N1935, O1935, Holiday_Dates) - IF(N1935 = O1935, 0, 1)
            )
        )
    ),
    ""
)</f>
        <v/>
      </c>
      <c r="T1935" s="385"/>
      <c r="U1935" s="385" t="s">
        <v>4</v>
      </c>
      <c r="V1935" s="385" t="s">
        <v>101</v>
      </c>
      <c r="W1935" s="385" t="s">
        <v>1436</v>
      </c>
      <c r="X1935" s="1"/>
    </row>
    <row r="1936" spans="1:24">
      <c r="A1936" s="385" t="s">
        <v>49</v>
      </c>
      <c r="B1936" s="385" t="s">
        <v>440</v>
      </c>
      <c r="C1936" s="385" t="s">
        <v>2670</v>
      </c>
      <c r="D1936" s="385" t="s">
        <v>88</v>
      </c>
      <c r="E1936" s="385" t="s">
        <v>377</v>
      </c>
      <c r="F1936" s="385"/>
      <c r="G1936" s="385" t="s">
        <v>128</v>
      </c>
      <c r="H1936" s="385"/>
      <c r="I1936" s="385"/>
      <c r="J1936" s="30"/>
      <c r="K1936" s="385"/>
      <c r="L1936" s="385"/>
      <c r="M1936" s="385"/>
      <c r="N1936" s="385"/>
      <c r="O1936" s="385"/>
      <c r="P1936" s="385" t="str">
        <f>IFERROR(
    IF(
        OR(ISBLANK(I1936), ISBLANK(L1936)),
        "",
        MAX(
            1,
            IF(
                NETWORKDAYS(I1936, L1936, Holiday_Dates) &lt;= 0,
                1,
                NETWORKDAYS(I1936, L1936, Holiday_Dates) - IF(I1936 = L1936, 0, 1)
            )
        )
    ),
    ""
)</f>
        <v/>
      </c>
      <c r="Q1936" s="385" t="str">
        <f>IF(
    OR(ISBLANK(L1936), ISBLANK(M1936)),
    "",
    MAX(
        1,
        IF(
            NETWORKDAYS(L1936, M1936, Holiday_Dates) &lt;= 0,
            1,
            NETWORKDAYS(L1936, M1936, Holiday_Dates) - IF(L1936 = M1936, 0, 1)
        )
    )
)</f>
        <v/>
      </c>
      <c r="R1936" s="385" t="str">
        <f>IFERROR(
    IF(
        OR(ISBLANK(N1936), AND(ISBLANK(L1936), ISBLANK(M1936))),
        "",
        MAX(
            1,
            IF(
                NETWORKDAYS(IF(NOT(ISBLANK(M1936)), M1936, L1936), N1936, Holiday_Dates) &lt;= 0,
                1,
                NETWORKDAYS(IF(NOT(ISBLANK(M1936)), M1936, L1936), N1936, Holiday_Dates)
                - IF(IF(NOT(ISBLANK(M1936)), M1936, L1936) = N1936, 0, 1)
            )
        )
    ),
    ""
)</f>
        <v/>
      </c>
      <c r="S1936" s="385" t="str">
        <f>IFERROR(
    IF(
        OR(ISBLANK(N1936), ISBLANK(O1936)),
        "",
        MAX(
            1,
            IF(
                NETWORKDAYS(N1936, O1936, Holiday_Dates) &lt;= 0,
                1,
                NETWORKDAYS(N1936, O1936, Holiday_Dates) - IF(N1936 = O1936, 0, 1)
            )
        )
    ),
    ""
)</f>
        <v/>
      </c>
      <c r="T1936" s="385"/>
      <c r="U1936" s="385"/>
      <c r="V1936" s="385"/>
      <c r="W1936" s="385" t="s">
        <v>4710</v>
      </c>
      <c r="X1936" s="1"/>
    </row>
    <row r="1937" spans="1:24">
      <c r="A1937" s="385" t="s">
        <v>51</v>
      </c>
      <c r="B1937" s="385" t="s">
        <v>352</v>
      </c>
      <c r="C1937" s="385" t="s">
        <v>3608</v>
      </c>
      <c r="D1937" s="385" t="s">
        <v>88</v>
      </c>
      <c r="E1937" s="385"/>
      <c r="F1937" s="385"/>
      <c r="G1937" s="385"/>
      <c r="H1937" s="385">
        <v>2025</v>
      </c>
      <c r="I1937" s="386">
        <v>45924</v>
      </c>
      <c r="J1937" s="30" t="s">
        <v>5432</v>
      </c>
      <c r="K1937" s="385"/>
      <c r="L1937" s="385"/>
      <c r="M1937" s="385"/>
      <c r="N1937" s="385"/>
      <c r="O1937" s="385"/>
      <c r="P1937" s="385" t="str">
        <f>IFERROR(
    IF(
        OR(ISBLANK(I1937), ISBLANK(L1937)),
        "",
        MAX(
            1,
            IF(
                NETWORKDAYS(I1937, L1937, Holiday_Dates) &lt;= 0,
                1,
                NETWORKDAYS(I1937, L1937, Holiday_Dates) - IF(I1937 = L1937, 0, 1)
            )
        )
    ),
    ""
)</f>
        <v/>
      </c>
      <c r="Q1937" s="385" t="str">
        <f>IF(
    OR(ISBLANK(L1937), ISBLANK(M1937)),
    "",
    MAX(
        1,
        IF(
            NETWORKDAYS(L1937, M1937, Holiday_Dates) &lt;= 0,
            1,
            NETWORKDAYS(L1937, M1937, Holiday_Dates) - IF(L1937 = M1937, 0, 1)
        )
    )
)</f>
        <v/>
      </c>
      <c r="R1937" s="385" t="str">
        <f>IFERROR(
    IF(
        OR(ISBLANK(N1937), AND(ISBLANK(L1937), ISBLANK(M1937))),
        "",
        MAX(
            1,
            IF(
                NETWORKDAYS(IF(NOT(ISBLANK(M1937)), M1937, L1937), N1937, Holiday_Dates) &lt;= 0,
                1,
                NETWORKDAYS(IF(NOT(ISBLANK(M1937)), M1937, L1937), N1937, Holiday_Dates)
                - IF(IF(NOT(ISBLANK(M1937)), M1937, L1937) = N1937, 0, 1)
            )
        )
    ),
    ""
)</f>
        <v/>
      </c>
      <c r="S1937" s="385" t="str">
        <f>IFERROR(
    IF(
        OR(ISBLANK(N1937), ISBLANK(O1937)),
        "",
        MAX(
            1,
            IF(
                NETWORKDAYS(N1937, O1937, Holiday_Dates) &lt;= 0,
                1,
                NETWORKDAYS(N1937, O1937, Holiday_Dates) - IF(N1937 = O1937, 0, 1)
            )
        )
    ),
    ""
)</f>
        <v/>
      </c>
      <c r="T1937" s="385"/>
      <c r="U1937" s="385" t="s">
        <v>672</v>
      </c>
      <c r="V1937" s="385" t="s">
        <v>101</v>
      </c>
      <c r="W1937" s="385" t="s">
        <v>1436</v>
      </c>
      <c r="X1937" s="1"/>
    </row>
    <row r="1938" spans="1:24">
      <c r="A1938" s="385" t="s">
        <v>49</v>
      </c>
      <c r="B1938" s="385" t="s">
        <v>440</v>
      </c>
      <c r="C1938" s="385" t="s">
        <v>2662</v>
      </c>
      <c r="D1938" s="385" t="s">
        <v>88</v>
      </c>
      <c r="E1938" s="385" t="s">
        <v>377</v>
      </c>
      <c r="F1938" s="385"/>
      <c r="G1938" s="385" t="s">
        <v>128</v>
      </c>
      <c r="H1938" s="385"/>
      <c r="I1938" s="385"/>
      <c r="J1938" s="30"/>
      <c r="K1938" s="385"/>
      <c r="L1938" s="385"/>
      <c r="M1938" s="385"/>
      <c r="N1938" s="385"/>
      <c r="O1938" s="385"/>
      <c r="P1938" s="385" t="str">
        <f>IFERROR(
    IF(
        OR(ISBLANK(I1938), ISBLANK(L1938)),
        "",
        MAX(
            1,
            IF(
                NETWORKDAYS(I1938, L1938, Holiday_Dates) &lt;= 0,
                1,
                NETWORKDAYS(I1938, L1938, Holiday_Dates) - IF(I1938 = L1938, 0, 1)
            )
        )
    ),
    ""
)</f>
        <v/>
      </c>
      <c r="Q1938" s="385" t="str">
        <f>IF(
    OR(ISBLANK(L1938), ISBLANK(M1938)),
    "",
    MAX(
        1,
        IF(
            NETWORKDAYS(L1938, M1938, Holiday_Dates) &lt;= 0,
            1,
            NETWORKDAYS(L1938, M1938, Holiday_Dates) - IF(L1938 = M1938, 0, 1)
        )
    )
)</f>
        <v/>
      </c>
      <c r="R1938" s="385" t="str">
        <f>IFERROR(
    IF(
        OR(ISBLANK(N1938), AND(ISBLANK(L1938), ISBLANK(M1938))),
        "",
        MAX(
            1,
            IF(
                NETWORKDAYS(IF(NOT(ISBLANK(M1938)), M1938, L1938), N1938, Holiday_Dates) &lt;= 0,
                1,
                NETWORKDAYS(IF(NOT(ISBLANK(M1938)), M1938, L1938), N1938, Holiday_Dates)
                - IF(IF(NOT(ISBLANK(M1938)), M1938, L1938) = N1938, 0, 1)
            )
        )
    ),
    ""
)</f>
        <v/>
      </c>
      <c r="S1938" s="385" t="str">
        <f>IFERROR(
    IF(
        OR(ISBLANK(N1938), ISBLANK(O1938)),
        "",
        MAX(
            1,
            IF(
                NETWORKDAYS(N1938, O1938, Holiday_Dates) &lt;= 0,
                1,
                NETWORKDAYS(N1938, O1938, Holiday_Dates) - IF(N1938 = O1938, 0, 1)
            )
        )
    ),
    ""
)</f>
        <v/>
      </c>
      <c r="T1938" s="385"/>
      <c r="U1938" s="385"/>
      <c r="V1938" s="385"/>
      <c r="W1938" s="385" t="s">
        <v>4710</v>
      </c>
      <c r="X1938" s="1"/>
    </row>
    <row r="1939" spans="1:24">
      <c r="A1939" s="385" t="s">
        <v>49</v>
      </c>
      <c r="B1939" s="385" t="s">
        <v>440</v>
      </c>
      <c r="C1939" s="385" t="s">
        <v>2663</v>
      </c>
      <c r="D1939" s="385" t="s">
        <v>88</v>
      </c>
      <c r="E1939" s="385" t="s">
        <v>377</v>
      </c>
      <c r="F1939" s="385"/>
      <c r="G1939" s="385" t="s">
        <v>128</v>
      </c>
      <c r="H1939" s="385"/>
      <c r="I1939" s="385"/>
      <c r="J1939" s="30"/>
      <c r="K1939" s="385"/>
      <c r="L1939" s="385"/>
      <c r="M1939" s="385"/>
      <c r="N1939" s="385"/>
      <c r="O1939" s="385"/>
      <c r="P1939" s="385" t="str">
        <f>IFERROR(
    IF(
        OR(ISBLANK(I1939), ISBLANK(L1939)),
        "",
        MAX(
            1,
            IF(
                NETWORKDAYS(I1939, L1939, Holiday_Dates) &lt;= 0,
                1,
                NETWORKDAYS(I1939, L1939, Holiday_Dates) - IF(I1939 = L1939, 0, 1)
            )
        )
    ),
    ""
)</f>
        <v/>
      </c>
      <c r="Q1939" s="385" t="str">
        <f>IF(
    OR(ISBLANK(L1939), ISBLANK(M1939)),
    "",
    MAX(
        1,
        IF(
            NETWORKDAYS(L1939, M1939, Holiday_Dates) &lt;= 0,
            1,
            NETWORKDAYS(L1939, M1939, Holiday_Dates) - IF(L1939 = M1939, 0, 1)
        )
    )
)</f>
        <v/>
      </c>
      <c r="R1939" s="385" t="str">
        <f>IFERROR(
    IF(
        OR(ISBLANK(N1939), AND(ISBLANK(L1939), ISBLANK(M1939))),
        "",
        MAX(
            1,
            IF(
                NETWORKDAYS(IF(NOT(ISBLANK(M1939)), M1939, L1939), N1939, Holiday_Dates) &lt;= 0,
                1,
                NETWORKDAYS(IF(NOT(ISBLANK(M1939)), M1939, L1939), N1939, Holiday_Dates)
                - IF(IF(NOT(ISBLANK(M1939)), M1939, L1939) = N1939, 0, 1)
            )
        )
    ),
    ""
)</f>
        <v/>
      </c>
      <c r="S1939" s="385" t="str">
        <f>IFERROR(
    IF(
        OR(ISBLANK(N1939), ISBLANK(O1939)),
        "",
        MAX(
            1,
            IF(
                NETWORKDAYS(N1939, O1939, Holiday_Dates) &lt;= 0,
                1,
                NETWORKDAYS(N1939, O1939, Holiday_Dates) - IF(N1939 = O1939, 0, 1)
            )
        )
    ),
    ""
)</f>
        <v/>
      </c>
      <c r="T1939" s="385"/>
      <c r="U1939" s="385"/>
      <c r="V1939" s="385"/>
      <c r="W1939" s="385" t="s">
        <v>4710</v>
      </c>
      <c r="X1939" s="1"/>
    </row>
    <row r="1940" spans="1:24">
      <c r="A1940" s="385" t="s">
        <v>51</v>
      </c>
      <c r="B1940" s="385" t="s">
        <v>1377</v>
      </c>
      <c r="C1940" s="385" t="s">
        <v>3820</v>
      </c>
      <c r="D1940" s="385" t="s">
        <v>88</v>
      </c>
      <c r="E1940" s="385"/>
      <c r="F1940" s="385"/>
      <c r="G1940" s="385"/>
      <c r="H1940" s="385">
        <v>2025</v>
      </c>
      <c r="I1940" s="386">
        <v>45882</v>
      </c>
      <c r="J1940" s="30" t="s">
        <v>5433</v>
      </c>
      <c r="K1940" s="385"/>
      <c r="L1940" s="385"/>
      <c r="M1940" s="385"/>
      <c r="N1940" s="385"/>
      <c r="O1940" s="385"/>
      <c r="P1940" s="385" t="str">
        <f>IFERROR(
    IF(
        OR(ISBLANK(I1940), ISBLANK(L1940)),
        "",
        MAX(
            1,
            IF(
                NETWORKDAYS(I1940, L1940, Holiday_Dates) &lt;= 0,
                1,
                NETWORKDAYS(I1940, L1940, Holiday_Dates) - IF(I1940 = L1940, 0, 1)
            )
        )
    ),
    ""
)</f>
        <v/>
      </c>
      <c r="Q1940" s="385" t="str">
        <f>IF(
    OR(ISBLANK(L1940), ISBLANK(M1940)),
    "",
    MAX(
        1,
        IF(
            NETWORKDAYS(L1940, M1940, Holiday_Dates) &lt;= 0,
            1,
            NETWORKDAYS(L1940, M1940, Holiday_Dates) - IF(L1940 = M1940, 0, 1)
        )
    )
)</f>
        <v/>
      </c>
      <c r="R1940" s="385" t="str">
        <f>IFERROR(
    IF(
        OR(ISBLANK(N1940), AND(ISBLANK(L1940), ISBLANK(M1940))),
        "",
        MAX(
            1,
            IF(
                NETWORKDAYS(IF(NOT(ISBLANK(M1940)), M1940, L1940), N1940, Holiday_Dates) &lt;= 0,
                1,
                NETWORKDAYS(IF(NOT(ISBLANK(M1940)), M1940, L1940), N1940, Holiday_Dates)
                - IF(IF(NOT(ISBLANK(M1940)), M1940, L1940) = N1940, 0, 1)
            )
        )
    ),
    ""
)</f>
        <v/>
      </c>
      <c r="S1940" s="385" t="str">
        <f>IFERROR(
    IF(
        OR(ISBLANK(N1940), ISBLANK(O1940)),
        "",
        MAX(
            1,
            IF(
                NETWORKDAYS(N1940, O1940, Holiday_Dates) &lt;= 0,
                1,
                NETWORKDAYS(N1940, O1940, Holiday_Dates) - IF(N1940 = O1940, 0, 1)
            )
        )
    ),
    ""
)</f>
        <v/>
      </c>
      <c r="T1940" s="385"/>
      <c r="U1940" s="385" t="s">
        <v>4</v>
      </c>
      <c r="V1940" s="385" t="s">
        <v>101</v>
      </c>
      <c r="W1940" s="385" t="s">
        <v>1436</v>
      </c>
      <c r="X1940" s="1"/>
    </row>
    <row r="1941" spans="1:24">
      <c r="A1941" s="385" t="s">
        <v>51</v>
      </c>
      <c r="B1941" s="385" t="s">
        <v>1377</v>
      </c>
      <c r="C1941" s="385" t="s">
        <v>3532</v>
      </c>
      <c r="D1941" s="385" t="s">
        <v>88</v>
      </c>
      <c r="E1941" s="385"/>
      <c r="F1941" s="385"/>
      <c r="G1941" s="385"/>
      <c r="H1941" s="385">
        <v>2024</v>
      </c>
      <c r="I1941" s="386">
        <v>45420</v>
      </c>
      <c r="J1941" s="30"/>
      <c r="K1941" s="385"/>
      <c r="L1941" s="385"/>
      <c r="M1941" s="385"/>
      <c r="N1941" s="385"/>
      <c r="O1941" s="385"/>
      <c r="P1941" s="385" t="str">
        <f>IFERROR(
    IF(
        OR(ISBLANK(I1941), ISBLANK(L1941)),
        "",
        MAX(
            1,
            IF(
                NETWORKDAYS(I1941, L1941, Holiday_Dates) &lt;= 0,
                1,
                NETWORKDAYS(I1941, L1941, Holiday_Dates) - IF(I1941 = L1941, 0, 1)
            )
        )
    ),
    ""
)</f>
        <v/>
      </c>
      <c r="Q1941" s="385" t="str">
        <f>IF(
    OR(ISBLANK(L1941), ISBLANK(M1941)),
    "",
    MAX(
        1,
        IF(
            NETWORKDAYS(L1941, M1941, Holiday_Dates) &lt;= 0,
            1,
            NETWORKDAYS(L1941, M1941, Holiday_Dates) - IF(L1941 = M1941, 0, 1)
        )
    )
)</f>
        <v/>
      </c>
      <c r="R1941" s="385" t="str">
        <f>IFERROR(
    IF(
        OR(ISBLANK(N1941), AND(ISBLANK(L1941), ISBLANK(M1941))),
        "",
        MAX(
            1,
            IF(
                NETWORKDAYS(IF(NOT(ISBLANK(M1941)), M1941, L1941), N1941, Holiday_Dates) &lt;= 0,
                1,
                NETWORKDAYS(IF(NOT(ISBLANK(M1941)), M1941, L1941), N1941, Holiday_Dates)
                - IF(IF(NOT(ISBLANK(M1941)), M1941, L1941) = N1941, 0, 1)
            )
        )
    ),
    ""
)</f>
        <v/>
      </c>
      <c r="S1941" s="385" t="str">
        <f>IFERROR(
    IF(
        OR(ISBLANK(N1941), ISBLANK(O1941)),
        "",
        MAX(
            1,
            IF(
                NETWORKDAYS(N1941, O1941, Holiday_Dates) &lt;= 0,
                1,
                NETWORKDAYS(N1941, O1941, Holiday_Dates) - IF(N1941 = O1941, 0, 1)
            )
        )
    ),
    ""
)</f>
        <v/>
      </c>
      <c r="T1941" s="385"/>
      <c r="U1941" s="385" t="s">
        <v>672</v>
      </c>
      <c r="V1941" s="385"/>
      <c r="W1941" s="385" t="s">
        <v>1436</v>
      </c>
      <c r="X1941" s="1"/>
    </row>
    <row r="1942" spans="1:24">
      <c r="A1942" s="385" t="s">
        <v>49</v>
      </c>
      <c r="B1942" s="385" t="s">
        <v>440</v>
      </c>
      <c r="C1942" s="385" t="s">
        <v>2342</v>
      </c>
      <c r="D1942" s="385" t="s">
        <v>88</v>
      </c>
      <c r="E1942" s="385" t="s">
        <v>377</v>
      </c>
      <c r="F1942" s="385"/>
      <c r="G1942" s="385" t="s">
        <v>128</v>
      </c>
      <c r="H1942" s="385"/>
      <c r="I1942" s="385"/>
      <c r="J1942" s="30"/>
      <c r="K1942" s="385"/>
      <c r="L1942" s="385"/>
      <c r="M1942" s="385"/>
      <c r="N1942" s="385"/>
      <c r="O1942" s="385"/>
      <c r="P1942" s="385" t="str">
        <f>IFERROR(
    IF(
        OR(ISBLANK(I1942), ISBLANK(L1942)),
        "",
        MAX(
            1,
            IF(
                NETWORKDAYS(I1942, L1942, Holiday_Dates) &lt;= 0,
                1,
                NETWORKDAYS(I1942, L1942, Holiday_Dates) - IF(I1942 = L1942, 0, 1)
            )
        )
    ),
    ""
)</f>
        <v/>
      </c>
      <c r="Q1942" s="385" t="str">
        <f>IF(
    OR(ISBLANK(L1942), ISBLANK(M1942)),
    "",
    MAX(
        1,
        IF(
            NETWORKDAYS(L1942, M1942, Holiday_Dates) &lt;= 0,
            1,
            NETWORKDAYS(L1942, M1942, Holiday_Dates) - IF(L1942 = M1942, 0, 1)
        )
    )
)</f>
        <v/>
      </c>
      <c r="R1942" s="385" t="str">
        <f>IFERROR(
    IF(
        OR(ISBLANK(N1942), AND(ISBLANK(L1942), ISBLANK(M1942))),
        "",
        MAX(
            1,
            IF(
                NETWORKDAYS(IF(NOT(ISBLANK(M1942)), M1942, L1942), N1942, Holiday_Dates) &lt;= 0,
                1,
                NETWORKDAYS(IF(NOT(ISBLANK(M1942)), M1942, L1942), N1942, Holiday_Dates)
                - IF(IF(NOT(ISBLANK(M1942)), M1942, L1942) = N1942, 0, 1)
            )
        )
    ),
    ""
)</f>
        <v/>
      </c>
      <c r="S1942" s="385" t="str">
        <f>IFERROR(
    IF(
        OR(ISBLANK(N1942), ISBLANK(O1942)),
        "",
        MAX(
            1,
            IF(
                NETWORKDAYS(N1942, O1942, Holiday_Dates) &lt;= 0,
                1,
                NETWORKDAYS(N1942, O1942, Holiday_Dates) - IF(N1942 = O1942, 0, 1)
            )
        )
    ),
    ""
)</f>
        <v/>
      </c>
      <c r="T1942" s="385"/>
      <c r="U1942" s="385"/>
      <c r="V1942" s="385"/>
      <c r="W1942" s="385" t="s">
        <v>4710</v>
      </c>
      <c r="X1942" s="1"/>
    </row>
    <row r="1943" spans="1:24">
      <c r="A1943" s="385" t="s">
        <v>49</v>
      </c>
      <c r="B1943" s="385" t="s">
        <v>440</v>
      </c>
      <c r="C1943" s="385" t="s">
        <v>764</v>
      </c>
      <c r="D1943" s="385" t="s">
        <v>88</v>
      </c>
      <c r="E1943" s="385" t="s">
        <v>377</v>
      </c>
      <c r="F1943" s="385"/>
      <c r="G1943" s="385" t="s">
        <v>128</v>
      </c>
      <c r="H1943" s="385"/>
      <c r="I1943" s="385"/>
      <c r="J1943" s="30"/>
      <c r="K1943" s="385"/>
      <c r="L1943" s="385"/>
      <c r="M1943" s="385"/>
      <c r="N1943" s="385"/>
      <c r="O1943" s="385"/>
      <c r="P1943" s="385" t="str">
        <f>IFERROR(
    IF(
        OR(ISBLANK(I1943), ISBLANK(L1943)),
        "",
        MAX(
            1,
            IF(
                NETWORKDAYS(I1943, L1943, Holiday_Dates) &lt;= 0,
                1,
                NETWORKDAYS(I1943, L1943, Holiday_Dates) - IF(I1943 = L1943, 0, 1)
            )
        )
    ),
    ""
)</f>
        <v/>
      </c>
      <c r="Q1943" s="385" t="str">
        <f>IF(
    OR(ISBLANK(L1943), ISBLANK(M1943)),
    "",
    MAX(
        1,
        IF(
            NETWORKDAYS(L1943, M1943, Holiday_Dates) &lt;= 0,
            1,
            NETWORKDAYS(L1943, M1943, Holiday_Dates) - IF(L1943 = M1943, 0, 1)
        )
    )
)</f>
        <v/>
      </c>
      <c r="R1943" s="385" t="str">
        <f>IFERROR(
    IF(
        OR(ISBLANK(N1943), AND(ISBLANK(L1943), ISBLANK(M1943))),
        "",
        MAX(
            1,
            IF(
                NETWORKDAYS(IF(NOT(ISBLANK(M1943)), M1943, L1943), N1943, Holiday_Dates) &lt;= 0,
                1,
                NETWORKDAYS(IF(NOT(ISBLANK(M1943)), M1943, L1943), N1943, Holiday_Dates)
                - IF(IF(NOT(ISBLANK(M1943)), M1943, L1943) = N1943, 0, 1)
            )
        )
    ),
    ""
)</f>
        <v/>
      </c>
      <c r="S1943" s="385" t="str">
        <f>IFERROR(
    IF(
        OR(ISBLANK(N1943), ISBLANK(O1943)),
        "",
        MAX(
            1,
            IF(
                NETWORKDAYS(N1943, O1943, Holiday_Dates) &lt;= 0,
                1,
                NETWORKDAYS(N1943, O1943, Holiday_Dates) - IF(N1943 = O1943, 0, 1)
            )
        )
    ),
    ""
)</f>
        <v/>
      </c>
      <c r="T1943" s="385"/>
      <c r="U1943" s="385"/>
      <c r="V1943" s="385"/>
      <c r="W1943" s="385" t="s">
        <v>4710</v>
      </c>
      <c r="X1943" s="1"/>
    </row>
    <row r="1944" spans="1:24">
      <c r="A1944" s="385" t="s">
        <v>51</v>
      </c>
      <c r="B1944" s="385" t="s">
        <v>1377</v>
      </c>
      <c r="C1944" s="385" t="s">
        <v>3622</v>
      </c>
      <c r="D1944" s="385" t="s">
        <v>88</v>
      </c>
      <c r="E1944" s="385"/>
      <c r="F1944" s="385"/>
      <c r="G1944" s="385"/>
      <c r="H1944" s="385">
        <v>2024</v>
      </c>
      <c r="I1944" s="386">
        <v>45385</v>
      </c>
      <c r="J1944" s="30"/>
      <c r="K1944" s="385"/>
      <c r="L1944" s="385"/>
      <c r="M1944" s="385"/>
      <c r="N1944" s="385"/>
      <c r="O1944" s="385"/>
      <c r="P1944" s="385" t="str">
        <f>IFERROR(
    IF(
        OR(ISBLANK(I1944), ISBLANK(L1944)),
        "",
        MAX(
            1,
            IF(
                NETWORKDAYS(I1944, L1944, Holiday_Dates) &lt;= 0,
                1,
                NETWORKDAYS(I1944, L1944, Holiday_Dates) - IF(I1944 = L1944, 0, 1)
            )
        )
    ),
    ""
)</f>
        <v/>
      </c>
      <c r="Q1944" s="385" t="str">
        <f>IF(
    OR(ISBLANK(L1944), ISBLANK(M1944)),
    "",
    MAX(
        1,
        IF(
            NETWORKDAYS(L1944, M1944, Holiday_Dates) &lt;= 0,
            1,
            NETWORKDAYS(L1944, M1944, Holiday_Dates) - IF(L1944 = M1944, 0, 1)
        )
    )
)</f>
        <v/>
      </c>
      <c r="R1944" s="385" t="str">
        <f>IFERROR(
    IF(
        OR(ISBLANK(N1944), AND(ISBLANK(L1944), ISBLANK(M1944))),
        "",
        MAX(
            1,
            IF(
                NETWORKDAYS(IF(NOT(ISBLANK(M1944)), M1944, L1944), N1944, Holiday_Dates) &lt;= 0,
                1,
                NETWORKDAYS(IF(NOT(ISBLANK(M1944)), M1944, L1944), N1944, Holiday_Dates)
                - IF(IF(NOT(ISBLANK(M1944)), M1944, L1944) = N1944, 0, 1)
            )
        )
    ),
    ""
)</f>
        <v/>
      </c>
      <c r="S1944" s="385" t="str">
        <f>IFERROR(
    IF(
        OR(ISBLANK(N1944), ISBLANK(O1944)),
        "",
        MAX(
            1,
            IF(
                NETWORKDAYS(N1944, O1944, Holiday_Dates) &lt;= 0,
                1,
                NETWORKDAYS(N1944, O1944, Holiday_Dates) - IF(N1944 = O1944, 0, 1)
            )
        )
    ),
    ""
)</f>
        <v/>
      </c>
      <c r="T1944" s="385"/>
      <c r="U1944" s="385" t="s">
        <v>672</v>
      </c>
      <c r="V1944" s="385"/>
      <c r="W1944" s="385" t="s">
        <v>1436</v>
      </c>
      <c r="X1944" s="1"/>
    </row>
    <row r="1945" spans="1:24">
      <c r="A1945" s="385" t="s">
        <v>51</v>
      </c>
      <c r="B1945" s="385" t="s">
        <v>1377</v>
      </c>
      <c r="C1945" s="385" t="s">
        <v>3268</v>
      </c>
      <c r="D1945" s="385" t="s">
        <v>88</v>
      </c>
      <c r="E1945" s="385"/>
      <c r="F1945" s="385"/>
      <c r="G1945" s="385"/>
      <c r="H1945" s="385">
        <v>2025</v>
      </c>
      <c r="I1945" s="386">
        <v>45909</v>
      </c>
      <c r="J1945" s="30" t="s">
        <v>5434</v>
      </c>
      <c r="K1945" s="385"/>
      <c r="L1945" s="385"/>
      <c r="M1945" s="385"/>
      <c r="N1945" s="385"/>
      <c r="O1945" s="385"/>
      <c r="P1945" s="385" t="str">
        <f>IFERROR(
    IF(
        OR(ISBLANK(I1945), ISBLANK(L1945)),
        "",
        MAX(
            1,
            IF(
                NETWORKDAYS(I1945, L1945, Holiday_Dates) &lt;= 0,
                1,
                NETWORKDAYS(I1945, L1945, Holiday_Dates) - IF(I1945 = L1945, 0, 1)
            )
        )
    ),
    ""
)</f>
        <v/>
      </c>
      <c r="Q1945" s="385" t="str">
        <f>IF(
    OR(ISBLANK(L1945), ISBLANK(M1945)),
    "",
    MAX(
        1,
        IF(
            NETWORKDAYS(L1945, M1945, Holiday_Dates) &lt;= 0,
            1,
            NETWORKDAYS(L1945, M1945, Holiday_Dates) - IF(L1945 = M1945, 0, 1)
        )
    )
)</f>
        <v/>
      </c>
      <c r="R1945" s="385" t="str">
        <f>IFERROR(
    IF(
        OR(ISBLANK(N1945), AND(ISBLANK(L1945), ISBLANK(M1945))),
        "",
        MAX(
            1,
            IF(
                NETWORKDAYS(IF(NOT(ISBLANK(M1945)), M1945, L1945), N1945, Holiday_Dates) &lt;= 0,
                1,
                NETWORKDAYS(IF(NOT(ISBLANK(M1945)), M1945, L1945), N1945, Holiday_Dates)
                - IF(IF(NOT(ISBLANK(M1945)), M1945, L1945) = N1945, 0, 1)
            )
        )
    ),
    ""
)</f>
        <v/>
      </c>
      <c r="S1945" s="385" t="str">
        <f>IFERROR(
    IF(
        OR(ISBLANK(N1945), ISBLANK(O1945)),
        "",
        MAX(
            1,
            IF(
                NETWORKDAYS(N1945, O1945, Holiday_Dates) &lt;= 0,
                1,
                NETWORKDAYS(N1945, O1945, Holiday_Dates) - IF(N1945 = O1945, 0, 1)
            )
        )
    ),
    ""
)</f>
        <v/>
      </c>
      <c r="T1945" s="385"/>
      <c r="U1945" s="385" t="s">
        <v>4</v>
      </c>
      <c r="V1945" s="385" t="s">
        <v>101</v>
      </c>
      <c r="W1945" s="385" t="s">
        <v>1436</v>
      </c>
      <c r="X1945" s="1"/>
    </row>
    <row r="1946" spans="1:24">
      <c r="A1946" s="385" t="s">
        <v>49</v>
      </c>
      <c r="B1946" s="385" t="s">
        <v>440</v>
      </c>
      <c r="C1946" s="385" t="s">
        <v>653</v>
      </c>
      <c r="D1946" s="385" t="s">
        <v>88</v>
      </c>
      <c r="E1946" s="385" t="s">
        <v>377</v>
      </c>
      <c r="F1946" s="385"/>
      <c r="G1946" s="385" t="s">
        <v>128</v>
      </c>
      <c r="H1946" s="385"/>
      <c r="I1946" s="385"/>
      <c r="J1946" s="30"/>
      <c r="K1946" s="385"/>
      <c r="L1946" s="385"/>
      <c r="M1946" s="385"/>
      <c r="N1946" s="385"/>
      <c r="O1946" s="385"/>
      <c r="P1946" s="385" t="str">
        <f>IFERROR(
    IF(
        OR(ISBLANK(I1946), ISBLANK(L1946)),
        "",
        MAX(
            1,
            IF(
                NETWORKDAYS(I1946, L1946, Holiday_Dates) &lt;= 0,
                1,
                NETWORKDAYS(I1946, L1946, Holiday_Dates) - IF(I1946 = L1946, 0, 1)
            )
        )
    ),
    ""
)</f>
        <v/>
      </c>
      <c r="Q1946" s="385" t="str">
        <f>IF(
    OR(ISBLANK(L1946), ISBLANK(M1946)),
    "",
    MAX(
        1,
        IF(
            NETWORKDAYS(L1946, M1946, Holiday_Dates) &lt;= 0,
            1,
            NETWORKDAYS(L1946, M1946, Holiday_Dates) - IF(L1946 = M1946, 0, 1)
        )
    )
)</f>
        <v/>
      </c>
      <c r="R1946" s="385" t="str">
        <f>IFERROR(
    IF(
        OR(ISBLANK(N1946), AND(ISBLANK(L1946), ISBLANK(M1946))),
        "",
        MAX(
            1,
            IF(
                NETWORKDAYS(IF(NOT(ISBLANK(M1946)), M1946, L1946), N1946, Holiday_Dates) &lt;= 0,
                1,
                NETWORKDAYS(IF(NOT(ISBLANK(M1946)), M1946, L1946), N1946, Holiday_Dates)
                - IF(IF(NOT(ISBLANK(M1946)), M1946, L1946) = N1946, 0, 1)
            )
        )
    ),
    ""
)</f>
        <v/>
      </c>
      <c r="S1946" s="385" t="str">
        <f>IFERROR(
    IF(
        OR(ISBLANK(N1946), ISBLANK(O1946)),
        "",
        MAX(
            1,
            IF(
                NETWORKDAYS(N1946, O1946, Holiday_Dates) &lt;= 0,
                1,
                NETWORKDAYS(N1946, O1946, Holiday_Dates) - IF(N1946 = O1946, 0, 1)
            )
        )
    ),
    ""
)</f>
        <v/>
      </c>
      <c r="T1946" s="385"/>
      <c r="U1946" s="385"/>
      <c r="V1946" s="385"/>
      <c r="W1946" s="385" t="s">
        <v>4710</v>
      </c>
      <c r="X1946" s="1"/>
    </row>
    <row r="1947" spans="1:24">
      <c r="A1947" s="385" t="s">
        <v>49</v>
      </c>
      <c r="B1947" s="385" t="s">
        <v>440</v>
      </c>
      <c r="C1947" s="385" t="s">
        <v>2282</v>
      </c>
      <c r="D1947" s="385" t="s">
        <v>88</v>
      </c>
      <c r="E1947" s="385" t="s">
        <v>377</v>
      </c>
      <c r="F1947" s="385"/>
      <c r="G1947" s="385" t="s">
        <v>128</v>
      </c>
      <c r="H1947" s="385"/>
      <c r="I1947" s="385"/>
      <c r="J1947" s="30"/>
      <c r="K1947" s="385"/>
      <c r="L1947" s="385"/>
      <c r="M1947" s="385"/>
      <c r="N1947" s="385"/>
      <c r="O1947" s="385"/>
      <c r="P1947" s="385" t="str">
        <f>IFERROR(
    IF(
        OR(ISBLANK(I1947), ISBLANK(L1947)),
        "",
        MAX(
            1,
            IF(
                NETWORKDAYS(I1947, L1947, Holiday_Dates) &lt;= 0,
                1,
                NETWORKDAYS(I1947, L1947, Holiday_Dates) - IF(I1947 = L1947, 0, 1)
            )
        )
    ),
    ""
)</f>
        <v/>
      </c>
      <c r="Q1947" s="385" t="str">
        <f>IF(
    OR(ISBLANK(L1947), ISBLANK(M1947)),
    "",
    MAX(
        1,
        IF(
            NETWORKDAYS(L1947, M1947, Holiday_Dates) &lt;= 0,
            1,
            NETWORKDAYS(L1947, M1947, Holiday_Dates) - IF(L1947 = M1947, 0, 1)
        )
    )
)</f>
        <v/>
      </c>
      <c r="R1947" s="385" t="str">
        <f>IFERROR(
    IF(
        OR(ISBLANK(N1947), AND(ISBLANK(L1947), ISBLANK(M1947))),
        "",
        MAX(
            1,
            IF(
                NETWORKDAYS(IF(NOT(ISBLANK(M1947)), M1947, L1947), N1947, Holiday_Dates) &lt;= 0,
                1,
                NETWORKDAYS(IF(NOT(ISBLANK(M1947)), M1947, L1947), N1947, Holiday_Dates)
                - IF(IF(NOT(ISBLANK(M1947)), M1947, L1947) = N1947, 0, 1)
            )
        )
    ),
    ""
)</f>
        <v/>
      </c>
      <c r="S1947" s="385" t="str">
        <f>IFERROR(
    IF(
        OR(ISBLANK(N1947), ISBLANK(O1947)),
        "",
        MAX(
            1,
            IF(
                NETWORKDAYS(N1947, O1947, Holiday_Dates) &lt;= 0,
                1,
                NETWORKDAYS(N1947, O1947, Holiday_Dates) - IF(N1947 = O1947, 0, 1)
            )
        )
    ),
    ""
)</f>
        <v/>
      </c>
      <c r="T1947" s="385"/>
      <c r="U1947" s="385"/>
      <c r="V1947" s="385"/>
      <c r="W1947" s="385" t="s">
        <v>4710</v>
      </c>
      <c r="X1947" s="1"/>
    </row>
    <row r="1948" spans="1:24">
      <c r="A1948" s="385" t="s">
        <v>49</v>
      </c>
      <c r="B1948" s="385" t="s">
        <v>440</v>
      </c>
      <c r="C1948" s="385" t="s">
        <v>1656</v>
      </c>
      <c r="D1948" s="385" t="s">
        <v>88</v>
      </c>
      <c r="E1948" s="385" t="s">
        <v>377</v>
      </c>
      <c r="F1948" s="385"/>
      <c r="G1948" s="385" t="s">
        <v>128</v>
      </c>
      <c r="H1948" s="385"/>
      <c r="I1948" s="385"/>
      <c r="J1948" s="30"/>
      <c r="K1948" s="385"/>
      <c r="L1948" s="385"/>
      <c r="M1948" s="385"/>
      <c r="N1948" s="385"/>
      <c r="O1948" s="385"/>
      <c r="P1948" s="385" t="str">
        <f>IFERROR(
    IF(
        OR(ISBLANK(I1948), ISBLANK(L1948)),
        "",
        MAX(
            1,
            IF(
                NETWORKDAYS(I1948, L1948, Holiday_Dates) &lt;= 0,
                1,
                NETWORKDAYS(I1948, L1948, Holiday_Dates) - IF(I1948 = L1948, 0, 1)
            )
        )
    ),
    ""
)</f>
        <v/>
      </c>
      <c r="Q1948" s="385" t="str">
        <f>IF(
    OR(ISBLANK(L1948), ISBLANK(M1948)),
    "",
    MAX(
        1,
        IF(
            NETWORKDAYS(L1948, M1948, Holiday_Dates) &lt;= 0,
            1,
            NETWORKDAYS(L1948, M1948, Holiday_Dates) - IF(L1948 = M1948, 0, 1)
        )
    )
)</f>
        <v/>
      </c>
      <c r="R1948" s="385" t="str">
        <f>IFERROR(
    IF(
        OR(ISBLANK(N1948), AND(ISBLANK(L1948), ISBLANK(M1948))),
        "",
        MAX(
            1,
            IF(
                NETWORKDAYS(IF(NOT(ISBLANK(M1948)), M1948, L1948), N1948, Holiday_Dates) &lt;= 0,
                1,
                NETWORKDAYS(IF(NOT(ISBLANK(M1948)), M1948, L1948), N1948, Holiday_Dates)
                - IF(IF(NOT(ISBLANK(M1948)), M1948, L1948) = N1948, 0, 1)
            )
        )
    ),
    ""
)</f>
        <v/>
      </c>
      <c r="S1948" s="385" t="str">
        <f>IFERROR(
    IF(
        OR(ISBLANK(N1948), ISBLANK(O1948)),
        "",
        MAX(
            1,
            IF(
                NETWORKDAYS(N1948, O1948, Holiday_Dates) &lt;= 0,
                1,
                NETWORKDAYS(N1948, O1948, Holiday_Dates) - IF(N1948 = O1948, 0, 1)
            )
        )
    ),
    ""
)</f>
        <v/>
      </c>
      <c r="T1948" s="385"/>
      <c r="U1948" s="385"/>
      <c r="V1948" s="385"/>
      <c r="W1948" s="385" t="s">
        <v>4710</v>
      </c>
      <c r="X1948" s="1"/>
    </row>
    <row r="1949" spans="1:24">
      <c r="A1949" s="385" t="s">
        <v>49</v>
      </c>
      <c r="B1949" s="385" t="s">
        <v>440</v>
      </c>
      <c r="C1949" s="385" t="s">
        <v>2665</v>
      </c>
      <c r="D1949" s="385" t="s">
        <v>88</v>
      </c>
      <c r="E1949" s="385" t="s">
        <v>377</v>
      </c>
      <c r="F1949" s="385"/>
      <c r="G1949" s="385" t="s">
        <v>128</v>
      </c>
      <c r="H1949" s="385"/>
      <c r="I1949" s="385"/>
      <c r="J1949" s="30"/>
      <c r="K1949" s="385"/>
      <c r="L1949" s="385"/>
      <c r="M1949" s="385"/>
      <c r="N1949" s="385"/>
      <c r="O1949" s="385"/>
      <c r="P1949" s="385" t="str">
        <f>IFERROR(
    IF(
        OR(ISBLANK(I1949), ISBLANK(L1949)),
        "",
        MAX(
            1,
            IF(
                NETWORKDAYS(I1949, L1949, Holiday_Dates) &lt;= 0,
                1,
                NETWORKDAYS(I1949, L1949, Holiday_Dates) - IF(I1949 = L1949, 0, 1)
            )
        )
    ),
    ""
)</f>
        <v/>
      </c>
      <c r="Q1949" s="385" t="str">
        <f>IF(
    OR(ISBLANK(L1949), ISBLANK(M1949)),
    "",
    MAX(
        1,
        IF(
            NETWORKDAYS(L1949, M1949, Holiday_Dates) &lt;= 0,
            1,
            NETWORKDAYS(L1949, M1949, Holiday_Dates) - IF(L1949 = M1949, 0, 1)
        )
    )
)</f>
        <v/>
      </c>
      <c r="R1949" s="385" t="str">
        <f>IFERROR(
    IF(
        OR(ISBLANK(N1949), AND(ISBLANK(L1949), ISBLANK(M1949))),
        "",
        MAX(
            1,
            IF(
                NETWORKDAYS(IF(NOT(ISBLANK(M1949)), M1949, L1949), N1949, Holiday_Dates) &lt;= 0,
                1,
                NETWORKDAYS(IF(NOT(ISBLANK(M1949)), M1949, L1949), N1949, Holiday_Dates)
                - IF(IF(NOT(ISBLANK(M1949)), M1949, L1949) = N1949, 0, 1)
            )
        )
    ),
    ""
)</f>
        <v/>
      </c>
      <c r="S1949" s="385" t="str">
        <f>IFERROR(
    IF(
        OR(ISBLANK(N1949), ISBLANK(O1949)),
        "",
        MAX(
            1,
            IF(
                NETWORKDAYS(N1949, O1949, Holiday_Dates) &lt;= 0,
                1,
                NETWORKDAYS(N1949, O1949, Holiday_Dates) - IF(N1949 = O1949, 0, 1)
            )
        )
    ),
    ""
)</f>
        <v/>
      </c>
      <c r="T1949" s="385"/>
      <c r="U1949" s="385"/>
      <c r="V1949" s="385"/>
      <c r="W1949" s="385" t="s">
        <v>4710</v>
      </c>
      <c r="X1949" s="1"/>
    </row>
    <row r="1950" spans="1:24">
      <c r="A1950" s="385" t="s">
        <v>49</v>
      </c>
      <c r="B1950" s="385" t="s">
        <v>440</v>
      </c>
      <c r="C1950" s="385" t="s">
        <v>2666</v>
      </c>
      <c r="D1950" s="385" t="s">
        <v>88</v>
      </c>
      <c r="E1950" s="385" t="s">
        <v>377</v>
      </c>
      <c r="F1950" s="385"/>
      <c r="G1950" s="385" t="s">
        <v>128</v>
      </c>
      <c r="H1950" s="385"/>
      <c r="I1950" s="385"/>
      <c r="J1950" s="30"/>
      <c r="K1950" s="385"/>
      <c r="L1950" s="385"/>
      <c r="M1950" s="385"/>
      <c r="N1950" s="385"/>
      <c r="O1950" s="385"/>
      <c r="P1950" s="385" t="str">
        <f>IFERROR(
    IF(
        OR(ISBLANK(I1950), ISBLANK(L1950)),
        "",
        MAX(
            1,
            IF(
                NETWORKDAYS(I1950, L1950, Holiday_Dates) &lt;= 0,
                1,
                NETWORKDAYS(I1950, L1950, Holiday_Dates) - IF(I1950 = L1950, 0, 1)
            )
        )
    ),
    ""
)</f>
        <v/>
      </c>
      <c r="Q1950" s="385" t="str">
        <f>IF(
    OR(ISBLANK(L1950), ISBLANK(M1950)),
    "",
    MAX(
        1,
        IF(
            NETWORKDAYS(L1950, M1950, Holiday_Dates) &lt;= 0,
            1,
            NETWORKDAYS(L1950, M1950, Holiday_Dates) - IF(L1950 = M1950, 0, 1)
        )
    )
)</f>
        <v/>
      </c>
      <c r="R1950" s="385" t="str">
        <f>IFERROR(
    IF(
        OR(ISBLANK(N1950), AND(ISBLANK(L1950), ISBLANK(M1950))),
        "",
        MAX(
            1,
            IF(
                NETWORKDAYS(IF(NOT(ISBLANK(M1950)), M1950, L1950), N1950, Holiday_Dates) &lt;= 0,
                1,
                NETWORKDAYS(IF(NOT(ISBLANK(M1950)), M1950, L1950), N1950, Holiday_Dates)
                - IF(IF(NOT(ISBLANK(M1950)), M1950, L1950) = N1950, 0, 1)
            )
        )
    ),
    ""
)</f>
        <v/>
      </c>
      <c r="S1950" s="385" t="str">
        <f>IFERROR(
    IF(
        OR(ISBLANK(N1950), ISBLANK(O1950)),
        "",
        MAX(
            1,
            IF(
                NETWORKDAYS(N1950, O1950, Holiday_Dates) &lt;= 0,
                1,
                NETWORKDAYS(N1950, O1950, Holiday_Dates) - IF(N1950 = O1950, 0, 1)
            )
        )
    ),
    ""
)</f>
        <v/>
      </c>
      <c r="T1950" s="385"/>
      <c r="U1950" s="385"/>
      <c r="V1950" s="385"/>
      <c r="W1950" s="385" t="s">
        <v>4710</v>
      </c>
      <c r="X1950" s="1"/>
    </row>
    <row r="1951" spans="1:24">
      <c r="A1951" s="385" t="s">
        <v>49</v>
      </c>
      <c r="B1951" s="385" t="s">
        <v>440</v>
      </c>
      <c r="C1951" s="385" t="s">
        <v>2667</v>
      </c>
      <c r="D1951" s="385" t="s">
        <v>88</v>
      </c>
      <c r="E1951" s="385" t="s">
        <v>377</v>
      </c>
      <c r="F1951" s="385"/>
      <c r="G1951" s="385" t="s">
        <v>128</v>
      </c>
      <c r="H1951" s="385"/>
      <c r="I1951" s="385"/>
      <c r="J1951" s="30"/>
      <c r="K1951" s="385"/>
      <c r="L1951" s="385"/>
      <c r="M1951" s="385"/>
      <c r="N1951" s="385"/>
      <c r="O1951" s="385"/>
      <c r="P1951" s="385" t="str">
        <f>IFERROR(
    IF(
        OR(ISBLANK(I1951), ISBLANK(L1951)),
        "",
        MAX(
            1,
            IF(
                NETWORKDAYS(I1951, L1951, Holiday_Dates) &lt;= 0,
                1,
                NETWORKDAYS(I1951, L1951, Holiday_Dates) - IF(I1951 = L1951, 0, 1)
            )
        )
    ),
    ""
)</f>
        <v/>
      </c>
      <c r="Q1951" s="385" t="str">
        <f>IF(
    OR(ISBLANK(L1951), ISBLANK(M1951)),
    "",
    MAX(
        1,
        IF(
            NETWORKDAYS(L1951, M1951, Holiday_Dates) &lt;= 0,
            1,
            NETWORKDAYS(L1951, M1951, Holiday_Dates) - IF(L1951 = M1951, 0, 1)
        )
    )
)</f>
        <v/>
      </c>
      <c r="R1951" s="385" t="str">
        <f>IFERROR(
    IF(
        OR(ISBLANK(N1951), AND(ISBLANK(L1951), ISBLANK(M1951))),
        "",
        MAX(
            1,
            IF(
                NETWORKDAYS(IF(NOT(ISBLANK(M1951)), M1951, L1951), N1951, Holiday_Dates) &lt;= 0,
                1,
                NETWORKDAYS(IF(NOT(ISBLANK(M1951)), M1951, L1951), N1951, Holiday_Dates)
                - IF(IF(NOT(ISBLANK(M1951)), M1951, L1951) = N1951, 0, 1)
            )
        )
    ),
    ""
)</f>
        <v/>
      </c>
      <c r="S1951" s="385" t="str">
        <f>IFERROR(
    IF(
        OR(ISBLANK(N1951), ISBLANK(O1951)),
        "",
        MAX(
            1,
            IF(
                NETWORKDAYS(N1951, O1951, Holiday_Dates) &lt;= 0,
                1,
                NETWORKDAYS(N1951, O1951, Holiday_Dates) - IF(N1951 = O1951, 0, 1)
            )
        )
    ),
    ""
)</f>
        <v/>
      </c>
      <c r="T1951" s="385"/>
      <c r="U1951" s="385"/>
      <c r="V1951" s="385"/>
      <c r="W1951" s="385" t="s">
        <v>4710</v>
      </c>
      <c r="X1951" s="1"/>
    </row>
    <row r="1952" spans="1:24">
      <c r="A1952" s="385" t="s">
        <v>49</v>
      </c>
      <c r="B1952" s="385" t="s">
        <v>440</v>
      </c>
      <c r="C1952" s="385" t="s">
        <v>2057</v>
      </c>
      <c r="D1952" s="385" t="s">
        <v>88</v>
      </c>
      <c r="E1952" s="385" t="s">
        <v>377</v>
      </c>
      <c r="F1952" s="385"/>
      <c r="G1952" s="385" t="s">
        <v>128</v>
      </c>
      <c r="H1952" s="385"/>
      <c r="I1952" s="385"/>
      <c r="J1952" s="30"/>
      <c r="K1952" s="385"/>
      <c r="L1952" s="385"/>
      <c r="M1952" s="385"/>
      <c r="N1952" s="385"/>
      <c r="O1952" s="385"/>
      <c r="P1952" s="385" t="str">
        <f>IFERROR(
    IF(
        OR(ISBLANK(I1952), ISBLANK(L1952)),
        "",
        MAX(
            1,
            IF(
                NETWORKDAYS(I1952, L1952, Holiday_Dates) &lt;= 0,
                1,
                NETWORKDAYS(I1952, L1952, Holiday_Dates) - IF(I1952 = L1952, 0, 1)
            )
        )
    ),
    ""
)</f>
        <v/>
      </c>
      <c r="Q1952" s="385" t="str">
        <f>IF(
    OR(ISBLANK(L1952), ISBLANK(M1952)),
    "",
    MAX(
        1,
        IF(
            NETWORKDAYS(L1952, M1952, Holiday_Dates) &lt;= 0,
            1,
            NETWORKDAYS(L1952, M1952, Holiday_Dates) - IF(L1952 = M1952, 0, 1)
        )
    )
)</f>
        <v/>
      </c>
      <c r="R1952" s="385" t="str">
        <f>IFERROR(
    IF(
        OR(ISBLANK(N1952), AND(ISBLANK(L1952), ISBLANK(M1952))),
        "",
        MAX(
            1,
            IF(
                NETWORKDAYS(IF(NOT(ISBLANK(M1952)), M1952, L1952), N1952, Holiday_Dates) &lt;= 0,
                1,
                NETWORKDAYS(IF(NOT(ISBLANK(M1952)), M1952, L1952), N1952, Holiday_Dates)
                - IF(IF(NOT(ISBLANK(M1952)), M1952, L1952) = N1952, 0, 1)
            )
        )
    ),
    ""
)</f>
        <v/>
      </c>
      <c r="S1952" s="385" t="str">
        <f>IFERROR(
    IF(
        OR(ISBLANK(N1952), ISBLANK(O1952)),
        "",
        MAX(
            1,
            IF(
                NETWORKDAYS(N1952, O1952, Holiday_Dates) &lt;= 0,
                1,
                NETWORKDAYS(N1952, O1952, Holiday_Dates) - IF(N1952 = O1952, 0, 1)
            )
        )
    ),
    ""
)</f>
        <v/>
      </c>
      <c r="T1952" s="385"/>
      <c r="U1952" s="385"/>
      <c r="V1952" s="385"/>
      <c r="W1952" s="385" t="s">
        <v>4710</v>
      </c>
      <c r="X1952" s="1"/>
    </row>
    <row r="1953" spans="1:24">
      <c r="A1953" s="385" t="s">
        <v>51</v>
      </c>
      <c r="B1953" s="385" t="s">
        <v>1377</v>
      </c>
      <c r="C1953" s="385" t="s">
        <v>3572</v>
      </c>
      <c r="D1953" s="385" t="s">
        <v>88</v>
      </c>
      <c r="E1953" s="385"/>
      <c r="F1953" s="385"/>
      <c r="G1953" s="385"/>
      <c r="H1953" s="385">
        <v>2024</v>
      </c>
      <c r="I1953" s="386">
        <v>45573</v>
      </c>
      <c r="J1953" s="30"/>
      <c r="K1953" s="385"/>
      <c r="L1953" s="385"/>
      <c r="M1953" s="385"/>
      <c r="N1953" s="385"/>
      <c r="O1953" s="385"/>
      <c r="P1953" s="385" t="str">
        <f>IFERROR(
    IF(
        OR(ISBLANK(I1953), ISBLANK(L1953)),
        "",
        MAX(
            1,
            IF(
                NETWORKDAYS(I1953, L1953, Holiday_Dates) &lt;= 0,
                1,
                NETWORKDAYS(I1953, L1953, Holiday_Dates) - IF(I1953 = L1953, 0, 1)
            )
        )
    ),
    ""
)</f>
        <v/>
      </c>
      <c r="Q1953" s="385" t="str">
        <f>IF(
    OR(ISBLANK(L1953), ISBLANK(M1953)),
    "",
    MAX(
        1,
        IF(
            NETWORKDAYS(L1953, M1953, Holiday_Dates) &lt;= 0,
            1,
            NETWORKDAYS(L1953, M1953, Holiday_Dates) - IF(L1953 = M1953, 0, 1)
        )
    )
)</f>
        <v/>
      </c>
      <c r="R1953" s="385" t="str">
        <f>IFERROR(
    IF(
        OR(ISBLANK(N1953), AND(ISBLANK(L1953), ISBLANK(M1953))),
        "",
        MAX(
            1,
            IF(
                NETWORKDAYS(IF(NOT(ISBLANK(M1953)), M1953, L1953), N1953, Holiday_Dates) &lt;= 0,
                1,
                NETWORKDAYS(IF(NOT(ISBLANK(M1953)), M1953, L1953), N1953, Holiday_Dates)
                - IF(IF(NOT(ISBLANK(M1953)), M1953, L1953) = N1953, 0, 1)
            )
        )
    ),
    ""
)</f>
        <v/>
      </c>
      <c r="S1953" s="385" t="str">
        <f>IFERROR(
    IF(
        OR(ISBLANK(N1953), ISBLANK(O1953)),
        "",
        MAX(
            1,
            IF(
                NETWORKDAYS(N1953, O1953, Holiday_Dates) &lt;= 0,
                1,
                NETWORKDAYS(N1953, O1953, Holiday_Dates) - IF(N1953 = O1953, 0, 1)
            )
        )
    ),
    ""
)</f>
        <v/>
      </c>
      <c r="T1953" s="385"/>
      <c r="U1953" s="385" t="s">
        <v>4</v>
      </c>
      <c r="V1953" s="385" t="s">
        <v>101</v>
      </c>
      <c r="W1953" s="385" t="s">
        <v>1436</v>
      </c>
      <c r="X1953" s="1"/>
    </row>
    <row r="1954" spans="1:24">
      <c r="A1954" s="385" t="s">
        <v>49</v>
      </c>
      <c r="B1954" s="385" t="s">
        <v>440</v>
      </c>
      <c r="C1954" s="385" t="s">
        <v>2668</v>
      </c>
      <c r="D1954" s="385" t="s">
        <v>88</v>
      </c>
      <c r="E1954" s="385" t="s">
        <v>377</v>
      </c>
      <c r="F1954" s="385"/>
      <c r="G1954" s="385" t="s">
        <v>128</v>
      </c>
      <c r="H1954" s="385"/>
      <c r="I1954" s="385"/>
      <c r="J1954" s="30"/>
      <c r="K1954" s="385"/>
      <c r="L1954" s="385"/>
      <c r="M1954" s="385"/>
      <c r="N1954" s="385"/>
      <c r="O1954" s="385"/>
      <c r="P1954" s="385" t="str">
        <f>IFERROR(
    IF(
        OR(ISBLANK(I1954), ISBLANK(L1954)),
        "",
        MAX(
            1,
            IF(
                NETWORKDAYS(I1954, L1954, Holiday_Dates) &lt;= 0,
                1,
                NETWORKDAYS(I1954, L1954, Holiday_Dates) - IF(I1954 = L1954, 0, 1)
            )
        )
    ),
    ""
)</f>
        <v/>
      </c>
      <c r="Q1954" s="385" t="str">
        <f>IF(
    OR(ISBLANK(L1954), ISBLANK(M1954)),
    "",
    MAX(
        1,
        IF(
            NETWORKDAYS(L1954, M1954, Holiday_Dates) &lt;= 0,
            1,
            NETWORKDAYS(L1954, M1954, Holiday_Dates) - IF(L1954 = M1954, 0, 1)
        )
    )
)</f>
        <v/>
      </c>
      <c r="R1954" s="385" t="str">
        <f>IFERROR(
    IF(
        OR(ISBLANK(N1954), AND(ISBLANK(L1954), ISBLANK(M1954))),
        "",
        MAX(
            1,
            IF(
                NETWORKDAYS(IF(NOT(ISBLANK(M1954)), M1954, L1954), N1954, Holiday_Dates) &lt;= 0,
                1,
                NETWORKDAYS(IF(NOT(ISBLANK(M1954)), M1954, L1954), N1954, Holiday_Dates)
                - IF(IF(NOT(ISBLANK(M1954)), M1954, L1954) = N1954, 0, 1)
            )
        )
    ),
    ""
)</f>
        <v/>
      </c>
      <c r="S1954" s="385" t="str">
        <f>IFERROR(
    IF(
        OR(ISBLANK(N1954), ISBLANK(O1954)),
        "",
        MAX(
            1,
            IF(
                NETWORKDAYS(N1954, O1954, Holiday_Dates) &lt;= 0,
                1,
                NETWORKDAYS(N1954, O1954, Holiday_Dates) - IF(N1954 = O1954, 0, 1)
            )
        )
    ),
    ""
)</f>
        <v/>
      </c>
      <c r="T1954" s="385"/>
      <c r="U1954" s="385"/>
      <c r="V1954" s="385"/>
      <c r="W1954" s="385" t="s">
        <v>4710</v>
      </c>
      <c r="X1954" s="1"/>
    </row>
    <row r="1955" spans="1:24">
      <c r="A1955" s="385" t="s">
        <v>49</v>
      </c>
      <c r="B1955" s="385" t="s">
        <v>440</v>
      </c>
      <c r="C1955" s="385" t="s">
        <v>2300</v>
      </c>
      <c r="D1955" s="385" t="s">
        <v>88</v>
      </c>
      <c r="E1955" s="385" t="s">
        <v>377</v>
      </c>
      <c r="F1955" s="385"/>
      <c r="G1955" s="385" t="s">
        <v>128</v>
      </c>
      <c r="H1955" s="385"/>
      <c r="I1955" s="385"/>
      <c r="J1955" s="30"/>
      <c r="K1955" s="385"/>
      <c r="L1955" s="385"/>
      <c r="M1955" s="385"/>
      <c r="N1955" s="385"/>
      <c r="O1955" s="385"/>
      <c r="P1955" s="385" t="str">
        <f>IFERROR(
    IF(
        OR(ISBLANK(I1955), ISBLANK(L1955)),
        "",
        MAX(
            1,
            IF(
                NETWORKDAYS(I1955, L1955, Holiday_Dates) &lt;= 0,
                1,
                NETWORKDAYS(I1955, L1955, Holiday_Dates) - IF(I1955 = L1955, 0, 1)
            )
        )
    ),
    ""
)</f>
        <v/>
      </c>
      <c r="Q1955" s="385" t="str">
        <f>IF(
    OR(ISBLANK(L1955), ISBLANK(M1955)),
    "",
    MAX(
        1,
        IF(
            NETWORKDAYS(L1955, M1955, Holiday_Dates) &lt;= 0,
            1,
            NETWORKDAYS(L1955, M1955, Holiday_Dates) - IF(L1955 = M1955, 0, 1)
        )
    )
)</f>
        <v/>
      </c>
      <c r="R1955" s="385" t="str">
        <f>IFERROR(
    IF(
        OR(ISBLANK(N1955), AND(ISBLANK(L1955), ISBLANK(M1955))),
        "",
        MAX(
            1,
            IF(
                NETWORKDAYS(IF(NOT(ISBLANK(M1955)), M1955, L1955), N1955, Holiday_Dates) &lt;= 0,
                1,
                NETWORKDAYS(IF(NOT(ISBLANK(M1955)), M1955, L1955), N1955, Holiday_Dates)
                - IF(IF(NOT(ISBLANK(M1955)), M1955, L1955) = N1955, 0, 1)
            )
        )
    ),
    ""
)</f>
        <v/>
      </c>
      <c r="S1955" s="385" t="str">
        <f>IFERROR(
    IF(
        OR(ISBLANK(N1955), ISBLANK(O1955)),
        "",
        MAX(
            1,
            IF(
                NETWORKDAYS(N1955, O1955, Holiday_Dates) &lt;= 0,
                1,
                NETWORKDAYS(N1955, O1955, Holiday_Dates) - IF(N1955 = O1955, 0, 1)
            )
        )
    ),
    ""
)</f>
        <v/>
      </c>
      <c r="T1955" s="385"/>
      <c r="U1955" s="385"/>
      <c r="V1955" s="385"/>
      <c r="W1955" s="385" t="s">
        <v>4710</v>
      </c>
      <c r="X1955" s="1"/>
    </row>
    <row r="1956" spans="1:24">
      <c r="A1956" s="385" t="s">
        <v>49</v>
      </c>
      <c r="B1956" s="385" t="s">
        <v>440</v>
      </c>
      <c r="C1956" s="385" t="s">
        <v>2671</v>
      </c>
      <c r="D1956" s="385" t="s">
        <v>88</v>
      </c>
      <c r="E1956" s="385" t="s">
        <v>377</v>
      </c>
      <c r="F1956" s="385"/>
      <c r="G1956" s="385" t="s">
        <v>128</v>
      </c>
      <c r="H1956" s="385"/>
      <c r="I1956" s="385"/>
      <c r="J1956" s="30"/>
      <c r="K1956" s="385"/>
      <c r="L1956" s="385"/>
      <c r="M1956" s="385"/>
      <c r="N1956" s="385"/>
      <c r="O1956" s="385"/>
      <c r="P1956" s="385" t="str">
        <f>IFERROR(
    IF(
        OR(ISBLANK(I1956), ISBLANK(L1956)),
        "",
        MAX(
            1,
            IF(
                NETWORKDAYS(I1956, L1956, Holiday_Dates) &lt;= 0,
                1,
                NETWORKDAYS(I1956, L1956, Holiday_Dates) - IF(I1956 = L1956, 0, 1)
            )
        )
    ),
    ""
)</f>
        <v/>
      </c>
      <c r="Q1956" s="385" t="str">
        <f>IF(
    OR(ISBLANK(L1956), ISBLANK(M1956)),
    "",
    MAX(
        1,
        IF(
            NETWORKDAYS(L1956, M1956, Holiday_Dates) &lt;= 0,
            1,
            NETWORKDAYS(L1956, M1956, Holiday_Dates) - IF(L1956 = M1956, 0, 1)
        )
    )
)</f>
        <v/>
      </c>
      <c r="R1956" s="385" t="str">
        <f>IFERROR(
    IF(
        OR(ISBLANK(N1956), AND(ISBLANK(L1956), ISBLANK(M1956))),
        "",
        MAX(
            1,
            IF(
                NETWORKDAYS(IF(NOT(ISBLANK(M1956)), M1956, L1956), N1956, Holiday_Dates) &lt;= 0,
                1,
                NETWORKDAYS(IF(NOT(ISBLANK(M1956)), M1956, L1956), N1956, Holiday_Dates)
                - IF(IF(NOT(ISBLANK(M1956)), M1956, L1956) = N1956, 0, 1)
            )
        )
    ),
    ""
)</f>
        <v/>
      </c>
      <c r="S1956" s="385" t="str">
        <f>IFERROR(
    IF(
        OR(ISBLANK(N1956), ISBLANK(O1956)),
        "",
        MAX(
            1,
            IF(
                NETWORKDAYS(N1956, O1956, Holiday_Dates) &lt;= 0,
                1,
                NETWORKDAYS(N1956, O1956, Holiday_Dates) - IF(N1956 = O1956, 0, 1)
            )
        )
    ),
    ""
)</f>
        <v/>
      </c>
      <c r="T1956" s="385"/>
      <c r="U1956" s="385"/>
      <c r="V1956" s="385"/>
      <c r="W1956" s="385" t="s">
        <v>4710</v>
      </c>
      <c r="X1956" s="1"/>
    </row>
    <row r="1957" spans="1:24">
      <c r="A1957" s="385" t="s">
        <v>49</v>
      </c>
      <c r="B1957" s="385" t="s">
        <v>378</v>
      </c>
      <c r="C1957" s="385" t="s">
        <v>675</v>
      </c>
      <c r="D1957" s="385" t="s">
        <v>88</v>
      </c>
      <c r="E1957" s="385" t="s">
        <v>377</v>
      </c>
      <c r="F1957" s="385"/>
      <c r="G1957" s="385" t="s">
        <v>128</v>
      </c>
      <c r="H1957" s="385"/>
      <c r="I1957" s="385"/>
      <c r="J1957" s="30"/>
      <c r="K1957" s="385"/>
      <c r="L1957" s="385"/>
      <c r="M1957" s="385"/>
      <c r="N1957" s="385"/>
      <c r="O1957" s="385"/>
      <c r="P1957" s="385" t="str">
        <f>IFERROR(
    IF(
        OR(ISBLANK(I1957), ISBLANK(L1957)),
        "",
        MAX(
            1,
            IF(
                NETWORKDAYS(I1957, L1957, Holiday_Dates) &lt;= 0,
                1,
                NETWORKDAYS(I1957, L1957, Holiday_Dates) - IF(I1957 = L1957, 0, 1)
            )
        )
    ),
    ""
)</f>
        <v/>
      </c>
      <c r="Q1957" s="385" t="str">
        <f>IF(
    OR(ISBLANK(L1957), ISBLANK(M1957)),
    "",
    MAX(
        1,
        IF(
            NETWORKDAYS(L1957, M1957, Holiday_Dates) &lt;= 0,
            1,
            NETWORKDAYS(L1957, M1957, Holiday_Dates) - IF(L1957 = M1957, 0, 1)
        )
    )
)</f>
        <v/>
      </c>
      <c r="R1957" s="385" t="str">
        <f>IFERROR(
    IF(
        OR(ISBLANK(N1957), AND(ISBLANK(L1957), ISBLANK(M1957))),
        "",
        MAX(
            1,
            IF(
                NETWORKDAYS(IF(NOT(ISBLANK(M1957)), M1957, L1957), N1957, Holiday_Dates) &lt;= 0,
                1,
                NETWORKDAYS(IF(NOT(ISBLANK(M1957)), M1957, L1957), N1957, Holiday_Dates)
                - IF(IF(NOT(ISBLANK(M1957)), M1957, L1957) = N1957, 0, 1)
            )
        )
    ),
    ""
)</f>
        <v/>
      </c>
      <c r="S1957" s="385" t="str">
        <f>IFERROR(
    IF(
        OR(ISBLANK(N1957), ISBLANK(O1957)),
        "",
        MAX(
            1,
            IF(
                NETWORKDAYS(N1957, O1957, Holiday_Dates) &lt;= 0,
                1,
                NETWORKDAYS(N1957, O1957, Holiday_Dates) - IF(N1957 = O1957, 0, 1)
            )
        )
    ),
    ""
)</f>
        <v/>
      </c>
      <c r="T1957" s="385"/>
      <c r="U1957" s="385"/>
      <c r="V1957" s="385"/>
      <c r="W1957" s="385" t="s">
        <v>4710</v>
      </c>
      <c r="X1957" s="1"/>
    </row>
    <row r="1958" spans="1:24">
      <c r="A1958" s="385" t="s">
        <v>51</v>
      </c>
      <c r="B1958" s="385" t="s">
        <v>1377</v>
      </c>
      <c r="C1958" s="385" t="s">
        <v>3771</v>
      </c>
      <c r="D1958" s="385" t="s">
        <v>88</v>
      </c>
      <c r="E1958" s="385"/>
      <c r="F1958" s="385"/>
      <c r="G1958" s="385"/>
      <c r="H1958" s="385">
        <v>2025</v>
      </c>
      <c r="I1958" s="386">
        <v>45730</v>
      </c>
      <c r="J1958" s="30" t="s">
        <v>5435</v>
      </c>
      <c r="K1958" s="385"/>
      <c r="L1958" s="385"/>
      <c r="M1958" s="385"/>
      <c r="N1958" s="385"/>
      <c r="O1958" s="385"/>
      <c r="P1958" s="385" t="str">
        <f>IFERROR(
    IF(
        OR(ISBLANK(I1958), ISBLANK(L1958)),
        "",
        MAX(
            1,
            IF(
                NETWORKDAYS(I1958, L1958, Holiday_Dates) &lt;= 0,
                1,
                NETWORKDAYS(I1958, L1958, Holiday_Dates) - IF(I1958 = L1958, 0, 1)
            )
        )
    ),
    ""
)</f>
        <v/>
      </c>
      <c r="Q1958" s="385" t="str">
        <f>IF(
    OR(ISBLANK(L1958), ISBLANK(M1958)),
    "",
    MAX(
        1,
        IF(
            NETWORKDAYS(L1958, M1958, Holiday_Dates) &lt;= 0,
            1,
            NETWORKDAYS(L1958, M1958, Holiday_Dates) - IF(L1958 = M1958, 0, 1)
        )
    )
)</f>
        <v/>
      </c>
      <c r="R1958" s="385" t="str">
        <f>IFERROR(
    IF(
        OR(ISBLANK(N1958), AND(ISBLANK(L1958), ISBLANK(M1958))),
        "",
        MAX(
            1,
            IF(
                NETWORKDAYS(IF(NOT(ISBLANK(M1958)), M1958, L1958), N1958, Holiday_Dates) &lt;= 0,
                1,
                NETWORKDAYS(IF(NOT(ISBLANK(M1958)), M1958, L1958), N1958, Holiday_Dates)
                - IF(IF(NOT(ISBLANK(M1958)), M1958, L1958) = N1958, 0, 1)
            )
        )
    ),
    ""
)</f>
        <v/>
      </c>
      <c r="S1958" s="385" t="str">
        <f>IFERROR(
    IF(
        OR(ISBLANK(N1958), ISBLANK(O1958)),
        "",
        MAX(
            1,
            IF(
                NETWORKDAYS(N1958, O1958, Holiday_Dates) &lt;= 0,
                1,
                NETWORKDAYS(N1958, O1958, Holiday_Dates) - IF(N1958 = O1958, 0, 1)
            )
        )
    ),
    ""
)</f>
        <v/>
      </c>
      <c r="T1958" s="385"/>
      <c r="U1958" s="385" t="s">
        <v>672</v>
      </c>
      <c r="V1958" s="385" t="s">
        <v>101</v>
      </c>
      <c r="W1958" s="385" t="s">
        <v>1436</v>
      </c>
      <c r="X1958" s="1"/>
    </row>
    <row r="1959" spans="1:24">
      <c r="A1959" s="385" t="s">
        <v>49</v>
      </c>
      <c r="B1959" s="385" t="s">
        <v>378</v>
      </c>
      <c r="C1959" s="385" t="s">
        <v>2677</v>
      </c>
      <c r="D1959" s="385" t="s">
        <v>88</v>
      </c>
      <c r="E1959" s="385" t="s">
        <v>377</v>
      </c>
      <c r="F1959" s="385"/>
      <c r="G1959" s="385" t="s">
        <v>128</v>
      </c>
      <c r="H1959" s="385"/>
      <c r="I1959" s="385"/>
      <c r="J1959" s="30"/>
      <c r="K1959" s="385"/>
      <c r="L1959" s="385"/>
      <c r="M1959" s="385"/>
      <c r="N1959" s="385"/>
      <c r="O1959" s="385"/>
      <c r="P1959" s="385" t="str">
        <f>IFERROR(
    IF(
        OR(ISBLANK(I1959), ISBLANK(L1959)),
        "",
        MAX(
            1,
            IF(
                NETWORKDAYS(I1959, L1959, Holiday_Dates) &lt;= 0,
                1,
                NETWORKDAYS(I1959, L1959, Holiday_Dates) - IF(I1959 = L1959, 0, 1)
            )
        )
    ),
    ""
)</f>
        <v/>
      </c>
      <c r="Q1959" s="385" t="str">
        <f>IF(
    OR(ISBLANK(L1959), ISBLANK(M1959)),
    "",
    MAX(
        1,
        IF(
            NETWORKDAYS(L1959, M1959, Holiday_Dates) &lt;= 0,
            1,
            NETWORKDAYS(L1959, M1959, Holiday_Dates) - IF(L1959 = M1959, 0, 1)
        )
    )
)</f>
        <v/>
      </c>
      <c r="R1959" s="385" t="str">
        <f>IFERROR(
    IF(
        OR(ISBLANK(N1959), AND(ISBLANK(L1959), ISBLANK(M1959))),
        "",
        MAX(
            1,
            IF(
                NETWORKDAYS(IF(NOT(ISBLANK(M1959)), M1959, L1959), N1959, Holiday_Dates) &lt;= 0,
                1,
                NETWORKDAYS(IF(NOT(ISBLANK(M1959)), M1959, L1959), N1959, Holiday_Dates)
                - IF(IF(NOT(ISBLANK(M1959)), M1959, L1959) = N1959, 0, 1)
            )
        )
    ),
    ""
)</f>
        <v/>
      </c>
      <c r="S1959" s="385" t="str">
        <f>IFERROR(
    IF(
        OR(ISBLANK(N1959), ISBLANK(O1959)),
        "",
        MAX(
            1,
            IF(
                NETWORKDAYS(N1959, O1959, Holiday_Dates) &lt;= 0,
                1,
                NETWORKDAYS(N1959, O1959, Holiday_Dates) - IF(N1959 = O1959, 0, 1)
            )
        )
    ),
    ""
)</f>
        <v/>
      </c>
      <c r="T1959" s="385"/>
      <c r="U1959" s="385"/>
      <c r="V1959" s="385"/>
      <c r="W1959" s="385" t="s">
        <v>4710</v>
      </c>
      <c r="X1959" s="1"/>
    </row>
    <row r="1960" spans="1:24">
      <c r="A1960" s="385" t="s">
        <v>49</v>
      </c>
      <c r="B1960" s="385" t="s">
        <v>378</v>
      </c>
      <c r="C1960" s="385" t="s">
        <v>2681</v>
      </c>
      <c r="D1960" s="385" t="s">
        <v>88</v>
      </c>
      <c r="E1960" s="385" t="s">
        <v>377</v>
      </c>
      <c r="F1960" s="385"/>
      <c r="G1960" s="385" t="s">
        <v>128</v>
      </c>
      <c r="H1960" s="385"/>
      <c r="I1960" s="385"/>
      <c r="J1960" s="30"/>
      <c r="K1960" s="385"/>
      <c r="L1960" s="385"/>
      <c r="M1960" s="385"/>
      <c r="N1960" s="385"/>
      <c r="O1960" s="385"/>
      <c r="P1960" s="385" t="str">
        <f>IFERROR(
    IF(
        OR(ISBLANK(I1960), ISBLANK(L1960)),
        "",
        MAX(
            1,
            IF(
                NETWORKDAYS(I1960, L1960, Holiday_Dates) &lt;= 0,
                1,
                NETWORKDAYS(I1960, L1960, Holiday_Dates) - IF(I1960 = L1960, 0, 1)
            )
        )
    ),
    ""
)</f>
        <v/>
      </c>
      <c r="Q1960" s="385" t="str">
        <f>IF(
    OR(ISBLANK(L1960), ISBLANK(M1960)),
    "",
    MAX(
        1,
        IF(
            NETWORKDAYS(L1960, M1960, Holiday_Dates) &lt;= 0,
            1,
            NETWORKDAYS(L1960, M1960, Holiday_Dates) - IF(L1960 = M1960, 0, 1)
        )
    )
)</f>
        <v/>
      </c>
      <c r="R1960" s="385" t="str">
        <f>IFERROR(
    IF(
        OR(ISBLANK(N1960), AND(ISBLANK(L1960), ISBLANK(M1960))),
        "",
        MAX(
            1,
            IF(
                NETWORKDAYS(IF(NOT(ISBLANK(M1960)), M1960, L1960), N1960, Holiday_Dates) &lt;= 0,
                1,
                NETWORKDAYS(IF(NOT(ISBLANK(M1960)), M1960, L1960), N1960, Holiday_Dates)
                - IF(IF(NOT(ISBLANK(M1960)), M1960, L1960) = N1960, 0, 1)
            )
        )
    ),
    ""
)</f>
        <v/>
      </c>
      <c r="S1960" s="385" t="str">
        <f>IFERROR(
    IF(
        OR(ISBLANK(N1960), ISBLANK(O1960)),
        "",
        MAX(
            1,
            IF(
                NETWORKDAYS(N1960, O1960, Holiday_Dates) &lt;= 0,
                1,
                NETWORKDAYS(N1960, O1960, Holiday_Dates) - IF(N1960 = O1960, 0, 1)
            )
        )
    ),
    ""
)</f>
        <v/>
      </c>
      <c r="T1960" s="385"/>
      <c r="U1960" s="385"/>
      <c r="V1960" s="385"/>
      <c r="W1960" s="385" t="s">
        <v>4710</v>
      </c>
      <c r="X1960" s="1"/>
    </row>
    <row r="1961" spans="1:24">
      <c r="A1961" s="385" t="s">
        <v>51</v>
      </c>
      <c r="B1961" s="385" t="s">
        <v>1377</v>
      </c>
      <c r="C1961" s="385" t="s">
        <v>3835</v>
      </c>
      <c r="D1961" s="385" t="s">
        <v>88</v>
      </c>
      <c r="E1961" s="385"/>
      <c r="F1961" s="385"/>
      <c r="G1961" s="385"/>
      <c r="H1961" s="385">
        <v>2025</v>
      </c>
      <c r="I1961" s="386">
        <v>45779</v>
      </c>
      <c r="J1961" s="30" t="s">
        <v>5436</v>
      </c>
      <c r="K1961" s="385"/>
      <c r="L1961" s="385"/>
      <c r="M1961" s="385"/>
      <c r="N1961" s="385"/>
      <c r="O1961" s="385"/>
      <c r="P1961" s="385" t="str">
        <f>IFERROR(
    IF(
        OR(ISBLANK(I1961), ISBLANK(L1961)),
        "",
        MAX(
            1,
            IF(
                NETWORKDAYS(I1961, L1961, Holiday_Dates) &lt;= 0,
                1,
                NETWORKDAYS(I1961, L1961, Holiday_Dates) - IF(I1961 = L1961, 0, 1)
            )
        )
    ),
    ""
)</f>
        <v/>
      </c>
      <c r="Q1961" s="385" t="str">
        <f>IF(
    OR(ISBLANK(L1961), ISBLANK(M1961)),
    "",
    MAX(
        1,
        IF(
            NETWORKDAYS(L1961, M1961, Holiday_Dates) &lt;= 0,
            1,
            NETWORKDAYS(L1961, M1961, Holiday_Dates) - IF(L1961 = M1961, 0, 1)
        )
    )
)</f>
        <v/>
      </c>
      <c r="R1961" s="385" t="str">
        <f>IFERROR(
    IF(
        OR(ISBLANK(N1961), AND(ISBLANK(L1961), ISBLANK(M1961))),
        "",
        MAX(
            1,
            IF(
                NETWORKDAYS(IF(NOT(ISBLANK(M1961)), M1961, L1961), N1961, Holiday_Dates) &lt;= 0,
                1,
                NETWORKDAYS(IF(NOT(ISBLANK(M1961)), M1961, L1961), N1961, Holiday_Dates)
                - IF(IF(NOT(ISBLANK(M1961)), M1961, L1961) = N1961, 0, 1)
            )
        )
    ),
    ""
)</f>
        <v/>
      </c>
      <c r="S1961" s="385" t="str">
        <f>IFERROR(
    IF(
        OR(ISBLANK(N1961), ISBLANK(O1961)),
        "",
        MAX(
            1,
            IF(
                NETWORKDAYS(N1961, O1961, Holiday_Dates) &lt;= 0,
                1,
                NETWORKDAYS(N1961, O1961, Holiday_Dates) - IF(N1961 = O1961, 0, 1)
            )
        )
    ),
    ""
)</f>
        <v/>
      </c>
      <c r="T1961" s="385"/>
      <c r="U1961" s="385" t="s">
        <v>672</v>
      </c>
      <c r="V1961" s="385" t="s">
        <v>101</v>
      </c>
      <c r="W1961" s="385" t="s">
        <v>1436</v>
      </c>
      <c r="X1961" s="1"/>
    </row>
    <row r="1962" spans="1:24">
      <c r="A1962" s="385" t="s">
        <v>49</v>
      </c>
      <c r="B1962" s="385" t="s">
        <v>378</v>
      </c>
      <c r="C1962" s="385" t="s">
        <v>2551</v>
      </c>
      <c r="D1962" s="385" t="s">
        <v>88</v>
      </c>
      <c r="E1962" s="385" t="s">
        <v>377</v>
      </c>
      <c r="F1962" s="385"/>
      <c r="G1962" s="385" t="s">
        <v>128</v>
      </c>
      <c r="H1962" s="385"/>
      <c r="I1962" s="385"/>
      <c r="J1962" s="30"/>
      <c r="K1962" s="385"/>
      <c r="L1962" s="385"/>
      <c r="M1962" s="385"/>
      <c r="N1962" s="385"/>
      <c r="O1962" s="385"/>
      <c r="P1962" s="385" t="str">
        <f>IFERROR(
    IF(
        OR(ISBLANK(I1962), ISBLANK(L1962)),
        "",
        MAX(
            1,
            IF(
                NETWORKDAYS(I1962, L1962, Holiday_Dates) &lt;= 0,
                1,
                NETWORKDAYS(I1962, L1962, Holiday_Dates) - IF(I1962 = L1962, 0, 1)
            )
        )
    ),
    ""
)</f>
        <v/>
      </c>
      <c r="Q1962" s="385" t="str">
        <f>IF(
    OR(ISBLANK(L1962), ISBLANK(M1962)),
    "",
    MAX(
        1,
        IF(
            NETWORKDAYS(L1962, M1962, Holiday_Dates) &lt;= 0,
            1,
            NETWORKDAYS(L1962, M1962, Holiday_Dates) - IF(L1962 = M1962, 0, 1)
        )
    )
)</f>
        <v/>
      </c>
      <c r="R1962" s="385" t="str">
        <f>IFERROR(
    IF(
        OR(ISBLANK(N1962), AND(ISBLANK(L1962), ISBLANK(M1962))),
        "",
        MAX(
            1,
            IF(
                NETWORKDAYS(IF(NOT(ISBLANK(M1962)), M1962, L1962), N1962, Holiday_Dates) &lt;= 0,
                1,
                NETWORKDAYS(IF(NOT(ISBLANK(M1962)), M1962, L1962), N1962, Holiday_Dates)
                - IF(IF(NOT(ISBLANK(M1962)), M1962, L1962) = N1962, 0, 1)
            )
        )
    ),
    ""
)</f>
        <v/>
      </c>
      <c r="S1962" s="385" t="str">
        <f>IFERROR(
    IF(
        OR(ISBLANK(N1962), ISBLANK(O1962)),
        "",
        MAX(
            1,
            IF(
                NETWORKDAYS(N1962, O1962, Holiday_Dates) &lt;= 0,
                1,
                NETWORKDAYS(N1962, O1962, Holiday_Dates) - IF(N1962 = O1962, 0, 1)
            )
        )
    ),
    ""
)</f>
        <v/>
      </c>
      <c r="T1962" s="385"/>
      <c r="U1962" s="385"/>
      <c r="V1962" s="385"/>
      <c r="W1962" s="385" t="s">
        <v>4710</v>
      </c>
      <c r="X1962" s="1"/>
    </row>
    <row r="1963" spans="1:24">
      <c r="A1963" s="385" t="s">
        <v>49</v>
      </c>
      <c r="B1963" s="385" t="s">
        <v>378</v>
      </c>
      <c r="C1963" s="385" t="s">
        <v>2682</v>
      </c>
      <c r="D1963" s="385" t="s">
        <v>88</v>
      </c>
      <c r="E1963" s="385" t="s">
        <v>377</v>
      </c>
      <c r="F1963" s="385"/>
      <c r="G1963" s="385" t="s">
        <v>128</v>
      </c>
      <c r="H1963" s="385"/>
      <c r="I1963" s="385"/>
      <c r="J1963" s="30"/>
      <c r="K1963" s="385"/>
      <c r="L1963" s="385"/>
      <c r="M1963" s="385"/>
      <c r="N1963" s="385"/>
      <c r="O1963" s="385"/>
      <c r="P1963" s="385" t="str">
        <f>IFERROR(
    IF(
        OR(ISBLANK(I1963), ISBLANK(L1963)),
        "",
        MAX(
            1,
            IF(
                NETWORKDAYS(I1963, L1963, Holiday_Dates) &lt;= 0,
                1,
                NETWORKDAYS(I1963, L1963, Holiday_Dates) - IF(I1963 = L1963, 0, 1)
            )
        )
    ),
    ""
)</f>
        <v/>
      </c>
      <c r="Q1963" s="385" t="str">
        <f>IF(
    OR(ISBLANK(L1963), ISBLANK(M1963)),
    "",
    MAX(
        1,
        IF(
            NETWORKDAYS(L1963, M1963, Holiday_Dates) &lt;= 0,
            1,
            NETWORKDAYS(L1963, M1963, Holiday_Dates) - IF(L1963 = M1963, 0, 1)
        )
    )
)</f>
        <v/>
      </c>
      <c r="R1963" s="385" t="str">
        <f>IFERROR(
    IF(
        OR(ISBLANK(N1963), AND(ISBLANK(L1963), ISBLANK(M1963))),
        "",
        MAX(
            1,
            IF(
                NETWORKDAYS(IF(NOT(ISBLANK(M1963)), M1963, L1963), N1963, Holiday_Dates) &lt;= 0,
                1,
                NETWORKDAYS(IF(NOT(ISBLANK(M1963)), M1963, L1963), N1963, Holiday_Dates)
                - IF(IF(NOT(ISBLANK(M1963)), M1963, L1963) = N1963, 0, 1)
            )
        )
    ),
    ""
)</f>
        <v/>
      </c>
      <c r="S1963" s="385" t="str">
        <f>IFERROR(
    IF(
        OR(ISBLANK(N1963), ISBLANK(O1963)),
        "",
        MAX(
            1,
            IF(
                NETWORKDAYS(N1963, O1963, Holiday_Dates) &lt;= 0,
                1,
                NETWORKDAYS(N1963, O1963, Holiday_Dates) - IF(N1963 = O1963, 0, 1)
            )
        )
    ),
    ""
)</f>
        <v/>
      </c>
      <c r="T1963" s="385"/>
      <c r="U1963" s="385"/>
      <c r="V1963" s="385"/>
      <c r="W1963" s="385" t="s">
        <v>4710</v>
      </c>
      <c r="X1963" s="1"/>
    </row>
    <row r="1964" spans="1:24">
      <c r="A1964" s="385" t="s">
        <v>51</v>
      </c>
      <c r="B1964" s="385" t="s">
        <v>1377</v>
      </c>
      <c r="C1964" s="385" t="s">
        <v>520</v>
      </c>
      <c r="D1964" s="385" t="s">
        <v>88</v>
      </c>
      <c r="E1964" s="385"/>
      <c r="F1964" s="385"/>
      <c r="G1964" s="385"/>
      <c r="H1964" s="385">
        <v>2025</v>
      </c>
      <c r="I1964" s="386">
        <v>45839</v>
      </c>
      <c r="J1964" s="30" t="s">
        <v>5437</v>
      </c>
      <c r="K1964" s="385"/>
      <c r="L1964" s="385"/>
      <c r="M1964" s="385"/>
      <c r="N1964" s="385"/>
      <c r="O1964" s="385"/>
      <c r="P1964" s="385" t="str">
        <f>IFERROR(
    IF(
        OR(ISBLANK(I1964), ISBLANK(L1964)),
        "",
        MAX(
            1,
            IF(
                NETWORKDAYS(I1964, L1964, Holiday_Dates) &lt;= 0,
                1,
                NETWORKDAYS(I1964, L1964, Holiday_Dates) - IF(I1964 = L1964, 0, 1)
            )
        )
    ),
    ""
)</f>
        <v/>
      </c>
      <c r="Q1964" s="385" t="str">
        <f>IF(
    OR(ISBLANK(L1964), ISBLANK(M1964)),
    "",
    MAX(
        1,
        IF(
            NETWORKDAYS(L1964, M1964, Holiday_Dates) &lt;= 0,
            1,
            NETWORKDAYS(L1964, M1964, Holiday_Dates) - IF(L1964 = M1964, 0, 1)
        )
    )
)</f>
        <v/>
      </c>
      <c r="R1964" s="385" t="str">
        <f>IFERROR(
    IF(
        OR(ISBLANK(N1964), AND(ISBLANK(L1964), ISBLANK(M1964))),
        "",
        MAX(
            1,
            IF(
                NETWORKDAYS(IF(NOT(ISBLANK(M1964)), M1964, L1964), N1964, Holiday_Dates) &lt;= 0,
                1,
                NETWORKDAYS(IF(NOT(ISBLANK(M1964)), M1964, L1964), N1964, Holiday_Dates)
                - IF(IF(NOT(ISBLANK(M1964)), M1964, L1964) = N1964, 0, 1)
            )
        )
    ),
    ""
)</f>
        <v/>
      </c>
      <c r="S1964" s="385" t="str">
        <f>IFERROR(
    IF(
        OR(ISBLANK(N1964), ISBLANK(O1964)),
        "",
        MAX(
            1,
            IF(
                NETWORKDAYS(N1964, O1964, Holiday_Dates) &lt;= 0,
                1,
                NETWORKDAYS(N1964, O1964, Holiday_Dates) - IF(N1964 = O1964, 0, 1)
            )
        )
    ),
    ""
)</f>
        <v/>
      </c>
      <c r="T1964" s="385"/>
      <c r="U1964" s="385" t="s">
        <v>4</v>
      </c>
      <c r="V1964" s="385" t="s">
        <v>101</v>
      </c>
      <c r="W1964" s="385" t="s">
        <v>1436</v>
      </c>
      <c r="X1964" s="1"/>
    </row>
    <row r="1965" spans="1:24">
      <c r="A1965" s="385" t="s">
        <v>51</v>
      </c>
      <c r="B1965" s="385" t="s">
        <v>1377</v>
      </c>
      <c r="C1965" s="385" t="s">
        <v>427</v>
      </c>
      <c r="D1965" s="385" t="s">
        <v>88</v>
      </c>
      <c r="E1965" s="385"/>
      <c r="F1965" s="385"/>
      <c r="G1965" s="385"/>
      <c r="H1965" s="385">
        <v>2024</v>
      </c>
      <c r="I1965" s="386">
        <v>45545</v>
      </c>
      <c r="J1965" s="30"/>
      <c r="K1965" s="385"/>
      <c r="L1965" s="385"/>
      <c r="M1965" s="385"/>
      <c r="N1965" s="385"/>
      <c r="O1965" s="385"/>
      <c r="P1965" s="385" t="str">
        <f>IFERROR(
    IF(
        OR(ISBLANK(I1965), ISBLANK(L1965)),
        "",
        MAX(
            1,
            IF(
                NETWORKDAYS(I1965, L1965, Holiday_Dates) &lt;= 0,
                1,
                NETWORKDAYS(I1965, L1965, Holiday_Dates) - IF(I1965 = L1965, 0, 1)
            )
        )
    ),
    ""
)</f>
        <v/>
      </c>
      <c r="Q1965" s="385" t="str">
        <f>IF(
    OR(ISBLANK(L1965), ISBLANK(M1965)),
    "",
    MAX(
        1,
        IF(
            NETWORKDAYS(L1965, M1965, Holiday_Dates) &lt;= 0,
            1,
            NETWORKDAYS(L1965, M1965, Holiday_Dates) - IF(L1965 = M1965, 0, 1)
        )
    )
)</f>
        <v/>
      </c>
      <c r="R1965" s="385" t="str">
        <f>IFERROR(
    IF(
        OR(ISBLANK(N1965), AND(ISBLANK(L1965), ISBLANK(M1965))),
        "",
        MAX(
            1,
            IF(
                NETWORKDAYS(IF(NOT(ISBLANK(M1965)), M1965, L1965), N1965, Holiday_Dates) &lt;= 0,
                1,
                NETWORKDAYS(IF(NOT(ISBLANK(M1965)), M1965, L1965), N1965, Holiday_Dates)
                - IF(IF(NOT(ISBLANK(M1965)), M1965, L1965) = N1965, 0, 1)
            )
        )
    ),
    ""
)</f>
        <v/>
      </c>
      <c r="S1965" s="385" t="str">
        <f>IFERROR(
    IF(
        OR(ISBLANK(N1965), ISBLANK(O1965)),
        "",
        MAX(
            1,
            IF(
                NETWORKDAYS(N1965, O1965, Holiday_Dates) &lt;= 0,
                1,
                NETWORKDAYS(N1965, O1965, Holiday_Dates) - IF(N1965 = O1965, 0, 1)
            )
        )
    ),
    ""
)</f>
        <v/>
      </c>
      <c r="T1965" s="385"/>
      <c r="U1965" s="385" t="s">
        <v>4</v>
      </c>
      <c r="V1965" s="385" t="s">
        <v>101</v>
      </c>
      <c r="W1965" s="385" t="s">
        <v>1436</v>
      </c>
      <c r="X1965" s="1"/>
    </row>
    <row r="1966" spans="1:24">
      <c r="A1966" s="385" t="s">
        <v>51</v>
      </c>
      <c r="B1966" s="385" t="s">
        <v>1377</v>
      </c>
      <c r="C1966" s="385" t="s">
        <v>764</v>
      </c>
      <c r="D1966" s="385" t="s">
        <v>88</v>
      </c>
      <c r="E1966" s="385"/>
      <c r="F1966" s="385"/>
      <c r="G1966" s="385"/>
      <c r="H1966" s="385">
        <v>2025</v>
      </c>
      <c r="I1966" s="386">
        <v>45909</v>
      </c>
      <c r="J1966" s="30" t="s">
        <v>5438</v>
      </c>
      <c r="K1966" s="385"/>
      <c r="L1966" s="385"/>
      <c r="M1966" s="385"/>
      <c r="N1966" s="385"/>
      <c r="O1966" s="385"/>
      <c r="P1966" s="385" t="str">
        <f>IFERROR(
    IF(
        OR(ISBLANK(I1966), ISBLANK(L1966)),
        "",
        MAX(
            1,
            IF(
                NETWORKDAYS(I1966, L1966, Holiday_Dates) &lt;= 0,
                1,
                NETWORKDAYS(I1966, L1966, Holiday_Dates) - IF(I1966 = L1966, 0, 1)
            )
        )
    ),
    ""
)</f>
        <v/>
      </c>
      <c r="Q1966" s="385" t="str">
        <f>IF(
    OR(ISBLANK(L1966), ISBLANK(M1966)),
    "",
    MAX(
        1,
        IF(
            NETWORKDAYS(L1966, M1966, Holiday_Dates) &lt;= 0,
            1,
            NETWORKDAYS(L1966, M1966, Holiday_Dates) - IF(L1966 = M1966, 0, 1)
        )
    )
)</f>
        <v/>
      </c>
      <c r="R1966" s="385" t="str">
        <f>IFERROR(
    IF(
        OR(ISBLANK(N1966), AND(ISBLANK(L1966), ISBLANK(M1966))),
        "",
        MAX(
            1,
            IF(
                NETWORKDAYS(IF(NOT(ISBLANK(M1966)), M1966, L1966), N1966, Holiday_Dates) &lt;= 0,
                1,
                NETWORKDAYS(IF(NOT(ISBLANK(M1966)), M1966, L1966), N1966, Holiday_Dates)
                - IF(IF(NOT(ISBLANK(M1966)), M1966, L1966) = N1966, 0, 1)
            )
        )
    ),
    ""
)</f>
        <v/>
      </c>
      <c r="S1966" s="385" t="str">
        <f>IFERROR(
    IF(
        OR(ISBLANK(N1966), ISBLANK(O1966)),
        "",
        MAX(
            1,
            IF(
                NETWORKDAYS(N1966, O1966, Holiday_Dates) &lt;= 0,
                1,
                NETWORKDAYS(N1966, O1966, Holiday_Dates) - IF(N1966 = O1966, 0, 1)
            )
        )
    ),
    ""
)</f>
        <v/>
      </c>
      <c r="T1966" s="385"/>
      <c r="U1966" s="385" t="s">
        <v>4</v>
      </c>
      <c r="V1966" s="385" t="s">
        <v>101</v>
      </c>
      <c r="W1966" s="385" t="s">
        <v>1436</v>
      </c>
      <c r="X1966" s="1"/>
    </row>
    <row r="1967" spans="1:24">
      <c r="A1967" s="385" t="s">
        <v>49</v>
      </c>
      <c r="B1967" s="385" t="s">
        <v>378</v>
      </c>
      <c r="C1967" s="385" t="s">
        <v>2683</v>
      </c>
      <c r="D1967" s="385" t="s">
        <v>88</v>
      </c>
      <c r="E1967" s="385" t="s">
        <v>377</v>
      </c>
      <c r="F1967" s="385"/>
      <c r="G1967" s="385" t="s">
        <v>128</v>
      </c>
      <c r="H1967" s="385"/>
      <c r="I1967" s="385"/>
      <c r="J1967" s="30"/>
      <c r="K1967" s="385"/>
      <c r="L1967" s="385"/>
      <c r="M1967" s="385"/>
      <c r="N1967" s="385"/>
      <c r="O1967" s="385"/>
      <c r="P1967" s="385" t="str">
        <f>IFERROR(
    IF(
        OR(ISBLANK(I1967), ISBLANK(L1967)),
        "",
        MAX(
            1,
            IF(
                NETWORKDAYS(I1967, L1967, Holiday_Dates) &lt;= 0,
                1,
                NETWORKDAYS(I1967, L1967, Holiday_Dates) - IF(I1967 = L1967, 0, 1)
            )
        )
    ),
    ""
)</f>
        <v/>
      </c>
      <c r="Q1967" s="385" t="str">
        <f>IF(
    OR(ISBLANK(L1967), ISBLANK(M1967)),
    "",
    MAX(
        1,
        IF(
            NETWORKDAYS(L1967, M1967, Holiday_Dates) &lt;= 0,
            1,
            NETWORKDAYS(L1967, M1967, Holiday_Dates) - IF(L1967 = M1967, 0, 1)
        )
    )
)</f>
        <v/>
      </c>
      <c r="R1967" s="385" t="str">
        <f>IFERROR(
    IF(
        OR(ISBLANK(N1967), AND(ISBLANK(L1967), ISBLANK(M1967))),
        "",
        MAX(
            1,
            IF(
                NETWORKDAYS(IF(NOT(ISBLANK(M1967)), M1967, L1967), N1967, Holiday_Dates) &lt;= 0,
                1,
                NETWORKDAYS(IF(NOT(ISBLANK(M1967)), M1967, L1967), N1967, Holiday_Dates)
                - IF(IF(NOT(ISBLANK(M1967)), M1967, L1967) = N1967, 0, 1)
            )
        )
    ),
    ""
)</f>
        <v/>
      </c>
      <c r="S1967" s="385" t="str">
        <f>IFERROR(
    IF(
        OR(ISBLANK(N1967), ISBLANK(O1967)),
        "",
        MAX(
            1,
            IF(
                NETWORKDAYS(N1967, O1967, Holiday_Dates) &lt;= 0,
                1,
                NETWORKDAYS(N1967, O1967, Holiday_Dates) - IF(N1967 = O1967, 0, 1)
            )
        )
    ),
    ""
)</f>
        <v/>
      </c>
      <c r="T1967" s="385"/>
      <c r="U1967" s="385"/>
      <c r="V1967" s="385"/>
      <c r="W1967" s="385" t="s">
        <v>4710</v>
      </c>
      <c r="X1967" s="1"/>
    </row>
    <row r="1968" spans="1:24">
      <c r="A1968" s="385" t="s">
        <v>49</v>
      </c>
      <c r="B1968" s="385" t="s">
        <v>378</v>
      </c>
      <c r="C1968" s="385" t="s">
        <v>2684</v>
      </c>
      <c r="D1968" s="385" t="s">
        <v>88</v>
      </c>
      <c r="E1968" s="385" t="s">
        <v>377</v>
      </c>
      <c r="F1968" s="385"/>
      <c r="G1968" s="385" t="s">
        <v>128</v>
      </c>
      <c r="H1968" s="385"/>
      <c r="I1968" s="385"/>
      <c r="J1968" s="30"/>
      <c r="K1968" s="385"/>
      <c r="L1968" s="385"/>
      <c r="M1968" s="385"/>
      <c r="N1968" s="385"/>
      <c r="O1968" s="385"/>
      <c r="P1968" s="385" t="str">
        <f>IFERROR(
    IF(
        OR(ISBLANK(I1968), ISBLANK(L1968)),
        "",
        MAX(
            1,
            IF(
                NETWORKDAYS(I1968, L1968, Holiday_Dates) &lt;= 0,
                1,
                NETWORKDAYS(I1968, L1968, Holiday_Dates) - IF(I1968 = L1968, 0, 1)
            )
        )
    ),
    ""
)</f>
        <v/>
      </c>
      <c r="Q1968" s="385" t="str">
        <f>IF(
    OR(ISBLANK(L1968), ISBLANK(M1968)),
    "",
    MAX(
        1,
        IF(
            NETWORKDAYS(L1968, M1968, Holiday_Dates) &lt;= 0,
            1,
            NETWORKDAYS(L1968, M1968, Holiday_Dates) - IF(L1968 = M1968, 0, 1)
        )
    )
)</f>
        <v/>
      </c>
      <c r="R1968" s="385" t="str">
        <f>IFERROR(
    IF(
        OR(ISBLANK(N1968), AND(ISBLANK(L1968), ISBLANK(M1968))),
        "",
        MAX(
            1,
            IF(
                NETWORKDAYS(IF(NOT(ISBLANK(M1968)), M1968, L1968), N1968, Holiday_Dates) &lt;= 0,
                1,
                NETWORKDAYS(IF(NOT(ISBLANK(M1968)), M1968, L1968), N1968, Holiday_Dates)
                - IF(IF(NOT(ISBLANK(M1968)), M1968, L1968) = N1968, 0, 1)
            )
        )
    ),
    ""
)</f>
        <v/>
      </c>
      <c r="S1968" s="385" t="str">
        <f>IFERROR(
    IF(
        OR(ISBLANK(N1968), ISBLANK(O1968)),
        "",
        MAX(
            1,
            IF(
                NETWORKDAYS(N1968, O1968, Holiday_Dates) &lt;= 0,
                1,
                NETWORKDAYS(N1968, O1968, Holiday_Dates) - IF(N1968 = O1968, 0, 1)
            )
        )
    ),
    ""
)</f>
        <v/>
      </c>
      <c r="T1968" s="385"/>
      <c r="U1968" s="385"/>
      <c r="V1968" s="385"/>
      <c r="W1968" s="385" t="s">
        <v>4710</v>
      </c>
      <c r="X1968" s="1"/>
    </row>
    <row r="1969" spans="1:24">
      <c r="A1969" s="385" t="s">
        <v>51</v>
      </c>
      <c r="B1969" s="385" t="s">
        <v>1377</v>
      </c>
      <c r="C1969" s="385" t="s">
        <v>1656</v>
      </c>
      <c r="D1969" s="385" t="s">
        <v>88</v>
      </c>
      <c r="E1969" s="385"/>
      <c r="F1969" s="385"/>
      <c r="G1969" s="385"/>
      <c r="H1969" s="385">
        <v>2025</v>
      </c>
      <c r="I1969" s="386">
        <v>45909</v>
      </c>
      <c r="J1969" s="30" t="s">
        <v>5439</v>
      </c>
      <c r="K1969" s="385"/>
      <c r="L1969" s="385"/>
      <c r="M1969" s="385"/>
      <c r="N1969" s="385"/>
      <c r="O1969" s="385"/>
      <c r="P1969" s="385" t="str">
        <f>IFERROR(
    IF(
        OR(ISBLANK(I1969), ISBLANK(L1969)),
        "",
        MAX(
            1,
            IF(
                NETWORKDAYS(I1969, L1969, Holiday_Dates) &lt;= 0,
                1,
                NETWORKDAYS(I1969, L1969, Holiday_Dates) - IF(I1969 = L1969, 0, 1)
            )
        )
    ),
    ""
)</f>
        <v/>
      </c>
      <c r="Q1969" s="385" t="str">
        <f>IF(
    OR(ISBLANK(L1969), ISBLANK(M1969)),
    "",
    MAX(
        1,
        IF(
            NETWORKDAYS(L1969, M1969, Holiday_Dates) &lt;= 0,
            1,
            NETWORKDAYS(L1969, M1969, Holiday_Dates) - IF(L1969 = M1969, 0, 1)
        )
    )
)</f>
        <v/>
      </c>
      <c r="R1969" s="385" t="str">
        <f>IFERROR(
    IF(
        OR(ISBLANK(N1969), AND(ISBLANK(L1969), ISBLANK(M1969))),
        "",
        MAX(
            1,
            IF(
                NETWORKDAYS(IF(NOT(ISBLANK(M1969)), M1969, L1969), N1969, Holiday_Dates) &lt;= 0,
                1,
                NETWORKDAYS(IF(NOT(ISBLANK(M1969)), M1969, L1969), N1969, Holiday_Dates)
                - IF(IF(NOT(ISBLANK(M1969)), M1969, L1969) = N1969, 0, 1)
            )
        )
    ),
    ""
)</f>
        <v/>
      </c>
      <c r="S1969" s="385" t="str">
        <f>IFERROR(
    IF(
        OR(ISBLANK(N1969), ISBLANK(O1969)),
        "",
        MAX(
            1,
            IF(
                NETWORKDAYS(N1969, O1969, Holiday_Dates) &lt;= 0,
                1,
                NETWORKDAYS(N1969, O1969, Holiday_Dates) - IF(N1969 = O1969, 0, 1)
            )
        )
    ),
    ""
)</f>
        <v/>
      </c>
      <c r="T1969" s="385"/>
      <c r="U1969" s="385" t="s">
        <v>4</v>
      </c>
      <c r="V1969" s="385" t="s">
        <v>113</v>
      </c>
      <c r="W1969" s="385" t="s">
        <v>1436</v>
      </c>
      <c r="X1969" s="1"/>
    </row>
    <row r="1970" spans="1:24">
      <c r="A1970" s="385" t="s">
        <v>49</v>
      </c>
      <c r="B1970" s="385" t="s">
        <v>378</v>
      </c>
      <c r="C1970" s="385" t="s">
        <v>2462</v>
      </c>
      <c r="D1970" s="385" t="s">
        <v>88</v>
      </c>
      <c r="E1970" s="385" t="s">
        <v>377</v>
      </c>
      <c r="F1970" s="385"/>
      <c r="G1970" s="385" t="s">
        <v>128</v>
      </c>
      <c r="H1970" s="385"/>
      <c r="I1970" s="385"/>
      <c r="J1970" s="30"/>
      <c r="K1970" s="385"/>
      <c r="L1970" s="385"/>
      <c r="M1970" s="385"/>
      <c r="N1970" s="385"/>
      <c r="O1970" s="385"/>
      <c r="P1970" s="385" t="str">
        <f>IFERROR(
    IF(
        OR(ISBLANK(I1970), ISBLANK(L1970)),
        "",
        MAX(
            1,
            IF(
                NETWORKDAYS(I1970, L1970, Holiday_Dates) &lt;= 0,
                1,
                NETWORKDAYS(I1970, L1970, Holiday_Dates) - IF(I1970 = L1970, 0, 1)
            )
        )
    ),
    ""
)</f>
        <v/>
      </c>
      <c r="Q1970" s="385" t="str">
        <f>IF(
    OR(ISBLANK(L1970), ISBLANK(M1970)),
    "",
    MAX(
        1,
        IF(
            NETWORKDAYS(L1970, M1970, Holiday_Dates) &lt;= 0,
            1,
            NETWORKDAYS(L1970, M1970, Holiday_Dates) - IF(L1970 = M1970, 0, 1)
        )
    )
)</f>
        <v/>
      </c>
      <c r="R1970" s="385" t="str">
        <f>IFERROR(
    IF(
        OR(ISBLANK(N1970), AND(ISBLANK(L1970), ISBLANK(M1970))),
        "",
        MAX(
            1,
            IF(
                NETWORKDAYS(IF(NOT(ISBLANK(M1970)), M1970, L1970), N1970, Holiday_Dates) &lt;= 0,
                1,
                NETWORKDAYS(IF(NOT(ISBLANK(M1970)), M1970, L1970), N1970, Holiday_Dates)
                - IF(IF(NOT(ISBLANK(M1970)), M1970, L1970) = N1970, 0, 1)
            )
        )
    ),
    ""
)</f>
        <v/>
      </c>
      <c r="S1970" s="385" t="str">
        <f>IFERROR(
    IF(
        OR(ISBLANK(N1970), ISBLANK(O1970)),
        "",
        MAX(
            1,
            IF(
                NETWORKDAYS(N1970, O1970, Holiday_Dates) &lt;= 0,
                1,
                NETWORKDAYS(N1970, O1970, Holiday_Dates) - IF(N1970 = O1970, 0, 1)
            )
        )
    ),
    ""
)</f>
        <v/>
      </c>
      <c r="T1970" s="385"/>
      <c r="U1970" s="385"/>
      <c r="V1970" s="385"/>
      <c r="W1970" s="385" t="s">
        <v>4710</v>
      </c>
      <c r="X1970" s="1"/>
    </row>
    <row r="1971" spans="1:24">
      <c r="A1971" s="385" t="s">
        <v>51</v>
      </c>
      <c r="B1971" s="385" t="s">
        <v>1377</v>
      </c>
      <c r="C1971" s="385" t="s">
        <v>1879</v>
      </c>
      <c r="D1971" s="385" t="s">
        <v>88</v>
      </c>
      <c r="E1971" s="385"/>
      <c r="F1971" s="385"/>
      <c r="G1971" s="385"/>
      <c r="H1971" s="385">
        <v>2025</v>
      </c>
      <c r="I1971" s="386">
        <v>45679</v>
      </c>
      <c r="J1971" s="30" t="s">
        <v>5440</v>
      </c>
      <c r="K1971" s="385"/>
      <c r="L1971" s="385"/>
      <c r="M1971" s="385"/>
      <c r="N1971" s="385"/>
      <c r="O1971" s="385"/>
      <c r="P1971" s="385" t="str">
        <f>IFERROR(
    IF(
        OR(ISBLANK(I1971), ISBLANK(L1971)),
        "",
        MAX(
            1,
            IF(
                NETWORKDAYS(I1971, L1971, Holiday_Dates) &lt;= 0,
                1,
                NETWORKDAYS(I1971, L1971, Holiday_Dates) - IF(I1971 = L1971, 0, 1)
            )
        )
    ),
    ""
)</f>
        <v/>
      </c>
      <c r="Q1971" s="385" t="str">
        <f>IF(
    OR(ISBLANK(L1971), ISBLANK(M1971)),
    "",
    MAX(
        1,
        IF(
            NETWORKDAYS(L1971, M1971, Holiday_Dates) &lt;= 0,
            1,
            NETWORKDAYS(L1971, M1971, Holiday_Dates) - IF(L1971 = M1971, 0, 1)
        )
    )
)</f>
        <v/>
      </c>
      <c r="R1971" s="385" t="str">
        <f>IFERROR(
    IF(
        OR(ISBLANK(N1971), AND(ISBLANK(L1971), ISBLANK(M1971))),
        "",
        MAX(
            1,
            IF(
                NETWORKDAYS(IF(NOT(ISBLANK(M1971)), M1971, L1971), N1971, Holiday_Dates) &lt;= 0,
                1,
                NETWORKDAYS(IF(NOT(ISBLANK(M1971)), M1971, L1971), N1971, Holiday_Dates)
                - IF(IF(NOT(ISBLANK(M1971)), M1971, L1971) = N1971, 0, 1)
            )
        )
    ),
    ""
)</f>
        <v/>
      </c>
      <c r="S1971" s="385" t="str">
        <f>IFERROR(
    IF(
        OR(ISBLANK(N1971), ISBLANK(O1971)),
        "",
        MAX(
            1,
            IF(
                NETWORKDAYS(N1971, O1971, Holiday_Dates) &lt;= 0,
                1,
                NETWORKDAYS(N1971, O1971, Holiday_Dates) - IF(N1971 = O1971, 0, 1)
            )
        )
    ),
    ""
)</f>
        <v/>
      </c>
      <c r="T1971" s="385"/>
      <c r="U1971" s="385" t="s">
        <v>4</v>
      </c>
      <c r="V1971" s="385" t="s">
        <v>101</v>
      </c>
      <c r="W1971" s="385" t="s">
        <v>1436</v>
      </c>
      <c r="X1971" s="1"/>
    </row>
    <row r="1972" spans="1:24">
      <c r="A1972" s="385" t="s">
        <v>49</v>
      </c>
      <c r="B1972" s="385" t="s">
        <v>378</v>
      </c>
      <c r="C1972" s="385" t="s">
        <v>2687</v>
      </c>
      <c r="D1972" s="385" t="s">
        <v>88</v>
      </c>
      <c r="E1972" s="385" t="s">
        <v>377</v>
      </c>
      <c r="F1972" s="385"/>
      <c r="G1972" s="385" t="s">
        <v>128</v>
      </c>
      <c r="H1972" s="385"/>
      <c r="I1972" s="385"/>
      <c r="J1972" s="30"/>
      <c r="K1972" s="385"/>
      <c r="L1972" s="385"/>
      <c r="M1972" s="385"/>
      <c r="N1972" s="385"/>
      <c r="O1972" s="385"/>
      <c r="P1972" s="385" t="str">
        <f>IFERROR(
    IF(
        OR(ISBLANK(I1972), ISBLANK(L1972)),
        "",
        MAX(
            1,
            IF(
                NETWORKDAYS(I1972, L1972, Holiday_Dates) &lt;= 0,
                1,
                NETWORKDAYS(I1972, L1972, Holiday_Dates) - IF(I1972 = L1972, 0, 1)
            )
        )
    ),
    ""
)</f>
        <v/>
      </c>
      <c r="Q1972" s="385" t="str">
        <f>IF(
    OR(ISBLANK(L1972), ISBLANK(M1972)),
    "",
    MAX(
        1,
        IF(
            NETWORKDAYS(L1972, M1972, Holiday_Dates) &lt;= 0,
            1,
            NETWORKDAYS(L1972, M1972, Holiday_Dates) - IF(L1972 = M1972, 0, 1)
        )
    )
)</f>
        <v/>
      </c>
      <c r="R1972" s="385" t="str">
        <f>IFERROR(
    IF(
        OR(ISBLANK(N1972), AND(ISBLANK(L1972), ISBLANK(M1972))),
        "",
        MAX(
            1,
            IF(
                NETWORKDAYS(IF(NOT(ISBLANK(M1972)), M1972, L1972), N1972, Holiday_Dates) &lt;= 0,
                1,
                NETWORKDAYS(IF(NOT(ISBLANK(M1972)), M1972, L1972), N1972, Holiday_Dates)
                - IF(IF(NOT(ISBLANK(M1972)), M1972, L1972) = N1972, 0, 1)
            )
        )
    ),
    ""
)</f>
        <v/>
      </c>
      <c r="S1972" s="385" t="str">
        <f>IFERROR(
    IF(
        OR(ISBLANK(N1972), ISBLANK(O1972)),
        "",
        MAX(
            1,
            IF(
                NETWORKDAYS(N1972, O1972, Holiday_Dates) &lt;= 0,
                1,
                NETWORKDAYS(N1972, O1972, Holiday_Dates) - IF(N1972 = O1972, 0, 1)
            )
        )
    ),
    ""
)</f>
        <v/>
      </c>
      <c r="T1972" s="385"/>
      <c r="U1972" s="385"/>
      <c r="V1972" s="385"/>
      <c r="W1972" s="385" t="s">
        <v>4710</v>
      </c>
      <c r="X1972" s="1"/>
    </row>
    <row r="1973" spans="1:24">
      <c r="A1973" s="385" t="s">
        <v>51</v>
      </c>
      <c r="B1973" s="385" t="s">
        <v>1377</v>
      </c>
      <c r="C1973" s="385" t="s">
        <v>3837</v>
      </c>
      <c r="D1973" s="385" t="s">
        <v>88</v>
      </c>
      <c r="E1973" s="385"/>
      <c r="F1973" s="385"/>
      <c r="G1973" s="385"/>
      <c r="H1973" s="385">
        <v>2025</v>
      </c>
      <c r="I1973" s="386">
        <v>45700</v>
      </c>
      <c r="J1973" s="30" t="s">
        <v>5441</v>
      </c>
      <c r="K1973" s="385"/>
      <c r="L1973" s="385"/>
      <c r="M1973" s="385"/>
      <c r="N1973" s="385"/>
      <c r="O1973" s="385"/>
      <c r="P1973" s="385" t="str">
        <f>IFERROR(
    IF(
        OR(ISBLANK(I1973), ISBLANK(L1973)),
        "",
        MAX(
            1,
            IF(
                NETWORKDAYS(I1973, L1973, Holiday_Dates) &lt;= 0,
                1,
                NETWORKDAYS(I1973, L1973, Holiday_Dates) - IF(I1973 = L1973, 0, 1)
            )
        )
    ),
    ""
)</f>
        <v/>
      </c>
      <c r="Q1973" s="385" t="str">
        <f>IF(
    OR(ISBLANK(L1973), ISBLANK(M1973)),
    "",
    MAX(
        1,
        IF(
            NETWORKDAYS(L1973, M1973, Holiday_Dates) &lt;= 0,
            1,
            NETWORKDAYS(L1973, M1973, Holiday_Dates) - IF(L1973 = M1973, 0, 1)
        )
    )
)</f>
        <v/>
      </c>
      <c r="R1973" s="385" t="str">
        <f>IFERROR(
    IF(
        OR(ISBLANK(N1973), AND(ISBLANK(L1973), ISBLANK(M1973))),
        "",
        MAX(
            1,
            IF(
                NETWORKDAYS(IF(NOT(ISBLANK(M1973)), M1973, L1973), N1973, Holiday_Dates) &lt;= 0,
                1,
                NETWORKDAYS(IF(NOT(ISBLANK(M1973)), M1973, L1973), N1973, Holiday_Dates)
                - IF(IF(NOT(ISBLANK(M1973)), M1973, L1973) = N1973, 0, 1)
            )
        )
    ),
    ""
)</f>
        <v/>
      </c>
      <c r="S1973" s="385" t="str">
        <f>IFERROR(
    IF(
        OR(ISBLANK(N1973), ISBLANK(O1973)),
        "",
        MAX(
            1,
            IF(
                NETWORKDAYS(N1973, O1973, Holiday_Dates) &lt;= 0,
                1,
                NETWORKDAYS(N1973, O1973, Holiday_Dates) - IF(N1973 = O1973, 0, 1)
            )
        )
    ),
    ""
)</f>
        <v/>
      </c>
      <c r="T1973" s="385"/>
      <c r="U1973" s="385" t="s">
        <v>4</v>
      </c>
      <c r="V1973" s="385" t="s">
        <v>101</v>
      </c>
      <c r="W1973" s="385" t="s">
        <v>1436</v>
      </c>
      <c r="X1973" s="1"/>
    </row>
    <row r="1974" spans="1:24">
      <c r="A1974" s="385" t="s">
        <v>49</v>
      </c>
      <c r="B1974" s="385" t="s">
        <v>378</v>
      </c>
      <c r="C1974" s="385" t="s">
        <v>2559</v>
      </c>
      <c r="D1974" s="385" t="s">
        <v>88</v>
      </c>
      <c r="E1974" s="385" t="s">
        <v>377</v>
      </c>
      <c r="F1974" s="385"/>
      <c r="G1974" s="385" t="s">
        <v>128</v>
      </c>
      <c r="H1974" s="385"/>
      <c r="I1974" s="385"/>
      <c r="J1974" s="30"/>
      <c r="K1974" s="385"/>
      <c r="L1974" s="385"/>
      <c r="M1974" s="385"/>
      <c r="N1974" s="385"/>
      <c r="O1974" s="385"/>
      <c r="P1974" s="385" t="str">
        <f>IFERROR(
    IF(
        OR(ISBLANK(I1974), ISBLANK(L1974)),
        "",
        MAX(
            1,
            IF(
                NETWORKDAYS(I1974, L1974, Holiday_Dates) &lt;= 0,
                1,
                NETWORKDAYS(I1974, L1974, Holiday_Dates) - IF(I1974 = L1974, 0, 1)
            )
        )
    ),
    ""
)</f>
        <v/>
      </c>
      <c r="Q1974" s="385" t="str">
        <f>IF(
    OR(ISBLANK(L1974), ISBLANK(M1974)),
    "",
    MAX(
        1,
        IF(
            NETWORKDAYS(L1974, M1974, Holiday_Dates) &lt;= 0,
            1,
            NETWORKDAYS(L1974, M1974, Holiday_Dates) - IF(L1974 = M1974, 0, 1)
        )
    )
)</f>
        <v/>
      </c>
      <c r="R1974" s="385" t="str">
        <f>IFERROR(
    IF(
        OR(ISBLANK(N1974), AND(ISBLANK(L1974), ISBLANK(M1974))),
        "",
        MAX(
            1,
            IF(
                NETWORKDAYS(IF(NOT(ISBLANK(M1974)), M1974, L1974), N1974, Holiday_Dates) &lt;= 0,
                1,
                NETWORKDAYS(IF(NOT(ISBLANK(M1974)), M1974, L1974), N1974, Holiday_Dates)
                - IF(IF(NOT(ISBLANK(M1974)), M1974, L1974) = N1974, 0, 1)
            )
        )
    ),
    ""
)</f>
        <v/>
      </c>
      <c r="S1974" s="385" t="str">
        <f>IFERROR(
    IF(
        OR(ISBLANK(N1974), ISBLANK(O1974)),
        "",
        MAX(
            1,
            IF(
                NETWORKDAYS(N1974, O1974, Holiday_Dates) &lt;= 0,
                1,
                NETWORKDAYS(N1974, O1974, Holiday_Dates) - IF(N1974 = O1974, 0, 1)
            )
        )
    ),
    ""
)</f>
        <v/>
      </c>
      <c r="T1974" s="385"/>
      <c r="U1974" s="385"/>
      <c r="V1974" s="385"/>
      <c r="W1974" s="385" t="s">
        <v>4710</v>
      </c>
      <c r="X1974" s="1"/>
    </row>
    <row r="1975" spans="1:24">
      <c r="A1975" s="385" t="s">
        <v>51</v>
      </c>
      <c r="B1975" s="385" t="s">
        <v>448</v>
      </c>
      <c r="C1975" s="385" t="s">
        <v>3611</v>
      </c>
      <c r="D1975" s="385" t="s">
        <v>88</v>
      </c>
      <c r="E1975" s="385"/>
      <c r="F1975" s="385"/>
      <c r="G1975" s="385"/>
      <c r="H1975" s="385">
        <v>2025</v>
      </c>
      <c r="I1975" s="386">
        <v>45940</v>
      </c>
      <c r="J1975" s="30" t="s">
        <v>5442</v>
      </c>
      <c r="K1975" s="385"/>
      <c r="L1975" s="385"/>
      <c r="M1975" s="385"/>
      <c r="N1975" s="385"/>
      <c r="O1975" s="385"/>
      <c r="P1975" s="385" t="str">
        <f>IFERROR(
    IF(
        OR(ISBLANK(I1975), ISBLANK(L1975)),
        "",
        MAX(
            1,
            IF(
                NETWORKDAYS(I1975, L1975, Holiday_Dates) &lt;= 0,
                1,
                NETWORKDAYS(I1975, L1975, Holiday_Dates) - IF(I1975 = L1975, 0, 1)
            )
        )
    ),
    ""
)</f>
        <v/>
      </c>
      <c r="Q1975" s="385" t="str">
        <f>IF(
    OR(ISBLANK(L1975), ISBLANK(M1975)),
    "",
    MAX(
        1,
        IF(
            NETWORKDAYS(L1975, M1975, Holiday_Dates) &lt;= 0,
            1,
            NETWORKDAYS(L1975, M1975, Holiday_Dates) - IF(L1975 = M1975, 0, 1)
        )
    )
)</f>
        <v/>
      </c>
      <c r="R1975" s="385" t="str">
        <f>IFERROR(
    IF(
        OR(ISBLANK(N1975), AND(ISBLANK(L1975), ISBLANK(M1975))),
        "",
        MAX(
            1,
            IF(
                NETWORKDAYS(IF(NOT(ISBLANK(M1975)), M1975, L1975), N1975, Holiday_Dates) &lt;= 0,
                1,
                NETWORKDAYS(IF(NOT(ISBLANK(M1975)), M1975, L1975), N1975, Holiday_Dates)
                - IF(IF(NOT(ISBLANK(M1975)), M1975, L1975) = N1975, 0, 1)
            )
        )
    ),
    ""
)</f>
        <v/>
      </c>
      <c r="S1975" s="385" t="str">
        <f>IFERROR(
    IF(
        OR(ISBLANK(N1975), ISBLANK(O1975)),
        "",
        MAX(
            1,
            IF(
                NETWORKDAYS(N1975, O1975, Holiday_Dates) &lt;= 0,
                1,
                NETWORKDAYS(N1975, O1975, Holiday_Dates) - IF(N1975 = O1975, 0, 1)
            )
        )
    ),
    ""
)</f>
        <v/>
      </c>
      <c r="T1975" s="385"/>
      <c r="U1975" s="385" t="s">
        <v>4</v>
      </c>
      <c r="V1975" s="385" t="s">
        <v>101</v>
      </c>
      <c r="W1975" s="385" t="s">
        <v>1436</v>
      </c>
      <c r="X1975" s="1"/>
    </row>
    <row r="1976" spans="1:24">
      <c r="A1976" s="385" t="s">
        <v>51</v>
      </c>
      <c r="B1976" s="385" t="s">
        <v>448</v>
      </c>
      <c r="C1976" s="385" t="s">
        <v>351</v>
      </c>
      <c r="D1976" s="385" t="s">
        <v>88</v>
      </c>
      <c r="E1976" s="385"/>
      <c r="F1976" s="385"/>
      <c r="G1976" s="385"/>
      <c r="H1976" s="385">
        <v>2024</v>
      </c>
      <c r="I1976" s="386">
        <v>45428</v>
      </c>
      <c r="J1976" s="30"/>
      <c r="K1976" s="385"/>
      <c r="L1976" s="385"/>
      <c r="M1976" s="385"/>
      <c r="N1976" s="385"/>
      <c r="O1976" s="385"/>
      <c r="P1976" s="385" t="str">
        <f>IFERROR(
    IF(
        OR(ISBLANK(I1976), ISBLANK(L1976)),
        "",
        MAX(
            1,
            IF(
                NETWORKDAYS(I1976, L1976, Holiday_Dates) &lt;= 0,
                1,
                NETWORKDAYS(I1976, L1976, Holiday_Dates) - IF(I1976 = L1976, 0, 1)
            )
        )
    ),
    ""
)</f>
        <v/>
      </c>
      <c r="Q1976" s="385" t="str">
        <f>IF(
    OR(ISBLANK(L1976), ISBLANK(M1976)),
    "",
    MAX(
        1,
        IF(
            NETWORKDAYS(L1976, M1976, Holiday_Dates) &lt;= 0,
            1,
            NETWORKDAYS(L1976, M1976, Holiday_Dates) - IF(L1976 = M1976, 0, 1)
        )
    )
)</f>
        <v/>
      </c>
      <c r="R1976" s="385" t="str">
        <f>IFERROR(
    IF(
        OR(ISBLANK(N1976), AND(ISBLANK(L1976), ISBLANK(M1976))),
        "",
        MAX(
            1,
            IF(
                NETWORKDAYS(IF(NOT(ISBLANK(M1976)), M1976, L1976), N1976, Holiday_Dates) &lt;= 0,
                1,
                NETWORKDAYS(IF(NOT(ISBLANK(M1976)), M1976, L1976), N1976, Holiday_Dates)
                - IF(IF(NOT(ISBLANK(M1976)), M1976, L1976) = N1976, 0, 1)
            )
        )
    ),
    ""
)</f>
        <v/>
      </c>
      <c r="S1976" s="385" t="str">
        <f>IFERROR(
    IF(
        OR(ISBLANK(N1976), ISBLANK(O1976)),
        "",
        MAX(
            1,
            IF(
                NETWORKDAYS(N1976, O1976, Holiday_Dates) &lt;= 0,
                1,
                NETWORKDAYS(N1976, O1976, Holiday_Dates) - IF(N1976 = O1976, 0, 1)
            )
        )
    ),
    ""
)</f>
        <v/>
      </c>
      <c r="T1976" s="385"/>
      <c r="U1976" s="385" t="s">
        <v>4</v>
      </c>
      <c r="V1976" s="385" t="s">
        <v>101</v>
      </c>
      <c r="W1976" s="385" t="s">
        <v>1436</v>
      </c>
      <c r="X1976" s="1"/>
    </row>
    <row r="1977" spans="1:24">
      <c r="A1977" s="385" t="s">
        <v>51</v>
      </c>
      <c r="B1977" s="385" t="s">
        <v>448</v>
      </c>
      <c r="C1977" s="385" t="s">
        <v>3613</v>
      </c>
      <c r="D1977" s="385" t="s">
        <v>88</v>
      </c>
      <c r="E1977" s="385"/>
      <c r="F1977" s="385"/>
      <c r="G1977" s="385"/>
      <c r="H1977" s="385">
        <v>2025</v>
      </c>
      <c r="I1977" s="386">
        <v>45940</v>
      </c>
      <c r="J1977" s="30" t="s">
        <v>5443</v>
      </c>
      <c r="K1977" s="385"/>
      <c r="L1977" s="385"/>
      <c r="M1977" s="385"/>
      <c r="N1977" s="385"/>
      <c r="O1977" s="385"/>
      <c r="P1977" s="385" t="str">
        <f>IFERROR(
    IF(
        OR(ISBLANK(I1977), ISBLANK(L1977)),
        "",
        MAX(
            1,
            IF(
                NETWORKDAYS(I1977, L1977, Holiday_Dates) &lt;= 0,
                1,
                NETWORKDAYS(I1977, L1977, Holiday_Dates) - IF(I1977 = L1977, 0, 1)
            )
        )
    ),
    ""
)</f>
        <v/>
      </c>
      <c r="Q1977" s="385" t="str">
        <f>IF(
    OR(ISBLANK(L1977), ISBLANK(M1977)),
    "",
    MAX(
        1,
        IF(
            NETWORKDAYS(L1977, M1977, Holiday_Dates) &lt;= 0,
            1,
            NETWORKDAYS(L1977, M1977, Holiday_Dates) - IF(L1977 = M1977, 0, 1)
        )
    )
)</f>
        <v/>
      </c>
      <c r="R1977" s="385" t="str">
        <f>IFERROR(
    IF(
        OR(ISBLANK(N1977), AND(ISBLANK(L1977), ISBLANK(M1977))),
        "",
        MAX(
            1,
            IF(
                NETWORKDAYS(IF(NOT(ISBLANK(M1977)), M1977, L1977), N1977, Holiday_Dates) &lt;= 0,
                1,
                NETWORKDAYS(IF(NOT(ISBLANK(M1977)), M1977, L1977), N1977, Holiday_Dates)
                - IF(IF(NOT(ISBLANK(M1977)), M1977, L1977) = N1977, 0, 1)
            )
        )
    ),
    ""
)</f>
        <v/>
      </c>
      <c r="S1977" s="385" t="str">
        <f>IFERROR(
    IF(
        OR(ISBLANK(N1977), ISBLANK(O1977)),
        "",
        MAX(
            1,
            IF(
                NETWORKDAYS(N1977, O1977, Holiday_Dates) &lt;= 0,
                1,
                NETWORKDAYS(N1977, O1977, Holiday_Dates) - IF(N1977 = O1977, 0, 1)
            )
        )
    ),
    ""
)</f>
        <v/>
      </c>
      <c r="T1977" s="385"/>
      <c r="U1977" s="385" t="s">
        <v>4</v>
      </c>
      <c r="V1977" s="385" t="s">
        <v>101</v>
      </c>
      <c r="W1977" s="385" t="s">
        <v>1436</v>
      </c>
      <c r="X1977" s="1"/>
    </row>
    <row r="1978" spans="1:24">
      <c r="A1978" s="385" t="s">
        <v>51</v>
      </c>
      <c r="B1978" s="385" t="s">
        <v>448</v>
      </c>
      <c r="C1978" s="385" t="s">
        <v>3614</v>
      </c>
      <c r="D1978" s="385" t="s">
        <v>88</v>
      </c>
      <c r="E1978" s="385"/>
      <c r="F1978" s="385"/>
      <c r="G1978" s="385"/>
      <c r="H1978" s="385">
        <v>2024</v>
      </c>
      <c r="I1978" s="386">
        <v>45428</v>
      </c>
      <c r="J1978" s="30"/>
      <c r="K1978" s="385"/>
      <c r="L1978" s="385"/>
      <c r="M1978" s="385"/>
      <c r="N1978" s="385"/>
      <c r="O1978" s="385"/>
      <c r="P1978" s="385" t="str">
        <f>IFERROR(
    IF(
        OR(ISBLANK(I1978), ISBLANK(L1978)),
        "",
        MAX(
            1,
            IF(
                NETWORKDAYS(I1978, L1978, Holiday_Dates) &lt;= 0,
                1,
                NETWORKDAYS(I1978, L1978, Holiday_Dates) - IF(I1978 = L1978, 0, 1)
            )
        )
    ),
    ""
)</f>
        <v/>
      </c>
      <c r="Q1978" s="385" t="str">
        <f>IF(
    OR(ISBLANK(L1978), ISBLANK(M1978)),
    "",
    MAX(
        1,
        IF(
            NETWORKDAYS(L1978, M1978, Holiday_Dates) &lt;= 0,
            1,
            NETWORKDAYS(L1978, M1978, Holiday_Dates) - IF(L1978 = M1978, 0, 1)
        )
    )
)</f>
        <v/>
      </c>
      <c r="R1978" s="385" t="str">
        <f>IFERROR(
    IF(
        OR(ISBLANK(N1978), AND(ISBLANK(L1978), ISBLANK(M1978))),
        "",
        MAX(
            1,
            IF(
                NETWORKDAYS(IF(NOT(ISBLANK(M1978)), M1978, L1978), N1978, Holiday_Dates) &lt;= 0,
                1,
                NETWORKDAYS(IF(NOT(ISBLANK(M1978)), M1978, L1978), N1978, Holiday_Dates)
                - IF(IF(NOT(ISBLANK(M1978)), M1978, L1978) = N1978, 0, 1)
            )
        )
    ),
    ""
)</f>
        <v/>
      </c>
      <c r="S1978" s="385" t="str">
        <f>IFERROR(
    IF(
        OR(ISBLANK(N1978), ISBLANK(O1978)),
        "",
        MAX(
            1,
            IF(
                NETWORKDAYS(N1978, O1978, Holiday_Dates) &lt;= 0,
                1,
                NETWORKDAYS(N1978, O1978, Holiday_Dates) - IF(N1978 = O1978, 0, 1)
            )
        )
    ),
    ""
)</f>
        <v/>
      </c>
      <c r="T1978" s="385"/>
      <c r="U1978" s="385" t="s">
        <v>4</v>
      </c>
      <c r="V1978" s="385" t="s">
        <v>101</v>
      </c>
      <c r="W1978" s="385" t="s">
        <v>1436</v>
      </c>
      <c r="X1978" s="1"/>
    </row>
    <row r="1979" spans="1:24">
      <c r="A1979" s="385" t="s">
        <v>51</v>
      </c>
      <c r="B1979" s="385" t="s">
        <v>448</v>
      </c>
      <c r="C1979" s="385" t="s">
        <v>3616</v>
      </c>
      <c r="D1979" s="385" t="s">
        <v>88</v>
      </c>
      <c r="E1979" s="385"/>
      <c r="F1979" s="385"/>
      <c r="G1979" s="385"/>
      <c r="H1979" s="385">
        <v>2024</v>
      </c>
      <c r="I1979" s="386">
        <v>45428</v>
      </c>
      <c r="J1979" s="30"/>
      <c r="K1979" s="385"/>
      <c r="L1979" s="385"/>
      <c r="M1979" s="385"/>
      <c r="N1979" s="385"/>
      <c r="O1979" s="385"/>
      <c r="P1979" s="385" t="str">
        <f>IFERROR(
    IF(
        OR(ISBLANK(I1979), ISBLANK(L1979)),
        "",
        MAX(
            1,
            IF(
                NETWORKDAYS(I1979, L1979, Holiday_Dates) &lt;= 0,
                1,
                NETWORKDAYS(I1979, L1979, Holiday_Dates) - IF(I1979 = L1979, 0, 1)
            )
        )
    ),
    ""
)</f>
        <v/>
      </c>
      <c r="Q1979" s="385" t="str">
        <f>IF(
    OR(ISBLANK(L1979), ISBLANK(M1979)),
    "",
    MAX(
        1,
        IF(
            NETWORKDAYS(L1979, M1979, Holiday_Dates) &lt;= 0,
            1,
            NETWORKDAYS(L1979, M1979, Holiday_Dates) - IF(L1979 = M1979, 0, 1)
        )
    )
)</f>
        <v/>
      </c>
      <c r="R1979" s="385" t="str">
        <f>IFERROR(
    IF(
        OR(ISBLANK(N1979), AND(ISBLANK(L1979), ISBLANK(M1979))),
        "",
        MAX(
            1,
            IF(
                NETWORKDAYS(IF(NOT(ISBLANK(M1979)), M1979, L1979), N1979, Holiday_Dates) &lt;= 0,
                1,
                NETWORKDAYS(IF(NOT(ISBLANK(M1979)), M1979, L1979), N1979, Holiday_Dates)
                - IF(IF(NOT(ISBLANK(M1979)), M1979, L1979) = N1979, 0, 1)
            )
        )
    ),
    ""
)</f>
        <v/>
      </c>
      <c r="S1979" s="385" t="str">
        <f>IFERROR(
    IF(
        OR(ISBLANK(N1979), ISBLANK(O1979)),
        "",
        MAX(
            1,
            IF(
                NETWORKDAYS(N1979, O1979, Holiday_Dates) &lt;= 0,
                1,
                NETWORKDAYS(N1979, O1979, Holiday_Dates) - IF(N1979 = O1979, 0, 1)
            )
        )
    ),
    ""
)</f>
        <v/>
      </c>
      <c r="T1979" s="385"/>
      <c r="U1979" s="385" t="s">
        <v>672</v>
      </c>
      <c r="V1979" s="385" t="s">
        <v>101</v>
      </c>
      <c r="W1979" s="385" t="s">
        <v>1436</v>
      </c>
      <c r="X1979" s="1"/>
    </row>
    <row r="1980" spans="1:24">
      <c r="A1980" s="385" t="s">
        <v>51</v>
      </c>
      <c r="B1980" s="385" t="s">
        <v>448</v>
      </c>
      <c r="C1980" s="385" t="s">
        <v>3618</v>
      </c>
      <c r="D1980" s="385" t="s">
        <v>88</v>
      </c>
      <c r="E1980" s="385"/>
      <c r="F1980" s="385"/>
      <c r="G1980" s="385"/>
      <c r="H1980" s="385">
        <v>2025</v>
      </c>
      <c r="I1980" s="386">
        <v>45932</v>
      </c>
      <c r="J1980" s="30" t="s">
        <v>5444</v>
      </c>
      <c r="K1980" s="385"/>
      <c r="L1980" s="385"/>
      <c r="M1980" s="385"/>
      <c r="N1980" s="385"/>
      <c r="O1980" s="385"/>
      <c r="P1980" s="385" t="str">
        <f>IFERROR(
    IF(
        OR(ISBLANK(I1980), ISBLANK(L1980)),
        "",
        MAX(
            1,
            IF(
                NETWORKDAYS(I1980, L1980, Holiday_Dates) &lt;= 0,
                1,
                NETWORKDAYS(I1980, L1980, Holiday_Dates) - IF(I1980 = L1980, 0, 1)
            )
        )
    ),
    ""
)</f>
        <v/>
      </c>
      <c r="Q1980" s="385" t="str">
        <f>IF(
    OR(ISBLANK(L1980), ISBLANK(M1980)),
    "",
    MAX(
        1,
        IF(
            NETWORKDAYS(L1980, M1980, Holiday_Dates) &lt;= 0,
            1,
            NETWORKDAYS(L1980, M1980, Holiday_Dates) - IF(L1980 = M1980, 0, 1)
        )
    )
)</f>
        <v/>
      </c>
      <c r="R1980" s="385" t="str">
        <f>IFERROR(
    IF(
        OR(ISBLANK(N1980), AND(ISBLANK(L1980), ISBLANK(M1980))),
        "",
        MAX(
            1,
            IF(
                NETWORKDAYS(IF(NOT(ISBLANK(M1980)), M1980, L1980), N1980, Holiday_Dates) &lt;= 0,
                1,
                NETWORKDAYS(IF(NOT(ISBLANK(M1980)), M1980, L1980), N1980, Holiday_Dates)
                - IF(IF(NOT(ISBLANK(M1980)), M1980, L1980) = N1980, 0, 1)
            )
        )
    ),
    ""
)</f>
        <v/>
      </c>
      <c r="S1980" s="385" t="str">
        <f>IFERROR(
    IF(
        OR(ISBLANK(N1980), ISBLANK(O1980)),
        "",
        MAX(
            1,
            IF(
                NETWORKDAYS(N1980, O1980, Holiday_Dates) &lt;= 0,
                1,
                NETWORKDAYS(N1980, O1980, Holiday_Dates) - IF(N1980 = O1980, 0, 1)
            )
        )
    ),
    ""
)</f>
        <v/>
      </c>
      <c r="T1980" s="385"/>
      <c r="U1980" s="385" t="s">
        <v>672</v>
      </c>
      <c r="V1980" s="385" t="s">
        <v>1676</v>
      </c>
      <c r="W1980" s="385" t="s">
        <v>1436</v>
      </c>
      <c r="X1980" s="1"/>
    </row>
    <row r="1981" spans="1:24">
      <c r="A1981" s="385" t="s">
        <v>51</v>
      </c>
      <c r="B1981" s="385" t="s">
        <v>448</v>
      </c>
      <c r="C1981" s="385" t="s">
        <v>703</v>
      </c>
      <c r="D1981" s="385" t="s">
        <v>88</v>
      </c>
      <c r="E1981" s="385"/>
      <c r="F1981" s="385"/>
      <c r="G1981" s="385"/>
      <c r="H1981" s="385">
        <v>2025</v>
      </c>
      <c r="I1981" s="386">
        <v>45702</v>
      </c>
      <c r="J1981" s="30" t="s">
        <v>5445</v>
      </c>
      <c r="K1981" s="385"/>
      <c r="L1981" s="385"/>
      <c r="M1981" s="385"/>
      <c r="N1981" s="385"/>
      <c r="O1981" s="385"/>
      <c r="P1981" s="385" t="str">
        <f>IFERROR(
    IF(
        OR(ISBLANK(I1981), ISBLANK(L1981)),
        "",
        MAX(
            1,
            IF(
                NETWORKDAYS(I1981, L1981, Holiday_Dates) &lt;= 0,
                1,
                NETWORKDAYS(I1981, L1981, Holiday_Dates) - IF(I1981 = L1981, 0, 1)
            )
        )
    ),
    ""
)</f>
        <v/>
      </c>
      <c r="Q1981" s="385" t="str">
        <f>IF(
    OR(ISBLANK(L1981), ISBLANK(M1981)),
    "",
    MAX(
        1,
        IF(
            NETWORKDAYS(L1981, M1981, Holiday_Dates) &lt;= 0,
            1,
            NETWORKDAYS(L1981, M1981, Holiday_Dates) - IF(L1981 = M1981, 0, 1)
        )
    )
)</f>
        <v/>
      </c>
      <c r="R1981" s="385" t="str">
        <f>IFERROR(
    IF(
        OR(ISBLANK(N1981), AND(ISBLANK(L1981), ISBLANK(M1981))),
        "",
        MAX(
            1,
            IF(
                NETWORKDAYS(IF(NOT(ISBLANK(M1981)), M1981, L1981), N1981, Holiday_Dates) &lt;= 0,
                1,
                NETWORKDAYS(IF(NOT(ISBLANK(M1981)), M1981, L1981), N1981, Holiday_Dates)
                - IF(IF(NOT(ISBLANK(M1981)), M1981, L1981) = N1981, 0, 1)
            )
        )
    ),
    ""
)</f>
        <v/>
      </c>
      <c r="S1981" s="385" t="str">
        <f>IFERROR(
    IF(
        OR(ISBLANK(N1981), ISBLANK(O1981)),
        "",
        MAX(
            1,
            IF(
                NETWORKDAYS(N1981, O1981, Holiday_Dates) &lt;= 0,
                1,
                NETWORKDAYS(N1981, O1981, Holiday_Dates) - IF(N1981 = O1981, 0, 1)
            )
        )
    ),
    ""
)</f>
        <v/>
      </c>
      <c r="T1981" s="385"/>
      <c r="U1981" s="385" t="s">
        <v>4</v>
      </c>
      <c r="V1981" s="385" t="s">
        <v>101</v>
      </c>
      <c r="W1981" s="385" t="s">
        <v>1436</v>
      </c>
      <c r="X1981" s="1"/>
    </row>
    <row r="1982" spans="1:24">
      <c r="A1982" s="385" t="s">
        <v>49</v>
      </c>
      <c r="B1982" s="385" t="s">
        <v>378</v>
      </c>
      <c r="C1982" s="385" t="s">
        <v>2688</v>
      </c>
      <c r="D1982" s="385" t="s">
        <v>88</v>
      </c>
      <c r="E1982" s="385" t="s">
        <v>377</v>
      </c>
      <c r="F1982" s="385"/>
      <c r="G1982" s="385" t="s">
        <v>128</v>
      </c>
      <c r="H1982" s="385"/>
      <c r="I1982" s="385"/>
      <c r="J1982" s="30"/>
      <c r="K1982" s="385"/>
      <c r="L1982" s="385"/>
      <c r="M1982" s="385"/>
      <c r="N1982" s="385"/>
      <c r="O1982" s="385"/>
      <c r="P1982" s="385" t="str">
        <f>IFERROR(
    IF(
        OR(ISBLANK(I1982), ISBLANK(L1982)),
        "",
        MAX(
            1,
            IF(
                NETWORKDAYS(I1982, L1982, Holiday_Dates) &lt;= 0,
                1,
                NETWORKDAYS(I1982, L1982, Holiday_Dates) - IF(I1982 = L1982, 0, 1)
            )
        )
    ),
    ""
)</f>
        <v/>
      </c>
      <c r="Q1982" s="385" t="str">
        <f>IF(
    OR(ISBLANK(L1982), ISBLANK(M1982)),
    "",
    MAX(
        1,
        IF(
            NETWORKDAYS(L1982, M1982, Holiday_Dates) &lt;= 0,
            1,
            NETWORKDAYS(L1982, M1982, Holiday_Dates) - IF(L1982 = M1982, 0, 1)
        )
    )
)</f>
        <v/>
      </c>
      <c r="R1982" s="385" t="str">
        <f>IFERROR(
    IF(
        OR(ISBLANK(N1982), AND(ISBLANK(L1982), ISBLANK(M1982))),
        "",
        MAX(
            1,
            IF(
                NETWORKDAYS(IF(NOT(ISBLANK(M1982)), M1982, L1982), N1982, Holiday_Dates) &lt;= 0,
                1,
                NETWORKDAYS(IF(NOT(ISBLANK(M1982)), M1982, L1982), N1982, Holiday_Dates)
                - IF(IF(NOT(ISBLANK(M1982)), M1982, L1982) = N1982, 0, 1)
            )
        )
    ),
    ""
)</f>
        <v/>
      </c>
      <c r="S1982" s="385" t="str">
        <f>IFERROR(
    IF(
        OR(ISBLANK(N1982), ISBLANK(O1982)),
        "",
        MAX(
            1,
            IF(
                NETWORKDAYS(N1982, O1982, Holiday_Dates) &lt;= 0,
                1,
                NETWORKDAYS(N1982, O1982, Holiday_Dates) - IF(N1982 = O1982, 0, 1)
            )
        )
    ),
    ""
)</f>
        <v/>
      </c>
      <c r="T1982" s="385"/>
      <c r="U1982" s="385"/>
      <c r="V1982" s="385"/>
      <c r="W1982" s="385" t="s">
        <v>4710</v>
      </c>
      <c r="X1982" s="1"/>
    </row>
    <row r="1983" spans="1:24">
      <c r="A1983" s="385" t="s">
        <v>51</v>
      </c>
      <c r="B1983" s="385" t="s">
        <v>448</v>
      </c>
      <c r="C1983" s="385" t="s">
        <v>3039</v>
      </c>
      <c r="D1983" s="385" t="s">
        <v>88</v>
      </c>
      <c r="E1983" s="385"/>
      <c r="F1983" s="385"/>
      <c r="G1983" s="385"/>
      <c r="H1983" s="385">
        <v>2024</v>
      </c>
      <c r="I1983" s="386">
        <v>45485</v>
      </c>
      <c r="J1983" s="30"/>
      <c r="K1983" s="385"/>
      <c r="L1983" s="385"/>
      <c r="M1983" s="385"/>
      <c r="N1983" s="385"/>
      <c r="O1983" s="385"/>
      <c r="P1983" s="385" t="str">
        <f>IFERROR(
    IF(
        OR(ISBLANK(I1983), ISBLANK(L1983)),
        "",
        MAX(
            1,
            IF(
                NETWORKDAYS(I1983, L1983, Holiday_Dates) &lt;= 0,
                1,
                NETWORKDAYS(I1983, L1983, Holiday_Dates) - IF(I1983 = L1983, 0, 1)
            )
        )
    ),
    ""
)</f>
        <v/>
      </c>
      <c r="Q1983" s="385" t="str">
        <f>IF(
    OR(ISBLANK(L1983), ISBLANK(M1983)),
    "",
    MAX(
        1,
        IF(
            NETWORKDAYS(L1983, M1983, Holiday_Dates) &lt;= 0,
            1,
            NETWORKDAYS(L1983, M1983, Holiday_Dates) - IF(L1983 = M1983, 0, 1)
        )
    )
)</f>
        <v/>
      </c>
      <c r="R1983" s="385" t="str">
        <f>IFERROR(
    IF(
        OR(ISBLANK(N1983), AND(ISBLANK(L1983), ISBLANK(M1983))),
        "",
        MAX(
            1,
            IF(
                NETWORKDAYS(IF(NOT(ISBLANK(M1983)), M1983, L1983), N1983, Holiday_Dates) &lt;= 0,
                1,
                NETWORKDAYS(IF(NOT(ISBLANK(M1983)), M1983, L1983), N1983, Holiday_Dates)
                - IF(IF(NOT(ISBLANK(M1983)), M1983, L1983) = N1983, 0, 1)
            )
        )
    ),
    ""
)</f>
        <v/>
      </c>
      <c r="S1983" s="385" t="str">
        <f>IFERROR(
    IF(
        OR(ISBLANK(N1983), ISBLANK(O1983)),
        "",
        MAX(
            1,
            IF(
                NETWORKDAYS(N1983, O1983, Holiday_Dates) &lt;= 0,
                1,
                NETWORKDAYS(N1983, O1983, Holiday_Dates) - IF(N1983 = O1983, 0, 1)
            )
        )
    ),
    ""
)</f>
        <v/>
      </c>
      <c r="T1983" s="385"/>
      <c r="U1983" s="385" t="s">
        <v>4</v>
      </c>
      <c r="V1983" s="385" t="s">
        <v>101</v>
      </c>
      <c r="W1983" s="385" t="s">
        <v>1436</v>
      </c>
      <c r="X1983" s="1"/>
    </row>
    <row r="1984" spans="1:24">
      <c r="A1984" s="385" t="s">
        <v>51</v>
      </c>
      <c r="B1984" s="385" t="s">
        <v>448</v>
      </c>
      <c r="C1984" s="385" t="s">
        <v>3620</v>
      </c>
      <c r="D1984" s="385" t="s">
        <v>88</v>
      </c>
      <c r="E1984" s="385"/>
      <c r="F1984" s="385"/>
      <c r="G1984" s="385"/>
      <c r="H1984" s="385">
        <v>2024</v>
      </c>
      <c r="I1984" s="386">
        <v>45485</v>
      </c>
      <c r="J1984" s="30"/>
      <c r="K1984" s="385"/>
      <c r="L1984" s="385"/>
      <c r="M1984" s="385"/>
      <c r="N1984" s="385"/>
      <c r="O1984" s="385"/>
      <c r="P1984" s="385" t="str">
        <f>IFERROR(
    IF(
        OR(ISBLANK(I1984), ISBLANK(L1984)),
        "",
        MAX(
            1,
            IF(
                NETWORKDAYS(I1984, L1984, Holiday_Dates) &lt;= 0,
                1,
                NETWORKDAYS(I1984, L1984, Holiday_Dates) - IF(I1984 = L1984, 0, 1)
            )
        )
    ),
    ""
)</f>
        <v/>
      </c>
      <c r="Q1984" s="385" t="str">
        <f>IF(
    OR(ISBLANK(L1984), ISBLANK(M1984)),
    "",
    MAX(
        1,
        IF(
            NETWORKDAYS(L1984, M1984, Holiday_Dates) &lt;= 0,
            1,
            NETWORKDAYS(L1984, M1984, Holiday_Dates) - IF(L1984 = M1984, 0, 1)
        )
    )
)</f>
        <v/>
      </c>
      <c r="R1984" s="385" t="str">
        <f>IFERROR(
    IF(
        OR(ISBLANK(N1984), AND(ISBLANK(L1984), ISBLANK(M1984))),
        "",
        MAX(
            1,
            IF(
                NETWORKDAYS(IF(NOT(ISBLANK(M1984)), M1984, L1984), N1984, Holiday_Dates) &lt;= 0,
                1,
                NETWORKDAYS(IF(NOT(ISBLANK(M1984)), M1984, L1984), N1984, Holiday_Dates)
                - IF(IF(NOT(ISBLANK(M1984)), M1984, L1984) = N1984, 0, 1)
            )
        )
    ),
    ""
)</f>
        <v/>
      </c>
      <c r="S1984" s="385" t="str">
        <f>IFERROR(
    IF(
        OR(ISBLANK(N1984), ISBLANK(O1984)),
        "",
        MAX(
            1,
            IF(
                NETWORKDAYS(N1984, O1984, Holiday_Dates) &lt;= 0,
                1,
                NETWORKDAYS(N1984, O1984, Holiday_Dates) - IF(N1984 = O1984, 0, 1)
            )
        )
    ),
    ""
)</f>
        <v/>
      </c>
      <c r="T1984" s="385"/>
      <c r="U1984" s="385" t="s">
        <v>672</v>
      </c>
      <c r="V1984" s="385" t="s">
        <v>101</v>
      </c>
      <c r="W1984" s="385" t="s">
        <v>1436</v>
      </c>
      <c r="X1984" s="1"/>
    </row>
    <row r="1985" spans="1:24">
      <c r="A1985" s="385" t="s">
        <v>51</v>
      </c>
      <c r="B1985" s="385" t="s">
        <v>448</v>
      </c>
      <c r="C1985" s="385" t="s">
        <v>3622</v>
      </c>
      <c r="D1985" s="385" t="s">
        <v>88</v>
      </c>
      <c r="E1985" s="385"/>
      <c r="F1985" s="385"/>
      <c r="G1985" s="385"/>
      <c r="H1985" s="385">
        <v>2024</v>
      </c>
      <c r="I1985" s="386">
        <v>45457</v>
      </c>
      <c r="J1985" s="30"/>
      <c r="K1985" s="385"/>
      <c r="L1985" s="385"/>
      <c r="M1985" s="385"/>
      <c r="N1985" s="385"/>
      <c r="O1985" s="385"/>
      <c r="P1985" s="385" t="str">
        <f>IFERROR(
    IF(
        OR(ISBLANK(I1985), ISBLANK(L1985)),
        "",
        MAX(
            1,
            IF(
                NETWORKDAYS(I1985, L1985, Holiday_Dates) &lt;= 0,
                1,
                NETWORKDAYS(I1985, L1985, Holiday_Dates) - IF(I1985 = L1985, 0, 1)
            )
        )
    ),
    ""
)</f>
        <v/>
      </c>
      <c r="Q1985" s="385" t="str">
        <f>IF(
    OR(ISBLANK(L1985), ISBLANK(M1985)),
    "",
    MAX(
        1,
        IF(
            NETWORKDAYS(L1985, M1985, Holiday_Dates) &lt;= 0,
            1,
            NETWORKDAYS(L1985, M1985, Holiday_Dates) - IF(L1985 = M1985, 0, 1)
        )
    )
)</f>
        <v/>
      </c>
      <c r="R1985" s="385" t="str">
        <f>IFERROR(
    IF(
        OR(ISBLANK(N1985), AND(ISBLANK(L1985), ISBLANK(M1985))),
        "",
        MAX(
            1,
            IF(
                NETWORKDAYS(IF(NOT(ISBLANK(M1985)), M1985, L1985), N1985, Holiday_Dates) &lt;= 0,
                1,
                NETWORKDAYS(IF(NOT(ISBLANK(M1985)), M1985, L1985), N1985, Holiday_Dates)
                - IF(IF(NOT(ISBLANK(M1985)), M1985, L1985) = N1985, 0, 1)
            )
        )
    ),
    ""
)</f>
        <v/>
      </c>
      <c r="S1985" s="385" t="str">
        <f>IFERROR(
    IF(
        OR(ISBLANK(N1985), ISBLANK(O1985)),
        "",
        MAX(
            1,
            IF(
                NETWORKDAYS(N1985, O1985, Holiday_Dates) &lt;= 0,
                1,
                NETWORKDAYS(N1985, O1985, Holiday_Dates) - IF(N1985 = O1985, 0, 1)
            )
        )
    ),
    ""
)</f>
        <v/>
      </c>
      <c r="T1985" s="385"/>
      <c r="U1985" s="385" t="s">
        <v>4</v>
      </c>
      <c r="V1985" s="385" t="s">
        <v>101</v>
      </c>
      <c r="W1985" s="385" t="s">
        <v>1436</v>
      </c>
      <c r="X1985" s="1"/>
    </row>
    <row r="1986" spans="1:24">
      <c r="A1986" s="385" t="s">
        <v>51</v>
      </c>
      <c r="B1986" s="385" t="s">
        <v>448</v>
      </c>
      <c r="C1986" s="385" t="s">
        <v>3624</v>
      </c>
      <c r="D1986" s="385" t="s">
        <v>88</v>
      </c>
      <c r="E1986" s="385"/>
      <c r="F1986" s="385"/>
      <c r="G1986" s="385"/>
      <c r="H1986" s="385">
        <v>2025</v>
      </c>
      <c r="I1986" s="386">
        <v>45728</v>
      </c>
      <c r="J1986" s="30" t="s">
        <v>5446</v>
      </c>
      <c r="K1986" s="385"/>
      <c r="L1986" s="385"/>
      <c r="M1986" s="385"/>
      <c r="N1986" s="385"/>
      <c r="O1986" s="385"/>
      <c r="P1986" s="385" t="str">
        <f>IFERROR(
    IF(
        OR(ISBLANK(I1986), ISBLANK(L1986)),
        "",
        MAX(
            1,
            IF(
                NETWORKDAYS(I1986, L1986, Holiday_Dates) &lt;= 0,
                1,
                NETWORKDAYS(I1986, L1986, Holiday_Dates) - IF(I1986 = L1986, 0, 1)
            )
        )
    ),
    ""
)</f>
        <v/>
      </c>
      <c r="Q1986" s="385" t="str">
        <f>IF(
    OR(ISBLANK(L1986), ISBLANK(M1986)),
    "",
    MAX(
        1,
        IF(
            NETWORKDAYS(L1986, M1986, Holiday_Dates) &lt;= 0,
            1,
            NETWORKDAYS(L1986, M1986, Holiday_Dates) - IF(L1986 = M1986, 0, 1)
        )
    )
)</f>
        <v/>
      </c>
      <c r="R1986" s="385" t="str">
        <f>IFERROR(
    IF(
        OR(ISBLANK(N1986), AND(ISBLANK(L1986), ISBLANK(M1986))),
        "",
        MAX(
            1,
            IF(
                NETWORKDAYS(IF(NOT(ISBLANK(M1986)), M1986, L1986), N1986, Holiday_Dates) &lt;= 0,
                1,
                NETWORKDAYS(IF(NOT(ISBLANK(M1986)), M1986, L1986), N1986, Holiday_Dates)
                - IF(IF(NOT(ISBLANK(M1986)), M1986, L1986) = N1986, 0, 1)
            )
        )
    ),
    ""
)</f>
        <v/>
      </c>
      <c r="S1986" s="385" t="str">
        <f>IFERROR(
    IF(
        OR(ISBLANK(N1986), ISBLANK(O1986)),
        "",
        MAX(
            1,
            IF(
                NETWORKDAYS(N1986, O1986, Holiday_Dates) &lt;= 0,
                1,
                NETWORKDAYS(N1986, O1986, Holiday_Dates) - IF(N1986 = O1986, 0, 1)
            )
        )
    ),
    ""
)</f>
        <v/>
      </c>
      <c r="T1986" s="385"/>
      <c r="U1986" s="385" t="s">
        <v>672</v>
      </c>
      <c r="V1986" s="385" t="s">
        <v>1676</v>
      </c>
      <c r="W1986" s="385" t="s">
        <v>1436</v>
      </c>
      <c r="X1986" s="1"/>
    </row>
    <row r="1987" spans="1:24">
      <c r="A1987" s="385" t="s">
        <v>51</v>
      </c>
      <c r="B1987" s="385" t="s">
        <v>448</v>
      </c>
      <c r="C1987" s="385" t="s">
        <v>3625</v>
      </c>
      <c r="D1987" s="385" t="s">
        <v>88</v>
      </c>
      <c r="E1987" s="385"/>
      <c r="F1987" s="385"/>
      <c r="G1987" s="385"/>
      <c r="H1987" s="385">
        <v>2025</v>
      </c>
      <c r="I1987" s="386">
        <v>45940</v>
      </c>
      <c r="J1987" s="30" t="s">
        <v>5447</v>
      </c>
      <c r="K1987" s="385"/>
      <c r="L1987" s="385"/>
      <c r="M1987" s="385"/>
      <c r="N1987" s="385"/>
      <c r="O1987" s="385"/>
      <c r="P1987" s="385" t="str">
        <f>IFERROR(
    IF(
        OR(ISBLANK(I1987), ISBLANK(L1987)),
        "",
        MAX(
            1,
            IF(
                NETWORKDAYS(I1987, L1987, Holiday_Dates) &lt;= 0,
                1,
                NETWORKDAYS(I1987, L1987, Holiday_Dates) - IF(I1987 = L1987, 0, 1)
            )
        )
    ),
    ""
)</f>
        <v/>
      </c>
      <c r="Q1987" s="385" t="str">
        <f>IF(
    OR(ISBLANK(L1987), ISBLANK(M1987)),
    "",
    MAX(
        1,
        IF(
            NETWORKDAYS(L1987, M1987, Holiday_Dates) &lt;= 0,
            1,
            NETWORKDAYS(L1987, M1987, Holiday_Dates) - IF(L1987 = M1987, 0, 1)
        )
    )
)</f>
        <v/>
      </c>
      <c r="R1987" s="385" t="str">
        <f>IFERROR(
    IF(
        OR(ISBLANK(N1987), AND(ISBLANK(L1987), ISBLANK(M1987))),
        "",
        MAX(
            1,
            IF(
                NETWORKDAYS(IF(NOT(ISBLANK(M1987)), M1987, L1987), N1987, Holiday_Dates) &lt;= 0,
                1,
                NETWORKDAYS(IF(NOT(ISBLANK(M1987)), M1987, L1987), N1987, Holiday_Dates)
                - IF(IF(NOT(ISBLANK(M1987)), M1987, L1987) = N1987, 0, 1)
            )
        )
    ),
    ""
)</f>
        <v/>
      </c>
      <c r="S1987" s="385" t="str">
        <f>IFERROR(
    IF(
        OR(ISBLANK(N1987), ISBLANK(O1987)),
        "",
        MAX(
            1,
            IF(
                NETWORKDAYS(N1987, O1987, Holiday_Dates) &lt;= 0,
                1,
                NETWORKDAYS(N1987, O1987, Holiday_Dates) - IF(N1987 = O1987, 0, 1)
            )
        )
    ),
    ""
)</f>
        <v/>
      </c>
      <c r="T1987" s="385"/>
      <c r="U1987" s="385" t="s">
        <v>4</v>
      </c>
      <c r="V1987" s="385" t="s">
        <v>101</v>
      </c>
      <c r="W1987" s="385" t="s">
        <v>1436</v>
      </c>
      <c r="X1987" s="1"/>
    </row>
    <row r="1988" spans="1:24">
      <c r="A1988" s="385" t="s">
        <v>51</v>
      </c>
      <c r="B1988" s="385" t="s">
        <v>448</v>
      </c>
      <c r="C1988" s="385" t="s">
        <v>1042</v>
      </c>
      <c r="D1988" s="385" t="s">
        <v>88</v>
      </c>
      <c r="E1988" s="385"/>
      <c r="F1988" s="385"/>
      <c r="G1988" s="385"/>
      <c r="H1988" s="385">
        <v>2024</v>
      </c>
      <c r="I1988" s="386">
        <v>45457</v>
      </c>
      <c r="J1988" s="30"/>
      <c r="K1988" s="385"/>
      <c r="L1988" s="385"/>
      <c r="M1988" s="385"/>
      <c r="N1988" s="385"/>
      <c r="O1988" s="385"/>
      <c r="P1988" s="385" t="str">
        <f>IFERROR(
    IF(
        OR(ISBLANK(I1988), ISBLANK(L1988)),
        "",
        MAX(
            1,
            IF(
                NETWORKDAYS(I1988, L1988, Holiday_Dates) &lt;= 0,
                1,
                NETWORKDAYS(I1988, L1988, Holiday_Dates) - IF(I1988 = L1988, 0, 1)
            )
        )
    ),
    ""
)</f>
        <v/>
      </c>
      <c r="Q1988" s="385" t="str">
        <f>IF(
    OR(ISBLANK(L1988), ISBLANK(M1988)),
    "",
    MAX(
        1,
        IF(
            NETWORKDAYS(L1988, M1988, Holiday_Dates) &lt;= 0,
            1,
            NETWORKDAYS(L1988, M1988, Holiday_Dates) - IF(L1988 = M1988, 0, 1)
        )
    )
)</f>
        <v/>
      </c>
      <c r="R1988" s="385" t="str">
        <f>IFERROR(
    IF(
        OR(ISBLANK(N1988), AND(ISBLANK(L1988), ISBLANK(M1988))),
        "",
        MAX(
            1,
            IF(
                NETWORKDAYS(IF(NOT(ISBLANK(M1988)), M1988, L1988), N1988, Holiday_Dates) &lt;= 0,
                1,
                NETWORKDAYS(IF(NOT(ISBLANK(M1988)), M1988, L1988), N1988, Holiday_Dates)
                - IF(IF(NOT(ISBLANK(M1988)), M1988, L1988) = N1988, 0, 1)
            )
        )
    ),
    ""
)</f>
        <v/>
      </c>
      <c r="S1988" s="385" t="str">
        <f>IFERROR(
    IF(
        OR(ISBLANK(N1988), ISBLANK(O1988)),
        "",
        MAX(
            1,
            IF(
                NETWORKDAYS(N1988, O1988, Holiday_Dates) &lt;= 0,
                1,
                NETWORKDAYS(N1988, O1988, Holiday_Dates) - IF(N1988 = O1988, 0, 1)
            )
        )
    ),
    ""
)</f>
        <v/>
      </c>
      <c r="T1988" s="385"/>
      <c r="U1988" s="385" t="s">
        <v>4</v>
      </c>
      <c r="V1988" s="385" t="s">
        <v>101</v>
      </c>
      <c r="W1988" s="385" t="s">
        <v>1436</v>
      </c>
      <c r="X1988" s="1"/>
    </row>
    <row r="1989" spans="1:24">
      <c r="A1989" s="385" t="s">
        <v>51</v>
      </c>
      <c r="B1989" s="385" t="s">
        <v>448</v>
      </c>
      <c r="C1989" s="385" t="s">
        <v>1059</v>
      </c>
      <c r="D1989" s="385" t="s">
        <v>88</v>
      </c>
      <c r="E1989" s="385"/>
      <c r="F1989" s="385"/>
      <c r="G1989" s="385"/>
      <c r="H1989" s="385">
        <v>2025</v>
      </c>
      <c r="I1989" s="386">
        <v>45940</v>
      </c>
      <c r="J1989" s="30" t="s">
        <v>5448</v>
      </c>
      <c r="K1989" s="385"/>
      <c r="L1989" s="385"/>
      <c r="M1989" s="385"/>
      <c r="N1989" s="385"/>
      <c r="O1989" s="385"/>
      <c r="P1989" s="385" t="str">
        <f>IFERROR(
    IF(
        OR(ISBLANK(I1989), ISBLANK(L1989)),
        "",
        MAX(
            1,
            IF(
                NETWORKDAYS(I1989, L1989, Holiday_Dates) &lt;= 0,
                1,
                NETWORKDAYS(I1989, L1989, Holiday_Dates) - IF(I1989 = L1989, 0, 1)
            )
        )
    ),
    ""
)</f>
        <v/>
      </c>
      <c r="Q1989" s="385" t="str">
        <f>IF(
    OR(ISBLANK(L1989), ISBLANK(M1989)),
    "",
    MAX(
        1,
        IF(
            NETWORKDAYS(L1989, M1989, Holiday_Dates) &lt;= 0,
            1,
            NETWORKDAYS(L1989, M1989, Holiday_Dates) - IF(L1989 = M1989, 0, 1)
        )
    )
)</f>
        <v/>
      </c>
      <c r="R1989" s="385" t="str">
        <f>IFERROR(
    IF(
        OR(ISBLANK(N1989), AND(ISBLANK(L1989), ISBLANK(M1989))),
        "",
        MAX(
            1,
            IF(
                NETWORKDAYS(IF(NOT(ISBLANK(M1989)), M1989, L1989), N1989, Holiday_Dates) &lt;= 0,
                1,
                NETWORKDAYS(IF(NOT(ISBLANK(M1989)), M1989, L1989), N1989, Holiday_Dates)
                - IF(IF(NOT(ISBLANK(M1989)), M1989, L1989) = N1989, 0, 1)
            )
        )
    ),
    ""
)</f>
        <v/>
      </c>
      <c r="S1989" s="385" t="str">
        <f>IFERROR(
    IF(
        OR(ISBLANK(N1989), ISBLANK(O1989)),
        "",
        MAX(
            1,
            IF(
                NETWORKDAYS(N1989, O1989, Holiday_Dates) &lt;= 0,
                1,
                NETWORKDAYS(N1989, O1989, Holiday_Dates) - IF(N1989 = O1989, 0, 1)
            )
        )
    ),
    ""
)</f>
        <v/>
      </c>
      <c r="T1989" s="385"/>
      <c r="U1989" s="385" t="s">
        <v>672</v>
      </c>
      <c r="V1989" s="385" t="s">
        <v>101</v>
      </c>
      <c r="W1989" s="385" t="s">
        <v>1436</v>
      </c>
      <c r="X1989" s="1"/>
    </row>
    <row r="1990" spans="1:24">
      <c r="A1990" s="385" t="s">
        <v>51</v>
      </c>
      <c r="B1990" s="385" t="s">
        <v>448</v>
      </c>
      <c r="C1990" s="385" t="s">
        <v>3641</v>
      </c>
      <c r="D1990" s="385" t="s">
        <v>88</v>
      </c>
      <c r="E1990" s="385"/>
      <c r="F1990" s="385"/>
      <c r="G1990" s="385"/>
      <c r="H1990" s="385">
        <v>2025</v>
      </c>
      <c r="I1990" s="386">
        <v>45940</v>
      </c>
      <c r="J1990" s="30" t="s">
        <v>5449</v>
      </c>
      <c r="K1990" s="385"/>
      <c r="L1990" s="385"/>
      <c r="M1990" s="385"/>
      <c r="N1990" s="385"/>
      <c r="O1990" s="385"/>
      <c r="P1990" s="385" t="str">
        <f>IFERROR(
    IF(
        OR(ISBLANK(I1990), ISBLANK(L1990)),
        "",
        MAX(
            1,
            IF(
                NETWORKDAYS(I1990, L1990, Holiday_Dates) &lt;= 0,
                1,
                NETWORKDAYS(I1990, L1990, Holiday_Dates) - IF(I1990 = L1990, 0, 1)
            )
        )
    ),
    ""
)</f>
        <v/>
      </c>
      <c r="Q1990" s="385" t="str">
        <f>IF(
    OR(ISBLANK(L1990), ISBLANK(M1990)),
    "",
    MAX(
        1,
        IF(
            NETWORKDAYS(L1990, M1990, Holiday_Dates) &lt;= 0,
            1,
            NETWORKDAYS(L1990, M1990, Holiday_Dates) - IF(L1990 = M1990, 0, 1)
        )
    )
)</f>
        <v/>
      </c>
      <c r="R1990" s="385" t="str">
        <f>IFERROR(
    IF(
        OR(ISBLANK(N1990), AND(ISBLANK(L1990), ISBLANK(M1990))),
        "",
        MAX(
            1,
            IF(
                NETWORKDAYS(IF(NOT(ISBLANK(M1990)), M1990, L1990), N1990, Holiday_Dates) &lt;= 0,
                1,
                NETWORKDAYS(IF(NOT(ISBLANK(M1990)), M1990, L1990), N1990, Holiday_Dates)
                - IF(IF(NOT(ISBLANK(M1990)), M1990, L1990) = N1990, 0, 1)
            )
        )
    ),
    ""
)</f>
        <v/>
      </c>
      <c r="S1990" s="385" t="str">
        <f>IFERROR(
    IF(
        OR(ISBLANK(N1990), ISBLANK(O1990)),
        "",
        MAX(
            1,
            IF(
                NETWORKDAYS(N1990, O1990, Holiday_Dates) &lt;= 0,
                1,
                NETWORKDAYS(N1990, O1990, Holiday_Dates) - IF(N1990 = O1990, 0, 1)
            )
        )
    ),
    ""
)</f>
        <v/>
      </c>
      <c r="T1990" s="385"/>
      <c r="U1990" s="385" t="s">
        <v>672</v>
      </c>
      <c r="V1990" s="385" t="s">
        <v>101</v>
      </c>
      <c r="W1990" s="385" t="s">
        <v>1436</v>
      </c>
      <c r="X1990" s="1"/>
    </row>
    <row r="1991" spans="1:24">
      <c r="A1991" s="385" t="s">
        <v>51</v>
      </c>
      <c r="B1991" s="385" t="s">
        <v>448</v>
      </c>
      <c r="C1991" s="385" t="s">
        <v>3628</v>
      </c>
      <c r="D1991" s="385" t="s">
        <v>88</v>
      </c>
      <c r="E1991" s="385"/>
      <c r="F1991" s="385"/>
      <c r="G1991" s="385"/>
      <c r="H1991" s="385">
        <v>2025</v>
      </c>
      <c r="I1991" s="386">
        <v>45940</v>
      </c>
      <c r="J1991" s="30" t="s">
        <v>5450</v>
      </c>
      <c r="K1991" s="385"/>
      <c r="L1991" s="385"/>
      <c r="M1991" s="385"/>
      <c r="N1991" s="385"/>
      <c r="O1991" s="385"/>
      <c r="P1991" s="385" t="str">
        <f>IFERROR(
    IF(
        OR(ISBLANK(I1991), ISBLANK(L1991)),
        "",
        MAX(
            1,
            IF(
                NETWORKDAYS(I1991, L1991, Holiday_Dates) &lt;= 0,
                1,
                NETWORKDAYS(I1991, L1991, Holiday_Dates) - IF(I1991 = L1991, 0, 1)
            )
        )
    ),
    ""
)</f>
        <v/>
      </c>
      <c r="Q1991" s="385" t="str">
        <f>IF(
    OR(ISBLANK(L1991), ISBLANK(M1991)),
    "",
    MAX(
        1,
        IF(
            NETWORKDAYS(L1991, M1991, Holiday_Dates) &lt;= 0,
            1,
            NETWORKDAYS(L1991, M1991, Holiday_Dates) - IF(L1991 = M1991, 0, 1)
        )
    )
)</f>
        <v/>
      </c>
      <c r="R1991" s="385" t="str">
        <f>IFERROR(
    IF(
        OR(ISBLANK(N1991), AND(ISBLANK(L1991), ISBLANK(M1991))),
        "",
        MAX(
            1,
            IF(
                NETWORKDAYS(IF(NOT(ISBLANK(M1991)), M1991, L1991), N1991, Holiday_Dates) &lt;= 0,
                1,
                NETWORKDAYS(IF(NOT(ISBLANK(M1991)), M1991, L1991), N1991, Holiday_Dates)
                - IF(IF(NOT(ISBLANK(M1991)), M1991, L1991) = N1991, 0, 1)
            )
        )
    ),
    ""
)</f>
        <v/>
      </c>
      <c r="S1991" s="385" t="str">
        <f>IFERROR(
    IF(
        OR(ISBLANK(N1991), ISBLANK(O1991)),
        "",
        MAX(
            1,
            IF(
                NETWORKDAYS(N1991, O1991, Holiday_Dates) &lt;= 0,
                1,
                NETWORKDAYS(N1991, O1991, Holiday_Dates) - IF(N1991 = O1991, 0, 1)
            )
        )
    ),
    ""
)</f>
        <v/>
      </c>
      <c r="T1991" s="385"/>
      <c r="U1991" s="385" t="s">
        <v>672</v>
      </c>
      <c r="V1991" s="385" t="s">
        <v>108</v>
      </c>
      <c r="W1991" s="385" t="s">
        <v>1436</v>
      </c>
      <c r="X1991" s="1"/>
    </row>
    <row r="1992" spans="1:24">
      <c r="A1992" s="385" t="s">
        <v>51</v>
      </c>
      <c r="B1992" s="385" t="s">
        <v>448</v>
      </c>
      <c r="C1992" s="385" t="s">
        <v>890</v>
      </c>
      <c r="D1992" s="385" t="s">
        <v>88</v>
      </c>
      <c r="E1992" s="385"/>
      <c r="F1992" s="385"/>
      <c r="G1992" s="385"/>
      <c r="H1992" s="385">
        <v>2025</v>
      </c>
      <c r="I1992" s="386">
        <v>45940</v>
      </c>
      <c r="J1992" s="30" t="s">
        <v>5451</v>
      </c>
      <c r="K1992" s="385"/>
      <c r="L1992" s="385"/>
      <c r="M1992" s="385"/>
      <c r="N1992" s="385"/>
      <c r="O1992" s="385"/>
      <c r="P1992" s="385" t="str">
        <f>IFERROR(
    IF(
        OR(ISBLANK(I1992), ISBLANK(L1992)),
        "",
        MAX(
            1,
            IF(
                NETWORKDAYS(I1992, L1992, Holiday_Dates) &lt;= 0,
                1,
                NETWORKDAYS(I1992, L1992, Holiday_Dates) - IF(I1992 = L1992, 0, 1)
            )
        )
    ),
    ""
)</f>
        <v/>
      </c>
      <c r="Q1992" s="385" t="str">
        <f>IF(
    OR(ISBLANK(L1992), ISBLANK(M1992)),
    "",
    MAX(
        1,
        IF(
            NETWORKDAYS(L1992, M1992, Holiday_Dates) &lt;= 0,
            1,
            NETWORKDAYS(L1992, M1992, Holiday_Dates) - IF(L1992 = M1992, 0, 1)
        )
    )
)</f>
        <v/>
      </c>
      <c r="R1992" s="385" t="str">
        <f>IFERROR(
    IF(
        OR(ISBLANK(N1992), AND(ISBLANK(L1992), ISBLANK(M1992))),
        "",
        MAX(
            1,
            IF(
                NETWORKDAYS(IF(NOT(ISBLANK(M1992)), M1992, L1992), N1992, Holiday_Dates) &lt;= 0,
                1,
                NETWORKDAYS(IF(NOT(ISBLANK(M1992)), M1992, L1992), N1992, Holiday_Dates)
                - IF(IF(NOT(ISBLANK(M1992)), M1992, L1992) = N1992, 0, 1)
            )
        )
    ),
    ""
)</f>
        <v/>
      </c>
      <c r="S1992" s="385" t="str">
        <f>IFERROR(
    IF(
        OR(ISBLANK(N1992), ISBLANK(O1992)),
        "",
        MAX(
            1,
            IF(
                NETWORKDAYS(N1992, O1992, Holiday_Dates) &lt;= 0,
                1,
                NETWORKDAYS(N1992, O1992, Holiday_Dates) - IF(N1992 = O1992, 0, 1)
            )
        )
    ),
    ""
)</f>
        <v/>
      </c>
      <c r="T1992" s="385"/>
      <c r="U1992" s="385" t="s">
        <v>672</v>
      </c>
      <c r="V1992" s="385" t="s">
        <v>101</v>
      </c>
      <c r="W1992" s="385" t="s">
        <v>1436</v>
      </c>
      <c r="X1992" s="1"/>
    </row>
    <row r="1993" spans="1:24">
      <c r="A1993" s="385" t="s">
        <v>51</v>
      </c>
      <c r="B1993" s="385" t="s">
        <v>448</v>
      </c>
      <c r="C1993" s="385" t="s">
        <v>3629</v>
      </c>
      <c r="D1993" s="385" t="s">
        <v>88</v>
      </c>
      <c r="E1993" s="385"/>
      <c r="F1993" s="385"/>
      <c r="G1993" s="385"/>
      <c r="H1993" s="385">
        <v>2024</v>
      </c>
      <c r="I1993" s="386">
        <v>45569</v>
      </c>
      <c r="J1993" s="30"/>
      <c r="K1993" s="385"/>
      <c r="L1993" s="385"/>
      <c r="M1993" s="385"/>
      <c r="N1993" s="385"/>
      <c r="O1993" s="385"/>
      <c r="P1993" s="385" t="str">
        <f>IFERROR(
    IF(
        OR(ISBLANK(I1993), ISBLANK(L1993)),
        "",
        MAX(
            1,
            IF(
                NETWORKDAYS(I1993, L1993, Holiday_Dates) &lt;= 0,
                1,
                NETWORKDAYS(I1993, L1993, Holiday_Dates) - IF(I1993 = L1993, 0, 1)
            )
        )
    ),
    ""
)</f>
        <v/>
      </c>
      <c r="Q1993" s="385" t="str">
        <f>IF(
    OR(ISBLANK(L1993), ISBLANK(M1993)),
    "",
    MAX(
        1,
        IF(
            NETWORKDAYS(L1993, M1993, Holiday_Dates) &lt;= 0,
            1,
            NETWORKDAYS(L1993, M1993, Holiday_Dates) - IF(L1993 = M1993, 0, 1)
        )
    )
)</f>
        <v/>
      </c>
      <c r="R1993" s="385" t="str">
        <f>IFERROR(
    IF(
        OR(ISBLANK(N1993), AND(ISBLANK(L1993), ISBLANK(M1993))),
        "",
        MAX(
            1,
            IF(
                NETWORKDAYS(IF(NOT(ISBLANK(M1993)), M1993, L1993), N1993, Holiday_Dates) &lt;= 0,
                1,
                NETWORKDAYS(IF(NOT(ISBLANK(M1993)), M1993, L1993), N1993, Holiday_Dates)
                - IF(IF(NOT(ISBLANK(M1993)), M1993, L1993) = N1993, 0, 1)
            )
        )
    ),
    ""
)</f>
        <v/>
      </c>
      <c r="S1993" s="385" t="str">
        <f>IFERROR(
    IF(
        OR(ISBLANK(N1993), ISBLANK(O1993)),
        "",
        MAX(
            1,
            IF(
                NETWORKDAYS(N1993, O1993, Holiday_Dates) &lt;= 0,
                1,
                NETWORKDAYS(N1993, O1993, Holiday_Dates) - IF(N1993 = O1993, 0, 1)
            )
        )
    ),
    ""
)</f>
        <v/>
      </c>
      <c r="T1993" s="385"/>
      <c r="U1993" s="385" t="s">
        <v>672</v>
      </c>
      <c r="V1993" s="385" t="s">
        <v>101</v>
      </c>
      <c r="W1993" s="385" t="s">
        <v>1436</v>
      </c>
      <c r="X1993" s="1"/>
    </row>
    <row r="1994" spans="1:24">
      <c r="A1994" s="385" t="s">
        <v>51</v>
      </c>
      <c r="B1994" s="385" t="s">
        <v>448</v>
      </c>
      <c r="C1994" s="385" t="s">
        <v>3631</v>
      </c>
      <c r="D1994" s="385" t="s">
        <v>88</v>
      </c>
      <c r="E1994" s="385"/>
      <c r="F1994" s="385"/>
      <c r="G1994" s="385"/>
      <c r="H1994" s="385">
        <v>2024</v>
      </c>
      <c r="I1994" s="386">
        <v>45457</v>
      </c>
      <c r="J1994" s="30"/>
      <c r="K1994" s="385"/>
      <c r="L1994" s="385"/>
      <c r="M1994" s="385"/>
      <c r="N1994" s="385"/>
      <c r="O1994" s="385"/>
      <c r="P1994" s="385" t="str">
        <f>IFERROR(
    IF(
        OR(ISBLANK(I1994), ISBLANK(L1994)),
        "",
        MAX(
            1,
            IF(
                NETWORKDAYS(I1994, L1994, Holiday_Dates) &lt;= 0,
                1,
                NETWORKDAYS(I1994, L1994, Holiday_Dates) - IF(I1994 = L1994, 0, 1)
            )
        )
    ),
    ""
)</f>
        <v/>
      </c>
      <c r="Q1994" s="385" t="str">
        <f>IF(
    OR(ISBLANK(L1994), ISBLANK(M1994)),
    "",
    MAX(
        1,
        IF(
            NETWORKDAYS(L1994, M1994, Holiday_Dates) &lt;= 0,
            1,
            NETWORKDAYS(L1994, M1994, Holiday_Dates) - IF(L1994 = M1994, 0, 1)
        )
    )
)</f>
        <v/>
      </c>
      <c r="R1994" s="385" t="str">
        <f>IFERROR(
    IF(
        OR(ISBLANK(N1994), AND(ISBLANK(L1994), ISBLANK(M1994))),
        "",
        MAX(
            1,
            IF(
                NETWORKDAYS(IF(NOT(ISBLANK(M1994)), M1994, L1994), N1994, Holiday_Dates) &lt;= 0,
                1,
                NETWORKDAYS(IF(NOT(ISBLANK(M1994)), M1994, L1994), N1994, Holiday_Dates)
                - IF(IF(NOT(ISBLANK(M1994)), M1994, L1994) = N1994, 0, 1)
            )
        )
    ),
    ""
)</f>
        <v/>
      </c>
      <c r="S1994" s="385" t="str">
        <f>IFERROR(
    IF(
        OR(ISBLANK(N1994), ISBLANK(O1994)),
        "",
        MAX(
            1,
            IF(
                NETWORKDAYS(N1994, O1994, Holiday_Dates) &lt;= 0,
                1,
                NETWORKDAYS(N1994, O1994, Holiday_Dates) - IF(N1994 = O1994, 0, 1)
            )
        )
    ),
    ""
)</f>
        <v/>
      </c>
      <c r="T1994" s="385"/>
      <c r="U1994" s="385" t="s">
        <v>4</v>
      </c>
      <c r="V1994" s="385" t="s">
        <v>101</v>
      </c>
      <c r="W1994" s="385" t="s">
        <v>1436</v>
      </c>
      <c r="X1994" s="1"/>
    </row>
    <row r="1995" spans="1:24">
      <c r="A1995" s="385" t="s">
        <v>49</v>
      </c>
      <c r="B1995" s="385" t="s">
        <v>378</v>
      </c>
      <c r="C1995" s="385" t="s">
        <v>2689</v>
      </c>
      <c r="D1995" s="385" t="s">
        <v>88</v>
      </c>
      <c r="E1995" s="385" t="s">
        <v>377</v>
      </c>
      <c r="F1995" s="385"/>
      <c r="G1995" s="385" t="s">
        <v>128</v>
      </c>
      <c r="H1995" s="385"/>
      <c r="I1995" s="385"/>
      <c r="J1995" s="30"/>
      <c r="K1995" s="385"/>
      <c r="L1995" s="385"/>
      <c r="M1995" s="385"/>
      <c r="N1995" s="385"/>
      <c r="O1995" s="385"/>
      <c r="P1995" s="385" t="str">
        <f>IFERROR(
    IF(
        OR(ISBLANK(I1995), ISBLANK(L1995)),
        "",
        MAX(
            1,
            IF(
                NETWORKDAYS(I1995, L1995, Holiday_Dates) &lt;= 0,
                1,
                NETWORKDAYS(I1995, L1995, Holiday_Dates) - IF(I1995 = L1995, 0, 1)
            )
        )
    ),
    ""
)</f>
        <v/>
      </c>
      <c r="Q1995" s="385" t="str">
        <f>IF(
    OR(ISBLANK(L1995), ISBLANK(M1995)),
    "",
    MAX(
        1,
        IF(
            NETWORKDAYS(L1995, M1995, Holiday_Dates) &lt;= 0,
            1,
            NETWORKDAYS(L1995, M1995, Holiday_Dates) - IF(L1995 = M1995, 0, 1)
        )
    )
)</f>
        <v/>
      </c>
      <c r="R1995" s="385" t="str">
        <f>IFERROR(
    IF(
        OR(ISBLANK(N1995), AND(ISBLANK(L1995), ISBLANK(M1995))),
        "",
        MAX(
            1,
            IF(
                NETWORKDAYS(IF(NOT(ISBLANK(M1995)), M1995, L1995), N1995, Holiday_Dates) &lt;= 0,
                1,
                NETWORKDAYS(IF(NOT(ISBLANK(M1995)), M1995, L1995), N1995, Holiday_Dates)
                - IF(IF(NOT(ISBLANK(M1995)), M1995, L1995) = N1995, 0, 1)
            )
        )
    ),
    ""
)</f>
        <v/>
      </c>
      <c r="S1995" s="385" t="str">
        <f>IFERROR(
    IF(
        OR(ISBLANK(N1995), ISBLANK(O1995)),
        "",
        MAX(
            1,
            IF(
                NETWORKDAYS(N1995, O1995, Holiday_Dates) &lt;= 0,
                1,
                NETWORKDAYS(N1995, O1995, Holiday_Dates) - IF(N1995 = O1995, 0, 1)
            )
        )
    ),
    ""
)</f>
        <v/>
      </c>
      <c r="T1995" s="385"/>
      <c r="U1995" s="385"/>
      <c r="V1995" s="385"/>
      <c r="W1995" s="385" t="s">
        <v>4710</v>
      </c>
      <c r="X1995" s="1"/>
    </row>
    <row r="1996" spans="1:24">
      <c r="A1996" s="385" t="s">
        <v>51</v>
      </c>
      <c r="B1996" s="385" t="s">
        <v>448</v>
      </c>
      <c r="C1996" s="385" t="s">
        <v>926</v>
      </c>
      <c r="D1996" s="385" t="s">
        <v>88</v>
      </c>
      <c r="E1996" s="385"/>
      <c r="F1996" s="385"/>
      <c r="G1996" s="385"/>
      <c r="H1996" s="385">
        <v>2025</v>
      </c>
      <c r="I1996" s="386">
        <v>45840</v>
      </c>
      <c r="J1996" s="30" t="s">
        <v>5452</v>
      </c>
      <c r="K1996" s="385"/>
      <c r="L1996" s="385"/>
      <c r="M1996" s="385"/>
      <c r="N1996" s="385"/>
      <c r="O1996" s="385"/>
      <c r="P1996" s="385" t="str">
        <f>IFERROR(
    IF(
        OR(ISBLANK(I1996), ISBLANK(L1996)),
        "",
        MAX(
            1,
            IF(
                NETWORKDAYS(I1996, L1996, Holiday_Dates) &lt;= 0,
                1,
                NETWORKDAYS(I1996, L1996, Holiday_Dates) - IF(I1996 = L1996, 0, 1)
            )
        )
    ),
    ""
)</f>
        <v/>
      </c>
      <c r="Q1996" s="385" t="str">
        <f>IF(
    OR(ISBLANK(L1996), ISBLANK(M1996)),
    "",
    MAX(
        1,
        IF(
            NETWORKDAYS(L1996, M1996, Holiday_Dates) &lt;= 0,
            1,
            NETWORKDAYS(L1996, M1996, Holiday_Dates) - IF(L1996 = M1996, 0, 1)
        )
    )
)</f>
        <v/>
      </c>
      <c r="R1996" s="385" t="str">
        <f>IFERROR(
    IF(
        OR(ISBLANK(N1996), AND(ISBLANK(L1996), ISBLANK(M1996))),
        "",
        MAX(
            1,
            IF(
                NETWORKDAYS(IF(NOT(ISBLANK(M1996)), M1996, L1996), N1996, Holiday_Dates) &lt;= 0,
                1,
                NETWORKDAYS(IF(NOT(ISBLANK(M1996)), M1996, L1996), N1996, Holiday_Dates)
                - IF(IF(NOT(ISBLANK(M1996)), M1996, L1996) = N1996, 0, 1)
            )
        )
    ),
    ""
)</f>
        <v/>
      </c>
      <c r="S1996" s="385" t="str">
        <f>IFERROR(
    IF(
        OR(ISBLANK(N1996), ISBLANK(O1996)),
        "",
        MAX(
            1,
            IF(
                NETWORKDAYS(N1996, O1996, Holiday_Dates) &lt;= 0,
                1,
                NETWORKDAYS(N1996, O1996, Holiday_Dates) - IF(N1996 = O1996, 0, 1)
            )
        )
    ),
    ""
)</f>
        <v/>
      </c>
      <c r="T1996" s="385"/>
      <c r="U1996" s="385" t="s">
        <v>672</v>
      </c>
      <c r="V1996" s="385" t="s">
        <v>1676</v>
      </c>
      <c r="W1996" s="385" t="s">
        <v>1436</v>
      </c>
      <c r="X1996" s="1"/>
    </row>
    <row r="1997" spans="1:24">
      <c r="A1997" s="385" t="s">
        <v>51</v>
      </c>
      <c r="B1997" s="385" t="s">
        <v>448</v>
      </c>
      <c r="C1997" s="385" t="s">
        <v>714</v>
      </c>
      <c r="D1997" s="385" t="s">
        <v>88</v>
      </c>
      <c r="E1997" s="385"/>
      <c r="F1997" s="385"/>
      <c r="G1997" s="385"/>
      <c r="H1997" s="385">
        <v>2024</v>
      </c>
      <c r="I1997" s="386">
        <v>45603</v>
      </c>
      <c r="J1997" s="30"/>
      <c r="K1997" s="385"/>
      <c r="L1997" s="385"/>
      <c r="M1997" s="385"/>
      <c r="N1997" s="385"/>
      <c r="O1997" s="385"/>
      <c r="P1997" s="385" t="str">
        <f>IFERROR(
    IF(
        OR(ISBLANK(I1997), ISBLANK(L1997)),
        "",
        MAX(
            1,
            IF(
                NETWORKDAYS(I1997, L1997, Holiday_Dates) &lt;= 0,
                1,
                NETWORKDAYS(I1997, L1997, Holiday_Dates) - IF(I1997 = L1997, 0, 1)
            )
        )
    ),
    ""
)</f>
        <v/>
      </c>
      <c r="Q1997" s="385" t="str">
        <f>IF(
    OR(ISBLANK(L1997), ISBLANK(M1997)),
    "",
    MAX(
        1,
        IF(
            NETWORKDAYS(L1997, M1997, Holiday_Dates) &lt;= 0,
            1,
            NETWORKDAYS(L1997, M1997, Holiday_Dates) - IF(L1997 = M1997, 0, 1)
        )
    )
)</f>
        <v/>
      </c>
      <c r="R1997" s="385" t="str">
        <f>IFERROR(
    IF(
        OR(ISBLANK(N1997), AND(ISBLANK(L1997), ISBLANK(M1997))),
        "",
        MAX(
            1,
            IF(
                NETWORKDAYS(IF(NOT(ISBLANK(M1997)), M1997, L1997), N1997, Holiday_Dates) &lt;= 0,
                1,
                NETWORKDAYS(IF(NOT(ISBLANK(M1997)), M1997, L1997), N1997, Holiday_Dates)
                - IF(IF(NOT(ISBLANK(M1997)), M1997, L1997) = N1997, 0, 1)
            )
        )
    ),
    ""
)</f>
        <v/>
      </c>
      <c r="S1997" s="385" t="str">
        <f>IFERROR(
    IF(
        OR(ISBLANK(N1997), ISBLANK(O1997)),
        "",
        MAX(
            1,
            IF(
                NETWORKDAYS(N1997, O1997, Holiday_Dates) &lt;= 0,
                1,
                NETWORKDAYS(N1997, O1997, Holiday_Dates) - IF(N1997 = O1997, 0, 1)
            )
        )
    ),
    ""
)</f>
        <v/>
      </c>
      <c r="T1997" s="385"/>
      <c r="U1997" s="385" t="s">
        <v>672</v>
      </c>
      <c r="V1997" s="385" t="s">
        <v>101</v>
      </c>
      <c r="W1997" s="385" t="s">
        <v>1436</v>
      </c>
      <c r="X1997" s="1"/>
    </row>
    <row r="1998" spans="1:24">
      <c r="A1998" s="385" t="s">
        <v>51</v>
      </c>
      <c r="B1998" s="385" t="s">
        <v>448</v>
      </c>
      <c r="C1998" s="385" t="s">
        <v>520</v>
      </c>
      <c r="D1998" s="385" t="s">
        <v>88</v>
      </c>
      <c r="E1998" s="385"/>
      <c r="F1998" s="385"/>
      <c r="G1998" s="385"/>
      <c r="H1998" s="385">
        <v>2024</v>
      </c>
      <c r="I1998" s="386">
        <v>45457</v>
      </c>
      <c r="J1998" s="30"/>
      <c r="K1998" s="385"/>
      <c r="L1998" s="385"/>
      <c r="M1998" s="385"/>
      <c r="N1998" s="385"/>
      <c r="O1998" s="385"/>
      <c r="P1998" s="385" t="str">
        <f>IFERROR(
    IF(
        OR(ISBLANK(I1998), ISBLANK(L1998)),
        "",
        MAX(
            1,
            IF(
                NETWORKDAYS(I1998, L1998, Holiday_Dates) &lt;= 0,
                1,
                NETWORKDAYS(I1998, L1998, Holiday_Dates) - IF(I1998 = L1998, 0, 1)
            )
        )
    ),
    ""
)</f>
        <v/>
      </c>
      <c r="Q1998" s="385" t="str">
        <f>IF(
    OR(ISBLANK(L1998), ISBLANK(M1998)),
    "",
    MAX(
        1,
        IF(
            NETWORKDAYS(L1998, M1998, Holiday_Dates) &lt;= 0,
            1,
            NETWORKDAYS(L1998, M1998, Holiday_Dates) - IF(L1998 = M1998, 0, 1)
        )
    )
)</f>
        <v/>
      </c>
      <c r="R1998" s="385" t="str">
        <f>IFERROR(
    IF(
        OR(ISBLANK(N1998), AND(ISBLANK(L1998), ISBLANK(M1998))),
        "",
        MAX(
            1,
            IF(
                NETWORKDAYS(IF(NOT(ISBLANK(M1998)), M1998, L1998), N1998, Holiday_Dates) &lt;= 0,
                1,
                NETWORKDAYS(IF(NOT(ISBLANK(M1998)), M1998, L1998), N1998, Holiday_Dates)
                - IF(IF(NOT(ISBLANK(M1998)), M1998, L1998) = N1998, 0, 1)
            )
        )
    ),
    ""
)</f>
        <v/>
      </c>
      <c r="S1998" s="385" t="str">
        <f>IFERROR(
    IF(
        OR(ISBLANK(N1998), ISBLANK(O1998)),
        "",
        MAX(
            1,
            IF(
                NETWORKDAYS(N1998, O1998, Holiday_Dates) &lt;= 0,
                1,
                NETWORKDAYS(N1998, O1998, Holiday_Dates) - IF(N1998 = O1998, 0, 1)
            )
        )
    ),
    ""
)</f>
        <v/>
      </c>
      <c r="T1998" s="385"/>
      <c r="U1998" s="385" t="s">
        <v>672</v>
      </c>
      <c r="V1998" s="385" t="s">
        <v>101</v>
      </c>
      <c r="W1998" s="385" t="s">
        <v>1436</v>
      </c>
      <c r="X1998" s="1"/>
    </row>
    <row r="1999" spans="1:24">
      <c r="A1999" s="385" t="s">
        <v>51</v>
      </c>
      <c r="B1999" s="385" t="s">
        <v>448</v>
      </c>
      <c r="C1999" s="385" t="s">
        <v>427</v>
      </c>
      <c r="D1999" s="385" t="s">
        <v>88</v>
      </c>
      <c r="E1999" s="385"/>
      <c r="F1999" s="385"/>
      <c r="G1999" s="385"/>
      <c r="H1999" s="385">
        <v>2025</v>
      </c>
      <c r="I1999" s="386">
        <v>45751</v>
      </c>
      <c r="J1999" s="30" t="s">
        <v>5453</v>
      </c>
      <c r="K1999" s="385"/>
      <c r="L1999" s="385"/>
      <c r="M1999" s="385"/>
      <c r="N1999" s="385"/>
      <c r="O1999" s="385"/>
      <c r="P1999" s="385" t="str">
        <f>IFERROR(
    IF(
        OR(ISBLANK(I1999), ISBLANK(L1999)),
        "",
        MAX(
            1,
            IF(
                NETWORKDAYS(I1999, L1999, Holiday_Dates) &lt;= 0,
                1,
                NETWORKDAYS(I1999, L1999, Holiday_Dates) - IF(I1999 = L1999, 0, 1)
            )
        )
    ),
    ""
)</f>
        <v/>
      </c>
      <c r="Q1999" s="385" t="str">
        <f>IF(
    OR(ISBLANK(L1999), ISBLANK(M1999)),
    "",
    MAX(
        1,
        IF(
            NETWORKDAYS(L1999, M1999, Holiday_Dates) &lt;= 0,
            1,
            NETWORKDAYS(L1999, M1999, Holiday_Dates) - IF(L1999 = M1999, 0, 1)
        )
    )
)</f>
        <v/>
      </c>
      <c r="R1999" s="385" t="str">
        <f>IFERROR(
    IF(
        OR(ISBLANK(N1999), AND(ISBLANK(L1999), ISBLANK(M1999))),
        "",
        MAX(
            1,
            IF(
                NETWORKDAYS(IF(NOT(ISBLANK(M1999)), M1999, L1999), N1999, Holiday_Dates) &lt;= 0,
                1,
                NETWORKDAYS(IF(NOT(ISBLANK(M1999)), M1999, L1999), N1999, Holiday_Dates)
                - IF(IF(NOT(ISBLANK(M1999)), M1999, L1999) = N1999, 0, 1)
            )
        )
    ),
    ""
)</f>
        <v/>
      </c>
      <c r="S1999" s="385" t="str">
        <f>IFERROR(
    IF(
        OR(ISBLANK(N1999), ISBLANK(O1999)),
        "",
        MAX(
            1,
            IF(
                NETWORKDAYS(N1999, O1999, Holiday_Dates) &lt;= 0,
                1,
                NETWORKDAYS(N1999, O1999, Holiday_Dates) - IF(N1999 = O1999, 0, 1)
            )
        )
    ),
    ""
)</f>
        <v/>
      </c>
      <c r="T1999" s="385"/>
      <c r="U1999" s="385" t="s">
        <v>672</v>
      </c>
      <c r="V1999" s="385" t="s">
        <v>101</v>
      </c>
      <c r="W1999" s="385" t="s">
        <v>1436</v>
      </c>
      <c r="X1999" s="1"/>
    </row>
    <row r="2000" spans="1:24">
      <c r="A2000" s="385" t="s">
        <v>51</v>
      </c>
      <c r="B2000" s="385" t="s">
        <v>448</v>
      </c>
      <c r="C2000" s="385" t="s">
        <v>717</v>
      </c>
      <c r="D2000" s="385" t="s">
        <v>88</v>
      </c>
      <c r="E2000" s="385"/>
      <c r="F2000" s="385"/>
      <c r="G2000" s="385"/>
      <c r="H2000" s="385">
        <v>2024</v>
      </c>
      <c r="I2000" s="386">
        <v>45603</v>
      </c>
      <c r="J2000" s="30"/>
      <c r="K2000" s="385"/>
      <c r="L2000" s="385"/>
      <c r="M2000" s="385"/>
      <c r="N2000" s="385"/>
      <c r="O2000" s="385"/>
      <c r="P2000" s="385" t="str">
        <f>IFERROR(
    IF(
        OR(ISBLANK(I2000), ISBLANK(L2000)),
        "",
        MAX(
            1,
            IF(
                NETWORKDAYS(I2000, L2000, Holiday_Dates) &lt;= 0,
                1,
                NETWORKDAYS(I2000, L2000, Holiday_Dates) - IF(I2000 = L2000, 0, 1)
            )
        )
    ),
    ""
)</f>
        <v/>
      </c>
      <c r="Q2000" s="385" t="str">
        <f>IF(
    OR(ISBLANK(L2000), ISBLANK(M2000)),
    "",
    MAX(
        1,
        IF(
            NETWORKDAYS(L2000, M2000, Holiday_Dates) &lt;= 0,
            1,
            NETWORKDAYS(L2000, M2000, Holiday_Dates) - IF(L2000 = M2000, 0, 1)
        )
    )
)</f>
        <v/>
      </c>
      <c r="R2000" s="385" t="str">
        <f>IFERROR(
    IF(
        OR(ISBLANK(N2000), AND(ISBLANK(L2000), ISBLANK(M2000))),
        "",
        MAX(
            1,
            IF(
                NETWORKDAYS(IF(NOT(ISBLANK(M2000)), M2000, L2000), N2000, Holiday_Dates) &lt;= 0,
                1,
                NETWORKDAYS(IF(NOT(ISBLANK(M2000)), M2000, L2000), N2000, Holiday_Dates)
                - IF(IF(NOT(ISBLANK(M2000)), M2000, L2000) = N2000, 0, 1)
            )
        )
    ),
    ""
)</f>
        <v/>
      </c>
      <c r="S2000" s="385" t="str">
        <f>IFERROR(
    IF(
        OR(ISBLANK(N2000), ISBLANK(O2000)),
        "",
        MAX(
            1,
            IF(
                NETWORKDAYS(N2000, O2000, Holiday_Dates) &lt;= 0,
                1,
                NETWORKDAYS(N2000, O2000, Holiday_Dates) - IF(N2000 = O2000, 0, 1)
            )
        )
    ),
    ""
)</f>
        <v/>
      </c>
      <c r="T2000" s="385"/>
      <c r="U2000" s="385" t="s">
        <v>672</v>
      </c>
      <c r="V2000" s="385" t="s">
        <v>101</v>
      </c>
      <c r="W2000" s="385" t="s">
        <v>1436</v>
      </c>
      <c r="X2000" s="1"/>
    </row>
    <row r="2001" spans="1:24">
      <c r="A2001" s="385" t="s">
        <v>49</v>
      </c>
      <c r="B2001" s="385" t="s">
        <v>378</v>
      </c>
      <c r="C2001" s="385" t="s">
        <v>2690</v>
      </c>
      <c r="D2001" s="385" t="s">
        <v>88</v>
      </c>
      <c r="E2001" s="385" t="s">
        <v>377</v>
      </c>
      <c r="F2001" s="385"/>
      <c r="G2001" s="385" t="s">
        <v>128</v>
      </c>
      <c r="H2001" s="385"/>
      <c r="I2001" s="385"/>
      <c r="J2001" s="30"/>
      <c r="K2001" s="385"/>
      <c r="L2001" s="385"/>
      <c r="M2001" s="385"/>
      <c r="N2001" s="385"/>
      <c r="O2001" s="385"/>
      <c r="P2001" s="385" t="str">
        <f>IFERROR(
    IF(
        OR(ISBLANK(I2001), ISBLANK(L2001)),
        "",
        MAX(
            1,
            IF(
                NETWORKDAYS(I2001, L2001, Holiday_Dates) &lt;= 0,
                1,
                NETWORKDAYS(I2001, L2001, Holiday_Dates) - IF(I2001 = L2001, 0, 1)
            )
        )
    ),
    ""
)</f>
        <v/>
      </c>
      <c r="Q2001" s="385" t="str">
        <f>IF(
    OR(ISBLANK(L2001), ISBLANK(M2001)),
    "",
    MAX(
        1,
        IF(
            NETWORKDAYS(L2001, M2001, Holiday_Dates) &lt;= 0,
            1,
            NETWORKDAYS(L2001, M2001, Holiday_Dates) - IF(L2001 = M2001, 0, 1)
        )
    )
)</f>
        <v/>
      </c>
      <c r="R2001" s="385" t="str">
        <f>IFERROR(
    IF(
        OR(ISBLANK(N2001), AND(ISBLANK(L2001), ISBLANK(M2001))),
        "",
        MAX(
            1,
            IF(
                NETWORKDAYS(IF(NOT(ISBLANK(M2001)), M2001, L2001), N2001, Holiday_Dates) &lt;= 0,
                1,
                NETWORKDAYS(IF(NOT(ISBLANK(M2001)), M2001, L2001), N2001, Holiday_Dates)
                - IF(IF(NOT(ISBLANK(M2001)), M2001, L2001) = N2001, 0, 1)
            )
        )
    ),
    ""
)</f>
        <v/>
      </c>
      <c r="S2001" s="385" t="str">
        <f>IFERROR(
    IF(
        OR(ISBLANK(N2001), ISBLANK(O2001)),
        "",
        MAX(
            1,
            IF(
                NETWORKDAYS(N2001, O2001, Holiday_Dates) &lt;= 0,
                1,
                NETWORKDAYS(N2001, O2001, Holiday_Dates) - IF(N2001 = O2001, 0, 1)
            )
        )
    ),
    ""
)</f>
        <v/>
      </c>
      <c r="T2001" s="385"/>
      <c r="U2001" s="385"/>
      <c r="V2001" s="385"/>
      <c r="W2001" s="385" t="s">
        <v>4710</v>
      </c>
      <c r="X2001" s="1"/>
    </row>
    <row r="2002" spans="1:24">
      <c r="A2002" s="385" t="s">
        <v>51</v>
      </c>
      <c r="B2002" s="385" t="s">
        <v>448</v>
      </c>
      <c r="C2002" s="385" t="s">
        <v>1876</v>
      </c>
      <c r="D2002" s="385" t="s">
        <v>88</v>
      </c>
      <c r="E2002" s="385"/>
      <c r="F2002" s="385"/>
      <c r="G2002" s="385"/>
      <c r="H2002" s="385">
        <v>2025</v>
      </c>
      <c r="I2002" s="386">
        <v>45967</v>
      </c>
      <c r="J2002" s="30" t="s">
        <v>5454</v>
      </c>
      <c r="K2002" s="385"/>
      <c r="L2002" s="385"/>
      <c r="M2002" s="385"/>
      <c r="N2002" s="385"/>
      <c r="O2002" s="385"/>
      <c r="P2002" s="385" t="str">
        <f>IFERROR(
    IF(
        OR(ISBLANK(I2002), ISBLANK(L2002)),
        "",
        MAX(
            1,
            IF(
                NETWORKDAYS(I2002, L2002, Holiday_Dates) &lt;= 0,
                1,
                NETWORKDAYS(I2002, L2002, Holiday_Dates) - IF(I2002 = L2002, 0, 1)
            )
        )
    ),
    ""
)</f>
        <v/>
      </c>
      <c r="Q2002" s="385" t="str">
        <f>IF(
    OR(ISBLANK(L2002), ISBLANK(M2002)),
    "",
    MAX(
        1,
        IF(
            NETWORKDAYS(L2002, M2002, Holiday_Dates) &lt;= 0,
            1,
            NETWORKDAYS(L2002, M2002, Holiday_Dates) - IF(L2002 = M2002, 0, 1)
        )
    )
)</f>
        <v/>
      </c>
      <c r="R2002" s="385" t="str">
        <f>IFERROR(
    IF(
        OR(ISBLANK(N2002), AND(ISBLANK(L2002), ISBLANK(M2002))),
        "",
        MAX(
            1,
            IF(
                NETWORKDAYS(IF(NOT(ISBLANK(M2002)), M2002, L2002), N2002, Holiday_Dates) &lt;= 0,
                1,
                NETWORKDAYS(IF(NOT(ISBLANK(M2002)), M2002, L2002), N2002, Holiday_Dates)
                - IF(IF(NOT(ISBLANK(M2002)), M2002, L2002) = N2002, 0, 1)
            )
        )
    ),
    ""
)</f>
        <v/>
      </c>
      <c r="S2002" s="385" t="str">
        <f>IFERROR(
    IF(
        OR(ISBLANK(N2002), ISBLANK(O2002)),
        "",
        MAX(
            1,
            IF(
                NETWORKDAYS(N2002, O2002, Holiday_Dates) &lt;= 0,
                1,
                NETWORKDAYS(N2002, O2002, Holiday_Dates) - IF(N2002 = O2002, 0, 1)
            )
        )
    ),
    ""
)</f>
        <v/>
      </c>
      <c r="T2002" s="385"/>
      <c r="U2002" s="385" t="s">
        <v>672</v>
      </c>
      <c r="V2002" s="385" t="s">
        <v>101</v>
      </c>
      <c r="W2002" s="385" t="s">
        <v>1436</v>
      </c>
      <c r="X2002" s="1"/>
    </row>
    <row r="2003" spans="1:24">
      <c r="A2003" s="385" t="s">
        <v>49</v>
      </c>
      <c r="B2003" s="385" t="s">
        <v>378</v>
      </c>
      <c r="C2003" s="385" t="s">
        <v>926</v>
      </c>
      <c r="D2003" s="385" t="s">
        <v>88</v>
      </c>
      <c r="E2003" s="385" t="s">
        <v>377</v>
      </c>
      <c r="F2003" s="385"/>
      <c r="G2003" s="385" t="s">
        <v>128</v>
      </c>
      <c r="H2003" s="385"/>
      <c r="I2003" s="385"/>
      <c r="J2003" s="30"/>
      <c r="K2003" s="385"/>
      <c r="L2003" s="385"/>
      <c r="M2003" s="385"/>
      <c r="N2003" s="385"/>
      <c r="O2003" s="385"/>
      <c r="P2003" s="385" t="str">
        <f>IFERROR(
    IF(
        OR(ISBLANK(I2003), ISBLANK(L2003)),
        "",
        MAX(
            1,
            IF(
                NETWORKDAYS(I2003, L2003, Holiday_Dates) &lt;= 0,
                1,
                NETWORKDAYS(I2003, L2003, Holiday_Dates) - IF(I2003 = L2003, 0, 1)
            )
        )
    ),
    ""
)</f>
        <v/>
      </c>
      <c r="Q2003" s="385" t="str">
        <f>IF(
    OR(ISBLANK(L2003), ISBLANK(M2003)),
    "",
    MAX(
        1,
        IF(
            NETWORKDAYS(L2003, M2003, Holiday_Dates) &lt;= 0,
            1,
            NETWORKDAYS(L2003, M2003, Holiday_Dates) - IF(L2003 = M2003, 0, 1)
        )
    )
)</f>
        <v/>
      </c>
      <c r="R2003" s="385" t="str">
        <f>IFERROR(
    IF(
        OR(ISBLANK(N2003), AND(ISBLANK(L2003), ISBLANK(M2003))),
        "",
        MAX(
            1,
            IF(
                NETWORKDAYS(IF(NOT(ISBLANK(M2003)), M2003, L2003), N2003, Holiday_Dates) &lt;= 0,
                1,
                NETWORKDAYS(IF(NOT(ISBLANK(M2003)), M2003, L2003), N2003, Holiday_Dates)
                - IF(IF(NOT(ISBLANK(M2003)), M2003, L2003) = N2003, 0, 1)
            )
        )
    ),
    ""
)</f>
        <v/>
      </c>
      <c r="S2003" s="385" t="str">
        <f>IFERROR(
    IF(
        OR(ISBLANK(N2003), ISBLANK(O2003)),
        "",
        MAX(
            1,
            IF(
                NETWORKDAYS(N2003, O2003, Holiday_Dates) &lt;= 0,
                1,
                NETWORKDAYS(N2003, O2003, Holiday_Dates) - IF(N2003 = O2003, 0, 1)
            )
        )
    ),
    ""
)</f>
        <v/>
      </c>
      <c r="T2003" s="385"/>
      <c r="U2003" s="385"/>
      <c r="V2003" s="385"/>
      <c r="W2003" s="385" t="s">
        <v>4710</v>
      </c>
      <c r="X2003" s="1"/>
    </row>
    <row r="2004" spans="1:24">
      <c r="A2004" s="385" t="s">
        <v>49</v>
      </c>
      <c r="B2004" s="385" t="s">
        <v>378</v>
      </c>
      <c r="C2004" s="385" t="s">
        <v>1941</v>
      </c>
      <c r="D2004" s="385" t="s">
        <v>88</v>
      </c>
      <c r="E2004" s="385" t="s">
        <v>377</v>
      </c>
      <c r="F2004" s="385"/>
      <c r="G2004" s="385" t="s">
        <v>128</v>
      </c>
      <c r="H2004" s="385"/>
      <c r="I2004" s="385"/>
      <c r="J2004" s="30"/>
      <c r="K2004" s="385"/>
      <c r="L2004" s="385"/>
      <c r="M2004" s="385"/>
      <c r="N2004" s="385"/>
      <c r="O2004" s="385"/>
      <c r="P2004" s="385" t="str">
        <f>IFERROR(
    IF(
        OR(ISBLANK(I2004), ISBLANK(L2004)),
        "",
        MAX(
            1,
            IF(
                NETWORKDAYS(I2004, L2004, Holiday_Dates) &lt;= 0,
                1,
                NETWORKDAYS(I2004, L2004, Holiday_Dates) - IF(I2004 = L2004, 0, 1)
            )
        )
    ),
    ""
)</f>
        <v/>
      </c>
      <c r="Q2004" s="385" t="str">
        <f>IF(
    OR(ISBLANK(L2004), ISBLANK(M2004)),
    "",
    MAX(
        1,
        IF(
            NETWORKDAYS(L2004, M2004, Holiday_Dates) &lt;= 0,
            1,
            NETWORKDAYS(L2004, M2004, Holiday_Dates) - IF(L2004 = M2004, 0, 1)
        )
    )
)</f>
        <v/>
      </c>
      <c r="R2004" s="385" t="str">
        <f>IFERROR(
    IF(
        OR(ISBLANK(N2004), AND(ISBLANK(L2004), ISBLANK(M2004))),
        "",
        MAX(
            1,
            IF(
                NETWORKDAYS(IF(NOT(ISBLANK(M2004)), M2004, L2004), N2004, Holiday_Dates) &lt;= 0,
                1,
                NETWORKDAYS(IF(NOT(ISBLANK(M2004)), M2004, L2004), N2004, Holiday_Dates)
                - IF(IF(NOT(ISBLANK(M2004)), M2004, L2004) = N2004, 0, 1)
            )
        )
    ),
    ""
)</f>
        <v/>
      </c>
      <c r="S2004" s="385" t="str">
        <f>IFERROR(
    IF(
        OR(ISBLANK(N2004), ISBLANK(O2004)),
        "",
        MAX(
            1,
            IF(
                NETWORKDAYS(N2004, O2004, Holiday_Dates) &lt;= 0,
                1,
                NETWORKDAYS(N2004, O2004, Holiday_Dates) - IF(N2004 = O2004, 0, 1)
            )
        )
    ),
    ""
)</f>
        <v/>
      </c>
      <c r="T2004" s="385"/>
      <c r="U2004" s="385"/>
      <c r="V2004" s="385"/>
      <c r="W2004" s="385" t="s">
        <v>4710</v>
      </c>
      <c r="X2004" s="1"/>
    </row>
    <row r="2005" spans="1:24">
      <c r="A2005" s="385" t="s">
        <v>51</v>
      </c>
      <c r="B2005" s="385" t="s">
        <v>448</v>
      </c>
      <c r="C2005" s="385" t="s">
        <v>2347</v>
      </c>
      <c r="D2005" s="385" t="s">
        <v>88</v>
      </c>
      <c r="E2005" s="385"/>
      <c r="F2005" s="385"/>
      <c r="G2005" s="385"/>
      <c r="H2005" s="385">
        <v>2024</v>
      </c>
      <c r="I2005" s="386">
        <v>45604</v>
      </c>
      <c r="J2005" s="30"/>
      <c r="K2005" s="385"/>
      <c r="L2005" s="385"/>
      <c r="M2005" s="385"/>
      <c r="N2005" s="385"/>
      <c r="O2005" s="385"/>
      <c r="P2005" s="385" t="str">
        <f>IFERROR(
    IF(
        OR(ISBLANK(I2005), ISBLANK(L2005)),
        "",
        MAX(
            1,
            IF(
                NETWORKDAYS(I2005, L2005, Holiday_Dates) &lt;= 0,
                1,
                NETWORKDAYS(I2005, L2005, Holiday_Dates) - IF(I2005 = L2005, 0, 1)
            )
        )
    ),
    ""
)</f>
        <v/>
      </c>
      <c r="Q2005" s="385" t="str">
        <f>IF(
    OR(ISBLANK(L2005), ISBLANK(M2005)),
    "",
    MAX(
        1,
        IF(
            NETWORKDAYS(L2005, M2005, Holiday_Dates) &lt;= 0,
            1,
            NETWORKDAYS(L2005, M2005, Holiday_Dates) - IF(L2005 = M2005, 0, 1)
        )
    )
)</f>
        <v/>
      </c>
      <c r="R2005" s="385" t="str">
        <f>IFERROR(
    IF(
        OR(ISBLANK(N2005), AND(ISBLANK(L2005), ISBLANK(M2005))),
        "",
        MAX(
            1,
            IF(
                NETWORKDAYS(IF(NOT(ISBLANK(M2005)), M2005, L2005), N2005, Holiday_Dates) &lt;= 0,
                1,
                NETWORKDAYS(IF(NOT(ISBLANK(M2005)), M2005, L2005), N2005, Holiday_Dates)
                - IF(IF(NOT(ISBLANK(M2005)), M2005, L2005) = N2005, 0, 1)
            )
        )
    ),
    ""
)</f>
        <v/>
      </c>
      <c r="S2005" s="385" t="str">
        <f>IFERROR(
    IF(
        OR(ISBLANK(N2005), ISBLANK(O2005)),
        "",
        MAX(
            1,
            IF(
                NETWORKDAYS(N2005, O2005, Holiday_Dates) &lt;= 0,
                1,
                NETWORKDAYS(N2005, O2005, Holiday_Dates) - IF(N2005 = O2005, 0, 1)
            )
        )
    ),
    ""
)</f>
        <v/>
      </c>
      <c r="T2005" s="385"/>
      <c r="U2005" s="385" t="s">
        <v>672</v>
      </c>
      <c r="V2005" s="385" t="s">
        <v>101</v>
      </c>
      <c r="W2005" s="385" t="s">
        <v>1436</v>
      </c>
      <c r="X2005" s="1"/>
    </row>
    <row r="2006" spans="1:24">
      <c r="A2006" s="385" t="s">
        <v>51</v>
      </c>
      <c r="B2006" s="385" t="s">
        <v>448</v>
      </c>
      <c r="C2006" s="385" t="s">
        <v>3637</v>
      </c>
      <c r="D2006" s="385" t="s">
        <v>88</v>
      </c>
      <c r="E2006" s="385"/>
      <c r="F2006" s="385"/>
      <c r="G2006" s="385"/>
      <c r="H2006" s="385">
        <v>2024</v>
      </c>
      <c r="I2006" s="386">
        <v>45603</v>
      </c>
      <c r="J2006" s="30"/>
      <c r="K2006" s="385"/>
      <c r="L2006" s="385"/>
      <c r="M2006" s="385"/>
      <c r="N2006" s="385"/>
      <c r="O2006" s="385"/>
      <c r="P2006" s="385" t="str">
        <f>IFERROR(
    IF(
        OR(ISBLANK(I2006), ISBLANK(L2006)),
        "",
        MAX(
            1,
            IF(
                NETWORKDAYS(I2006, L2006, Holiday_Dates) &lt;= 0,
                1,
                NETWORKDAYS(I2006, L2006, Holiday_Dates) - IF(I2006 = L2006, 0, 1)
            )
        )
    ),
    ""
)</f>
        <v/>
      </c>
      <c r="Q2006" s="385" t="str">
        <f>IF(
    OR(ISBLANK(L2006), ISBLANK(M2006)),
    "",
    MAX(
        1,
        IF(
            NETWORKDAYS(L2006, M2006, Holiday_Dates) &lt;= 0,
            1,
            NETWORKDAYS(L2006, M2006, Holiday_Dates) - IF(L2006 = M2006, 0, 1)
        )
    )
)</f>
        <v/>
      </c>
      <c r="R2006" s="385" t="str">
        <f>IFERROR(
    IF(
        OR(ISBLANK(N2006), AND(ISBLANK(L2006), ISBLANK(M2006))),
        "",
        MAX(
            1,
            IF(
                NETWORKDAYS(IF(NOT(ISBLANK(M2006)), M2006, L2006), N2006, Holiday_Dates) &lt;= 0,
                1,
                NETWORKDAYS(IF(NOT(ISBLANK(M2006)), M2006, L2006), N2006, Holiday_Dates)
                - IF(IF(NOT(ISBLANK(M2006)), M2006, L2006) = N2006, 0, 1)
            )
        )
    ),
    ""
)</f>
        <v/>
      </c>
      <c r="S2006" s="385" t="str">
        <f>IFERROR(
    IF(
        OR(ISBLANK(N2006), ISBLANK(O2006)),
        "",
        MAX(
            1,
            IF(
                NETWORKDAYS(N2006, O2006, Holiday_Dates) &lt;= 0,
                1,
                NETWORKDAYS(N2006, O2006, Holiday_Dates) - IF(N2006 = O2006, 0, 1)
            )
        )
    ),
    ""
)</f>
        <v/>
      </c>
      <c r="T2006" s="385"/>
      <c r="U2006" s="385" t="s">
        <v>672</v>
      </c>
      <c r="V2006" s="385" t="s">
        <v>101</v>
      </c>
      <c r="W2006" s="385" t="s">
        <v>1436</v>
      </c>
      <c r="X2006" s="1"/>
    </row>
    <row r="2007" spans="1:24">
      <c r="A2007" s="385" t="s">
        <v>51</v>
      </c>
      <c r="B2007" s="385" t="s">
        <v>448</v>
      </c>
      <c r="C2007" s="385" t="s">
        <v>3639</v>
      </c>
      <c r="D2007" s="385" t="s">
        <v>88</v>
      </c>
      <c r="E2007" s="385"/>
      <c r="F2007" s="385"/>
      <c r="G2007" s="385"/>
      <c r="H2007" s="385">
        <v>2024</v>
      </c>
      <c r="I2007" s="386">
        <v>45603</v>
      </c>
      <c r="J2007" s="30"/>
      <c r="K2007" s="385"/>
      <c r="L2007" s="385"/>
      <c r="M2007" s="385"/>
      <c r="N2007" s="385"/>
      <c r="O2007" s="385"/>
      <c r="P2007" s="385" t="str">
        <f>IFERROR(
    IF(
        OR(ISBLANK(I2007), ISBLANK(L2007)),
        "",
        MAX(
            1,
            IF(
                NETWORKDAYS(I2007, L2007, Holiday_Dates) &lt;= 0,
                1,
                NETWORKDAYS(I2007, L2007, Holiday_Dates) - IF(I2007 = L2007, 0, 1)
            )
        )
    ),
    ""
)</f>
        <v/>
      </c>
      <c r="Q2007" s="385" t="str">
        <f>IF(
    OR(ISBLANK(L2007), ISBLANK(M2007)),
    "",
    MAX(
        1,
        IF(
            NETWORKDAYS(L2007, M2007, Holiday_Dates) &lt;= 0,
            1,
            NETWORKDAYS(L2007, M2007, Holiday_Dates) - IF(L2007 = M2007, 0, 1)
        )
    )
)</f>
        <v/>
      </c>
      <c r="R2007" s="385" t="str">
        <f>IFERROR(
    IF(
        OR(ISBLANK(N2007), AND(ISBLANK(L2007), ISBLANK(M2007))),
        "",
        MAX(
            1,
            IF(
                NETWORKDAYS(IF(NOT(ISBLANK(M2007)), M2007, L2007), N2007, Holiday_Dates) &lt;= 0,
                1,
                NETWORKDAYS(IF(NOT(ISBLANK(M2007)), M2007, L2007), N2007, Holiday_Dates)
                - IF(IF(NOT(ISBLANK(M2007)), M2007, L2007) = N2007, 0, 1)
            )
        )
    ),
    ""
)</f>
        <v/>
      </c>
      <c r="S2007" s="385" t="str">
        <f>IFERROR(
    IF(
        OR(ISBLANK(N2007), ISBLANK(O2007)),
        "",
        MAX(
            1,
            IF(
                NETWORKDAYS(N2007, O2007, Holiday_Dates) &lt;= 0,
                1,
                NETWORKDAYS(N2007, O2007, Holiday_Dates) - IF(N2007 = O2007, 0, 1)
            )
        )
    ),
    ""
)</f>
        <v/>
      </c>
      <c r="T2007" s="385"/>
      <c r="U2007" s="385" t="s">
        <v>4</v>
      </c>
      <c r="V2007" s="385" t="s">
        <v>108</v>
      </c>
      <c r="W2007" s="385" t="s">
        <v>1436</v>
      </c>
      <c r="X2007" s="1"/>
    </row>
    <row r="2008" spans="1:24">
      <c r="A2008" s="385" t="s">
        <v>49</v>
      </c>
      <c r="B2008" s="385" t="s">
        <v>378</v>
      </c>
      <c r="C2008" s="385" t="s">
        <v>2659</v>
      </c>
      <c r="D2008" s="385" t="s">
        <v>88</v>
      </c>
      <c r="E2008" s="385" t="s">
        <v>377</v>
      </c>
      <c r="F2008" s="385"/>
      <c r="G2008" s="385" t="s">
        <v>128</v>
      </c>
      <c r="H2008" s="385"/>
      <c r="I2008" s="385"/>
      <c r="J2008" s="30"/>
      <c r="K2008" s="385"/>
      <c r="L2008" s="385"/>
      <c r="M2008" s="385"/>
      <c r="N2008" s="385"/>
      <c r="O2008" s="385"/>
      <c r="P2008" s="385" t="str">
        <f>IFERROR(
    IF(
        OR(ISBLANK(I2008), ISBLANK(L2008)),
        "",
        MAX(
            1,
            IF(
                NETWORKDAYS(I2008, L2008, Holiday_Dates) &lt;= 0,
                1,
                NETWORKDAYS(I2008, L2008, Holiday_Dates) - IF(I2008 = L2008, 0, 1)
            )
        )
    ),
    ""
)</f>
        <v/>
      </c>
      <c r="Q2008" s="385" t="str">
        <f>IF(
    OR(ISBLANK(L2008), ISBLANK(M2008)),
    "",
    MAX(
        1,
        IF(
            NETWORKDAYS(L2008, M2008, Holiday_Dates) &lt;= 0,
            1,
            NETWORKDAYS(L2008, M2008, Holiday_Dates) - IF(L2008 = M2008, 0, 1)
        )
    )
)</f>
        <v/>
      </c>
      <c r="R2008" s="385" t="str">
        <f>IFERROR(
    IF(
        OR(ISBLANK(N2008), AND(ISBLANK(L2008), ISBLANK(M2008))),
        "",
        MAX(
            1,
            IF(
                NETWORKDAYS(IF(NOT(ISBLANK(M2008)), M2008, L2008), N2008, Holiday_Dates) &lt;= 0,
                1,
                NETWORKDAYS(IF(NOT(ISBLANK(M2008)), M2008, L2008), N2008, Holiday_Dates)
                - IF(IF(NOT(ISBLANK(M2008)), M2008, L2008) = N2008, 0, 1)
            )
        )
    ),
    ""
)</f>
        <v/>
      </c>
      <c r="S2008" s="385" t="str">
        <f>IFERROR(
    IF(
        OR(ISBLANK(N2008), ISBLANK(O2008)),
        "",
        MAX(
            1,
            IF(
                NETWORKDAYS(N2008, O2008, Holiday_Dates) &lt;= 0,
                1,
                NETWORKDAYS(N2008, O2008, Holiday_Dates) - IF(N2008 = O2008, 0, 1)
            )
        )
    ),
    ""
)</f>
        <v/>
      </c>
      <c r="T2008" s="385"/>
      <c r="U2008" s="385"/>
      <c r="V2008" s="385"/>
      <c r="W2008" s="385" t="s">
        <v>4710</v>
      </c>
      <c r="X2008" s="1"/>
    </row>
    <row r="2009" spans="1:24">
      <c r="A2009" s="385" t="s">
        <v>49</v>
      </c>
      <c r="B2009" s="385" t="s">
        <v>378</v>
      </c>
      <c r="C2009" s="385" t="s">
        <v>2691</v>
      </c>
      <c r="D2009" s="385" t="s">
        <v>88</v>
      </c>
      <c r="E2009" s="385" t="s">
        <v>377</v>
      </c>
      <c r="F2009" s="385"/>
      <c r="G2009" s="385" t="s">
        <v>128</v>
      </c>
      <c r="H2009" s="385"/>
      <c r="I2009" s="385"/>
      <c r="J2009" s="30"/>
      <c r="K2009" s="385"/>
      <c r="L2009" s="385"/>
      <c r="M2009" s="385"/>
      <c r="N2009" s="385"/>
      <c r="O2009" s="385"/>
      <c r="P2009" s="385" t="str">
        <f>IFERROR(
    IF(
        OR(ISBLANK(I2009), ISBLANK(L2009)),
        "",
        MAX(
            1,
            IF(
                NETWORKDAYS(I2009, L2009, Holiday_Dates) &lt;= 0,
                1,
                NETWORKDAYS(I2009, L2009, Holiday_Dates) - IF(I2009 = L2009, 0, 1)
            )
        )
    ),
    ""
)</f>
        <v/>
      </c>
      <c r="Q2009" s="385" t="str">
        <f>IF(
    OR(ISBLANK(L2009), ISBLANK(M2009)),
    "",
    MAX(
        1,
        IF(
            NETWORKDAYS(L2009, M2009, Holiday_Dates) &lt;= 0,
            1,
            NETWORKDAYS(L2009, M2009, Holiday_Dates) - IF(L2009 = M2009, 0, 1)
        )
    )
)</f>
        <v/>
      </c>
      <c r="R2009" s="385" t="str">
        <f>IFERROR(
    IF(
        OR(ISBLANK(N2009), AND(ISBLANK(L2009), ISBLANK(M2009))),
        "",
        MAX(
            1,
            IF(
                NETWORKDAYS(IF(NOT(ISBLANK(M2009)), M2009, L2009), N2009, Holiday_Dates) &lt;= 0,
                1,
                NETWORKDAYS(IF(NOT(ISBLANK(M2009)), M2009, L2009), N2009, Holiday_Dates)
                - IF(IF(NOT(ISBLANK(M2009)), M2009, L2009) = N2009, 0, 1)
            )
        )
    ),
    ""
)</f>
        <v/>
      </c>
      <c r="S2009" s="385" t="str">
        <f>IFERROR(
    IF(
        OR(ISBLANK(N2009), ISBLANK(O2009)),
        "",
        MAX(
            1,
            IF(
                NETWORKDAYS(N2009, O2009, Holiday_Dates) &lt;= 0,
                1,
                NETWORKDAYS(N2009, O2009, Holiday_Dates) - IF(N2009 = O2009, 0, 1)
            )
        )
    ),
    ""
)</f>
        <v/>
      </c>
      <c r="T2009" s="385"/>
      <c r="U2009" s="385"/>
      <c r="V2009" s="385"/>
      <c r="W2009" s="385" t="s">
        <v>4710</v>
      </c>
      <c r="X2009" s="1"/>
    </row>
    <row r="2010" spans="1:24">
      <c r="A2010" s="385" t="s">
        <v>51</v>
      </c>
      <c r="B2010" s="385" t="s">
        <v>354</v>
      </c>
      <c r="C2010" s="385" t="s">
        <v>5455</v>
      </c>
      <c r="D2010" s="385" t="s">
        <v>88</v>
      </c>
      <c r="E2010" s="385"/>
      <c r="F2010" s="385"/>
      <c r="G2010" s="385"/>
      <c r="H2010" s="385">
        <v>2025</v>
      </c>
      <c r="I2010" s="386">
        <v>45721</v>
      </c>
      <c r="J2010" s="30" t="s">
        <v>5456</v>
      </c>
      <c r="K2010" s="385"/>
      <c r="L2010" s="385"/>
      <c r="M2010" s="385"/>
      <c r="N2010" s="385"/>
      <c r="O2010" s="385"/>
      <c r="P2010" s="385" t="str">
        <f>IFERROR(
    IF(
        OR(ISBLANK(I2010), ISBLANK(L2010)),
        "",
        MAX(
            1,
            IF(
                NETWORKDAYS(I2010, L2010, Holiday_Dates) &lt;= 0,
                1,
                NETWORKDAYS(I2010, L2010, Holiday_Dates) - IF(I2010 = L2010, 0, 1)
            )
        )
    ),
    ""
)</f>
        <v/>
      </c>
      <c r="Q2010" s="385" t="str">
        <f>IF(
    OR(ISBLANK(L2010), ISBLANK(M2010)),
    "",
    MAX(
        1,
        IF(
            NETWORKDAYS(L2010, M2010, Holiday_Dates) &lt;= 0,
            1,
            NETWORKDAYS(L2010, M2010, Holiday_Dates) - IF(L2010 = M2010, 0, 1)
        )
    )
)</f>
        <v/>
      </c>
      <c r="R2010" s="385" t="str">
        <f>IFERROR(
    IF(
        OR(ISBLANK(N2010), AND(ISBLANK(L2010), ISBLANK(M2010))),
        "",
        MAX(
            1,
            IF(
                NETWORKDAYS(IF(NOT(ISBLANK(M2010)), M2010, L2010), N2010, Holiday_Dates) &lt;= 0,
                1,
                NETWORKDAYS(IF(NOT(ISBLANK(M2010)), M2010, L2010), N2010, Holiday_Dates)
                - IF(IF(NOT(ISBLANK(M2010)), M2010, L2010) = N2010, 0, 1)
            )
        )
    ),
    ""
)</f>
        <v/>
      </c>
      <c r="S2010" s="385" t="str">
        <f>IFERROR(
    IF(
        OR(ISBLANK(N2010), ISBLANK(O2010)),
        "",
        MAX(
            1,
            IF(
                NETWORKDAYS(N2010, O2010, Holiday_Dates) &lt;= 0,
                1,
                NETWORKDAYS(N2010, O2010, Holiday_Dates) - IF(N2010 = O2010, 0, 1)
            )
        )
    ),
    ""
)</f>
        <v/>
      </c>
      <c r="T2010" s="385"/>
      <c r="U2010" s="385" t="s">
        <v>672</v>
      </c>
      <c r="V2010" s="385" t="s">
        <v>1676</v>
      </c>
      <c r="W2010" s="385" t="s">
        <v>1436</v>
      </c>
      <c r="X2010" s="1"/>
    </row>
    <row r="2011" spans="1:24">
      <c r="A2011" s="385" t="s">
        <v>49</v>
      </c>
      <c r="B2011" s="385" t="s">
        <v>378</v>
      </c>
      <c r="C2011" s="385" t="s">
        <v>2342</v>
      </c>
      <c r="D2011" s="385" t="s">
        <v>88</v>
      </c>
      <c r="E2011" s="385" t="s">
        <v>377</v>
      </c>
      <c r="F2011" s="385"/>
      <c r="G2011" s="385" t="s">
        <v>128</v>
      </c>
      <c r="H2011" s="385"/>
      <c r="I2011" s="385"/>
      <c r="J2011" s="30"/>
      <c r="K2011" s="385"/>
      <c r="L2011" s="385"/>
      <c r="M2011" s="385"/>
      <c r="N2011" s="385"/>
      <c r="O2011" s="385"/>
      <c r="P2011" s="385" t="str">
        <f>IFERROR(
    IF(
        OR(ISBLANK(I2011), ISBLANK(L2011)),
        "",
        MAX(
            1,
            IF(
                NETWORKDAYS(I2011, L2011, Holiday_Dates) &lt;= 0,
                1,
                NETWORKDAYS(I2011, L2011, Holiday_Dates) - IF(I2011 = L2011, 0, 1)
            )
        )
    ),
    ""
)</f>
        <v/>
      </c>
      <c r="Q2011" s="385" t="str">
        <f>IF(
    OR(ISBLANK(L2011), ISBLANK(M2011)),
    "",
    MAX(
        1,
        IF(
            NETWORKDAYS(L2011, M2011, Holiday_Dates) &lt;= 0,
            1,
            NETWORKDAYS(L2011, M2011, Holiday_Dates) - IF(L2011 = M2011, 0, 1)
        )
    )
)</f>
        <v/>
      </c>
      <c r="R2011" s="385" t="str">
        <f>IFERROR(
    IF(
        OR(ISBLANK(N2011), AND(ISBLANK(L2011), ISBLANK(M2011))),
        "",
        MAX(
            1,
            IF(
                NETWORKDAYS(IF(NOT(ISBLANK(M2011)), M2011, L2011), N2011, Holiday_Dates) &lt;= 0,
                1,
                NETWORKDAYS(IF(NOT(ISBLANK(M2011)), M2011, L2011), N2011, Holiday_Dates)
                - IF(IF(NOT(ISBLANK(M2011)), M2011, L2011) = N2011, 0, 1)
            )
        )
    ),
    ""
)</f>
        <v/>
      </c>
      <c r="S2011" s="385" t="str">
        <f>IFERROR(
    IF(
        OR(ISBLANK(N2011), ISBLANK(O2011)),
        "",
        MAX(
            1,
            IF(
                NETWORKDAYS(N2011, O2011, Holiday_Dates) &lt;= 0,
                1,
                NETWORKDAYS(N2011, O2011, Holiday_Dates) - IF(N2011 = O2011, 0, 1)
            )
        )
    ),
    ""
)</f>
        <v/>
      </c>
      <c r="T2011" s="385"/>
      <c r="U2011" s="385"/>
      <c r="V2011" s="385"/>
      <c r="W2011" s="385" t="s">
        <v>4710</v>
      </c>
      <c r="X2011" s="1"/>
    </row>
    <row r="2012" spans="1:24">
      <c r="A2012" s="385" t="s">
        <v>49</v>
      </c>
      <c r="B2012" s="385" t="s">
        <v>378</v>
      </c>
      <c r="C2012" s="385" t="s">
        <v>2234</v>
      </c>
      <c r="D2012" s="385" t="s">
        <v>88</v>
      </c>
      <c r="E2012" s="385" t="s">
        <v>377</v>
      </c>
      <c r="F2012" s="385"/>
      <c r="G2012" s="385" t="s">
        <v>128</v>
      </c>
      <c r="H2012" s="385"/>
      <c r="I2012" s="385"/>
      <c r="J2012" s="30"/>
      <c r="K2012" s="385"/>
      <c r="L2012" s="385"/>
      <c r="M2012" s="385"/>
      <c r="N2012" s="385"/>
      <c r="O2012" s="385"/>
      <c r="P2012" s="385" t="str">
        <f>IFERROR(
    IF(
        OR(ISBLANK(I2012), ISBLANK(L2012)),
        "",
        MAX(
            1,
            IF(
                NETWORKDAYS(I2012, L2012, Holiday_Dates) &lt;= 0,
                1,
                NETWORKDAYS(I2012, L2012, Holiday_Dates) - IF(I2012 = L2012, 0, 1)
            )
        )
    ),
    ""
)</f>
        <v/>
      </c>
      <c r="Q2012" s="385" t="str">
        <f>IF(
    OR(ISBLANK(L2012), ISBLANK(M2012)),
    "",
    MAX(
        1,
        IF(
            NETWORKDAYS(L2012, M2012, Holiday_Dates) &lt;= 0,
            1,
            NETWORKDAYS(L2012, M2012, Holiday_Dates) - IF(L2012 = M2012, 0, 1)
        )
    )
)</f>
        <v/>
      </c>
      <c r="R2012" s="385" t="str">
        <f>IFERROR(
    IF(
        OR(ISBLANK(N2012), AND(ISBLANK(L2012), ISBLANK(M2012))),
        "",
        MAX(
            1,
            IF(
                NETWORKDAYS(IF(NOT(ISBLANK(M2012)), M2012, L2012), N2012, Holiday_Dates) &lt;= 0,
                1,
                NETWORKDAYS(IF(NOT(ISBLANK(M2012)), M2012, L2012), N2012, Holiday_Dates)
                - IF(IF(NOT(ISBLANK(M2012)), M2012, L2012) = N2012, 0, 1)
            )
        )
    ),
    ""
)</f>
        <v/>
      </c>
      <c r="S2012" s="385" t="str">
        <f>IFERROR(
    IF(
        OR(ISBLANK(N2012), ISBLANK(O2012)),
        "",
        MAX(
            1,
            IF(
                NETWORKDAYS(N2012, O2012, Holiday_Dates) &lt;= 0,
                1,
                NETWORKDAYS(N2012, O2012, Holiday_Dates) - IF(N2012 = O2012, 0, 1)
            )
        )
    ),
    ""
)</f>
        <v/>
      </c>
      <c r="T2012" s="385"/>
      <c r="U2012" s="385"/>
      <c r="V2012" s="385"/>
      <c r="W2012" s="385" t="s">
        <v>4710</v>
      </c>
      <c r="X2012" s="1"/>
    </row>
    <row r="2013" spans="1:24">
      <c r="A2013" s="385" t="s">
        <v>49</v>
      </c>
      <c r="B2013" s="385" t="s">
        <v>378</v>
      </c>
      <c r="C2013" s="385" t="s">
        <v>2699</v>
      </c>
      <c r="D2013" s="385" t="s">
        <v>88</v>
      </c>
      <c r="E2013" s="385" t="s">
        <v>377</v>
      </c>
      <c r="F2013" s="385"/>
      <c r="G2013" s="385" t="s">
        <v>128</v>
      </c>
      <c r="H2013" s="385"/>
      <c r="I2013" s="385"/>
      <c r="J2013" s="30"/>
      <c r="K2013" s="385"/>
      <c r="L2013" s="385"/>
      <c r="M2013" s="385"/>
      <c r="N2013" s="385"/>
      <c r="O2013" s="385"/>
      <c r="P2013" s="385" t="str">
        <f>IFERROR(
    IF(
        OR(ISBLANK(I2013), ISBLANK(L2013)),
        "",
        MAX(
            1,
            IF(
                NETWORKDAYS(I2013, L2013, Holiday_Dates) &lt;= 0,
                1,
                NETWORKDAYS(I2013, L2013, Holiday_Dates) - IF(I2013 = L2013, 0, 1)
            )
        )
    ),
    ""
)</f>
        <v/>
      </c>
      <c r="Q2013" s="385" t="str">
        <f>IF(
    OR(ISBLANK(L2013), ISBLANK(M2013)),
    "",
    MAX(
        1,
        IF(
            NETWORKDAYS(L2013, M2013, Holiday_Dates) &lt;= 0,
            1,
            NETWORKDAYS(L2013, M2013, Holiday_Dates) - IF(L2013 = M2013, 0, 1)
        )
    )
)</f>
        <v/>
      </c>
      <c r="R2013" s="385" t="str">
        <f>IFERROR(
    IF(
        OR(ISBLANK(N2013), AND(ISBLANK(L2013), ISBLANK(M2013))),
        "",
        MAX(
            1,
            IF(
                NETWORKDAYS(IF(NOT(ISBLANK(M2013)), M2013, L2013), N2013, Holiday_Dates) &lt;= 0,
                1,
                NETWORKDAYS(IF(NOT(ISBLANK(M2013)), M2013, L2013), N2013, Holiday_Dates)
                - IF(IF(NOT(ISBLANK(M2013)), M2013, L2013) = N2013, 0, 1)
            )
        )
    ),
    ""
)</f>
        <v/>
      </c>
      <c r="S2013" s="385" t="str">
        <f>IFERROR(
    IF(
        OR(ISBLANK(N2013), ISBLANK(O2013)),
        "",
        MAX(
            1,
            IF(
                NETWORKDAYS(N2013, O2013, Holiday_Dates) &lt;= 0,
                1,
                NETWORKDAYS(N2013, O2013, Holiday_Dates) - IF(N2013 = O2013, 0, 1)
            )
        )
    ),
    ""
)</f>
        <v/>
      </c>
      <c r="T2013" s="385"/>
      <c r="U2013" s="385"/>
      <c r="V2013" s="385"/>
      <c r="W2013" s="385" t="s">
        <v>4710</v>
      </c>
      <c r="X2013" s="1"/>
    </row>
    <row r="2014" spans="1:24">
      <c r="A2014" s="385" t="s">
        <v>49</v>
      </c>
      <c r="B2014" s="385" t="s">
        <v>378</v>
      </c>
      <c r="C2014" s="385" t="s">
        <v>2697</v>
      </c>
      <c r="D2014" s="385" t="s">
        <v>88</v>
      </c>
      <c r="E2014" s="385" t="s">
        <v>377</v>
      </c>
      <c r="F2014" s="385"/>
      <c r="G2014" s="385" t="s">
        <v>128</v>
      </c>
      <c r="H2014" s="385"/>
      <c r="I2014" s="385"/>
      <c r="J2014" s="30"/>
      <c r="K2014" s="385"/>
      <c r="L2014" s="385"/>
      <c r="M2014" s="385"/>
      <c r="N2014" s="385"/>
      <c r="O2014" s="385"/>
      <c r="P2014" s="385" t="str">
        <f>IFERROR(
    IF(
        OR(ISBLANK(I2014), ISBLANK(L2014)),
        "",
        MAX(
            1,
            IF(
                NETWORKDAYS(I2014, L2014, Holiday_Dates) &lt;= 0,
                1,
                NETWORKDAYS(I2014, L2014, Holiday_Dates) - IF(I2014 = L2014, 0, 1)
            )
        )
    ),
    ""
)</f>
        <v/>
      </c>
      <c r="Q2014" s="385" t="str">
        <f>IF(
    OR(ISBLANK(L2014), ISBLANK(M2014)),
    "",
    MAX(
        1,
        IF(
            NETWORKDAYS(L2014, M2014, Holiday_Dates) &lt;= 0,
            1,
            NETWORKDAYS(L2014, M2014, Holiday_Dates) - IF(L2014 = M2014, 0, 1)
        )
    )
)</f>
        <v/>
      </c>
      <c r="R2014" s="385" t="str">
        <f>IFERROR(
    IF(
        OR(ISBLANK(N2014), AND(ISBLANK(L2014), ISBLANK(M2014))),
        "",
        MAX(
            1,
            IF(
                NETWORKDAYS(IF(NOT(ISBLANK(M2014)), M2014, L2014), N2014, Holiday_Dates) &lt;= 0,
                1,
                NETWORKDAYS(IF(NOT(ISBLANK(M2014)), M2014, L2014), N2014, Holiday_Dates)
                - IF(IF(NOT(ISBLANK(M2014)), M2014, L2014) = N2014, 0, 1)
            )
        )
    ),
    ""
)</f>
        <v/>
      </c>
      <c r="S2014" s="385" t="str">
        <f>IFERROR(
    IF(
        OR(ISBLANK(N2014), ISBLANK(O2014)),
        "",
        MAX(
            1,
            IF(
                NETWORKDAYS(N2014, O2014, Holiday_Dates) &lt;= 0,
                1,
                NETWORKDAYS(N2014, O2014, Holiday_Dates) - IF(N2014 = O2014, 0, 1)
            )
        )
    ),
    ""
)</f>
        <v/>
      </c>
      <c r="T2014" s="385"/>
      <c r="U2014" s="385"/>
      <c r="V2014" s="385"/>
      <c r="W2014" s="385" t="s">
        <v>4710</v>
      </c>
      <c r="X2014" s="1"/>
    </row>
    <row r="2015" spans="1:24">
      <c r="A2015" s="385" t="s">
        <v>51</v>
      </c>
      <c r="B2015" s="385" t="s">
        <v>354</v>
      </c>
      <c r="C2015" s="385" t="s">
        <v>3646</v>
      </c>
      <c r="D2015" s="385" t="s">
        <v>88</v>
      </c>
      <c r="E2015" s="385"/>
      <c r="F2015" s="385"/>
      <c r="G2015" s="385"/>
      <c r="H2015" s="385">
        <v>2025</v>
      </c>
      <c r="I2015" s="386">
        <v>45916</v>
      </c>
      <c r="J2015" s="30" t="s">
        <v>5457</v>
      </c>
      <c r="K2015" s="385"/>
      <c r="L2015" s="385"/>
      <c r="M2015" s="385"/>
      <c r="N2015" s="385"/>
      <c r="O2015" s="385"/>
      <c r="P2015" s="385" t="str">
        <f>IFERROR(
    IF(
        OR(ISBLANK(I2015), ISBLANK(L2015)),
        "",
        MAX(
            1,
            IF(
                NETWORKDAYS(I2015, L2015, Holiday_Dates) &lt;= 0,
                1,
                NETWORKDAYS(I2015, L2015, Holiday_Dates) - IF(I2015 = L2015, 0, 1)
            )
        )
    ),
    ""
)</f>
        <v/>
      </c>
      <c r="Q2015" s="385" t="str">
        <f>IF(
    OR(ISBLANK(L2015), ISBLANK(M2015)),
    "",
    MAX(
        1,
        IF(
            NETWORKDAYS(L2015, M2015, Holiday_Dates) &lt;= 0,
            1,
            NETWORKDAYS(L2015, M2015, Holiday_Dates) - IF(L2015 = M2015, 0, 1)
        )
    )
)</f>
        <v/>
      </c>
      <c r="R2015" s="385" t="str">
        <f>IFERROR(
    IF(
        OR(ISBLANK(N2015), AND(ISBLANK(L2015), ISBLANK(M2015))),
        "",
        MAX(
            1,
            IF(
                NETWORKDAYS(IF(NOT(ISBLANK(M2015)), M2015, L2015), N2015, Holiday_Dates) &lt;= 0,
                1,
                NETWORKDAYS(IF(NOT(ISBLANK(M2015)), M2015, L2015), N2015, Holiday_Dates)
                - IF(IF(NOT(ISBLANK(M2015)), M2015, L2015) = N2015, 0, 1)
            )
        )
    ),
    ""
)</f>
        <v/>
      </c>
      <c r="S2015" s="385" t="str">
        <f>IFERROR(
    IF(
        OR(ISBLANK(N2015), ISBLANK(O2015)),
        "",
        MAX(
            1,
            IF(
                NETWORKDAYS(N2015, O2015, Holiday_Dates) &lt;= 0,
                1,
                NETWORKDAYS(N2015, O2015, Holiday_Dates) - IF(N2015 = O2015, 0, 1)
            )
        )
    ),
    ""
)</f>
        <v/>
      </c>
      <c r="T2015" s="385"/>
      <c r="U2015" s="385" t="s">
        <v>672</v>
      </c>
      <c r="V2015" s="385" t="s">
        <v>1676</v>
      </c>
      <c r="W2015" s="385" t="s">
        <v>1436</v>
      </c>
      <c r="X2015" s="1"/>
    </row>
    <row r="2016" spans="1:24">
      <c r="A2016" s="385" t="s">
        <v>49</v>
      </c>
      <c r="B2016" s="385" t="s">
        <v>378</v>
      </c>
      <c r="C2016" s="385" t="s">
        <v>2698</v>
      </c>
      <c r="D2016" s="385" t="s">
        <v>88</v>
      </c>
      <c r="E2016" s="385" t="s">
        <v>377</v>
      </c>
      <c r="F2016" s="385"/>
      <c r="G2016" s="385" t="s">
        <v>128</v>
      </c>
      <c r="H2016" s="385"/>
      <c r="I2016" s="385"/>
      <c r="J2016" s="30"/>
      <c r="K2016" s="385"/>
      <c r="L2016" s="385"/>
      <c r="M2016" s="385"/>
      <c r="N2016" s="385"/>
      <c r="O2016" s="385"/>
      <c r="P2016" s="385" t="str">
        <f>IFERROR(
    IF(
        OR(ISBLANK(I2016), ISBLANK(L2016)),
        "",
        MAX(
            1,
            IF(
                NETWORKDAYS(I2016, L2016, Holiday_Dates) &lt;= 0,
                1,
                NETWORKDAYS(I2016, L2016, Holiday_Dates) - IF(I2016 = L2016, 0, 1)
            )
        )
    ),
    ""
)</f>
        <v/>
      </c>
      <c r="Q2016" s="385" t="str">
        <f>IF(
    OR(ISBLANK(L2016), ISBLANK(M2016)),
    "",
    MAX(
        1,
        IF(
            NETWORKDAYS(L2016, M2016, Holiday_Dates) &lt;= 0,
            1,
            NETWORKDAYS(L2016, M2016, Holiday_Dates) - IF(L2016 = M2016, 0, 1)
        )
    )
)</f>
        <v/>
      </c>
      <c r="R2016" s="385" t="str">
        <f>IFERROR(
    IF(
        OR(ISBLANK(N2016), AND(ISBLANK(L2016), ISBLANK(M2016))),
        "",
        MAX(
            1,
            IF(
                NETWORKDAYS(IF(NOT(ISBLANK(M2016)), M2016, L2016), N2016, Holiday_Dates) &lt;= 0,
                1,
                NETWORKDAYS(IF(NOT(ISBLANK(M2016)), M2016, L2016), N2016, Holiday_Dates)
                - IF(IF(NOT(ISBLANK(M2016)), M2016, L2016) = N2016, 0, 1)
            )
        )
    ),
    ""
)</f>
        <v/>
      </c>
      <c r="S2016" s="385" t="str">
        <f>IFERROR(
    IF(
        OR(ISBLANK(N2016), ISBLANK(O2016)),
        "",
        MAX(
            1,
            IF(
                NETWORKDAYS(N2016, O2016, Holiday_Dates) &lt;= 0,
                1,
                NETWORKDAYS(N2016, O2016, Holiday_Dates) - IF(N2016 = O2016, 0, 1)
            )
        )
    ),
    ""
)</f>
        <v/>
      </c>
      <c r="T2016" s="385"/>
      <c r="U2016" s="385"/>
      <c r="V2016" s="385"/>
      <c r="W2016" s="385" t="s">
        <v>4710</v>
      </c>
      <c r="X2016" s="1"/>
    </row>
    <row r="2017" spans="1:24">
      <c r="A2017" s="385" t="s">
        <v>51</v>
      </c>
      <c r="B2017" s="385" t="s">
        <v>354</v>
      </c>
      <c r="C2017" s="385" t="s">
        <v>444</v>
      </c>
      <c r="D2017" s="385" t="s">
        <v>88</v>
      </c>
      <c r="E2017" s="385"/>
      <c r="F2017" s="385"/>
      <c r="G2017" s="385"/>
      <c r="H2017" s="385">
        <v>2025</v>
      </c>
      <c r="I2017" s="386">
        <v>45729</v>
      </c>
      <c r="J2017" s="30" t="s">
        <v>5458</v>
      </c>
      <c r="K2017" s="385"/>
      <c r="L2017" s="385"/>
      <c r="M2017" s="385"/>
      <c r="N2017" s="385"/>
      <c r="O2017" s="385"/>
      <c r="P2017" s="385" t="str">
        <f>IFERROR(
    IF(
        OR(ISBLANK(I2017), ISBLANK(L2017)),
        "",
        MAX(
            1,
            IF(
                NETWORKDAYS(I2017, L2017, Holiday_Dates) &lt;= 0,
                1,
                NETWORKDAYS(I2017, L2017, Holiday_Dates) - IF(I2017 = L2017, 0, 1)
            )
        )
    ),
    ""
)</f>
        <v/>
      </c>
      <c r="Q2017" s="385" t="str">
        <f>IF(
    OR(ISBLANK(L2017), ISBLANK(M2017)),
    "",
    MAX(
        1,
        IF(
            NETWORKDAYS(L2017, M2017, Holiday_Dates) &lt;= 0,
            1,
            NETWORKDAYS(L2017, M2017, Holiday_Dates) - IF(L2017 = M2017, 0, 1)
        )
    )
)</f>
        <v/>
      </c>
      <c r="R2017" s="385" t="str">
        <f>IFERROR(
    IF(
        OR(ISBLANK(N2017), AND(ISBLANK(L2017), ISBLANK(M2017))),
        "",
        MAX(
            1,
            IF(
                NETWORKDAYS(IF(NOT(ISBLANK(M2017)), M2017, L2017), N2017, Holiday_Dates) &lt;= 0,
                1,
                NETWORKDAYS(IF(NOT(ISBLANK(M2017)), M2017, L2017), N2017, Holiday_Dates)
                - IF(IF(NOT(ISBLANK(M2017)), M2017, L2017) = N2017, 0, 1)
            )
        )
    ),
    ""
)</f>
        <v/>
      </c>
      <c r="S2017" s="385" t="str">
        <f>IFERROR(
    IF(
        OR(ISBLANK(N2017), ISBLANK(O2017)),
        "",
        MAX(
            1,
            IF(
                NETWORKDAYS(N2017, O2017, Holiday_Dates) &lt;= 0,
                1,
                NETWORKDAYS(N2017, O2017, Holiday_Dates) - IF(N2017 = O2017, 0, 1)
            )
        )
    ),
    ""
)</f>
        <v/>
      </c>
      <c r="T2017" s="385"/>
      <c r="U2017" s="385" t="s">
        <v>672</v>
      </c>
      <c r="V2017" s="385" t="s">
        <v>1676</v>
      </c>
      <c r="W2017" s="385" t="s">
        <v>1436</v>
      </c>
      <c r="X2017" s="1"/>
    </row>
    <row r="2018" spans="1:24">
      <c r="A2018" s="385" t="s">
        <v>51</v>
      </c>
      <c r="B2018" s="385" t="s">
        <v>354</v>
      </c>
      <c r="C2018" s="385" t="s">
        <v>2342</v>
      </c>
      <c r="D2018" s="385" t="s">
        <v>88</v>
      </c>
      <c r="E2018" s="385"/>
      <c r="F2018" s="385"/>
      <c r="G2018" s="385"/>
      <c r="H2018" s="385">
        <v>2025</v>
      </c>
      <c r="I2018" s="386">
        <v>45944</v>
      </c>
      <c r="J2018" s="30" t="s">
        <v>5459</v>
      </c>
      <c r="K2018" s="385"/>
      <c r="L2018" s="385"/>
      <c r="M2018" s="385"/>
      <c r="N2018" s="385"/>
      <c r="O2018" s="385"/>
      <c r="P2018" s="385" t="str">
        <f>IFERROR(
    IF(
        OR(ISBLANK(I2018), ISBLANK(L2018)),
        "",
        MAX(
            1,
            IF(
                NETWORKDAYS(I2018, L2018, Holiday_Dates) &lt;= 0,
                1,
                NETWORKDAYS(I2018, L2018, Holiday_Dates) - IF(I2018 = L2018, 0, 1)
            )
        )
    ),
    ""
)</f>
        <v/>
      </c>
      <c r="Q2018" s="385" t="str">
        <f>IF(
    OR(ISBLANK(L2018), ISBLANK(M2018)),
    "",
    MAX(
        1,
        IF(
            NETWORKDAYS(L2018, M2018, Holiday_Dates) &lt;= 0,
            1,
            NETWORKDAYS(L2018, M2018, Holiday_Dates) - IF(L2018 = M2018, 0, 1)
        )
    )
)</f>
        <v/>
      </c>
      <c r="R2018" s="385" t="str">
        <f>IFERROR(
    IF(
        OR(ISBLANK(N2018), AND(ISBLANK(L2018), ISBLANK(M2018))),
        "",
        MAX(
            1,
            IF(
                NETWORKDAYS(IF(NOT(ISBLANK(M2018)), M2018, L2018), N2018, Holiday_Dates) &lt;= 0,
                1,
                NETWORKDAYS(IF(NOT(ISBLANK(M2018)), M2018, L2018), N2018, Holiday_Dates)
                - IF(IF(NOT(ISBLANK(M2018)), M2018, L2018) = N2018, 0, 1)
            )
        )
    ),
    ""
)</f>
        <v/>
      </c>
      <c r="S2018" s="385" t="str">
        <f>IFERROR(
    IF(
        OR(ISBLANK(N2018), ISBLANK(O2018)),
        "",
        MAX(
            1,
            IF(
                NETWORKDAYS(N2018, O2018, Holiday_Dates) &lt;= 0,
                1,
                NETWORKDAYS(N2018, O2018, Holiday_Dates) - IF(N2018 = O2018, 0, 1)
            )
        )
    ),
    ""
)</f>
        <v/>
      </c>
      <c r="T2018" s="385"/>
      <c r="U2018" s="385" t="s">
        <v>672</v>
      </c>
      <c r="V2018" s="385" t="s">
        <v>1676</v>
      </c>
      <c r="W2018" s="385" t="s">
        <v>1436</v>
      </c>
      <c r="X2018" s="1"/>
    </row>
    <row r="2019" spans="1:24">
      <c r="A2019" s="385" t="s">
        <v>51</v>
      </c>
      <c r="B2019" s="385" t="s">
        <v>354</v>
      </c>
      <c r="C2019" s="385" t="s">
        <v>714</v>
      </c>
      <c r="D2019" s="385" t="s">
        <v>88</v>
      </c>
      <c r="E2019" s="385"/>
      <c r="F2019" s="385"/>
      <c r="G2019" s="385"/>
      <c r="H2019" s="385">
        <v>2024</v>
      </c>
      <c r="I2019" s="386">
        <v>45581</v>
      </c>
      <c r="J2019" s="30"/>
      <c r="K2019" s="385"/>
      <c r="L2019" s="385"/>
      <c r="M2019" s="385"/>
      <c r="N2019" s="385"/>
      <c r="O2019" s="385"/>
      <c r="P2019" s="385" t="str">
        <f>IFERROR(
    IF(
        OR(ISBLANK(I2019), ISBLANK(L2019)),
        "",
        MAX(
            1,
            IF(
                NETWORKDAYS(I2019, L2019, Holiday_Dates) &lt;= 0,
                1,
                NETWORKDAYS(I2019, L2019, Holiday_Dates) - IF(I2019 = L2019, 0, 1)
            )
        )
    ),
    ""
)</f>
        <v/>
      </c>
      <c r="Q2019" s="385" t="str">
        <f>IF(
    OR(ISBLANK(L2019), ISBLANK(M2019)),
    "",
    MAX(
        1,
        IF(
            NETWORKDAYS(L2019, M2019, Holiday_Dates) &lt;= 0,
            1,
            NETWORKDAYS(L2019, M2019, Holiday_Dates) - IF(L2019 = M2019, 0, 1)
        )
    )
)</f>
        <v/>
      </c>
      <c r="R2019" s="385" t="str">
        <f>IFERROR(
    IF(
        OR(ISBLANK(N2019), AND(ISBLANK(L2019), ISBLANK(M2019))),
        "",
        MAX(
            1,
            IF(
                NETWORKDAYS(IF(NOT(ISBLANK(M2019)), M2019, L2019), N2019, Holiday_Dates) &lt;= 0,
                1,
                NETWORKDAYS(IF(NOT(ISBLANK(M2019)), M2019, L2019), N2019, Holiday_Dates)
                - IF(IF(NOT(ISBLANK(M2019)), M2019, L2019) = N2019, 0, 1)
            )
        )
    ),
    ""
)</f>
        <v/>
      </c>
      <c r="S2019" s="385" t="str">
        <f>IFERROR(
    IF(
        OR(ISBLANK(N2019), ISBLANK(O2019)),
        "",
        MAX(
            1,
            IF(
                NETWORKDAYS(N2019, O2019, Holiday_Dates) &lt;= 0,
                1,
                NETWORKDAYS(N2019, O2019, Holiday_Dates) - IF(N2019 = O2019, 0, 1)
            )
        )
    ),
    ""
)</f>
        <v/>
      </c>
      <c r="T2019" s="385"/>
      <c r="U2019" s="385" t="s">
        <v>672</v>
      </c>
      <c r="V2019" s="385" t="s">
        <v>101</v>
      </c>
      <c r="W2019" s="385" t="s">
        <v>1436</v>
      </c>
      <c r="X2019" s="1"/>
    </row>
    <row r="2020" spans="1:24">
      <c r="A2020" s="385" t="s">
        <v>51</v>
      </c>
      <c r="B2020" s="385" t="s">
        <v>354</v>
      </c>
      <c r="C2020" s="385" t="s">
        <v>520</v>
      </c>
      <c r="D2020" s="385" t="s">
        <v>88</v>
      </c>
      <c r="E2020" s="385"/>
      <c r="F2020" s="385"/>
      <c r="G2020" s="385"/>
      <c r="H2020" s="385">
        <v>2025</v>
      </c>
      <c r="I2020" s="386">
        <v>45916</v>
      </c>
      <c r="J2020" s="30" t="s">
        <v>5460</v>
      </c>
      <c r="K2020" s="385"/>
      <c r="L2020" s="385"/>
      <c r="M2020" s="385"/>
      <c r="N2020" s="385"/>
      <c r="O2020" s="385"/>
      <c r="P2020" s="385" t="str">
        <f>IFERROR(
    IF(
        OR(ISBLANK(I2020), ISBLANK(L2020)),
        "",
        MAX(
            1,
            IF(
                NETWORKDAYS(I2020, L2020, Holiday_Dates) &lt;= 0,
                1,
                NETWORKDAYS(I2020, L2020, Holiday_Dates) - IF(I2020 = L2020, 0, 1)
            )
        )
    ),
    ""
)</f>
        <v/>
      </c>
      <c r="Q2020" s="385" t="str">
        <f>IF(
    OR(ISBLANK(L2020), ISBLANK(M2020)),
    "",
    MAX(
        1,
        IF(
            NETWORKDAYS(L2020, M2020, Holiday_Dates) &lt;= 0,
            1,
            NETWORKDAYS(L2020, M2020, Holiday_Dates) - IF(L2020 = M2020, 0, 1)
        )
    )
)</f>
        <v/>
      </c>
      <c r="R2020" s="385" t="str">
        <f>IFERROR(
    IF(
        OR(ISBLANK(N2020), AND(ISBLANK(L2020), ISBLANK(M2020))),
        "",
        MAX(
            1,
            IF(
                NETWORKDAYS(IF(NOT(ISBLANK(M2020)), M2020, L2020), N2020, Holiday_Dates) &lt;= 0,
                1,
                NETWORKDAYS(IF(NOT(ISBLANK(M2020)), M2020, L2020), N2020, Holiday_Dates)
                - IF(IF(NOT(ISBLANK(M2020)), M2020, L2020) = N2020, 0, 1)
            )
        )
    ),
    ""
)</f>
        <v/>
      </c>
      <c r="S2020" s="385" t="str">
        <f>IFERROR(
    IF(
        OR(ISBLANK(N2020), ISBLANK(O2020)),
        "",
        MAX(
            1,
            IF(
                NETWORKDAYS(N2020, O2020, Holiday_Dates) &lt;= 0,
                1,
                NETWORKDAYS(N2020, O2020, Holiday_Dates) - IF(N2020 = O2020, 0, 1)
            )
        )
    ),
    ""
)</f>
        <v/>
      </c>
      <c r="T2020" s="385"/>
      <c r="U2020" s="385" t="s">
        <v>672</v>
      </c>
      <c r="V2020" s="385" t="s">
        <v>1676</v>
      </c>
      <c r="W2020" s="385" t="s">
        <v>1436</v>
      </c>
      <c r="X2020" s="1"/>
    </row>
    <row r="2021" spans="1:24">
      <c r="A2021" s="385" t="s">
        <v>51</v>
      </c>
      <c r="B2021" s="385" t="s">
        <v>354</v>
      </c>
      <c r="C2021" s="385" t="s">
        <v>427</v>
      </c>
      <c r="D2021" s="385" t="s">
        <v>88</v>
      </c>
      <c r="E2021" s="385"/>
      <c r="F2021" s="385"/>
      <c r="G2021" s="385"/>
      <c r="H2021" s="385">
        <v>2025</v>
      </c>
      <c r="I2021" s="386">
        <v>45757</v>
      </c>
      <c r="J2021" s="30" t="s">
        <v>5461</v>
      </c>
      <c r="K2021" s="385"/>
      <c r="L2021" s="385"/>
      <c r="M2021" s="385"/>
      <c r="N2021" s="385"/>
      <c r="O2021" s="385"/>
      <c r="P2021" s="385" t="str">
        <f>IFERROR(
    IF(
        OR(ISBLANK(I2021), ISBLANK(L2021)),
        "",
        MAX(
            1,
            IF(
                NETWORKDAYS(I2021, L2021, Holiday_Dates) &lt;= 0,
                1,
                NETWORKDAYS(I2021, L2021, Holiday_Dates) - IF(I2021 = L2021, 0, 1)
            )
        )
    ),
    ""
)</f>
        <v/>
      </c>
      <c r="Q2021" s="385" t="str">
        <f>IF(
    OR(ISBLANK(L2021), ISBLANK(M2021)),
    "",
    MAX(
        1,
        IF(
            NETWORKDAYS(L2021, M2021, Holiday_Dates) &lt;= 0,
            1,
            NETWORKDAYS(L2021, M2021, Holiday_Dates) - IF(L2021 = M2021, 0, 1)
        )
    )
)</f>
        <v/>
      </c>
      <c r="R2021" s="385" t="str">
        <f>IFERROR(
    IF(
        OR(ISBLANK(N2021), AND(ISBLANK(L2021), ISBLANK(M2021))),
        "",
        MAX(
            1,
            IF(
                NETWORKDAYS(IF(NOT(ISBLANK(M2021)), M2021, L2021), N2021, Holiday_Dates) &lt;= 0,
                1,
                NETWORKDAYS(IF(NOT(ISBLANK(M2021)), M2021, L2021), N2021, Holiday_Dates)
                - IF(IF(NOT(ISBLANK(M2021)), M2021, L2021) = N2021, 0, 1)
            )
        )
    ),
    ""
)</f>
        <v/>
      </c>
      <c r="S2021" s="385" t="str">
        <f>IFERROR(
    IF(
        OR(ISBLANK(N2021), ISBLANK(O2021)),
        "",
        MAX(
            1,
            IF(
                NETWORKDAYS(N2021, O2021, Holiday_Dates) &lt;= 0,
                1,
                NETWORKDAYS(N2021, O2021, Holiday_Dates) - IF(N2021 = O2021, 0, 1)
            )
        )
    ),
    ""
)</f>
        <v/>
      </c>
      <c r="T2021" s="385"/>
      <c r="U2021" s="385" t="s">
        <v>672</v>
      </c>
      <c r="V2021" s="385" t="s">
        <v>1676</v>
      </c>
      <c r="W2021" s="385" t="s">
        <v>1436</v>
      </c>
      <c r="X2021" s="1"/>
    </row>
    <row r="2022" spans="1:24">
      <c r="A2022" s="385" t="s">
        <v>51</v>
      </c>
      <c r="B2022" s="385" t="s">
        <v>354</v>
      </c>
      <c r="C2022" s="385" t="s">
        <v>764</v>
      </c>
      <c r="D2022" s="385" t="s">
        <v>88</v>
      </c>
      <c r="E2022" s="385"/>
      <c r="F2022" s="385"/>
      <c r="G2022" s="385"/>
      <c r="H2022" s="385">
        <v>2025</v>
      </c>
      <c r="I2022" s="386">
        <v>45916</v>
      </c>
      <c r="J2022" s="30" t="s">
        <v>5462</v>
      </c>
      <c r="K2022" s="385"/>
      <c r="L2022" s="385"/>
      <c r="M2022" s="385"/>
      <c r="N2022" s="385"/>
      <c r="O2022" s="385"/>
      <c r="P2022" s="385" t="str">
        <f>IFERROR(
    IF(
        OR(ISBLANK(I2022), ISBLANK(L2022)),
        "",
        MAX(
            1,
            IF(
                NETWORKDAYS(I2022, L2022, Holiday_Dates) &lt;= 0,
                1,
                NETWORKDAYS(I2022, L2022, Holiday_Dates) - IF(I2022 = L2022, 0, 1)
            )
        )
    ),
    ""
)</f>
        <v/>
      </c>
      <c r="Q2022" s="385" t="str">
        <f>IF(
    OR(ISBLANK(L2022), ISBLANK(M2022)),
    "",
    MAX(
        1,
        IF(
            NETWORKDAYS(L2022, M2022, Holiday_Dates) &lt;= 0,
            1,
            NETWORKDAYS(L2022, M2022, Holiday_Dates) - IF(L2022 = M2022, 0, 1)
        )
    )
)</f>
        <v/>
      </c>
      <c r="R2022" s="385" t="str">
        <f>IFERROR(
    IF(
        OR(ISBLANK(N2022), AND(ISBLANK(L2022), ISBLANK(M2022))),
        "",
        MAX(
            1,
            IF(
                NETWORKDAYS(IF(NOT(ISBLANK(M2022)), M2022, L2022), N2022, Holiday_Dates) &lt;= 0,
                1,
                NETWORKDAYS(IF(NOT(ISBLANK(M2022)), M2022, L2022), N2022, Holiday_Dates)
                - IF(IF(NOT(ISBLANK(M2022)), M2022, L2022) = N2022, 0, 1)
            )
        )
    ),
    ""
)</f>
        <v/>
      </c>
      <c r="S2022" s="385" t="str">
        <f>IFERROR(
    IF(
        OR(ISBLANK(N2022), ISBLANK(O2022)),
        "",
        MAX(
            1,
            IF(
                NETWORKDAYS(N2022, O2022, Holiday_Dates) &lt;= 0,
                1,
                NETWORKDAYS(N2022, O2022, Holiday_Dates) - IF(N2022 = O2022, 0, 1)
            )
        )
    ),
    ""
)</f>
        <v/>
      </c>
      <c r="T2022" s="385"/>
      <c r="U2022" s="385" t="s">
        <v>672</v>
      </c>
      <c r="V2022" s="385" t="s">
        <v>1676</v>
      </c>
      <c r="W2022" s="385" t="s">
        <v>1436</v>
      </c>
      <c r="X2022" s="1"/>
    </row>
    <row r="2023" spans="1:24">
      <c r="A2023" s="385" t="s">
        <v>51</v>
      </c>
      <c r="B2023" s="385" t="s">
        <v>354</v>
      </c>
      <c r="C2023" s="385" t="s">
        <v>3649</v>
      </c>
      <c r="D2023" s="385" t="s">
        <v>88</v>
      </c>
      <c r="E2023" s="385"/>
      <c r="F2023" s="385"/>
      <c r="G2023" s="385"/>
      <c r="H2023" s="385">
        <v>2025</v>
      </c>
      <c r="I2023" s="386">
        <v>45944</v>
      </c>
      <c r="J2023" s="30" t="s">
        <v>5463</v>
      </c>
      <c r="K2023" s="385"/>
      <c r="L2023" s="385"/>
      <c r="M2023" s="385"/>
      <c r="N2023" s="385"/>
      <c r="O2023" s="385"/>
      <c r="P2023" s="385" t="str">
        <f>IFERROR(
    IF(
        OR(ISBLANK(I2023), ISBLANK(L2023)),
        "",
        MAX(
            1,
            IF(
                NETWORKDAYS(I2023, L2023, Holiday_Dates) &lt;= 0,
                1,
                NETWORKDAYS(I2023, L2023, Holiday_Dates) - IF(I2023 = L2023, 0, 1)
            )
        )
    ),
    ""
)</f>
        <v/>
      </c>
      <c r="Q2023" s="385" t="str">
        <f>IF(
    OR(ISBLANK(L2023), ISBLANK(M2023)),
    "",
    MAX(
        1,
        IF(
            NETWORKDAYS(L2023, M2023, Holiday_Dates) &lt;= 0,
            1,
            NETWORKDAYS(L2023, M2023, Holiday_Dates) - IF(L2023 = M2023, 0, 1)
        )
    )
)</f>
        <v/>
      </c>
      <c r="R2023" s="385" t="str">
        <f>IFERROR(
    IF(
        OR(ISBLANK(N2023), AND(ISBLANK(L2023), ISBLANK(M2023))),
        "",
        MAX(
            1,
            IF(
                NETWORKDAYS(IF(NOT(ISBLANK(M2023)), M2023, L2023), N2023, Holiday_Dates) &lt;= 0,
                1,
                NETWORKDAYS(IF(NOT(ISBLANK(M2023)), M2023, L2023), N2023, Holiday_Dates)
                - IF(IF(NOT(ISBLANK(M2023)), M2023, L2023) = N2023, 0, 1)
            )
        )
    ),
    ""
)</f>
        <v/>
      </c>
      <c r="S2023" s="385" t="str">
        <f>IFERROR(
    IF(
        OR(ISBLANK(N2023), ISBLANK(O2023)),
        "",
        MAX(
            1,
            IF(
                NETWORKDAYS(N2023, O2023, Holiday_Dates) &lt;= 0,
                1,
                NETWORKDAYS(N2023, O2023, Holiday_Dates) - IF(N2023 = O2023, 0, 1)
            )
        )
    ),
    ""
)</f>
        <v/>
      </c>
      <c r="T2023" s="385"/>
      <c r="U2023" s="385" t="s">
        <v>672</v>
      </c>
      <c r="V2023" s="385" t="s">
        <v>1676</v>
      </c>
      <c r="W2023" s="385" t="s">
        <v>1436</v>
      </c>
      <c r="X2023" s="1"/>
    </row>
    <row r="2024" spans="1:24">
      <c r="A2024" s="385" t="s">
        <v>49</v>
      </c>
      <c r="B2024" s="385" t="s">
        <v>1309</v>
      </c>
      <c r="C2024" s="385" t="s">
        <v>2418</v>
      </c>
      <c r="D2024" s="385" t="s">
        <v>88</v>
      </c>
      <c r="E2024" s="385" t="s">
        <v>136</v>
      </c>
      <c r="F2024" s="385"/>
      <c r="G2024" s="385" t="s">
        <v>128</v>
      </c>
      <c r="H2024" s="385"/>
      <c r="I2024" s="385"/>
      <c r="J2024" s="30"/>
      <c r="K2024" s="385"/>
      <c r="L2024" s="385"/>
      <c r="M2024" s="385"/>
      <c r="N2024" s="385"/>
      <c r="O2024" s="385"/>
      <c r="P2024" s="385" t="str">
        <f>IFERROR(
    IF(
        OR(ISBLANK(I2024), ISBLANK(L2024)),
        "",
        MAX(
            1,
            IF(
                NETWORKDAYS(I2024, L2024, Holiday_Dates) &lt;= 0,
                1,
                NETWORKDAYS(I2024, L2024, Holiday_Dates) - IF(I2024 = L2024, 0, 1)
            )
        )
    ),
    ""
)</f>
        <v/>
      </c>
      <c r="Q2024" s="385" t="str">
        <f>IF(
    OR(ISBLANK(L2024), ISBLANK(M2024)),
    "",
    MAX(
        1,
        IF(
            NETWORKDAYS(L2024, M2024, Holiday_Dates) &lt;= 0,
            1,
            NETWORKDAYS(L2024, M2024, Holiday_Dates) - IF(L2024 = M2024, 0, 1)
        )
    )
)</f>
        <v/>
      </c>
      <c r="R2024" s="385" t="str">
        <f>IFERROR(
    IF(
        OR(ISBLANK(N2024), AND(ISBLANK(L2024), ISBLANK(M2024))),
        "",
        MAX(
            1,
            IF(
                NETWORKDAYS(IF(NOT(ISBLANK(M2024)), M2024, L2024), N2024, Holiday_Dates) &lt;= 0,
                1,
                NETWORKDAYS(IF(NOT(ISBLANK(M2024)), M2024, L2024), N2024, Holiday_Dates)
                - IF(IF(NOT(ISBLANK(M2024)), M2024, L2024) = N2024, 0, 1)
            )
        )
    ),
    ""
)</f>
        <v/>
      </c>
      <c r="S2024" s="385" t="str">
        <f>IFERROR(
    IF(
        OR(ISBLANK(N2024), ISBLANK(O2024)),
        "",
        MAX(
            1,
            IF(
                NETWORKDAYS(N2024, O2024, Holiday_Dates) &lt;= 0,
                1,
                NETWORKDAYS(N2024, O2024, Holiday_Dates) - IF(N2024 = O2024, 0, 1)
            )
        )
    ),
    ""
)</f>
        <v/>
      </c>
      <c r="T2024" s="385"/>
      <c r="U2024" s="385"/>
      <c r="V2024" s="385"/>
      <c r="W2024" s="385" t="s">
        <v>4710</v>
      </c>
      <c r="X2024" s="1"/>
    </row>
    <row r="2025" spans="1:24">
      <c r="A2025" s="385" t="s">
        <v>51</v>
      </c>
      <c r="B2025" s="385" t="s">
        <v>354</v>
      </c>
      <c r="C2025" s="385" t="s">
        <v>3651</v>
      </c>
      <c r="D2025" s="385" t="s">
        <v>88</v>
      </c>
      <c r="E2025" s="385"/>
      <c r="F2025" s="385"/>
      <c r="G2025" s="385"/>
      <c r="H2025" s="385">
        <v>2025</v>
      </c>
      <c r="I2025" s="386">
        <v>45854</v>
      </c>
      <c r="J2025" s="30" t="s">
        <v>5464</v>
      </c>
      <c r="K2025" s="385"/>
      <c r="L2025" s="385"/>
      <c r="M2025" s="385"/>
      <c r="N2025" s="385"/>
      <c r="O2025" s="385"/>
      <c r="P2025" s="385" t="str">
        <f>IFERROR(
    IF(
        OR(ISBLANK(I2025), ISBLANK(L2025)),
        "",
        MAX(
            1,
            IF(
                NETWORKDAYS(I2025, L2025, Holiday_Dates) &lt;= 0,
                1,
                NETWORKDAYS(I2025, L2025, Holiday_Dates) - IF(I2025 = L2025, 0, 1)
            )
        )
    ),
    ""
)</f>
        <v/>
      </c>
      <c r="Q2025" s="385" t="str">
        <f>IF(
    OR(ISBLANK(L2025), ISBLANK(M2025)),
    "",
    MAX(
        1,
        IF(
            NETWORKDAYS(L2025, M2025, Holiday_Dates) &lt;= 0,
            1,
            NETWORKDAYS(L2025, M2025, Holiday_Dates) - IF(L2025 = M2025, 0, 1)
        )
    )
)</f>
        <v/>
      </c>
      <c r="R2025" s="385" t="str">
        <f>IFERROR(
    IF(
        OR(ISBLANK(N2025), AND(ISBLANK(L2025), ISBLANK(M2025))),
        "",
        MAX(
            1,
            IF(
                NETWORKDAYS(IF(NOT(ISBLANK(M2025)), M2025, L2025), N2025, Holiday_Dates) &lt;= 0,
                1,
                NETWORKDAYS(IF(NOT(ISBLANK(M2025)), M2025, L2025), N2025, Holiday_Dates)
                - IF(IF(NOT(ISBLANK(M2025)), M2025, L2025) = N2025, 0, 1)
            )
        )
    ),
    ""
)</f>
        <v/>
      </c>
      <c r="S2025" s="385" t="str">
        <f>IFERROR(
    IF(
        OR(ISBLANK(N2025), ISBLANK(O2025)),
        "",
        MAX(
            1,
            IF(
                NETWORKDAYS(N2025, O2025, Holiday_Dates) &lt;= 0,
                1,
                NETWORKDAYS(N2025, O2025, Holiday_Dates) - IF(N2025 = O2025, 0, 1)
            )
        )
    ),
    ""
)</f>
        <v/>
      </c>
      <c r="T2025" s="385"/>
      <c r="U2025" s="385" t="s">
        <v>672</v>
      </c>
      <c r="V2025" s="385" t="s">
        <v>1676</v>
      </c>
      <c r="W2025" s="385" t="s">
        <v>1436</v>
      </c>
      <c r="X2025" s="1"/>
    </row>
    <row r="2026" spans="1:24">
      <c r="A2026" s="385" t="s">
        <v>51</v>
      </c>
      <c r="B2026" s="385" t="s">
        <v>354</v>
      </c>
      <c r="C2026" s="385" t="s">
        <v>440</v>
      </c>
      <c r="D2026" s="385" t="s">
        <v>88</v>
      </c>
      <c r="E2026" s="385"/>
      <c r="F2026" s="385"/>
      <c r="G2026" s="385"/>
      <c r="H2026" s="385">
        <v>2025</v>
      </c>
      <c r="I2026" s="386">
        <v>45944</v>
      </c>
      <c r="J2026" s="30" t="s">
        <v>5465</v>
      </c>
      <c r="K2026" s="385"/>
      <c r="L2026" s="385"/>
      <c r="M2026" s="385"/>
      <c r="N2026" s="385"/>
      <c r="O2026" s="385"/>
      <c r="P2026" s="385" t="str">
        <f>IFERROR(
    IF(
        OR(ISBLANK(I2026), ISBLANK(L2026)),
        "",
        MAX(
            1,
            IF(
                NETWORKDAYS(I2026, L2026, Holiday_Dates) &lt;= 0,
                1,
                NETWORKDAYS(I2026, L2026, Holiday_Dates) - IF(I2026 = L2026, 0, 1)
            )
        )
    ),
    ""
)</f>
        <v/>
      </c>
      <c r="Q2026" s="385" t="str">
        <f>IF(
    OR(ISBLANK(L2026), ISBLANK(M2026)),
    "",
    MAX(
        1,
        IF(
            NETWORKDAYS(L2026, M2026, Holiday_Dates) &lt;= 0,
            1,
            NETWORKDAYS(L2026, M2026, Holiday_Dates) - IF(L2026 = M2026, 0, 1)
        )
    )
)</f>
        <v/>
      </c>
      <c r="R2026" s="385" t="str">
        <f>IFERROR(
    IF(
        OR(ISBLANK(N2026), AND(ISBLANK(L2026), ISBLANK(M2026))),
        "",
        MAX(
            1,
            IF(
                NETWORKDAYS(IF(NOT(ISBLANK(M2026)), M2026, L2026), N2026, Holiday_Dates) &lt;= 0,
                1,
                NETWORKDAYS(IF(NOT(ISBLANK(M2026)), M2026, L2026), N2026, Holiday_Dates)
                - IF(IF(NOT(ISBLANK(M2026)), M2026, L2026) = N2026, 0, 1)
            )
        )
    ),
    ""
)</f>
        <v/>
      </c>
      <c r="S2026" s="385" t="str">
        <f>IFERROR(
    IF(
        OR(ISBLANK(N2026), ISBLANK(O2026)),
        "",
        MAX(
            1,
            IF(
                NETWORKDAYS(N2026, O2026, Holiday_Dates) &lt;= 0,
                1,
                NETWORKDAYS(N2026, O2026, Holiday_Dates) - IF(N2026 = O2026, 0, 1)
            )
        )
    ),
    ""
)</f>
        <v/>
      </c>
      <c r="T2026" s="385"/>
      <c r="U2026" s="385" t="s">
        <v>672</v>
      </c>
      <c r="V2026" s="385" t="s">
        <v>1676</v>
      </c>
      <c r="W2026" s="385" t="s">
        <v>1436</v>
      </c>
      <c r="X2026" s="1"/>
    </row>
    <row r="2027" spans="1:24">
      <c r="A2027" s="385" t="s">
        <v>49</v>
      </c>
      <c r="B2027" s="385" t="s">
        <v>1309</v>
      </c>
      <c r="C2027" s="385" t="s">
        <v>2715</v>
      </c>
      <c r="D2027" s="385" t="s">
        <v>88</v>
      </c>
      <c r="E2027" s="385" t="s">
        <v>136</v>
      </c>
      <c r="F2027" s="385"/>
      <c r="G2027" s="385" t="s">
        <v>128</v>
      </c>
      <c r="H2027" s="385"/>
      <c r="I2027" s="385"/>
      <c r="J2027" s="30"/>
      <c r="K2027" s="385"/>
      <c r="L2027" s="385"/>
      <c r="M2027" s="385"/>
      <c r="N2027" s="385"/>
      <c r="O2027" s="385"/>
      <c r="P2027" s="385" t="str">
        <f>IFERROR(
    IF(
        OR(ISBLANK(I2027), ISBLANK(L2027)),
        "",
        MAX(
            1,
            IF(
                NETWORKDAYS(I2027, L2027, Holiday_Dates) &lt;= 0,
                1,
                NETWORKDAYS(I2027, L2027, Holiday_Dates) - IF(I2027 = L2027, 0, 1)
            )
        )
    ),
    ""
)</f>
        <v/>
      </c>
      <c r="Q2027" s="385" t="str">
        <f>IF(
    OR(ISBLANK(L2027), ISBLANK(M2027)),
    "",
    MAX(
        1,
        IF(
            NETWORKDAYS(L2027, M2027, Holiday_Dates) &lt;= 0,
            1,
            NETWORKDAYS(L2027, M2027, Holiday_Dates) - IF(L2027 = M2027, 0, 1)
        )
    )
)</f>
        <v/>
      </c>
      <c r="R2027" s="385" t="str">
        <f>IFERROR(
    IF(
        OR(ISBLANK(N2027), AND(ISBLANK(L2027), ISBLANK(M2027))),
        "",
        MAX(
            1,
            IF(
                NETWORKDAYS(IF(NOT(ISBLANK(M2027)), M2027, L2027), N2027, Holiday_Dates) &lt;= 0,
                1,
                NETWORKDAYS(IF(NOT(ISBLANK(M2027)), M2027, L2027), N2027, Holiday_Dates)
                - IF(IF(NOT(ISBLANK(M2027)), M2027, L2027) = N2027, 0, 1)
            )
        )
    ),
    ""
)</f>
        <v/>
      </c>
      <c r="S2027" s="385" t="str">
        <f>IFERROR(
    IF(
        OR(ISBLANK(N2027), ISBLANK(O2027)),
        "",
        MAX(
            1,
            IF(
                NETWORKDAYS(N2027, O2027, Holiday_Dates) &lt;= 0,
                1,
                NETWORKDAYS(N2027, O2027, Holiday_Dates) - IF(N2027 = O2027, 0, 1)
            )
        )
    ),
    ""
)</f>
        <v/>
      </c>
      <c r="T2027" s="385"/>
      <c r="U2027" s="385"/>
      <c r="V2027" s="385"/>
      <c r="W2027" s="385" t="s">
        <v>4710</v>
      </c>
      <c r="X2027" s="1"/>
    </row>
    <row r="2028" spans="1:24">
      <c r="A2028" s="385" t="s">
        <v>49</v>
      </c>
      <c r="B2028" s="385" t="s">
        <v>1309</v>
      </c>
      <c r="C2028" s="385" t="s">
        <v>2717</v>
      </c>
      <c r="D2028" s="385" t="s">
        <v>88</v>
      </c>
      <c r="E2028" s="385" t="s">
        <v>136</v>
      </c>
      <c r="F2028" s="385"/>
      <c r="G2028" s="385" t="s">
        <v>128</v>
      </c>
      <c r="H2028" s="385"/>
      <c r="I2028" s="385"/>
      <c r="J2028" s="30"/>
      <c r="K2028" s="385"/>
      <c r="L2028" s="385"/>
      <c r="M2028" s="385"/>
      <c r="N2028" s="385"/>
      <c r="O2028" s="385"/>
      <c r="P2028" s="385" t="str">
        <f>IFERROR(
    IF(
        OR(ISBLANK(I2028), ISBLANK(L2028)),
        "",
        MAX(
            1,
            IF(
                NETWORKDAYS(I2028, L2028, Holiday_Dates) &lt;= 0,
                1,
                NETWORKDAYS(I2028, L2028, Holiday_Dates) - IF(I2028 = L2028, 0, 1)
            )
        )
    ),
    ""
)</f>
        <v/>
      </c>
      <c r="Q2028" s="385" t="str">
        <f>IF(
    OR(ISBLANK(L2028), ISBLANK(M2028)),
    "",
    MAX(
        1,
        IF(
            NETWORKDAYS(L2028, M2028, Holiday_Dates) &lt;= 0,
            1,
            NETWORKDAYS(L2028, M2028, Holiday_Dates) - IF(L2028 = M2028, 0, 1)
        )
    )
)</f>
        <v/>
      </c>
      <c r="R2028" s="385" t="str">
        <f>IFERROR(
    IF(
        OR(ISBLANK(N2028), AND(ISBLANK(L2028), ISBLANK(M2028))),
        "",
        MAX(
            1,
            IF(
                NETWORKDAYS(IF(NOT(ISBLANK(M2028)), M2028, L2028), N2028, Holiday_Dates) &lt;= 0,
                1,
                NETWORKDAYS(IF(NOT(ISBLANK(M2028)), M2028, L2028), N2028, Holiday_Dates)
                - IF(IF(NOT(ISBLANK(M2028)), M2028, L2028) = N2028, 0, 1)
            )
        )
    ),
    ""
)</f>
        <v/>
      </c>
      <c r="S2028" s="385" t="str">
        <f>IFERROR(
    IF(
        OR(ISBLANK(N2028), ISBLANK(O2028)),
        "",
        MAX(
            1,
            IF(
                NETWORKDAYS(N2028, O2028, Holiday_Dates) &lt;= 0,
                1,
                NETWORKDAYS(N2028, O2028, Holiday_Dates) - IF(N2028 = O2028, 0, 1)
            )
        )
    ),
    ""
)</f>
        <v/>
      </c>
      <c r="T2028" s="385"/>
      <c r="U2028" s="385"/>
      <c r="V2028" s="385"/>
      <c r="W2028" s="385" t="s">
        <v>4710</v>
      </c>
      <c r="X2028" s="1"/>
    </row>
    <row r="2029" spans="1:24">
      <c r="A2029" s="385" t="s">
        <v>51</v>
      </c>
      <c r="B2029" s="385" t="s">
        <v>354</v>
      </c>
      <c r="C2029" s="385" t="s">
        <v>1873</v>
      </c>
      <c r="D2029" s="385" t="s">
        <v>88</v>
      </c>
      <c r="E2029" s="385"/>
      <c r="F2029" s="385"/>
      <c r="G2029" s="385"/>
      <c r="H2029" s="385">
        <v>2025</v>
      </c>
      <c r="I2029" s="386">
        <v>45916</v>
      </c>
      <c r="J2029" s="30" t="s">
        <v>5466</v>
      </c>
      <c r="K2029" s="385"/>
      <c r="L2029" s="385"/>
      <c r="M2029" s="385"/>
      <c r="N2029" s="385"/>
      <c r="O2029" s="385"/>
      <c r="P2029" s="385" t="str">
        <f>IFERROR(
    IF(
        OR(ISBLANK(I2029), ISBLANK(L2029)),
        "",
        MAX(
            1,
            IF(
                NETWORKDAYS(I2029, L2029, Holiday_Dates) &lt;= 0,
                1,
                NETWORKDAYS(I2029, L2029, Holiday_Dates) - IF(I2029 = L2029, 0, 1)
            )
        )
    ),
    ""
)</f>
        <v/>
      </c>
      <c r="Q2029" s="385" t="str">
        <f>IF(
    OR(ISBLANK(L2029), ISBLANK(M2029)),
    "",
    MAX(
        1,
        IF(
            NETWORKDAYS(L2029, M2029, Holiday_Dates) &lt;= 0,
            1,
            NETWORKDAYS(L2029, M2029, Holiday_Dates) - IF(L2029 = M2029, 0, 1)
        )
    )
)</f>
        <v/>
      </c>
      <c r="R2029" s="385" t="str">
        <f>IFERROR(
    IF(
        OR(ISBLANK(N2029), AND(ISBLANK(L2029), ISBLANK(M2029))),
        "",
        MAX(
            1,
            IF(
                NETWORKDAYS(IF(NOT(ISBLANK(M2029)), M2029, L2029), N2029, Holiday_Dates) &lt;= 0,
                1,
                NETWORKDAYS(IF(NOT(ISBLANK(M2029)), M2029, L2029), N2029, Holiday_Dates)
                - IF(IF(NOT(ISBLANK(M2029)), M2029, L2029) = N2029, 0, 1)
            )
        )
    ),
    ""
)</f>
        <v/>
      </c>
      <c r="S2029" s="385" t="str">
        <f>IFERROR(
    IF(
        OR(ISBLANK(N2029), ISBLANK(O2029)),
        "",
        MAX(
            1,
            IF(
                NETWORKDAYS(N2029, O2029, Holiday_Dates) &lt;= 0,
                1,
                NETWORKDAYS(N2029, O2029, Holiday_Dates) - IF(N2029 = O2029, 0, 1)
            )
        )
    ),
    ""
)</f>
        <v/>
      </c>
      <c r="T2029" s="385"/>
      <c r="U2029" s="385" t="s">
        <v>672</v>
      </c>
      <c r="V2029" s="385" t="s">
        <v>1676</v>
      </c>
      <c r="W2029" s="385" t="s">
        <v>1436</v>
      </c>
      <c r="X2029" s="1"/>
    </row>
    <row r="2030" spans="1:24">
      <c r="A2030" s="385" t="s">
        <v>51</v>
      </c>
      <c r="B2030" s="385" t="s">
        <v>354</v>
      </c>
      <c r="C2030" s="385" t="s">
        <v>881</v>
      </c>
      <c r="D2030" s="385" t="s">
        <v>88</v>
      </c>
      <c r="E2030" s="385"/>
      <c r="F2030" s="385"/>
      <c r="G2030" s="385"/>
      <c r="H2030" s="385">
        <v>2025</v>
      </c>
      <c r="I2030" s="386">
        <v>45916</v>
      </c>
      <c r="J2030" s="30" t="s">
        <v>5467</v>
      </c>
      <c r="K2030" s="385"/>
      <c r="L2030" s="385"/>
      <c r="M2030" s="385"/>
      <c r="N2030" s="385"/>
      <c r="O2030" s="385"/>
      <c r="P2030" s="385" t="str">
        <f>IFERROR(
    IF(
        OR(ISBLANK(I2030), ISBLANK(L2030)),
        "",
        MAX(
            1,
            IF(
                NETWORKDAYS(I2030, L2030, Holiday_Dates) &lt;= 0,
                1,
                NETWORKDAYS(I2030, L2030, Holiday_Dates) - IF(I2030 = L2030, 0, 1)
            )
        )
    ),
    ""
)</f>
        <v/>
      </c>
      <c r="Q2030" s="385" t="str">
        <f>IF(
    OR(ISBLANK(L2030), ISBLANK(M2030)),
    "",
    MAX(
        1,
        IF(
            NETWORKDAYS(L2030, M2030, Holiday_Dates) &lt;= 0,
            1,
            NETWORKDAYS(L2030, M2030, Holiday_Dates) - IF(L2030 = M2030, 0, 1)
        )
    )
)</f>
        <v/>
      </c>
      <c r="R2030" s="385" t="str">
        <f>IFERROR(
    IF(
        OR(ISBLANK(N2030), AND(ISBLANK(L2030), ISBLANK(M2030))),
        "",
        MAX(
            1,
            IF(
                NETWORKDAYS(IF(NOT(ISBLANK(M2030)), M2030, L2030), N2030, Holiday_Dates) &lt;= 0,
                1,
                NETWORKDAYS(IF(NOT(ISBLANK(M2030)), M2030, L2030), N2030, Holiday_Dates)
                - IF(IF(NOT(ISBLANK(M2030)), M2030, L2030) = N2030, 0, 1)
            )
        )
    ),
    ""
)</f>
        <v/>
      </c>
      <c r="S2030" s="385" t="str">
        <f>IFERROR(
    IF(
        OR(ISBLANK(N2030), ISBLANK(O2030)),
        "",
        MAX(
            1,
            IF(
                NETWORKDAYS(N2030, O2030, Holiday_Dates) &lt;= 0,
                1,
                NETWORKDAYS(N2030, O2030, Holiday_Dates) - IF(N2030 = O2030, 0, 1)
            )
        )
    ),
    ""
)</f>
        <v/>
      </c>
      <c r="T2030" s="385"/>
      <c r="U2030" s="385" t="s">
        <v>672</v>
      </c>
      <c r="V2030" s="385" t="s">
        <v>1676</v>
      </c>
      <c r="W2030" s="385" t="s">
        <v>1436</v>
      </c>
      <c r="X2030" s="1"/>
    </row>
    <row r="2031" spans="1:24">
      <c r="A2031" s="385" t="s">
        <v>51</v>
      </c>
      <c r="B2031" s="385" t="s">
        <v>354</v>
      </c>
      <c r="C2031" s="385" t="s">
        <v>378</v>
      </c>
      <c r="D2031" s="385" t="s">
        <v>88</v>
      </c>
      <c r="E2031" s="385"/>
      <c r="F2031" s="385"/>
      <c r="G2031" s="385"/>
      <c r="H2031" s="385">
        <v>2025</v>
      </c>
      <c r="I2031" s="386">
        <v>45916</v>
      </c>
      <c r="J2031" s="30" t="s">
        <v>5468</v>
      </c>
      <c r="K2031" s="385"/>
      <c r="L2031" s="385"/>
      <c r="M2031" s="385"/>
      <c r="N2031" s="385"/>
      <c r="O2031" s="385"/>
      <c r="P2031" s="385" t="str">
        <f>IFERROR(
    IF(
        OR(ISBLANK(I2031), ISBLANK(L2031)),
        "",
        MAX(
            1,
            IF(
                NETWORKDAYS(I2031, L2031, Holiday_Dates) &lt;= 0,
                1,
                NETWORKDAYS(I2031, L2031, Holiday_Dates) - IF(I2031 = L2031, 0, 1)
            )
        )
    ),
    ""
)</f>
        <v/>
      </c>
      <c r="Q2031" s="385" t="str">
        <f>IF(
    OR(ISBLANK(L2031), ISBLANK(M2031)),
    "",
    MAX(
        1,
        IF(
            NETWORKDAYS(L2031, M2031, Holiday_Dates) &lt;= 0,
            1,
            NETWORKDAYS(L2031, M2031, Holiday_Dates) - IF(L2031 = M2031, 0, 1)
        )
    )
)</f>
        <v/>
      </c>
      <c r="R2031" s="385" t="str">
        <f>IFERROR(
    IF(
        OR(ISBLANK(N2031), AND(ISBLANK(L2031), ISBLANK(M2031))),
        "",
        MAX(
            1,
            IF(
                NETWORKDAYS(IF(NOT(ISBLANK(M2031)), M2031, L2031), N2031, Holiday_Dates) &lt;= 0,
                1,
                NETWORKDAYS(IF(NOT(ISBLANK(M2031)), M2031, L2031), N2031, Holiday_Dates)
                - IF(IF(NOT(ISBLANK(M2031)), M2031, L2031) = N2031, 0, 1)
            )
        )
    ),
    ""
)</f>
        <v/>
      </c>
      <c r="S2031" s="385" t="str">
        <f>IFERROR(
    IF(
        OR(ISBLANK(N2031), ISBLANK(O2031)),
        "",
        MAX(
            1,
            IF(
                NETWORKDAYS(N2031, O2031, Holiday_Dates) &lt;= 0,
                1,
                NETWORKDAYS(N2031, O2031, Holiday_Dates) - IF(N2031 = O2031, 0, 1)
            )
        )
    ),
    ""
)</f>
        <v/>
      </c>
      <c r="T2031" s="385"/>
      <c r="U2031" s="385" t="s">
        <v>672</v>
      </c>
      <c r="V2031" s="385" t="s">
        <v>1676</v>
      </c>
      <c r="W2031" s="385" t="s">
        <v>1436</v>
      </c>
      <c r="X2031" s="1"/>
    </row>
    <row r="2032" spans="1:24">
      <c r="A2032" s="385" t="s">
        <v>51</v>
      </c>
      <c r="B2032" s="385" t="s">
        <v>354</v>
      </c>
      <c r="C2032" s="385" t="s">
        <v>2234</v>
      </c>
      <c r="D2032" s="385" t="s">
        <v>88</v>
      </c>
      <c r="E2032" s="385"/>
      <c r="F2032" s="385"/>
      <c r="G2032" s="385"/>
      <c r="H2032" s="385">
        <v>2025</v>
      </c>
      <c r="I2032" s="386">
        <v>45729</v>
      </c>
      <c r="J2032" s="30" t="s">
        <v>5469</v>
      </c>
      <c r="K2032" s="385"/>
      <c r="L2032" s="385"/>
      <c r="M2032" s="385"/>
      <c r="N2032" s="385"/>
      <c r="O2032" s="385"/>
      <c r="P2032" s="385" t="str">
        <f>IFERROR(
    IF(
        OR(ISBLANK(I2032), ISBLANK(L2032)),
        "",
        MAX(
            1,
            IF(
                NETWORKDAYS(I2032, L2032, Holiday_Dates) &lt;= 0,
                1,
                NETWORKDAYS(I2032, L2032, Holiday_Dates) - IF(I2032 = L2032, 0, 1)
            )
        )
    ),
    ""
)</f>
        <v/>
      </c>
      <c r="Q2032" s="385" t="str">
        <f>IF(
    OR(ISBLANK(L2032), ISBLANK(M2032)),
    "",
    MAX(
        1,
        IF(
            NETWORKDAYS(L2032, M2032, Holiday_Dates) &lt;= 0,
            1,
            NETWORKDAYS(L2032, M2032, Holiday_Dates) - IF(L2032 = M2032, 0, 1)
        )
    )
)</f>
        <v/>
      </c>
      <c r="R2032" s="385" t="str">
        <f>IFERROR(
    IF(
        OR(ISBLANK(N2032), AND(ISBLANK(L2032), ISBLANK(M2032))),
        "",
        MAX(
            1,
            IF(
                NETWORKDAYS(IF(NOT(ISBLANK(M2032)), M2032, L2032), N2032, Holiday_Dates) &lt;= 0,
                1,
                NETWORKDAYS(IF(NOT(ISBLANK(M2032)), M2032, L2032), N2032, Holiday_Dates)
                - IF(IF(NOT(ISBLANK(M2032)), M2032, L2032) = N2032, 0, 1)
            )
        )
    ),
    ""
)</f>
        <v/>
      </c>
      <c r="S2032" s="385" t="str">
        <f>IFERROR(
    IF(
        OR(ISBLANK(N2032), ISBLANK(O2032)),
        "",
        MAX(
            1,
            IF(
                NETWORKDAYS(N2032, O2032, Holiday_Dates) &lt;= 0,
                1,
                NETWORKDAYS(N2032, O2032, Holiday_Dates) - IF(N2032 = O2032, 0, 1)
            )
        )
    ),
    ""
)</f>
        <v/>
      </c>
      <c r="T2032" s="385"/>
      <c r="U2032" s="385" t="s">
        <v>672</v>
      </c>
      <c r="V2032" s="385" t="s">
        <v>1676</v>
      </c>
      <c r="W2032" s="385" t="s">
        <v>1436</v>
      </c>
      <c r="X2032" s="1"/>
    </row>
    <row r="2033" spans="1:24">
      <c r="A2033" s="385" t="s">
        <v>49</v>
      </c>
      <c r="B2033" s="385" t="s">
        <v>1309</v>
      </c>
      <c r="C2033" s="385" t="s">
        <v>2718</v>
      </c>
      <c r="D2033" s="385" t="s">
        <v>88</v>
      </c>
      <c r="E2033" s="385" t="s">
        <v>136</v>
      </c>
      <c r="F2033" s="385"/>
      <c r="G2033" s="385" t="s">
        <v>128</v>
      </c>
      <c r="H2033" s="385"/>
      <c r="I2033" s="385"/>
      <c r="J2033" s="30"/>
      <c r="K2033" s="385"/>
      <c r="L2033" s="385"/>
      <c r="M2033" s="385"/>
      <c r="N2033" s="385"/>
      <c r="O2033" s="385"/>
      <c r="P2033" s="385" t="str">
        <f>IFERROR(
    IF(
        OR(ISBLANK(I2033), ISBLANK(L2033)),
        "",
        MAX(
            1,
            IF(
                NETWORKDAYS(I2033, L2033, Holiday_Dates) &lt;= 0,
                1,
                NETWORKDAYS(I2033, L2033, Holiday_Dates) - IF(I2033 = L2033, 0, 1)
            )
        )
    ),
    ""
)</f>
        <v/>
      </c>
      <c r="Q2033" s="385" t="str">
        <f>IF(
    OR(ISBLANK(L2033), ISBLANK(M2033)),
    "",
    MAX(
        1,
        IF(
            NETWORKDAYS(L2033, M2033, Holiday_Dates) &lt;= 0,
            1,
            NETWORKDAYS(L2033, M2033, Holiday_Dates) - IF(L2033 = M2033, 0, 1)
        )
    )
)</f>
        <v/>
      </c>
      <c r="R2033" s="385" t="str">
        <f>IFERROR(
    IF(
        OR(ISBLANK(N2033), AND(ISBLANK(L2033), ISBLANK(M2033))),
        "",
        MAX(
            1,
            IF(
                NETWORKDAYS(IF(NOT(ISBLANK(M2033)), M2033, L2033), N2033, Holiday_Dates) &lt;= 0,
                1,
                NETWORKDAYS(IF(NOT(ISBLANK(M2033)), M2033, L2033), N2033, Holiday_Dates)
                - IF(IF(NOT(ISBLANK(M2033)), M2033, L2033) = N2033, 0, 1)
            )
        )
    ),
    ""
)</f>
        <v/>
      </c>
      <c r="S2033" s="385" t="str">
        <f>IFERROR(
    IF(
        OR(ISBLANK(N2033), ISBLANK(O2033)),
        "",
        MAX(
            1,
            IF(
                NETWORKDAYS(N2033, O2033, Holiday_Dates) &lt;= 0,
                1,
                NETWORKDAYS(N2033, O2033, Holiday_Dates) - IF(N2033 = O2033, 0, 1)
            )
        )
    ),
    ""
)</f>
        <v/>
      </c>
      <c r="T2033" s="385"/>
      <c r="U2033" s="385"/>
      <c r="V2033" s="385"/>
      <c r="W2033" s="385" t="s">
        <v>4710</v>
      </c>
      <c r="X2033" s="1"/>
    </row>
    <row r="2034" spans="1:24">
      <c r="A2034" s="385" t="s">
        <v>51</v>
      </c>
      <c r="B2034" s="385" t="s">
        <v>354</v>
      </c>
      <c r="C2034" s="385" t="s">
        <v>3654</v>
      </c>
      <c r="D2034" s="385" t="s">
        <v>88</v>
      </c>
      <c r="E2034" s="385"/>
      <c r="F2034" s="385"/>
      <c r="G2034" s="385"/>
      <c r="H2034" s="385">
        <v>2025</v>
      </c>
      <c r="I2034" s="386">
        <v>45916</v>
      </c>
      <c r="J2034" s="30" t="s">
        <v>5470</v>
      </c>
      <c r="K2034" s="385"/>
      <c r="L2034" s="385"/>
      <c r="M2034" s="385"/>
      <c r="N2034" s="385"/>
      <c r="O2034" s="385"/>
      <c r="P2034" s="385" t="str">
        <f>IFERROR(
    IF(
        OR(ISBLANK(I2034), ISBLANK(L2034)),
        "",
        MAX(
            1,
            IF(
                NETWORKDAYS(I2034, L2034, Holiday_Dates) &lt;= 0,
                1,
                NETWORKDAYS(I2034, L2034, Holiday_Dates) - IF(I2034 = L2034, 0, 1)
            )
        )
    ),
    ""
)</f>
        <v/>
      </c>
      <c r="Q2034" s="385" t="str">
        <f>IF(
    OR(ISBLANK(L2034), ISBLANK(M2034)),
    "",
    MAX(
        1,
        IF(
            NETWORKDAYS(L2034, M2034, Holiday_Dates) &lt;= 0,
            1,
            NETWORKDAYS(L2034, M2034, Holiday_Dates) - IF(L2034 = M2034, 0, 1)
        )
    )
)</f>
        <v/>
      </c>
      <c r="R2034" s="385" t="str">
        <f>IFERROR(
    IF(
        OR(ISBLANK(N2034), AND(ISBLANK(L2034), ISBLANK(M2034))),
        "",
        MAX(
            1,
            IF(
                NETWORKDAYS(IF(NOT(ISBLANK(M2034)), M2034, L2034), N2034, Holiday_Dates) &lt;= 0,
                1,
                NETWORKDAYS(IF(NOT(ISBLANK(M2034)), M2034, L2034), N2034, Holiday_Dates)
                - IF(IF(NOT(ISBLANK(M2034)), M2034, L2034) = N2034, 0, 1)
            )
        )
    ),
    ""
)</f>
        <v/>
      </c>
      <c r="S2034" s="385" t="str">
        <f>IFERROR(
    IF(
        OR(ISBLANK(N2034), ISBLANK(O2034)),
        "",
        MAX(
            1,
            IF(
                NETWORKDAYS(N2034, O2034, Holiday_Dates) &lt;= 0,
                1,
                NETWORKDAYS(N2034, O2034, Holiday_Dates) - IF(N2034 = O2034, 0, 1)
            )
        )
    ),
    ""
)</f>
        <v/>
      </c>
      <c r="T2034" s="385"/>
      <c r="U2034" s="385" t="s">
        <v>672</v>
      </c>
      <c r="V2034" s="385" t="s">
        <v>1676</v>
      </c>
      <c r="W2034" s="385" t="s">
        <v>1436</v>
      </c>
      <c r="X2034" s="1"/>
    </row>
    <row r="2035" spans="1:24">
      <c r="A2035" s="385" t="s">
        <v>49</v>
      </c>
      <c r="B2035" s="385" t="s">
        <v>1309</v>
      </c>
      <c r="C2035" s="385" t="s">
        <v>554</v>
      </c>
      <c r="D2035" s="385" t="s">
        <v>88</v>
      </c>
      <c r="E2035" s="385" t="s">
        <v>136</v>
      </c>
      <c r="F2035" s="385"/>
      <c r="G2035" s="385" t="s">
        <v>128</v>
      </c>
      <c r="H2035" s="385"/>
      <c r="I2035" s="385"/>
      <c r="J2035" s="30"/>
      <c r="K2035" s="385"/>
      <c r="L2035" s="385"/>
      <c r="M2035" s="385"/>
      <c r="N2035" s="385"/>
      <c r="O2035" s="385"/>
      <c r="P2035" s="385" t="str">
        <f>IFERROR(
    IF(
        OR(ISBLANK(I2035), ISBLANK(L2035)),
        "",
        MAX(
            1,
            IF(
                NETWORKDAYS(I2035, L2035, Holiday_Dates) &lt;= 0,
                1,
                NETWORKDAYS(I2035, L2035, Holiday_Dates) - IF(I2035 = L2035, 0, 1)
            )
        )
    ),
    ""
)</f>
        <v/>
      </c>
      <c r="Q2035" s="385" t="str">
        <f>IF(
    OR(ISBLANK(L2035), ISBLANK(M2035)),
    "",
    MAX(
        1,
        IF(
            NETWORKDAYS(L2035, M2035, Holiday_Dates) &lt;= 0,
            1,
            NETWORKDAYS(L2035, M2035, Holiday_Dates) - IF(L2035 = M2035, 0, 1)
        )
    )
)</f>
        <v/>
      </c>
      <c r="R2035" s="385" t="str">
        <f>IFERROR(
    IF(
        OR(ISBLANK(N2035), AND(ISBLANK(L2035), ISBLANK(M2035))),
        "",
        MAX(
            1,
            IF(
                NETWORKDAYS(IF(NOT(ISBLANK(M2035)), M2035, L2035), N2035, Holiday_Dates) &lt;= 0,
                1,
                NETWORKDAYS(IF(NOT(ISBLANK(M2035)), M2035, L2035), N2035, Holiday_Dates)
                - IF(IF(NOT(ISBLANK(M2035)), M2035, L2035) = N2035, 0, 1)
            )
        )
    ),
    ""
)</f>
        <v/>
      </c>
      <c r="S2035" s="385" t="str">
        <f>IFERROR(
    IF(
        OR(ISBLANK(N2035), ISBLANK(O2035)),
        "",
        MAX(
            1,
            IF(
                NETWORKDAYS(N2035, O2035, Holiday_Dates) &lt;= 0,
                1,
                NETWORKDAYS(N2035, O2035, Holiday_Dates) - IF(N2035 = O2035, 0, 1)
            )
        )
    ),
    ""
)</f>
        <v/>
      </c>
      <c r="T2035" s="385"/>
      <c r="U2035" s="385"/>
      <c r="V2035" s="385"/>
      <c r="W2035" s="385" t="s">
        <v>4710</v>
      </c>
      <c r="X2035" s="1"/>
    </row>
    <row r="2036" spans="1:24">
      <c r="A2036" s="385" t="s">
        <v>49</v>
      </c>
      <c r="B2036" s="385" t="s">
        <v>1309</v>
      </c>
      <c r="C2036" s="385" t="s">
        <v>2719</v>
      </c>
      <c r="D2036" s="385" t="s">
        <v>88</v>
      </c>
      <c r="E2036" s="385" t="s">
        <v>136</v>
      </c>
      <c r="F2036" s="385"/>
      <c r="G2036" s="385" t="s">
        <v>128</v>
      </c>
      <c r="H2036" s="385"/>
      <c r="I2036" s="385"/>
      <c r="J2036" s="30"/>
      <c r="K2036" s="385"/>
      <c r="L2036" s="385"/>
      <c r="M2036" s="385"/>
      <c r="N2036" s="385"/>
      <c r="O2036" s="385"/>
      <c r="P2036" s="385" t="str">
        <f>IFERROR(
    IF(
        OR(ISBLANK(I2036), ISBLANK(L2036)),
        "",
        MAX(
            1,
            IF(
                NETWORKDAYS(I2036, L2036, Holiday_Dates) &lt;= 0,
                1,
                NETWORKDAYS(I2036, L2036, Holiday_Dates) - IF(I2036 = L2036, 0, 1)
            )
        )
    ),
    ""
)</f>
        <v/>
      </c>
      <c r="Q2036" s="385" t="str">
        <f>IF(
    OR(ISBLANK(L2036), ISBLANK(M2036)),
    "",
    MAX(
        1,
        IF(
            NETWORKDAYS(L2036, M2036, Holiday_Dates) &lt;= 0,
            1,
            NETWORKDAYS(L2036, M2036, Holiday_Dates) - IF(L2036 = M2036, 0, 1)
        )
    )
)</f>
        <v/>
      </c>
      <c r="R2036" s="385" t="str">
        <f>IFERROR(
    IF(
        OR(ISBLANK(N2036), AND(ISBLANK(L2036), ISBLANK(M2036))),
        "",
        MAX(
            1,
            IF(
                NETWORKDAYS(IF(NOT(ISBLANK(M2036)), M2036, L2036), N2036, Holiday_Dates) &lt;= 0,
                1,
                NETWORKDAYS(IF(NOT(ISBLANK(M2036)), M2036, L2036), N2036, Holiday_Dates)
                - IF(IF(NOT(ISBLANK(M2036)), M2036, L2036) = N2036, 0, 1)
            )
        )
    ),
    ""
)</f>
        <v/>
      </c>
      <c r="S2036" s="385" t="str">
        <f>IFERROR(
    IF(
        OR(ISBLANK(N2036), ISBLANK(O2036)),
        "",
        MAX(
            1,
            IF(
                NETWORKDAYS(N2036, O2036, Holiday_Dates) &lt;= 0,
                1,
                NETWORKDAYS(N2036, O2036, Holiday_Dates) - IF(N2036 = O2036, 0, 1)
            )
        )
    ),
    ""
)</f>
        <v/>
      </c>
      <c r="T2036" s="385"/>
      <c r="U2036" s="385"/>
      <c r="V2036" s="385"/>
      <c r="W2036" s="385" t="s">
        <v>4710</v>
      </c>
      <c r="X2036" s="1"/>
    </row>
    <row r="2037" spans="1:24">
      <c r="A2037" s="385" t="s">
        <v>51</v>
      </c>
      <c r="B2037" s="385" t="s">
        <v>354</v>
      </c>
      <c r="C2037" s="385" t="s">
        <v>2236</v>
      </c>
      <c r="D2037" s="385" t="s">
        <v>88</v>
      </c>
      <c r="E2037" s="385"/>
      <c r="F2037" s="385"/>
      <c r="G2037" s="385"/>
      <c r="H2037" s="385">
        <v>2025</v>
      </c>
      <c r="I2037" s="386">
        <v>45944</v>
      </c>
      <c r="J2037" s="30" t="s">
        <v>5471</v>
      </c>
      <c r="K2037" s="385"/>
      <c r="L2037" s="385"/>
      <c r="M2037" s="385"/>
      <c r="N2037" s="385"/>
      <c r="O2037" s="385"/>
      <c r="P2037" s="385" t="str">
        <f>IFERROR(
    IF(
        OR(ISBLANK(I2037), ISBLANK(L2037)),
        "",
        MAX(
            1,
            IF(
                NETWORKDAYS(I2037, L2037, Holiday_Dates) &lt;= 0,
                1,
                NETWORKDAYS(I2037, L2037, Holiday_Dates) - IF(I2037 = L2037, 0, 1)
            )
        )
    ),
    ""
)</f>
        <v/>
      </c>
      <c r="Q2037" s="385" t="str">
        <f>IF(
    OR(ISBLANK(L2037), ISBLANK(M2037)),
    "",
    MAX(
        1,
        IF(
            NETWORKDAYS(L2037, M2037, Holiday_Dates) &lt;= 0,
            1,
            NETWORKDAYS(L2037, M2037, Holiday_Dates) - IF(L2037 = M2037, 0, 1)
        )
    )
)</f>
        <v/>
      </c>
      <c r="R2037" s="385" t="str">
        <f>IFERROR(
    IF(
        OR(ISBLANK(N2037), AND(ISBLANK(L2037), ISBLANK(M2037))),
        "",
        MAX(
            1,
            IF(
                NETWORKDAYS(IF(NOT(ISBLANK(M2037)), M2037, L2037), N2037, Holiday_Dates) &lt;= 0,
                1,
                NETWORKDAYS(IF(NOT(ISBLANK(M2037)), M2037, L2037), N2037, Holiday_Dates)
                - IF(IF(NOT(ISBLANK(M2037)), M2037, L2037) = N2037, 0, 1)
            )
        )
    ),
    ""
)</f>
        <v/>
      </c>
      <c r="S2037" s="385" t="str">
        <f>IFERROR(
    IF(
        OR(ISBLANK(N2037), ISBLANK(O2037)),
        "",
        MAX(
            1,
            IF(
                NETWORKDAYS(N2037, O2037, Holiday_Dates) &lt;= 0,
                1,
                NETWORKDAYS(N2037, O2037, Holiday_Dates) - IF(N2037 = O2037, 0, 1)
            )
        )
    ),
    ""
)</f>
        <v/>
      </c>
      <c r="T2037" s="385"/>
      <c r="U2037" s="385" t="s">
        <v>672</v>
      </c>
      <c r="V2037" s="385" t="s">
        <v>1676</v>
      </c>
      <c r="W2037" s="385" t="s">
        <v>1436</v>
      </c>
      <c r="X2037" s="1"/>
    </row>
    <row r="2038" spans="1:24">
      <c r="A2038" s="385" t="s">
        <v>51</v>
      </c>
      <c r="B2038" s="385" t="s">
        <v>354</v>
      </c>
      <c r="C2038" s="385" t="s">
        <v>2346</v>
      </c>
      <c r="D2038" s="385" t="s">
        <v>88</v>
      </c>
      <c r="E2038" s="385"/>
      <c r="F2038" s="385"/>
      <c r="G2038" s="385"/>
      <c r="H2038" s="385">
        <v>2025</v>
      </c>
      <c r="I2038" s="386">
        <v>45944</v>
      </c>
      <c r="J2038" s="30" t="s">
        <v>5472</v>
      </c>
      <c r="K2038" s="385"/>
      <c r="L2038" s="385"/>
      <c r="M2038" s="385"/>
      <c r="N2038" s="385"/>
      <c r="O2038" s="385"/>
      <c r="P2038" s="385" t="str">
        <f>IFERROR(
    IF(
        OR(ISBLANK(I2038), ISBLANK(L2038)),
        "",
        MAX(
            1,
            IF(
                NETWORKDAYS(I2038, L2038, Holiday_Dates) &lt;= 0,
                1,
                NETWORKDAYS(I2038, L2038, Holiday_Dates) - IF(I2038 = L2038, 0, 1)
            )
        )
    ),
    ""
)</f>
        <v/>
      </c>
      <c r="Q2038" s="385" t="str">
        <f>IF(
    OR(ISBLANK(L2038), ISBLANK(M2038)),
    "",
    MAX(
        1,
        IF(
            NETWORKDAYS(L2038, M2038, Holiday_Dates) &lt;= 0,
            1,
            NETWORKDAYS(L2038, M2038, Holiday_Dates) - IF(L2038 = M2038, 0, 1)
        )
    )
)</f>
        <v/>
      </c>
      <c r="R2038" s="385" t="str">
        <f>IFERROR(
    IF(
        OR(ISBLANK(N2038), AND(ISBLANK(L2038), ISBLANK(M2038))),
        "",
        MAX(
            1,
            IF(
                NETWORKDAYS(IF(NOT(ISBLANK(M2038)), M2038, L2038), N2038, Holiday_Dates) &lt;= 0,
                1,
                NETWORKDAYS(IF(NOT(ISBLANK(M2038)), M2038, L2038), N2038, Holiday_Dates)
                - IF(IF(NOT(ISBLANK(M2038)), M2038, L2038) = N2038, 0, 1)
            )
        )
    ),
    ""
)</f>
        <v/>
      </c>
      <c r="S2038" s="385" t="str">
        <f>IFERROR(
    IF(
        OR(ISBLANK(N2038), ISBLANK(O2038)),
        "",
        MAX(
            1,
            IF(
                NETWORKDAYS(N2038, O2038, Holiday_Dates) &lt;= 0,
                1,
                NETWORKDAYS(N2038, O2038, Holiday_Dates) - IF(N2038 = O2038, 0, 1)
            )
        )
    ),
    ""
)</f>
        <v/>
      </c>
      <c r="T2038" s="385"/>
      <c r="U2038" s="385" t="s">
        <v>672</v>
      </c>
      <c r="V2038" s="385" t="s">
        <v>1676</v>
      </c>
      <c r="W2038" s="385" t="s">
        <v>1436</v>
      </c>
      <c r="X2038" s="1"/>
    </row>
    <row r="2039" spans="1:24">
      <c r="A2039" s="385" t="s">
        <v>49</v>
      </c>
      <c r="B2039" s="385" t="s">
        <v>1309</v>
      </c>
      <c r="C2039" s="385" t="s">
        <v>2720</v>
      </c>
      <c r="D2039" s="385" t="s">
        <v>88</v>
      </c>
      <c r="E2039" s="385" t="s">
        <v>136</v>
      </c>
      <c r="F2039" s="385"/>
      <c r="G2039" s="385" t="s">
        <v>128</v>
      </c>
      <c r="H2039" s="385"/>
      <c r="I2039" s="385"/>
      <c r="J2039" s="30"/>
      <c r="K2039" s="385"/>
      <c r="L2039" s="385"/>
      <c r="M2039" s="385"/>
      <c r="N2039" s="385"/>
      <c r="O2039" s="385"/>
      <c r="P2039" s="385" t="str">
        <f>IFERROR(
    IF(
        OR(ISBLANK(I2039), ISBLANK(L2039)),
        "",
        MAX(
            1,
            IF(
                NETWORKDAYS(I2039, L2039, Holiday_Dates) &lt;= 0,
                1,
                NETWORKDAYS(I2039, L2039, Holiday_Dates) - IF(I2039 = L2039, 0, 1)
            )
        )
    ),
    ""
)</f>
        <v/>
      </c>
      <c r="Q2039" s="385" t="str">
        <f>IF(
    OR(ISBLANK(L2039), ISBLANK(M2039)),
    "",
    MAX(
        1,
        IF(
            NETWORKDAYS(L2039, M2039, Holiday_Dates) &lt;= 0,
            1,
            NETWORKDAYS(L2039, M2039, Holiday_Dates) - IF(L2039 = M2039, 0, 1)
        )
    )
)</f>
        <v/>
      </c>
      <c r="R2039" s="385" t="str">
        <f>IFERROR(
    IF(
        OR(ISBLANK(N2039), AND(ISBLANK(L2039), ISBLANK(M2039))),
        "",
        MAX(
            1,
            IF(
                NETWORKDAYS(IF(NOT(ISBLANK(M2039)), M2039, L2039), N2039, Holiday_Dates) &lt;= 0,
                1,
                NETWORKDAYS(IF(NOT(ISBLANK(M2039)), M2039, L2039), N2039, Holiday_Dates)
                - IF(IF(NOT(ISBLANK(M2039)), M2039, L2039) = N2039, 0, 1)
            )
        )
    ),
    ""
)</f>
        <v/>
      </c>
      <c r="S2039" s="385" t="str">
        <f>IFERROR(
    IF(
        OR(ISBLANK(N2039), ISBLANK(O2039)),
        "",
        MAX(
            1,
            IF(
                NETWORKDAYS(N2039, O2039, Holiday_Dates) &lt;= 0,
                1,
                NETWORKDAYS(N2039, O2039, Holiday_Dates) - IF(N2039 = O2039, 0, 1)
            )
        )
    ),
    ""
)</f>
        <v/>
      </c>
      <c r="T2039" s="385"/>
      <c r="U2039" s="385"/>
      <c r="V2039" s="385"/>
      <c r="W2039" s="385" t="s">
        <v>4710</v>
      </c>
      <c r="X2039" s="1"/>
    </row>
    <row r="2040" spans="1:24">
      <c r="A2040" s="385" t="s">
        <v>49</v>
      </c>
      <c r="B2040" s="385" t="s">
        <v>1309</v>
      </c>
      <c r="C2040" s="385" t="s">
        <v>2721</v>
      </c>
      <c r="D2040" s="385" t="s">
        <v>88</v>
      </c>
      <c r="E2040" s="385" t="s">
        <v>136</v>
      </c>
      <c r="F2040" s="385"/>
      <c r="G2040" s="385" t="s">
        <v>128</v>
      </c>
      <c r="H2040" s="385"/>
      <c r="I2040" s="385"/>
      <c r="J2040" s="30"/>
      <c r="K2040" s="385"/>
      <c r="L2040" s="385"/>
      <c r="M2040" s="385"/>
      <c r="N2040" s="385"/>
      <c r="O2040" s="385"/>
      <c r="P2040" s="385" t="str">
        <f>IFERROR(
    IF(
        OR(ISBLANK(I2040), ISBLANK(L2040)),
        "",
        MAX(
            1,
            IF(
                NETWORKDAYS(I2040, L2040, Holiday_Dates) &lt;= 0,
                1,
                NETWORKDAYS(I2040, L2040, Holiday_Dates) - IF(I2040 = L2040, 0, 1)
            )
        )
    ),
    ""
)</f>
        <v/>
      </c>
      <c r="Q2040" s="385" t="str">
        <f>IF(
    OR(ISBLANK(L2040), ISBLANK(M2040)),
    "",
    MAX(
        1,
        IF(
            NETWORKDAYS(L2040, M2040, Holiday_Dates) &lt;= 0,
            1,
            NETWORKDAYS(L2040, M2040, Holiday_Dates) - IF(L2040 = M2040, 0, 1)
        )
    )
)</f>
        <v/>
      </c>
      <c r="R2040" s="385" t="str">
        <f>IFERROR(
    IF(
        OR(ISBLANK(N2040), AND(ISBLANK(L2040), ISBLANK(M2040))),
        "",
        MAX(
            1,
            IF(
                NETWORKDAYS(IF(NOT(ISBLANK(M2040)), M2040, L2040), N2040, Holiday_Dates) &lt;= 0,
                1,
                NETWORKDAYS(IF(NOT(ISBLANK(M2040)), M2040, L2040), N2040, Holiday_Dates)
                - IF(IF(NOT(ISBLANK(M2040)), M2040, L2040) = N2040, 0, 1)
            )
        )
    ),
    ""
)</f>
        <v/>
      </c>
      <c r="S2040" s="385" t="str">
        <f>IFERROR(
    IF(
        OR(ISBLANK(N2040), ISBLANK(O2040)),
        "",
        MAX(
            1,
            IF(
                NETWORKDAYS(N2040, O2040, Holiday_Dates) &lt;= 0,
                1,
                NETWORKDAYS(N2040, O2040, Holiday_Dates) - IF(N2040 = O2040, 0, 1)
            )
        )
    ),
    ""
)</f>
        <v/>
      </c>
      <c r="T2040" s="385"/>
      <c r="U2040" s="385"/>
      <c r="V2040" s="385"/>
      <c r="W2040" s="385" t="s">
        <v>4710</v>
      </c>
      <c r="X2040" s="1"/>
    </row>
    <row r="2041" spans="1:24">
      <c r="A2041" s="385" t="s">
        <v>65</v>
      </c>
      <c r="B2041" s="385" t="s">
        <v>1314</v>
      </c>
      <c r="C2041" s="385" t="s">
        <v>2574</v>
      </c>
      <c r="D2041" s="385" t="s">
        <v>88</v>
      </c>
      <c r="E2041" s="385" t="s">
        <v>141</v>
      </c>
      <c r="F2041" s="385"/>
      <c r="G2041" s="385" t="s">
        <v>130</v>
      </c>
      <c r="H2041" s="385"/>
      <c r="I2041" s="385"/>
      <c r="J2041" s="30"/>
      <c r="K2041" s="385"/>
      <c r="L2041" s="385"/>
      <c r="M2041" s="385"/>
      <c r="N2041" s="385"/>
      <c r="O2041" s="385"/>
      <c r="P2041" s="385" t="str">
        <f>IFERROR(
    IF(
        OR(ISBLANK(I2041), ISBLANK(L2041)),
        "",
        MAX(
            1,
            IF(
                NETWORKDAYS(I2041, L2041, Holiday_Dates) &lt;= 0,
                1,
                NETWORKDAYS(I2041, L2041, Holiday_Dates) - IF(I2041 = L2041, 0, 1)
            )
        )
    ),
    ""
)</f>
        <v/>
      </c>
      <c r="Q2041" s="385" t="str">
        <f>IF(
    OR(ISBLANK(L2041), ISBLANK(M2041)),
    "",
    MAX(
        1,
        IF(
            NETWORKDAYS(L2041, M2041, Holiday_Dates) &lt;= 0,
            1,
            NETWORKDAYS(L2041, M2041, Holiday_Dates) - IF(L2041 = M2041, 0, 1)
        )
    )
)</f>
        <v/>
      </c>
      <c r="R2041" s="385" t="str">
        <f>IFERROR(
    IF(
        OR(ISBLANK(N2041), AND(ISBLANK(L2041), ISBLANK(M2041))),
        "",
        MAX(
            1,
            IF(
                NETWORKDAYS(IF(NOT(ISBLANK(M2041)), M2041, L2041), N2041, Holiday_Dates) &lt;= 0,
                1,
                NETWORKDAYS(IF(NOT(ISBLANK(M2041)), M2041, L2041), N2041, Holiday_Dates)
                - IF(IF(NOT(ISBLANK(M2041)), M2041, L2041) = N2041, 0, 1)
            )
        )
    ),
    ""
)</f>
        <v/>
      </c>
      <c r="S2041" s="385" t="str">
        <f>IFERROR(
    IF(
        OR(ISBLANK(N2041), ISBLANK(O2041)),
        "",
        MAX(
            1,
            IF(
                NETWORKDAYS(N2041, O2041, Holiday_Dates) &lt;= 0,
                1,
                NETWORKDAYS(N2041, O2041, Holiday_Dates) - IF(N2041 = O2041, 0, 1)
            )
        )
    ),
    ""
)</f>
        <v/>
      </c>
      <c r="T2041" s="385"/>
      <c r="U2041" s="385"/>
      <c r="V2041" s="385"/>
      <c r="W2041" s="385" t="s">
        <v>4710</v>
      </c>
      <c r="X2041" s="1"/>
    </row>
    <row r="2042" spans="1:24">
      <c r="A2042" s="385" t="s">
        <v>65</v>
      </c>
      <c r="B2042" s="385" t="s">
        <v>1314</v>
      </c>
      <c r="C2042" s="385" t="s">
        <v>2777</v>
      </c>
      <c r="D2042" s="385" t="s">
        <v>88</v>
      </c>
      <c r="E2042" s="385" t="s">
        <v>141</v>
      </c>
      <c r="F2042" s="385"/>
      <c r="G2042" s="385" t="s">
        <v>130</v>
      </c>
      <c r="H2042" s="385"/>
      <c r="I2042" s="385"/>
      <c r="J2042" s="30"/>
      <c r="K2042" s="385"/>
      <c r="L2042" s="385"/>
      <c r="M2042" s="385"/>
      <c r="N2042" s="385"/>
      <c r="O2042" s="385"/>
      <c r="P2042" s="385" t="str">
        <f>IFERROR(
    IF(
        OR(ISBLANK(I2042), ISBLANK(L2042)),
        "",
        MAX(
            1,
            IF(
                NETWORKDAYS(I2042, L2042, Holiday_Dates) &lt;= 0,
                1,
                NETWORKDAYS(I2042, L2042, Holiday_Dates) - IF(I2042 = L2042, 0, 1)
            )
        )
    ),
    ""
)</f>
        <v/>
      </c>
      <c r="Q2042" s="385" t="str">
        <f>IF(
    OR(ISBLANK(L2042), ISBLANK(M2042)),
    "",
    MAX(
        1,
        IF(
            NETWORKDAYS(L2042, M2042, Holiday_Dates) &lt;= 0,
            1,
            NETWORKDAYS(L2042, M2042, Holiday_Dates) - IF(L2042 = M2042, 0, 1)
        )
    )
)</f>
        <v/>
      </c>
      <c r="R2042" s="385" t="str">
        <f>IFERROR(
    IF(
        OR(ISBLANK(N2042), AND(ISBLANK(L2042), ISBLANK(M2042))),
        "",
        MAX(
            1,
            IF(
                NETWORKDAYS(IF(NOT(ISBLANK(M2042)), M2042, L2042), N2042, Holiday_Dates) &lt;= 0,
                1,
                NETWORKDAYS(IF(NOT(ISBLANK(M2042)), M2042, L2042), N2042, Holiday_Dates)
                - IF(IF(NOT(ISBLANK(M2042)), M2042, L2042) = N2042, 0, 1)
            )
        )
    ),
    ""
)</f>
        <v/>
      </c>
      <c r="S2042" s="385" t="str">
        <f>IFERROR(
    IF(
        OR(ISBLANK(N2042), ISBLANK(O2042)),
        "",
        MAX(
            1,
            IF(
                NETWORKDAYS(N2042, O2042, Holiday_Dates) &lt;= 0,
                1,
                NETWORKDAYS(N2042, O2042, Holiday_Dates) - IF(N2042 = O2042, 0, 1)
            )
        )
    ),
    ""
)</f>
        <v/>
      </c>
      <c r="T2042" s="385"/>
      <c r="U2042" s="385"/>
      <c r="V2042" s="385"/>
      <c r="W2042" s="385" t="s">
        <v>4710</v>
      </c>
      <c r="X2042" s="1"/>
    </row>
    <row r="2043" spans="1:24">
      <c r="A2043" s="385" t="s">
        <v>51</v>
      </c>
      <c r="B2043" s="385" t="s">
        <v>532</v>
      </c>
      <c r="C2043" s="385" t="s">
        <v>3661</v>
      </c>
      <c r="D2043" s="385" t="s">
        <v>88</v>
      </c>
      <c r="E2043" s="385"/>
      <c r="F2043" s="385"/>
      <c r="G2043" s="385"/>
      <c r="H2043" s="385">
        <v>2024</v>
      </c>
      <c r="I2043" s="386">
        <v>45485</v>
      </c>
      <c r="J2043" s="30"/>
      <c r="K2043" s="385"/>
      <c r="L2043" s="385"/>
      <c r="M2043" s="385"/>
      <c r="N2043" s="385"/>
      <c r="O2043" s="385"/>
      <c r="P2043" s="385" t="str">
        <f>IFERROR(
    IF(
        OR(ISBLANK(I2043), ISBLANK(L2043)),
        "",
        MAX(
            1,
            IF(
                NETWORKDAYS(I2043, L2043, Holiday_Dates) &lt;= 0,
                1,
                NETWORKDAYS(I2043, L2043, Holiday_Dates) - IF(I2043 = L2043, 0, 1)
            )
        )
    ),
    ""
)</f>
        <v/>
      </c>
      <c r="Q2043" s="385" t="str">
        <f>IF(
    OR(ISBLANK(L2043), ISBLANK(M2043)),
    "",
    MAX(
        1,
        IF(
            NETWORKDAYS(L2043, M2043, Holiday_Dates) &lt;= 0,
            1,
            NETWORKDAYS(L2043, M2043, Holiday_Dates) - IF(L2043 = M2043, 0, 1)
        )
    )
)</f>
        <v/>
      </c>
      <c r="R2043" s="385" t="str">
        <f>IFERROR(
    IF(
        OR(ISBLANK(N2043), AND(ISBLANK(L2043), ISBLANK(M2043))),
        "",
        MAX(
            1,
            IF(
                NETWORKDAYS(IF(NOT(ISBLANK(M2043)), M2043, L2043), N2043, Holiday_Dates) &lt;= 0,
                1,
                NETWORKDAYS(IF(NOT(ISBLANK(M2043)), M2043, L2043), N2043, Holiday_Dates)
                - IF(IF(NOT(ISBLANK(M2043)), M2043, L2043) = N2043, 0, 1)
            )
        )
    ),
    ""
)</f>
        <v/>
      </c>
      <c r="S2043" s="385" t="str">
        <f>IFERROR(
    IF(
        OR(ISBLANK(N2043), ISBLANK(O2043)),
        "",
        MAX(
            1,
            IF(
                NETWORKDAYS(N2043, O2043, Holiday_Dates) &lt;= 0,
                1,
                NETWORKDAYS(N2043, O2043, Holiday_Dates) - IF(N2043 = O2043, 0, 1)
            )
        )
    ),
    ""
)</f>
        <v/>
      </c>
      <c r="T2043" s="385"/>
      <c r="U2043" s="385" t="s">
        <v>4</v>
      </c>
      <c r="V2043" s="385" t="s">
        <v>101</v>
      </c>
      <c r="W2043" s="385" t="s">
        <v>1436</v>
      </c>
      <c r="X2043" s="1"/>
    </row>
    <row r="2044" spans="1:24">
      <c r="A2044" s="385" t="s">
        <v>65</v>
      </c>
      <c r="B2044" s="385" t="s">
        <v>1314</v>
      </c>
      <c r="C2044" s="385" t="s">
        <v>2778</v>
      </c>
      <c r="D2044" s="385" t="s">
        <v>88</v>
      </c>
      <c r="E2044" s="385" t="s">
        <v>141</v>
      </c>
      <c r="F2044" s="385"/>
      <c r="G2044" s="385" t="s">
        <v>130</v>
      </c>
      <c r="H2044" s="385"/>
      <c r="I2044" s="385"/>
      <c r="J2044" s="30"/>
      <c r="K2044" s="385"/>
      <c r="L2044" s="385"/>
      <c r="M2044" s="385"/>
      <c r="N2044" s="385"/>
      <c r="O2044" s="385"/>
      <c r="P2044" s="385" t="str">
        <f>IFERROR(
    IF(
        OR(ISBLANK(I2044), ISBLANK(L2044)),
        "",
        MAX(
            1,
            IF(
                NETWORKDAYS(I2044, L2044, Holiday_Dates) &lt;= 0,
                1,
                NETWORKDAYS(I2044, L2044, Holiday_Dates) - IF(I2044 = L2044, 0, 1)
            )
        )
    ),
    ""
)</f>
        <v/>
      </c>
      <c r="Q2044" s="385" t="str">
        <f>IF(
    OR(ISBLANK(L2044), ISBLANK(M2044)),
    "",
    MAX(
        1,
        IF(
            NETWORKDAYS(L2044, M2044, Holiday_Dates) &lt;= 0,
            1,
            NETWORKDAYS(L2044, M2044, Holiday_Dates) - IF(L2044 = M2044, 0, 1)
        )
    )
)</f>
        <v/>
      </c>
      <c r="R2044" s="385" t="str">
        <f>IFERROR(
    IF(
        OR(ISBLANK(N2044), AND(ISBLANK(L2044), ISBLANK(M2044))),
        "",
        MAX(
            1,
            IF(
                NETWORKDAYS(IF(NOT(ISBLANK(M2044)), M2044, L2044), N2044, Holiday_Dates) &lt;= 0,
                1,
                NETWORKDAYS(IF(NOT(ISBLANK(M2044)), M2044, L2044), N2044, Holiday_Dates)
                - IF(IF(NOT(ISBLANK(M2044)), M2044, L2044) = N2044, 0, 1)
            )
        )
    ),
    ""
)</f>
        <v/>
      </c>
      <c r="S2044" s="385" t="str">
        <f>IFERROR(
    IF(
        OR(ISBLANK(N2044), ISBLANK(O2044)),
        "",
        MAX(
            1,
            IF(
                NETWORKDAYS(N2044, O2044, Holiday_Dates) &lt;= 0,
                1,
                NETWORKDAYS(N2044, O2044, Holiday_Dates) - IF(N2044 = O2044, 0, 1)
            )
        )
    ),
    ""
)</f>
        <v/>
      </c>
      <c r="T2044" s="385"/>
      <c r="U2044" s="385"/>
      <c r="V2044" s="385"/>
      <c r="W2044" s="385" t="s">
        <v>4710</v>
      </c>
      <c r="X2044" s="1"/>
    </row>
    <row r="2045" spans="1:24">
      <c r="A2045" s="385" t="s">
        <v>65</v>
      </c>
      <c r="B2045" s="385" t="s">
        <v>1314</v>
      </c>
      <c r="C2045" s="385" t="s">
        <v>2779</v>
      </c>
      <c r="D2045" s="385" t="s">
        <v>88</v>
      </c>
      <c r="E2045" s="385" t="s">
        <v>141</v>
      </c>
      <c r="F2045" s="385"/>
      <c r="G2045" s="385" t="s">
        <v>130</v>
      </c>
      <c r="H2045" s="385"/>
      <c r="I2045" s="385"/>
      <c r="J2045" s="30"/>
      <c r="K2045" s="385"/>
      <c r="L2045" s="385"/>
      <c r="M2045" s="385"/>
      <c r="N2045" s="385"/>
      <c r="O2045" s="385"/>
      <c r="P2045" s="385" t="str">
        <f>IFERROR(
    IF(
        OR(ISBLANK(I2045), ISBLANK(L2045)),
        "",
        MAX(
            1,
            IF(
                NETWORKDAYS(I2045, L2045, Holiday_Dates) &lt;= 0,
                1,
                NETWORKDAYS(I2045, L2045, Holiday_Dates) - IF(I2045 = L2045, 0, 1)
            )
        )
    ),
    ""
)</f>
        <v/>
      </c>
      <c r="Q2045" s="385" t="str">
        <f>IF(
    OR(ISBLANK(L2045), ISBLANK(M2045)),
    "",
    MAX(
        1,
        IF(
            NETWORKDAYS(L2045, M2045, Holiday_Dates) &lt;= 0,
            1,
            NETWORKDAYS(L2045, M2045, Holiday_Dates) - IF(L2045 = M2045, 0, 1)
        )
    )
)</f>
        <v/>
      </c>
      <c r="R2045" s="385" t="str">
        <f>IFERROR(
    IF(
        OR(ISBLANK(N2045), AND(ISBLANK(L2045), ISBLANK(M2045))),
        "",
        MAX(
            1,
            IF(
                NETWORKDAYS(IF(NOT(ISBLANK(M2045)), M2045, L2045), N2045, Holiday_Dates) &lt;= 0,
                1,
                NETWORKDAYS(IF(NOT(ISBLANK(M2045)), M2045, L2045), N2045, Holiday_Dates)
                - IF(IF(NOT(ISBLANK(M2045)), M2045, L2045) = N2045, 0, 1)
            )
        )
    ),
    ""
)</f>
        <v/>
      </c>
      <c r="S2045" s="385" t="str">
        <f>IFERROR(
    IF(
        OR(ISBLANK(N2045), ISBLANK(O2045)),
        "",
        MAX(
            1,
            IF(
                NETWORKDAYS(N2045, O2045, Holiday_Dates) &lt;= 0,
                1,
                NETWORKDAYS(N2045, O2045, Holiday_Dates) - IF(N2045 = O2045, 0, 1)
            )
        )
    ),
    ""
)</f>
        <v/>
      </c>
      <c r="T2045" s="385"/>
      <c r="U2045" s="385"/>
      <c r="V2045" s="385"/>
      <c r="W2045" s="385" t="s">
        <v>4710</v>
      </c>
      <c r="X2045" s="1"/>
    </row>
    <row r="2046" spans="1:24">
      <c r="A2046" s="385" t="s">
        <v>65</v>
      </c>
      <c r="B2046" s="385" t="s">
        <v>1314</v>
      </c>
      <c r="C2046" s="385" t="s">
        <v>2301</v>
      </c>
      <c r="D2046" s="385" t="s">
        <v>88</v>
      </c>
      <c r="E2046" s="385" t="s">
        <v>141</v>
      </c>
      <c r="F2046" s="385"/>
      <c r="G2046" s="385" t="s">
        <v>130</v>
      </c>
      <c r="H2046" s="385"/>
      <c r="I2046" s="385"/>
      <c r="J2046" s="30"/>
      <c r="K2046" s="385"/>
      <c r="L2046" s="385"/>
      <c r="M2046" s="385"/>
      <c r="N2046" s="385"/>
      <c r="O2046" s="385"/>
      <c r="P2046" s="385" t="str">
        <f>IFERROR(
    IF(
        OR(ISBLANK(I2046), ISBLANK(L2046)),
        "",
        MAX(
            1,
            IF(
                NETWORKDAYS(I2046, L2046, Holiday_Dates) &lt;= 0,
                1,
                NETWORKDAYS(I2046, L2046, Holiday_Dates) - IF(I2046 = L2046, 0, 1)
            )
        )
    ),
    ""
)</f>
        <v/>
      </c>
      <c r="Q2046" s="385" t="str">
        <f>IF(
    OR(ISBLANK(L2046), ISBLANK(M2046)),
    "",
    MAX(
        1,
        IF(
            NETWORKDAYS(L2046, M2046, Holiday_Dates) &lt;= 0,
            1,
            NETWORKDAYS(L2046, M2046, Holiday_Dates) - IF(L2046 = M2046, 0, 1)
        )
    )
)</f>
        <v/>
      </c>
      <c r="R2046" s="385" t="str">
        <f>IFERROR(
    IF(
        OR(ISBLANK(N2046), AND(ISBLANK(L2046), ISBLANK(M2046))),
        "",
        MAX(
            1,
            IF(
                NETWORKDAYS(IF(NOT(ISBLANK(M2046)), M2046, L2046), N2046, Holiday_Dates) &lt;= 0,
                1,
                NETWORKDAYS(IF(NOT(ISBLANK(M2046)), M2046, L2046), N2046, Holiday_Dates)
                - IF(IF(NOT(ISBLANK(M2046)), M2046, L2046) = N2046, 0, 1)
            )
        )
    ),
    ""
)</f>
        <v/>
      </c>
      <c r="S2046" s="385" t="str">
        <f>IFERROR(
    IF(
        OR(ISBLANK(N2046), ISBLANK(O2046)),
        "",
        MAX(
            1,
            IF(
                NETWORKDAYS(N2046, O2046, Holiday_Dates) &lt;= 0,
                1,
                NETWORKDAYS(N2046, O2046, Holiday_Dates) - IF(N2046 = O2046, 0, 1)
            )
        )
    ),
    ""
)</f>
        <v/>
      </c>
      <c r="T2046" s="385"/>
      <c r="U2046" s="385"/>
      <c r="V2046" s="385"/>
      <c r="W2046" s="385" t="s">
        <v>4710</v>
      </c>
      <c r="X2046" s="1"/>
    </row>
    <row r="2047" spans="1:24">
      <c r="A2047" s="385" t="s">
        <v>65</v>
      </c>
      <c r="B2047" s="385" t="s">
        <v>1314</v>
      </c>
      <c r="C2047" s="385" t="s">
        <v>2780</v>
      </c>
      <c r="D2047" s="385" t="s">
        <v>88</v>
      </c>
      <c r="E2047" s="385" t="s">
        <v>141</v>
      </c>
      <c r="F2047" s="385"/>
      <c r="G2047" s="385" t="s">
        <v>130</v>
      </c>
      <c r="H2047" s="385"/>
      <c r="I2047" s="385"/>
      <c r="J2047" s="30"/>
      <c r="K2047" s="385"/>
      <c r="L2047" s="385"/>
      <c r="M2047" s="385"/>
      <c r="N2047" s="385"/>
      <c r="O2047" s="385"/>
      <c r="P2047" s="385" t="str">
        <f>IFERROR(
    IF(
        OR(ISBLANK(I2047), ISBLANK(L2047)),
        "",
        MAX(
            1,
            IF(
                NETWORKDAYS(I2047, L2047, Holiday_Dates) &lt;= 0,
                1,
                NETWORKDAYS(I2047, L2047, Holiday_Dates) - IF(I2047 = L2047, 0, 1)
            )
        )
    ),
    ""
)</f>
        <v/>
      </c>
      <c r="Q2047" s="385" t="str">
        <f>IF(
    OR(ISBLANK(L2047), ISBLANK(M2047)),
    "",
    MAX(
        1,
        IF(
            NETWORKDAYS(L2047, M2047, Holiday_Dates) &lt;= 0,
            1,
            NETWORKDAYS(L2047, M2047, Holiday_Dates) - IF(L2047 = M2047, 0, 1)
        )
    )
)</f>
        <v/>
      </c>
      <c r="R2047" s="385" t="str">
        <f>IFERROR(
    IF(
        OR(ISBLANK(N2047), AND(ISBLANK(L2047), ISBLANK(M2047))),
        "",
        MAX(
            1,
            IF(
                NETWORKDAYS(IF(NOT(ISBLANK(M2047)), M2047, L2047), N2047, Holiday_Dates) &lt;= 0,
                1,
                NETWORKDAYS(IF(NOT(ISBLANK(M2047)), M2047, L2047), N2047, Holiday_Dates)
                - IF(IF(NOT(ISBLANK(M2047)), M2047, L2047) = N2047, 0, 1)
            )
        )
    ),
    ""
)</f>
        <v/>
      </c>
      <c r="S2047" s="385" t="str">
        <f>IFERROR(
    IF(
        OR(ISBLANK(N2047), ISBLANK(O2047)),
        "",
        MAX(
            1,
            IF(
                NETWORKDAYS(N2047, O2047, Holiday_Dates) &lt;= 0,
                1,
                NETWORKDAYS(N2047, O2047, Holiday_Dates) - IF(N2047 = O2047, 0, 1)
            )
        )
    ),
    ""
)</f>
        <v/>
      </c>
      <c r="T2047" s="385"/>
      <c r="U2047" s="385"/>
      <c r="V2047" s="385"/>
      <c r="W2047" s="385" t="s">
        <v>4710</v>
      </c>
      <c r="X2047" s="1"/>
    </row>
    <row r="2048" spans="1:24">
      <c r="A2048" s="385" t="s">
        <v>51</v>
      </c>
      <c r="B2048" s="385" t="s">
        <v>532</v>
      </c>
      <c r="C2048" s="385" t="s">
        <v>2823</v>
      </c>
      <c r="D2048" s="385" t="s">
        <v>88</v>
      </c>
      <c r="E2048" s="385"/>
      <c r="F2048" s="385"/>
      <c r="G2048" s="385"/>
      <c r="H2048" s="385">
        <v>2025</v>
      </c>
      <c r="I2048" s="386">
        <v>45791</v>
      </c>
      <c r="J2048" s="30" t="s">
        <v>5473</v>
      </c>
      <c r="K2048" s="385"/>
      <c r="L2048" s="385"/>
      <c r="M2048" s="385"/>
      <c r="N2048" s="385"/>
      <c r="O2048" s="385"/>
      <c r="P2048" s="385" t="str">
        <f>IFERROR(
    IF(
        OR(ISBLANK(I2048), ISBLANK(L2048)),
        "",
        MAX(
            1,
            IF(
                NETWORKDAYS(I2048, L2048, Holiday_Dates) &lt;= 0,
                1,
                NETWORKDAYS(I2048, L2048, Holiday_Dates) - IF(I2048 = L2048, 0, 1)
            )
        )
    ),
    ""
)</f>
        <v/>
      </c>
      <c r="Q2048" s="385" t="str">
        <f>IF(
    OR(ISBLANK(L2048), ISBLANK(M2048)),
    "",
    MAX(
        1,
        IF(
            NETWORKDAYS(L2048, M2048, Holiday_Dates) &lt;= 0,
            1,
            NETWORKDAYS(L2048, M2048, Holiday_Dates) - IF(L2048 = M2048, 0, 1)
        )
    )
)</f>
        <v/>
      </c>
      <c r="R2048" s="385" t="str">
        <f>IFERROR(
    IF(
        OR(ISBLANK(N2048), AND(ISBLANK(L2048), ISBLANK(M2048))),
        "",
        MAX(
            1,
            IF(
                NETWORKDAYS(IF(NOT(ISBLANK(M2048)), M2048, L2048), N2048, Holiday_Dates) &lt;= 0,
                1,
                NETWORKDAYS(IF(NOT(ISBLANK(M2048)), M2048, L2048), N2048, Holiday_Dates)
                - IF(IF(NOT(ISBLANK(M2048)), M2048, L2048) = N2048, 0, 1)
            )
        )
    ),
    ""
)</f>
        <v/>
      </c>
      <c r="S2048" s="385" t="str">
        <f>IFERROR(
    IF(
        OR(ISBLANK(N2048), ISBLANK(O2048)),
        "",
        MAX(
            1,
            IF(
                NETWORKDAYS(N2048, O2048, Holiday_Dates) &lt;= 0,
                1,
                NETWORKDAYS(N2048, O2048, Holiday_Dates) - IF(N2048 = O2048, 0, 1)
            )
        )
    ),
    ""
)</f>
        <v/>
      </c>
      <c r="T2048" s="385"/>
      <c r="U2048" s="385" t="s">
        <v>672</v>
      </c>
      <c r="V2048" s="385" t="s">
        <v>1676</v>
      </c>
      <c r="W2048" s="385" t="s">
        <v>1436</v>
      </c>
      <c r="X2048" s="1"/>
    </row>
    <row r="2049" spans="1:24">
      <c r="A2049" s="385" t="s">
        <v>51</v>
      </c>
      <c r="B2049" s="385" t="s">
        <v>532</v>
      </c>
      <c r="C2049" s="385" t="s">
        <v>3665</v>
      </c>
      <c r="D2049" s="385" t="s">
        <v>88</v>
      </c>
      <c r="E2049" s="385"/>
      <c r="F2049" s="385"/>
      <c r="G2049" s="385"/>
      <c r="H2049" s="385">
        <v>2025</v>
      </c>
      <c r="I2049" s="386">
        <v>45791</v>
      </c>
      <c r="J2049" s="30" t="s">
        <v>5474</v>
      </c>
      <c r="K2049" s="385"/>
      <c r="L2049" s="385"/>
      <c r="M2049" s="385"/>
      <c r="N2049" s="385"/>
      <c r="O2049" s="385"/>
      <c r="P2049" s="385" t="str">
        <f>IFERROR(
    IF(
        OR(ISBLANK(I2049), ISBLANK(L2049)),
        "",
        MAX(
            1,
            IF(
                NETWORKDAYS(I2049, L2049, Holiday_Dates) &lt;= 0,
                1,
                NETWORKDAYS(I2049, L2049, Holiday_Dates) - IF(I2049 = L2049, 0, 1)
            )
        )
    ),
    ""
)</f>
        <v/>
      </c>
      <c r="Q2049" s="385" t="str">
        <f>IF(
    OR(ISBLANK(L2049), ISBLANK(M2049)),
    "",
    MAX(
        1,
        IF(
            NETWORKDAYS(L2049, M2049, Holiday_Dates) &lt;= 0,
            1,
            NETWORKDAYS(L2049, M2049, Holiday_Dates) - IF(L2049 = M2049, 0, 1)
        )
    )
)</f>
        <v/>
      </c>
      <c r="R2049" s="385" t="str">
        <f>IFERROR(
    IF(
        OR(ISBLANK(N2049), AND(ISBLANK(L2049), ISBLANK(M2049))),
        "",
        MAX(
            1,
            IF(
                NETWORKDAYS(IF(NOT(ISBLANK(M2049)), M2049, L2049), N2049, Holiday_Dates) &lt;= 0,
                1,
                NETWORKDAYS(IF(NOT(ISBLANK(M2049)), M2049, L2049), N2049, Holiday_Dates)
                - IF(IF(NOT(ISBLANK(M2049)), M2049, L2049) = N2049, 0, 1)
            )
        )
    ),
    ""
)</f>
        <v/>
      </c>
      <c r="S2049" s="385" t="str">
        <f>IFERROR(
    IF(
        OR(ISBLANK(N2049), ISBLANK(O2049)),
        "",
        MAX(
            1,
            IF(
                NETWORKDAYS(N2049, O2049, Holiday_Dates) &lt;= 0,
                1,
                NETWORKDAYS(N2049, O2049, Holiday_Dates) - IF(N2049 = O2049, 0, 1)
            )
        )
    ),
    ""
)</f>
        <v/>
      </c>
      <c r="T2049" s="385"/>
      <c r="U2049" s="385" t="s">
        <v>672</v>
      </c>
      <c r="V2049" s="385" t="s">
        <v>1676</v>
      </c>
      <c r="W2049" s="385" t="s">
        <v>1436</v>
      </c>
      <c r="X2049" s="1"/>
    </row>
    <row r="2050" spans="1:24">
      <c r="A2050" s="385" t="s">
        <v>65</v>
      </c>
      <c r="B2050" s="385" t="s">
        <v>1314</v>
      </c>
      <c r="C2050" s="385" t="s">
        <v>2781</v>
      </c>
      <c r="D2050" s="385" t="s">
        <v>88</v>
      </c>
      <c r="E2050" s="385" t="s">
        <v>141</v>
      </c>
      <c r="F2050" s="385"/>
      <c r="G2050" s="385" t="s">
        <v>130</v>
      </c>
      <c r="H2050" s="385"/>
      <c r="I2050" s="385"/>
      <c r="J2050" s="30"/>
      <c r="K2050" s="385"/>
      <c r="L2050" s="385"/>
      <c r="M2050" s="385"/>
      <c r="N2050" s="385"/>
      <c r="O2050" s="385"/>
      <c r="P2050" s="385" t="str">
        <f>IFERROR(
    IF(
        OR(ISBLANK(I2050), ISBLANK(L2050)),
        "",
        MAX(
            1,
            IF(
                NETWORKDAYS(I2050, L2050, Holiday_Dates) &lt;= 0,
                1,
                NETWORKDAYS(I2050, L2050, Holiday_Dates) - IF(I2050 = L2050, 0, 1)
            )
        )
    ),
    ""
)</f>
        <v/>
      </c>
      <c r="Q2050" s="385" t="str">
        <f>IF(
    OR(ISBLANK(L2050), ISBLANK(M2050)),
    "",
    MAX(
        1,
        IF(
            NETWORKDAYS(L2050, M2050, Holiday_Dates) &lt;= 0,
            1,
            NETWORKDAYS(L2050, M2050, Holiday_Dates) - IF(L2050 = M2050, 0, 1)
        )
    )
)</f>
        <v/>
      </c>
      <c r="R2050" s="385" t="str">
        <f>IFERROR(
    IF(
        OR(ISBLANK(N2050), AND(ISBLANK(L2050), ISBLANK(M2050))),
        "",
        MAX(
            1,
            IF(
                NETWORKDAYS(IF(NOT(ISBLANK(M2050)), M2050, L2050), N2050, Holiday_Dates) &lt;= 0,
                1,
                NETWORKDAYS(IF(NOT(ISBLANK(M2050)), M2050, L2050), N2050, Holiday_Dates)
                - IF(IF(NOT(ISBLANK(M2050)), M2050, L2050) = N2050, 0, 1)
            )
        )
    ),
    ""
)</f>
        <v/>
      </c>
      <c r="S2050" s="385" t="str">
        <f>IFERROR(
    IF(
        OR(ISBLANK(N2050), ISBLANK(O2050)),
        "",
        MAX(
            1,
            IF(
                NETWORKDAYS(N2050, O2050, Holiday_Dates) &lt;= 0,
                1,
                NETWORKDAYS(N2050, O2050, Holiday_Dates) - IF(N2050 = O2050, 0, 1)
            )
        )
    ),
    ""
)</f>
        <v/>
      </c>
      <c r="T2050" s="385"/>
      <c r="U2050" s="385"/>
      <c r="V2050" s="385"/>
      <c r="W2050" s="385" t="s">
        <v>4710</v>
      </c>
      <c r="X2050" s="1"/>
    </row>
    <row r="2051" spans="1:24">
      <c r="A2051" s="385" t="s">
        <v>65</v>
      </c>
      <c r="B2051" s="385" t="s">
        <v>1314</v>
      </c>
      <c r="C2051" s="385" t="s">
        <v>2782</v>
      </c>
      <c r="D2051" s="385" t="s">
        <v>88</v>
      </c>
      <c r="E2051" s="385" t="s">
        <v>141</v>
      </c>
      <c r="F2051" s="385"/>
      <c r="G2051" s="385" t="s">
        <v>130</v>
      </c>
      <c r="H2051" s="385"/>
      <c r="I2051" s="385"/>
      <c r="J2051" s="30"/>
      <c r="K2051" s="385"/>
      <c r="L2051" s="385"/>
      <c r="M2051" s="385"/>
      <c r="N2051" s="385"/>
      <c r="O2051" s="385"/>
      <c r="P2051" s="385" t="str">
        <f>IFERROR(
    IF(
        OR(ISBLANK(I2051), ISBLANK(L2051)),
        "",
        MAX(
            1,
            IF(
                NETWORKDAYS(I2051, L2051, Holiday_Dates) &lt;= 0,
                1,
                NETWORKDAYS(I2051, L2051, Holiday_Dates) - IF(I2051 = L2051, 0, 1)
            )
        )
    ),
    ""
)</f>
        <v/>
      </c>
      <c r="Q2051" s="385" t="str">
        <f>IF(
    OR(ISBLANK(L2051), ISBLANK(M2051)),
    "",
    MAX(
        1,
        IF(
            NETWORKDAYS(L2051, M2051, Holiday_Dates) &lt;= 0,
            1,
            NETWORKDAYS(L2051, M2051, Holiday_Dates) - IF(L2051 = M2051, 0, 1)
        )
    )
)</f>
        <v/>
      </c>
      <c r="R2051" s="385" t="str">
        <f>IFERROR(
    IF(
        OR(ISBLANK(N2051), AND(ISBLANK(L2051), ISBLANK(M2051))),
        "",
        MAX(
            1,
            IF(
                NETWORKDAYS(IF(NOT(ISBLANK(M2051)), M2051, L2051), N2051, Holiday_Dates) &lt;= 0,
                1,
                NETWORKDAYS(IF(NOT(ISBLANK(M2051)), M2051, L2051), N2051, Holiday_Dates)
                - IF(IF(NOT(ISBLANK(M2051)), M2051, L2051) = N2051, 0, 1)
            )
        )
    ),
    ""
)</f>
        <v/>
      </c>
      <c r="S2051" s="385" t="str">
        <f>IFERROR(
    IF(
        OR(ISBLANK(N2051), ISBLANK(O2051)),
        "",
        MAX(
            1,
            IF(
                NETWORKDAYS(N2051, O2051, Holiday_Dates) &lt;= 0,
                1,
                NETWORKDAYS(N2051, O2051, Holiday_Dates) - IF(N2051 = O2051, 0, 1)
            )
        )
    ),
    ""
)</f>
        <v/>
      </c>
      <c r="T2051" s="385"/>
      <c r="U2051" s="385"/>
      <c r="V2051" s="385"/>
      <c r="W2051" s="385" t="s">
        <v>4710</v>
      </c>
      <c r="X2051" s="1"/>
    </row>
    <row r="2052" spans="1:24">
      <c r="A2052" s="385" t="s">
        <v>65</v>
      </c>
      <c r="B2052" s="385" t="s">
        <v>1314</v>
      </c>
      <c r="C2052" s="385" t="s">
        <v>2783</v>
      </c>
      <c r="D2052" s="385" t="s">
        <v>88</v>
      </c>
      <c r="E2052" s="385" t="s">
        <v>141</v>
      </c>
      <c r="F2052" s="385"/>
      <c r="G2052" s="385" t="s">
        <v>130</v>
      </c>
      <c r="H2052" s="385"/>
      <c r="I2052" s="385"/>
      <c r="J2052" s="30"/>
      <c r="K2052" s="385"/>
      <c r="L2052" s="385"/>
      <c r="M2052" s="385"/>
      <c r="N2052" s="385"/>
      <c r="O2052" s="385"/>
      <c r="P2052" s="385" t="str">
        <f>IFERROR(
    IF(
        OR(ISBLANK(I2052), ISBLANK(L2052)),
        "",
        MAX(
            1,
            IF(
                NETWORKDAYS(I2052, L2052, Holiday_Dates) &lt;= 0,
                1,
                NETWORKDAYS(I2052, L2052, Holiday_Dates) - IF(I2052 = L2052, 0, 1)
            )
        )
    ),
    ""
)</f>
        <v/>
      </c>
      <c r="Q2052" s="385" t="str">
        <f>IF(
    OR(ISBLANK(L2052), ISBLANK(M2052)),
    "",
    MAX(
        1,
        IF(
            NETWORKDAYS(L2052, M2052, Holiday_Dates) &lt;= 0,
            1,
            NETWORKDAYS(L2052, M2052, Holiday_Dates) - IF(L2052 = M2052, 0, 1)
        )
    )
)</f>
        <v/>
      </c>
      <c r="R2052" s="385" t="str">
        <f>IFERROR(
    IF(
        OR(ISBLANK(N2052), AND(ISBLANK(L2052), ISBLANK(M2052))),
        "",
        MAX(
            1,
            IF(
                NETWORKDAYS(IF(NOT(ISBLANK(M2052)), M2052, L2052), N2052, Holiday_Dates) &lt;= 0,
                1,
                NETWORKDAYS(IF(NOT(ISBLANK(M2052)), M2052, L2052), N2052, Holiday_Dates)
                - IF(IF(NOT(ISBLANK(M2052)), M2052, L2052) = N2052, 0, 1)
            )
        )
    ),
    ""
)</f>
        <v/>
      </c>
      <c r="S2052" s="385" t="str">
        <f>IFERROR(
    IF(
        OR(ISBLANK(N2052), ISBLANK(O2052)),
        "",
        MAX(
            1,
            IF(
                NETWORKDAYS(N2052, O2052, Holiday_Dates) &lt;= 0,
                1,
                NETWORKDAYS(N2052, O2052, Holiday_Dates) - IF(N2052 = O2052, 0, 1)
            )
        )
    ),
    ""
)</f>
        <v/>
      </c>
      <c r="T2052" s="385"/>
      <c r="U2052" s="385"/>
      <c r="V2052" s="385"/>
      <c r="W2052" s="385" t="s">
        <v>4710</v>
      </c>
      <c r="X2052" s="1"/>
    </row>
    <row r="2053" spans="1:24">
      <c r="A2053" s="385" t="s">
        <v>65</v>
      </c>
      <c r="B2053" s="385" t="s">
        <v>1314</v>
      </c>
      <c r="C2053" s="385" t="s">
        <v>2786</v>
      </c>
      <c r="D2053" s="385" t="s">
        <v>88</v>
      </c>
      <c r="E2053" s="385" t="s">
        <v>141</v>
      </c>
      <c r="F2053" s="385"/>
      <c r="G2053" s="385" t="s">
        <v>130</v>
      </c>
      <c r="H2053" s="385"/>
      <c r="I2053" s="385"/>
      <c r="J2053" s="30"/>
      <c r="K2053" s="385"/>
      <c r="L2053" s="385"/>
      <c r="M2053" s="385"/>
      <c r="N2053" s="385"/>
      <c r="O2053" s="385"/>
      <c r="P2053" s="385" t="str">
        <f>IFERROR(
    IF(
        OR(ISBLANK(I2053), ISBLANK(L2053)),
        "",
        MAX(
            1,
            IF(
                NETWORKDAYS(I2053, L2053, Holiday_Dates) &lt;= 0,
                1,
                NETWORKDAYS(I2053, L2053, Holiday_Dates) - IF(I2053 = L2053, 0, 1)
            )
        )
    ),
    ""
)</f>
        <v/>
      </c>
      <c r="Q2053" s="385" t="str">
        <f>IF(
    OR(ISBLANK(L2053), ISBLANK(M2053)),
    "",
    MAX(
        1,
        IF(
            NETWORKDAYS(L2053, M2053, Holiday_Dates) &lt;= 0,
            1,
            NETWORKDAYS(L2053, M2053, Holiday_Dates) - IF(L2053 = M2053, 0, 1)
        )
    )
)</f>
        <v/>
      </c>
      <c r="R2053" s="385" t="str">
        <f>IFERROR(
    IF(
        OR(ISBLANK(N2053), AND(ISBLANK(L2053), ISBLANK(M2053))),
        "",
        MAX(
            1,
            IF(
                NETWORKDAYS(IF(NOT(ISBLANK(M2053)), M2053, L2053), N2053, Holiday_Dates) &lt;= 0,
                1,
                NETWORKDAYS(IF(NOT(ISBLANK(M2053)), M2053, L2053), N2053, Holiday_Dates)
                - IF(IF(NOT(ISBLANK(M2053)), M2053, L2053) = N2053, 0, 1)
            )
        )
    ),
    ""
)</f>
        <v/>
      </c>
      <c r="S2053" s="385" t="str">
        <f>IFERROR(
    IF(
        OR(ISBLANK(N2053), ISBLANK(O2053)),
        "",
        MAX(
            1,
            IF(
                NETWORKDAYS(N2053, O2053, Holiday_Dates) &lt;= 0,
                1,
                NETWORKDAYS(N2053, O2053, Holiday_Dates) - IF(N2053 = O2053, 0, 1)
            )
        )
    ),
    ""
)</f>
        <v/>
      </c>
      <c r="T2053" s="385"/>
      <c r="U2053" s="385"/>
      <c r="V2053" s="385"/>
      <c r="W2053" s="385" t="s">
        <v>4710</v>
      </c>
      <c r="X2053" s="1"/>
    </row>
    <row r="2054" spans="1:24">
      <c r="A2054" s="385" t="s">
        <v>51</v>
      </c>
      <c r="B2054" s="385" t="s">
        <v>532</v>
      </c>
      <c r="C2054" s="385" t="s">
        <v>520</v>
      </c>
      <c r="D2054" s="385" t="s">
        <v>88</v>
      </c>
      <c r="E2054" s="385"/>
      <c r="F2054" s="385"/>
      <c r="G2054" s="385"/>
      <c r="H2054" s="385">
        <v>2025</v>
      </c>
      <c r="I2054" s="386">
        <v>45792</v>
      </c>
      <c r="J2054" s="30" t="s">
        <v>5475</v>
      </c>
      <c r="K2054" s="385"/>
      <c r="L2054" s="385"/>
      <c r="M2054" s="385"/>
      <c r="N2054" s="385"/>
      <c r="O2054" s="385"/>
      <c r="P2054" s="385" t="str">
        <f>IFERROR(
    IF(
        OR(ISBLANK(I2054), ISBLANK(L2054)),
        "",
        MAX(
            1,
            IF(
                NETWORKDAYS(I2054, L2054, Holiday_Dates) &lt;= 0,
                1,
                NETWORKDAYS(I2054, L2054, Holiday_Dates) - IF(I2054 = L2054, 0, 1)
            )
        )
    ),
    ""
)</f>
        <v/>
      </c>
      <c r="Q2054" s="385" t="str">
        <f>IF(
    OR(ISBLANK(L2054), ISBLANK(M2054)),
    "",
    MAX(
        1,
        IF(
            NETWORKDAYS(L2054, M2054, Holiday_Dates) &lt;= 0,
            1,
            NETWORKDAYS(L2054, M2054, Holiday_Dates) - IF(L2054 = M2054, 0, 1)
        )
    )
)</f>
        <v/>
      </c>
      <c r="R2054" s="385" t="str">
        <f>IFERROR(
    IF(
        OR(ISBLANK(N2054), AND(ISBLANK(L2054), ISBLANK(M2054))),
        "",
        MAX(
            1,
            IF(
                NETWORKDAYS(IF(NOT(ISBLANK(M2054)), M2054, L2054), N2054, Holiday_Dates) &lt;= 0,
                1,
                NETWORKDAYS(IF(NOT(ISBLANK(M2054)), M2054, L2054), N2054, Holiday_Dates)
                - IF(IF(NOT(ISBLANK(M2054)), M2054, L2054) = N2054, 0, 1)
            )
        )
    ),
    ""
)</f>
        <v/>
      </c>
      <c r="S2054" s="385" t="str">
        <f>IFERROR(
    IF(
        OR(ISBLANK(N2054), ISBLANK(O2054)),
        "",
        MAX(
            1,
            IF(
                NETWORKDAYS(N2054, O2054, Holiday_Dates) &lt;= 0,
                1,
                NETWORKDAYS(N2054, O2054, Holiday_Dates) - IF(N2054 = O2054, 0, 1)
            )
        )
    ),
    ""
)</f>
        <v/>
      </c>
      <c r="T2054" s="385"/>
      <c r="U2054" s="385" t="s">
        <v>4</v>
      </c>
      <c r="V2054" s="385" t="s">
        <v>101</v>
      </c>
      <c r="W2054" s="385" t="s">
        <v>1436</v>
      </c>
      <c r="X2054" s="1"/>
    </row>
    <row r="2055" spans="1:24">
      <c r="A2055" s="385" t="s">
        <v>65</v>
      </c>
      <c r="B2055" s="385" t="s">
        <v>1314</v>
      </c>
      <c r="C2055" s="385" t="s">
        <v>2787</v>
      </c>
      <c r="D2055" s="385" t="s">
        <v>88</v>
      </c>
      <c r="E2055" s="385" t="s">
        <v>141</v>
      </c>
      <c r="F2055" s="385"/>
      <c r="G2055" s="385" t="s">
        <v>130</v>
      </c>
      <c r="H2055" s="385"/>
      <c r="I2055" s="385"/>
      <c r="J2055" s="30"/>
      <c r="K2055" s="385"/>
      <c r="L2055" s="385"/>
      <c r="M2055" s="385"/>
      <c r="N2055" s="385"/>
      <c r="O2055" s="385"/>
      <c r="P2055" s="385" t="str">
        <f>IFERROR(
    IF(
        OR(ISBLANK(I2055), ISBLANK(L2055)),
        "",
        MAX(
            1,
            IF(
                NETWORKDAYS(I2055, L2055, Holiday_Dates) &lt;= 0,
                1,
                NETWORKDAYS(I2055, L2055, Holiday_Dates) - IF(I2055 = L2055, 0, 1)
            )
        )
    ),
    ""
)</f>
        <v/>
      </c>
      <c r="Q2055" s="385" t="str">
        <f>IF(
    OR(ISBLANK(L2055), ISBLANK(M2055)),
    "",
    MAX(
        1,
        IF(
            NETWORKDAYS(L2055, M2055, Holiday_Dates) &lt;= 0,
            1,
            NETWORKDAYS(L2055, M2055, Holiday_Dates) - IF(L2055 = M2055, 0, 1)
        )
    )
)</f>
        <v/>
      </c>
      <c r="R2055" s="385" t="str">
        <f>IFERROR(
    IF(
        OR(ISBLANK(N2055), AND(ISBLANK(L2055), ISBLANK(M2055))),
        "",
        MAX(
            1,
            IF(
                NETWORKDAYS(IF(NOT(ISBLANK(M2055)), M2055, L2055), N2055, Holiday_Dates) &lt;= 0,
                1,
                NETWORKDAYS(IF(NOT(ISBLANK(M2055)), M2055, L2055), N2055, Holiday_Dates)
                - IF(IF(NOT(ISBLANK(M2055)), M2055, L2055) = N2055, 0, 1)
            )
        )
    ),
    ""
)</f>
        <v/>
      </c>
      <c r="S2055" s="385" t="str">
        <f>IFERROR(
    IF(
        OR(ISBLANK(N2055), ISBLANK(O2055)),
        "",
        MAX(
            1,
            IF(
                NETWORKDAYS(N2055, O2055, Holiday_Dates) &lt;= 0,
                1,
                NETWORKDAYS(N2055, O2055, Holiday_Dates) - IF(N2055 = O2055, 0, 1)
            )
        )
    ),
    ""
)</f>
        <v/>
      </c>
      <c r="T2055" s="385"/>
      <c r="U2055" s="385"/>
      <c r="V2055" s="385"/>
      <c r="W2055" s="385" t="s">
        <v>4710</v>
      </c>
      <c r="X2055" s="1"/>
    </row>
    <row r="2056" spans="1:24">
      <c r="A2056" s="385" t="s">
        <v>65</v>
      </c>
      <c r="B2056" s="385" t="s">
        <v>1314</v>
      </c>
      <c r="C2056" s="385" t="s">
        <v>2788</v>
      </c>
      <c r="D2056" s="385" t="s">
        <v>88</v>
      </c>
      <c r="E2056" s="385" t="s">
        <v>141</v>
      </c>
      <c r="F2056" s="385"/>
      <c r="G2056" s="385" t="s">
        <v>130</v>
      </c>
      <c r="H2056" s="385"/>
      <c r="I2056" s="385"/>
      <c r="J2056" s="30"/>
      <c r="K2056" s="385"/>
      <c r="L2056" s="385"/>
      <c r="M2056" s="385"/>
      <c r="N2056" s="385"/>
      <c r="O2056" s="385"/>
      <c r="P2056" s="385" t="str">
        <f>IFERROR(
    IF(
        OR(ISBLANK(I2056), ISBLANK(L2056)),
        "",
        MAX(
            1,
            IF(
                NETWORKDAYS(I2056, L2056, Holiday_Dates) &lt;= 0,
                1,
                NETWORKDAYS(I2056, L2056, Holiday_Dates) - IF(I2056 = L2056, 0, 1)
            )
        )
    ),
    ""
)</f>
        <v/>
      </c>
      <c r="Q2056" s="385" t="str">
        <f>IF(
    OR(ISBLANK(L2056), ISBLANK(M2056)),
    "",
    MAX(
        1,
        IF(
            NETWORKDAYS(L2056, M2056, Holiday_Dates) &lt;= 0,
            1,
            NETWORKDAYS(L2056, M2056, Holiday_Dates) - IF(L2056 = M2056, 0, 1)
        )
    )
)</f>
        <v/>
      </c>
      <c r="R2056" s="385" t="str">
        <f>IFERROR(
    IF(
        OR(ISBLANK(N2056), AND(ISBLANK(L2056), ISBLANK(M2056))),
        "",
        MAX(
            1,
            IF(
                NETWORKDAYS(IF(NOT(ISBLANK(M2056)), M2056, L2056), N2056, Holiday_Dates) &lt;= 0,
                1,
                NETWORKDAYS(IF(NOT(ISBLANK(M2056)), M2056, L2056), N2056, Holiday_Dates)
                - IF(IF(NOT(ISBLANK(M2056)), M2056, L2056) = N2056, 0, 1)
            )
        )
    ),
    ""
)</f>
        <v/>
      </c>
      <c r="S2056" s="385" t="str">
        <f>IFERROR(
    IF(
        OR(ISBLANK(N2056), ISBLANK(O2056)),
        "",
        MAX(
            1,
            IF(
                NETWORKDAYS(N2056, O2056, Holiday_Dates) &lt;= 0,
                1,
                NETWORKDAYS(N2056, O2056, Holiday_Dates) - IF(N2056 = O2056, 0, 1)
            )
        )
    ),
    ""
)</f>
        <v/>
      </c>
      <c r="T2056" s="385"/>
      <c r="U2056" s="385"/>
      <c r="V2056" s="385"/>
      <c r="W2056" s="385" t="s">
        <v>4710</v>
      </c>
      <c r="X2056" s="1"/>
    </row>
    <row r="2057" spans="1:24">
      <c r="A2057" s="385" t="s">
        <v>51</v>
      </c>
      <c r="B2057" s="385" t="s">
        <v>532</v>
      </c>
      <c r="C2057" s="385" t="s">
        <v>2178</v>
      </c>
      <c r="D2057" s="385" t="s">
        <v>88</v>
      </c>
      <c r="E2057" s="385"/>
      <c r="F2057" s="385"/>
      <c r="G2057" s="385"/>
      <c r="H2057" s="385">
        <v>2024</v>
      </c>
      <c r="I2057" s="386">
        <v>45485</v>
      </c>
      <c r="J2057" s="30"/>
      <c r="K2057" s="385"/>
      <c r="L2057" s="385"/>
      <c r="M2057" s="385"/>
      <c r="N2057" s="385"/>
      <c r="O2057" s="385"/>
      <c r="P2057" s="385" t="str">
        <f>IFERROR(
    IF(
        OR(ISBLANK(I2057), ISBLANK(L2057)),
        "",
        MAX(
            1,
            IF(
                NETWORKDAYS(I2057, L2057, Holiday_Dates) &lt;= 0,
                1,
                NETWORKDAYS(I2057, L2057, Holiday_Dates) - IF(I2057 = L2057, 0, 1)
            )
        )
    ),
    ""
)</f>
        <v/>
      </c>
      <c r="Q2057" s="385" t="str">
        <f>IF(
    OR(ISBLANK(L2057), ISBLANK(M2057)),
    "",
    MAX(
        1,
        IF(
            NETWORKDAYS(L2057, M2057, Holiday_Dates) &lt;= 0,
            1,
            NETWORKDAYS(L2057, M2057, Holiday_Dates) - IF(L2057 = M2057, 0, 1)
        )
    )
)</f>
        <v/>
      </c>
      <c r="R2057" s="385" t="str">
        <f>IFERROR(
    IF(
        OR(ISBLANK(N2057), AND(ISBLANK(L2057), ISBLANK(M2057))),
        "",
        MAX(
            1,
            IF(
                NETWORKDAYS(IF(NOT(ISBLANK(M2057)), M2057, L2057), N2057, Holiday_Dates) &lt;= 0,
                1,
                NETWORKDAYS(IF(NOT(ISBLANK(M2057)), M2057, L2057), N2057, Holiday_Dates)
                - IF(IF(NOT(ISBLANK(M2057)), M2057, L2057) = N2057, 0, 1)
            )
        )
    ),
    ""
)</f>
        <v/>
      </c>
      <c r="S2057" s="385" t="str">
        <f>IFERROR(
    IF(
        OR(ISBLANK(N2057), ISBLANK(O2057)),
        "",
        MAX(
            1,
            IF(
                NETWORKDAYS(N2057, O2057, Holiday_Dates) &lt;= 0,
                1,
                NETWORKDAYS(N2057, O2057, Holiday_Dates) - IF(N2057 = O2057, 0, 1)
            )
        )
    ),
    ""
)</f>
        <v/>
      </c>
      <c r="T2057" s="385"/>
      <c r="U2057" s="385" t="s">
        <v>4</v>
      </c>
      <c r="V2057" s="385" t="s">
        <v>101</v>
      </c>
      <c r="W2057" s="385" t="s">
        <v>1436</v>
      </c>
      <c r="X2057" s="1"/>
    </row>
    <row r="2058" spans="1:24">
      <c r="A2058" s="385" t="s">
        <v>65</v>
      </c>
      <c r="B2058" s="385" t="s">
        <v>1314</v>
      </c>
      <c r="C2058" s="385" t="s">
        <v>2811</v>
      </c>
      <c r="D2058" s="385" t="s">
        <v>88</v>
      </c>
      <c r="E2058" s="385" t="s">
        <v>141</v>
      </c>
      <c r="F2058" s="385"/>
      <c r="G2058" s="385" t="s">
        <v>130</v>
      </c>
      <c r="H2058" s="385"/>
      <c r="I2058" s="385"/>
      <c r="J2058" s="30"/>
      <c r="K2058" s="385"/>
      <c r="L2058" s="385"/>
      <c r="M2058" s="385"/>
      <c r="N2058" s="385"/>
      <c r="O2058" s="385"/>
      <c r="P2058" s="385" t="str">
        <f>IFERROR(
    IF(
        OR(ISBLANK(I2058), ISBLANK(L2058)),
        "",
        MAX(
            1,
            IF(
                NETWORKDAYS(I2058, L2058, Holiday_Dates) &lt;= 0,
                1,
                NETWORKDAYS(I2058, L2058, Holiday_Dates) - IF(I2058 = L2058, 0, 1)
            )
        )
    ),
    ""
)</f>
        <v/>
      </c>
      <c r="Q2058" s="385" t="str">
        <f>IF(
    OR(ISBLANK(L2058), ISBLANK(M2058)),
    "",
    MAX(
        1,
        IF(
            NETWORKDAYS(L2058, M2058, Holiday_Dates) &lt;= 0,
            1,
            NETWORKDAYS(L2058, M2058, Holiday_Dates) - IF(L2058 = M2058, 0, 1)
        )
    )
)</f>
        <v/>
      </c>
      <c r="R2058" s="385" t="str">
        <f>IFERROR(
    IF(
        OR(ISBLANK(N2058), AND(ISBLANK(L2058), ISBLANK(M2058))),
        "",
        MAX(
            1,
            IF(
                NETWORKDAYS(IF(NOT(ISBLANK(M2058)), M2058, L2058), N2058, Holiday_Dates) &lt;= 0,
                1,
                NETWORKDAYS(IF(NOT(ISBLANK(M2058)), M2058, L2058), N2058, Holiday_Dates)
                - IF(IF(NOT(ISBLANK(M2058)), M2058, L2058) = N2058, 0, 1)
            )
        )
    ),
    ""
)</f>
        <v/>
      </c>
      <c r="S2058" s="385" t="str">
        <f>IFERROR(
    IF(
        OR(ISBLANK(N2058), ISBLANK(O2058)),
        "",
        MAX(
            1,
            IF(
                NETWORKDAYS(N2058, O2058, Holiday_Dates) &lt;= 0,
                1,
                NETWORKDAYS(N2058, O2058, Holiday_Dates) - IF(N2058 = O2058, 0, 1)
            )
        )
    ),
    ""
)</f>
        <v/>
      </c>
      <c r="T2058" s="385"/>
      <c r="U2058" s="385"/>
      <c r="V2058" s="385"/>
      <c r="W2058" s="385" t="s">
        <v>4710</v>
      </c>
      <c r="X2058" s="1"/>
    </row>
    <row r="2059" spans="1:24">
      <c r="A2059" s="385" t="s">
        <v>51</v>
      </c>
      <c r="B2059" s="385" t="s">
        <v>532</v>
      </c>
      <c r="C2059" s="385" t="s">
        <v>440</v>
      </c>
      <c r="D2059" s="385" t="s">
        <v>88</v>
      </c>
      <c r="E2059" s="385"/>
      <c r="F2059" s="385"/>
      <c r="G2059" s="385"/>
      <c r="H2059" s="385">
        <v>2024</v>
      </c>
      <c r="I2059" s="386">
        <v>45393</v>
      </c>
      <c r="J2059" s="30"/>
      <c r="K2059" s="385"/>
      <c r="L2059" s="385"/>
      <c r="M2059" s="385"/>
      <c r="N2059" s="385"/>
      <c r="O2059" s="385"/>
      <c r="P2059" s="385" t="str">
        <f>IFERROR(
    IF(
        OR(ISBLANK(I2059), ISBLANK(L2059)),
        "",
        MAX(
            1,
            IF(
                NETWORKDAYS(I2059, L2059, Holiday_Dates) &lt;= 0,
                1,
                NETWORKDAYS(I2059, L2059, Holiday_Dates) - IF(I2059 = L2059, 0, 1)
            )
        )
    ),
    ""
)</f>
        <v/>
      </c>
      <c r="Q2059" s="385" t="str">
        <f>IF(
    OR(ISBLANK(L2059), ISBLANK(M2059)),
    "",
    MAX(
        1,
        IF(
            NETWORKDAYS(L2059, M2059, Holiday_Dates) &lt;= 0,
            1,
            NETWORKDAYS(L2059, M2059, Holiday_Dates) - IF(L2059 = M2059, 0, 1)
        )
    )
)</f>
        <v/>
      </c>
      <c r="R2059" s="385" t="str">
        <f>IFERROR(
    IF(
        OR(ISBLANK(N2059), AND(ISBLANK(L2059), ISBLANK(M2059))),
        "",
        MAX(
            1,
            IF(
                NETWORKDAYS(IF(NOT(ISBLANK(M2059)), M2059, L2059), N2059, Holiday_Dates) &lt;= 0,
                1,
                NETWORKDAYS(IF(NOT(ISBLANK(M2059)), M2059, L2059), N2059, Holiday_Dates)
                - IF(IF(NOT(ISBLANK(M2059)), M2059, L2059) = N2059, 0, 1)
            )
        )
    ),
    ""
)</f>
        <v/>
      </c>
      <c r="S2059" s="385" t="str">
        <f>IFERROR(
    IF(
        OR(ISBLANK(N2059), ISBLANK(O2059)),
        "",
        MAX(
            1,
            IF(
                NETWORKDAYS(N2059, O2059, Holiday_Dates) &lt;= 0,
                1,
                NETWORKDAYS(N2059, O2059, Holiday_Dates) - IF(N2059 = O2059, 0, 1)
            )
        )
    ),
    ""
)</f>
        <v/>
      </c>
      <c r="T2059" s="385"/>
      <c r="U2059" s="385" t="s">
        <v>672</v>
      </c>
      <c r="V2059" s="385"/>
      <c r="W2059" s="385" t="s">
        <v>1436</v>
      </c>
      <c r="X2059" s="1"/>
    </row>
    <row r="2060" spans="1:24">
      <c r="A2060" s="385" t="s">
        <v>51</v>
      </c>
      <c r="B2060" s="385" t="s">
        <v>532</v>
      </c>
      <c r="C2060" s="385" t="s">
        <v>3671</v>
      </c>
      <c r="D2060" s="385" t="s">
        <v>88</v>
      </c>
      <c r="E2060" s="385"/>
      <c r="F2060" s="385"/>
      <c r="G2060" s="385"/>
      <c r="H2060" s="385">
        <v>2024</v>
      </c>
      <c r="I2060" s="386">
        <v>45394</v>
      </c>
      <c r="J2060" s="30"/>
      <c r="K2060" s="385"/>
      <c r="L2060" s="385"/>
      <c r="M2060" s="385"/>
      <c r="N2060" s="385"/>
      <c r="O2060" s="385"/>
      <c r="P2060" s="385" t="str">
        <f>IFERROR(
    IF(
        OR(ISBLANK(I2060), ISBLANK(L2060)),
        "",
        MAX(
            1,
            IF(
                NETWORKDAYS(I2060, L2060, Holiday_Dates) &lt;= 0,
                1,
                NETWORKDAYS(I2060, L2060, Holiday_Dates) - IF(I2060 = L2060, 0, 1)
            )
        )
    ),
    ""
)</f>
        <v/>
      </c>
      <c r="Q2060" s="385" t="str">
        <f>IF(
    OR(ISBLANK(L2060), ISBLANK(M2060)),
    "",
    MAX(
        1,
        IF(
            NETWORKDAYS(L2060, M2060, Holiday_Dates) &lt;= 0,
            1,
            NETWORKDAYS(L2060, M2060, Holiday_Dates) - IF(L2060 = M2060, 0, 1)
        )
    )
)</f>
        <v/>
      </c>
      <c r="R2060" s="385" t="str">
        <f>IFERROR(
    IF(
        OR(ISBLANK(N2060), AND(ISBLANK(L2060), ISBLANK(M2060))),
        "",
        MAX(
            1,
            IF(
                NETWORKDAYS(IF(NOT(ISBLANK(M2060)), M2060, L2060), N2060, Holiday_Dates) &lt;= 0,
                1,
                NETWORKDAYS(IF(NOT(ISBLANK(M2060)), M2060, L2060), N2060, Holiday_Dates)
                - IF(IF(NOT(ISBLANK(M2060)), M2060, L2060) = N2060, 0, 1)
            )
        )
    ),
    ""
)</f>
        <v/>
      </c>
      <c r="S2060" s="385" t="str">
        <f>IFERROR(
    IF(
        OR(ISBLANK(N2060), ISBLANK(O2060)),
        "",
        MAX(
            1,
            IF(
                NETWORKDAYS(N2060, O2060, Holiday_Dates) &lt;= 0,
                1,
                NETWORKDAYS(N2060, O2060, Holiday_Dates) - IF(N2060 = O2060, 0, 1)
            )
        )
    ),
    ""
)</f>
        <v/>
      </c>
      <c r="T2060" s="385"/>
      <c r="U2060" s="385" t="s">
        <v>672</v>
      </c>
      <c r="V2060" s="385"/>
      <c r="W2060" s="385" t="s">
        <v>1436</v>
      </c>
      <c r="X2060" s="1"/>
    </row>
    <row r="2061" spans="1:24">
      <c r="A2061" s="385" t="s">
        <v>51</v>
      </c>
      <c r="B2061" s="385" t="s">
        <v>532</v>
      </c>
      <c r="C2061" s="385" t="s">
        <v>3653</v>
      </c>
      <c r="D2061" s="385" t="s">
        <v>88</v>
      </c>
      <c r="E2061" s="385"/>
      <c r="F2061" s="385"/>
      <c r="G2061" s="385"/>
      <c r="H2061" s="385">
        <v>2024</v>
      </c>
      <c r="I2061" s="386">
        <v>45387</v>
      </c>
      <c r="J2061" s="30"/>
      <c r="K2061" s="385"/>
      <c r="L2061" s="385"/>
      <c r="M2061" s="385"/>
      <c r="N2061" s="385"/>
      <c r="O2061" s="385"/>
      <c r="P2061" s="385" t="str">
        <f>IFERROR(
    IF(
        OR(ISBLANK(I2061), ISBLANK(L2061)),
        "",
        MAX(
            1,
            IF(
                NETWORKDAYS(I2061, L2061, Holiday_Dates) &lt;= 0,
                1,
                NETWORKDAYS(I2061, L2061, Holiday_Dates) - IF(I2061 = L2061, 0, 1)
            )
        )
    ),
    ""
)</f>
        <v/>
      </c>
      <c r="Q2061" s="385" t="str">
        <f>IF(
    OR(ISBLANK(L2061), ISBLANK(M2061)),
    "",
    MAX(
        1,
        IF(
            NETWORKDAYS(L2061, M2061, Holiday_Dates) &lt;= 0,
            1,
            NETWORKDAYS(L2061, M2061, Holiday_Dates) - IF(L2061 = M2061, 0, 1)
        )
    )
)</f>
        <v/>
      </c>
      <c r="R2061" s="385" t="str">
        <f>IFERROR(
    IF(
        OR(ISBLANK(N2061), AND(ISBLANK(L2061), ISBLANK(M2061))),
        "",
        MAX(
            1,
            IF(
                NETWORKDAYS(IF(NOT(ISBLANK(M2061)), M2061, L2061), N2061, Holiday_Dates) &lt;= 0,
                1,
                NETWORKDAYS(IF(NOT(ISBLANK(M2061)), M2061, L2061), N2061, Holiday_Dates)
                - IF(IF(NOT(ISBLANK(M2061)), M2061, L2061) = N2061, 0, 1)
            )
        )
    ),
    ""
)</f>
        <v/>
      </c>
      <c r="S2061" s="385" t="str">
        <f>IFERROR(
    IF(
        OR(ISBLANK(N2061), ISBLANK(O2061)),
        "",
        MAX(
            1,
            IF(
                NETWORKDAYS(N2061, O2061, Holiday_Dates) &lt;= 0,
                1,
                NETWORKDAYS(N2061, O2061, Holiday_Dates) - IF(N2061 = O2061, 0, 1)
            )
        )
    ),
    ""
)</f>
        <v/>
      </c>
      <c r="T2061" s="385"/>
      <c r="U2061" s="385" t="s">
        <v>672</v>
      </c>
      <c r="V2061" s="385"/>
      <c r="W2061" s="385" t="s">
        <v>1436</v>
      </c>
      <c r="X2061" s="1"/>
    </row>
    <row r="2062" spans="1:24">
      <c r="A2062" s="385" t="s">
        <v>65</v>
      </c>
      <c r="B2062" s="385" t="s">
        <v>1314</v>
      </c>
      <c r="C2062" s="385" t="s">
        <v>2791</v>
      </c>
      <c r="D2062" s="385" t="s">
        <v>88</v>
      </c>
      <c r="E2062" s="385" t="s">
        <v>141</v>
      </c>
      <c r="F2062" s="385"/>
      <c r="G2062" s="385" t="s">
        <v>130</v>
      </c>
      <c r="H2062" s="385"/>
      <c r="I2062" s="385"/>
      <c r="J2062" s="30"/>
      <c r="K2062" s="385"/>
      <c r="L2062" s="385"/>
      <c r="M2062" s="385"/>
      <c r="N2062" s="385"/>
      <c r="O2062" s="385"/>
      <c r="P2062" s="385" t="str">
        <f>IFERROR(
    IF(
        OR(ISBLANK(I2062), ISBLANK(L2062)),
        "",
        MAX(
            1,
            IF(
                NETWORKDAYS(I2062, L2062, Holiday_Dates) &lt;= 0,
                1,
                NETWORKDAYS(I2062, L2062, Holiday_Dates) - IF(I2062 = L2062, 0, 1)
            )
        )
    ),
    ""
)</f>
        <v/>
      </c>
      <c r="Q2062" s="385" t="str">
        <f>IF(
    OR(ISBLANK(L2062), ISBLANK(M2062)),
    "",
    MAX(
        1,
        IF(
            NETWORKDAYS(L2062, M2062, Holiday_Dates) &lt;= 0,
            1,
            NETWORKDAYS(L2062, M2062, Holiday_Dates) - IF(L2062 = M2062, 0, 1)
        )
    )
)</f>
        <v/>
      </c>
      <c r="R2062" s="385" t="str">
        <f>IFERROR(
    IF(
        OR(ISBLANK(N2062), AND(ISBLANK(L2062), ISBLANK(M2062))),
        "",
        MAX(
            1,
            IF(
                NETWORKDAYS(IF(NOT(ISBLANK(M2062)), M2062, L2062), N2062, Holiday_Dates) &lt;= 0,
                1,
                NETWORKDAYS(IF(NOT(ISBLANK(M2062)), M2062, L2062), N2062, Holiday_Dates)
                - IF(IF(NOT(ISBLANK(M2062)), M2062, L2062) = N2062, 0, 1)
            )
        )
    ),
    ""
)</f>
        <v/>
      </c>
      <c r="S2062" s="385" t="str">
        <f>IFERROR(
    IF(
        OR(ISBLANK(N2062), ISBLANK(O2062)),
        "",
        MAX(
            1,
            IF(
                NETWORKDAYS(N2062, O2062, Holiday_Dates) &lt;= 0,
                1,
                NETWORKDAYS(N2062, O2062, Holiday_Dates) - IF(N2062 = O2062, 0, 1)
            )
        )
    ),
    ""
)</f>
        <v/>
      </c>
      <c r="T2062" s="385"/>
      <c r="U2062" s="385"/>
      <c r="V2062" s="385"/>
      <c r="W2062" s="385" t="s">
        <v>4710</v>
      </c>
      <c r="X2062" s="1"/>
    </row>
    <row r="2063" spans="1:24">
      <c r="A2063" s="385" t="s">
        <v>65</v>
      </c>
      <c r="B2063" s="385" t="s">
        <v>1314</v>
      </c>
      <c r="C2063" s="385" t="s">
        <v>2868</v>
      </c>
      <c r="D2063" s="385" t="s">
        <v>88</v>
      </c>
      <c r="E2063" s="385" t="s">
        <v>141</v>
      </c>
      <c r="F2063" s="385"/>
      <c r="G2063" s="385" t="s">
        <v>130</v>
      </c>
      <c r="H2063" s="385"/>
      <c r="I2063" s="385"/>
      <c r="J2063" s="30"/>
      <c r="K2063" s="385"/>
      <c r="L2063" s="385"/>
      <c r="M2063" s="385"/>
      <c r="N2063" s="385"/>
      <c r="O2063" s="385"/>
      <c r="P2063" s="385" t="str">
        <f>IFERROR(
    IF(
        OR(ISBLANK(I2063), ISBLANK(L2063)),
        "",
        MAX(
            1,
            IF(
                NETWORKDAYS(I2063, L2063, Holiday_Dates) &lt;= 0,
                1,
                NETWORKDAYS(I2063, L2063, Holiday_Dates) - IF(I2063 = L2063, 0, 1)
            )
        )
    ),
    ""
)</f>
        <v/>
      </c>
      <c r="Q2063" s="385" t="str">
        <f>IF(
    OR(ISBLANK(L2063), ISBLANK(M2063)),
    "",
    MAX(
        1,
        IF(
            NETWORKDAYS(L2063, M2063, Holiday_Dates) &lt;= 0,
            1,
            NETWORKDAYS(L2063, M2063, Holiday_Dates) - IF(L2063 = M2063, 0, 1)
        )
    )
)</f>
        <v/>
      </c>
      <c r="R2063" s="385" t="str">
        <f>IFERROR(
    IF(
        OR(ISBLANK(N2063), AND(ISBLANK(L2063), ISBLANK(M2063))),
        "",
        MAX(
            1,
            IF(
                NETWORKDAYS(IF(NOT(ISBLANK(M2063)), M2063, L2063), N2063, Holiday_Dates) &lt;= 0,
                1,
                NETWORKDAYS(IF(NOT(ISBLANK(M2063)), M2063, L2063), N2063, Holiday_Dates)
                - IF(IF(NOT(ISBLANK(M2063)), M2063, L2063) = N2063, 0, 1)
            )
        )
    ),
    ""
)</f>
        <v/>
      </c>
      <c r="S2063" s="385" t="str">
        <f>IFERROR(
    IF(
        OR(ISBLANK(N2063), ISBLANK(O2063)),
        "",
        MAX(
            1,
            IF(
                NETWORKDAYS(N2063, O2063, Holiday_Dates) &lt;= 0,
                1,
                NETWORKDAYS(N2063, O2063, Holiday_Dates) - IF(N2063 = O2063, 0, 1)
            )
        )
    ),
    ""
)</f>
        <v/>
      </c>
      <c r="T2063" s="385"/>
      <c r="U2063" s="385"/>
      <c r="V2063" s="385"/>
      <c r="W2063" s="385" t="s">
        <v>4710</v>
      </c>
      <c r="X2063" s="1"/>
    </row>
    <row r="2064" spans="1:24">
      <c r="A2064" s="385" t="s">
        <v>65</v>
      </c>
      <c r="B2064" s="385" t="s">
        <v>1314</v>
      </c>
      <c r="C2064" s="385" t="s">
        <v>2796</v>
      </c>
      <c r="D2064" s="385" t="s">
        <v>88</v>
      </c>
      <c r="E2064" s="385" t="s">
        <v>141</v>
      </c>
      <c r="F2064" s="385"/>
      <c r="G2064" s="385" t="s">
        <v>130</v>
      </c>
      <c r="H2064" s="385"/>
      <c r="I2064" s="385"/>
      <c r="J2064" s="30"/>
      <c r="K2064" s="385"/>
      <c r="L2064" s="385"/>
      <c r="M2064" s="385"/>
      <c r="N2064" s="385"/>
      <c r="O2064" s="385"/>
      <c r="P2064" s="385" t="str">
        <f>IFERROR(
    IF(
        OR(ISBLANK(I2064), ISBLANK(L2064)),
        "",
        MAX(
            1,
            IF(
                NETWORKDAYS(I2064, L2064, Holiday_Dates) &lt;= 0,
                1,
                NETWORKDAYS(I2064, L2064, Holiday_Dates) - IF(I2064 = L2064, 0, 1)
            )
        )
    ),
    ""
)</f>
        <v/>
      </c>
      <c r="Q2064" s="385" t="str">
        <f>IF(
    OR(ISBLANK(L2064), ISBLANK(M2064)),
    "",
    MAX(
        1,
        IF(
            NETWORKDAYS(L2064, M2064, Holiday_Dates) &lt;= 0,
            1,
            NETWORKDAYS(L2064, M2064, Holiday_Dates) - IF(L2064 = M2064, 0, 1)
        )
    )
)</f>
        <v/>
      </c>
      <c r="R2064" s="385" t="str">
        <f>IFERROR(
    IF(
        OR(ISBLANK(N2064), AND(ISBLANK(L2064), ISBLANK(M2064))),
        "",
        MAX(
            1,
            IF(
                NETWORKDAYS(IF(NOT(ISBLANK(M2064)), M2064, L2064), N2064, Holiday_Dates) &lt;= 0,
                1,
                NETWORKDAYS(IF(NOT(ISBLANK(M2064)), M2064, L2064), N2064, Holiday_Dates)
                - IF(IF(NOT(ISBLANK(M2064)), M2064, L2064) = N2064, 0, 1)
            )
        )
    ),
    ""
)</f>
        <v/>
      </c>
      <c r="S2064" s="385" t="str">
        <f>IFERROR(
    IF(
        OR(ISBLANK(N2064), ISBLANK(O2064)),
        "",
        MAX(
            1,
            IF(
                NETWORKDAYS(N2064, O2064, Holiday_Dates) &lt;= 0,
                1,
                NETWORKDAYS(N2064, O2064, Holiday_Dates) - IF(N2064 = O2064, 0, 1)
            )
        )
    ),
    ""
)</f>
        <v/>
      </c>
      <c r="T2064" s="385"/>
      <c r="U2064" s="385"/>
      <c r="V2064" s="385"/>
      <c r="W2064" s="385" t="s">
        <v>4710</v>
      </c>
      <c r="X2064" s="1"/>
    </row>
    <row r="2065" spans="1:24">
      <c r="A2065" s="385" t="s">
        <v>65</v>
      </c>
      <c r="B2065" s="385" t="s">
        <v>1314</v>
      </c>
      <c r="C2065" s="385" t="s">
        <v>2794</v>
      </c>
      <c r="D2065" s="385" t="s">
        <v>88</v>
      </c>
      <c r="E2065" s="385" t="s">
        <v>141</v>
      </c>
      <c r="F2065" s="385"/>
      <c r="G2065" s="385" t="s">
        <v>130</v>
      </c>
      <c r="H2065" s="385"/>
      <c r="I2065" s="385"/>
      <c r="J2065" s="30"/>
      <c r="K2065" s="385"/>
      <c r="L2065" s="385"/>
      <c r="M2065" s="385"/>
      <c r="N2065" s="385"/>
      <c r="O2065" s="385"/>
      <c r="P2065" s="385" t="str">
        <f>IFERROR(
    IF(
        OR(ISBLANK(I2065), ISBLANK(L2065)),
        "",
        MAX(
            1,
            IF(
                NETWORKDAYS(I2065, L2065, Holiday_Dates) &lt;= 0,
                1,
                NETWORKDAYS(I2065, L2065, Holiday_Dates) - IF(I2065 = L2065, 0, 1)
            )
        )
    ),
    ""
)</f>
        <v/>
      </c>
      <c r="Q2065" s="385" t="str">
        <f>IF(
    OR(ISBLANK(L2065), ISBLANK(M2065)),
    "",
    MAX(
        1,
        IF(
            NETWORKDAYS(L2065, M2065, Holiday_Dates) &lt;= 0,
            1,
            NETWORKDAYS(L2065, M2065, Holiday_Dates) - IF(L2065 = M2065, 0, 1)
        )
    )
)</f>
        <v/>
      </c>
      <c r="R2065" s="385" t="str">
        <f>IFERROR(
    IF(
        OR(ISBLANK(N2065), AND(ISBLANK(L2065), ISBLANK(M2065))),
        "",
        MAX(
            1,
            IF(
                NETWORKDAYS(IF(NOT(ISBLANK(M2065)), M2065, L2065), N2065, Holiday_Dates) &lt;= 0,
                1,
                NETWORKDAYS(IF(NOT(ISBLANK(M2065)), M2065, L2065), N2065, Holiday_Dates)
                - IF(IF(NOT(ISBLANK(M2065)), M2065, L2065) = N2065, 0, 1)
            )
        )
    ),
    ""
)</f>
        <v/>
      </c>
      <c r="S2065" s="385" t="str">
        <f>IFERROR(
    IF(
        OR(ISBLANK(N2065), ISBLANK(O2065)),
        "",
        MAX(
            1,
            IF(
                NETWORKDAYS(N2065, O2065, Holiday_Dates) &lt;= 0,
                1,
                NETWORKDAYS(N2065, O2065, Holiday_Dates) - IF(N2065 = O2065, 0, 1)
            )
        )
    ),
    ""
)</f>
        <v/>
      </c>
      <c r="T2065" s="385"/>
      <c r="U2065" s="385"/>
      <c r="V2065" s="385"/>
      <c r="W2065" s="385" t="s">
        <v>4710</v>
      </c>
      <c r="X2065" s="1"/>
    </row>
    <row r="2066" spans="1:24">
      <c r="A2066" s="385" t="s">
        <v>51</v>
      </c>
      <c r="B2066" s="385" t="s">
        <v>532</v>
      </c>
      <c r="C2066" s="385" t="s">
        <v>3678</v>
      </c>
      <c r="D2066" s="385" t="s">
        <v>88</v>
      </c>
      <c r="E2066" s="385"/>
      <c r="F2066" s="385"/>
      <c r="G2066" s="385"/>
      <c r="H2066" s="385">
        <v>2025</v>
      </c>
      <c r="I2066" s="386">
        <v>45791</v>
      </c>
      <c r="J2066" s="30" t="s">
        <v>5476</v>
      </c>
      <c r="K2066" s="385"/>
      <c r="L2066" s="385"/>
      <c r="M2066" s="385"/>
      <c r="N2066" s="385"/>
      <c r="O2066" s="385"/>
      <c r="P2066" s="385" t="str">
        <f>IFERROR(
    IF(
        OR(ISBLANK(I2066), ISBLANK(L2066)),
        "",
        MAX(
            1,
            IF(
                NETWORKDAYS(I2066, L2066, Holiday_Dates) &lt;= 0,
                1,
                NETWORKDAYS(I2066, L2066, Holiday_Dates) - IF(I2066 = L2066, 0, 1)
            )
        )
    ),
    ""
)</f>
        <v/>
      </c>
      <c r="Q2066" s="385" t="str">
        <f>IF(
    OR(ISBLANK(L2066), ISBLANK(M2066)),
    "",
    MAX(
        1,
        IF(
            NETWORKDAYS(L2066, M2066, Holiday_Dates) &lt;= 0,
            1,
            NETWORKDAYS(L2066, M2066, Holiday_Dates) - IF(L2066 = M2066, 0, 1)
        )
    )
)</f>
        <v/>
      </c>
      <c r="R2066" s="385" t="str">
        <f>IFERROR(
    IF(
        OR(ISBLANK(N2066), AND(ISBLANK(L2066), ISBLANK(M2066))),
        "",
        MAX(
            1,
            IF(
                NETWORKDAYS(IF(NOT(ISBLANK(M2066)), M2066, L2066), N2066, Holiday_Dates) &lt;= 0,
                1,
                NETWORKDAYS(IF(NOT(ISBLANK(M2066)), M2066, L2066), N2066, Holiday_Dates)
                - IF(IF(NOT(ISBLANK(M2066)), M2066, L2066) = N2066, 0, 1)
            )
        )
    ),
    ""
)</f>
        <v/>
      </c>
      <c r="S2066" s="385" t="str">
        <f>IFERROR(
    IF(
        OR(ISBLANK(N2066), ISBLANK(O2066)),
        "",
        MAX(
            1,
            IF(
                NETWORKDAYS(N2066, O2066, Holiday_Dates) &lt;= 0,
                1,
                NETWORKDAYS(N2066, O2066, Holiday_Dates) - IF(N2066 = O2066, 0, 1)
            )
        )
    ),
    ""
)</f>
        <v/>
      </c>
      <c r="T2066" s="385"/>
      <c r="U2066" s="385" t="s">
        <v>4</v>
      </c>
      <c r="V2066" s="385" t="s">
        <v>101</v>
      </c>
      <c r="W2066" s="385" t="s">
        <v>1436</v>
      </c>
      <c r="X2066" s="1"/>
    </row>
    <row r="2067" spans="1:24">
      <c r="A2067" s="385" t="s">
        <v>51</v>
      </c>
      <c r="B2067" s="385" t="s">
        <v>532</v>
      </c>
      <c r="C2067" s="385" t="s">
        <v>3679</v>
      </c>
      <c r="D2067" s="385" t="s">
        <v>88</v>
      </c>
      <c r="E2067" s="385"/>
      <c r="F2067" s="385"/>
      <c r="G2067" s="385"/>
      <c r="H2067" s="385">
        <v>2024</v>
      </c>
      <c r="I2067" s="386">
        <v>45540</v>
      </c>
      <c r="J2067" s="30"/>
      <c r="K2067" s="385"/>
      <c r="L2067" s="385"/>
      <c r="M2067" s="385"/>
      <c r="N2067" s="385"/>
      <c r="O2067" s="385"/>
      <c r="P2067" s="385" t="str">
        <f>IFERROR(
    IF(
        OR(ISBLANK(I2067), ISBLANK(L2067)),
        "",
        MAX(
            1,
            IF(
                NETWORKDAYS(I2067, L2067, Holiday_Dates) &lt;= 0,
                1,
                NETWORKDAYS(I2067, L2067, Holiday_Dates) - IF(I2067 = L2067, 0, 1)
            )
        )
    ),
    ""
)</f>
        <v/>
      </c>
      <c r="Q2067" s="385" t="str">
        <f>IF(
    OR(ISBLANK(L2067), ISBLANK(M2067)),
    "",
    MAX(
        1,
        IF(
            NETWORKDAYS(L2067, M2067, Holiday_Dates) &lt;= 0,
            1,
            NETWORKDAYS(L2067, M2067, Holiday_Dates) - IF(L2067 = M2067, 0, 1)
        )
    )
)</f>
        <v/>
      </c>
      <c r="R2067" s="385" t="str">
        <f>IFERROR(
    IF(
        OR(ISBLANK(N2067), AND(ISBLANK(L2067), ISBLANK(M2067))),
        "",
        MAX(
            1,
            IF(
                NETWORKDAYS(IF(NOT(ISBLANK(M2067)), M2067, L2067), N2067, Holiday_Dates) &lt;= 0,
                1,
                NETWORKDAYS(IF(NOT(ISBLANK(M2067)), M2067, L2067), N2067, Holiday_Dates)
                - IF(IF(NOT(ISBLANK(M2067)), M2067, L2067) = N2067, 0, 1)
            )
        )
    ),
    ""
)</f>
        <v/>
      </c>
      <c r="S2067" s="385" t="str">
        <f>IFERROR(
    IF(
        OR(ISBLANK(N2067), ISBLANK(O2067)),
        "",
        MAX(
            1,
            IF(
                NETWORKDAYS(N2067, O2067, Holiday_Dates) &lt;= 0,
                1,
                NETWORKDAYS(N2067, O2067, Holiday_Dates) - IF(N2067 = O2067, 0, 1)
            )
        )
    ),
    ""
)</f>
        <v/>
      </c>
      <c r="T2067" s="385"/>
      <c r="U2067" s="385" t="s">
        <v>4</v>
      </c>
      <c r="V2067" s="385" t="s">
        <v>101</v>
      </c>
      <c r="W2067" s="385" t="s">
        <v>1436</v>
      </c>
      <c r="X2067" s="1"/>
    </row>
    <row r="2068" spans="1:24">
      <c r="A2068" s="385" t="s">
        <v>51</v>
      </c>
      <c r="B2068" s="385" t="s">
        <v>532</v>
      </c>
      <c r="C2068" s="385" t="s">
        <v>653</v>
      </c>
      <c r="D2068" s="385" t="s">
        <v>88</v>
      </c>
      <c r="E2068" s="385"/>
      <c r="F2068" s="385"/>
      <c r="G2068" s="385"/>
      <c r="H2068" s="385">
        <v>2024</v>
      </c>
      <c r="I2068" s="386">
        <v>45386</v>
      </c>
      <c r="J2068" s="30"/>
      <c r="K2068" s="385"/>
      <c r="L2068" s="385"/>
      <c r="M2068" s="385"/>
      <c r="N2068" s="385"/>
      <c r="O2068" s="385"/>
      <c r="P2068" s="385" t="str">
        <f>IFERROR(
    IF(
        OR(ISBLANK(I2068), ISBLANK(L2068)),
        "",
        MAX(
            1,
            IF(
                NETWORKDAYS(I2068, L2068, Holiday_Dates) &lt;= 0,
                1,
                NETWORKDAYS(I2068, L2068, Holiday_Dates) - IF(I2068 = L2068, 0, 1)
            )
        )
    ),
    ""
)</f>
        <v/>
      </c>
      <c r="Q2068" s="385" t="str">
        <f>IF(
    OR(ISBLANK(L2068), ISBLANK(M2068)),
    "",
    MAX(
        1,
        IF(
            NETWORKDAYS(L2068, M2068, Holiday_Dates) &lt;= 0,
            1,
            NETWORKDAYS(L2068, M2068, Holiday_Dates) - IF(L2068 = M2068, 0, 1)
        )
    )
)</f>
        <v/>
      </c>
      <c r="R2068" s="385" t="str">
        <f>IFERROR(
    IF(
        OR(ISBLANK(N2068), AND(ISBLANK(L2068), ISBLANK(M2068))),
        "",
        MAX(
            1,
            IF(
                NETWORKDAYS(IF(NOT(ISBLANK(M2068)), M2068, L2068), N2068, Holiday_Dates) &lt;= 0,
                1,
                NETWORKDAYS(IF(NOT(ISBLANK(M2068)), M2068, L2068), N2068, Holiday_Dates)
                - IF(IF(NOT(ISBLANK(M2068)), M2068, L2068) = N2068, 0, 1)
            )
        )
    ),
    ""
)</f>
        <v/>
      </c>
      <c r="S2068" s="385" t="str">
        <f>IFERROR(
    IF(
        OR(ISBLANK(N2068), ISBLANK(O2068)),
        "",
        MAX(
            1,
            IF(
                NETWORKDAYS(N2068, O2068, Holiday_Dates) &lt;= 0,
                1,
                NETWORKDAYS(N2068, O2068, Holiday_Dates) - IF(N2068 = O2068, 0, 1)
            )
        )
    ),
    ""
)</f>
        <v/>
      </c>
      <c r="T2068" s="385"/>
      <c r="U2068" s="385" t="s">
        <v>672</v>
      </c>
      <c r="V2068" s="385"/>
      <c r="W2068" s="385" t="s">
        <v>1436</v>
      </c>
      <c r="X2068" s="1"/>
    </row>
    <row r="2069" spans="1:24">
      <c r="A2069" s="385" t="s">
        <v>51</v>
      </c>
      <c r="B2069" s="385" t="s">
        <v>532</v>
      </c>
      <c r="C2069" s="385" t="s">
        <v>2235</v>
      </c>
      <c r="D2069" s="385" t="s">
        <v>88</v>
      </c>
      <c r="E2069" s="385"/>
      <c r="F2069" s="385"/>
      <c r="G2069" s="385"/>
      <c r="H2069" s="385">
        <v>2024</v>
      </c>
      <c r="I2069" s="386">
        <v>45573</v>
      </c>
      <c r="J2069" s="30"/>
      <c r="K2069" s="385"/>
      <c r="L2069" s="385"/>
      <c r="M2069" s="385"/>
      <c r="N2069" s="385"/>
      <c r="O2069" s="385"/>
      <c r="P2069" s="385" t="str">
        <f>IFERROR(
    IF(
        OR(ISBLANK(I2069), ISBLANK(L2069)),
        "",
        MAX(
            1,
            IF(
                NETWORKDAYS(I2069, L2069, Holiday_Dates) &lt;= 0,
                1,
                NETWORKDAYS(I2069, L2069, Holiday_Dates) - IF(I2069 = L2069, 0, 1)
            )
        )
    ),
    ""
)</f>
        <v/>
      </c>
      <c r="Q2069" s="385" t="str">
        <f>IF(
    OR(ISBLANK(L2069), ISBLANK(M2069)),
    "",
    MAX(
        1,
        IF(
            NETWORKDAYS(L2069, M2069, Holiday_Dates) &lt;= 0,
            1,
            NETWORKDAYS(L2069, M2069, Holiday_Dates) - IF(L2069 = M2069, 0, 1)
        )
    )
)</f>
        <v/>
      </c>
      <c r="R2069" s="385" t="str">
        <f>IFERROR(
    IF(
        OR(ISBLANK(N2069), AND(ISBLANK(L2069), ISBLANK(M2069))),
        "",
        MAX(
            1,
            IF(
                NETWORKDAYS(IF(NOT(ISBLANK(M2069)), M2069, L2069), N2069, Holiday_Dates) &lt;= 0,
                1,
                NETWORKDAYS(IF(NOT(ISBLANK(M2069)), M2069, L2069), N2069, Holiday_Dates)
                - IF(IF(NOT(ISBLANK(M2069)), M2069, L2069) = N2069, 0, 1)
            )
        )
    ),
    ""
)</f>
        <v/>
      </c>
      <c r="S2069" s="385" t="str">
        <f>IFERROR(
    IF(
        OR(ISBLANK(N2069), ISBLANK(O2069)),
        "",
        MAX(
            1,
            IF(
                NETWORKDAYS(N2069, O2069, Holiday_Dates) &lt;= 0,
                1,
                NETWORKDAYS(N2069, O2069, Holiday_Dates) - IF(N2069 = O2069, 0, 1)
            )
        )
    ),
    ""
)</f>
        <v/>
      </c>
      <c r="T2069" s="385"/>
      <c r="U2069" s="385" t="s">
        <v>672</v>
      </c>
      <c r="V2069" s="385" t="s">
        <v>101</v>
      </c>
      <c r="W2069" s="385" t="s">
        <v>1436</v>
      </c>
      <c r="X2069" s="1"/>
    </row>
    <row r="2070" spans="1:24">
      <c r="A2070" s="385" t="s">
        <v>51</v>
      </c>
      <c r="B2070" s="385" t="s">
        <v>532</v>
      </c>
      <c r="C2070" s="385" t="s">
        <v>3468</v>
      </c>
      <c r="D2070" s="385" t="s">
        <v>88</v>
      </c>
      <c r="E2070" s="385"/>
      <c r="F2070" s="385"/>
      <c r="G2070" s="385"/>
      <c r="H2070" s="385">
        <v>2024</v>
      </c>
      <c r="I2070" s="386">
        <v>45573</v>
      </c>
      <c r="J2070" s="30"/>
      <c r="K2070" s="385"/>
      <c r="L2070" s="385"/>
      <c r="M2070" s="385"/>
      <c r="N2070" s="385"/>
      <c r="O2070" s="385"/>
      <c r="P2070" s="385" t="str">
        <f>IFERROR(
    IF(
        OR(ISBLANK(I2070), ISBLANK(L2070)),
        "",
        MAX(
            1,
            IF(
                NETWORKDAYS(I2070, L2070, Holiday_Dates) &lt;= 0,
                1,
                NETWORKDAYS(I2070, L2070, Holiday_Dates) - IF(I2070 = L2070, 0, 1)
            )
        )
    ),
    ""
)</f>
        <v/>
      </c>
      <c r="Q2070" s="385" t="str">
        <f>IF(
    OR(ISBLANK(L2070), ISBLANK(M2070)),
    "",
    MAX(
        1,
        IF(
            NETWORKDAYS(L2070, M2070, Holiday_Dates) &lt;= 0,
            1,
            NETWORKDAYS(L2070, M2070, Holiday_Dates) - IF(L2070 = M2070, 0, 1)
        )
    )
)</f>
        <v/>
      </c>
      <c r="R2070" s="385" t="str">
        <f>IFERROR(
    IF(
        OR(ISBLANK(N2070), AND(ISBLANK(L2070), ISBLANK(M2070))),
        "",
        MAX(
            1,
            IF(
                NETWORKDAYS(IF(NOT(ISBLANK(M2070)), M2070, L2070), N2070, Holiday_Dates) &lt;= 0,
                1,
                NETWORKDAYS(IF(NOT(ISBLANK(M2070)), M2070, L2070), N2070, Holiday_Dates)
                - IF(IF(NOT(ISBLANK(M2070)), M2070, L2070) = N2070, 0, 1)
            )
        )
    ),
    ""
)</f>
        <v/>
      </c>
      <c r="S2070" s="385" t="str">
        <f>IFERROR(
    IF(
        OR(ISBLANK(N2070), ISBLANK(O2070)),
        "",
        MAX(
            1,
            IF(
                NETWORKDAYS(N2070, O2070, Holiday_Dates) &lt;= 0,
                1,
                NETWORKDAYS(N2070, O2070, Holiday_Dates) - IF(N2070 = O2070, 0, 1)
            )
        )
    ),
    ""
)</f>
        <v/>
      </c>
      <c r="T2070" s="385"/>
      <c r="U2070" s="385" t="s">
        <v>672</v>
      </c>
      <c r="V2070" s="385" t="s">
        <v>1676</v>
      </c>
      <c r="W2070" s="385" t="s">
        <v>1436</v>
      </c>
      <c r="X2070" s="1"/>
    </row>
    <row r="2071" spans="1:24">
      <c r="A2071" s="385" t="s">
        <v>65</v>
      </c>
      <c r="B2071" s="385" t="s">
        <v>1314</v>
      </c>
      <c r="C2071" s="385" t="s">
        <v>2795</v>
      </c>
      <c r="D2071" s="385" t="s">
        <v>88</v>
      </c>
      <c r="E2071" s="385" t="s">
        <v>141</v>
      </c>
      <c r="F2071" s="385"/>
      <c r="G2071" s="385" t="s">
        <v>130</v>
      </c>
      <c r="H2071" s="385"/>
      <c r="I2071" s="385"/>
      <c r="J2071" s="30"/>
      <c r="K2071" s="385"/>
      <c r="L2071" s="385"/>
      <c r="M2071" s="385"/>
      <c r="N2071" s="385"/>
      <c r="O2071" s="385"/>
      <c r="P2071" s="385" t="str">
        <f>IFERROR(
    IF(
        OR(ISBLANK(I2071), ISBLANK(L2071)),
        "",
        MAX(
            1,
            IF(
                NETWORKDAYS(I2071, L2071, Holiday_Dates) &lt;= 0,
                1,
                NETWORKDAYS(I2071, L2071, Holiday_Dates) - IF(I2071 = L2071, 0, 1)
            )
        )
    ),
    ""
)</f>
        <v/>
      </c>
      <c r="Q2071" s="385" t="str">
        <f>IF(
    OR(ISBLANK(L2071), ISBLANK(M2071)),
    "",
    MAX(
        1,
        IF(
            NETWORKDAYS(L2071, M2071, Holiday_Dates) &lt;= 0,
            1,
            NETWORKDAYS(L2071, M2071, Holiday_Dates) - IF(L2071 = M2071, 0, 1)
        )
    )
)</f>
        <v/>
      </c>
      <c r="R2071" s="385" t="str">
        <f>IFERROR(
    IF(
        OR(ISBLANK(N2071), AND(ISBLANK(L2071), ISBLANK(M2071))),
        "",
        MAX(
            1,
            IF(
                NETWORKDAYS(IF(NOT(ISBLANK(M2071)), M2071, L2071), N2071, Holiday_Dates) &lt;= 0,
                1,
                NETWORKDAYS(IF(NOT(ISBLANK(M2071)), M2071, L2071), N2071, Holiday_Dates)
                - IF(IF(NOT(ISBLANK(M2071)), M2071, L2071) = N2071, 0, 1)
            )
        )
    ),
    ""
)</f>
        <v/>
      </c>
      <c r="S2071" s="385" t="str">
        <f>IFERROR(
    IF(
        OR(ISBLANK(N2071), ISBLANK(O2071)),
        "",
        MAX(
            1,
            IF(
                NETWORKDAYS(N2071, O2071, Holiday_Dates) &lt;= 0,
                1,
                NETWORKDAYS(N2071, O2071, Holiday_Dates) - IF(N2071 = O2071, 0, 1)
            )
        )
    ),
    ""
)</f>
        <v/>
      </c>
      <c r="T2071" s="385"/>
      <c r="U2071" s="385"/>
      <c r="V2071" s="385"/>
      <c r="W2071" s="385" t="s">
        <v>4710</v>
      </c>
      <c r="X2071" s="1"/>
    </row>
    <row r="2072" spans="1:24">
      <c r="A2072" s="385" t="s">
        <v>65</v>
      </c>
      <c r="B2072" s="385" t="s">
        <v>1314</v>
      </c>
      <c r="C2072" s="385" t="s">
        <v>2797</v>
      </c>
      <c r="D2072" s="385" t="s">
        <v>88</v>
      </c>
      <c r="E2072" s="385" t="s">
        <v>141</v>
      </c>
      <c r="F2072" s="385"/>
      <c r="G2072" s="385" t="s">
        <v>130</v>
      </c>
      <c r="H2072" s="385"/>
      <c r="I2072" s="385"/>
      <c r="J2072" s="30"/>
      <c r="K2072" s="385"/>
      <c r="L2072" s="385"/>
      <c r="M2072" s="385"/>
      <c r="N2072" s="385"/>
      <c r="O2072" s="385"/>
      <c r="P2072" s="385" t="str">
        <f>IFERROR(
    IF(
        OR(ISBLANK(I2072), ISBLANK(L2072)),
        "",
        MAX(
            1,
            IF(
                NETWORKDAYS(I2072, L2072, Holiday_Dates) &lt;= 0,
                1,
                NETWORKDAYS(I2072, L2072, Holiday_Dates) - IF(I2072 = L2072, 0, 1)
            )
        )
    ),
    ""
)</f>
        <v/>
      </c>
      <c r="Q2072" s="385" t="str">
        <f>IF(
    OR(ISBLANK(L2072), ISBLANK(M2072)),
    "",
    MAX(
        1,
        IF(
            NETWORKDAYS(L2072, M2072, Holiday_Dates) &lt;= 0,
            1,
            NETWORKDAYS(L2072, M2072, Holiday_Dates) - IF(L2072 = M2072, 0, 1)
        )
    )
)</f>
        <v/>
      </c>
      <c r="R2072" s="385" t="str">
        <f>IFERROR(
    IF(
        OR(ISBLANK(N2072), AND(ISBLANK(L2072), ISBLANK(M2072))),
        "",
        MAX(
            1,
            IF(
                NETWORKDAYS(IF(NOT(ISBLANK(M2072)), M2072, L2072), N2072, Holiday_Dates) &lt;= 0,
                1,
                NETWORKDAYS(IF(NOT(ISBLANK(M2072)), M2072, L2072), N2072, Holiday_Dates)
                - IF(IF(NOT(ISBLANK(M2072)), M2072, L2072) = N2072, 0, 1)
            )
        )
    ),
    ""
)</f>
        <v/>
      </c>
      <c r="S2072" s="385" t="str">
        <f>IFERROR(
    IF(
        OR(ISBLANK(N2072), ISBLANK(O2072)),
        "",
        MAX(
            1,
            IF(
                NETWORKDAYS(N2072, O2072, Holiday_Dates) &lt;= 0,
                1,
                NETWORKDAYS(N2072, O2072, Holiday_Dates) - IF(N2072 = O2072, 0, 1)
            )
        )
    ),
    ""
)</f>
        <v/>
      </c>
      <c r="T2072" s="385"/>
      <c r="U2072" s="385"/>
      <c r="V2072" s="385"/>
      <c r="W2072" s="385" t="s">
        <v>4710</v>
      </c>
      <c r="X2072" s="1"/>
    </row>
    <row r="2073" spans="1:24">
      <c r="A2073" s="385" t="s">
        <v>65</v>
      </c>
      <c r="B2073" s="385" t="s">
        <v>1314</v>
      </c>
      <c r="C2073" s="385" t="s">
        <v>2798</v>
      </c>
      <c r="D2073" s="385" t="s">
        <v>88</v>
      </c>
      <c r="E2073" s="385" t="s">
        <v>141</v>
      </c>
      <c r="F2073" s="385"/>
      <c r="G2073" s="385" t="s">
        <v>130</v>
      </c>
      <c r="H2073" s="385"/>
      <c r="I2073" s="385"/>
      <c r="J2073" s="30"/>
      <c r="K2073" s="385"/>
      <c r="L2073" s="385"/>
      <c r="M2073" s="385"/>
      <c r="N2073" s="385"/>
      <c r="O2073" s="385"/>
      <c r="P2073" s="385" t="str">
        <f>IFERROR(
    IF(
        OR(ISBLANK(I2073), ISBLANK(L2073)),
        "",
        MAX(
            1,
            IF(
                NETWORKDAYS(I2073, L2073, Holiday_Dates) &lt;= 0,
                1,
                NETWORKDAYS(I2073, L2073, Holiday_Dates) - IF(I2073 = L2073, 0, 1)
            )
        )
    ),
    ""
)</f>
        <v/>
      </c>
      <c r="Q2073" s="385" t="str">
        <f>IF(
    OR(ISBLANK(L2073), ISBLANK(M2073)),
    "",
    MAX(
        1,
        IF(
            NETWORKDAYS(L2073, M2073, Holiday_Dates) &lt;= 0,
            1,
            NETWORKDAYS(L2073, M2073, Holiday_Dates) - IF(L2073 = M2073, 0, 1)
        )
    )
)</f>
        <v/>
      </c>
      <c r="R2073" s="385" t="str">
        <f>IFERROR(
    IF(
        OR(ISBLANK(N2073), AND(ISBLANK(L2073), ISBLANK(M2073))),
        "",
        MAX(
            1,
            IF(
                NETWORKDAYS(IF(NOT(ISBLANK(M2073)), M2073, L2073), N2073, Holiday_Dates) &lt;= 0,
                1,
                NETWORKDAYS(IF(NOT(ISBLANK(M2073)), M2073, L2073), N2073, Holiday_Dates)
                - IF(IF(NOT(ISBLANK(M2073)), M2073, L2073) = N2073, 0, 1)
            )
        )
    ),
    ""
)</f>
        <v/>
      </c>
      <c r="S2073" s="385" t="str">
        <f>IFERROR(
    IF(
        OR(ISBLANK(N2073), ISBLANK(O2073)),
        "",
        MAX(
            1,
            IF(
                NETWORKDAYS(N2073, O2073, Holiday_Dates) &lt;= 0,
                1,
                NETWORKDAYS(N2073, O2073, Holiday_Dates) - IF(N2073 = O2073, 0, 1)
            )
        )
    ),
    ""
)</f>
        <v/>
      </c>
      <c r="T2073" s="385"/>
      <c r="U2073" s="385"/>
      <c r="V2073" s="385"/>
      <c r="W2073" s="385" t="s">
        <v>4710</v>
      </c>
      <c r="X2073" s="1"/>
    </row>
    <row r="2074" spans="1:24">
      <c r="A2074" s="385" t="s">
        <v>51</v>
      </c>
      <c r="B2074" s="385" t="s">
        <v>532</v>
      </c>
      <c r="C2074" s="385" t="s">
        <v>2345</v>
      </c>
      <c r="D2074" s="385" t="s">
        <v>88</v>
      </c>
      <c r="E2074" s="385"/>
      <c r="F2074" s="385"/>
      <c r="G2074" s="385"/>
      <c r="H2074" s="385">
        <v>2024</v>
      </c>
      <c r="I2074" s="386">
        <v>45573</v>
      </c>
      <c r="J2074" s="30"/>
      <c r="K2074" s="385"/>
      <c r="L2074" s="385"/>
      <c r="M2074" s="385"/>
      <c r="N2074" s="385"/>
      <c r="O2074" s="385"/>
      <c r="P2074" s="385" t="str">
        <f>IFERROR(
    IF(
        OR(ISBLANK(I2074), ISBLANK(L2074)),
        "",
        MAX(
            1,
            IF(
                NETWORKDAYS(I2074, L2074, Holiday_Dates) &lt;= 0,
                1,
                NETWORKDAYS(I2074, L2074, Holiday_Dates) - IF(I2074 = L2074, 0, 1)
            )
        )
    ),
    ""
)</f>
        <v/>
      </c>
      <c r="Q2074" s="385" t="str">
        <f>IF(
    OR(ISBLANK(L2074), ISBLANK(M2074)),
    "",
    MAX(
        1,
        IF(
            NETWORKDAYS(L2074, M2074, Holiday_Dates) &lt;= 0,
            1,
            NETWORKDAYS(L2074, M2074, Holiday_Dates) - IF(L2074 = M2074, 0, 1)
        )
    )
)</f>
        <v/>
      </c>
      <c r="R2074" s="385" t="str">
        <f>IFERROR(
    IF(
        OR(ISBLANK(N2074), AND(ISBLANK(L2074), ISBLANK(M2074))),
        "",
        MAX(
            1,
            IF(
                NETWORKDAYS(IF(NOT(ISBLANK(M2074)), M2074, L2074), N2074, Holiday_Dates) &lt;= 0,
                1,
                NETWORKDAYS(IF(NOT(ISBLANK(M2074)), M2074, L2074), N2074, Holiday_Dates)
                - IF(IF(NOT(ISBLANK(M2074)), M2074, L2074) = N2074, 0, 1)
            )
        )
    ),
    ""
)</f>
        <v/>
      </c>
      <c r="S2074" s="385" t="str">
        <f>IFERROR(
    IF(
        OR(ISBLANK(N2074), ISBLANK(O2074)),
        "",
        MAX(
            1,
            IF(
                NETWORKDAYS(N2074, O2074, Holiday_Dates) &lt;= 0,
                1,
                NETWORKDAYS(N2074, O2074, Holiday_Dates) - IF(N2074 = O2074, 0, 1)
            )
        )
    ),
    ""
)</f>
        <v/>
      </c>
      <c r="T2074" s="385"/>
      <c r="U2074" s="385" t="s">
        <v>672</v>
      </c>
      <c r="V2074" s="385" t="s">
        <v>1676</v>
      </c>
      <c r="W2074" s="385" t="s">
        <v>1436</v>
      </c>
      <c r="X2074" s="1"/>
    </row>
    <row r="2075" spans="1:24">
      <c r="A2075" s="385" t="s">
        <v>65</v>
      </c>
      <c r="B2075" s="385" t="s">
        <v>1314</v>
      </c>
      <c r="C2075" s="385" t="s">
        <v>2800</v>
      </c>
      <c r="D2075" s="385" t="s">
        <v>88</v>
      </c>
      <c r="E2075" s="385" t="s">
        <v>141</v>
      </c>
      <c r="F2075" s="385"/>
      <c r="G2075" s="385" t="s">
        <v>130</v>
      </c>
      <c r="H2075" s="385"/>
      <c r="I2075" s="385"/>
      <c r="J2075" s="30"/>
      <c r="K2075" s="385"/>
      <c r="L2075" s="385"/>
      <c r="M2075" s="385"/>
      <c r="N2075" s="385"/>
      <c r="O2075" s="385"/>
      <c r="P2075" s="385" t="str">
        <f>IFERROR(
    IF(
        OR(ISBLANK(I2075), ISBLANK(L2075)),
        "",
        MAX(
            1,
            IF(
                NETWORKDAYS(I2075, L2075, Holiday_Dates) &lt;= 0,
                1,
                NETWORKDAYS(I2075, L2075, Holiday_Dates) - IF(I2075 = L2075, 0, 1)
            )
        )
    ),
    ""
)</f>
        <v/>
      </c>
      <c r="Q2075" s="385" t="str">
        <f>IF(
    OR(ISBLANK(L2075), ISBLANK(M2075)),
    "",
    MAX(
        1,
        IF(
            NETWORKDAYS(L2075, M2075, Holiday_Dates) &lt;= 0,
            1,
            NETWORKDAYS(L2075, M2075, Holiday_Dates) - IF(L2075 = M2075, 0, 1)
        )
    )
)</f>
        <v/>
      </c>
      <c r="R2075" s="385" t="str">
        <f>IFERROR(
    IF(
        OR(ISBLANK(N2075), AND(ISBLANK(L2075), ISBLANK(M2075))),
        "",
        MAX(
            1,
            IF(
                NETWORKDAYS(IF(NOT(ISBLANK(M2075)), M2075, L2075), N2075, Holiday_Dates) &lt;= 0,
                1,
                NETWORKDAYS(IF(NOT(ISBLANK(M2075)), M2075, L2075), N2075, Holiday_Dates)
                - IF(IF(NOT(ISBLANK(M2075)), M2075, L2075) = N2075, 0, 1)
            )
        )
    ),
    ""
)</f>
        <v/>
      </c>
      <c r="S2075" s="385" t="str">
        <f>IFERROR(
    IF(
        OR(ISBLANK(N2075), ISBLANK(O2075)),
        "",
        MAX(
            1,
            IF(
                NETWORKDAYS(N2075, O2075, Holiday_Dates) &lt;= 0,
                1,
                NETWORKDAYS(N2075, O2075, Holiday_Dates) - IF(N2075 = O2075, 0, 1)
            )
        )
    ),
    ""
)</f>
        <v/>
      </c>
      <c r="T2075" s="385"/>
      <c r="U2075" s="385"/>
      <c r="V2075" s="385"/>
      <c r="W2075" s="385" t="s">
        <v>4710</v>
      </c>
      <c r="X2075" s="1"/>
    </row>
    <row r="2076" spans="1:24">
      <c r="A2076" s="385" t="s">
        <v>65</v>
      </c>
      <c r="B2076" s="385" t="s">
        <v>1314</v>
      </c>
      <c r="C2076" s="385" t="s">
        <v>2801</v>
      </c>
      <c r="D2076" s="385" t="s">
        <v>88</v>
      </c>
      <c r="E2076" s="385" t="s">
        <v>141</v>
      </c>
      <c r="F2076" s="385"/>
      <c r="G2076" s="385" t="s">
        <v>130</v>
      </c>
      <c r="H2076" s="385"/>
      <c r="I2076" s="385"/>
      <c r="J2076" s="30"/>
      <c r="K2076" s="385"/>
      <c r="L2076" s="385"/>
      <c r="M2076" s="385"/>
      <c r="N2076" s="385"/>
      <c r="O2076" s="385"/>
      <c r="P2076" s="385" t="str">
        <f>IFERROR(
    IF(
        OR(ISBLANK(I2076), ISBLANK(L2076)),
        "",
        MAX(
            1,
            IF(
                NETWORKDAYS(I2076, L2076, Holiday_Dates) &lt;= 0,
                1,
                NETWORKDAYS(I2076, L2076, Holiday_Dates) - IF(I2076 = L2076, 0, 1)
            )
        )
    ),
    ""
)</f>
        <v/>
      </c>
      <c r="Q2076" s="385" t="str">
        <f>IF(
    OR(ISBLANK(L2076), ISBLANK(M2076)),
    "",
    MAX(
        1,
        IF(
            NETWORKDAYS(L2076, M2076, Holiday_Dates) &lt;= 0,
            1,
            NETWORKDAYS(L2076, M2076, Holiday_Dates) - IF(L2076 = M2076, 0, 1)
        )
    )
)</f>
        <v/>
      </c>
      <c r="R2076" s="385" t="str">
        <f>IFERROR(
    IF(
        OR(ISBLANK(N2076), AND(ISBLANK(L2076), ISBLANK(M2076))),
        "",
        MAX(
            1,
            IF(
                NETWORKDAYS(IF(NOT(ISBLANK(M2076)), M2076, L2076), N2076, Holiday_Dates) &lt;= 0,
                1,
                NETWORKDAYS(IF(NOT(ISBLANK(M2076)), M2076, L2076), N2076, Holiday_Dates)
                - IF(IF(NOT(ISBLANK(M2076)), M2076, L2076) = N2076, 0, 1)
            )
        )
    ),
    ""
)</f>
        <v/>
      </c>
      <c r="S2076" s="385" t="str">
        <f>IFERROR(
    IF(
        OR(ISBLANK(N2076), ISBLANK(O2076)),
        "",
        MAX(
            1,
            IF(
                NETWORKDAYS(N2076, O2076, Holiday_Dates) &lt;= 0,
                1,
                NETWORKDAYS(N2076, O2076, Holiday_Dates) - IF(N2076 = O2076, 0, 1)
            )
        )
    ),
    ""
)</f>
        <v/>
      </c>
      <c r="T2076" s="385"/>
      <c r="U2076" s="385"/>
      <c r="V2076" s="385"/>
      <c r="W2076" s="385" t="s">
        <v>4710</v>
      </c>
      <c r="X2076" s="1"/>
    </row>
    <row r="2077" spans="1:24">
      <c r="A2077" s="385" t="s">
        <v>65</v>
      </c>
      <c r="B2077" s="385" t="s">
        <v>1314</v>
      </c>
      <c r="C2077" s="385" t="s">
        <v>2805</v>
      </c>
      <c r="D2077" s="385" t="s">
        <v>88</v>
      </c>
      <c r="E2077" s="385" t="s">
        <v>141</v>
      </c>
      <c r="F2077" s="385"/>
      <c r="G2077" s="385" t="s">
        <v>130</v>
      </c>
      <c r="H2077" s="385"/>
      <c r="I2077" s="385"/>
      <c r="J2077" s="30"/>
      <c r="K2077" s="385"/>
      <c r="L2077" s="385"/>
      <c r="M2077" s="385"/>
      <c r="N2077" s="385"/>
      <c r="O2077" s="385"/>
      <c r="P2077" s="385" t="str">
        <f>IFERROR(
    IF(
        OR(ISBLANK(I2077), ISBLANK(L2077)),
        "",
        MAX(
            1,
            IF(
                NETWORKDAYS(I2077, L2077, Holiday_Dates) &lt;= 0,
                1,
                NETWORKDAYS(I2077, L2077, Holiday_Dates) - IF(I2077 = L2077, 0, 1)
            )
        )
    ),
    ""
)</f>
        <v/>
      </c>
      <c r="Q2077" s="385" t="str">
        <f>IF(
    OR(ISBLANK(L2077), ISBLANK(M2077)),
    "",
    MAX(
        1,
        IF(
            NETWORKDAYS(L2077, M2077, Holiday_Dates) &lt;= 0,
            1,
            NETWORKDAYS(L2077, M2077, Holiday_Dates) - IF(L2077 = M2077, 0, 1)
        )
    )
)</f>
        <v/>
      </c>
      <c r="R2077" s="385" t="str">
        <f>IFERROR(
    IF(
        OR(ISBLANK(N2077), AND(ISBLANK(L2077), ISBLANK(M2077))),
        "",
        MAX(
            1,
            IF(
                NETWORKDAYS(IF(NOT(ISBLANK(M2077)), M2077, L2077), N2077, Holiday_Dates) &lt;= 0,
                1,
                NETWORKDAYS(IF(NOT(ISBLANK(M2077)), M2077, L2077), N2077, Holiday_Dates)
                - IF(IF(NOT(ISBLANK(M2077)), M2077, L2077) = N2077, 0, 1)
            )
        )
    ),
    ""
)</f>
        <v/>
      </c>
      <c r="S2077" s="385" t="str">
        <f>IFERROR(
    IF(
        OR(ISBLANK(N2077), ISBLANK(O2077)),
        "",
        MAX(
            1,
            IF(
                NETWORKDAYS(N2077, O2077, Holiday_Dates) &lt;= 0,
                1,
                NETWORKDAYS(N2077, O2077, Holiday_Dates) - IF(N2077 = O2077, 0, 1)
            )
        )
    ),
    ""
)</f>
        <v/>
      </c>
      <c r="T2077" s="385"/>
      <c r="U2077" s="385"/>
      <c r="V2077" s="385"/>
      <c r="W2077" s="385" t="s">
        <v>4710</v>
      </c>
      <c r="X2077" s="1"/>
    </row>
    <row r="2078" spans="1:24">
      <c r="A2078" s="385" t="s">
        <v>65</v>
      </c>
      <c r="B2078" s="385" t="s">
        <v>1314</v>
      </c>
      <c r="C2078" s="385" t="s">
        <v>2806</v>
      </c>
      <c r="D2078" s="385" t="s">
        <v>88</v>
      </c>
      <c r="E2078" s="385" t="s">
        <v>141</v>
      </c>
      <c r="F2078" s="385"/>
      <c r="G2078" s="385" t="s">
        <v>130</v>
      </c>
      <c r="H2078" s="385"/>
      <c r="I2078" s="385"/>
      <c r="J2078" s="30"/>
      <c r="K2078" s="385"/>
      <c r="L2078" s="385"/>
      <c r="M2078" s="385"/>
      <c r="N2078" s="385"/>
      <c r="O2078" s="385"/>
      <c r="P2078" s="385" t="str">
        <f>IFERROR(
    IF(
        OR(ISBLANK(I2078), ISBLANK(L2078)),
        "",
        MAX(
            1,
            IF(
                NETWORKDAYS(I2078, L2078, Holiday_Dates) &lt;= 0,
                1,
                NETWORKDAYS(I2078, L2078, Holiday_Dates) - IF(I2078 = L2078, 0, 1)
            )
        )
    ),
    ""
)</f>
        <v/>
      </c>
      <c r="Q2078" s="385" t="str">
        <f>IF(
    OR(ISBLANK(L2078), ISBLANK(M2078)),
    "",
    MAX(
        1,
        IF(
            NETWORKDAYS(L2078, M2078, Holiday_Dates) &lt;= 0,
            1,
            NETWORKDAYS(L2078, M2078, Holiday_Dates) - IF(L2078 = M2078, 0, 1)
        )
    )
)</f>
        <v/>
      </c>
      <c r="R2078" s="385" t="str">
        <f>IFERROR(
    IF(
        OR(ISBLANK(N2078), AND(ISBLANK(L2078), ISBLANK(M2078))),
        "",
        MAX(
            1,
            IF(
                NETWORKDAYS(IF(NOT(ISBLANK(M2078)), M2078, L2078), N2078, Holiday_Dates) &lt;= 0,
                1,
                NETWORKDAYS(IF(NOT(ISBLANK(M2078)), M2078, L2078), N2078, Holiday_Dates)
                - IF(IF(NOT(ISBLANK(M2078)), M2078, L2078) = N2078, 0, 1)
            )
        )
    ),
    ""
)</f>
        <v/>
      </c>
      <c r="S2078" s="385" t="str">
        <f>IFERROR(
    IF(
        OR(ISBLANK(N2078), ISBLANK(O2078)),
        "",
        MAX(
            1,
            IF(
                NETWORKDAYS(N2078, O2078, Holiday_Dates) &lt;= 0,
                1,
                NETWORKDAYS(N2078, O2078, Holiday_Dates) - IF(N2078 = O2078, 0, 1)
            )
        )
    ),
    ""
)</f>
        <v/>
      </c>
      <c r="T2078" s="385"/>
      <c r="U2078" s="385"/>
      <c r="V2078" s="385"/>
      <c r="W2078" s="385" t="s">
        <v>4710</v>
      </c>
      <c r="X2078" s="1"/>
    </row>
    <row r="2079" spans="1:24">
      <c r="A2079" s="385" t="s">
        <v>65</v>
      </c>
      <c r="B2079" s="385" t="s">
        <v>1314</v>
      </c>
      <c r="C2079" s="385" t="s">
        <v>2864</v>
      </c>
      <c r="D2079" s="385" t="s">
        <v>88</v>
      </c>
      <c r="E2079" s="385" t="s">
        <v>141</v>
      </c>
      <c r="F2079" s="385"/>
      <c r="G2079" s="385" t="s">
        <v>130</v>
      </c>
      <c r="H2079" s="385"/>
      <c r="I2079" s="385"/>
      <c r="J2079" s="30"/>
      <c r="K2079" s="385"/>
      <c r="L2079" s="385"/>
      <c r="M2079" s="385"/>
      <c r="N2079" s="385"/>
      <c r="O2079" s="385"/>
      <c r="P2079" s="385" t="str">
        <f>IFERROR(
    IF(
        OR(ISBLANK(I2079), ISBLANK(L2079)),
        "",
        MAX(
            1,
            IF(
                NETWORKDAYS(I2079, L2079, Holiday_Dates) &lt;= 0,
                1,
                NETWORKDAYS(I2079, L2079, Holiday_Dates) - IF(I2079 = L2079, 0, 1)
            )
        )
    ),
    ""
)</f>
        <v/>
      </c>
      <c r="Q2079" s="385" t="str">
        <f>IF(
    OR(ISBLANK(L2079), ISBLANK(M2079)),
    "",
    MAX(
        1,
        IF(
            NETWORKDAYS(L2079, M2079, Holiday_Dates) &lt;= 0,
            1,
            NETWORKDAYS(L2079, M2079, Holiday_Dates) - IF(L2079 = M2079, 0, 1)
        )
    )
)</f>
        <v/>
      </c>
      <c r="R2079" s="385" t="str">
        <f>IFERROR(
    IF(
        OR(ISBLANK(N2079), AND(ISBLANK(L2079), ISBLANK(M2079))),
        "",
        MAX(
            1,
            IF(
                NETWORKDAYS(IF(NOT(ISBLANK(M2079)), M2079, L2079), N2079, Holiday_Dates) &lt;= 0,
                1,
                NETWORKDAYS(IF(NOT(ISBLANK(M2079)), M2079, L2079), N2079, Holiday_Dates)
                - IF(IF(NOT(ISBLANK(M2079)), M2079, L2079) = N2079, 0, 1)
            )
        )
    ),
    ""
)</f>
        <v/>
      </c>
      <c r="S2079" s="385" t="str">
        <f>IFERROR(
    IF(
        OR(ISBLANK(N2079), ISBLANK(O2079)),
        "",
        MAX(
            1,
            IF(
                NETWORKDAYS(N2079, O2079, Holiday_Dates) &lt;= 0,
                1,
                NETWORKDAYS(N2079, O2079, Holiday_Dates) - IF(N2079 = O2079, 0, 1)
            )
        )
    ),
    ""
)</f>
        <v/>
      </c>
      <c r="T2079" s="385"/>
      <c r="U2079" s="385"/>
      <c r="V2079" s="385"/>
      <c r="W2079" s="385" t="s">
        <v>4710</v>
      </c>
      <c r="X2079" s="1"/>
    </row>
    <row r="2080" spans="1:24">
      <c r="A2080" s="385" t="s">
        <v>51</v>
      </c>
      <c r="B2080" s="385" t="s">
        <v>532</v>
      </c>
      <c r="C2080" s="385" t="s">
        <v>526</v>
      </c>
      <c r="D2080" s="385" t="s">
        <v>88</v>
      </c>
      <c r="E2080" s="385"/>
      <c r="F2080" s="385"/>
      <c r="G2080" s="385"/>
      <c r="H2080" s="385">
        <v>2024</v>
      </c>
      <c r="I2080" s="386">
        <v>45426</v>
      </c>
      <c r="J2080" s="30"/>
      <c r="K2080" s="385"/>
      <c r="L2080" s="385"/>
      <c r="M2080" s="385"/>
      <c r="N2080" s="385"/>
      <c r="O2080" s="385"/>
      <c r="P2080" s="385" t="str">
        <f>IFERROR(
    IF(
        OR(ISBLANK(I2080), ISBLANK(L2080)),
        "",
        MAX(
            1,
            IF(
                NETWORKDAYS(I2080, L2080, Holiday_Dates) &lt;= 0,
                1,
                NETWORKDAYS(I2080, L2080, Holiday_Dates) - IF(I2080 = L2080, 0, 1)
            )
        )
    ),
    ""
)</f>
        <v/>
      </c>
      <c r="Q2080" s="385" t="str">
        <f>IF(
    OR(ISBLANK(L2080), ISBLANK(M2080)),
    "",
    MAX(
        1,
        IF(
            NETWORKDAYS(L2080, M2080, Holiday_Dates) &lt;= 0,
            1,
            NETWORKDAYS(L2080, M2080, Holiday_Dates) - IF(L2080 = M2080, 0, 1)
        )
    )
)</f>
        <v/>
      </c>
      <c r="R2080" s="385" t="str">
        <f>IFERROR(
    IF(
        OR(ISBLANK(N2080), AND(ISBLANK(L2080), ISBLANK(M2080))),
        "",
        MAX(
            1,
            IF(
                NETWORKDAYS(IF(NOT(ISBLANK(M2080)), M2080, L2080), N2080, Holiday_Dates) &lt;= 0,
                1,
                NETWORKDAYS(IF(NOT(ISBLANK(M2080)), M2080, L2080), N2080, Holiday_Dates)
                - IF(IF(NOT(ISBLANK(M2080)), M2080, L2080) = N2080, 0, 1)
            )
        )
    ),
    ""
)</f>
        <v/>
      </c>
      <c r="S2080" s="385" t="str">
        <f>IFERROR(
    IF(
        OR(ISBLANK(N2080), ISBLANK(O2080)),
        "",
        MAX(
            1,
            IF(
                NETWORKDAYS(N2080, O2080, Holiday_Dates) &lt;= 0,
                1,
                NETWORKDAYS(N2080, O2080, Holiday_Dates) - IF(N2080 = O2080, 0, 1)
            )
        )
    ),
    ""
)</f>
        <v/>
      </c>
      <c r="T2080" s="385"/>
      <c r="U2080" s="385" t="s">
        <v>672</v>
      </c>
      <c r="V2080" s="385"/>
      <c r="W2080" s="385" t="s">
        <v>1436</v>
      </c>
      <c r="X2080" s="1"/>
    </row>
    <row r="2081" spans="1:24">
      <c r="A2081" s="385" t="s">
        <v>51</v>
      </c>
      <c r="B2081" s="385" t="s">
        <v>532</v>
      </c>
      <c r="C2081" s="385" t="s">
        <v>1879</v>
      </c>
      <c r="D2081" s="385" t="s">
        <v>88</v>
      </c>
      <c r="E2081" s="385"/>
      <c r="F2081" s="385"/>
      <c r="G2081" s="385"/>
      <c r="H2081" s="385">
        <v>2025</v>
      </c>
      <c r="I2081" s="386">
        <v>45791</v>
      </c>
      <c r="J2081" s="30" t="s">
        <v>5477</v>
      </c>
      <c r="K2081" s="385"/>
      <c r="L2081" s="385"/>
      <c r="M2081" s="385"/>
      <c r="N2081" s="385"/>
      <c r="O2081" s="385"/>
      <c r="P2081" s="385" t="str">
        <f>IFERROR(
    IF(
        OR(ISBLANK(I2081), ISBLANK(L2081)),
        "",
        MAX(
            1,
            IF(
                NETWORKDAYS(I2081, L2081, Holiday_Dates) &lt;= 0,
                1,
                NETWORKDAYS(I2081, L2081, Holiday_Dates) - IF(I2081 = L2081, 0, 1)
            )
        )
    ),
    ""
)</f>
        <v/>
      </c>
      <c r="Q2081" s="385" t="str">
        <f>IF(
    OR(ISBLANK(L2081), ISBLANK(M2081)),
    "",
    MAX(
        1,
        IF(
            NETWORKDAYS(L2081, M2081, Holiday_Dates) &lt;= 0,
            1,
            NETWORKDAYS(L2081, M2081, Holiday_Dates) - IF(L2081 = M2081, 0, 1)
        )
    )
)</f>
        <v/>
      </c>
      <c r="R2081" s="385" t="str">
        <f>IFERROR(
    IF(
        OR(ISBLANK(N2081), AND(ISBLANK(L2081), ISBLANK(M2081))),
        "",
        MAX(
            1,
            IF(
                NETWORKDAYS(IF(NOT(ISBLANK(M2081)), M2081, L2081), N2081, Holiday_Dates) &lt;= 0,
                1,
                NETWORKDAYS(IF(NOT(ISBLANK(M2081)), M2081, L2081), N2081, Holiday_Dates)
                - IF(IF(NOT(ISBLANK(M2081)), M2081, L2081) = N2081, 0, 1)
            )
        )
    ),
    ""
)</f>
        <v/>
      </c>
      <c r="S2081" s="385" t="str">
        <f>IFERROR(
    IF(
        OR(ISBLANK(N2081), ISBLANK(O2081)),
        "",
        MAX(
            1,
            IF(
                NETWORKDAYS(N2081, O2081, Holiday_Dates) &lt;= 0,
                1,
                NETWORKDAYS(N2081, O2081, Holiday_Dates) - IF(N2081 = O2081, 0, 1)
            )
        )
    ),
    ""
)</f>
        <v/>
      </c>
      <c r="T2081" s="385"/>
      <c r="U2081" s="385" t="s">
        <v>672</v>
      </c>
      <c r="V2081" s="385" t="s">
        <v>1676</v>
      </c>
      <c r="W2081" s="385" t="s">
        <v>1436</v>
      </c>
      <c r="X2081" s="1"/>
    </row>
    <row r="2082" spans="1:24">
      <c r="A2082" s="385" t="s">
        <v>65</v>
      </c>
      <c r="B2082" s="385" t="s">
        <v>1314</v>
      </c>
      <c r="C2082" s="385" t="s">
        <v>2810</v>
      </c>
      <c r="D2082" s="385" t="s">
        <v>88</v>
      </c>
      <c r="E2082" s="385" t="s">
        <v>141</v>
      </c>
      <c r="F2082" s="385"/>
      <c r="G2082" s="385" t="s">
        <v>130</v>
      </c>
      <c r="H2082" s="385"/>
      <c r="I2082" s="386"/>
      <c r="J2082" s="30"/>
      <c r="K2082" s="385"/>
      <c r="L2082" s="385"/>
      <c r="M2082" s="385"/>
      <c r="N2082" s="385"/>
      <c r="O2082" s="385"/>
      <c r="P2082" s="385" t="str">
        <f>IFERROR(
    IF(
        OR(ISBLANK(I2082), ISBLANK(L2082)),
        "",
        MAX(
            1,
            IF(
                NETWORKDAYS(I2082, L2082, Holiday_Dates) &lt;= 0,
                1,
                NETWORKDAYS(I2082, L2082, Holiday_Dates) - IF(I2082 = L2082, 0, 1)
            )
        )
    ),
    ""
)</f>
        <v/>
      </c>
      <c r="Q2082" s="385" t="str">
        <f>IF(
    OR(ISBLANK(L2082), ISBLANK(M2082)),
    "",
    MAX(
        1,
        IF(
            NETWORKDAYS(L2082, M2082, Holiday_Dates) &lt;= 0,
            1,
            NETWORKDAYS(L2082, M2082, Holiday_Dates) - IF(L2082 = M2082, 0, 1)
        )
    )
)</f>
        <v/>
      </c>
      <c r="R2082" s="385" t="str">
        <f>IFERROR(
    IF(
        OR(ISBLANK(N2082), AND(ISBLANK(L2082), ISBLANK(M2082))),
        "",
        MAX(
            1,
            IF(
                NETWORKDAYS(IF(NOT(ISBLANK(M2082)), M2082, L2082), N2082, Holiday_Dates) &lt;= 0,
                1,
                NETWORKDAYS(IF(NOT(ISBLANK(M2082)), M2082, L2082), N2082, Holiday_Dates)
                - IF(IF(NOT(ISBLANK(M2082)), M2082, L2082) = N2082, 0, 1)
            )
        )
    ),
    ""
)</f>
        <v/>
      </c>
      <c r="S2082" s="385" t="str">
        <f>IFERROR(
    IF(
        OR(ISBLANK(N2082), ISBLANK(O2082)),
        "",
        MAX(
            1,
            IF(
                NETWORKDAYS(N2082, O2082, Holiday_Dates) &lt;= 0,
                1,
                NETWORKDAYS(N2082, O2082, Holiday_Dates) - IF(N2082 = O2082, 0, 1)
            )
        )
    ),
    ""
)</f>
        <v/>
      </c>
      <c r="T2082" s="385"/>
      <c r="U2082" s="385"/>
      <c r="V2082" s="385"/>
      <c r="W2082" s="385" t="s">
        <v>4710</v>
      </c>
      <c r="X2082" s="1"/>
    </row>
    <row r="2083" spans="1:24">
      <c r="A2083" s="385" t="s">
        <v>65</v>
      </c>
      <c r="B2083" s="385" t="s">
        <v>1314</v>
      </c>
      <c r="C2083" s="385" t="s">
        <v>2812</v>
      </c>
      <c r="D2083" s="385" t="s">
        <v>88</v>
      </c>
      <c r="E2083" s="385" t="s">
        <v>141</v>
      </c>
      <c r="F2083" s="385"/>
      <c r="G2083" s="385" t="s">
        <v>130</v>
      </c>
      <c r="H2083" s="385"/>
      <c r="I2083" s="386"/>
      <c r="J2083" s="30"/>
      <c r="K2083" s="385"/>
      <c r="L2083" s="385"/>
      <c r="M2083" s="385"/>
      <c r="N2083" s="385"/>
      <c r="O2083" s="385"/>
      <c r="P2083" s="385" t="str">
        <f>IFERROR(
    IF(
        OR(ISBLANK(I2083), ISBLANK(L2083)),
        "",
        MAX(
            1,
            IF(
                NETWORKDAYS(I2083, L2083, Holiday_Dates) &lt;= 0,
                1,
                NETWORKDAYS(I2083, L2083, Holiday_Dates) - IF(I2083 = L2083, 0, 1)
            )
        )
    ),
    ""
)</f>
        <v/>
      </c>
      <c r="Q2083" s="385" t="str">
        <f>IF(
    OR(ISBLANK(L2083), ISBLANK(M2083)),
    "",
    MAX(
        1,
        IF(
            NETWORKDAYS(L2083, M2083, Holiday_Dates) &lt;= 0,
            1,
            NETWORKDAYS(L2083, M2083, Holiday_Dates) - IF(L2083 = M2083, 0, 1)
        )
    )
)</f>
        <v/>
      </c>
      <c r="R2083" s="385" t="str">
        <f>IFERROR(
    IF(
        OR(ISBLANK(N2083), AND(ISBLANK(L2083), ISBLANK(M2083))),
        "",
        MAX(
            1,
            IF(
                NETWORKDAYS(IF(NOT(ISBLANK(M2083)), M2083, L2083), N2083, Holiday_Dates) &lt;= 0,
                1,
                NETWORKDAYS(IF(NOT(ISBLANK(M2083)), M2083, L2083), N2083, Holiday_Dates)
                - IF(IF(NOT(ISBLANK(M2083)), M2083, L2083) = N2083, 0, 1)
            )
        )
    ),
    ""
)</f>
        <v/>
      </c>
      <c r="S2083" s="385" t="str">
        <f>IFERROR(
    IF(
        OR(ISBLANK(N2083), ISBLANK(O2083)),
        "",
        MAX(
            1,
            IF(
                NETWORKDAYS(N2083, O2083, Holiday_Dates) &lt;= 0,
                1,
                NETWORKDAYS(N2083, O2083, Holiday_Dates) - IF(N2083 = O2083, 0, 1)
            )
        )
    ),
    ""
)</f>
        <v/>
      </c>
      <c r="T2083" s="385"/>
      <c r="U2083" s="385"/>
      <c r="V2083" s="385"/>
      <c r="W2083" s="385" t="s">
        <v>4710</v>
      </c>
      <c r="X2083" s="1"/>
    </row>
    <row r="2084" spans="1:24">
      <c r="A2084" s="385" t="s">
        <v>51</v>
      </c>
      <c r="B2084" s="385" t="s">
        <v>534</v>
      </c>
      <c r="C2084" s="385" t="s">
        <v>3164</v>
      </c>
      <c r="D2084" s="385" t="s">
        <v>88</v>
      </c>
      <c r="E2084" s="385"/>
      <c r="F2084" s="385"/>
      <c r="G2084" s="385"/>
      <c r="H2084" s="385">
        <v>2025</v>
      </c>
      <c r="I2084" s="386">
        <v>45734</v>
      </c>
      <c r="J2084" s="30" t="s">
        <v>5478</v>
      </c>
      <c r="K2084" s="385"/>
      <c r="L2084" s="385"/>
      <c r="M2084" s="385"/>
      <c r="N2084" s="385"/>
      <c r="O2084" s="385"/>
      <c r="P2084" s="385" t="str">
        <f>IFERROR(
    IF(
        OR(ISBLANK(I2084), ISBLANK(L2084)),
        "",
        MAX(
            1,
            IF(
                NETWORKDAYS(I2084, L2084, Holiday_Dates) &lt;= 0,
                1,
                NETWORKDAYS(I2084, L2084, Holiday_Dates) - IF(I2084 = L2084, 0, 1)
            )
        )
    ),
    ""
)</f>
        <v/>
      </c>
      <c r="Q2084" s="385" t="str">
        <f>IF(
    OR(ISBLANK(L2084), ISBLANK(M2084)),
    "",
    MAX(
        1,
        IF(
            NETWORKDAYS(L2084, M2084, Holiday_Dates) &lt;= 0,
            1,
            NETWORKDAYS(L2084, M2084, Holiday_Dates) - IF(L2084 = M2084, 0, 1)
        )
    )
)</f>
        <v/>
      </c>
      <c r="R2084" s="385" t="str">
        <f>IFERROR(
    IF(
        OR(ISBLANK(N2084), AND(ISBLANK(L2084), ISBLANK(M2084))),
        "",
        MAX(
            1,
            IF(
                NETWORKDAYS(IF(NOT(ISBLANK(M2084)), M2084, L2084), N2084, Holiday_Dates) &lt;= 0,
                1,
                NETWORKDAYS(IF(NOT(ISBLANK(M2084)), M2084, L2084), N2084, Holiday_Dates)
                - IF(IF(NOT(ISBLANK(M2084)), M2084, L2084) = N2084, 0, 1)
            )
        )
    ),
    ""
)</f>
        <v/>
      </c>
      <c r="S2084" s="385" t="str">
        <f>IFERROR(
    IF(
        OR(ISBLANK(N2084), ISBLANK(O2084)),
        "",
        MAX(
            1,
            IF(
                NETWORKDAYS(N2084, O2084, Holiday_Dates) &lt;= 0,
                1,
                NETWORKDAYS(N2084, O2084, Holiday_Dates) - IF(N2084 = O2084, 0, 1)
            )
        )
    ),
    ""
)</f>
        <v/>
      </c>
      <c r="T2084" s="385"/>
      <c r="U2084" s="385" t="s">
        <v>672</v>
      </c>
      <c r="V2084" s="385" t="s">
        <v>1676</v>
      </c>
      <c r="W2084" s="385" t="s">
        <v>1436</v>
      </c>
      <c r="X2084" s="1"/>
    </row>
    <row r="2085" spans="1:24">
      <c r="A2085" s="385" t="s">
        <v>51</v>
      </c>
      <c r="B2085" s="385" t="s">
        <v>534</v>
      </c>
      <c r="C2085" s="385" t="s">
        <v>3692</v>
      </c>
      <c r="D2085" s="385" t="s">
        <v>88</v>
      </c>
      <c r="E2085" s="385"/>
      <c r="F2085" s="385"/>
      <c r="G2085" s="385"/>
      <c r="H2085" s="385">
        <v>2025</v>
      </c>
      <c r="I2085" s="386">
        <v>45727</v>
      </c>
      <c r="J2085" s="30" t="s">
        <v>5479</v>
      </c>
      <c r="K2085" s="385"/>
      <c r="L2085" s="385"/>
      <c r="M2085" s="385"/>
      <c r="N2085" s="385"/>
      <c r="O2085" s="385"/>
      <c r="P2085" s="385" t="str">
        <f>IFERROR(
    IF(
        OR(ISBLANK(I2085), ISBLANK(L2085)),
        "",
        MAX(
            1,
            IF(
                NETWORKDAYS(I2085, L2085, Holiday_Dates) &lt;= 0,
                1,
                NETWORKDAYS(I2085, L2085, Holiday_Dates) - IF(I2085 = L2085, 0, 1)
            )
        )
    ),
    ""
)</f>
        <v/>
      </c>
      <c r="Q2085" s="385" t="str">
        <f>IF(
    OR(ISBLANK(L2085), ISBLANK(M2085)),
    "",
    MAX(
        1,
        IF(
            NETWORKDAYS(L2085, M2085, Holiday_Dates) &lt;= 0,
            1,
            NETWORKDAYS(L2085, M2085, Holiday_Dates) - IF(L2085 = M2085, 0, 1)
        )
    )
)</f>
        <v/>
      </c>
      <c r="R2085" s="385" t="str">
        <f>IFERROR(
    IF(
        OR(ISBLANK(N2085), AND(ISBLANK(L2085), ISBLANK(M2085))),
        "",
        MAX(
            1,
            IF(
                NETWORKDAYS(IF(NOT(ISBLANK(M2085)), M2085, L2085), N2085, Holiday_Dates) &lt;= 0,
                1,
                NETWORKDAYS(IF(NOT(ISBLANK(M2085)), M2085, L2085), N2085, Holiday_Dates)
                - IF(IF(NOT(ISBLANK(M2085)), M2085, L2085) = N2085, 0, 1)
            )
        )
    ),
    ""
)</f>
        <v/>
      </c>
      <c r="S2085" s="385" t="str">
        <f>IFERROR(
    IF(
        OR(ISBLANK(N2085), ISBLANK(O2085)),
        "",
        MAX(
            1,
            IF(
                NETWORKDAYS(N2085, O2085, Holiday_Dates) &lt;= 0,
                1,
                NETWORKDAYS(N2085, O2085, Holiday_Dates) - IF(N2085 = O2085, 0, 1)
            )
        )
    ),
    ""
)</f>
        <v/>
      </c>
      <c r="T2085" s="385"/>
      <c r="U2085" s="385" t="s">
        <v>672</v>
      </c>
      <c r="V2085" s="385" t="s">
        <v>1676</v>
      </c>
      <c r="W2085" s="385" t="s">
        <v>1436</v>
      </c>
      <c r="X2085" s="1"/>
    </row>
    <row r="2086" spans="1:24">
      <c r="A2086" s="385" t="s">
        <v>65</v>
      </c>
      <c r="B2086" s="385" t="s">
        <v>1314</v>
      </c>
      <c r="C2086" s="385" t="s">
        <v>2813</v>
      </c>
      <c r="D2086" s="385" t="s">
        <v>88</v>
      </c>
      <c r="E2086" s="385" t="s">
        <v>141</v>
      </c>
      <c r="F2086" s="385"/>
      <c r="G2086" s="385" t="s">
        <v>130</v>
      </c>
      <c r="H2086" s="385"/>
      <c r="I2086" s="386"/>
      <c r="J2086" s="30"/>
      <c r="K2086" s="385"/>
      <c r="L2086" s="385"/>
      <c r="M2086" s="385"/>
      <c r="N2086" s="385"/>
      <c r="O2086" s="385"/>
      <c r="P2086" s="385" t="str">
        <f>IFERROR(
    IF(
        OR(ISBLANK(I2086), ISBLANK(L2086)),
        "",
        MAX(
            1,
            IF(
                NETWORKDAYS(I2086, L2086, Holiday_Dates) &lt;= 0,
                1,
                NETWORKDAYS(I2086, L2086, Holiday_Dates) - IF(I2086 = L2086, 0, 1)
            )
        )
    ),
    ""
)</f>
        <v/>
      </c>
      <c r="Q2086" s="385" t="str">
        <f>IF(
    OR(ISBLANK(L2086), ISBLANK(M2086)),
    "",
    MAX(
        1,
        IF(
            NETWORKDAYS(L2086, M2086, Holiday_Dates) &lt;= 0,
            1,
            NETWORKDAYS(L2086, M2086, Holiday_Dates) - IF(L2086 = M2086, 0, 1)
        )
    )
)</f>
        <v/>
      </c>
      <c r="R2086" s="385" t="str">
        <f>IFERROR(
    IF(
        OR(ISBLANK(N2086), AND(ISBLANK(L2086), ISBLANK(M2086))),
        "",
        MAX(
            1,
            IF(
                NETWORKDAYS(IF(NOT(ISBLANK(M2086)), M2086, L2086), N2086, Holiday_Dates) &lt;= 0,
                1,
                NETWORKDAYS(IF(NOT(ISBLANK(M2086)), M2086, L2086), N2086, Holiday_Dates)
                - IF(IF(NOT(ISBLANK(M2086)), M2086, L2086) = N2086, 0, 1)
            )
        )
    ),
    ""
)</f>
        <v/>
      </c>
      <c r="S2086" s="385" t="str">
        <f>IFERROR(
    IF(
        OR(ISBLANK(N2086), ISBLANK(O2086)),
        "",
        MAX(
            1,
            IF(
                NETWORKDAYS(N2086, O2086, Holiday_Dates) &lt;= 0,
                1,
                NETWORKDAYS(N2086, O2086, Holiday_Dates) - IF(N2086 = O2086, 0, 1)
            )
        )
    ),
    ""
)</f>
        <v/>
      </c>
      <c r="T2086" s="385"/>
      <c r="U2086" s="385"/>
      <c r="V2086" s="385"/>
      <c r="W2086" s="385" t="s">
        <v>4710</v>
      </c>
      <c r="X2086" s="1"/>
    </row>
    <row r="2087" spans="1:24">
      <c r="A2087" s="385" t="s">
        <v>65</v>
      </c>
      <c r="B2087" s="385" t="s">
        <v>1314</v>
      </c>
      <c r="C2087" s="385" t="s">
        <v>2814</v>
      </c>
      <c r="D2087" s="385" t="s">
        <v>88</v>
      </c>
      <c r="E2087" s="385" t="s">
        <v>141</v>
      </c>
      <c r="F2087" s="385"/>
      <c r="G2087" s="385" t="s">
        <v>130</v>
      </c>
      <c r="H2087" s="385"/>
      <c r="I2087" s="386"/>
      <c r="J2087" s="30"/>
      <c r="K2087" s="385"/>
      <c r="L2087" s="385"/>
      <c r="M2087" s="385"/>
      <c r="N2087" s="385"/>
      <c r="O2087" s="385"/>
      <c r="P2087" s="385" t="str">
        <f>IFERROR(
    IF(
        OR(ISBLANK(I2087), ISBLANK(L2087)),
        "",
        MAX(
            1,
            IF(
                NETWORKDAYS(I2087, L2087, Holiday_Dates) &lt;= 0,
                1,
                NETWORKDAYS(I2087, L2087, Holiday_Dates) - IF(I2087 = L2087, 0, 1)
            )
        )
    ),
    ""
)</f>
        <v/>
      </c>
      <c r="Q2087" s="385" t="str">
        <f>IF(
    OR(ISBLANK(L2087), ISBLANK(M2087)),
    "",
    MAX(
        1,
        IF(
            NETWORKDAYS(L2087, M2087, Holiday_Dates) &lt;= 0,
            1,
            NETWORKDAYS(L2087, M2087, Holiday_Dates) - IF(L2087 = M2087, 0, 1)
        )
    )
)</f>
        <v/>
      </c>
      <c r="R2087" s="385" t="str">
        <f>IFERROR(
    IF(
        OR(ISBLANK(N2087), AND(ISBLANK(L2087), ISBLANK(M2087))),
        "",
        MAX(
            1,
            IF(
                NETWORKDAYS(IF(NOT(ISBLANK(M2087)), M2087, L2087), N2087, Holiday_Dates) &lt;= 0,
                1,
                NETWORKDAYS(IF(NOT(ISBLANK(M2087)), M2087, L2087), N2087, Holiday_Dates)
                - IF(IF(NOT(ISBLANK(M2087)), M2087, L2087) = N2087, 0, 1)
            )
        )
    ),
    ""
)</f>
        <v/>
      </c>
      <c r="S2087" s="385" t="str">
        <f>IFERROR(
    IF(
        OR(ISBLANK(N2087), ISBLANK(O2087)),
        "",
        MAX(
            1,
            IF(
                NETWORKDAYS(N2087, O2087, Holiday_Dates) &lt;= 0,
                1,
                NETWORKDAYS(N2087, O2087, Holiday_Dates) - IF(N2087 = O2087, 0, 1)
            )
        )
    ),
    ""
)</f>
        <v/>
      </c>
      <c r="T2087" s="385"/>
      <c r="U2087" s="385"/>
      <c r="V2087" s="385"/>
      <c r="W2087" s="385" t="s">
        <v>4710</v>
      </c>
      <c r="X2087" s="1"/>
    </row>
    <row r="2088" spans="1:24">
      <c r="A2088" s="385" t="s">
        <v>65</v>
      </c>
      <c r="B2088" s="385" t="s">
        <v>1314</v>
      </c>
      <c r="C2088" s="385" t="s">
        <v>2823</v>
      </c>
      <c r="D2088" s="385" t="s">
        <v>88</v>
      </c>
      <c r="E2088" s="385" t="s">
        <v>141</v>
      </c>
      <c r="F2088" s="385"/>
      <c r="G2088" s="385" t="s">
        <v>130</v>
      </c>
      <c r="H2088" s="385"/>
      <c r="I2088" s="386"/>
      <c r="J2088" s="30"/>
      <c r="K2088" s="385"/>
      <c r="L2088" s="385"/>
      <c r="M2088" s="385"/>
      <c r="N2088" s="385"/>
      <c r="O2088" s="385"/>
      <c r="P2088" s="385" t="str">
        <f>IFERROR(
    IF(
        OR(ISBLANK(I2088), ISBLANK(L2088)),
        "",
        MAX(
            1,
            IF(
                NETWORKDAYS(I2088, L2088, Holiday_Dates) &lt;= 0,
                1,
                NETWORKDAYS(I2088, L2088, Holiday_Dates) - IF(I2088 = L2088, 0, 1)
            )
        )
    ),
    ""
)</f>
        <v/>
      </c>
      <c r="Q2088" s="385" t="str">
        <f>IF(
    OR(ISBLANK(L2088), ISBLANK(M2088)),
    "",
    MAX(
        1,
        IF(
            NETWORKDAYS(L2088, M2088, Holiday_Dates) &lt;= 0,
            1,
            NETWORKDAYS(L2088, M2088, Holiday_Dates) - IF(L2088 = M2088, 0, 1)
        )
    )
)</f>
        <v/>
      </c>
      <c r="R2088" s="385" t="str">
        <f>IFERROR(
    IF(
        OR(ISBLANK(N2088), AND(ISBLANK(L2088), ISBLANK(M2088))),
        "",
        MAX(
            1,
            IF(
                NETWORKDAYS(IF(NOT(ISBLANK(M2088)), M2088, L2088), N2088, Holiday_Dates) &lt;= 0,
                1,
                NETWORKDAYS(IF(NOT(ISBLANK(M2088)), M2088, L2088), N2088, Holiday_Dates)
                - IF(IF(NOT(ISBLANK(M2088)), M2088, L2088) = N2088, 0, 1)
            )
        )
    ),
    ""
)</f>
        <v/>
      </c>
      <c r="S2088" s="385" t="str">
        <f>IFERROR(
    IF(
        OR(ISBLANK(N2088), ISBLANK(O2088)),
        "",
        MAX(
            1,
            IF(
                NETWORKDAYS(N2088, O2088, Holiday_Dates) &lt;= 0,
                1,
                NETWORKDAYS(N2088, O2088, Holiday_Dates) - IF(N2088 = O2088, 0, 1)
            )
        )
    ),
    ""
)</f>
        <v/>
      </c>
      <c r="T2088" s="385"/>
      <c r="U2088" s="385"/>
      <c r="V2088" s="385"/>
      <c r="W2088" s="385" t="s">
        <v>4710</v>
      </c>
      <c r="X2088" s="1"/>
    </row>
    <row r="2089" spans="1:24">
      <c r="A2089" s="385" t="s">
        <v>65</v>
      </c>
      <c r="B2089" s="385" t="s">
        <v>1314</v>
      </c>
      <c r="C2089" s="385" t="s">
        <v>2820</v>
      </c>
      <c r="D2089" s="385" t="s">
        <v>88</v>
      </c>
      <c r="E2089" s="385" t="s">
        <v>141</v>
      </c>
      <c r="F2089" s="385"/>
      <c r="G2089" s="385" t="s">
        <v>130</v>
      </c>
      <c r="H2089" s="385"/>
      <c r="I2089" s="385"/>
      <c r="J2089" s="30"/>
      <c r="K2089" s="385"/>
      <c r="L2089" s="385"/>
      <c r="M2089" s="385"/>
      <c r="N2089" s="385"/>
      <c r="O2089" s="385"/>
      <c r="P2089" s="385" t="str">
        <f>IFERROR(
    IF(
        OR(ISBLANK(I2089), ISBLANK(L2089)),
        "",
        MAX(
            1,
            IF(
                NETWORKDAYS(I2089, L2089, Holiday_Dates) &lt;= 0,
                1,
                NETWORKDAYS(I2089, L2089, Holiday_Dates) - IF(I2089 = L2089, 0, 1)
            )
        )
    ),
    ""
)</f>
        <v/>
      </c>
      <c r="Q2089" s="385" t="str">
        <f>IF(
    OR(ISBLANK(L2089), ISBLANK(M2089)),
    "",
    MAX(
        1,
        IF(
            NETWORKDAYS(L2089, M2089, Holiday_Dates) &lt;= 0,
            1,
            NETWORKDAYS(L2089, M2089, Holiday_Dates) - IF(L2089 = M2089, 0, 1)
        )
    )
)</f>
        <v/>
      </c>
      <c r="R2089" s="385" t="str">
        <f>IFERROR(
    IF(
        OR(ISBLANK(N2089), AND(ISBLANK(L2089), ISBLANK(M2089))),
        "",
        MAX(
            1,
            IF(
                NETWORKDAYS(IF(NOT(ISBLANK(M2089)), M2089, L2089), N2089, Holiday_Dates) &lt;= 0,
                1,
                NETWORKDAYS(IF(NOT(ISBLANK(M2089)), M2089, L2089), N2089, Holiday_Dates)
                - IF(IF(NOT(ISBLANK(M2089)), M2089, L2089) = N2089, 0, 1)
            )
        )
    ),
    ""
)</f>
        <v/>
      </c>
      <c r="S2089" s="385" t="str">
        <f>IFERROR(
    IF(
        OR(ISBLANK(N2089), ISBLANK(O2089)),
        "",
        MAX(
            1,
            IF(
                NETWORKDAYS(N2089, O2089, Holiday_Dates) &lt;= 0,
                1,
                NETWORKDAYS(N2089, O2089, Holiday_Dates) - IF(N2089 = O2089, 0, 1)
            )
        )
    ),
    ""
)</f>
        <v/>
      </c>
      <c r="T2089" s="385"/>
      <c r="U2089" s="385"/>
      <c r="V2089" s="385"/>
      <c r="W2089" s="385" t="s">
        <v>4710</v>
      </c>
      <c r="X2089" s="1"/>
    </row>
    <row r="2090" spans="1:24">
      <c r="A2090" s="385" t="s">
        <v>65</v>
      </c>
      <c r="B2090" s="385" t="s">
        <v>1314</v>
      </c>
      <c r="C2090" s="385" t="s">
        <v>2870</v>
      </c>
      <c r="D2090" s="385" t="s">
        <v>88</v>
      </c>
      <c r="E2090" s="385" t="s">
        <v>141</v>
      </c>
      <c r="F2090" s="385"/>
      <c r="G2090" s="385" t="s">
        <v>130</v>
      </c>
      <c r="H2090" s="385"/>
      <c r="I2090" s="385"/>
      <c r="J2090" s="30"/>
      <c r="K2090" s="385"/>
      <c r="L2090" s="385"/>
      <c r="M2090" s="385"/>
      <c r="N2090" s="385"/>
      <c r="O2090" s="385"/>
      <c r="P2090" s="385" t="str">
        <f>IFERROR(
    IF(
        OR(ISBLANK(I2090), ISBLANK(L2090)),
        "",
        MAX(
            1,
            IF(
                NETWORKDAYS(I2090, L2090, Holiday_Dates) &lt;= 0,
                1,
                NETWORKDAYS(I2090, L2090, Holiday_Dates) - IF(I2090 = L2090, 0, 1)
            )
        )
    ),
    ""
)</f>
        <v/>
      </c>
      <c r="Q2090" s="385" t="str">
        <f>IF(
    OR(ISBLANK(L2090), ISBLANK(M2090)),
    "",
    MAX(
        1,
        IF(
            NETWORKDAYS(L2090, M2090, Holiday_Dates) &lt;= 0,
            1,
            NETWORKDAYS(L2090, M2090, Holiday_Dates) - IF(L2090 = M2090, 0, 1)
        )
    )
)</f>
        <v/>
      </c>
      <c r="R2090" s="385" t="str">
        <f>IFERROR(
    IF(
        OR(ISBLANK(N2090), AND(ISBLANK(L2090), ISBLANK(M2090))),
        "",
        MAX(
            1,
            IF(
                NETWORKDAYS(IF(NOT(ISBLANK(M2090)), M2090, L2090), N2090, Holiday_Dates) &lt;= 0,
                1,
                NETWORKDAYS(IF(NOT(ISBLANK(M2090)), M2090, L2090), N2090, Holiday_Dates)
                - IF(IF(NOT(ISBLANK(M2090)), M2090, L2090) = N2090, 0, 1)
            )
        )
    ),
    ""
)</f>
        <v/>
      </c>
      <c r="S2090" s="385" t="str">
        <f>IFERROR(
    IF(
        OR(ISBLANK(N2090), ISBLANK(O2090)),
        "",
        MAX(
            1,
            IF(
                NETWORKDAYS(N2090, O2090, Holiday_Dates) &lt;= 0,
                1,
                NETWORKDAYS(N2090, O2090, Holiday_Dates) - IF(N2090 = O2090, 0, 1)
            )
        )
    ),
    ""
)</f>
        <v/>
      </c>
      <c r="T2090" s="385"/>
      <c r="U2090" s="385"/>
      <c r="V2090" s="385"/>
      <c r="W2090" s="385" t="s">
        <v>4710</v>
      </c>
      <c r="X2090" s="1"/>
    </row>
    <row r="2091" spans="1:24">
      <c r="A2091" s="385" t="s">
        <v>65</v>
      </c>
      <c r="B2091" s="385" t="s">
        <v>1314</v>
      </c>
      <c r="C2091" s="385" t="s">
        <v>2822</v>
      </c>
      <c r="D2091" s="385" t="s">
        <v>88</v>
      </c>
      <c r="E2091" s="385" t="s">
        <v>141</v>
      </c>
      <c r="F2091" s="385"/>
      <c r="G2091" s="385" t="s">
        <v>130</v>
      </c>
      <c r="H2091" s="385"/>
      <c r="I2091" s="385"/>
      <c r="J2091" s="30"/>
      <c r="K2091" s="385"/>
      <c r="L2091" s="385"/>
      <c r="M2091" s="385"/>
      <c r="N2091" s="385"/>
      <c r="O2091" s="385"/>
      <c r="P2091" s="385" t="str">
        <f>IFERROR(
    IF(
        OR(ISBLANK(I2091), ISBLANK(L2091)),
        "",
        MAX(
            1,
            IF(
                NETWORKDAYS(I2091, L2091, Holiday_Dates) &lt;= 0,
                1,
                NETWORKDAYS(I2091, L2091, Holiday_Dates) - IF(I2091 = L2091, 0, 1)
            )
        )
    ),
    ""
)</f>
        <v/>
      </c>
      <c r="Q2091" s="385" t="str">
        <f>IF(
    OR(ISBLANK(L2091), ISBLANK(M2091)),
    "",
    MAX(
        1,
        IF(
            NETWORKDAYS(L2091, M2091, Holiday_Dates) &lt;= 0,
            1,
            NETWORKDAYS(L2091, M2091, Holiday_Dates) - IF(L2091 = M2091, 0, 1)
        )
    )
)</f>
        <v/>
      </c>
      <c r="R2091" s="385" t="str">
        <f>IFERROR(
    IF(
        OR(ISBLANK(N2091), AND(ISBLANK(L2091), ISBLANK(M2091))),
        "",
        MAX(
            1,
            IF(
                NETWORKDAYS(IF(NOT(ISBLANK(M2091)), M2091, L2091), N2091, Holiday_Dates) &lt;= 0,
                1,
                NETWORKDAYS(IF(NOT(ISBLANK(M2091)), M2091, L2091), N2091, Holiday_Dates)
                - IF(IF(NOT(ISBLANK(M2091)), M2091, L2091) = N2091, 0, 1)
            )
        )
    ),
    ""
)</f>
        <v/>
      </c>
      <c r="S2091" s="385" t="str">
        <f>IFERROR(
    IF(
        OR(ISBLANK(N2091), ISBLANK(O2091)),
        "",
        MAX(
            1,
            IF(
                NETWORKDAYS(N2091, O2091, Holiday_Dates) &lt;= 0,
                1,
                NETWORKDAYS(N2091, O2091, Holiday_Dates) - IF(N2091 = O2091, 0, 1)
            )
        )
    ),
    ""
)</f>
        <v/>
      </c>
      <c r="T2091" s="385"/>
      <c r="U2091" s="385"/>
      <c r="V2091" s="385"/>
      <c r="W2091" s="385" t="s">
        <v>4710</v>
      </c>
      <c r="X2091" s="1"/>
    </row>
    <row r="2092" spans="1:24">
      <c r="A2092" s="385" t="s">
        <v>51</v>
      </c>
      <c r="B2092" s="385" t="s">
        <v>534</v>
      </c>
      <c r="C2092" s="385" t="s">
        <v>3696</v>
      </c>
      <c r="D2092" s="385" t="s">
        <v>88</v>
      </c>
      <c r="E2092" s="385"/>
      <c r="F2092" s="385"/>
      <c r="G2092" s="385"/>
      <c r="H2092" s="385">
        <v>2025</v>
      </c>
      <c r="I2092" s="386">
        <v>45916</v>
      </c>
      <c r="J2092" s="30" t="s">
        <v>5480</v>
      </c>
      <c r="K2092" s="385"/>
      <c r="L2092" s="385"/>
      <c r="M2092" s="385"/>
      <c r="N2092" s="385"/>
      <c r="O2092" s="385"/>
      <c r="P2092" s="385" t="str">
        <f>IFERROR(
    IF(
        OR(ISBLANK(I2092), ISBLANK(L2092)),
        "",
        MAX(
            1,
            IF(
                NETWORKDAYS(I2092, L2092, Holiday_Dates) &lt;= 0,
                1,
                NETWORKDAYS(I2092, L2092, Holiday_Dates) - IF(I2092 = L2092, 0, 1)
            )
        )
    ),
    ""
)</f>
        <v/>
      </c>
      <c r="Q2092" s="385" t="str">
        <f>IF(
    OR(ISBLANK(L2092), ISBLANK(M2092)),
    "",
    MAX(
        1,
        IF(
            NETWORKDAYS(L2092, M2092, Holiday_Dates) &lt;= 0,
            1,
            NETWORKDAYS(L2092, M2092, Holiday_Dates) - IF(L2092 = M2092, 0, 1)
        )
    )
)</f>
        <v/>
      </c>
      <c r="R2092" s="385" t="str">
        <f>IFERROR(
    IF(
        OR(ISBLANK(N2092), AND(ISBLANK(L2092), ISBLANK(M2092))),
        "",
        MAX(
            1,
            IF(
                NETWORKDAYS(IF(NOT(ISBLANK(M2092)), M2092, L2092), N2092, Holiday_Dates) &lt;= 0,
                1,
                NETWORKDAYS(IF(NOT(ISBLANK(M2092)), M2092, L2092), N2092, Holiday_Dates)
                - IF(IF(NOT(ISBLANK(M2092)), M2092, L2092) = N2092, 0, 1)
            )
        )
    ),
    ""
)</f>
        <v/>
      </c>
      <c r="S2092" s="385" t="str">
        <f>IFERROR(
    IF(
        OR(ISBLANK(N2092), ISBLANK(O2092)),
        "",
        MAX(
            1,
            IF(
                NETWORKDAYS(N2092, O2092, Holiday_Dates) &lt;= 0,
                1,
                NETWORKDAYS(N2092, O2092, Holiday_Dates) - IF(N2092 = O2092, 0, 1)
            )
        )
    ),
    ""
)</f>
        <v/>
      </c>
      <c r="T2092" s="385"/>
      <c r="U2092" s="385" t="s">
        <v>672</v>
      </c>
      <c r="V2092" s="385" t="s">
        <v>1676</v>
      </c>
      <c r="W2092" s="385" t="s">
        <v>1436</v>
      </c>
      <c r="X2092" s="1"/>
    </row>
    <row r="2093" spans="1:24">
      <c r="A2093" s="385" t="s">
        <v>65</v>
      </c>
      <c r="B2093" s="385" t="s">
        <v>1314</v>
      </c>
      <c r="C2093" s="385" t="s">
        <v>2826</v>
      </c>
      <c r="D2093" s="385" t="s">
        <v>88</v>
      </c>
      <c r="E2093" s="385" t="s">
        <v>141</v>
      </c>
      <c r="F2093" s="385"/>
      <c r="G2093" s="385" t="s">
        <v>130</v>
      </c>
      <c r="H2093" s="385"/>
      <c r="I2093" s="385"/>
      <c r="J2093" s="30"/>
      <c r="K2093" s="385"/>
      <c r="L2093" s="385"/>
      <c r="M2093" s="385"/>
      <c r="N2093" s="385"/>
      <c r="O2093" s="385"/>
      <c r="P2093" s="385" t="str">
        <f>IFERROR(
    IF(
        OR(ISBLANK(I2093), ISBLANK(L2093)),
        "",
        MAX(
            1,
            IF(
                NETWORKDAYS(I2093, L2093, Holiday_Dates) &lt;= 0,
                1,
                NETWORKDAYS(I2093, L2093, Holiday_Dates) - IF(I2093 = L2093, 0, 1)
            )
        )
    ),
    ""
)</f>
        <v/>
      </c>
      <c r="Q2093" s="385" t="str">
        <f>IF(
    OR(ISBLANK(L2093), ISBLANK(M2093)),
    "",
    MAX(
        1,
        IF(
            NETWORKDAYS(L2093, M2093, Holiday_Dates) &lt;= 0,
            1,
            NETWORKDAYS(L2093, M2093, Holiday_Dates) - IF(L2093 = M2093, 0, 1)
        )
    )
)</f>
        <v/>
      </c>
      <c r="R2093" s="385" t="str">
        <f>IFERROR(
    IF(
        OR(ISBLANK(N2093), AND(ISBLANK(L2093), ISBLANK(M2093))),
        "",
        MAX(
            1,
            IF(
                NETWORKDAYS(IF(NOT(ISBLANK(M2093)), M2093, L2093), N2093, Holiday_Dates) &lt;= 0,
                1,
                NETWORKDAYS(IF(NOT(ISBLANK(M2093)), M2093, L2093), N2093, Holiday_Dates)
                - IF(IF(NOT(ISBLANK(M2093)), M2093, L2093) = N2093, 0, 1)
            )
        )
    ),
    ""
)</f>
        <v/>
      </c>
      <c r="S2093" s="385" t="str">
        <f>IFERROR(
    IF(
        OR(ISBLANK(N2093), ISBLANK(O2093)),
        "",
        MAX(
            1,
            IF(
                NETWORKDAYS(N2093, O2093, Holiday_Dates) &lt;= 0,
                1,
                NETWORKDAYS(N2093, O2093, Holiday_Dates) - IF(N2093 = O2093, 0, 1)
            )
        )
    ),
    ""
)</f>
        <v/>
      </c>
      <c r="T2093" s="385"/>
      <c r="U2093" s="385"/>
      <c r="V2093" s="385"/>
      <c r="W2093" s="385" t="s">
        <v>4710</v>
      </c>
      <c r="X2093" s="1"/>
    </row>
    <row r="2094" spans="1:24">
      <c r="A2094" s="385" t="s">
        <v>65</v>
      </c>
      <c r="B2094" s="385" t="s">
        <v>1314</v>
      </c>
      <c r="C2094" s="385" t="s">
        <v>2827</v>
      </c>
      <c r="D2094" s="385" t="s">
        <v>88</v>
      </c>
      <c r="E2094" s="385" t="s">
        <v>141</v>
      </c>
      <c r="F2094" s="385"/>
      <c r="G2094" s="385" t="s">
        <v>130</v>
      </c>
      <c r="H2094" s="385"/>
      <c r="I2094" s="385"/>
      <c r="J2094" s="30"/>
      <c r="K2094" s="385"/>
      <c r="L2094" s="385"/>
      <c r="M2094" s="385"/>
      <c r="N2094" s="385"/>
      <c r="O2094" s="385"/>
      <c r="P2094" s="385" t="str">
        <f>IFERROR(
    IF(
        OR(ISBLANK(I2094), ISBLANK(L2094)),
        "",
        MAX(
            1,
            IF(
                NETWORKDAYS(I2094, L2094, Holiday_Dates) &lt;= 0,
                1,
                NETWORKDAYS(I2094, L2094, Holiday_Dates) - IF(I2094 = L2094, 0, 1)
            )
        )
    ),
    ""
)</f>
        <v/>
      </c>
      <c r="Q2094" s="385" t="str">
        <f>IF(
    OR(ISBLANK(L2094), ISBLANK(M2094)),
    "",
    MAX(
        1,
        IF(
            NETWORKDAYS(L2094, M2094, Holiday_Dates) &lt;= 0,
            1,
            NETWORKDAYS(L2094, M2094, Holiday_Dates) - IF(L2094 = M2094, 0, 1)
        )
    )
)</f>
        <v/>
      </c>
      <c r="R2094" s="385" t="str">
        <f>IFERROR(
    IF(
        OR(ISBLANK(N2094), AND(ISBLANK(L2094), ISBLANK(M2094))),
        "",
        MAX(
            1,
            IF(
                NETWORKDAYS(IF(NOT(ISBLANK(M2094)), M2094, L2094), N2094, Holiday_Dates) &lt;= 0,
                1,
                NETWORKDAYS(IF(NOT(ISBLANK(M2094)), M2094, L2094), N2094, Holiday_Dates)
                - IF(IF(NOT(ISBLANK(M2094)), M2094, L2094) = N2094, 0, 1)
            )
        )
    ),
    ""
)</f>
        <v/>
      </c>
      <c r="S2094" s="385" t="str">
        <f>IFERROR(
    IF(
        OR(ISBLANK(N2094), ISBLANK(O2094)),
        "",
        MAX(
            1,
            IF(
                NETWORKDAYS(N2094, O2094, Holiday_Dates) &lt;= 0,
                1,
                NETWORKDAYS(N2094, O2094, Holiday_Dates) - IF(N2094 = O2094, 0, 1)
            )
        )
    ),
    ""
)</f>
        <v/>
      </c>
      <c r="T2094" s="385"/>
      <c r="U2094" s="385"/>
      <c r="V2094" s="385"/>
      <c r="W2094" s="385" t="s">
        <v>4710</v>
      </c>
      <c r="X2094" s="1"/>
    </row>
    <row r="2095" spans="1:24">
      <c r="A2095" s="385" t="s">
        <v>65</v>
      </c>
      <c r="B2095" s="385" t="s">
        <v>1314</v>
      </c>
      <c r="C2095" s="385" t="s">
        <v>2859</v>
      </c>
      <c r="D2095" s="385" t="s">
        <v>88</v>
      </c>
      <c r="E2095" s="385" t="s">
        <v>141</v>
      </c>
      <c r="F2095" s="385"/>
      <c r="G2095" s="385" t="s">
        <v>130</v>
      </c>
      <c r="H2095" s="385"/>
      <c r="I2095" s="385"/>
      <c r="J2095" s="30"/>
      <c r="K2095" s="385"/>
      <c r="L2095" s="385"/>
      <c r="M2095" s="385"/>
      <c r="N2095" s="385"/>
      <c r="O2095" s="385"/>
      <c r="P2095" s="385" t="str">
        <f>IFERROR(
    IF(
        OR(ISBLANK(I2095), ISBLANK(L2095)),
        "",
        MAX(
            1,
            IF(
                NETWORKDAYS(I2095, L2095, Holiday_Dates) &lt;= 0,
                1,
                NETWORKDAYS(I2095, L2095, Holiday_Dates) - IF(I2095 = L2095, 0, 1)
            )
        )
    ),
    ""
)</f>
        <v/>
      </c>
      <c r="Q2095" s="385" t="str">
        <f>IF(
    OR(ISBLANK(L2095), ISBLANK(M2095)),
    "",
    MAX(
        1,
        IF(
            NETWORKDAYS(L2095, M2095, Holiday_Dates) &lt;= 0,
            1,
            NETWORKDAYS(L2095, M2095, Holiday_Dates) - IF(L2095 = M2095, 0, 1)
        )
    )
)</f>
        <v/>
      </c>
      <c r="R2095" s="385" t="str">
        <f>IFERROR(
    IF(
        OR(ISBLANK(N2095), AND(ISBLANK(L2095), ISBLANK(M2095))),
        "",
        MAX(
            1,
            IF(
                NETWORKDAYS(IF(NOT(ISBLANK(M2095)), M2095, L2095), N2095, Holiday_Dates) &lt;= 0,
                1,
                NETWORKDAYS(IF(NOT(ISBLANK(M2095)), M2095, L2095), N2095, Holiday_Dates)
                - IF(IF(NOT(ISBLANK(M2095)), M2095, L2095) = N2095, 0, 1)
            )
        )
    ),
    ""
)</f>
        <v/>
      </c>
      <c r="S2095" s="385" t="str">
        <f>IFERROR(
    IF(
        OR(ISBLANK(N2095), ISBLANK(O2095)),
        "",
        MAX(
            1,
            IF(
                NETWORKDAYS(N2095, O2095, Holiday_Dates) &lt;= 0,
                1,
                NETWORKDAYS(N2095, O2095, Holiday_Dates) - IF(N2095 = O2095, 0, 1)
            )
        )
    ),
    ""
)</f>
        <v/>
      </c>
      <c r="T2095" s="385"/>
      <c r="U2095" s="385"/>
      <c r="V2095" s="385"/>
      <c r="W2095" s="385" t="s">
        <v>4710</v>
      </c>
      <c r="X2095" s="1"/>
    </row>
    <row r="2096" spans="1:24">
      <c r="A2096" s="385" t="s">
        <v>65</v>
      </c>
      <c r="B2096" s="385" t="s">
        <v>1314</v>
      </c>
      <c r="C2096" s="385" t="s">
        <v>2830</v>
      </c>
      <c r="D2096" s="385" t="s">
        <v>88</v>
      </c>
      <c r="E2096" s="385" t="s">
        <v>141</v>
      </c>
      <c r="F2096" s="385"/>
      <c r="G2096" s="385" t="s">
        <v>130</v>
      </c>
      <c r="H2096" s="385"/>
      <c r="I2096" s="385"/>
      <c r="J2096" s="30"/>
      <c r="K2096" s="385"/>
      <c r="L2096" s="385"/>
      <c r="M2096" s="385"/>
      <c r="N2096" s="385"/>
      <c r="O2096" s="385"/>
      <c r="P2096" s="385" t="str">
        <f>IFERROR(
    IF(
        OR(ISBLANK(I2096), ISBLANK(L2096)),
        "",
        MAX(
            1,
            IF(
                NETWORKDAYS(I2096, L2096, Holiday_Dates) &lt;= 0,
                1,
                NETWORKDAYS(I2096, L2096, Holiday_Dates) - IF(I2096 = L2096, 0, 1)
            )
        )
    ),
    ""
)</f>
        <v/>
      </c>
      <c r="Q2096" s="385" t="str">
        <f>IF(
    OR(ISBLANK(L2096), ISBLANK(M2096)),
    "",
    MAX(
        1,
        IF(
            NETWORKDAYS(L2096, M2096, Holiday_Dates) &lt;= 0,
            1,
            NETWORKDAYS(L2096, M2096, Holiday_Dates) - IF(L2096 = M2096, 0, 1)
        )
    )
)</f>
        <v/>
      </c>
      <c r="R2096" s="385" t="str">
        <f>IFERROR(
    IF(
        OR(ISBLANK(N2096), AND(ISBLANK(L2096), ISBLANK(M2096))),
        "",
        MAX(
            1,
            IF(
                NETWORKDAYS(IF(NOT(ISBLANK(M2096)), M2096, L2096), N2096, Holiday_Dates) &lt;= 0,
                1,
                NETWORKDAYS(IF(NOT(ISBLANK(M2096)), M2096, L2096), N2096, Holiday_Dates)
                - IF(IF(NOT(ISBLANK(M2096)), M2096, L2096) = N2096, 0, 1)
            )
        )
    ),
    ""
)</f>
        <v/>
      </c>
      <c r="S2096" s="385" t="str">
        <f>IFERROR(
    IF(
        OR(ISBLANK(N2096), ISBLANK(O2096)),
        "",
        MAX(
            1,
            IF(
                NETWORKDAYS(N2096, O2096, Holiday_Dates) &lt;= 0,
                1,
                NETWORKDAYS(N2096, O2096, Holiday_Dates) - IF(N2096 = O2096, 0, 1)
            )
        )
    ),
    ""
)</f>
        <v/>
      </c>
      <c r="T2096" s="385"/>
      <c r="U2096" s="385"/>
      <c r="V2096" s="385"/>
      <c r="W2096" s="385" t="s">
        <v>4710</v>
      </c>
      <c r="X2096" s="1"/>
    </row>
    <row r="2097" spans="1:24">
      <c r="A2097" s="385" t="s">
        <v>65</v>
      </c>
      <c r="B2097" s="385" t="s">
        <v>1314</v>
      </c>
      <c r="C2097" s="385" t="s">
        <v>520</v>
      </c>
      <c r="D2097" s="385" t="s">
        <v>88</v>
      </c>
      <c r="E2097" s="385" t="s">
        <v>141</v>
      </c>
      <c r="F2097" s="385"/>
      <c r="G2097" s="385" t="s">
        <v>130</v>
      </c>
      <c r="H2097" s="385"/>
      <c r="I2097" s="385"/>
      <c r="J2097" s="30"/>
      <c r="K2097" s="385"/>
      <c r="L2097" s="385"/>
      <c r="M2097" s="385"/>
      <c r="N2097" s="385"/>
      <c r="O2097" s="385"/>
      <c r="P2097" s="385" t="str">
        <f>IFERROR(
    IF(
        OR(ISBLANK(I2097), ISBLANK(L2097)),
        "",
        MAX(
            1,
            IF(
                NETWORKDAYS(I2097, L2097, Holiday_Dates) &lt;= 0,
                1,
                NETWORKDAYS(I2097, L2097, Holiday_Dates) - IF(I2097 = L2097, 0, 1)
            )
        )
    ),
    ""
)</f>
        <v/>
      </c>
      <c r="Q2097" s="385" t="str">
        <f>IF(
    OR(ISBLANK(L2097), ISBLANK(M2097)),
    "",
    MAX(
        1,
        IF(
            NETWORKDAYS(L2097, M2097, Holiday_Dates) &lt;= 0,
            1,
            NETWORKDAYS(L2097, M2097, Holiday_Dates) - IF(L2097 = M2097, 0, 1)
        )
    )
)</f>
        <v/>
      </c>
      <c r="R2097" s="385" t="str">
        <f>IFERROR(
    IF(
        OR(ISBLANK(N2097), AND(ISBLANK(L2097), ISBLANK(M2097))),
        "",
        MAX(
            1,
            IF(
                NETWORKDAYS(IF(NOT(ISBLANK(M2097)), M2097, L2097), N2097, Holiday_Dates) &lt;= 0,
                1,
                NETWORKDAYS(IF(NOT(ISBLANK(M2097)), M2097, L2097), N2097, Holiday_Dates)
                - IF(IF(NOT(ISBLANK(M2097)), M2097, L2097) = N2097, 0, 1)
            )
        )
    ),
    ""
)</f>
        <v/>
      </c>
      <c r="S2097" s="385" t="str">
        <f>IFERROR(
    IF(
        OR(ISBLANK(N2097), ISBLANK(O2097)),
        "",
        MAX(
            1,
            IF(
                NETWORKDAYS(N2097, O2097, Holiday_Dates) &lt;= 0,
                1,
                NETWORKDAYS(N2097, O2097, Holiday_Dates) - IF(N2097 = O2097, 0, 1)
            )
        )
    ),
    ""
)</f>
        <v/>
      </c>
      <c r="T2097" s="385"/>
      <c r="U2097" s="385"/>
      <c r="V2097" s="385"/>
      <c r="W2097" s="385" t="s">
        <v>4710</v>
      </c>
      <c r="X2097" s="1"/>
    </row>
    <row r="2098" spans="1:24">
      <c r="A2098" s="385" t="s">
        <v>65</v>
      </c>
      <c r="B2098" s="385" t="s">
        <v>1314</v>
      </c>
      <c r="C2098" s="385" t="s">
        <v>2844</v>
      </c>
      <c r="D2098" s="385" t="s">
        <v>88</v>
      </c>
      <c r="E2098" s="385" t="s">
        <v>141</v>
      </c>
      <c r="F2098" s="385"/>
      <c r="G2098" s="385" t="s">
        <v>130</v>
      </c>
      <c r="H2098" s="385"/>
      <c r="I2098" s="385"/>
      <c r="J2098" s="30"/>
      <c r="K2098" s="385"/>
      <c r="L2098" s="385"/>
      <c r="M2098" s="385"/>
      <c r="N2098" s="385"/>
      <c r="O2098" s="385"/>
      <c r="P2098" s="385" t="str">
        <f>IFERROR(
    IF(
        OR(ISBLANK(I2098), ISBLANK(L2098)),
        "",
        MAX(
            1,
            IF(
                NETWORKDAYS(I2098, L2098, Holiday_Dates) &lt;= 0,
                1,
                NETWORKDAYS(I2098, L2098, Holiday_Dates) - IF(I2098 = L2098, 0, 1)
            )
        )
    ),
    ""
)</f>
        <v/>
      </c>
      <c r="Q2098" s="385" t="str">
        <f>IF(
    OR(ISBLANK(L2098), ISBLANK(M2098)),
    "",
    MAX(
        1,
        IF(
            NETWORKDAYS(L2098, M2098, Holiday_Dates) &lt;= 0,
            1,
            NETWORKDAYS(L2098, M2098, Holiday_Dates) - IF(L2098 = M2098, 0, 1)
        )
    )
)</f>
        <v/>
      </c>
      <c r="R2098" s="385" t="str">
        <f>IFERROR(
    IF(
        OR(ISBLANK(N2098), AND(ISBLANK(L2098), ISBLANK(M2098))),
        "",
        MAX(
            1,
            IF(
                NETWORKDAYS(IF(NOT(ISBLANK(M2098)), M2098, L2098), N2098, Holiday_Dates) &lt;= 0,
                1,
                NETWORKDAYS(IF(NOT(ISBLANK(M2098)), M2098, L2098), N2098, Holiday_Dates)
                - IF(IF(NOT(ISBLANK(M2098)), M2098, L2098) = N2098, 0, 1)
            )
        )
    ),
    ""
)</f>
        <v/>
      </c>
      <c r="S2098" s="385" t="str">
        <f>IFERROR(
    IF(
        OR(ISBLANK(N2098), ISBLANK(O2098)),
        "",
        MAX(
            1,
            IF(
                NETWORKDAYS(N2098, O2098, Holiday_Dates) &lt;= 0,
                1,
                NETWORKDAYS(N2098, O2098, Holiday_Dates) - IF(N2098 = O2098, 0, 1)
            )
        )
    ),
    ""
)</f>
        <v/>
      </c>
      <c r="T2098" s="385"/>
      <c r="U2098" s="385"/>
      <c r="V2098" s="385"/>
      <c r="W2098" s="385" t="s">
        <v>4710</v>
      </c>
      <c r="X2098" s="1"/>
    </row>
    <row r="2099" spans="1:24">
      <c r="A2099" s="385" t="s">
        <v>65</v>
      </c>
      <c r="B2099" s="385" t="s">
        <v>1314</v>
      </c>
      <c r="C2099" s="385" t="s">
        <v>2845</v>
      </c>
      <c r="D2099" s="385" t="s">
        <v>88</v>
      </c>
      <c r="E2099" s="385" t="s">
        <v>141</v>
      </c>
      <c r="F2099" s="385"/>
      <c r="G2099" s="385" t="s">
        <v>130</v>
      </c>
      <c r="H2099" s="385"/>
      <c r="I2099" s="385"/>
      <c r="J2099" s="30"/>
      <c r="K2099" s="385"/>
      <c r="L2099" s="385"/>
      <c r="M2099" s="385"/>
      <c r="N2099" s="385"/>
      <c r="O2099" s="385"/>
      <c r="P2099" s="385" t="str">
        <f>IFERROR(
    IF(
        OR(ISBLANK(I2099), ISBLANK(L2099)),
        "",
        MAX(
            1,
            IF(
                NETWORKDAYS(I2099, L2099, Holiday_Dates) &lt;= 0,
                1,
                NETWORKDAYS(I2099, L2099, Holiday_Dates) - IF(I2099 = L2099, 0, 1)
            )
        )
    ),
    ""
)</f>
        <v/>
      </c>
      <c r="Q2099" s="385" t="str">
        <f>IF(
    OR(ISBLANK(L2099), ISBLANK(M2099)),
    "",
    MAX(
        1,
        IF(
            NETWORKDAYS(L2099, M2099, Holiday_Dates) &lt;= 0,
            1,
            NETWORKDAYS(L2099, M2099, Holiday_Dates) - IF(L2099 = M2099, 0, 1)
        )
    )
)</f>
        <v/>
      </c>
      <c r="R2099" s="385" t="str">
        <f>IFERROR(
    IF(
        OR(ISBLANK(N2099), AND(ISBLANK(L2099), ISBLANK(M2099))),
        "",
        MAX(
            1,
            IF(
                NETWORKDAYS(IF(NOT(ISBLANK(M2099)), M2099, L2099), N2099, Holiday_Dates) &lt;= 0,
                1,
                NETWORKDAYS(IF(NOT(ISBLANK(M2099)), M2099, L2099), N2099, Holiday_Dates)
                - IF(IF(NOT(ISBLANK(M2099)), M2099, L2099) = N2099, 0, 1)
            )
        )
    ),
    ""
)</f>
        <v/>
      </c>
      <c r="S2099" s="385" t="str">
        <f>IFERROR(
    IF(
        OR(ISBLANK(N2099), ISBLANK(O2099)),
        "",
        MAX(
            1,
            IF(
                NETWORKDAYS(N2099, O2099, Holiday_Dates) &lt;= 0,
                1,
                NETWORKDAYS(N2099, O2099, Holiday_Dates) - IF(N2099 = O2099, 0, 1)
            )
        )
    ),
    ""
)</f>
        <v/>
      </c>
      <c r="T2099" s="385"/>
      <c r="U2099" s="385"/>
      <c r="V2099" s="385"/>
      <c r="W2099" s="385" t="s">
        <v>4710</v>
      </c>
      <c r="X2099" s="1"/>
    </row>
    <row r="2100" spans="1:24">
      <c r="A2100" s="385" t="s">
        <v>65</v>
      </c>
      <c r="B2100" s="385" t="s">
        <v>1314</v>
      </c>
      <c r="C2100" s="385" t="s">
        <v>2846</v>
      </c>
      <c r="D2100" s="385" t="s">
        <v>88</v>
      </c>
      <c r="E2100" s="385" t="s">
        <v>141</v>
      </c>
      <c r="F2100" s="385"/>
      <c r="G2100" s="385" t="s">
        <v>130</v>
      </c>
      <c r="H2100" s="385"/>
      <c r="I2100" s="385"/>
      <c r="J2100" s="30"/>
      <c r="K2100" s="385"/>
      <c r="L2100" s="385"/>
      <c r="M2100" s="385"/>
      <c r="N2100" s="385"/>
      <c r="O2100" s="385"/>
      <c r="P2100" s="385" t="str">
        <f>IFERROR(
    IF(
        OR(ISBLANK(I2100), ISBLANK(L2100)),
        "",
        MAX(
            1,
            IF(
                NETWORKDAYS(I2100, L2100, Holiday_Dates) &lt;= 0,
                1,
                NETWORKDAYS(I2100, L2100, Holiday_Dates) - IF(I2100 = L2100, 0, 1)
            )
        )
    ),
    ""
)</f>
        <v/>
      </c>
      <c r="Q2100" s="385" t="str">
        <f>IF(
    OR(ISBLANK(L2100), ISBLANK(M2100)),
    "",
    MAX(
        1,
        IF(
            NETWORKDAYS(L2100, M2100, Holiday_Dates) &lt;= 0,
            1,
            NETWORKDAYS(L2100, M2100, Holiday_Dates) - IF(L2100 = M2100, 0, 1)
        )
    )
)</f>
        <v/>
      </c>
      <c r="R2100" s="385" t="str">
        <f>IFERROR(
    IF(
        OR(ISBLANK(N2100), AND(ISBLANK(L2100), ISBLANK(M2100))),
        "",
        MAX(
            1,
            IF(
                NETWORKDAYS(IF(NOT(ISBLANK(M2100)), M2100, L2100), N2100, Holiday_Dates) &lt;= 0,
                1,
                NETWORKDAYS(IF(NOT(ISBLANK(M2100)), M2100, L2100), N2100, Holiday_Dates)
                - IF(IF(NOT(ISBLANK(M2100)), M2100, L2100) = N2100, 0, 1)
            )
        )
    ),
    ""
)</f>
        <v/>
      </c>
      <c r="S2100" s="385" t="str">
        <f>IFERROR(
    IF(
        OR(ISBLANK(N2100), ISBLANK(O2100)),
        "",
        MAX(
            1,
            IF(
                NETWORKDAYS(N2100, O2100, Holiday_Dates) &lt;= 0,
                1,
                NETWORKDAYS(N2100, O2100, Holiday_Dates) - IF(N2100 = O2100, 0, 1)
            )
        )
    ),
    ""
)</f>
        <v/>
      </c>
      <c r="T2100" s="385"/>
      <c r="U2100" s="385"/>
      <c r="V2100" s="385"/>
      <c r="W2100" s="385" t="s">
        <v>4710</v>
      </c>
      <c r="X2100" s="1"/>
    </row>
    <row r="2101" spans="1:24">
      <c r="A2101" s="385" t="s">
        <v>65</v>
      </c>
      <c r="B2101" s="385" t="s">
        <v>1314</v>
      </c>
      <c r="C2101" s="385" t="s">
        <v>2847</v>
      </c>
      <c r="D2101" s="385" t="s">
        <v>88</v>
      </c>
      <c r="E2101" s="385" t="s">
        <v>141</v>
      </c>
      <c r="F2101" s="385"/>
      <c r="G2101" s="385" t="s">
        <v>130</v>
      </c>
      <c r="H2101" s="385"/>
      <c r="I2101" s="385"/>
      <c r="J2101" s="30"/>
      <c r="K2101" s="385"/>
      <c r="L2101" s="385"/>
      <c r="M2101" s="385"/>
      <c r="N2101" s="385"/>
      <c r="O2101" s="385"/>
      <c r="P2101" s="385" t="str">
        <f>IFERROR(
    IF(
        OR(ISBLANK(I2101), ISBLANK(L2101)),
        "",
        MAX(
            1,
            IF(
                NETWORKDAYS(I2101, L2101, Holiday_Dates) &lt;= 0,
                1,
                NETWORKDAYS(I2101, L2101, Holiday_Dates) - IF(I2101 = L2101, 0, 1)
            )
        )
    ),
    ""
)</f>
        <v/>
      </c>
      <c r="Q2101" s="385" t="str">
        <f>IF(
    OR(ISBLANK(L2101), ISBLANK(M2101)),
    "",
    MAX(
        1,
        IF(
            NETWORKDAYS(L2101, M2101, Holiday_Dates) &lt;= 0,
            1,
            NETWORKDAYS(L2101, M2101, Holiday_Dates) - IF(L2101 = M2101, 0, 1)
        )
    )
)</f>
        <v/>
      </c>
      <c r="R2101" s="385" t="str">
        <f>IFERROR(
    IF(
        OR(ISBLANK(N2101), AND(ISBLANK(L2101), ISBLANK(M2101))),
        "",
        MAX(
            1,
            IF(
                NETWORKDAYS(IF(NOT(ISBLANK(M2101)), M2101, L2101), N2101, Holiday_Dates) &lt;= 0,
                1,
                NETWORKDAYS(IF(NOT(ISBLANK(M2101)), M2101, L2101), N2101, Holiday_Dates)
                - IF(IF(NOT(ISBLANK(M2101)), M2101, L2101) = N2101, 0, 1)
            )
        )
    ),
    ""
)</f>
        <v/>
      </c>
      <c r="S2101" s="385" t="str">
        <f>IFERROR(
    IF(
        OR(ISBLANK(N2101), ISBLANK(O2101)),
        "",
        MAX(
            1,
            IF(
                NETWORKDAYS(N2101, O2101, Holiday_Dates) &lt;= 0,
                1,
                NETWORKDAYS(N2101, O2101, Holiday_Dates) - IF(N2101 = O2101, 0, 1)
            )
        )
    ),
    ""
)</f>
        <v/>
      </c>
      <c r="T2101" s="385"/>
      <c r="U2101" s="385"/>
      <c r="V2101" s="385"/>
      <c r="W2101" s="385" t="s">
        <v>4710</v>
      </c>
      <c r="X2101" s="1"/>
    </row>
    <row r="2102" spans="1:24">
      <c r="A2102" s="385" t="s">
        <v>65</v>
      </c>
      <c r="B2102" s="385" t="s">
        <v>1314</v>
      </c>
      <c r="C2102" s="385" t="s">
        <v>2848</v>
      </c>
      <c r="D2102" s="385" t="s">
        <v>88</v>
      </c>
      <c r="E2102" s="385" t="s">
        <v>141</v>
      </c>
      <c r="F2102" s="385"/>
      <c r="G2102" s="385" t="s">
        <v>130</v>
      </c>
      <c r="H2102" s="385"/>
      <c r="I2102" s="385"/>
      <c r="J2102" s="30"/>
      <c r="K2102" s="385"/>
      <c r="L2102" s="385"/>
      <c r="M2102" s="385"/>
      <c r="N2102" s="385"/>
      <c r="O2102" s="385"/>
      <c r="P2102" s="385" t="str">
        <f>IFERROR(
    IF(
        OR(ISBLANK(I2102), ISBLANK(L2102)),
        "",
        MAX(
            1,
            IF(
                NETWORKDAYS(I2102, L2102, Holiday_Dates) &lt;= 0,
                1,
                NETWORKDAYS(I2102, L2102, Holiday_Dates) - IF(I2102 = L2102, 0, 1)
            )
        )
    ),
    ""
)</f>
        <v/>
      </c>
      <c r="Q2102" s="385" t="str">
        <f>IF(
    OR(ISBLANK(L2102), ISBLANK(M2102)),
    "",
    MAX(
        1,
        IF(
            NETWORKDAYS(L2102, M2102, Holiday_Dates) &lt;= 0,
            1,
            NETWORKDAYS(L2102, M2102, Holiday_Dates) - IF(L2102 = M2102, 0, 1)
        )
    )
)</f>
        <v/>
      </c>
      <c r="R2102" s="385" t="str">
        <f>IFERROR(
    IF(
        OR(ISBLANK(N2102), AND(ISBLANK(L2102), ISBLANK(M2102))),
        "",
        MAX(
            1,
            IF(
                NETWORKDAYS(IF(NOT(ISBLANK(M2102)), M2102, L2102), N2102, Holiday_Dates) &lt;= 0,
                1,
                NETWORKDAYS(IF(NOT(ISBLANK(M2102)), M2102, L2102), N2102, Holiday_Dates)
                - IF(IF(NOT(ISBLANK(M2102)), M2102, L2102) = N2102, 0, 1)
            )
        )
    ),
    ""
)</f>
        <v/>
      </c>
      <c r="S2102" s="385" t="str">
        <f>IFERROR(
    IF(
        OR(ISBLANK(N2102), ISBLANK(O2102)),
        "",
        MAX(
            1,
            IF(
                NETWORKDAYS(N2102, O2102, Holiday_Dates) &lt;= 0,
                1,
                NETWORKDAYS(N2102, O2102, Holiday_Dates) - IF(N2102 = O2102, 0, 1)
            )
        )
    ),
    ""
)</f>
        <v/>
      </c>
      <c r="T2102" s="385"/>
      <c r="U2102" s="385"/>
      <c r="V2102" s="385"/>
      <c r="W2102" s="385" t="s">
        <v>4710</v>
      </c>
      <c r="X2102" s="1"/>
    </row>
    <row r="2103" spans="1:24">
      <c r="A2103" s="385" t="s">
        <v>65</v>
      </c>
      <c r="B2103" s="385" t="s">
        <v>1314</v>
      </c>
      <c r="C2103" s="385" t="s">
        <v>2871</v>
      </c>
      <c r="D2103" s="385" t="s">
        <v>88</v>
      </c>
      <c r="E2103" s="385" t="s">
        <v>141</v>
      </c>
      <c r="F2103" s="385"/>
      <c r="G2103" s="385" t="s">
        <v>130</v>
      </c>
      <c r="H2103" s="385"/>
      <c r="I2103" s="385"/>
      <c r="J2103" s="30"/>
      <c r="K2103" s="385"/>
      <c r="L2103" s="385"/>
      <c r="M2103" s="385"/>
      <c r="N2103" s="385"/>
      <c r="O2103" s="385"/>
      <c r="P2103" s="385" t="str">
        <f>IFERROR(
    IF(
        OR(ISBLANK(I2103), ISBLANK(L2103)),
        "",
        MAX(
            1,
            IF(
                NETWORKDAYS(I2103, L2103, Holiday_Dates) &lt;= 0,
                1,
                NETWORKDAYS(I2103, L2103, Holiday_Dates) - IF(I2103 = L2103, 0, 1)
            )
        )
    ),
    ""
)</f>
        <v/>
      </c>
      <c r="Q2103" s="385" t="str">
        <f>IF(
    OR(ISBLANK(L2103), ISBLANK(M2103)),
    "",
    MAX(
        1,
        IF(
            NETWORKDAYS(L2103, M2103, Holiday_Dates) &lt;= 0,
            1,
            NETWORKDAYS(L2103, M2103, Holiday_Dates) - IF(L2103 = M2103, 0, 1)
        )
    )
)</f>
        <v/>
      </c>
      <c r="R2103" s="385" t="str">
        <f>IFERROR(
    IF(
        OR(ISBLANK(N2103), AND(ISBLANK(L2103), ISBLANK(M2103))),
        "",
        MAX(
            1,
            IF(
                NETWORKDAYS(IF(NOT(ISBLANK(M2103)), M2103, L2103), N2103, Holiday_Dates) &lt;= 0,
                1,
                NETWORKDAYS(IF(NOT(ISBLANK(M2103)), M2103, L2103), N2103, Holiday_Dates)
                - IF(IF(NOT(ISBLANK(M2103)), M2103, L2103) = N2103, 0, 1)
            )
        )
    ),
    ""
)</f>
        <v/>
      </c>
      <c r="S2103" s="385" t="str">
        <f>IFERROR(
    IF(
        OR(ISBLANK(N2103), ISBLANK(O2103)),
        "",
        MAX(
            1,
            IF(
                NETWORKDAYS(N2103, O2103, Holiday_Dates) &lt;= 0,
                1,
                NETWORKDAYS(N2103, O2103, Holiday_Dates) - IF(N2103 = O2103, 0, 1)
            )
        )
    ),
    ""
)</f>
        <v/>
      </c>
      <c r="T2103" s="385"/>
      <c r="U2103" s="385"/>
      <c r="V2103" s="385"/>
      <c r="W2103" s="385" t="s">
        <v>4710</v>
      </c>
      <c r="X2103" s="1"/>
    </row>
    <row r="2104" spans="1:24">
      <c r="A2104" s="385" t="s">
        <v>51</v>
      </c>
      <c r="B2104" s="385" t="s">
        <v>534</v>
      </c>
      <c r="C2104" s="385" t="s">
        <v>2282</v>
      </c>
      <c r="D2104" s="385" t="s">
        <v>88</v>
      </c>
      <c r="E2104" s="385"/>
      <c r="F2104" s="385"/>
      <c r="G2104" s="385"/>
      <c r="H2104" s="385">
        <v>2025</v>
      </c>
      <c r="I2104" s="386">
        <v>45846</v>
      </c>
      <c r="J2104" s="30" t="s">
        <v>5481</v>
      </c>
      <c r="K2104" s="385"/>
      <c r="L2104" s="385"/>
      <c r="M2104" s="385"/>
      <c r="N2104" s="385"/>
      <c r="O2104" s="385"/>
      <c r="P2104" s="385" t="str">
        <f>IFERROR(
    IF(
        OR(ISBLANK(I2104), ISBLANK(L2104)),
        "",
        MAX(
            1,
            IF(
                NETWORKDAYS(I2104, L2104, Holiday_Dates) &lt;= 0,
                1,
                NETWORKDAYS(I2104, L2104, Holiday_Dates) - IF(I2104 = L2104, 0, 1)
            )
        )
    ),
    ""
)</f>
        <v/>
      </c>
      <c r="Q2104" s="385" t="str">
        <f>IF(
    OR(ISBLANK(L2104), ISBLANK(M2104)),
    "",
    MAX(
        1,
        IF(
            NETWORKDAYS(L2104, M2104, Holiday_Dates) &lt;= 0,
            1,
            NETWORKDAYS(L2104, M2104, Holiday_Dates) - IF(L2104 = M2104, 0, 1)
        )
    )
)</f>
        <v/>
      </c>
      <c r="R2104" s="385" t="str">
        <f>IFERROR(
    IF(
        OR(ISBLANK(N2104), AND(ISBLANK(L2104), ISBLANK(M2104))),
        "",
        MAX(
            1,
            IF(
                NETWORKDAYS(IF(NOT(ISBLANK(M2104)), M2104, L2104), N2104, Holiday_Dates) &lt;= 0,
                1,
                NETWORKDAYS(IF(NOT(ISBLANK(M2104)), M2104, L2104), N2104, Holiday_Dates)
                - IF(IF(NOT(ISBLANK(M2104)), M2104, L2104) = N2104, 0, 1)
            )
        )
    ),
    ""
)</f>
        <v/>
      </c>
      <c r="S2104" s="385" t="str">
        <f>IFERROR(
    IF(
        OR(ISBLANK(N2104), ISBLANK(O2104)),
        "",
        MAX(
            1,
            IF(
                NETWORKDAYS(N2104, O2104, Holiday_Dates) &lt;= 0,
                1,
                NETWORKDAYS(N2104, O2104, Holiday_Dates) - IF(N2104 = O2104, 0, 1)
            )
        )
    ),
    ""
)</f>
        <v/>
      </c>
      <c r="T2104" s="385"/>
      <c r="U2104" s="385" t="s">
        <v>672</v>
      </c>
      <c r="V2104" s="385" t="s">
        <v>685</v>
      </c>
      <c r="W2104" s="385" t="s">
        <v>1436</v>
      </c>
      <c r="X2104" s="1"/>
    </row>
    <row r="2105" spans="1:24">
      <c r="A2105" s="385" t="s">
        <v>65</v>
      </c>
      <c r="B2105" s="385" t="s">
        <v>1314</v>
      </c>
      <c r="C2105" s="385" t="s">
        <v>1879</v>
      </c>
      <c r="D2105" s="385" t="s">
        <v>88</v>
      </c>
      <c r="E2105" s="385" t="s">
        <v>141</v>
      </c>
      <c r="F2105" s="385"/>
      <c r="G2105" s="385" t="s">
        <v>130</v>
      </c>
      <c r="H2105" s="385"/>
      <c r="I2105" s="385"/>
      <c r="J2105" s="30"/>
      <c r="K2105" s="385"/>
      <c r="L2105" s="385"/>
      <c r="M2105" s="385"/>
      <c r="N2105" s="385"/>
      <c r="O2105" s="385"/>
      <c r="P2105" s="385" t="str">
        <f>IFERROR(
    IF(
        OR(ISBLANK(I2105), ISBLANK(L2105)),
        "",
        MAX(
            1,
            IF(
                NETWORKDAYS(I2105, L2105, Holiday_Dates) &lt;= 0,
                1,
                NETWORKDAYS(I2105, L2105, Holiday_Dates) - IF(I2105 = L2105, 0, 1)
            )
        )
    ),
    ""
)</f>
        <v/>
      </c>
      <c r="Q2105" s="385" t="str">
        <f>IF(
    OR(ISBLANK(L2105), ISBLANK(M2105)),
    "",
    MAX(
        1,
        IF(
            NETWORKDAYS(L2105, M2105, Holiday_Dates) &lt;= 0,
            1,
            NETWORKDAYS(L2105, M2105, Holiday_Dates) - IF(L2105 = M2105, 0, 1)
        )
    )
)</f>
        <v/>
      </c>
      <c r="R2105" s="385" t="str">
        <f>IFERROR(
    IF(
        OR(ISBLANK(N2105), AND(ISBLANK(L2105), ISBLANK(M2105))),
        "",
        MAX(
            1,
            IF(
                NETWORKDAYS(IF(NOT(ISBLANK(M2105)), M2105, L2105), N2105, Holiday_Dates) &lt;= 0,
                1,
                NETWORKDAYS(IF(NOT(ISBLANK(M2105)), M2105, L2105), N2105, Holiday_Dates)
                - IF(IF(NOT(ISBLANK(M2105)), M2105, L2105) = N2105, 0, 1)
            )
        )
    ),
    ""
)</f>
        <v/>
      </c>
      <c r="S2105" s="385" t="str">
        <f>IFERROR(
    IF(
        OR(ISBLANK(N2105), ISBLANK(O2105)),
        "",
        MAX(
            1,
            IF(
                NETWORKDAYS(N2105, O2105, Holiday_Dates) &lt;= 0,
                1,
                NETWORKDAYS(N2105, O2105, Holiday_Dates) - IF(N2105 = O2105, 0, 1)
            )
        )
    ),
    ""
)</f>
        <v/>
      </c>
      <c r="T2105" s="385"/>
      <c r="U2105" s="385"/>
      <c r="V2105" s="385"/>
      <c r="W2105" s="385" t="s">
        <v>4710</v>
      </c>
      <c r="X2105" s="1"/>
    </row>
    <row r="2106" spans="1:24">
      <c r="A2106" s="385" t="s">
        <v>65</v>
      </c>
      <c r="B2106" s="385" t="s">
        <v>1314</v>
      </c>
      <c r="C2106" s="385" t="s">
        <v>2667</v>
      </c>
      <c r="D2106" s="385" t="s">
        <v>88</v>
      </c>
      <c r="E2106" s="385" t="s">
        <v>141</v>
      </c>
      <c r="F2106" s="385"/>
      <c r="G2106" s="385" t="s">
        <v>130</v>
      </c>
      <c r="H2106" s="385"/>
      <c r="I2106" s="385"/>
      <c r="J2106" s="30"/>
      <c r="K2106" s="385"/>
      <c r="L2106" s="385"/>
      <c r="M2106" s="385"/>
      <c r="N2106" s="385"/>
      <c r="O2106" s="385"/>
      <c r="P2106" s="385" t="str">
        <f>IFERROR(
    IF(
        OR(ISBLANK(I2106), ISBLANK(L2106)),
        "",
        MAX(
            1,
            IF(
                NETWORKDAYS(I2106, L2106, Holiday_Dates) &lt;= 0,
                1,
                NETWORKDAYS(I2106, L2106, Holiday_Dates) - IF(I2106 = L2106, 0, 1)
            )
        )
    ),
    ""
)</f>
        <v/>
      </c>
      <c r="Q2106" s="385" t="str">
        <f>IF(
    OR(ISBLANK(L2106), ISBLANK(M2106)),
    "",
    MAX(
        1,
        IF(
            NETWORKDAYS(L2106, M2106, Holiday_Dates) &lt;= 0,
            1,
            NETWORKDAYS(L2106, M2106, Holiday_Dates) - IF(L2106 = M2106, 0, 1)
        )
    )
)</f>
        <v/>
      </c>
      <c r="R2106" s="385" t="str">
        <f>IFERROR(
    IF(
        OR(ISBLANK(N2106), AND(ISBLANK(L2106), ISBLANK(M2106))),
        "",
        MAX(
            1,
            IF(
                NETWORKDAYS(IF(NOT(ISBLANK(M2106)), M2106, L2106), N2106, Holiday_Dates) &lt;= 0,
                1,
                NETWORKDAYS(IF(NOT(ISBLANK(M2106)), M2106, L2106), N2106, Holiday_Dates)
                - IF(IF(NOT(ISBLANK(M2106)), M2106, L2106) = N2106, 0, 1)
            )
        )
    ),
    ""
)</f>
        <v/>
      </c>
      <c r="S2106" s="385" t="str">
        <f>IFERROR(
    IF(
        OR(ISBLANK(N2106), ISBLANK(O2106)),
        "",
        MAX(
            1,
            IF(
                NETWORKDAYS(N2106, O2106, Holiday_Dates) &lt;= 0,
                1,
                NETWORKDAYS(N2106, O2106, Holiday_Dates) - IF(N2106 = O2106, 0, 1)
            )
        )
    ),
    ""
)</f>
        <v/>
      </c>
      <c r="T2106" s="385"/>
      <c r="U2106" s="385"/>
      <c r="V2106" s="385"/>
      <c r="W2106" s="385" t="s">
        <v>4710</v>
      </c>
      <c r="X2106" s="1"/>
    </row>
    <row r="2107" spans="1:24">
      <c r="A2107" s="385" t="s">
        <v>65</v>
      </c>
      <c r="B2107" s="385" t="s">
        <v>1314</v>
      </c>
      <c r="C2107" s="385" t="s">
        <v>2865</v>
      </c>
      <c r="D2107" s="385" t="s">
        <v>88</v>
      </c>
      <c r="E2107" s="385" t="s">
        <v>141</v>
      </c>
      <c r="F2107" s="385"/>
      <c r="G2107" s="385" t="s">
        <v>130</v>
      </c>
      <c r="H2107" s="385"/>
      <c r="I2107" s="385"/>
      <c r="J2107" s="30"/>
      <c r="K2107" s="385"/>
      <c r="L2107" s="385"/>
      <c r="M2107" s="385"/>
      <c r="N2107" s="385"/>
      <c r="O2107" s="385"/>
      <c r="P2107" s="385" t="str">
        <f>IFERROR(
    IF(
        OR(ISBLANK(I2107), ISBLANK(L2107)),
        "",
        MAX(
            1,
            IF(
                NETWORKDAYS(I2107, L2107, Holiday_Dates) &lt;= 0,
                1,
                NETWORKDAYS(I2107, L2107, Holiday_Dates) - IF(I2107 = L2107, 0, 1)
            )
        )
    ),
    ""
)</f>
        <v/>
      </c>
      <c r="Q2107" s="385" t="str">
        <f>IF(
    OR(ISBLANK(L2107), ISBLANK(M2107)),
    "",
    MAX(
        1,
        IF(
            NETWORKDAYS(L2107, M2107, Holiday_Dates) &lt;= 0,
            1,
            NETWORKDAYS(L2107, M2107, Holiday_Dates) - IF(L2107 = M2107, 0, 1)
        )
    )
)</f>
        <v/>
      </c>
      <c r="R2107" s="385" t="str">
        <f>IFERROR(
    IF(
        OR(ISBLANK(N2107), AND(ISBLANK(L2107), ISBLANK(M2107))),
        "",
        MAX(
            1,
            IF(
                NETWORKDAYS(IF(NOT(ISBLANK(M2107)), M2107, L2107), N2107, Holiday_Dates) &lt;= 0,
                1,
                NETWORKDAYS(IF(NOT(ISBLANK(M2107)), M2107, L2107), N2107, Holiday_Dates)
                - IF(IF(NOT(ISBLANK(M2107)), M2107, L2107) = N2107, 0, 1)
            )
        )
    ),
    ""
)</f>
        <v/>
      </c>
      <c r="S2107" s="385" t="str">
        <f>IFERROR(
    IF(
        OR(ISBLANK(N2107), ISBLANK(O2107)),
        "",
        MAX(
            1,
            IF(
                NETWORKDAYS(N2107, O2107, Holiday_Dates) &lt;= 0,
                1,
                NETWORKDAYS(N2107, O2107, Holiday_Dates) - IF(N2107 = O2107, 0, 1)
            )
        )
    ),
    ""
)</f>
        <v/>
      </c>
      <c r="T2107" s="385"/>
      <c r="U2107" s="385"/>
      <c r="V2107" s="385"/>
      <c r="W2107" s="385" t="s">
        <v>4710</v>
      </c>
      <c r="X2107" s="1"/>
    </row>
    <row r="2108" spans="1:24">
      <c r="A2108" s="385" t="s">
        <v>65</v>
      </c>
      <c r="B2108" s="385" t="s">
        <v>1314</v>
      </c>
      <c r="C2108" s="385" t="s">
        <v>2851</v>
      </c>
      <c r="D2108" s="385" t="s">
        <v>88</v>
      </c>
      <c r="E2108" s="385" t="s">
        <v>141</v>
      </c>
      <c r="F2108" s="385"/>
      <c r="G2108" s="385" t="s">
        <v>130</v>
      </c>
      <c r="H2108" s="385"/>
      <c r="I2108" s="385"/>
      <c r="J2108" s="30"/>
      <c r="K2108" s="385"/>
      <c r="L2108" s="385"/>
      <c r="M2108" s="385"/>
      <c r="N2108" s="385"/>
      <c r="O2108" s="385"/>
      <c r="P2108" s="385" t="str">
        <f>IFERROR(
    IF(
        OR(ISBLANK(I2108), ISBLANK(L2108)),
        "",
        MAX(
            1,
            IF(
                NETWORKDAYS(I2108, L2108, Holiday_Dates) &lt;= 0,
                1,
                NETWORKDAYS(I2108, L2108, Holiday_Dates) - IF(I2108 = L2108, 0, 1)
            )
        )
    ),
    ""
)</f>
        <v/>
      </c>
      <c r="Q2108" s="385" t="str">
        <f>IF(
    OR(ISBLANK(L2108), ISBLANK(M2108)),
    "",
    MAX(
        1,
        IF(
            NETWORKDAYS(L2108, M2108, Holiday_Dates) &lt;= 0,
            1,
            NETWORKDAYS(L2108, M2108, Holiday_Dates) - IF(L2108 = M2108, 0, 1)
        )
    )
)</f>
        <v/>
      </c>
      <c r="R2108" s="385" t="str">
        <f>IFERROR(
    IF(
        OR(ISBLANK(N2108), AND(ISBLANK(L2108), ISBLANK(M2108))),
        "",
        MAX(
            1,
            IF(
                NETWORKDAYS(IF(NOT(ISBLANK(M2108)), M2108, L2108), N2108, Holiday_Dates) &lt;= 0,
                1,
                NETWORKDAYS(IF(NOT(ISBLANK(M2108)), M2108, L2108), N2108, Holiday_Dates)
                - IF(IF(NOT(ISBLANK(M2108)), M2108, L2108) = N2108, 0, 1)
            )
        )
    ),
    ""
)</f>
        <v/>
      </c>
      <c r="S2108" s="385" t="str">
        <f>IFERROR(
    IF(
        OR(ISBLANK(N2108), ISBLANK(O2108)),
        "",
        MAX(
            1,
            IF(
                NETWORKDAYS(N2108, O2108, Holiday_Dates) &lt;= 0,
                1,
                NETWORKDAYS(N2108, O2108, Holiday_Dates) - IF(N2108 = O2108, 0, 1)
            )
        )
    ),
    ""
)</f>
        <v/>
      </c>
      <c r="T2108" s="385"/>
      <c r="U2108" s="385"/>
      <c r="V2108" s="385"/>
      <c r="W2108" s="385" t="s">
        <v>4710</v>
      </c>
      <c r="X2108" s="1"/>
    </row>
    <row r="2109" spans="1:24">
      <c r="A2109" s="385" t="s">
        <v>65</v>
      </c>
      <c r="B2109" s="385" t="s">
        <v>1314</v>
      </c>
      <c r="C2109" s="385" t="s">
        <v>2860</v>
      </c>
      <c r="D2109" s="385" t="s">
        <v>88</v>
      </c>
      <c r="E2109" s="385" t="s">
        <v>141</v>
      </c>
      <c r="F2109" s="385"/>
      <c r="G2109" s="385" t="s">
        <v>130</v>
      </c>
      <c r="H2109" s="385"/>
      <c r="I2109" s="385"/>
      <c r="J2109" s="30"/>
      <c r="K2109" s="385"/>
      <c r="L2109" s="385"/>
      <c r="M2109" s="385"/>
      <c r="N2109" s="385"/>
      <c r="O2109" s="385"/>
      <c r="P2109" s="385" t="str">
        <f>IFERROR(
    IF(
        OR(ISBLANK(I2109), ISBLANK(L2109)),
        "",
        MAX(
            1,
            IF(
                NETWORKDAYS(I2109, L2109, Holiday_Dates) &lt;= 0,
                1,
                NETWORKDAYS(I2109, L2109, Holiday_Dates) - IF(I2109 = L2109, 0, 1)
            )
        )
    ),
    ""
)</f>
        <v/>
      </c>
      <c r="Q2109" s="385" t="str">
        <f>IF(
    OR(ISBLANK(L2109), ISBLANK(M2109)),
    "",
    MAX(
        1,
        IF(
            NETWORKDAYS(L2109, M2109, Holiday_Dates) &lt;= 0,
            1,
            NETWORKDAYS(L2109, M2109, Holiday_Dates) - IF(L2109 = M2109, 0, 1)
        )
    )
)</f>
        <v/>
      </c>
      <c r="R2109" s="385" t="str">
        <f>IFERROR(
    IF(
        OR(ISBLANK(N2109), AND(ISBLANK(L2109), ISBLANK(M2109))),
        "",
        MAX(
            1,
            IF(
                NETWORKDAYS(IF(NOT(ISBLANK(M2109)), M2109, L2109), N2109, Holiday_Dates) &lt;= 0,
                1,
                NETWORKDAYS(IF(NOT(ISBLANK(M2109)), M2109, L2109), N2109, Holiday_Dates)
                - IF(IF(NOT(ISBLANK(M2109)), M2109, L2109) = N2109, 0, 1)
            )
        )
    ),
    ""
)</f>
        <v/>
      </c>
      <c r="S2109" s="385" t="str">
        <f>IFERROR(
    IF(
        OR(ISBLANK(N2109), ISBLANK(O2109)),
        "",
        MAX(
            1,
            IF(
                NETWORKDAYS(N2109, O2109, Holiday_Dates) &lt;= 0,
                1,
                NETWORKDAYS(N2109, O2109, Holiday_Dates) - IF(N2109 = O2109, 0, 1)
            )
        )
    ),
    ""
)</f>
        <v/>
      </c>
      <c r="T2109" s="385"/>
      <c r="U2109" s="385"/>
      <c r="V2109" s="385"/>
      <c r="W2109" s="385" t="s">
        <v>4710</v>
      </c>
      <c r="X2109" s="1"/>
    </row>
    <row r="2110" spans="1:24">
      <c r="A2110" s="385" t="s">
        <v>65</v>
      </c>
      <c r="B2110" s="385" t="s">
        <v>1314</v>
      </c>
      <c r="C2110" s="385" t="s">
        <v>1315</v>
      </c>
      <c r="D2110" s="385" t="s">
        <v>88</v>
      </c>
      <c r="E2110" s="385" t="s">
        <v>141</v>
      </c>
      <c r="F2110" s="385"/>
      <c r="G2110" s="385" t="s">
        <v>130</v>
      </c>
      <c r="H2110" s="385"/>
      <c r="I2110" s="385"/>
      <c r="J2110" s="30"/>
      <c r="K2110" s="385"/>
      <c r="L2110" s="385"/>
      <c r="M2110" s="385"/>
      <c r="N2110" s="385"/>
      <c r="O2110" s="385"/>
      <c r="P2110" s="385" t="str">
        <f>IFERROR(
    IF(
        OR(ISBLANK(I2110), ISBLANK(L2110)),
        "",
        MAX(
            1,
            IF(
                NETWORKDAYS(I2110, L2110, Holiday_Dates) &lt;= 0,
                1,
                NETWORKDAYS(I2110, L2110, Holiday_Dates) - IF(I2110 = L2110, 0, 1)
            )
        )
    ),
    ""
)</f>
        <v/>
      </c>
      <c r="Q2110" s="385" t="str">
        <f>IF(
    OR(ISBLANK(L2110), ISBLANK(M2110)),
    "",
    MAX(
        1,
        IF(
            NETWORKDAYS(L2110, M2110, Holiday_Dates) &lt;= 0,
            1,
            NETWORKDAYS(L2110, M2110, Holiday_Dates) - IF(L2110 = M2110, 0, 1)
        )
    )
)</f>
        <v/>
      </c>
      <c r="R2110" s="385" t="str">
        <f>IFERROR(
    IF(
        OR(ISBLANK(N2110), AND(ISBLANK(L2110), ISBLANK(M2110))),
        "",
        MAX(
            1,
            IF(
                NETWORKDAYS(IF(NOT(ISBLANK(M2110)), M2110, L2110), N2110, Holiday_Dates) &lt;= 0,
                1,
                NETWORKDAYS(IF(NOT(ISBLANK(M2110)), M2110, L2110), N2110, Holiday_Dates)
                - IF(IF(NOT(ISBLANK(M2110)), M2110, L2110) = N2110, 0, 1)
            )
        )
    ),
    ""
)</f>
        <v/>
      </c>
      <c r="S2110" s="385" t="str">
        <f>IFERROR(
    IF(
        OR(ISBLANK(N2110), ISBLANK(O2110)),
        "",
        MAX(
            1,
            IF(
                NETWORKDAYS(N2110, O2110, Holiday_Dates) &lt;= 0,
                1,
                NETWORKDAYS(N2110, O2110, Holiday_Dates) - IF(N2110 = O2110, 0, 1)
            )
        )
    ),
    ""
)</f>
        <v/>
      </c>
      <c r="T2110" s="385"/>
      <c r="U2110" s="385"/>
      <c r="V2110" s="385"/>
      <c r="W2110" s="385" t="s">
        <v>4710</v>
      </c>
      <c r="X2110" s="1"/>
    </row>
    <row r="2111" spans="1:24">
      <c r="A2111" s="385" t="s">
        <v>51</v>
      </c>
      <c r="B2111" s="385" t="s">
        <v>1080</v>
      </c>
      <c r="C2111" s="385" t="s">
        <v>3704</v>
      </c>
      <c r="D2111" s="385" t="s">
        <v>88</v>
      </c>
      <c r="E2111" s="385"/>
      <c r="F2111" s="385"/>
      <c r="G2111" s="385"/>
      <c r="H2111" s="385">
        <v>2024</v>
      </c>
      <c r="I2111" s="386">
        <v>45569</v>
      </c>
      <c r="J2111" s="30"/>
      <c r="K2111" s="385"/>
      <c r="L2111" s="385"/>
      <c r="M2111" s="385"/>
      <c r="N2111" s="385"/>
      <c r="O2111" s="385"/>
      <c r="P2111" s="385" t="str">
        <f>IFERROR(
    IF(
        OR(ISBLANK(I2111), ISBLANK(L2111)),
        "",
        MAX(
            1,
            IF(
                NETWORKDAYS(I2111, L2111, Holiday_Dates) &lt;= 0,
                1,
                NETWORKDAYS(I2111, L2111, Holiday_Dates) - IF(I2111 = L2111, 0, 1)
            )
        )
    ),
    ""
)</f>
        <v/>
      </c>
      <c r="Q2111" s="385" t="str">
        <f>IF(
    OR(ISBLANK(L2111), ISBLANK(M2111)),
    "",
    MAX(
        1,
        IF(
            NETWORKDAYS(L2111, M2111, Holiday_Dates) &lt;= 0,
            1,
            NETWORKDAYS(L2111, M2111, Holiday_Dates) - IF(L2111 = M2111, 0, 1)
        )
    )
)</f>
        <v/>
      </c>
      <c r="R2111" s="385" t="str">
        <f>IFERROR(
    IF(
        OR(ISBLANK(N2111), AND(ISBLANK(L2111), ISBLANK(M2111))),
        "",
        MAX(
            1,
            IF(
                NETWORKDAYS(IF(NOT(ISBLANK(M2111)), M2111, L2111), N2111, Holiday_Dates) &lt;= 0,
                1,
                NETWORKDAYS(IF(NOT(ISBLANK(M2111)), M2111, L2111), N2111, Holiday_Dates)
                - IF(IF(NOT(ISBLANK(M2111)), M2111, L2111) = N2111, 0, 1)
            )
        )
    ),
    ""
)</f>
        <v/>
      </c>
      <c r="S2111" s="385" t="str">
        <f>IFERROR(
    IF(
        OR(ISBLANK(N2111), ISBLANK(O2111)),
        "",
        MAX(
            1,
            IF(
                NETWORKDAYS(N2111, O2111, Holiday_Dates) &lt;= 0,
                1,
                NETWORKDAYS(N2111, O2111, Holiday_Dates) - IF(N2111 = O2111, 0, 1)
            )
        )
    ),
    ""
)</f>
        <v/>
      </c>
      <c r="T2111" s="385"/>
      <c r="U2111" s="385" t="s">
        <v>672</v>
      </c>
      <c r="V2111" s="385" t="s">
        <v>1676</v>
      </c>
      <c r="W2111" s="385" t="s">
        <v>1436</v>
      </c>
      <c r="X2111" s="1"/>
    </row>
    <row r="2112" spans="1:24">
      <c r="A2112" s="385" t="s">
        <v>65</v>
      </c>
      <c r="B2112" s="385" t="s">
        <v>1314</v>
      </c>
      <c r="C2112" s="385" t="s">
        <v>2853</v>
      </c>
      <c r="D2112" s="385" t="s">
        <v>88</v>
      </c>
      <c r="E2112" s="385" t="s">
        <v>141</v>
      </c>
      <c r="F2112" s="385"/>
      <c r="G2112" s="385" t="s">
        <v>130</v>
      </c>
      <c r="H2112" s="385"/>
      <c r="I2112" s="385"/>
      <c r="J2112" s="30"/>
      <c r="K2112" s="385"/>
      <c r="L2112" s="385"/>
      <c r="M2112" s="385"/>
      <c r="N2112" s="385"/>
      <c r="O2112" s="385"/>
      <c r="P2112" s="385" t="str">
        <f>IFERROR(
    IF(
        OR(ISBLANK(I2112), ISBLANK(L2112)),
        "",
        MAX(
            1,
            IF(
                NETWORKDAYS(I2112, L2112, Holiday_Dates) &lt;= 0,
                1,
                NETWORKDAYS(I2112, L2112, Holiday_Dates) - IF(I2112 = L2112, 0, 1)
            )
        )
    ),
    ""
)</f>
        <v/>
      </c>
      <c r="Q2112" s="385" t="str">
        <f>IF(
    OR(ISBLANK(L2112), ISBLANK(M2112)),
    "",
    MAX(
        1,
        IF(
            NETWORKDAYS(L2112, M2112, Holiday_Dates) &lt;= 0,
            1,
            NETWORKDAYS(L2112, M2112, Holiday_Dates) - IF(L2112 = M2112, 0, 1)
        )
    )
)</f>
        <v/>
      </c>
      <c r="R2112" s="385" t="str">
        <f>IFERROR(
    IF(
        OR(ISBLANK(N2112), AND(ISBLANK(L2112), ISBLANK(M2112))),
        "",
        MAX(
            1,
            IF(
                NETWORKDAYS(IF(NOT(ISBLANK(M2112)), M2112, L2112), N2112, Holiday_Dates) &lt;= 0,
                1,
                NETWORKDAYS(IF(NOT(ISBLANK(M2112)), M2112, L2112), N2112, Holiday_Dates)
                - IF(IF(NOT(ISBLANK(M2112)), M2112, L2112) = N2112, 0, 1)
            )
        )
    ),
    ""
)</f>
        <v/>
      </c>
      <c r="S2112" s="385" t="str">
        <f>IFERROR(
    IF(
        OR(ISBLANK(N2112), ISBLANK(O2112)),
        "",
        MAX(
            1,
            IF(
                NETWORKDAYS(N2112, O2112, Holiday_Dates) &lt;= 0,
                1,
                NETWORKDAYS(N2112, O2112, Holiday_Dates) - IF(N2112 = O2112, 0, 1)
            )
        )
    ),
    ""
)</f>
        <v/>
      </c>
      <c r="T2112" s="385"/>
      <c r="U2112" s="385"/>
      <c r="V2112" s="385"/>
      <c r="W2112" s="385" t="s">
        <v>4710</v>
      </c>
      <c r="X2112" s="1"/>
    </row>
    <row r="2113" spans="1:24">
      <c r="A2113" s="385" t="s">
        <v>65</v>
      </c>
      <c r="B2113" s="385" t="s">
        <v>1314</v>
      </c>
      <c r="C2113" s="385" t="s">
        <v>2854</v>
      </c>
      <c r="D2113" s="385" t="s">
        <v>88</v>
      </c>
      <c r="E2113" s="385" t="s">
        <v>141</v>
      </c>
      <c r="F2113" s="385"/>
      <c r="G2113" s="385" t="s">
        <v>130</v>
      </c>
      <c r="H2113" s="385"/>
      <c r="I2113" s="385"/>
      <c r="J2113" s="30"/>
      <c r="K2113" s="385"/>
      <c r="L2113" s="385"/>
      <c r="M2113" s="385"/>
      <c r="N2113" s="385"/>
      <c r="O2113" s="385"/>
      <c r="P2113" s="385" t="str">
        <f>IFERROR(
    IF(
        OR(ISBLANK(I2113), ISBLANK(L2113)),
        "",
        MAX(
            1,
            IF(
                NETWORKDAYS(I2113, L2113, Holiday_Dates) &lt;= 0,
                1,
                NETWORKDAYS(I2113, L2113, Holiday_Dates) - IF(I2113 = L2113, 0, 1)
            )
        )
    ),
    ""
)</f>
        <v/>
      </c>
      <c r="Q2113" s="385" t="str">
        <f>IF(
    OR(ISBLANK(L2113), ISBLANK(M2113)),
    "",
    MAX(
        1,
        IF(
            NETWORKDAYS(L2113, M2113, Holiday_Dates) &lt;= 0,
            1,
            NETWORKDAYS(L2113, M2113, Holiday_Dates) - IF(L2113 = M2113, 0, 1)
        )
    )
)</f>
        <v/>
      </c>
      <c r="R2113" s="385" t="str">
        <f>IFERROR(
    IF(
        OR(ISBLANK(N2113), AND(ISBLANK(L2113), ISBLANK(M2113))),
        "",
        MAX(
            1,
            IF(
                NETWORKDAYS(IF(NOT(ISBLANK(M2113)), M2113, L2113), N2113, Holiday_Dates) &lt;= 0,
                1,
                NETWORKDAYS(IF(NOT(ISBLANK(M2113)), M2113, L2113), N2113, Holiday_Dates)
                - IF(IF(NOT(ISBLANK(M2113)), M2113, L2113) = N2113, 0, 1)
            )
        )
    ),
    ""
)</f>
        <v/>
      </c>
      <c r="S2113" s="385" t="str">
        <f>IFERROR(
    IF(
        OR(ISBLANK(N2113), ISBLANK(O2113)),
        "",
        MAX(
            1,
            IF(
                NETWORKDAYS(N2113, O2113, Holiday_Dates) &lt;= 0,
                1,
                NETWORKDAYS(N2113, O2113, Holiday_Dates) - IF(N2113 = O2113, 0, 1)
            )
        )
    ),
    ""
)</f>
        <v/>
      </c>
      <c r="T2113" s="385"/>
      <c r="U2113" s="385"/>
      <c r="V2113" s="385"/>
      <c r="W2113" s="385" t="s">
        <v>4710</v>
      </c>
      <c r="X2113" s="1"/>
    </row>
    <row r="2114" spans="1:24">
      <c r="A2114" s="608" t="s">
        <v>65</v>
      </c>
      <c r="B2114" s="608" t="s">
        <v>516</v>
      </c>
      <c r="C2114" s="608" t="s">
        <v>3191</v>
      </c>
      <c r="D2114" s="608" t="s">
        <v>89</v>
      </c>
      <c r="E2114" s="608" t="s">
        <v>29</v>
      </c>
      <c r="F2114" s="608"/>
      <c r="G2114" s="608" t="s">
        <v>130</v>
      </c>
      <c r="H2114" s="608"/>
      <c r="I2114" s="672"/>
      <c r="J2114" s="671" t="s">
        <v>5482</v>
      </c>
      <c r="K2114" s="608" t="s">
        <v>45</v>
      </c>
      <c r="L2114" s="672">
        <v>46084</v>
      </c>
      <c r="M2114" s="608"/>
      <c r="N2114" s="672">
        <v>46090</v>
      </c>
      <c r="O2114" s="672">
        <v>46093</v>
      </c>
      <c r="P2114" s="608" t="str">
        <f>IFERROR(
    IF(
        OR(ISBLANK(I2114), ISBLANK(L2114)),
        "",
        MAX(
            1,
            IF(
                NETWORKDAYS(I2114, L2114, Holiday_Dates) &lt;= 0,
                1,
                NETWORKDAYS(I2114, L2114, Holiday_Dates) - IF(I2114 = L2114, 0, 1)
            )
        )
    ),
    ""
)</f>
        <v/>
      </c>
      <c r="Q2114" s="608" t="str">
        <f>IF(
    OR(ISBLANK(L2114), ISBLANK(M2114)),
    "",
    MAX(
        1,
        IF(
            NETWORKDAYS(L2114, M2114, Holiday_Dates) &lt;= 0,
            1,
            NETWORKDAYS(L2114, M2114, Holiday_Dates) - IF(L2114 = M2114, 0, 1)
        )
    )
)</f>
        <v/>
      </c>
      <c r="R2114" s="608">
        <f>IFERROR(
    IF(
        OR(ISBLANK(N2114), AND(ISBLANK(L2114), ISBLANK(M2114))),
        "",
        MAX(
            1,
            IF(
                NETWORKDAYS(IF(NOT(ISBLANK(M2114)), M2114, L2114), N2114, Holiday_Dates) &lt;= 0,
                1,
                NETWORKDAYS(IF(NOT(ISBLANK(M2114)), M2114, L2114), N2114, Holiday_Dates)
                - IF(IF(NOT(ISBLANK(M2114)), M2114, L2114) = N2114, 0, 1)
            )
        )
    ),
    ""
)</f>
        <v>4</v>
      </c>
      <c r="S2114" s="608">
        <f>IFERROR(
    IF(
        OR(ISBLANK(N2114), ISBLANK(O2114)),
        "",
        MAX(
            1,
            IF(
                NETWORKDAYS(N2114, O2114, Holiday_Dates) &lt;= 0,
                1,
                NETWORKDAYS(N2114, O2114, Holiday_Dates) - IF(N2114 = O2114, 0, 1)
            )
        )
    ),
    ""
)</f>
        <v>3</v>
      </c>
      <c r="T2114" s="608" t="s">
        <v>929</v>
      </c>
      <c r="U2114" s="608" t="s">
        <v>672</v>
      </c>
      <c r="V2114" s="608" t="s">
        <v>685</v>
      </c>
      <c r="W2114" s="385" t="s">
        <v>4710</v>
      </c>
      <c r="X2114" s="673" t="s">
        <v>5383</v>
      </c>
    </row>
    <row r="2115" spans="1:24">
      <c r="A2115" s="388" t="s">
        <v>65</v>
      </c>
      <c r="B2115" s="388" t="s">
        <v>516</v>
      </c>
      <c r="C2115" s="388" t="s">
        <v>3192</v>
      </c>
      <c r="D2115" s="388" t="s">
        <v>89</v>
      </c>
      <c r="E2115" s="388" t="s">
        <v>29</v>
      </c>
      <c r="F2115" s="385"/>
      <c r="G2115" s="385" t="s">
        <v>130</v>
      </c>
      <c r="H2115" s="385"/>
      <c r="I2115" s="385"/>
      <c r="J2115" s="30"/>
      <c r="K2115" s="388"/>
      <c r="L2115" s="386"/>
      <c r="M2115" s="385"/>
      <c r="N2115" s="386"/>
      <c r="O2115" s="386"/>
      <c r="P2115" s="385" t="str">
        <f>IFERROR(
    IF(
        OR(ISBLANK(I2115), ISBLANK(L2115)),
        "",
        MAX(
            1,
            IF(
                NETWORKDAYS(I2115, L2115, Holiday_Dates) &lt;= 0,
                1,
                NETWORKDAYS(I2115, L2115, Holiday_Dates) - IF(I2115 = L2115, 0, 1)
            )
        )
    ),
    ""
)</f>
        <v/>
      </c>
      <c r="Q2115" s="385" t="str">
        <f>IF(
    OR(ISBLANK(L2115), ISBLANK(M2115)),
    "",
    MAX(
        1,
        IF(
            NETWORKDAYS(L2115, M2115, Holiday_Dates) &lt;= 0,
            1,
            NETWORKDAYS(L2115, M2115, Holiday_Dates) - IF(L2115 = M2115, 0, 1)
        )
    )
)</f>
        <v/>
      </c>
      <c r="R2115" s="385" t="str">
        <f>IFERROR(
    IF(
        OR(ISBLANK(N2115), AND(ISBLANK(L2115), ISBLANK(M2115))),
        "",
        MAX(
            1,
            IF(
                NETWORKDAYS(IF(NOT(ISBLANK(M2115)), M2115, L2115), N2115, Holiday_Dates) &lt;= 0,
                1,
                NETWORKDAYS(IF(NOT(ISBLANK(M2115)), M2115, L2115), N2115, Holiday_Dates)
                - IF(IF(NOT(ISBLANK(M2115)), M2115, L2115) = N2115, 0, 1)
            )
        )
    ),
    ""
)</f>
        <v/>
      </c>
      <c r="S2115" s="385" t="str">
        <f>IFERROR(
    IF(
        OR(ISBLANK(N2115), ISBLANK(O2115)),
        "",
        MAX(
            1,
            IF(
                NETWORKDAYS(N2115, O2115, Holiday_Dates) &lt;= 0,
                1,
                NETWORKDAYS(N2115, O2115, Holiday_Dates) - IF(N2115 = O2115, 0, 1)
            )
        )
    ),
    ""
)</f>
        <v/>
      </c>
      <c r="T2115" s="385"/>
      <c r="U2115" s="385"/>
      <c r="V2115" s="385"/>
      <c r="W2115" s="385" t="s">
        <v>4710</v>
      </c>
      <c r="X2115" s="1"/>
    </row>
    <row r="2116" spans="1:24">
      <c r="A2116" s="608" t="s">
        <v>65</v>
      </c>
      <c r="B2116" s="608" t="s">
        <v>516</v>
      </c>
      <c r="C2116" s="608" t="s">
        <v>3193</v>
      </c>
      <c r="D2116" s="608" t="s">
        <v>89</v>
      </c>
      <c r="E2116" s="608" t="s">
        <v>29</v>
      </c>
      <c r="F2116" s="608"/>
      <c r="G2116" s="608" t="s">
        <v>130</v>
      </c>
      <c r="H2116" s="608"/>
      <c r="I2116" s="672"/>
      <c r="J2116" s="671" t="s">
        <v>5483</v>
      </c>
      <c r="K2116" s="608" t="s">
        <v>45</v>
      </c>
      <c r="L2116" s="672">
        <v>46084</v>
      </c>
      <c r="M2116" s="608"/>
      <c r="N2116" s="672">
        <v>46088</v>
      </c>
      <c r="O2116" s="672">
        <v>46093</v>
      </c>
      <c r="P2116" s="608" t="str">
        <f>IFERROR(
    IF(
        OR(ISBLANK(I2116), ISBLANK(L2116)),
        "",
        MAX(
            1,
            IF(
                NETWORKDAYS(I2116, L2116, Holiday_Dates) &lt;= 0,
                1,
                NETWORKDAYS(I2116, L2116, Holiday_Dates) - IF(I2116 = L2116, 0, 1)
            )
        )
    ),
    ""
)</f>
        <v/>
      </c>
      <c r="Q2116" s="608" t="str">
        <f>IF(
    OR(ISBLANK(L2116), ISBLANK(M2116)),
    "",
    MAX(
        1,
        IF(
            NETWORKDAYS(L2116, M2116, Holiday_Dates) &lt;= 0,
            1,
            NETWORKDAYS(L2116, M2116, Holiday_Dates) - IF(L2116 = M2116, 0, 1)
        )
    )
)</f>
        <v/>
      </c>
      <c r="R2116" s="608">
        <f>IFERROR(
    IF(
        OR(ISBLANK(N2116), AND(ISBLANK(L2116), ISBLANK(M2116))),
        "",
        MAX(
            1,
            IF(
                NETWORKDAYS(IF(NOT(ISBLANK(M2116)), M2116, L2116), N2116, Holiday_Dates) &lt;= 0,
                1,
                NETWORKDAYS(IF(NOT(ISBLANK(M2116)), M2116, L2116), N2116, Holiday_Dates)
                - IF(IF(NOT(ISBLANK(M2116)), M2116, L2116) = N2116, 0, 1)
            )
        )
    ),
    ""
)</f>
        <v>3</v>
      </c>
      <c r="S2116" s="608">
        <f>IFERROR(
    IF(
        OR(ISBLANK(N2116), ISBLANK(O2116)),
        "",
        MAX(
            1,
            IF(
                NETWORKDAYS(N2116, O2116, Holiday_Dates) &lt;= 0,
                1,
                NETWORKDAYS(N2116, O2116, Holiday_Dates) - IF(N2116 = O2116, 0, 1)
            )
        )
    ),
    ""
)</f>
        <v>3</v>
      </c>
      <c r="T2116" s="608" t="s">
        <v>929</v>
      </c>
      <c r="U2116" s="608" t="s">
        <v>672</v>
      </c>
      <c r="V2116" s="608" t="s">
        <v>685</v>
      </c>
      <c r="W2116" s="385" t="s">
        <v>4710</v>
      </c>
      <c r="X2116" s="673" t="s">
        <v>5383</v>
      </c>
    </row>
    <row r="2117" spans="1:24">
      <c r="A2117" s="385" t="s">
        <v>51</v>
      </c>
      <c r="B2117" s="385" t="s">
        <v>1080</v>
      </c>
      <c r="C2117" s="385" t="s">
        <v>3278</v>
      </c>
      <c r="D2117" s="385" t="s">
        <v>88</v>
      </c>
      <c r="E2117" s="385"/>
      <c r="F2117" s="385"/>
      <c r="G2117" s="385"/>
      <c r="H2117" s="385">
        <v>2025</v>
      </c>
      <c r="I2117" s="386">
        <v>45968</v>
      </c>
      <c r="J2117" s="30" t="s">
        <v>5484</v>
      </c>
      <c r="K2117" s="385"/>
      <c r="L2117" s="385"/>
      <c r="M2117" s="385"/>
      <c r="N2117" s="385"/>
      <c r="O2117" s="385"/>
      <c r="P2117" s="385" t="str">
        <f>IFERROR(
    IF(
        OR(ISBLANK(I2117), ISBLANK(L2117)),
        "",
        MAX(
            1,
            IF(
                NETWORKDAYS(I2117, L2117, Holiday_Dates) &lt;= 0,
                1,
                NETWORKDAYS(I2117, L2117, Holiday_Dates) - IF(I2117 = L2117, 0, 1)
            )
        )
    ),
    ""
)</f>
        <v/>
      </c>
      <c r="Q2117" s="385" t="str">
        <f>IF(
    OR(ISBLANK(L2117), ISBLANK(M2117)),
    "",
    MAX(
        1,
        IF(
            NETWORKDAYS(L2117, M2117, Holiday_Dates) &lt;= 0,
            1,
            NETWORKDAYS(L2117, M2117, Holiday_Dates) - IF(L2117 = M2117, 0, 1)
        )
    )
)</f>
        <v/>
      </c>
      <c r="R2117" s="385" t="str">
        <f>IFERROR(
    IF(
        OR(ISBLANK(N2117), AND(ISBLANK(L2117), ISBLANK(M2117))),
        "",
        MAX(
            1,
            IF(
                NETWORKDAYS(IF(NOT(ISBLANK(M2117)), M2117, L2117), N2117, Holiday_Dates) &lt;= 0,
                1,
                NETWORKDAYS(IF(NOT(ISBLANK(M2117)), M2117, L2117), N2117, Holiday_Dates)
                - IF(IF(NOT(ISBLANK(M2117)), M2117, L2117) = N2117, 0, 1)
            )
        )
    ),
    ""
)</f>
        <v/>
      </c>
      <c r="S2117" s="385" t="str">
        <f>IFERROR(
    IF(
        OR(ISBLANK(N2117), ISBLANK(O2117)),
        "",
        MAX(
            1,
            IF(
                NETWORKDAYS(N2117, O2117, Holiday_Dates) &lt;= 0,
                1,
                NETWORKDAYS(N2117, O2117, Holiday_Dates) - IF(N2117 = O2117, 0, 1)
            )
        )
    ),
    ""
)</f>
        <v/>
      </c>
      <c r="T2117" s="385"/>
      <c r="U2117" s="385" t="s">
        <v>672</v>
      </c>
      <c r="V2117" s="385" t="s">
        <v>1676</v>
      </c>
      <c r="W2117" s="385" t="s">
        <v>1436</v>
      </c>
      <c r="X2117" s="1"/>
    </row>
    <row r="2118" spans="1:24">
      <c r="A2118" s="597" t="s">
        <v>65</v>
      </c>
      <c r="B2118" s="597" t="s">
        <v>507</v>
      </c>
      <c r="C2118" s="597" t="s">
        <v>2750</v>
      </c>
      <c r="D2118" s="597" t="s">
        <v>89</v>
      </c>
      <c r="E2118" s="597" t="s">
        <v>29</v>
      </c>
      <c r="F2118" s="597"/>
      <c r="G2118" s="597" t="s">
        <v>130</v>
      </c>
      <c r="H2118" s="597"/>
      <c r="I2118" s="597"/>
      <c r="J2118" s="598"/>
      <c r="K2118" s="597"/>
      <c r="L2118" s="385"/>
      <c r="M2118" s="385"/>
      <c r="N2118" s="385"/>
      <c r="O2118" s="385"/>
      <c r="P2118" s="385" t="str">
        <f>IFERROR(
    IF(
        OR(ISBLANK(I2118), ISBLANK(L2118)),
        "",
        MAX(
            1,
            IF(
                NETWORKDAYS(I2118, L2118, Holiday_Dates) &lt;= 0,
                1,
                NETWORKDAYS(I2118, L2118, Holiday_Dates) - IF(I2118 = L2118, 0, 1)
            )
        )
    ),
    ""
)</f>
        <v/>
      </c>
      <c r="Q2118" s="385" t="str">
        <f>IF(
    OR(ISBLANK(L2118), ISBLANK(M2118)),
    "",
    MAX(
        1,
        IF(
            NETWORKDAYS(L2118, M2118, Holiday_Dates) &lt;= 0,
            1,
            NETWORKDAYS(L2118, M2118, Holiday_Dates) - IF(L2118 = M2118, 0, 1)
        )
    )
)</f>
        <v/>
      </c>
      <c r="R2118" s="385" t="str">
        <f>IFERROR(
    IF(
        OR(ISBLANK(N2118), AND(ISBLANK(L2118), ISBLANK(M2118))),
        "",
        MAX(
            1,
            IF(
                NETWORKDAYS(IF(NOT(ISBLANK(M2118)), M2118, L2118), N2118, Holiday_Dates) &lt;= 0,
                1,
                NETWORKDAYS(IF(NOT(ISBLANK(M2118)), M2118, L2118), N2118, Holiday_Dates)
                - IF(IF(NOT(ISBLANK(M2118)), M2118, L2118) = N2118, 0, 1)
            )
        )
    ),
    ""
)</f>
        <v/>
      </c>
      <c r="S2118" s="385" t="str">
        <f>IFERROR(
    IF(
        OR(ISBLANK(N2118), ISBLANK(O2118)),
        "",
        MAX(
            1,
            IF(
                NETWORKDAYS(N2118, O2118, Holiday_Dates) &lt;= 0,
                1,
                NETWORKDAYS(N2118, O2118, Holiday_Dates) - IF(N2118 = O2118, 0, 1)
            )
        )
    ),
    ""
)</f>
        <v/>
      </c>
      <c r="T2118" s="385"/>
      <c r="U2118" s="385"/>
      <c r="V2118" s="385"/>
      <c r="W2118" s="385" t="s">
        <v>4710</v>
      </c>
      <c r="X2118" s="1"/>
    </row>
    <row r="2119" spans="1:24">
      <c r="A2119" s="385" t="s">
        <v>51</v>
      </c>
      <c r="B2119" s="385" t="s">
        <v>1080</v>
      </c>
      <c r="C2119" s="385" t="s">
        <v>3708</v>
      </c>
      <c r="D2119" s="385" t="s">
        <v>88</v>
      </c>
      <c r="E2119" s="385"/>
      <c r="F2119" s="385"/>
      <c r="G2119" s="385"/>
      <c r="H2119" s="385">
        <v>2024</v>
      </c>
      <c r="I2119" s="386">
        <v>45569</v>
      </c>
      <c r="J2119" s="30"/>
      <c r="K2119" s="385"/>
      <c r="L2119" s="385"/>
      <c r="M2119" s="385"/>
      <c r="N2119" s="385"/>
      <c r="O2119" s="385"/>
      <c r="P2119" s="385" t="str">
        <f>IFERROR(
    IF(
        OR(ISBLANK(I2119), ISBLANK(L2119)),
        "",
        MAX(
            1,
            IF(
                NETWORKDAYS(I2119, L2119, Holiday_Dates) &lt;= 0,
                1,
                NETWORKDAYS(I2119, L2119, Holiday_Dates) - IF(I2119 = L2119, 0, 1)
            )
        )
    ),
    ""
)</f>
        <v/>
      </c>
      <c r="Q2119" s="385" t="str">
        <f>IF(
    OR(ISBLANK(L2119), ISBLANK(M2119)),
    "",
    MAX(
        1,
        IF(
            NETWORKDAYS(L2119, M2119, Holiday_Dates) &lt;= 0,
            1,
            NETWORKDAYS(L2119, M2119, Holiday_Dates) - IF(L2119 = M2119, 0, 1)
        )
    )
)</f>
        <v/>
      </c>
      <c r="R2119" s="385" t="str">
        <f>IFERROR(
    IF(
        OR(ISBLANK(N2119), AND(ISBLANK(L2119), ISBLANK(M2119))),
        "",
        MAX(
            1,
            IF(
                NETWORKDAYS(IF(NOT(ISBLANK(M2119)), M2119, L2119), N2119, Holiday_Dates) &lt;= 0,
                1,
                NETWORKDAYS(IF(NOT(ISBLANK(M2119)), M2119, L2119), N2119, Holiday_Dates)
                - IF(IF(NOT(ISBLANK(M2119)), M2119, L2119) = N2119, 0, 1)
            )
        )
    ),
    ""
)</f>
        <v/>
      </c>
      <c r="S2119" s="385" t="str">
        <f>IFERROR(
    IF(
        OR(ISBLANK(N2119), ISBLANK(O2119)),
        "",
        MAX(
            1,
            IF(
                NETWORKDAYS(N2119, O2119, Holiday_Dates) &lt;= 0,
                1,
                NETWORKDAYS(N2119, O2119, Holiday_Dates) - IF(N2119 = O2119, 0, 1)
            )
        )
    ),
    ""
)</f>
        <v/>
      </c>
      <c r="T2119" s="385"/>
      <c r="U2119" s="385" t="s">
        <v>672</v>
      </c>
      <c r="V2119" s="385" t="s">
        <v>1676</v>
      </c>
      <c r="W2119" s="385" t="s">
        <v>1436</v>
      </c>
      <c r="X2119" s="1"/>
    </row>
    <row r="2120" spans="1:24">
      <c r="A2120" s="385" t="s">
        <v>51</v>
      </c>
      <c r="B2120" s="385" t="s">
        <v>1080</v>
      </c>
      <c r="C2120" s="385" t="s">
        <v>520</v>
      </c>
      <c r="D2120" s="385" t="s">
        <v>88</v>
      </c>
      <c r="E2120" s="385"/>
      <c r="F2120" s="385"/>
      <c r="G2120" s="385"/>
      <c r="H2120" s="385">
        <v>2025</v>
      </c>
      <c r="I2120" s="386">
        <v>45884</v>
      </c>
      <c r="J2120" s="30" t="s">
        <v>5485</v>
      </c>
      <c r="K2120" s="385"/>
      <c r="L2120" s="385"/>
      <c r="M2120" s="385"/>
      <c r="N2120" s="385"/>
      <c r="O2120" s="385"/>
      <c r="P2120" s="385" t="str">
        <f>IFERROR(
    IF(
        OR(ISBLANK(I2120), ISBLANK(L2120)),
        "",
        MAX(
            1,
            IF(
                NETWORKDAYS(I2120, L2120, Holiday_Dates) &lt;= 0,
                1,
                NETWORKDAYS(I2120, L2120, Holiday_Dates) - IF(I2120 = L2120, 0, 1)
            )
        )
    ),
    ""
)</f>
        <v/>
      </c>
      <c r="Q2120" s="385" t="str">
        <f>IF(
    OR(ISBLANK(L2120), ISBLANK(M2120)),
    "",
    MAX(
        1,
        IF(
            NETWORKDAYS(L2120, M2120, Holiday_Dates) &lt;= 0,
            1,
            NETWORKDAYS(L2120, M2120, Holiday_Dates) - IF(L2120 = M2120, 0, 1)
        )
    )
)</f>
        <v/>
      </c>
      <c r="R2120" s="385" t="str">
        <f>IFERROR(
    IF(
        OR(ISBLANK(N2120), AND(ISBLANK(L2120), ISBLANK(M2120))),
        "",
        MAX(
            1,
            IF(
                NETWORKDAYS(IF(NOT(ISBLANK(M2120)), M2120, L2120), N2120, Holiday_Dates) &lt;= 0,
                1,
                NETWORKDAYS(IF(NOT(ISBLANK(M2120)), M2120, L2120), N2120, Holiday_Dates)
                - IF(IF(NOT(ISBLANK(M2120)), M2120, L2120) = N2120, 0, 1)
            )
        )
    ),
    ""
)</f>
        <v/>
      </c>
      <c r="S2120" s="385" t="str">
        <f>IFERROR(
    IF(
        OR(ISBLANK(N2120), ISBLANK(O2120)),
        "",
        MAX(
            1,
            IF(
                NETWORKDAYS(N2120, O2120, Holiday_Dates) &lt;= 0,
                1,
                NETWORKDAYS(N2120, O2120, Holiday_Dates) - IF(N2120 = O2120, 0, 1)
            )
        )
    ),
    ""
)</f>
        <v/>
      </c>
      <c r="T2120" s="385"/>
      <c r="U2120" s="385" t="s">
        <v>672</v>
      </c>
      <c r="V2120" s="385" t="s">
        <v>1676</v>
      </c>
      <c r="W2120" s="385" t="s">
        <v>1436</v>
      </c>
      <c r="X2120" s="1"/>
    </row>
    <row r="2121" spans="1:24">
      <c r="A2121" s="385" t="s">
        <v>51</v>
      </c>
      <c r="B2121" s="385" t="s">
        <v>1080</v>
      </c>
      <c r="C2121" s="385" t="s">
        <v>427</v>
      </c>
      <c r="D2121" s="385" t="s">
        <v>88</v>
      </c>
      <c r="E2121" s="385"/>
      <c r="F2121" s="385"/>
      <c r="G2121" s="385"/>
      <c r="H2121" s="385">
        <v>2025</v>
      </c>
      <c r="I2121" s="386">
        <v>45940</v>
      </c>
      <c r="J2121" s="30" t="s">
        <v>5486</v>
      </c>
      <c r="K2121" s="385"/>
      <c r="L2121" s="385"/>
      <c r="M2121" s="385"/>
      <c r="N2121" s="385"/>
      <c r="O2121" s="385"/>
      <c r="P2121" s="385" t="str">
        <f>IFERROR(
    IF(
        OR(ISBLANK(I2121), ISBLANK(L2121)),
        "",
        MAX(
            1,
            IF(
                NETWORKDAYS(I2121, L2121, Holiday_Dates) &lt;= 0,
                1,
                NETWORKDAYS(I2121, L2121, Holiday_Dates) - IF(I2121 = L2121, 0, 1)
            )
        )
    ),
    ""
)</f>
        <v/>
      </c>
      <c r="Q2121" s="385" t="str">
        <f>IF(
    OR(ISBLANK(L2121), ISBLANK(M2121)),
    "",
    MAX(
        1,
        IF(
            NETWORKDAYS(L2121, M2121, Holiday_Dates) &lt;= 0,
            1,
            NETWORKDAYS(L2121, M2121, Holiday_Dates) - IF(L2121 = M2121, 0, 1)
        )
    )
)</f>
        <v/>
      </c>
      <c r="R2121" s="385" t="str">
        <f>IFERROR(
    IF(
        OR(ISBLANK(N2121), AND(ISBLANK(L2121), ISBLANK(M2121))),
        "",
        MAX(
            1,
            IF(
                NETWORKDAYS(IF(NOT(ISBLANK(M2121)), M2121, L2121), N2121, Holiday_Dates) &lt;= 0,
                1,
                NETWORKDAYS(IF(NOT(ISBLANK(M2121)), M2121, L2121), N2121, Holiday_Dates)
                - IF(IF(NOT(ISBLANK(M2121)), M2121, L2121) = N2121, 0, 1)
            )
        )
    ),
    ""
)</f>
        <v/>
      </c>
      <c r="S2121" s="385" t="str">
        <f>IFERROR(
    IF(
        OR(ISBLANK(N2121), ISBLANK(O2121)),
        "",
        MAX(
            1,
            IF(
                NETWORKDAYS(N2121, O2121, Holiday_Dates) &lt;= 0,
                1,
                NETWORKDAYS(N2121, O2121, Holiday_Dates) - IF(N2121 = O2121, 0, 1)
            )
        )
    ),
    ""
)</f>
        <v/>
      </c>
      <c r="T2121" s="385"/>
      <c r="U2121" s="385" t="s">
        <v>672</v>
      </c>
      <c r="V2121" s="385" t="s">
        <v>1676</v>
      </c>
      <c r="W2121" s="385" t="s">
        <v>1436</v>
      </c>
      <c r="X2121" s="1"/>
    </row>
    <row r="2122" spans="1:24">
      <c r="A2122" s="597" t="s">
        <v>65</v>
      </c>
      <c r="B2122" s="597" t="s">
        <v>507</v>
      </c>
      <c r="C2122" s="597" t="s">
        <v>2911</v>
      </c>
      <c r="D2122" s="597" t="s">
        <v>89</v>
      </c>
      <c r="E2122" s="597" t="s">
        <v>29</v>
      </c>
      <c r="F2122" s="597"/>
      <c r="G2122" s="597" t="s">
        <v>130</v>
      </c>
      <c r="H2122" s="597"/>
      <c r="I2122" s="597"/>
      <c r="J2122" s="598"/>
      <c r="K2122" s="597"/>
      <c r="L2122" s="385"/>
      <c r="M2122" s="385"/>
      <c r="N2122" s="385"/>
      <c r="O2122" s="385"/>
      <c r="P2122" s="385" t="str">
        <f>IFERROR(
    IF(
        OR(ISBLANK(I2122), ISBLANK(L2122)),
        "",
        MAX(
            1,
            IF(
                NETWORKDAYS(I2122, L2122, Holiday_Dates) &lt;= 0,
                1,
                NETWORKDAYS(I2122, L2122, Holiday_Dates) - IF(I2122 = L2122, 0, 1)
            )
        )
    ),
    ""
)</f>
        <v/>
      </c>
      <c r="Q2122" s="385" t="str">
        <f>IF(
    OR(ISBLANK(L2122), ISBLANK(M2122)),
    "",
    MAX(
        1,
        IF(
            NETWORKDAYS(L2122, M2122, Holiday_Dates) &lt;= 0,
            1,
            NETWORKDAYS(L2122, M2122, Holiday_Dates) - IF(L2122 = M2122, 0, 1)
        )
    )
)</f>
        <v/>
      </c>
      <c r="R2122" s="385" t="str">
        <f>IFERROR(
    IF(
        OR(ISBLANK(N2122), AND(ISBLANK(L2122), ISBLANK(M2122))),
        "",
        MAX(
            1,
            IF(
                NETWORKDAYS(IF(NOT(ISBLANK(M2122)), M2122, L2122), N2122, Holiday_Dates) &lt;= 0,
                1,
                NETWORKDAYS(IF(NOT(ISBLANK(M2122)), M2122, L2122), N2122, Holiday_Dates)
                - IF(IF(NOT(ISBLANK(M2122)), M2122, L2122) = N2122, 0, 1)
            )
        )
    ),
    ""
)</f>
        <v/>
      </c>
      <c r="S2122" s="385" t="str">
        <f>IFERROR(
    IF(
        OR(ISBLANK(N2122), ISBLANK(O2122)),
        "",
        MAX(
            1,
            IF(
                NETWORKDAYS(N2122, O2122, Holiday_Dates) &lt;= 0,
                1,
                NETWORKDAYS(N2122, O2122, Holiday_Dates) - IF(N2122 = O2122, 0, 1)
            )
        )
    ),
    ""
)</f>
        <v/>
      </c>
      <c r="T2122" s="385"/>
      <c r="U2122" s="385"/>
      <c r="V2122" s="385"/>
      <c r="W2122" s="385" t="s">
        <v>4710</v>
      </c>
      <c r="X2122" s="1"/>
    </row>
    <row r="2123" spans="1:24">
      <c r="A2123" s="385" t="s">
        <v>51</v>
      </c>
      <c r="B2123" s="385" t="s">
        <v>1080</v>
      </c>
      <c r="C2123" s="385" t="s">
        <v>378</v>
      </c>
      <c r="D2123" s="385" t="s">
        <v>88</v>
      </c>
      <c r="E2123" s="385"/>
      <c r="F2123" s="385"/>
      <c r="G2123" s="385"/>
      <c r="H2123" s="385">
        <v>2025</v>
      </c>
      <c r="I2123" s="386">
        <v>45940</v>
      </c>
      <c r="J2123" s="30" t="s">
        <v>5487</v>
      </c>
      <c r="K2123" s="385"/>
      <c r="L2123" s="385"/>
      <c r="M2123" s="385"/>
      <c r="N2123" s="385"/>
      <c r="O2123" s="385"/>
      <c r="P2123" s="385" t="str">
        <f>IFERROR(
    IF(
        OR(ISBLANK(I2123), ISBLANK(L2123)),
        "",
        MAX(
            1,
            IF(
                NETWORKDAYS(I2123, L2123, Holiday_Dates) &lt;= 0,
                1,
                NETWORKDAYS(I2123, L2123, Holiday_Dates) - IF(I2123 = L2123, 0, 1)
            )
        )
    ),
    ""
)</f>
        <v/>
      </c>
      <c r="Q2123" s="385" t="str">
        <f>IF(
    OR(ISBLANK(L2123), ISBLANK(M2123)),
    "",
    MAX(
        1,
        IF(
            NETWORKDAYS(L2123, M2123, Holiday_Dates) &lt;= 0,
            1,
            NETWORKDAYS(L2123, M2123, Holiday_Dates) - IF(L2123 = M2123, 0, 1)
        )
    )
)</f>
        <v/>
      </c>
      <c r="R2123" s="385" t="str">
        <f>IFERROR(
    IF(
        OR(ISBLANK(N2123), AND(ISBLANK(L2123), ISBLANK(M2123))),
        "",
        MAX(
            1,
            IF(
                NETWORKDAYS(IF(NOT(ISBLANK(M2123)), M2123, L2123), N2123, Holiday_Dates) &lt;= 0,
                1,
                NETWORKDAYS(IF(NOT(ISBLANK(M2123)), M2123, L2123), N2123, Holiday_Dates)
                - IF(IF(NOT(ISBLANK(M2123)), M2123, L2123) = N2123, 0, 1)
            )
        )
    ),
    ""
)</f>
        <v/>
      </c>
      <c r="S2123" s="385" t="str">
        <f>IFERROR(
    IF(
        OR(ISBLANK(N2123), ISBLANK(O2123)),
        "",
        MAX(
            1,
            IF(
                NETWORKDAYS(N2123, O2123, Holiday_Dates) &lt;= 0,
                1,
                NETWORKDAYS(N2123, O2123, Holiday_Dates) - IF(N2123 = O2123, 0, 1)
            )
        )
    ),
    ""
)</f>
        <v/>
      </c>
      <c r="T2123" s="385"/>
      <c r="U2123" s="385" t="s">
        <v>672</v>
      </c>
      <c r="V2123" s="385" t="s">
        <v>1676</v>
      </c>
      <c r="W2123" s="385" t="s">
        <v>1436</v>
      </c>
      <c r="X2123" s="1"/>
    </row>
    <row r="2124" spans="1:24">
      <c r="A2124" s="597" t="s">
        <v>65</v>
      </c>
      <c r="B2124" s="597" t="s">
        <v>507</v>
      </c>
      <c r="C2124" s="597" t="s">
        <v>2730</v>
      </c>
      <c r="D2124" s="597" t="s">
        <v>89</v>
      </c>
      <c r="E2124" s="597" t="s">
        <v>29</v>
      </c>
      <c r="F2124" s="597"/>
      <c r="G2124" s="597" t="s">
        <v>130</v>
      </c>
      <c r="H2124" s="597"/>
      <c r="I2124" s="597"/>
      <c r="J2124" s="598"/>
      <c r="K2124" s="597"/>
      <c r="L2124" s="385"/>
      <c r="M2124" s="385"/>
      <c r="N2124" s="385"/>
      <c r="O2124" s="385"/>
      <c r="P2124" s="385" t="str">
        <f>IFERROR(
    IF(
        OR(ISBLANK(I2124), ISBLANK(L2124)),
        "",
        MAX(
            1,
            IF(
                NETWORKDAYS(I2124, L2124, Holiday_Dates) &lt;= 0,
                1,
                NETWORKDAYS(I2124, L2124, Holiday_Dates) - IF(I2124 = L2124, 0, 1)
            )
        )
    ),
    ""
)</f>
        <v/>
      </c>
      <c r="Q2124" s="385" t="str">
        <f>IF(
    OR(ISBLANK(L2124), ISBLANK(M2124)),
    "",
    MAX(
        1,
        IF(
            NETWORKDAYS(L2124, M2124, Holiday_Dates) &lt;= 0,
            1,
            NETWORKDAYS(L2124, M2124, Holiday_Dates) - IF(L2124 = M2124, 0, 1)
        )
    )
)</f>
        <v/>
      </c>
      <c r="R2124" s="385" t="str">
        <f>IFERROR(
    IF(
        OR(ISBLANK(N2124), AND(ISBLANK(L2124), ISBLANK(M2124))),
        "",
        MAX(
            1,
            IF(
                NETWORKDAYS(IF(NOT(ISBLANK(M2124)), M2124, L2124), N2124, Holiday_Dates) &lt;= 0,
                1,
                NETWORKDAYS(IF(NOT(ISBLANK(M2124)), M2124, L2124), N2124, Holiday_Dates)
                - IF(IF(NOT(ISBLANK(M2124)), M2124, L2124) = N2124, 0, 1)
            )
        )
    ),
    ""
)</f>
        <v/>
      </c>
      <c r="S2124" s="385" t="str">
        <f>IFERROR(
    IF(
        OR(ISBLANK(N2124), ISBLANK(O2124)),
        "",
        MAX(
            1,
            IF(
                NETWORKDAYS(N2124, O2124, Holiday_Dates) &lt;= 0,
                1,
                NETWORKDAYS(N2124, O2124, Holiday_Dates) - IF(N2124 = O2124, 0, 1)
            )
        )
    ),
    ""
)</f>
        <v/>
      </c>
      <c r="T2124" s="385"/>
      <c r="U2124" s="385"/>
      <c r="V2124" s="385"/>
      <c r="W2124" s="385" t="s">
        <v>4710</v>
      </c>
      <c r="X2124" s="1"/>
    </row>
    <row r="2125" spans="1:24">
      <c r="A2125" s="385" t="s">
        <v>65</v>
      </c>
      <c r="B2125" s="385" t="s">
        <v>511</v>
      </c>
      <c r="C2125" s="385" t="s">
        <v>3059</v>
      </c>
      <c r="D2125" s="385" t="s">
        <v>88</v>
      </c>
      <c r="E2125" s="385" t="s">
        <v>29</v>
      </c>
      <c r="F2125" s="385"/>
      <c r="G2125" s="385" t="s">
        <v>130</v>
      </c>
      <c r="H2125" s="385"/>
      <c r="I2125" s="385"/>
      <c r="J2125" s="30"/>
      <c r="K2125" s="385"/>
      <c r="L2125" s="385"/>
      <c r="M2125" s="385"/>
      <c r="N2125" s="385"/>
      <c r="O2125" s="385"/>
      <c r="P2125" s="385" t="str">
        <f>IFERROR(
    IF(
        OR(ISBLANK(I2125), ISBLANK(L2125)),
        "",
        MAX(
            1,
            IF(
                NETWORKDAYS(I2125, L2125, Holiday_Dates) &lt;= 0,
                1,
                NETWORKDAYS(I2125, L2125, Holiday_Dates) - IF(I2125 = L2125, 0, 1)
            )
        )
    ),
    ""
)</f>
        <v/>
      </c>
      <c r="Q2125" s="385" t="str">
        <f>IF(
    OR(ISBLANK(L2125), ISBLANK(M2125)),
    "",
    MAX(
        1,
        IF(
            NETWORKDAYS(L2125, M2125, Holiday_Dates) &lt;= 0,
            1,
            NETWORKDAYS(L2125, M2125, Holiday_Dates) - IF(L2125 = M2125, 0, 1)
        )
    )
)</f>
        <v/>
      </c>
      <c r="R2125" s="385" t="str">
        <f>IFERROR(
    IF(
        OR(ISBLANK(N2125), AND(ISBLANK(L2125), ISBLANK(M2125))),
        "",
        MAX(
            1,
            IF(
                NETWORKDAYS(IF(NOT(ISBLANK(M2125)), M2125, L2125), N2125, Holiday_Dates) &lt;= 0,
                1,
                NETWORKDAYS(IF(NOT(ISBLANK(M2125)), M2125, L2125), N2125, Holiday_Dates)
                - IF(IF(NOT(ISBLANK(M2125)), M2125, L2125) = N2125, 0, 1)
            )
        )
    ),
    ""
)</f>
        <v/>
      </c>
      <c r="S2125" s="385" t="str">
        <f>IFERROR(
    IF(
        OR(ISBLANK(N2125), ISBLANK(O2125)),
        "",
        MAX(
            1,
            IF(
                NETWORKDAYS(N2125, O2125, Holiday_Dates) &lt;= 0,
                1,
                NETWORKDAYS(N2125, O2125, Holiday_Dates) - IF(N2125 = O2125, 0, 1)
            )
        )
    ),
    ""
)</f>
        <v/>
      </c>
      <c r="T2125" s="385"/>
      <c r="U2125" s="385"/>
      <c r="V2125" s="385"/>
      <c r="W2125" s="385" t="s">
        <v>4710</v>
      </c>
      <c r="X2125" s="1"/>
    </row>
    <row r="2126" spans="1:24">
      <c r="A2126" s="385" t="s">
        <v>51</v>
      </c>
      <c r="B2126" s="385" t="s">
        <v>1080</v>
      </c>
      <c r="C2126" s="385" t="s">
        <v>2202</v>
      </c>
      <c r="D2126" s="385" t="s">
        <v>88</v>
      </c>
      <c r="E2126" s="385"/>
      <c r="F2126" s="385"/>
      <c r="G2126" s="385"/>
      <c r="H2126" s="385">
        <v>2025</v>
      </c>
      <c r="I2126" s="386">
        <v>45884</v>
      </c>
      <c r="J2126" s="30" t="s">
        <v>5488</v>
      </c>
      <c r="K2126" s="385"/>
      <c r="L2126" s="385"/>
      <c r="M2126" s="385"/>
      <c r="N2126" s="385"/>
      <c r="O2126" s="385"/>
      <c r="P2126" s="385" t="str">
        <f>IFERROR(
    IF(
        OR(ISBLANK(I2126), ISBLANK(L2126)),
        "",
        MAX(
            1,
            IF(
                NETWORKDAYS(I2126, L2126, Holiday_Dates) &lt;= 0,
                1,
                NETWORKDAYS(I2126, L2126, Holiday_Dates) - IF(I2126 = L2126, 0, 1)
            )
        )
    ),
    ""
)</f>
        <v/>
      </c>
      <c r="Q2126" s="385" t="str">
        <f>IF(
    OR(ISBLANK(L2126), ISBLANK(M2126)),
    "",
    MAX(
        1,
        IF(
            NETWORKDAYS(L2126, M2126, Holiday_Dates) &lt;= 0,
            1,
            NETWORKDAYS(L2126, M2126, Holiday_Dates) - IF(L2126 = M2126, 0, 1)
        )
    )
)</f>
        <v/>
      </c>
      <c r="R2126" s="385" t="str">
        <f>IFERROR(
    IF(
        OR(ISBLANK(N2126), AND(ISBLANK(L2126), ISBLANK(M2126))),
        "",
        MAX(
            1,
            IF(
                NETWORKDAYS(IF(NOT(ISBLANK(M2126)), M2126, L2126), N2126, Holiday_Dates) &lt;= 0,
                1,
                NETWORKDAYS(IF(NOT(ISBLANK(M2126)), M2126, L2126), N2126, Holiday_Dates)
                - IF(IF(NOT(ISBLANK(M2126)), M2126, L2126) = N2126, 0, 1)
            )
        )
    ),
    ""
)</f>
        <v/>
      </c>
      <c r="S2126" s="385" t="str">
        <f>IFERROR(
    IF(
        OR(ISBLANK(N2126), ISBLANK(O2126)),
        "",
        MAX(
            1,
            IF(
                NETWORKDAYS(N2126, O2126, Holiday_Dates) &lt;= 0,
                1,
                NETWORKDAYS(N2126, O2126, Holiday_Dates) - IF(N2126 = O2126, 0, 1)
            )
        )
    ),
    ""
)</f>
        <v/>
      </c>
      <c r="T2126" s="385"/>
      <c r="U2126" s="385" t="s">
        <v>672</v>
      </c>
      <c r="V2126" s="386" t="s">
        <v>1676</v>
      </c>
      <c r="W2126" s="385" t="s">
        <v>1436</v>
      </c>
      <c r="X2126" s="1"/>
    </row>
    <row r="2127" spans="1:24">
      <c r="A2127" s="385" t="s">
        <v>51</v>
      </c>
      <c r="B2127" s="385" t="s">
        <v>1080</v>
      </c>
      <c r="C2127" s="385" t="s">
        <v>3710</v>
      </c>
      <c r="D2127" s="385" t="s">
        <v>88</v>
      </c>
      <c r="E2127" s="385"/>
      <c r="F2127" s="385"/>
      <c r="G2127" s="385"/>
      <c r="H2127" s="385">
        <v>2025</v>
      </c>
      <c r="I2127" s="386">
        <v>45940</v>
      </c>
      <c r="J2127" s="30" t="s">
        <v>5489</v>
      </c>
      <c r="K2127" s="385"/>
      <c r="L2127" s="385"/>
      <c r="M2127" s="385"/>
      <c r="N2127" s="385"/>
      <c r="O2127" s="385"/>
      <c r="P2127" s="385" t="str">
        <f>IFERROR(
    IF(
        OR(ISBLANK(I2127), ISBLANK(L2127)),
        "",
        MAX(
            1,
            IF(
                NETWORKDAYS(I2127, L2127, Holiday_Dates) &lt;= 0,
                1,
                NETWORKDAYS(I2127, L2127, Holiday_Dates) - IF(I2127 = L2127, 0, 1)
            )
        )
    ),
    ""
)</f>
        <v/>
      </c>
      <c r="Q2127" s="385" t="str">
        <f>IF(
    OR(ISBLANK(L2127), ISBLANK(M2127)),
    "",
    MAX(
        1,
        IF(
            NETWORKDAYS(L2127, M2127, Holiday_Dates) &lt;= 0,
            1,
            NETWORKDAYS(L2127, M2127, Holiday_Dates) - IF(L2127 = M2127, 0, 1)
        )
    )
)</f>
        <v/>
      </c>
      <c r="R2127" s="385" t="str">
        <f>IFERROR(
    IF(
        OR(ISBLANK(N2127), AND(ISBLANK(L2127), ISBLANK(M2127))),
        "",
        MAX(
            1,
            IF(
                NETWORKDAYS(IF(NOT(ISBLANK(M2127)), M2127, L2127), N2127, Holiday_Dates) &lt;= 0,
                1,
                NETWORKDAYS(IF(NOT(ISBLANK(M2127)), M2127, L2127), N2127, Holiday_Dates)
                - IF(IF(NOT(ISBLANK(M2127)), M2127, L2127) = N2127, 0, 1)
            )
        )
    ),
    ""
)</f>
        <v/>
      </c>
      <c r="S2127" s="385" t="str">
        <f>IFERROR(
    IF(
        OR(ISBLANK(N2127), ISBLANK(O2127)),
        "",
        MAX(
            1,
            IF(
                NETWORKDAYS(N2127, O2127, Holiday_Dates) &lt;= 0,
                1,
                NETWORKDAYS(N2127, O2127, Holiday_Dates) - IF(N2127 = O2127, 0, 1)
            )
        )
    ),
    ""
)</f>
        <v/>
      </c>
      <c r="T2127" s="385"/>
      <c r="U2127" s="385" t="s">
        <v>672</v>
      </c>
      <c r="V2127" s="386" t="s">
        <v>1676</v>
      </c>
      <c r="W2127" s="385" t="s">
        <v>1436</v>
      </c>
      <c r="X2127" s="1"/>
    </row>
    <row r="2128" spans="1:24">
      <c r="A2128" s="385" t="s">
        <v>51</v>
      </c>
      <c r="B2128" s="385" t="s">
        <v>1080</v>
      </c>
      <c r="C2128" s="385" t="s">
        <v>380</v>
      </c>
      <c r="D2128" s="385" t="s">
        <v>88</v>
      </c>
      <c r="E2128" s="385"/>
      <c r="F2128" s="385"/>
      <c r="G2128" s="385"/>
      <c r="H2128" s="385">
        <v>2025</v>
      </c>
      <c r="I2128" s="386">
        <v>45940</v>
      </c>
      <c r="J2128" s="30" t="s">
        <v>5490</v>
      </c>
      <c r="K2128" s="385"/>
      <c r="L2128" s="385"/>
      <c r="M2128" s="385"/>
      <c r="N2128" s="385"/>
      <c r="O2128" s="385"/>
      <c r="P2128" s="385" t="str">
        <f>IFERROR(
    IF(
        OR(ISBLANK(I2128), ISBLANK(L2128)),
        "",
        MAX(
            1,
            IF(
                NETWORKDAYS(I2128, L2128, Holiday_Dates) &lt;= 0,
                1,
                NETWORKDAYS(I2128, L2128, Holiday_Dates) - IF(I2128 = L2128, 0, 1)
            )
        )
    ),
    ""
)</f>
        <v/>
      </c>
      <c r="Q2128" s="385" t="str">
        <f>IF(
    OR(ISBLANK(L2128), ISBLANK(M2128)),
    "",
    MAX(
        1,
        IF(
            NETWORKDAYS(L2128, M2128, Holiday_Dates) &lt;= 0,
            1,
            NETWORKDAYS(L2128, M2128, Holiday_Dates) - IF(L2128 = M2128, 0, 1)
        )
    )
)</f>
        <v/>
      </c>
      <c r="R2128" s="385" t="str">
        <f>IFERROR(
    IF(
        OR(ISBLANK(N2128), AND(ISBLANK(L2128), ISBLANK(M2128))),
        "",
        MAX(
            1,
            IF(
                NETWORKDAYS(IF(NOT(ISBLANK(M2128)), M2128, L2128), N2128, Holiday_Dates) &lt;= 0,
                1,
                NETWORKDAYS(IF(NOT(ISBLANK(M2128)), M2128, L2128), N2128, Holiday_Dates)
                - IF(IF(NOT(ISBLANK(M2128)), M2128, L2128) = N2128, 0, 1)
            )
        )
    ),
    ""
)</f>
        <v/>
      </c>
      <c r="S2128" s="385" t="str">
        <f>IFERROR(
    IF(
        OR(ISBLANK(N2128), ISBLANK(O2128)),
        "",
        MAX(
            1,
            IF(
                NETWORKDAYS(N2128, O2128, Holiday_Dates) &lt;= 0,
                1,
                NETWORKDAYS(N2128, O2128, Holiday_Dates) - IF(N2128 = O2128, 0, 1)
            )
        )
    ),
    ""
)</f>
        <v/>
      </c>
      <c r="T2128" s="385"/>
      <c r="U2128" s="385" t="s">
        <v>672</v>
      </c>
      <c r="V2128" s="386" t="s">
        <v>1676</v>
      </c>
      <c r="W2128" s="385" t="s">
        <v>1436</v>
      </c>
      <c r="X2128" s="1"/>
    </row>
    <row r="2129" spans="1:24">
      <c r="A2129" s="385" t="s">
        <v>51</v>
      </c>
      <c r="B2129" s="385" t="s">
        <v>1080</v>
      </c>
      <c r="C2129" s="385" t="s">
        <v>3711</v>
      </c>
      <c r="D2129" s="385" t="s">
        <v>88</v>
      </c>
      <c r="E2129" s="385"/>
      <c r="F2129" s="385"/>
      <c r="G2129" s="385"/>
      <c r="H2129" s="385">
        <v>2025</v>
      </c>
      <c r="I2129" s="386">
        <v>45884</v>
      </c>
      <c r="J2129" s="30" t="s">
        <v>5491</v>
      </c>
      <c r="K2129" s="385"/>
      <c r="L2129" s="385"/>
      <c r="M2129" s="385"/>
      <c r="N2129" s="385"/>
      <c r="O2129" s="385"/>
      <c r="P2129" s="385" t="str">
        <f>IFERROR(
    IF(
        OR(ISBLANK(I2129), ISBLANK(L2129)),
        "",
        MAX(
            1,
            IF(
                NETWORKDAYS(I2129, L2129, Holiday_Dates) &lt;= 0,
                1,
                NETWORKDAYS(I2129, L2129, Holiday_Dates) - IF(I2129 = L2129, 0, 1)
            )
        )
    ),
    ""
)</f>
        <v/>
      </c>
      <c r="Q2129" s="385" t="str">
        <f>IF(
    OR(ISBLANK(L2129), ISBLANK(M2129)),
    "",
    MAX(
        1,
        IF(
            NETWORKDAYS(L2129, M2129, Holiday_Dates) &lt;= 0,
            1,
            NETWORKDAYS(L2129, M2129, Holiday_Dates) - IF(L2129 = M2129, 0, 1)
        )
    )
)</f>
        <v/>
      </c>
      <c r="R2129" s="385" t="str">
        <f>IFERROR(
    IF(
        OR(ISBLANK(N2129), AND(ISBLANK(L2129), ISBLANK(M2129))),
        "",
        MAX(
            1,
            IF(
                NETWORKDAYS(IF(NOT(ISBLANK(M2129)), M2129, L2129), N2129, Holiday_Dates) &lt;= 0,
                1,
                NETWORKDAYS(IF(NOT(ISBLANK(M2129)), M2129, L2129), N2129, Holiday_Dates)
                - IF(IF(NOT(ISBLANK(M2129)), M2129, L2129) = N2129, 0, 1)
            )
        )
    ),
    ""
)</f>
        <v/>
      </c>
      <c r="S2129" s="385" t="str">
        <f>IFERROR(
    IF(
        OR(ISBLANK(N2129), ISBLANK(O2129)),
        "",
        MAX(
            1,
            IF(
                NETWORKDAYS(N2129, O2129, Holiday_Dates) &lt;= 0,
                1,
                NETWORKDAYS(N2129, O2129, Holiday_Dates) - IF(N2129 = O2129, 0, 1)
            )
        )
    ),
    ""
)</f>
        <v/>
      </c>
      <c r="T2129" s="385"/>
      <c r="U2129" s="385" t="s">
        <v>672</v>
      </c>
      <c r="V2129" s="386" t="s">
        <v>1676</v>
      </c>
      <c r="W2129" s="385" t="s">
        <v>1436</v>
      </c>
      <c r="X2129" s="1"/>
    </row>
    <row r="2130" spans="1:24">
      <c r="A2130" s="385" t="s">
        <v>51</v>
      </c>
      <c r="B2130" s="385" t="s">
        <v>1080</v>
      </c>
      <c r="C2130" s="385" t="s">
        <v>1879</v>
      </c>
      <c r="D2130" s="385" t="s">
        <v>88</v>
      </c>
      <c r="E2130" s="385"/>
      <c r="F2130" s="385"/>
      <c r="G2130" s="385"/>
      <c r="H2130" s="385">
        <v>2025</v>
      </c>
      <c r="I2130" s="386">
        <v>45940</v>
      </c>
      <c r="J2130" s="30" t="s">
        <v>5492</v>
      </c>
      <c r="K2130" s="385"/>
      <c r="L2130" s="385"/>
      <c r="M2130" s="385"/>
      <c r="N2130" s="385"/>
      <c r="O2130" s="385"/>
      <c r="P2130" s="385" t="str">
        <f>IFERROR(
    IF(
        OR(ISBLANK(I2130), ISBLANK(L2130)),
        "",
        MAX(
            1,
            IF(
                NETWORKDAYS(I2130, L2130, Holiday_Dates) &lt;= 0,
                1,
                NETWORKDAYS(I2130, L2130, Holiday_Dates) - IF(I2130 = L2130, 0, 1)
            )
        )
    ),
    ""
)</f>
        <v/>
      </c>
      <c r="Q2130" s="385" t="str">
        <f>IF(
    OR(ISBLANK(L2130), ISBLANK(M2130)),
    "",
    MAX(
        1,
        IF(
            NETWORKDAYS(L2130, M2130, Holiday_Dates) &lt;= 0,
            1,
            NETWORKDAYS(L2130, M2130, Holiday_Dates) - IF(L2130 = M2130, 0, 1)
        )
    )
)</f>
        <v/>
      </c>
      <c r="R2130" s="385" t="str">
        <f>IFERROR(
    IF(
        OR(ISBLANK(N2130), AND(ISBLANK(L2130), ISBLANK(M2130))),
        "",
        MAX(
            1,
            IF(
                NETWORKDAYS(IF(NOT(ISBLANK(M2130)), M2130, L2130), N2130, Holiday_Dates) &lt;= 0,
                1,
                NETWORKDAYS(IF(NOT(ISBLANK(M2130)), M2130, L2130), N2130, Holiday_Dates)
                - IF(IF(NOT(ISBLANK(M2130)), M2130, L2130) = N2130, 0, 1)
            )
        )
    ),
    ""
)</f>
        <v/>
      </c>
      <c r="S2130" s="385" t="str">
        <f>IFERROR(
    IF(
        OR(ISBLANK(N2130), ISBLANK(O2130)),
        "",
        MAX(
            1,
            IF(
                NETWORKDAYS(N2130, O2130, Holiday_Dates) &lt;= 0,
                1,
                NETWORKDAYS(N2130, O2130, Holiday_Dates) - IF(N2130 = O2130, 0, 1)
            )
        )
    ),
    ""
)</f>
        <v/>
      </c>
      <c r="T2130" s="385"/>
      <c r="U2130" s="385" t="s">
        <v>672</v>
      </c>
      <c r="V2130" s="385" t="s">
        <v>1676</v>
      </c>
      <c r="W2130" s="385" t="s">
        <v>1436</v>
      </c>
      <c r="X2130" s="1"/>
    </row>
    <row r="2131" spans="1:24">
      <c r="A2131" s="385" t="s">
        <v>51</v>
      </c>
      <c r="B2131" s="385" t="s">
        <v>1080</v>
      </c>
      <c r="C2131" s="385" t="s">
        <v>2395</v>
      </c>
      <c r="D2131" s="385" t="s">
        <v>88</v>
      </c>
      <c r="E2131" s="385"/>
      <c r="F2131" s="385"/>
      <c r="G2131" s="385"/>
      <c r="H2131" s="385">
        <v>2025</v>
      </c>
      <c r="I2131" s="386">
        <v>45884</v>
      </c>
      <c r="J2131" s="30" t="s">
        <v>5493</v>
      </c>
      <c r="K2131" s="385"/>
      <c r="L2131" s="385"/>
      <c r="M2131" s="385"/>
      <c r="N2131" s="385"/>
      <c r="O2131" s="385"/>
      <c r="P2131" s="385" t="str">
        <f>IFERROR(
    IF(
        OR(ISBLANK(I2131), ISBLANK(L2131)),
        "",
        MAX(
            1,
            IF(
                NETWORKDAYS(I2131, L2131, Holiday_Dates) &lt;= 0,
                1,
                NETWORKDAYS(I2131, L2131, Holiday_Dates) - IF(I2131 = L2131, 0, 1)
            )
        )
    ),
    ""
)</f>
        <v/>
      </c>
      <c r="Q2131" s="385" t="str">
        <f>IF(
    OR(ISBLANK(L2131), ISBLANK(M2131)),
    "",
    MAX(
        1,
        IF(
            NETWORKDAYS(L2131, M2131, Holiday_Dates) &lt;= 0,
            1,
            NETWORKDAYS(L2131, M2131, Holiday_Dates) - IF(L2131 = M2131, 0, 1)
        )
    )
)</f>
        <v/>
      </c>
      <c r="R2131" s="385" t="str">
        <f>IFERROR(
    IF(
        OR(ISBLANK(N2131), AND(ISBLANK(L2131), ISBLANK(M2131))),
        "",
        MAX(
            1,
            IF(
                NETWORKDAYS(IF(NOT(ISBLANK(M2131)), M2131, L2131), N2131, Holiday_Dates) &lt;= 0,
                1,
                NETWORKDAYS(IF(NOT(ISBLANK(M2131)), M2131, L2131), N2131, Holiday_Dates)
                - IF(IF(NOT(ISBLANK(M2131)), M2131, L2131) = N2131, 0, 1)
            )
        )
    ),
    ""
)</f>
        <v/>
      </c>
      <c r="S2131" s="385" t="str">
        <f>IFERROR(
    IF(
        OR(ISBLANK(N2131), ISBLANK(O2131)),
        "",
        MAX(
            1,
            IF(
                NETWORKDAYS(N2131, O2131, Holiday_Dates) &lt;= 0,
                1,
                NETWORKDAYS(N2131, O2131, Holiday_Dates) - IF(N2131 = O2131, 0, 1)
            )
        )
    ),
    ""
)</f>
        <v/>
      </c>
      <c r="T2131" s="385"/>
      <c r="U2131" s="385" t="s">
        <v>672</v>
      </c>
      <c r="V2131" s="385" t="s">
        <v>1676</v>
      </c>
      <c r="W2131" s="385" t="s">
        <v>1436</v>
      </c>
      <c r="X2131" s="1"/>
    </row>
    <row r="2132" spans="1:24">
      <c r="A2132" s="385" t="s">
        <v>65</v>
      </c>
      <c r="B2132" s="385" t="s">
        <v>511</v>
      </c>
      <c r="C2132" s="385" t="s">
        <v>3061</v>
      </c>
      <c r="D2132" s="385" t="s">
        <v>88</v>
      </c>
      <c r="E2132" s="385" t="s">
        <v>29</v>
      </c>
      <c r="F2132" s="385"/>
      <c r="G2132" s="385" t="s">
        <v>130</v>
      </c>
      <c r="H2132" s="385"/>
      <c r="I2132" s="385"/>
      <c r="J2132" s="30"/>
      <c r="K2132" s="385"/>
      <c r="L2132" s="385"/>
      <c r="M2132" s="385"/>
      <c r="N2132" s="385"/>
      <c r="O2132" s="385"/>
      <c r="P2132" s="385" t="str">
        <f>IFERROR(
    IF(
        OR(ISBLANK(I2132), ISBLANK(L2132)),
        "",
        MAX(
            1,
            IF(
                NETWORKDAYS(I2132, L2132, Holiday_Dates) &lt;= 0,
                1,
                NETWORKDAYS(I2132, L2132, Holiday_Dates) - IF(I2132 = L2132, 0, 1)
            )
        )
    ),
    ""
)</f>
        <v/>
      </c>
      <c r="Q2132" s="385" t="str">
        <f>IF(
    OR(ISBLANK(L2132), ISBLANK(M2132)),
    "",
    MAX(
        1,
        IF(
            NETWORKDAYS(L2132, M2132, Holiday_Dates) &lt;= 0,
            1,
            NETWORKDAYS(L2132, M2132, Holiday_Dates) - IF(L2132 = M2132, 0, 1)
        )
    )
)</f>
        <v/>
      </c>
      <c r="R2132" s="385" t="str">
        <f>IFERROR(
    IF(
        OR(ISBLANK(N2132), AND(ISBLANK(L2132), ISBLANK(M2132))),
        "",
        MAX(
            1,
            IF(
                NETWORKDAYS(IF(NOT(ISBLANK(M2132)), M2132, L2132), N2132, Holiday_Dates) &lt;= 0,
                1,
                NETWORKDAYS(IF(NOT(ISBLANK(M2132)), M2132, L2132), N2132, Holiday_Dates)
                - IF(IF(NOT(ISBLANK(M2132)), M2132, L2132) = N2132, 0, 1)
            )
        )
    ),
    ""
)</f>
        <v/>
      </c>
      <c r="S2132" s="385" t="str">
        <f>IFERROR(
    IF(
        OR(ISBLANK(N2132), ISBLANK(O2132)),
        "",
        MAX(
            1,
            IF(
                NETWORKDAYS(N2132, O2132, Holiday_Dates) &lt;= 0,
                1,
                NETWORKDAYS(N2132, O2132, Holiday_Dates) - IF(N2132 = O2132, 0, 1)
            )
        )
    ),
    ""
)</f>
        <v/>
      </c>
      <c r="T2132" s="385"/>
      <c r="U2132" s="385"/>
      <c r="V2132" s="385"/>
      <c r="W2132" s="385" t="s">
        <v>4710</v>
      </c>
      <c r="X2132" s="1"/>
    </row>
    <row r="2133" spans="1:24">
      <c r="A2133" s="385" t="s">
        <v>51</v>
      </c>
      <c r="B2133" s="385" t="s">
        <v>1080</v>
      </c>
      <c r="C2133" s="385" t="s">
        <v>3713</v>
      </c>
      <c r="D2133" s="385" t="s">
        <v>88</v>
      </c>
      <c r="E2133" s="385"/>
      <c r="F2133" s="385"/>
      <c r="G2133" s="385"/>
      <c r="H2133" s="385">
        <v>2025</v>
      </c>
      <c r="I2133" s="386">
        <v>45701</v>
      </c>
      <c r="J2133" s="30" t="s">
        <v>5494</v>
      </c>
      <c r="K2133" s="385"/>
      <c r="L2133" s="385"/>
      <c r="M2133" s="385"/>
      <c r="N2133" s="385"/>
      <c r="O2133" s="385"/>
      <c r="P2133" s="385" t="str">
        <f>IFERROR(
    IF(
        OR(ISBLANK(I2133), ISBLANK(L2133)),
        "",
        MAX(
            1,
            IF(
                NETWORKDAYS(I2133, L2133, Holiday_Dates) &lt;= 0,
                1,
                NETWORKDAYS(I2133, L2133, Holiday_Dates) - IF(I2133 = L2133, 0, 1)
            )
        )
    ),
    ""
)</f>
        <v/>
      </c>
      <c r="Q2133" s="385" t="str">
        <f>IF(
    OR(ISBLANK(L2133), ISBLANK(M2133)),
    "",
    MAX(
        1,
        IF(
            NETWORKDAYS(L2133, M2133, Holiday_Dates) &lt;= 0,
            1,
            NETWORKDAYS(L2133, M2133, Holiday_Dates) - IF(L2133 = M2133, 0, 1)
        )
    )
)</f>
        <v/>
      </c>
      <c r="R2133" s="385" t="str">
        <f>IFERROR(
    IF(
        OR(ISBLANK(N2133), AND(ISBLANK(L2133), ISBLANK(M2133))),
        "",
        MAX(
            1,
            IF(
                NETWORKDAYS(IF(NOT(ISBLANK(M2133)), M2133, L2133), N2133, Holiday_Dates) &lt;= 0,
                1,
                NETWORKDAYS(IF(NOT(ISBLANK(M2133)), M2133, L2133), N2133, Holiday_Dates)
                - IF(IF(NOT(ISBLANK(M2133)), M2133, L2133) = N2133, 0, 1)
            )
        )
    ),
    ""
)</f>
        <v/>
      </c>
      <c r="S2133" s="385" t="str">
        <f>IFERROR(
    IF(
        OR(ISBLANK(N2133), ISBLANK(O2133)),
        "",
        MAX(
            1,
            IF(
                NETWORKDAYS(N2133, O2133, Holiday_Dates) &lt;= 0,
                1,
                NETWORKDAYS(N2133, O2133, Holiday_Dates) - IF(N2133 = O2133, 0, 1)
            )
        )
    ),
    ""
)</f>
        <v/>
      </c>
      <c r="T2133" s="385"/>
      <c r="U2133" s="385" t="s">
        <v>672</v>
      </c>
      <c r="V2133" s="385" t="s">
        <v>101</v>
      </c>
      <c r="W2133" s="385" t="s">
        <v>1436</v>
      </c>
      <c r="X2133" s="1"/>
    </row>
    <row r="2134" spans="1:24">
      <c r="A2134" s="385" t="s">
        <v>65</v>
      </c>
      <c r="B2134" s="385" t="s">
        <v>511</v>
      </c>
      <c r="C2134" s="385" t="s">
        <v>2342</v>
      </c>
      <c r="D2134" s="385" t="s">
        <v>88</v>
      </c>
      <c r="E2134" s="385" t="s">
        <v>29</v>
      </c>
      <c r="F2134" s="385"/>
      <c r="G2134" s="385" t="s">
        <v>130</v>
      </c>
      <c r="H2134" s="385"/>
      <c r="I2134" s="385"/>
      <c r="J2134" s="30"/>
      <c r="K2134" s="385"/>
      <c r="L2134" s="385"/>
      <c r="M2134" s="385"/>
      <c r="N2134" s="385"/>
      <c r="O2134" s="385"/>
      <c r="P2134" s="385" t="str">
        <f>IFERROR(
    IF(
        OR(ISBLANK(I2134), ISBLANK(L2134)),
        "",
        MAX(
            1,
            IF(
                NETWORKDAYS(I2134, L2134, Holiday_Dates) &lt;= 0,
                1,
                NETWORKDAYS(I2134, L2134, Holiday_Dates) - IF(I2134 = L2134, 0, 1)
            )
        )
    ),
    ""
)</f>
        <v/>
      </c>
      <c r="Q2134" s="385" t="str">
        <f>IF(
    OR(ISBLANK(L2134), ISBLANK(M2134)),
    "",
    MAX(
        1,
        IF(
            NETWORKDAYS(L2134, M2134, Holiday_Dates) &lt;= 0,
            1,
            NETWORKDAYS(L2134, M2134, Holiday_Dates) - IF(L2134 = M2134, 0, 1)
        )
    )
)</f>
        <v/>
      </c>
      <c r="R2134" s="385" t="str">
        <f>IFERROR(
    IF(
        OR(ISBLANK(N2134), AND(ISBLANK(L2134), ISBLANK(M2134))),
        "",
        MAX(
            1,
            IF(
                NETWORKDAYS(IF(NOT(ISBLANK(M2134)), M2134, L2134), N2134, Holiday_Dates) &lt;= 0,
                1,
                NETWORKDAYS(IF(NOT(ISBLANK(M2134)), M2134, L2134), N2134, Holiday_Dates)
                - IF(IF(NOT(ISBLANK(M2134)), M2134, L2134) = N2134, 0, 1)
            )
        )
    ),
    ""
)</f>
        <v/>
      </c>
      <c r="S2134" s="385" t="str">
        <f>IFERROR(
    IF(
        OR(ISBLANK(N2134), ISBLANK(O2134)),
        "",
        MAX(
            1,
            IF(
                NETWORKDAYS(N2134, O2134, Holiday_Dates) &lt;= 0,
                1,
                NETWORKDAYS(N2134, O2134, Holiday_Dates) - IF(N2134 = O2134, 0, 1)
            )
        )
    ),
    ""
)</f>
        <v/>
      </c>
      <c r="T2134" s="385"/>
      <c r="U2134" s="385"/>
      <c r="V2134" s="385"/>
      <c r="W2134" s="385" t="s">
        <v>4710</v>
      </c>
      <c r="X2134" s="1"/>
    </row>
    <row r="2135" spans="1:24">
      <c r="A2135" s="385" t="s">
        <v>51</v>
      </c>
      <c r="B2135" s="385" t="s">
        <v>535</v>
      </c>
      <c r="C2135" s="385" t="s">
        <v>3732</v>
      </c>
      <c r="D2135" s="385" t="s">
        <v>88</v>
      </c>
      <c r="E2135" s="385"/>
      <c r="F2135" s="385"/>
      <c r="G2135" s="385"/>
      <c r="H2135" s="385">
        <v>2025</v>
      </c>
      <c r="I2135" s="386">
        <v>45913</v>
      </c>
      <c r="J2135" s="30" t="s">
        <v>5495</v>
      </c>
      <c r="K2135" s="385"/>
      <c r="L2135" s="385"/>
      <c r="M2135" s="385"/>
      <c r="N2135" s="385"/>
      <c r="O2135" s="385"/>
      <c r="P2135" s="385" t="str">
        <f>IFERROR(
    IF(
        OR(ISBLANK(I2135), ISBLANK(L2135)),
        "",
        MAX(
            1,
            IF(
                NETWORKDAYS(I2135, L2135, Holiday_Dates) &lt;= 0,
                1,
                NETWORKDAYS(I2135, L2135, Holiday_Dates) - IF(I2135 = L2135, 0, 1)
            )
        )
    ),
    ""
)</f>
        <v/>
      </c>
      <c r="Q2135" s="385" t="str">
        <f>IF(
    OR(ISBLANK(L2135), ISBLANK(M2135)),
    "",
    MAX(
        1,
        IF(
            NETWORKDAYS(L2135, M2135, Holiday_Dates) &lt;= 0,
            1,
            NETWORKDAYS(L2135, M2135, Holiday_Dates) - IF(L2135 = M2135, 0, 1)
        )
    )
)</f>
        <v/>
      </c>
      <c r="R2135" s="385" t="str">
        <f>IFERROR(
    IF(
        OR(ISBLANK(N2135), AND(ISBLANK(L2135), ISBLANK(M2135))),
        "",
        MAX(
            1,
            IF(
                NETWORKDAYS(IF(NOT(ISBLANK(M2135)), M2135, L2135), N2135, Holiday_Dates) &lt;= 0,
                1,
                NETWORKDAYS(IF(NOT(ISBLANK(M2135)), M2135, L2135), N2135, Holiday_Dates)
                - IF(IF(NOT(ISBLANK(M2135)), M2135, L2135) = N2135, 0, 1)
            )
        )
    ),
    ""
)</f>
        <v/>
      </c>
      <c r="S2135" s="385" t="str">
        <f>IFERROR(
    IF(
        OR(ISBLANK(N2135), ISBLANK(O2135)),
        "",
        MAX(
            1,
            IF(
                NETWORKDAYS(N2135, O2135, Holiday_Dates) &lt;= 0,
                1,
                NETWORKDAYS(N2135, O2135, Holiday_Dates) - IF(N2135 = O2135, 0, 1)
            )
        )
    ),
    ""
)</f>
        <v/>
      </c>
      <c r="T2135" s="385"/>
      <c r="U2135" s="385" t="s">
        <v>4</v>
      </c>
      <c r="V2135" s="385" t="s">
        <v>101</v>
      </c>
      <c r="W2135" s="385" t="s">
        <v>1436</v>
      </c>
      <c r="X2135" s="1"/>
    </row>
    <row r="2136" spans="1:24">
      <c r="A2136" s="385" t="s">
        <v>65</v>
      </c>
      <c r="B2136" s="385" t="s">
        <v>409</v>
      </c>
      <c r="C2136" s="385" t="s">
        <v>2342</v>
      </c>
      <c r="D2136" s="385" t="s">
        <v>88</v>
      </c>
      <c r="E2136" s="400" t="s">
        <v>29</v>
      </c>
      <c r="F2136" s="400"/>
      <c r="G2136" s="385" t="s">
        <v>130</v>
      </c>
      <c r="H2136" s="385"/>
      <c r="I2136" s="385"/>
      <c r="J2136" s="30"/>
      <c r="K2136" s="385"/>
      <c r="L2136" s="385"/>
      <c r="M2136" s="385"/>
      <c r="N2136" s="385"/>
      <c r="O2136" s="385"/>
      <c r="P2136" s="385" t="str">
        <f>IFERROR(
    IF(
        OR(ISBLANK(I2136), ISBLANK(L2136)),
        "",
        MAX(
            1,
            IF(
                NETWORKDAYS(I2136, L2136, Holiday_Dates) &lt;= 0,
                1,
                NETWORKDAYS(I2136, L2136, Holiday_Dates) - IF(I2136 = L2136, 0, 1)
            )
        )
    ),
    ""
)</f>
        <v/>
      </c>
      <c r="Q2136" s="385" t="str">
        <f>IF(
    OR(ISBLANK(L2136), ISBLANK(M2136)),
    "",
    MAX(
        1,
        IF(
            NETWORKDAYS(L2136, M2136, Holiday_Dates) &lt;= 0,
            1,
            NETWORKDAYS(L2136, M2136, Holiday_Dates) - IF(L2136 = M2136, 0, 1)
        )
    )
)</f>
        <v/>
      </c>
      <c r="R2136" s="385" t="str">
        <f>IFERROR(
    IF(
        OR(ISBLANK(N2136), AND(ISBLANK(L2136), ISBLANK(M2136))),
        "",
        MAX(
            1,
            IF(
                NETWORKDAYS(IF(NOT(ISBLANK(M2136)), M2136, L2136), N2136, Holiday_Dates) &lt;= 0,
                1,
                NETWORKDAYS(IF(NOT(ISBLANK(M2136)), M2136, L2136), N2136, Holiday_Dates)
                - IF(IF(NOT(ISBLANK(M2136)), M2136, L2136) = N2136, 0, 1)
            )
        )
    ),
    ""
)</f>
        <v/>
      </c>
      <c r="S2136" s="385" t="str">
        <f>IFERROR(
    IF(
        OR(ISBLANK(N2136), ISBLANK(O2136)),
        "",
        MAX(
            1,
            IF(
                NETWORKDAYS(N2136, O2136, Holiday_Dates) &lt;= 0,
                1,
                NETWORKDAYS(N2136, O2136, Holiday_Dates) - IF(N2136 = O2136, 0, 1)
            )
        )
    ),
    ""
)</f>
        <v/>
      </c>
      <c r="T2136" s="385"/>
      <c r="U2136" s="385"/>
      <c r="V2136" s="385"/>
      <c r="W2136" s="385" t="s">
        <v>4710</v>
      </c>
      <c r="X2136" s="1"/>
    </row>
    <row r="2137" spans="1:24">
      <c r="A2137" s="385" t="s">
        <v>65</v>
      </c>
      <c r="B2137" s="385" t="s">
        <v>409</v>
      </c>
      <c r="C2137" s="385" t="s">
        <v>2905</v>
      </c>
      <c r="D2137" s="385" t="s">
        <v>88</v>
      </c>
      <c r="E2137" s="400" t="s">
        <v>29</v>
      </c>
      <c r="F2137" s="400"/>
      <c r="G2137" s="385" t="s">
        <v>130</v>
      </c>
      <c r="H2137" s="385"/>
      <c r="I2137" s="385"/>
      <c r="J2137" s="30"/>
      <c r="K2137" s="385"/>
      <c r="L2137" s="385"/>
      <c r="M2137" s="385"/>
      <c r="N2137" s="385"/>
      <c r="O2137" s="385"/>
      <c r="P2137" s="385" t="str">
        <f>IFERROR(
    IF(
        OR(ISBLANK(I2137), ISBLANK(L2137)),
        "",
        MAX(
            1,
            IF(
                NETWORKDAYS(I2137, L2137, Holiday_Dates) &lt;= 0,
                1,
                NETWORKDAYS(I2137, L2137, Holiday_Dates) - IF(I2137 = L2137, 0, 1)
            )
        )
    ),
    ""
)</f>
        <v/>
      </c>
      <c r="Q2137" s="385" t="str">
        <f>IF(
    OR(ISBLANK(L2137), ISBLANK(M2137)),
    "",
    MAX(
        1,
        IF(
            NETWORKDAYS(L2137, M2137, Holiday_Dates) &lt;= 0,
            1,
            NETWORKDAYS(L2137, M2137, Holiday_Dates) - IF(L2137 = M2137, 0, 1)
        )
    )
)</f>
        <v/>
      </c>
      <c r="R2137" s="385" t="str">
        <f>IFERROR(
    IF(
        OR(ISBLANK(N2137), AND(ISBLANK(L2137), ISBLANK(M2137))),
        "",
        MAX(
            1,
            IF(
                NETWORKDAYS(IF(NOT(ISBLANK(M2137)), M2137, L2137), N2137, Holiday_Dates) &lt;= 0,
                1,
                NETWORKDAYS(IF(NOT(ISBLANK(M2137)), M2137, L2137), N2137, Holiday_Dates)
                - IF(IF(NOT(ISBLANK(M2137)), M2137, L2137) = N2137, 0, 1)
            )
        )
    ),
    ""
)</f>
        <v/>
      </c>
      <c r="S2137" s="385" t="str">
        <f>IFERROR(
    IF(
        OR(ISBLANK(N2137), ISBLANK(O2137)),
        "",
        MAX(
            1,
            IF(
                NETWORKDAYS(N2137, O2137, Holiday_Dates) &lt;= 0,
                1,
                NETWORKDAYS(N2137, O2137, Holiday_Dates) - IF(N2137 = O2137, 0, 1)
            )
        )
    ),
    ""
)</f>
        <v/>
      </c>
      <c r="T2137" s="385"/>
      <c r="U2137" s="385"/>
      <c r="V2137" s="385"/>
      <c r="W2137" s="385" t="s">
        <v>4710</v>
      </c>
      <c r="X2137" s="1"/>
    </row>
    <row r="2138" spans="1:24">
      <c r="A2138" s="385" t="s">
        <v>51</v>
      </c>
      <c r="B2138" s="385" t="s">
        <v>535</v>
      </c>
      <c r="C2138" s="385" t="s">
        <v>3386</v>
      </c>
      <c r="D2138" s="385" t="s">
        <v>88</v>
      </c>
      <c r="E2138" s="385"/>
      <c r="F2138" s="385"/>
      <c r="G2138" s="385"/>
      <c r="H2138" s="385">
        <v>2024</v>
      </c>
      <c r="I2138" s="386">
        <v>45576</v>
      </c>
      <c r="J2138" s="30"/>
      <c r="K2138" s="385"/>
      <c r="L2138" s="385"/>
      <c r="M2138" s="385"/>
      <c r="N2138" s="385"/>
      <c r="O2138" s="385"/>
      <c r="P2138" s="385" t="str">
        <f>IFERROR(
    IF(
        OR(ISBLANK(I2138), ISBLANK(L2138)),
        "",
        MAX(
            1,
            IF(
                NETWORKDAYS(I2138, L2138, Holiday_Dates) &lt;= 0,
                1,
                NETWORKDAYS(I2138, L2138, Holiday_Dates) - IF(I2138 = L2138, 0, 1)
            )
        )
    ),
    ""
)</f>
        <v/>
      </c>
      <c r="Q2138" s="385" t="str">
        <f>IF(
    OR(ISBLANK(L2138), ISBLANK(M2138)),
    "",
    MAX(
        1,
        IF(
            NETWORKDAYS(L2138, M2138, Holiday_Dates) &lt;= 0,
            1,
            NETWORKDAYS(L2138, M2138, Holiday_Dates) - IF(L2138 = M2138, 0, 1)
        )
    )
)</f>
        <v/>
      </c>
      <c r="R2138" s="385" t="str">
        <f>IFERROR(
    IF(
        OR(ISBLANK(N2138), AND(ISBLANK(L2138), ISBLANK(M2138))),
        "",
        MAX(
            1,
            IF(
                NETWORKDAYS(IF(NOT(ISBLANK(M2138)), M2138, L2138), N2138, Holiday_Dates) &lt;= 0,
                1,
                NETWORKDAYS(IF(NOT(ISBLANK(M2138)), M2138, L2138), N2138, Holiday_Dates)
                - IF(IF(NOT(ISBLANK(M2138)), M2138, L2138) = N2138, 0, 1)
            )
        )
    ),
    ""
)</f>
        <v/>
      </c>
      <c r="S2138" s="385" t="str">
        <f>IFERROR(
    IF(
        OR(ISBLANK(N2138), ISBLANK(O2138)),
        "",
        MAX(
            1,
            IF(
                NETWORKDAYS(N2138, O2138, Holiday_Dates) &lt;= 0,
                1,
                NETWORKDAYS(N2138, O2138, Holiday_Dates) - IF(N2138 = O2138, 0, 1)
            )
        )
    ),
    ""
)</f>
        <v/>
      </c>
      <c r="T2138" s="385"/>
      <c r="U2138" s="385" t="s">
        <v>4</v>
      </c>
      <c r="V2138" s="385" t="s">
        <v>101</v>
      </c>
      <c r="W2138" s="385" t="s">
        <v>1436</v>
      </c>
      <c r="X2138" s="1"/>
    </row>
    <row r="2139" spans="1:24">
      <c r="A2139" s="385" t="s">
        <v>65</v>
      </c>
      <c r="B2139" s="385" t="s">
        <v>507</v>
      </c>
      <c r="C2139" s="385" t="s">
        <v>1006</v>
      </c>
      <c r="D2139" s="385" t="s">
        <v>89</v>
      </c>
      <c r="E2139" s="385" t="s">
        <v>29</v>
      </c>
      <c r="F2139" s="385"/>
      <c r="G2139" s="385" t="s">
        <v>130</v>
      </c>
      <c r="H2139" s="385"/>
      <c r="I2139" s="385"/>
      <c r="J2139" s="30"/>
      <c r="K2139" s="385"/>
      <c r="L2139" s="385"/>
      <c r="M2139" s="385"/>
      <c r="N2139" s="385"/>
      <c r="O2139" s="385"/>
      <c r="P2139" s="385" t="str">
        <f>IFERROR(
    IF(
        OR(ISBLANK(I2139), ISBLANK(L2139)),
        "",
        MAX(
            1,
            IF(
                NETWORKDAYS(I2139, L2139, Holiday_Dates) &lt;= 0,
                1,
                NETWORKDAYS(I2139, L2139, Holiday_Dates) - IF(I2139 = L2139, 0, 1)
            )
        )
    ),
    ""
)</f>
        <v/>
      </c>
      <c r="Q2139" s="385" t="str">
        <f>IF(
    OR(ISBLANK(L2139), ISBLANK(M2139)),
    "",
    MAX(
        1,
        IF(
            NETWORKDAYS(L2139, M2139, Holiday_Dates) &lt;= 0,
            1,
            NETWORKDAYS(L2139, M2139, Holiday_Dates) - IF(L2139 = M2139, 0, 1)
        )
    )
)</f>
        <v/>
      </c>
      <c r="R2139" s="385" t="str">
        <f>IFERROR(
    IF(
        OR(ISBLANK(N2139), AND(ISBLANK(L2139), ISBLANK(M2139))),
        "",
        MAX(
            1,
            IF(
                NETWORKDAYS(IF(NOT(ISBLANK(M2139)), M2139, L2139), N2139, Holiday_Dates) &lt;= 0,
                1,
                NETWORKDAYS(IF(NOT(ISBLANK(M2139)), M2139, L2139), N2139, Holiday_Dates)
                - IF(IF(NOT(ISBLANK(M2139)), M2139, L2139) = N2139, 0, 1)
            )
        )
    ),
    ""
)</f>
        <v/>
      </c>
      <c r="S2139" s="385" t="str">
        <f>IFERROR(
    IF(
        OR(ISBLANK(N2139), ISBLANK(O2139)),
        "",
        MAX(
            1,
            IF(
                NETWORKDAYS(N2139, O2139, Holiday_Dates) &lt;= 0,
                1,
                NETWORKDAYS(N2139, O2139, Holiday_Dates) - IF(N2139 = O2139, 0, 1)
            )
        )
    ),
    ""
)</f>
        <v/>
      </c>
      <c r="T2139" s="385"/>
      <c r="U2139" s="385"/>
      <c r="V2139" s="385"/>
      <c r="W2139" s="385" t="s">
        <v>4710</v>
      </c>
      <c r="X2139" s="1"/>
    </row>
    <row r="2140" spans="1:24">
      <c r="A2140" s="385" t="s">
        <v>51</v>
      </c>
      <c r="B2140" s="385" t="s">
        <v>535</v>
      </c>
      <c r="C2140" s="385" t="s">
        <v>318</v>
      </c>
      <c r="D2140" s="385" t="s">
        <v>88</v>
      </c>
      <c r="E2140" s="385"/>
      <c r="F2140" s="385"/>
      <c r="G2140" s="385"/>
      <c r="H2140" s="385">
        <v>2025</v>
      </c>
      <c r="I2140" s="386">
        <v>45913</v>
      </c>
      <c r="J2140" s="30" t="s">
        <v>5496</v>
      </c>
      <c r="K2140" s="385"/>
      <c r="L2140" s="385"/>
      <c r="M2140" s="385"/>
      <c r="N2140" s="385"/>
      <c r="O2140" s="385"/>
      <c r="P2140" s="385" t="str">
        <f>IFERROR(
    IF(
        OR(ISBLANK(I2140), ISBLANK(L2140)),
        "",
        MAX(
            1,
            IF(
                NETWORKDAYS(I2140, L2140, Holiday_Dates) &lt;= 0,
                1,
                NETWORKDAYS(I2140, L2140, Holiday_Dates) - IF(I2140 = L2140, 0, 1)
            )
        )
    ),
    ""
)</f>
        <v/>
      </c>
      <c r="Q2140" s="385" t="str">
        <f>IF(
    OR(ISBLANK(L2140), ISBLANK(M2140)),
    "",
    MAX(
        1,
        IF(
            NETWORKDAYS(L2140, M2140, Holiday_Dates) &lt;= 0,
            1,
            NETWORKDAYS(L2140, M2140, Holiday_Dates) - IF(L2140 = M2140, 0, 1)
        )
    )
)</f>
        <v/>
      </c>
      <c r="R2140" s="385" t="str">
        <f>IFERROR(
    IF(
        OR(ISBLANK(N2140), AND(ISBLANK(L2140), ISBLANK(M2140))),
        "",
        MAX(
            1,
            IF(
                NETWORKDAYS(IF(NOT(ISBLANK(M2140)), M2140, L2140), N2140, Holiday_Dates) &lt;= 0,
                1,
                NETWORKDAYS(IF(NOT(ISBLANK(M2140)), M2140, L2140), N2140, Holiday_Dates)
                - IF(IF(NOT(ISBLANK(M2140)), M2140, L2140) = N2140, 0, 1)
            )
        )
    ),
    ""
)</f>
        <v/>
      </c>
      <c r="S2140" s="385" t="str">
        <f>IFERROR(
    IF(
        OR(ISBLANK(N2140), ISBLANK(O2140)),
        "",
        MAX(
            1,
            IF(
                NETWORKDAYS(N2140, O2140, Holiday_Dates) &lt;= 0,
                1,
                NETWORKDAYS(N2140, O2140, Holiday_Dates) - IF(N2140 = O2140, 0, 1)
            )
        )
    ),
    ""
)</f>
        <v/>
      </c>
      <c r="T2140" s="385"/>
      <c r="U2140" s="385" t="s">
        <v>4</v>
      </c>
      <c r="V2140" s="385" t="s">
        <v>101</v>
      </c>
      <c r="W2140" s="385" t="s">
        <v>1436</v>
      </c>
      <c r="X2140" s="1"/>
    </row>
    <row r="2141" spans="1:24">
      <c r="A2141" s="385" t="s">
        <v>51</v>
      </c>
      <c r="B2141" s="385" t="s">
        <v>535</v>
      </c>
      <c r="C2141" s="385" t="s">
        <v>3717</v>
      </c>
      <c r="D2141" s="385" t="s">
        <v>88</v>
      </c>
      <c r="E2141" s="385"/>
      <c r="F2141" s="385"/>
      <c r="G2141" s="385"/>
      <c r="H2141" s="385">
        <v>2024</v>
      </c>
      <c r="I2141" s="386">
        <v>45576</v>
      </c>
      <c r="J2141" s="30"/>
      <c r="K2141" s="385"/>
      <c r="L2141" s="385"/>
      <c r="M2141" s="385"/>
      <c r="N2141" s="385"/>
      <c r="O2141" s="385"/>
      <c r="P2141" s="385" t="str">
        <f>IFERROR(
    IF(
        OR(ISBLANK(I2141), ISBLANK(L2141)),
        "",
        MAX(
            1,
            IF(
                NETWORKDAYS(I2141, L2141, Holiday_Dates) &lt;= 0,
                1,
                NETWORKDAYS(I2141, L2141, Holiday_Dates) - IF(I2141 = L2141, 0, 1)
            )
        )
    ),
    ""
)</f>
        <v/>
      </c>
      <c r="Q2141" s="385" t="str">
        <f>IF(
    OR(ISBLANK(L2141), ISBLANK(M2141)),
    "",
    MAX(
        1,
        IF(
            NETWORKDAYS(L2141, M2141, Holiday_Dates) &lt;= 0,
            1,
            NETWORKDAYS(L2141, M2141, Holiday_Dates) - IF(L2141 = M2141, 0, 1)
        )
    )
)</f>
        <v/>
      </c>
      <c r="R2141" s="385" t="str">
        <f>IFERROR(
    IF(
        OR(ISBLANK(N2141), AND(ISBLANK(L2141), ISBLANK(M2141))),
        "",
        MAX(
            1,
            IF(
                NETWORKDAYS(IF(NOT(ISBLANK(M2141)), M2141, L2141), N2141, Holiday_Dates) &lt;= 0,
                1,
                NETWORKDAYS(IF(NOT(ISBLANK(M2141)), M2141, L2141), N2141, Holiday_Dates)
                - IF(IF(NOT(ISBLANK(M2141)), M2141, L2141) = N2141, 0, 1)
            )
        )
    ),
    ""
)</f>
        <v/>
      </c>
      <c r="S2141" s="385" t="str">
        <f>IFERROR(
    IF(
        OR(ISBLANK(N2141), ISBLANK(O2141)),
        "",
        MAX(
            1,
            IF(
                NETWORKDAYS(N2141, O2141, Holiday_Dates) &lt;= 0,
                1,
                NETWORKDAYS(N2141, O2141, Holiday_Dates) - IF(N2141 = O2141, 0, 1)
            )
        )
    ),
    ""
)</f>
        <v/>
      </c>
      <c r="T2141" s="385"/>
      <c r="U2141" s="385" t="s">
        <v>4</v>
      </c>
      <c r="V2141" s="385" t="s">
        <v>101</v>
      </c>
      <c r="W2141" s="385" t="s">
        <v>1436</v>
      </c>
      <c r="X2141" s="1"/>
    </row>
    <row r="2142" spans="1:24">
      <c r="A2142" s="385" t="s">
        <v>51</v>
      </c>
      <c r="B2142" s="385" t="s">
        <v>535</v>
      </c>
      <c r="C2142" s="385" t="s">
        <v>2342</v>
      </c>
      <c r="D2142" s="385" t="s">
        <v>88</v>
      </c>
      <c r="E2142" s="385"/>
      <c r="F2142" s="385"/>
      <c r="G2142" s="385"/>
      <c r="H2142" s="385">
        <v>2025</v>
      </c>
      <c r="I2142" s="386">
        <v>45883</v>
      </c>
      <c r="J2142" s="30" t="s">
        <v>5497</v>
      </c>
      <c r="K2142" s="385"/>
      <c r="L2142" s="385"/>
      <c r="M2142" s="385"/>
      <c r="N2142" s="385"/>
      <c r="O2142" s="385"/>
      <c r="P2142" s="385" t="str">
        <f>IFERROR(
    IF(
        OR(ISBLANK(I2142), ISBLANK(L2142)),
        "",
        MAX(
            1,
            IF(
                NETWORKDAYS(I2142, L2142, Holiday_Dates) &lt;= 0,
                1,
                NETWORKDAYS(I2142, L2142, Holiday_Dates) - IF(I2142 = L2142, 0, 1)
            )
        )
    ),
    ""
)</f>
        <v/>
      </c>
      <c r="Q2142" s="385" t="str">
        <f>IF(
    OR(ISBLANK(L2142), ISBLANK(M2142)),
    "",
    MAX(
        1,
        IF(
            NETWORKDAYS(L2142, M2142, Holiday_Dates) &lt;= 0,
            1,
            NETWORKDAYS(L2142, M2142, Holiday_Dates) - IF(L2142 = M2142, 0, 1)
        )
    )
)</f>
        <v/>
      </c>
      <c r="R2142" s="385" t="str">
        <f>IFERROR(
    IF(
        OR(ISBLANK(N2142), AND(ISBLANK(L2142), ISBLANK(M2142))),
        "",
        MAX(
            1,
            IF(
                NETWORKDAYS(IF(NOT(ISBLANK(M2142)), M2142, L2142), N2142, Holiday_Dates) &lt;= 0,
                1,
                NETWORKDAYS(IF(NOT(ISBLANK(M2142)), M2142, L2142), N2142, Holiday_Dates)
                - IF(IF(NOT(ISBLANK(M2142)), M2142, L2142) = N2142, 0, 1)
            )
        )
    ),
    ""
)</f>
        <v/>
      </c>
      <c r="S2142" s="385" t="str">
        <f>IFERROR(
    IF(
        OR(ISBLANK(N2142), ISBLANK(O2142)),
        "",
        MAX(
            1,
            IF(
                NETWORKDAYS(N2142, O2142, Holiday_Dates) &lt;= 0,
                1,
                NETWORKDAYS(N2142, O2142, Holiday_Dates) - IF(N2142 = O2142, 0, 1)
            )
        )
    ),
    ""
)</f>
        <v/>
      </c>
      <c r="T2142" s="385"/>
      <c r="U2142" s="385" t="s">
        <v>4</v>
      </c>
      <c r="V2142" s="385" t="s">
        <v>108</v>
      </c>
      <c r="W2142" s="385" t="s">
        <v>1436</v>
      </c>
      <c r="X2142" s="1"/>
    </row>
    <row r="2143" spans="1:24">
      <c r="A2143" s="385" t="s">
        <v>51</v>
      </c>
      <c r="B2143" s="385" t="s">
        <v>535</v>
      </c>
      <c r="C2143" s="385" t="s">
        <v>714</v>
      </c>
      <c r="D2143" s="385" t="s">
        <v>88</v>
      </c>
      <c r="E2143" s="385"/>
      <c r="F2143" s="385"/>
      <c r="G2143" s="385"/>
      <c r="H2143" s="385">
        <v>2025</v>
      </c>
      <c r="I2143" s="386">
        <v>45792</v>
      </c>
      <c r="J2143" s="30" t="s">
        <v>5498</v>
      </c>
      <c r="K2143" s="385"/>
      <c r="L2143" s="385"/>
      <c r="M2143" s="385"/>
      <c r="N2143" s="385"/>
      <c r="O2143" s="385"/>
      <c r="P2143" s="385" t="str">
        <f>IFERROR(
    IF(
        OR(ISBLANK(I2143), ISBLANK(L2143)),
        "",
        MAX(
            1,
            IF(
                NETWORKDAYS(I2143, L2143, Holiday_Dates) &lt;= 0,
                1,
                NETWORKDAYS(I2143, L2143, Holiday_Dates) - IF(I2143 = L2143, 0, 1)
            )
        )
    ),
    ""
)</f>
        <v/>
      </c>
      <c r="Q2143" s="385" t="str">
        <f>IF(
    OR(ISBLANK(L2143), ISBLANK(M2143)),
    "",
    MAX(
        1,
        IF(
            NETWORKDAYS(L2143, M2143, Holiday_Dates) &lt;= 0,
            1,
            NETWORKDAYS(L2143, M2143, Holiday_Dates) - IF(L2143 = M2143, 0, 1)
        )
    )
)</f>
        <v/>
      </c>
      <c r="R2143" s="385" t="str">
        <f>IFERROR(
    IF(
        OR(ISBLANK(N2143), AND(ISBLANK(L2143), ISBLANK(M2143))),
        "",
        MAX(
            1,
            IF(
                NETWORKDAYS(IF(NOT(ISBLANK(M2143)), M2143, L2143), N2143, Holiday_Dates) &lt;= 0,
                1,
                NETWORKDAYS(IF(NOT(ISBLANK(M2143)), M2143, L2143), N2143, Holiday_Dates)
                - IF(IF(NOT(ISBLANK(M2143)), M2143, L2143) = N2143, 0, 1)
            )
        )
    ),
    ""
)</f>
        <v/>
      </c>
      <c r="S2143" s="385" t="str">
        <f>IFERROR(
    IF(
        OR(ISBLANK(N2143), ISBLANK(O2143)),
        "",
        MAX(
            1,
            IF(
                NETWORKDAYS(N2143, O2143, Holiday_Dates) &lt;= 0,
                1,
                NETWORKDAYS(N2143, O2143, Holiday_Dates) - IF(N2143 = O2143, 0, 1)
            )
        )
    ),
    ""
)</f>
        <v/>
      </c>
      <c r="T2143" s="385"/>
      <c r="U2143" s="385" t="s">
        <v>672</v>
      </c>
      <c r="V2143" s="385" t="s">
        <v>1676</v>
      </c>
      <c r="W2143" s="385" t="s">
        <v>1436</v>
      </c>
      <c r="X2143" s="1"/>
    </row>
    <row r="2144" spans="1:24">
      <c r="A2144" s="385" t="s">
        <v>65</v>
      </c>
      <c r="B2144" s="385" t="s">
        <v>507</v>
      </c>
      <c r="C2144" s="385" t="s">
        <v>2927</v>
      </c>
      <c r="D2144" s="385" t="s">
        <v>89</v>
      </c>
      <c r="E2144" s="385" t="s">
        <v>29</v>
      </c>
      <c r="F2144" s="385"/>
      <c r="G2144" s="385" t="s">
        <v>130</v>
      </c>
      <c r="H2144" s="385"/>
      <c r="I2144" s="385"/>
      <c r="J2144" s="30"/>
      <c r="K2144" s="385"/>
      <c r="L2144" s="385"/>
      <c r="M2144" s="385"/>
      <c r="N2144" s="385"/>
      <c r="O2144" s="385"/>
      <c r="P2144" s="385" t="str">
        <f>IFERROR(
    IF(
        OR(ISBLANK(I2144), ISBLANK(L2144)),
        "",
        MAX(
            1,
            IF(
                NETWORKDAYS(I2144, L2144, Holiday_Dates) &lt;= 0,
                1,
                NETWORKDAYS(I2144, L2144, Holiday_Dates) - IF(I2144 = L2144, 0, 1)
            )
        )
    ),
    ""
)</f>
        <v/>
      </c>
      <c r="Q2144" s="385" t="str">
        <f>IF(
    OR(ISBLANK(L2144), ISBLANK(M2144)),
    "",
    MAX(
        1,
        IF(
            NETWORKDAYS(L2144, M2144, Holiday_Dates) &lt;= 0,
            1,
            NETWORKDAYS(L2144, M2144, Holiday_Dates) - IF(L2144 = M2144, 0, 1)
        )
    )
)</f>
        <v/>
      </c>
      <c r="R2144" s="385" t="str">
        <f>IFERROR(
    IF(
        OR(ISBLANK(N2144), AND(ISBLANK(L2144), ISBLANK(M2144))),
        "",
        MAX(
            1,
            IF(
                NETWORKDAYS(IF(NOT(ISBLANK(M2144)), M2144, L2144), N2144, Holiday_Dates) &lt;= 0,
                1,
                NETWORKDAYS(IF(NOT(ISBLANK(M2144)), M2144, L2144), N2144, Holiday_Dates)
                - IF(IF(NOT(ISBLANK(M2144)), M2144, L2144) = N2144, 0, 1)
            )
        )
    ),
    ""
)</f>
        <v/>
      </c>
      <c r="S2144" s="385" t="str">
        <f>IFERROR(
    IF(
        OR(ISBLANK(N2144), ISBLANK(O2144)),
        "",
        MAX(
            1,
            IF(
                NETWORKDAYS(N2144, O2144, Holiday_Dates) &lt;= 0,
                1,
                NETWORKDAYS(N2144, O2144, Holiday_Dates) - IF(N2144 = O2144, 0, 1)
            )
        )
    ),
    ""
)</f>
        <v/>
      </c>
      <c r="T2144" s="385"/>
      <c r="U2144" s="385"/>
      <c r="V2144" s="385"/>
      <c r="W2144" s="385" t="s">
        <v>4710</v>
      </c>
      <c r="X2144" s="1"/>
    </row>
    <row r="2145" spans="1:24">
      <c r="A2145" s="385" t="s">
        <v>65</v>
      </c>
      <c r="B2145" s="385" t="s">
        <v>507</v>
      </c>
      <c r="C2145" s="385" t="s">
        <v>2929</v>
      </c>
      <c r="D2145" s="385" t="s">
        <v>89</v>
      </c>
      <c r="E2145" s="385" t="s">
        <v>29</v>
      </c>
      <c r="F2145" s="385"/>
      <c r="G2145" s="385" t="s">
        <v>130</v>
      </c>
      <c r="H2145" s="385"/>
      <c r="I2145" s="385"/>
      <c r="J2145" s="30"/>
      <c r="K2145" s="385"/>
      <c r="L2145" s="385"/>
      <c r="M2145" s="385"/>
      <c r="N2145" s="385"/>
      <c r="O2145" s="385"/>
      <c r="P2145" s="385" t="str">
        <f>IFERROR(
    IF(
        OR(ISBLANK(I2145), ISBLANK(L2145)),
        "",
        MAX(
            1,
            IF(
                NETWORKDAYS(I2145, L2145, Holiday_Dates) &lt;= 0,
                1,
                NETWORKDAYS(I2145, L2145, Holiday_Dates) - IF(I2145 = L2145, 0, 1)
            )
        )
    ),
    ""
)</f>
        <v/>
      </c>
      <c r="Q2145" s="385" t="str">
        <f>IF(
    OR(ISBLANK(L2145), ISBLANK(M2145)),
    "",
    MAX(
        1,
        IF(
            NETWORKDAYS(L2145, M2145, Holiday_Dates) &lt;= 0,
            1,
            NETWORKDAYS(L2145, M2145, Holiday_Dates) - IF(L2145 = M2145, 0, 1)
        )
    )
)</f>
        <v/>
      </c>
      <c r="R2145" s="385" t="str">
        <f>IFERROR(
    IF(
        OR(ISBLANK(N2145), AND(ISBLANK(L2145), ISBLANK(M2145))),
        "",
        MAX(
            1,
            IF(
                NETWORKDAYS(IF(NOT(ISBLANK(M2145)), M2145, L2145), N2145, Holiday_Dates) &lt;= 0,
                1,
                NETWORKDAYS(IF(NOT(ISBLANK(M2145)), M2145, L2145), N2145, Holiday_Dates)
                - IF(IF(NOT(ISBLANK(M2145)), M2145, L2145) = N2145, 0, 1)
            )
        )
    ),
    ""
)</f>
        <v/>
      </c>
      <c r="S2145" s="385" t="str">
        <f>IFERROR(
    IF(
        OR(ISBLANK(N2145), ISBLANK(O2145)),
        "",
        MAX(
            1,
            IF(
                NETWORKDAYS(N2145, O2145, Holiday_Dates) &lt;= 0,
                1,
                NETWORKDAYS(N2145, O2145, Holiday_Dates) - IF(N2145 = O2145, 0, 1)
            )
        )
    ),
    ""
)</f>
        <v/>
      </c>
      <c r="T2145" s="385"/>
      <c r="U2145" s="385"/>
      <c r="V2145" s="385"/>
      <c r="W2145" s="385" t="s">
        <v>4710</v>
      </c>
      <c r="X2145" s="1"/>
    </row>
    <row r="2146" spans="1:24">
      <c r="A2146" s="385" t="s">
        <v>51</v>
      </c>
      <c r="B2146" s="385" t="s">
        <v>535</v>
      </c>
      <c r="C2146" s="385" t="s">
        <v>520</v>
      </c>
      <c r="D2146" s="385" t="s">
        <v>88</v>
      </c>
      <c r="E2146" s="385"/>
      <c r="F2146" s="385"/>
      <c r="G2146" s="385"/>
      <c r="H2146" s="385">
        <v>2025</v>
      </c>
      <c r="I2146" s="386">
        <v>45792</v>
      </c>
      <c r="J2146" s="30" t="s">
        <v>5499</v>
      </c>
      <c r="K2146" s="385"/>
      <c r="L2146" s="385"/>
      <c r="M2146" s="385"/>
      <c r="N2146" s="385"/>
      <c r="O2146" s="385"/>
      <c r="P2146" s="385" t="str">
        <f>IFERROR(
    IF(
        OR(ISBLANK(I2146), ISBLANK(L2146)),
        "",
        MAX(
            1,
            IF(
                NETWORKDAYS(I2146, L2146, Holiday_Dates) &lt;= 0,
                1,
                NETWORKDAYS(I2146, L2146, Holiday_Dates) - IF(I2146 = L2146, 0, 1)
            )
        )
    ),
    ""
)</f>
        <v/>
      </c>
      <c r="Q2146" s="385" t="str">
        <f>IF(
    OR(ISBLANK(L2146), ISBLANK(M2146)),
    "",
    MAX(
        1,
        IF(
            NETWORKDAYS(L2146, M2146, Holiday_Dates) &lt;= 0,
            1,
            NETWORKDAYS(L2146, M2146, Holiday_Dates) - IF(L2146 = M2146, 0, 1)
        )
    )
)</f>
        <v/>
      </c>
      <c r="R2146" s="385" t="str">
        <f>IFERROR(
    IF(
        OR(ISBLANK(N2146), AND(ISBLANK(L2146), ISBLANK(M2146))),
        "",
        MAX(
            1,
            IF(
                NETWORKDAYS(IF(NOT(ISBLANK(M2146)), M2146, L2146), N2146, Holiday_Dates) &lt;= 0,
                1,
                NETWORKDAYS(IF(NOT(ISBLANK(M2146)), M2146, L2146), N2146, Holiday_Dates)
                - IF(IF(NOT(ISBLANK(M2146)), M2146, L2146) = N2146, 0, 1)
            )
        )
    ),
    ""
)</f>
        <v/>
      </c>
      <c r="S2146" s="385" t="str">
        <f>IFERROR(
    IF(
        OR(ISBLANK(N2146), ISBLANK(O2146)),
        "",
        MAX(
            1,
            IF(
                NETWORKDAYS(N2146, O2146, Holiday_Dates) &lt;= 0,
                1,
                NETWORKDAYS(N2146, O2146, Holiday_Dates) - IF(N2146 = O2146, 0, 1)
            )
        )
    ),
    ""
)</f>
        <v/>
      </c>
      <c r="T2146" s="385"/>
      <c r="U2146" s="385" t="s">
        <v>672</v>
      </c>
      <c r="V2146" s="385" t="s">
        <v>1676</v>
      </c>
      <c r="W2146" s="385" t="s">
        <v>1436</v>
      </c>
      <c r="X2146" s="1"/>
    </row>
    <row r="2147" spans="1:24">
      <c r="A2147" s="385" t="s">
        <v>65</v>
      </c>
      <c r="B2147" s="385" t="s">
        <v>507</v>
      </c>
      <c r="C2147" s="385" t="s">
        <v>2930</v>
      </c>
      <c r="D2147" s="385" t="s">
        <v>89</v>
      </c>
      <c r="E2147" s="385" t="s">
        <v>29</v>
      </c>
      <c r="F2147" s="385"/>
      <c r="G2147" s="385" t="s">
        <v>130</v>
      </c>
      <c r="H2147" s="385"/>
      <c r="I2147" s="385"/>
      <c r="J2147" s="30"/>
      <c r="K2147" s="385"/>
      <c r="L2147" s="385"/>
      <c r="M2147" s="385"/>
      <c r="N2147" s="385"/>
      <c r="O2147" s="385"/>
      <c r="P2147" s="385" t="str">
        <f>IFERROR(
    IF(
        OR(ISBLANK(I2147), ISBLANK(L2147)),
        "",
        MAX(
            1,
            IF(
                NETWORKDAYS(I2147, L2147, Holiday_Dates) &lt;= 0,
                1,
                NETWORKDAYS(I2147, L2147, Holiday_Dates) - IF(I2147 = L2147, 0, 1)
            )
        )
    ),
    ""
)</f>
        <v/>
      </c>
      <c r="Q2147" s="385" t="str">
        <f>IF(
    OR(ISBLANK(L2147), ISBLANK(M2147)),
    "",
    MAX(
        1,
        IF(
            NETWORKDAYS(L2147, M2147, Holiday_Dates) &lt;= 0,
            1,
            NETWORKDAYS(L2147, M2147, Holiday_Dates) - IF(L2147 = M2147, 0, 1)
        )
    )
)</f>
        <v/>
      </c>
      <c r="R2147" s="385" t="str">
        <f>IFERROR(
    IF(
        OR(ISBLANK(N2147), AND(ISBLANK(L2147), ISBLANK(M2147))),
        "",
        MAX(
            1,
            IF(
                NETWORKDAYS(IF(NOT(ISBLANK(M2147)), M2147, L2147), N2147, Holiday_Dates) &lt;= 0,
                1,
                NETWORKDAYS(IF(NOT(ISBLANK(M2147)), M2147, L2147), N2147, Holiday_Dates)
                - IF(IF(NOT(ISBLANK(M2147)), M2147, L2147) = N2147, 0, 1)
            )
        )
    ),
    ""
)</f>
        <v/>
      </c>
      <c r="S2147" s="385" t="str">
        <f>IFERROR(
    IF(
        OR(ISBLANK(N2147), ISBLANK(O2147)),
        "",
        MAX(
            1,
            IF(
                NETWORKDAYS(N2147, O2147, Holiday_Dates) &lt;= 0,
                1,
                NETWORKDAYS(N2147, O2147, Holiday_Dates) - IF(N2147 = O2147, 0, 1)
            )
        )
    ),
    ""
)</f>
        <v/>
      </c>
      <c r="T2147" s="385"/>
      <c r="U2147" s="385"/>
      <c r="V2147" s="385"/>
      <c r="W2147" s="385" t="s">
        <v>4710</v>
      </c>
      <c r="X2147" s="1"/>
    </row>
    <row r="2148" spans="1:24">
      <c r="A2148" s="385" t="s">
        <v>51</v>
      </c>
      <c r="B2148" s="385" t="s">
        <v>535</v>
      </c>
      <c r="C2148" s="385" t="s">
        <v>440</v>
      </c>
      <c r="D2148" s="385" t="s">
        <v>88</v>
      </c>
      <c r="E2148" s="385"/>
      <c r="F2148" s="385"/>
      <c r="G2148" s="385"/>
      <c r="H2148" s="385">
        <v>2024</v>
      </c>
      <c r="I2148" s="386">
        <v>45539</v>
      </c>
      <c r="J2148" s="30"/>
      <c r="K2148" s="385"/>
      <c r="L2148" s="385"/>
      <c r="M2148" s="385"/>
      <c r="N2148" s="385"/>
      <c r="O2148" s="385"/>
      <c r="P2148" s="385" t="str">
        <f>IFERROR(
    IF(
        OR(ISBLANK(I2148), ISBLANK(L2148)),
        "",
        MAX(
            1,
            IF(
                NETWORKDAYS(I2148, L2148, Holiday_Dates) &lt;= 0,
                1,
                NETWORKDAYS(I2148, L2148, Holiday_Dates) - IF(I2148 = L2148, 0, 1)
            )
        )
    ),
    ""
)</f>
        <v/>
      </c>
      <c r="Q2148" s="385" t="str">
        <f>IF(
    OR(ISBLANK(L2148), ISBLANK(M2148)),
    "",
    MAX(
        1,
        IF(
            NETWORKDAYS(L2148, M2148, Holiday_Dates) &lt;= 0,
            1,
            NETWORKDAYS(L2148, M2148, Holiday_Dates) - IF(L2148 = M2148, 0, 1)
        )
    )
)</f>
        <v/>
      </c>
      <c r="R2148" s="385" t="str">
        <f>IFERROR(
    IF(
        OR(ISBLANK(N2148), AND(ISBLANK(L2148), ISBLANK(M2148))),
        "",
        MAX(
            1,
            IF(
                NETWORKDAYS(IF(NOT(ISBLANK(M2148)), M2148, L2148), N2148, Holiday_Dates) &lt;= 0,
                1,
                NETWORKDAYS(IF(NOT(ISBLANK(M2148)), M2148, L2148), N2148, Holiday_Dates)
                - IF(IF(NOT(ISBLANK(M2148)), M2148, L2148) = N2148, 0, 1)
            )
        )
    ),
    ""
)</f>
        <v/>
      </c>
      <c r="S2148" s="385" t="str">
        <f>IFERROR(
    IF(
        OR(ISBLANK(N2148), ISBLANK(O2148)),
        "",
        MAX(
            1,
            IF(
                NETWORKDAYS(N2148, O2148, Holiday_Dates) &lt;= 0,
                1,
                NETWORKDAYS(N2148, O2148, Holiday_Dates) - IF(N2148 = O2148, 0, 1)
            )
        )
    ),
    ""
)</f>
        <v/>
      </c>
      <c r="T2148" s="385"/>
      <c r="U2148" s="385" t="s">
        <v>4</v>
      </c>
      <c r="V2148" s="385" t="s">
        <v>101</v>
      </c>
      <c r="W2148" s="385" t="s">
        <v>1436</v>
      </c>
      <c r="X2148" s="1"/>
    </row>
    <row r="2149" spans="1:24">
      <c r="A2149" s="385" t="s">
        <v>51</v>
      </c>
      <c r="B2149" s="385" t="s">
        <v>535</v>
      </c>
      <c r="C2149" s="385" t="s">
        <v>3671</v>
      </c>
      <c r="D2149" s="385" t="s">
        <v>88</v>
      </c>
      <c r="E2149" s="385"/>
      <c r="F2149" s="385"/>
      <c r="G2149" s="385"/>
      <c r="H2149" s="385">
        <v>2025</v>
      </c>
      <c r="I2149" s="386">
        <v>45734</v>
      </c>
      <c r="J2149" s="30" t="s">
        <v>5500</v>
      </c>
      <c r="K2149" s="385"/>
      <c r="L2149" s="385"/>
      <c r="M2149" s="385"/>
      <c r="N2149" s="385"/>
      <c r="O2149" s="385"/>
      <c r="P2149" s="385" t="str">
        <f>IFERROR(
    IF(
        OR(ISBLANK(I2149), ISBLANK(L2149)),
        "",
        MAX(
            1,
            IF(
                NETWORKDAYS(I2149, L2149, Holiday_Dates) &lt;= 0,
                1,
                NETWORKDAYS(I2149, L2149, Holiday_Dates) - IF(I2149 = L2149, 0, 1)
            )
        )
    ),
    ""
)</f>
        <v/>
      </c>
      <c r="Q2149" s="385" t="str">
        <f>IF(
    OR(ISBLANK(L2149), ISBLANK(M2149)),
    "",
    MAX(
        1,
        IF(
            NETWORKDAYS(L2149, M2149, Holiday_Dates) &lt;= 0,
            1,
            NETWORKDAYS(L2149, M2149, Holiday_Dates) - IF(L2149 = M2149, 0, 1)
        )
    )
)</f>
        <v/>
      </c>
      <c r="R2149" s="385" t="str">
        <f>IFERROR(
    IF(
        OR(ISBLANK(N2149), AND(ISBLANK(L2149), ISBLANK(M2149))),
        "",
        MAX(
            1,
            IF(
                NETWORKDAYS(IF(NOT(ISBLANK(M2149)), M2149, L2149), N2149, Holiday_Dates) &lt;= 0,
                1,
                NETWORKDAYS(IF(NOT(ISBLANK(M2149)), M2149, L2149), N2149, Holiday_Dates)
                - IF(IF(NOT(ISBLANK(M2149)), M2149, L2149) = N2149, 0, 1)
            )
        )
    ),
    ""
)</f>
        <v/>
      </c>
      <c r="S2149" s="385" t="str">
        <f>IFERROR(
    IF(
        OR(ISBLANK(N2149), ISBLANK(O2149)),
        "",
        MAX(
            1,
            IF(
                NETWORKDAYS(N2149, O2149, Holiday_Dates) &lt;= 0,
                1,
                NETWORKDAYS(N2149, O2149, Holiday_Dates) - IF(N2149 = O2149, 0, 1)
            )
        )
    ),
    ""
)</f>
        <v/>
      </c>
      <c r="T2149" s="385"/>
      <c r="U2149" s="385" t="s">
        <v>672</v>
      </c>
      <c r="V2149" s="385" t="s">
        <v>1676</v>
      </c>
      <c r="W2149" s="385" t="s">
        <v>1436</v>
      </c>
      <c r="X2149" s="1"/>
    </row>
    <row r="2150" spans="1:24">
      <c r="A2150" s="385" t="s">
        <v>65</v>
      </c>
      <c r="B2150" s="385" t="s">
        <v>507</v>
      </c>
      <c r="C2150" s="385" t="s">
        <v>2931</v>
      </c>
      <c r="D2150" s="385" t="s">
        <v>89</v>
      </c>
      <c r="E2150" s="385" t="s">
        <v>29</v>
      </c>
      <c r="F2150" s="385"/>
      <c r="G2150" s="385" t="s">
        <v>130</v>
      </c>
      <c r="H2150" s="385"/>
      <c r="I2150" s="385"/>
      <c r="J2150" s="30"/>
      <c r="K2150" s="385"/>
      <c r="L2150" s="385"/>
      <c r="M2150" s="385"/>
      <c r="N2150" s="385"/>
      <c r="O2150" s="385"/>
      <c r="P2150" s="385" t="str">
        <f>IFERROR(
    IF(
        OR(ISBLANK(I2150), ISBLANK(L2150)),
        "",
        MAX(
            1,
            IF(
                NETWORKDAYS(I2150, L2150, Holiday_Dates) &lt;= 0,
                1,
                NETWORKDAYS(I2150, L2150, Holiday_Dates) - IF(I2150 = L2150, 0, 1)
            )
        )
    ),
    ""
)</f>
        <v/>
      </c>
      <c r="Q2150" s="385" t="str">
        <f>IF(
    OR(ISBLANK(L2150), ISBLANK(M2150)),
    "",
    MAX(
        1,
        IF(
            NETWORKDAYS(L2150, M2150, Holiday_Dates) &lt;= 0,
            1,
            NETWORKDAYS(L2150, M2150, Holiday_Dates) - IF(L2150 = M2150, 0, 1)
        )
    )
)</f>
        <v/>
      </c>
      <c r="R2150" s="385" t="str">
        <f>IFERROR(
    IF(
        OR(ISBLANK(N2150), AND(ISBLANK(L2150), ISBLANK(M2150))),
        "",
        MAX(
            1,
            IF(
                NETWORKDAYS(IF(NOT(ISBLANK(M2150)), M2150, L2150), N2150, Holiday_Dates) &lt;= 0,
                1,
                NETWORKDAYS(IF(NOT(ISBLANK(M2150)), M2150, L2150), N2150, Holiday_Dates)
                - IF(IF(NOT(ISBLANK(M2150)), M2150, L2150) = N2150, 0, 1)
            )
        )
    ),
    ""
)</f>
        <v/>
      </c>
      <c r="S2150" s="385" t="str">
        <f>IFERROR(
    IF(
        OR(ISBLANK(N2150), ISBLANK(O2150)),
        "",
        MAX(
            1,
            IF(
                NETWORKDAYS(N2150, O2150, Holiday_Dates) &lt;= 0,
                1,
                NETWORKDAYS(N2150, O2150, Holiday_Dates) - IF(N2150 = O2150, 0, 1)
            )
        )
    ),
    ""
)</f>
        <v/>
      </c>
      <c r="T2150" s="385"/>
      <c r="U2150" s="385"/>
      <c r="V2150" s="385"/>
      <c r="W2150" s="385" t="s">
        <v>4710</v>
      </c>
      <c r="X2150" s="1"/>
    </row>
    <row r="2151" spans="1:24">
      <c r="A2151" s="385" t="s">
        <v>51</v>
      </c>
      <c r="B2151" s="385" t="s">
        <v>535</v>
      </c>
      <c r="C2151" s="385" t="s">
        <v>3721</v>
      </c>
      <c r="D2151" s="385" t="s">
        <v>88</v>
      </c>
      <c r="E2151" s="385"/>
      <c r="F2151" s="385"/>
      <c r="G2151" s="385"/>
      <c r="H2151" s="385">
        <v>2024</v>
      </c>
      <c r="I2151" s="386">
        <v>45539</v>
      </c>
      <c r="J2151" s="30"/>
      <c r="K2151" s="385"/>
      <c r="L2151" s="385"/>
      <c r="M2151" s="385"/>
      <c r="N2151" s="385"/>
      <c r="O2151" s="385"/>
      <c r="P2151" s="385" t="str">
        <f>IFERROR(
    IF(
        OR(ISBLANK(I2151), ISBLANK(L2151)),
        "",
        MAX(
            1,
            IF(
                NETWORKDAYS(I2151, L2151, Holiday_Dates) &lt;= 0,
                1,
                NETWORKDAYS(I2151, L2151, Holiday_Dates) - IF(I2151 = L2151, 0, 1)
            )
        )
    ),
    ""
)</f>
        <v/>
      </c>
      <c r="Q2151" s="385" t="str">
        <f>IF(
    OR(ISBLANK(L2151), ISBLANK(M2151)),
    "",
    MAX(
        1,
        IF(
            NETWORKDAYS(L2151, M2151, Holiday_Dates) &lt;= 0,
            1,
            NETWORKDAYS(L2151, M2151, Holiday_Dates) - IF(L2151 = M2151, 0, 1)
        )
    )
)</f>
        <v/>
      </c>
      <c r="R2151" s="385" t="str">
        <f>IFERROR(
    IF(
        OR(ISBLANK(N2151), AND(ISBLANK(L2151), ISBLANK(M2151))),
        "",
        MAX(
            1,
            IF(
                NETWORKDAYS(IF(NOT(ISBLANK(M2151)), M2151, L2151), N2151, Holiday_Dates) &lt;= 0,
                1,
                NETWORKDAYS(IF(NOT(ISBLANK(M2151)), M2151, L2151), N2151, Holiday_Dates)
                - IF(IF(NOT(ISBLANK(M2151)), M2151, L2151) = N2151, 0, 1)
            )
        )
    ),
    ""
)</f>
        <v/>
      </c>
      <c r="S2151" s="385" t="str">
        <f>IFERROR(
    IF(
        OR(ISBLANK(N2151), ISBLANK(O2151)),
        "",
        MAX(
            1,
            IF(
                NETWORKDAYS(N2151, O2151, Holiday_Dates) &lt;= 0,
                1,
                NETWORKDAYS(N2151, O2151, Holiday_Dates) - IF(N2151 = O2151, 0, 1)
            )
        )
    ),
    ""
)</f>
        <v/>
      </c>
      <c r="T2151" s="385"/>
      <c r="U2151" s="385" t="s">
        <v>4</v>
      </c>
      <c r="V2151" s="385" t="s">
        <v>101</v>
      </c>
      <c r="W2151" s="385" t="s">
        <v>1436</v>
      </c>
      <c r="X2151" s="1"/>
    </row>
    <row r="2152" spans="1:24">
      <c r="A2152" s="385" t="s">
        <v>51</v>
      </c>
      <c r="B2152" s="385" t="s">
        <v>535</v>
      </c>
      <c r="C2152" s="385" t="s">
        <v>3723</v>
      </c>
      <c r="D2152" s="385" t="s">
        <v>88</v>
      </c>
      <c r="E2152" s="385"/>
      <c r="F2152" s="385"/>
      <c r="G2152" s="385"/>
      <c r="H2152" s="385">
        <v>2024</v>
      </c>
      <c r="I2152" s="386">
        <v>45576</v>
      </c>
      <c r="J2152" s="30"/>
      <c r="K2152" s="385"/>
      <c r="L2152" s="385"/>
      <c r="M2152" s="385"/>
      <c r="N2152" s="385"/>
      <c r="O2152" s="385"/>
      <c r="P2152" s="385" t="str">
        <f>IFERROR(
    IF(
        OR(ISBLANK(I2152), ISBLANK(L2152)),
        "",
        MAX(
            1,
            IF(
                NETWORKDAYS(I2152, L2152, Holiday_Dates) &lt;= 0,
                1,
                NETWORKDAYS(I2152, L2152, Holiday_Dates) - IF(I2152 = L2152, 0, 1)
            )
        )
    ),
    ""
)</f>
        <v/>
      </c>
      <c r="Q2152" s="385" t="str">
        <f>IF(
    OR(ISBLANK(L2152), ISBLANK(M2152)),
    "",
    MAX(
        1,
        IF(
            NETWORKDAYS(L2152, M2152, Holiday_Dates) &lt;= 0,
            1,
            NETWORKDAYS(L2152, M2152, Holiday_Dates) - IF(L2152 = M2152, 0, 1)
        )
    )
)</f>
        <v/>
      </c>
      <c r="R2152" s="385" t="str">
        <f>IFERROR(
    IF(
        OR(ISBLANK(N2152), AND(ISBLANK(L2152), ISBLANK(M2152))),
        "",
        MAX(
            1,
            IF(
                NETWORKDAYS(IF(NOT(ISBLANK(M2152)), M2152, L2152), N2152, Holiday_Dates) &lt;= 0,
                1,
                NETWORKDAYS(IF(NOT(ISBLANK(M2152)), M2152, L2152), N2152, Holiday_Dates)
                - IF(IF(NOT(ISBLANK(M2152)), M2152, L2152) = N2152, 0, 1)
            )
        )
    ),
    ""
)</f>
        <v/>
      </c>
      <c r="S2152" s="385" t="str">
        <f>IFERROR(
    IF(
        OR(ISBLANK(N2152), ISBLANK(O2152)),
        "",
        MAX(
            1,
            IF(
                NETWORKDAYS(N2152, O2152, Holiday_Dates) &lt;= 0,
                1,
                NETWORKDAYS(N2152, O2152, Holiday_Dates) - IF(N2152 = O2152, 0, 1)
            )
        )
    ),
    ""
)</f>
        <v/>
      </c>
      <c r="T2152" s="385"/>
      <c r="U2152" s="385" t="s">
        <v>4</v>
      </c>
      <c r="V2152" s="385" t="s">
        <v>101</v>
      </c>
      <c r="W2152" s="385" t="s">
        <v>1436</v>
      </c>
      <c r="X2152" s="1"/>
    </row>
    <row r="2153" spans="1:24">
      <c r="A2153" s="385" t="s">
        <v>51</v>
      </c>
      <c r="B2153" s="385" t="s">
        <v>535</v>
      </c>
      <c r="C2153" s="385" t="s">
        <v>3725</v>
      </c>
      <c r="D2153" s="385" t="s">
        <v>88</v>
      </c>
      <c r="E2153" s="385"/>
      <c r="F2153" s="385"/>
      <c r="G2153" s="385"/>
      <c r="H2153" s="385">
        <v>2025</v>
      </c>
      <c r="I2153" s="386">
        <v>45913</v>
      </c>
      <c r="J2153" s="30" t="s">
        <v>5501</v>
      </c>
      <c r="K2153" s="385"/>
      <c r="L2153" s="385"/>
      <c r="M2153" s="385"/>
      <c r="N2153" s="385"/>
      <c r="O2153" s="385"/>
      <c r="P2153" s="385" t="str">
        <f>IFERROR(
    IF(
        OR(ISBLANK(I2153), ISBLANK(L2153)),
        "",
        MAX(
            1,
            IF(
                NETWORKDAYS(I2153, L2153, Holiday_Dates) &lt;= 0,
                1,
                NETWORKDAYS(I2153, L2153, Holiday_Dates) - IF(I2153 = L2153, 0, 1)
            )
        )
    ),
    ""
)</f>
        <v/>
      </c>
      <c r="Q2153" s="385" t="str">
        <f>IF(
    OR(ISBLANK(L2153), ISBLANK(M2153)),
    "",
    MAX(
        1,
        IF(
            NETWORKDAYS(L2153, M2153, Holiday_Dates) &lt;= 0,
            1,
            NETWORKDAYS(L2153, M2153, Holiday_Dates) - IF(L2153 = M2153, 0, 1)
        )
    )
)</f>
        <v/>
      </c>
      <c r="R2153" s="385" t="str">
        <f>IFERROR(
    IF(
        OR(ISBLANK(N2153), AND(ISBLANK(L2153), ISBLANK(M2153))),
        "",
        MAX(
            1,
            IF(
                NETWORKDAYS(IF(NOT(ISBLANK(M2153)), M2153, L2153), N2153, Holiday_Dates) &lt;= 0,
                1,
                NETWORKDAYS(IF(NOT(ISBLANK(M2153)), M2153, L2153), N2153, Holiday_Dates)
                - IF(IF(NOT(ISBLANK(M2153)), M2153, L2153) = N2153, 0, 1)
            )
        )
    ),
    ""
)</f>
        <v/>
      </c>
      <c r="S2153" s="385" t="str">
        <f>IFERROR(
    IF(
        OR(ISBLANK(N2153), ISBLANK(O2153)),
        "",
        MAX(
            1,
            IF(
                NETWORKDAYS(N2153, O2153, Holiday_Dates) &lt;= 0,
                1,
                NETWORKDAYS(N2153, O2153, Holiday_Dates) - IF(N2153 = O2153, 0, 1)
            )
        )
    ),
    ""
)</f>
        <v/>
      </c>
      <c r="T2153" s="385"/>
      <c r="U2153" s="385" t="s">
        <v>4</v>
      </c>
      <c r="V2153" s="385" t="s">
        <v>101</v>
      </c>
      <c r="W2153" s="385" t="s">
        <v>1436</v>
      </c>
      <c r="X2153" s="1"/>
    </row>
    <row r="2154" spans="1:24">
      <c r="A2154" s="385" t="s">
        <v>51</v>
      </c>
      <c r="B2154" s="385" t="s">
        <v>535</v>
      </c>
      <c r="C2154" s="385" t="s">
        <v>2234</v>
      </c>
      <c r="D2154" s="385" t="s">
        <v>88</v>
      </c>
      <c r="E2154" s="385"/>
      <c r="F2154" s="385"/>
      <c r="G2154" s="385"/>
      <c r="H2154" s="385">
        <v>2024</v>
      </c>
      <c r="I2154" s="386">
        <v>45576</v>
      </c>
      <c r="J2154" s="30"/>
      <c r="K2154" s="385"/>
      <c r="L2154" s="385"/>
      <c r="M2154" s="385"/>
      <c r="N2154" s="385"/>
      <c r="O2154" s="385"/>
      <c r="P2154" s="385" t="str">
        <f>IFERROR(
    IF(
        OR(ISBLANK(I2154), ISBLANK(L2154)),
        "",
        MAX(
            1,
            IF(
                NETWORKDAYS(I2154, L2154, Holiday_Dates) &lt;= 0,
                1,
                NETWORKDAYS(I2154, L2154, Holiday_Dates) - IF(I2154 = L2154, 0, 1)
            )
        )
    ),
    ""
)</f>
        <v/>
      </c>
      <c r="Q2154" s="385" t="str">
        <f>IF(
    OR(ISBLANK(L2154), ISBLANK(M2154)),
    "",
    MAX(
        1,
        IF(
            NETWORKDAYS(L2154, M2154, Holiday_Dates) &lt;= 0,
            1,
            NETWORKDAYS(L2154, M2154, Holiday_Dates) - IF(L2154 = M2154, 0, 1)
        )
    )
)</f>
        <v/>
      </c>
      <c r="R2154" s="385" t="str">
        <f>IFERROR(
    IF(
        OR(ISBLANK(N2154), AND(ISBLANK(L2154), ISBLANK(M2154))),
        "",
        MAX(
            1,
            IF(
                NETWORKDAYS(IF(NOT(ISBLANK(M2154)), M2154, L2154), N2154, Holiday_Dates) &lt;= 0,
                1,
                NETWORKDAYS(IF(NOT(ISBLANK(M2154)), M2154, L2154), N2154, Holiday_Dates)
                - IF(IF(NOT(ISBLANK(M2154)), M2154, L2154) = N2154, 0, 1)
            )
        )
    ),
    ""
)</f>
        <v/>
      </c>
      <c r="S2154" s="385" t="str">
        <f>IFERROR(
    IF(
        OR(ISBLANK(N2154), ISBLANK(O2154)),
        "",
        MAX(
            1,
            IF(
                NETWORKDAYS(N2154, O2154, Holiday_Dates) &lt;= 0,
                1,
                NETWORKDAYS(N2154, O2154, Holiday_Dates) - IF(N2154 = O2154, 0, 1)
            )
        )
    ),
    ""
)</f>
        <v/>
      </c>
      <c r="T2154" s="385"/>
      <c r="U2154" s="385" t="s">
        <v>4</v>
      </c>
      <c r="V2154" s="385" t="s">
        <v>101</v>
      </c>
      <c r="W2154" s="385" t="s">
        <v>1436</v>
      </c>
      <c r="X2154" s="1"/>
    </row>
    <row r="2155" spans="1:24">
      <c r="A2155" s="385" t="s">
        <v>51</v>
      </c>
      <c r="B2155" s="385" t="s">
        <v>535</v>
      </c>
      <c r="C2155" s="385" t="s">
        <v>653</v>
      </c>
      <c r="D2155" s="385" t="s">
        <v>88</v>
      </c>
      <c r="E2155" s="385"/>
      <c r="F2155" s="385"/>
      <c r="G2155" s="385"/>
      <c r="H2155" s="385">
        <v>2025</v>
      </c>
      <c r="I2155" s="386">
        <v>45699</v>
      </c>
      <c r="J2155" s="30" t="s">
        <v>5502</v>
      </c>
      <c r="K2155" s="385"/>
      <c r="L2155" s="385"/>
      <c r="M2155" s="385"/>
      <c r="N2155" s="385"/>
      <c r="O2155" s="385"/>
      <c r="P2155" s="385" t="str">
        <f>IFERROR(
    IF(
        OR(ISBLANK(I2155), ISBLANK(L2155)),
        "",
        MAX(
            1,
            IF(
                NETWORKDAYS(I2155, L2155, Holiday_Dates) &lt;= 0,
                1,
                NETWORKDAYS(I2155, L2155, Holiday_Dates) - IF(I2155 = L2155, 0, 1)
            )
        )
    ),
    ""
)</f>
        <v/>
      </c>
      <c r="Q2155" s="385" t="str">
        <f>IF(
    OR(ISBLANK(L2155), ISBLANK(M2155)),
    "",
    MAX(
        1,
        IF(
            NETWORKDAYS(L2155, M2155, Holiday_Dates) &lt;= 0,
            1,
            NETWORKDAYS(L2155, M2155, Holiday_Dates) - IF(L2155 = M2155, 0, 1)
        )
    )
)</f>
        <v/>
      </c>
      <c r="R2155" s="385" t="str">
        <f>IFERROR(
    IF(
        OR(ISBLANK(N2155), AND(ISBLANK(L2155), ISBLANK(M2155))),
        "",
        MAX(
            1,
            IF(
                NETWORKDAYS(IF(NOT(ISBLANK(M2155)), M2155, L2155), N2155, Holiday_Dates) &lt;= 0,
                1,
                NETWORKDAYS(IF(NOT(ISBLANK(M2155)), M2155, L2155), N2155, Holiday_Dates)
                - IF(IF(NOT(ISBLANK(M2155)), M2155, L2155) = N2155, 0, 1)
            )
        )
    ),
    ""
)</f>
        <v/>
      </c>
      <c r="S2155" s="385" t="str">
        <f>IFERROR(
    IF(
        OR(ISBLANK(N2155), ISBLANK(O2155)),
        "",
        MAX(
            1,
            IF(
                NETWORKDAYS(N2155, O2155, Holiday_Dates) &lt;= 0,
                1,
                NETWORKDAYS(N2155, O2155, Holiday_Dates) - IF(N2155 = O2155, 0, 1)
            )
        )
    ),
    ""
)</f>
        <v/>
      </c>
      <c r="T2155" s="385"/>
      <c r="U2155" s="385" t="s">
        <v>4</v>
      </c>
      <c r="V2155" s="385" t="s">
        <v>108</v>
      </c>
      <c r="W2155" s="385" t="s">
        <v>1436</v>
      </c>
      <c r="X2155" s="1"/>
    </row>
    <row r="2156" spans="1:24">
      <c r="A2156" s="385" t="s">
        <v>51</v>
      </c>
      <c r="B2156" s="385" t="s">
        <v>535</v>
      </c>
      <c r="C2156" s="385" t="s">
        <v>2202</v>
      </c>
      <c r="D2156" s="385" t="s">
        <v>88</v>
      </c>
      <c r="E2156" s="385"/>
      <c r="F2156" s="385"/>
      <c r="G2156" s="385"/>
      <c r="H2156" s="385">
        <v>2024</v>
      </c>
      <c r="I2156" s="386">
        <v>45576</v>
      </c>
      <c r="J2156" s="30"/>
      <c r="K2156" s="385"/>
      <c r="L2156" s="385"/>
      <c r="M2156" s="385"/>
      <c r="N2156" s="385"/>
      <c r="O2156" s="385"/>
      <c r="P2156" s="385" t="str">
        <f>IFERROR(
    IF(
        OR(ISBLANK(I2156), ISBLANK(L2156)),
        "",
        MAX(
            1,
            IF(
                NETWORKDAYS(I2156, L2156, Holiday_Dates) &lt;= 0,
                1,
                NETWORKDAYS(I2156, L2156, Holiday_Dates) - IF(I2156 = L2156, 0, 1)
            )
        )
    ),
    ""
)</f>
        <v/>
      </c>
      <c r="Q2156" s="385" t="str">
        <f>IF(
    OR(ISBLANK(L2156), ISBLANK(M2156)),
    "",
    MAX(
        1,
        IF(
            NETWORKDAYS(L2156, M2156, Holiday_Dates) &lt;= 0,
            1,
            NETWORKDAYS(L2156, M2156, Holiday_Dates) - IF(L2156 = M2156, 0, 1)
        )
    )
)</f>
        <v/>
      </c>
      <c r="R2156" s="385" t="str">
        <f>IFERROR(
    IF(
        OR(ISBLANK(N2156), AND(ISBLANK(L2156), ISBLANK(M2156))),
        "",
        MAX(
            1,
            IF(
                NETWORKDAYS(IF(NOT(ISBLANK(M2156)), M2156, L2156), N2156, Holiday_Dates) &lt;= 0,
                1,
                NETWORKDAYS(IF(NOT(ISBLANK(M2156)), M2156, L2156), N2156, Holiday_Dates)
                - IF(IF(NOT(ISBLANK(M2156)), M2156, L2156) = N2156, 0, 1)
            )
        )
    ),
    ""
)</f>
        <v/>
      </c>
      <c r="S2156" s="385" t="str">
        <f>IFERROR(
    IF(
        OR(ISBLANK(N2156), ISBLANK(O2156)),
        "",
        MAX(
            1,
            IF(
                NETWORKDAYS(N2156, O2156, Holiday_Dates) &lt;= 0,
                1,
                NETWORKDAYS(N2156, O2156, Holiday_Dates) - IF(N2156 = O2156, 0, 1)
            )
        )
    ),
    ""
)</f>
        <v/>
      </c>
      <c r="T2156" s="385"/>
      <c r="U2156" s="385" t="s">
        <v>4</v>
      </c>
      <c r="V2156" s="385" t="s">
        <v>101</v>
      </c>
      <c r="W2156" s="385" t="s">
        <v>1436</v>
      </c>
      <c r="X2156" s="1"/>
    </row>
    <row r="2157" spans="1:24">
      <c r="A2157" s="385" t="s">
        <v>51</v>
      </c>
      <c r="B2157" s="385" t="s">
        <v>535</v>
      </c>
      <c r="C2157" s="385" t="s">
        <v>1656</v>
      </c>
      <c r="D2157" s="385" t="s">
        <v>88</v>
      </c>
      <c r="E2157" s="385"/>
      <c r="F2157" s="385"/>
      <c r="G2157" s="385"/>
      <c r="H2157" s="385">
        <v>2024</v>
      </c>
      <c r="I2157" s="386">
        <v>45482</v>
      </c>
      <c r="J2157" s="30"/>
      <c r="K2157" s="385"/>
      <c r="L2157" s="385"/>
      <c r="M2157" s="385"/>
      <c r="N2157" s="385"/>
      <c r="O2157" s="385"/>
      <c r="P2157" s="385" t="str">
        <f>IFERROR(
    IF(
        OR(ISBLANK(I2157), ISBLANK(L2157)),
        "",
        MAX(
            1,
            IF(
                NETWORKDAYS(I2157, L2157, Holiday_Dates) &lt;= 0,
                1,
                NETWORKDAYS(I2157, L2157, Holiday_Dates) - IF(I2157 = L2157, 0, 1)
            )
        )
    ),
    ""
)</f>
        <v/>
      </c>
      <c r="Q2157" s="385" t="str">
        <f>IF(
    OR(ISBLANK(L2157), ISBLANK(M2157)),
    "",
    MAX(
        1,
        IF(
            NETWORKDAYS(L2157, M2157, Holiday_Dates) &lt;= 0,
            1,
            NETWORKDAYS(L2157, M2157, Holiday_Dates) - IF(L2157 = M2157, 0, 1)
        )
    )
)</f>
        <v/>
      </c>
      <c r="R2157" s="385" t="str">
        <f>IFERROR(
    IF(
        OR(ISBLANK(N2157), AND(ISBLANK(L2157), ISBLANK(M2157))),
        "",
        MAX(
            1,
            IF(
                NETWORKDAYS(IF(NOT(ISBLANK(M2157)), M2157, L2157), N2157, Holiday_Dates) &lt;= 0,
                1,
                NETWORKDAYS(IF(NOT(ISBLANK(M2157)), M2157, L2157), N2157, Holiday_Dates)
                - IF(IF(NOT(ISBLANK(M2157)), M2157, L2157) = N2157, 0, 1)
            )
        )
    ),
    ""
)</f>
        <v/>
      </c>
      <c r="S2157" s="385" t="str">
        <f>IFERROR(
    IF(
        OR(ISBLANK(N2157), ISBLANK(O2157)),
        "",
        MAX(
            1,
            IF(
                NETWORKDAYS(N2157, O2157, Holiday_Dates) &lt;= 0,
                1,
                NETWORKDAYS(N2157, O2157, Holiday_Dates) - IF(N2157 = O2157, 0, 1)
            )
        )
    ),
    ""
)</f>
        <v/>
      </c>
      <c r="T2157" s="385"/>
      <c r="U2157" s="385" t="s">
        <v>4</v>
      </c>
      <c r="V2157" s="385" t="s">
        <v>108</v>
      </c>
      <c r="W2157" s="385" t="s">
        <v>1436</v>
      </c>
      <c r="X2157" s="1"/>
    </row>
    <row r="2158" spans="1:24">
      <c r="A2158" s="385" t="s">
        <v>65</v>
      </c>
      <c r="B2158" s="385" t="s">
        <v>507</v>
      </c>
      <c r="C2158" s="385" t="s">
        <v>2932</v>
      </c>
      <c r="D2158" s="385" t="s">
        <v>89</v>
      </c>
      <c r="E2158" s="385" t="s">
        <v>29</v>
      </c>
      <c r="F2158" s="385"/>
      <c r="G2158" s="385" t="s">
        <v>130</v>
      </c>
      <c r="H2158" s="385"/>
      <c r="I2158" s="385"/>
      <c r="J2158" s="30"/>
      <c r="K2158" s="385"/>
      <c r="L2158" s="385"/>
      <c r="M2158" s="385"/>
      <c r="N2158" s="385"/>
      <c r="O2158" s="385"/>
      <c r="P2158" s="385" t="str">
        <f>IFERROR(
    IF(
        OR(ISBLANK(I2158), ISBLANK(L2158)),
        "",
        MAX(
            1,
            IF(
                NETWORKDAYS(I2158, L2158, Holiday_Dates) &lt;= 0,
                1,
                NETWORKDAYS(I2158, L2158, Holiday_Dates) - IF(I2158 = L2158, 0, 1)
            )
        )
    ),
    ""
)</f>
        <v/>
      </c>
      <c r="Q2158" s="385" t="str">
        <f>IF(
    OR(ISBLANK(L2158), ISBLANK(M2158)),
    "",
    MAX(
        1,
        IF(
            NETWORKDAYS(L2158, M2158, Holiday_Dates) &lt;= 0,
            1,
            NETWORKDAYS(L2158, M2158, Holiday_Dates) - IF(L2158 = M2158, 0, 1)
        )
    )
)</f>
        <v/>
      </c>
      <c r="R2158" s="385" t="str">
        <f>IFERROR(
    IF(
        OR(ISBLANK(N2158), AND(ISBLANK(L2158), ISBLANK(M2158))),
        "",
        MAX(
            1,
            IF(
                NETWORKDAYS(IF(NOT(ISBLANK(M2158)), M2158, L2158), N2158, Holiday_Dates) &lt;= 0,
                1,
                NETWORKDAYS(IF(NOT(ISBLANK(M2158)), M2158, L2158), N2158, Holiday_Dates)
                - IF(IF(NOT(ISBLANK(M2158)), M2158, L2158) = N2158, 0, 1)
            )
        )
    ),
    ""
)</f>
        <v/>
      </c>
      <c r="S2158" s="385" t="str">
        <f>IFERROR(
    IF(
        OR(ISBLANK(N2158), ISBLANK(O2158)),
        "",
        MAX(
            1,
            IF(
                NETWORKDAYS(N2158, O2158, Holiday_Dates) &lt;= 0,
                1,
                NETWORKDAYS(N2158, O2158, Holiday_Dates) - IF(N2158 = O2158, 0, 1)
            )
        )
    ),
    ""
)</f>
        <v/>
      </c>
      <c r="T2158" s="385"/>
      <c r="U2158" s="385"/>
      <c r="V2158" s="385"/>
      <c r="W2158" s="385" t="s">
        <v>4710</v>
      </c>
      <c r="X2158" s="1"/>
    </row>
    <row r="2159" spans="1:24">
      <c r="A2159" s="385" t="s">
        <v>51</v>
      </c>
      <c r="B2159" s="385" t="s">
        <v>535</v>
      </c>
      <c r="C2159" s="385" t="s">
        <v>1879</v>
      </c>
      <c r="D2159" s="385" t="s">
        <v>88</v>
      </c>
      <c r="E2159" s="385"/>
      <c r="F2159" s="385"/>
      <c r="G2159" s="385"/>
      <c r="H2159" s="385">
        <v>2024</v>
      </c>
      <c r="I2159" s="386">
        <v>45447</v>
      </c>
      <c r="J2159" s="30"/>
      <c r="K2159" s="385"/>
      <c r="L2159" s="385"/>
      <c r="M2159" s="385"/>
      <c r="N2159" s="385"/>
      <c r="O2159" s="385"/>
      <c r="P2159" s="385" t="str">
        <f>IFERROR(
    IF(
        OR(ISBLANK(I2159), ISBLANK(L2159)),
        "",
        MAX(
            1,
            IF(
                NETWORKDAYS(I2159, L2159, Holiday_Dates) &lt;= 0,
                1,
                NETWORKDAYS(I2159, L2159, Holiday_Dates) - IF(I2159 = L2159, 0, 1)
            )
        )
    ),
    ""
)</f>
        <v/>
      </c>
      <c r="Q2159" s="385" t="str">
        <f>IF(
    OR(ISBLANK(L2159), ISBLANK(M2159)),
    "",
    MAX(
        1,
        IF(
            NETWORKDAYS(L2159, M2159, Holiday_Dates) &lt;= 0,
            1,
            NETWORKDAYS(L2159, M2159, Holiday_Dates) - IF(L2159 = M2159, 0, 1)
        )
    )
)</f>
        <v/>
      </c>
      <c r="R2159" s="385" t="str">
        <f>IFERROR(
    IF(
        OR(ISBLANK(N2159), AND(ISBLANK(L2159), ISBLANK(M2159))),
        "",
        MAX(
            1,
            IF(
                NETWORKDAYS(IF(NOT(ISBLANK(M2159)), M2159, L2159), N2159, Holiday_Dates) &lt;= 0,
                1,
                NETWORKDAYS(IF(NOT(ISBLANK(M2159)), M2159, L2159), N2159, Holiday_Dates)
                - IF(IF(NOT(ISBLANK(M2159)), M2159, L2159) = N2159, 0, 1)
            )
        )
    ),
    ""
)</f>
        <v/>
      </c>
      <c r="S2159" s="385" t="str">
        <f>IFERROR(
    IF(
        OR(ISBLANK(N2159), ISBLANK(O2159)),
        "",
        MAX(
            1,
            IF(
                NETWORKDAYS(N2159, O2159, Holiday_Dates) &lt;= 0,
                1,
                NETWORKDAYS(N2159, O2159, Holiday_Dates) - IF(N2159 = O2159, 0, 1)
            )
        )
    ),
    ""
)</f>
        <v/>
      </c>
      <c r="T2159" s="385"/>
      <c r="U2159" s="385" t="s">
        <v>672</v>
      </c>
      <c r="V2159" s="385"/>
      <c r="W2159" s="385" t="s">
        <v>1436</v>
      </c>
      <c r="X2159" s="1"/>
    </row>
    <row r="2160" spans="1:24">
      <c r="A2160" s="385" t="s">
        <v>51</v>
      </c>
      <c r="B2160" s="385" t="s">
        <v>535</v>
      </c>
      <c r="C2160" s="385" t="s">
        <v>2347</v>
      </c>
      <c r="D2160" s="385" t="s">
        <v>88</v>
      </c>
      <c r="E2160" s="385"/>
      <c r="F2160" s="385"/>
      <c r="G2160" s="385"/>
      <c r="H2160" s="385">
        <v>2025</v>
      </c>
      <c r="I2160" s="386">
        <v>45792</v>
      </c>
      <c r="J2160" s="30" t="s">
        <v>5503</v>
      </c>
      <c r="K2160" s="385"/>
      <c r="L2160" s="385"/>
      <c r="M2160" s="385"/>
      <c r="N2160" s="385"/>
      <c r="O2160" s="385"/>
      <c r="P2160" s="385" t="str">
        <f>IFERROR(
    IF(
        OR(ISBLANK(I2160), ISBLANK(L2160)),
        "",
        MAX(
            1,
            IF(
                NETWORKDAYS(I2160, L2160, Holiday_Dates) &lt;= 0,
                1,
                NETWORKDAYS(I2160, L2160, Holiday_Dates) - IF(I2160 = L2160, 0, 1)
            )
        )
    ),
    ""
)</f>
        <v/>
      </c>
      <c r="Q2160" s="385" t="str">
        <f>IF(
    OR(ISBLANK(L2160), ISBLANK(M2160)),
    "",
    MAX(
        1,
        IF(
            NETWORKDAYS(L2160, M2160, Holiday_Dates) &lt;= 0,
            1,
            NETWORKDAYS(L2160, M2160, Holiday_Dates) - IF(L2160 = M2160, 0, 1)
        )
    )
)</f>
        <v/>
      </c>
      <c r="R2160" s="385" t="str">
        <f>IFERROR(
    IF(
        OR(ISBLANK(N2160), AND(ISBLANK(L2160), ISBLANK(M2160))),
        "",
        MAX(
            1,
            IF(
                NETWORKDAYS(IF(NOT(ISBLANK(M2160)), M2160, L2160), N2160, Holiday_Dates) &lt;= 0,
                1,
                NETWORKDAYS(IF(NOT(ISBLANK(M2160)), M2160, L2160), N2160, Holiday_Dates)
                - IF(IF(NOT(ISBLANK(M2160)), M2160, L2160) = N2160, 0, 1)
            )
        )
    ),
    ""
)</f>
        <v/>
      </c>
      <c r="S2160" s="385" t="str">
        <f>IFERROR(
    IF(
        OR(ISBLANK(N2160), ISBLANK(O2160)),
        "",
        MAX(
            1,
            IF(
                NETWORKDAYS(N2160, O2160, Holiday_Dates) &lt;= 0,
                1,
                NETWORKDAYS(N2160, O2160, Holiday_Dates) - IF(N2160 = O2160, 0, 1)
            )
        )
    ),
    ""
)</f>
        <v/>
      </c>
      <c r="T2160" s="385"/>
      <c r="U2160" s="385" t="s">
        <v>672</v>
      </c>
      <c r="V2160" s="385" t="s">
        <v>1676</v>
      </c>
      <c r="W2160" s="385" t="s">
        <v>1436</v>
      </c>
      <c r="X2160" s="1"/>
    </row>
    <row r="2161" spans="1:24">
      <c r="A2161" s="385" t="s">
        <v>51</v>
      </c>
      <c r="B2161" s="385" t="s">
        <v>535</v>
      </c>
      <c r="C2161" s="385" t="s">
        <v>3731</v>
      </c>
      <c r="D2161" s="385" t="s">
        <v>88</v>
      </c>
      <c r="E2161" s="385"/>
      <c r="F2161" s="385"/>
      <c r="G2161" s="385"/>
      <c r="H2161" s="385">
        <v>2025</v>
      </c>
      <c r="I2161" s="386">
        <v>45913</v>
      </c>
      <c r="J2161" s="30" t="s">
        <v>5504</v>
      </c>
      <c r="K2161" s="385"/>
      <c r="L2161" s="385"/>
      <c r="M2161" s="385"/>
      <c r="N2161" s="385"/>
      <c r="O2161" s="385"/>
      <c r="P2161" s="385" t="str">
        <f>IFERROR(
    IF(
        OR(ISBLANK(I2161), ISBLANK(L2161)),
        "",
        MAX(
            1,
            IF(
                NETWORKDAYS(I2161, L2161, Holiday_Dates) &lt;= 0,
                1,
                NETWORKDAYS(I2161, L2161, Holiday_Dates) - IF(I2161 = L2161, 0, 1)
            )
        )
    ),
    ""
)</f>
        <v/>
      </c>
      <c r="Q2161" s="385" t="str">
        <f>IF(
    OR(ISBLANK(L2161), ISBLANK(M2161)),
    "",
    MAX(
        1,
        IF(
            NETWORKDAYS(L2161, M2161, Holiday_Dates) &lt;= 0,
            1,
            NETWORKDAYS(L2161, M2161, Holiday_Dates) - IF(L2161 = M2161, 0, 1)
        )
    )
)</f>
        <v/>
      </c>
      <c r="R2161" s="385" t="str">
        <f>IFERROR(
    IF(
        OR(ISBLANK(N2161), AND(ISBLANK(L2161), ISBLANK(M2161))),
        "",
        MAX(
            1,
            IF(
                NETWORKDAYS(IF(NOT(ISBLANK(M2161)), M2161, L2161), N2161, Holiday_Dates) &lt;= 0,
                1,
                NETWORKDAYS(IF(NOT(ISBLANK(M2161)), M2161, L2161), N2161, Holiday_Dates)
                - IF(IF(NOT(ISBLANK(M2161)), M2161, L2161) = N2161, 0, 1)
            )
        )
    ),
    ""
)</f>
        <v/>
      </c>
      <c r="S2161" s="385" t="str">
        <f>IFERROR(
    IF(
        OR(ISBLANK(N2161), ISBLANK(O2161)),
        "",
        MAX(
            1,
            IF(
                NETWORKDAYS(N2161, O2161, Holiday_Dates) &lt;= 0,
                1,
                NETWORKDAYS(N2161, O2161, Holiday_Dates) - IF(N2161 = O2161, 0, 1)
            )
        )
    ),
    ""
)</f>
        <v/>
      </c>
      <c r="T2161" s="385"/>
      <c r="U2161" s="385" t="s">
        <v>4</v>
      </c>
      <c r="V2161" s="385" t="s">
        <v>101</v>
      </c>
      <c r="W2161" s="385" t="s">
        <v>1436</v>
      </c>
      <c r="X2161" s="1"/>
    </row>
    <row r="2162" spans="1:24">
      <c r="A2162" s="385" t="s">
        <v>65</v>
      </c>
      <c r="B2162" s="385" t="s">
        <v>507</v>
      </c>
      <c r="C2162" s="385" t="s">
        <v>2933</v>
      </c>
      <c r="D2162" s="385" t="s">
        <v>89</v>
      </c>
      <c r="E2162" s="385" t="s">
        <v>29</v>
      </c>
      <c r="F2162" s="385"/>
      <c r="G2162" s="385" t="s">
        <v>130</v>
      </c>
      <c r="H2162" s="385"/>
      <c r="I2162" s="385"/>
      <c r="J2162" s="30"/>
      <c r="K2162" s="385"/>
      <c r="L2162" s="385"/>
      <c r="M2162" s="385"/>
      <c r="N2162" s="385"/>
      <c r="O2162" s="385"/>
      <c r="P2162" s="385" t="str">
        <f>IFERROR(
    IF(
        OR(ISBLANK(I2162), ISBLANK(L2162)),
        "",
        MAX(
            1,
            IF(
                NETWORKDAYS(I2162, L2162, Holiday_Dates) &lt;= 0,
                1,
                NETWORKDAYS(I2162, L2162, Holiday_Dates) - IF(I2162 = L2162, 0, 1)
            )
        )
    ),
    ""
)</f>
        <v/>
      </c>
      <c r="Q2162" s="385" t="str">
        <f>IF(
    OR(ISBLANK(L2162), ISBLANK(M2162)),
    "",
    MAX(
        1,
        IF(
            NETWORKDAYS(L2162, M2162, Holiday_Dates) &lt;= 0,
            1,
            NETWORKDAYS(L2162, M2162, Holiday_Dates) - IF(L2162 = M2162, 0, 1)
        )
    )
)</f>
        <v/>
      </c>
      <c r="R2162" s="385" t="str">
        <f>IFERROR(
    IF(
        OR(ISBLANK(N2162), AND(ISBLANK(L2162), ISBLANK(M2162))),
        "",
        MAX(
            1,
            IF(
                NETWORKDAYS(IF(NOT(ISBLANK(M2162)), M2162, L2162), N2162, Holiday_Dates) &lt;= 0,
                1,
                NETWORKDAYS(IF(NOT(ISBLANK(M2162)), M2162, L2162), N2162, Holiday_Dates)
                - IF(IF(NOT(ISBLANK(M2162)), M2162, L2162) = N2162, 0, 1)
            )
        )
    ),
    ""
)</f>
        <v/>
      </c>
      <c r="S2162" s="385" t="str">
        <f>IFERROR(
    IF(
        OR(ISBLANK(N2162), ISBLANK(O2162)),
        "",
        MAX(
            1,
            IF(
                NETWORKDAYS(N2162, O2162, Holiday_Dates) &lt;= 0,
                1,
                NETWORKDAYS(N2162, O2162, Holiday_Dates) - IF(N2162 = O2162, 0, 1)
            )
        )
    ),
    ""
)</f>
        <v/>
      </c>
      <c r="T2162" s="385"/>
      <c r="U2162" s="385"/>
      <c r="V2162" s="385"/>
      <c r="W2162" s="385" t="s">
        <v>4710</v>
      </c>
      <c r="X2162" s="1"/>
    </row>
    <row r="2163" spans="1:24">
      <c r="A2163" s="385" t="s">
        <v>51</v>
      </c>
      <c r="B2163" s="385" t="s">
        <v>312</v>
      </c>
      <c r="C2163" s="385" t="s">
        <v>3733</v>
      </c>
      <c r="D2163" s="385" t="s">
        <v>88</v>
      </c>
      <c r="E2163" s="385"/>
      <c r="F2163" s="385"/>
      <c r="G2163" s="385"/>
      <c r="H2163" s="385">
        <v>2024</v>
      </c>
      <c r="I2163" s="386">
        <v>45545</v>
      </c>
      <c r="J2163" s="30"/>
      <c r="K2163" s="385"/>
      <c r="L2163" s="385"/>
      <c r="M2163" s="385"/>
      <c r="N2163" s="385"/>
      <c r="O2163" s="385"/>
      <c r="P2163" s="385" t="str">
        <f>IFERROR(
    IF(
        OR(ISBLANK(I2163), ISBLANK(L2163)),
        "",
        MAX(
            1,
            IF(
                NETWORKDAYS(I2163, L2163, Holiday_Dates) &lt;= 0,
                1,
                NETWORKDAYS(I2163, L2163, Holiday_Dates) - IF(I2163 = L2163, 0, 1)
            )
        )
    ),
    ""
)</f>
        <v/>
      </c>
      <c r="Q2163" s="385" t="str">
        <f>IF(
    OR(ISBLANK(L2163), ISBLANK(M2163)),
    "",
    MAX(
        1,
        IF(
            NETWORKDAYS(L2163, M2163, Holiday_Dates) &lt;= 0,
            1,
            NETWORKDAYS(L2163, M2163, Holiday_Dates) - IF(L2163 = M2163, 0, 1)
        )
    )
)</f>
        <v/>
      </c>
      <c r="R2163" s="385" t="str">
        <f>IFERROR(
    IF(
        OR(ISBLANK(N2163), AND(ISBLANK(L2163), ISBLANK(M2163))),
        "",
        MAX(
            1,
            IF(
                NETWORKDAYS(IF(NOT(ISBLANK(M2163)), M2163, L2163), N2163, Holiday_Dates) &lt;= 0,
                1,
                NETWORKDAYS(IF(NOT(ISBLANK(M2163)), M2163, L2163), N2163, Holiday_Dates)
                - IF(IF(NOT(ISBLANK(M2163)), M2163, L2163) = N2163, 0, 1)
            )
        )
    ),
    ""
)</f>
        <v/>
      </c>
      <c r="S2163" s="385" t="str">
        <f>IFERROR(
    IF(
        OR(ISBLANK(N2163), ISBLANK(O2163)),
        "",
        MAX(
            1,
            IF(
                NETWORKDAYS(N2163, O2163, Holiday_Dates) &lt;= 0,
                1,
                NETWORKDAYS(N2163, O2163, Holiday_Dates) - IF(N2163 = O2163, 0, 1)
            )
        )
    ),
    ""
)</f>
        <v/>
      </c>
      <c r="T2163" s="385"/>
      <c r="U2163" s="385" t="s">
        <v>4</v>
      </c>
      <c r="V2163" s="385" t="s">
        <v>101</v>
      </c>
      <c r="W2163" s="385" t="s">
        <v>1436</v>
      </c>
      <c r="X2163" s="1"/>
    </row>
    <row r="2164" spans="1:24">
      <c r="A2164" s="385" t="s">
        <v>65</v>
      </c>
      <c r="B2164" s="385" t="s">
        <v>507</v>
      </c>
      <c r="C2164" s="385" t="s">
        <v>1036</v>
      </c>
      <c r="D2164" s="385" t="s">
        <v>89</v>
      </c>
      <c r="E2164" s="385" t="s">
        <v>29</v>
      </c>
      <c r="F2164" s="385"/>
      <c r="G2164" s="385" t="s">
        <v>130</v>
      </c>
      <c r="H2164" s="385"/>
      <c r="I2164" s="385"/>
      <c r="J2164" s="30"/>
      <c r="K2164" s="385"/>
      <c r="L2164" s="385"/>
      <c r="M2164" s="385"/>
      <c r="N2164" s="385"/>
      <c r="O2164" s="385"/>
      <c r="P2164" s="385" t="str">
        <f>IFERROR(
    IF(
        OR(ISBLANK(I2164), ISBLANK(L2164)),
        "",
        MAX(
            1,
            IF(
                NETWORKDAYS(I2164, L2164, Holiday_Dates) &lt;= 0,
                1,
                NETWORKDAYS(I2164, L2164, Holiday_Dates) - IF(I2164 = L2164, 0, 1)
            )
        )
    ),
    ""
)</f>
        <v/>
      </c>
      <c r="Q2164" s="385" t="str">
        <f>IF(
    OR(ISBLANK(L2164), ISBLANK(M2164)),
    "",
    MAX(
        1,
        IF(
            NETWORKDAYS(L2164, M2164, Holiday_Dates) &lt;= 0,
            1,
            NETWORKDAYS(L2164, M2164, Holiday_Dates) - IF(L2164 = M2164, 0, 1)
        )
    )
)</f>
        <v/>
      </c>
      <c r="R2164" s="385" t="str">
        <f>IFERROR(
    IF(
        OR(ISBLANK(N2164), AND(ISBLANK(L2164), ISBLANK(M2164))),
        "",
        MAX(
            1,
            IF(
                NETWORKDAYS(IF(NOT(ISBLANK(M2164)), M2164, L2164), N2164, Holiday_Dates) &lt;= 0,
                1,
                NETWORKDAYS(IF(NOT(ISBLANK(M2164)), M2164, L2164), N2164, Holiday_Dates)
                - IF(IF(NOT(ISBLANK(M2164)), M2164, L2164) = N2164, 0, 1)
            )
        )
    ),
    ""
)</f>
        <v/>
      </c>
      <c r="S2164" s="385" t="str">
        <f>IFERROR(
    IF(
        OR(ISBLANK(N2164), ISBLANK(O2164)),
        "",
        MAX(
            1,
            IF(
                NETWORKDAYS(N2164, O2164, Holiday_Dates) &lt;= 0,
                1,
                NETWORKDAYS(N2164, O2164, Holiday_Dates) - IF(N2164 = O2164, 0, 1)
            )
        )
    ),
    ""
)</f>
        <v/>
      </c>
      <c r="T2164" s="385"/>
      <c r="U2164" s="385"/>
      <c r="V2164" s="385"/>
      <c r="W2164" s="385" t="s">
        <v>4710</v>
      </c>
      <c r="X2164" s="1"/>
    </row>
    <row r="2165" spans="1:24">
      <c r="A2165" s="385" t="s">
        <v>51</v>
      </c>
      <c r="B2165" s="385" t="s">
        <v>312</v>
      </c>
      <c r="C2165" s="385" t="s">
        <v>1044</v>
      </c>
      <c r="D2165" s="385" t="s">
        <v>88</v>
      </c>
      <c r="E2165" s="385"/>
      <c r="F2165" s="385"/>
      <c r="G2165" s="385"/>
      <c r="H2165" s="385">
        <v>2025</v>
      </c>
      <c r="I2165" s="386">
        <v>45818</v>
      </c>
      <c r="J2165" s="30" t="s">
        <v>5505</v>
      </c>
      <c r="K2165" s="385"/>
      <c r="L2165" s="385"/>
      <c r="M2165" s="385"/>
      <c r="N2165" s="385"/>
      <c r="O2165" s="385"/>
      <c r="P2165" s="385" t="str">
        <f>IFERROR(
    IF(
        OR(ISBLANK(I2165), ISBLANK(L2165)),
        "",
        MAX(
            1,
            IF(
                NETWORKDAYS(I2165, L2165, Holiday_Dates) &lt;= 0,
                1,
                NETWORKDAYS(I2165, L2165, Holiday_Dates) - IF(I2165 = L2165, 0, 1)
            )
        )
    ),
    ""
)</f>
        <v/>
      </c>
      <c r="Q2165" s="385" t="str">
        <f>IF(
    OR(ISBLANK(L2165), ISBLANK(M2165)),
    "",
    MAX(
        1,
        IF(
            NETWORKDAYS(L2165, M2165, Holiday_Dates) &lt;= 0,
            1,
            NETWORKDAYS(L2165, M2165, Holiday_Dates) - IF(L2165 = M2165, 0, 1)
        )
    )
)</f>
        <v/>
      </c>
      <c r="R2165" s="385" t="str">
        <f>IFERROR(
    IF(
        OR(ISBLANK(N2165), AND(ISBLANK(L2165), ISBLANK(M2165))),
        "",
        MAX(
            1,
            IF(
                NETWORKDAYS(IF(NOT(ISBLANK(M2165)), M2165, L2165), N2165, Holiday_Dates) &lt;= 0,
                1,
                NETWORKDAYS(IF(NOT(ISBLANK(M2165)), M2165, L2165), N2165, Holiday_Dates)
                - IF(IF(NOT(ISBLANK(M2165)), M2165, L2165) = N2165, 0, 1)
            )
        )
    ),
    ""
)</f>
        <v/>
      </c>
      <c r="S2165" s="385" t="str">
        <f>IFERROR(
    IF(
        OR(ISBLANK(N2165), ISBLANK(O2165)),
        "",
        MAX(
            1,
            IF(
                NETWORKDAYS(N2165, O2165, Holiday_Dates) &lt;= 0,
                1,
                NETWORKDAYS(N2165, O2165, Holiday_Dates) - IF(N2165 = O2165, 0, 1)
            )
        )
    ),
    ""
)</f>
        <v/>
      </c>
      <c r="T2165" s="385"/>
      <c r="U2165" s="385" t="s">
        <v>672</v>
      </c>
      <c r="V2165" s="385" t="s">
        <v>1676</v>
      </c>
      <c r="W2165" s="385" t="s">
        <v>1436</v>
      </c>
      <c r="X2165" s="1"/>
    </row>
    <row r="2166" spans="1:24">
      <c r="A2166" s="385" t="s">
        <v>51</v>
      </c>
      <c r="B2166" s="385" t="s">
        <v>312</v>
      </c>
      <c r="C2166" s="385" t="s">
        <v>3735</v>
      </c>
      <c r="D2166" s="385" t="s">
        <v>88</v>
      </c>
      <c r="E2166" s="385"/>
      <c r="F2166" s="385"/>
      <c r="G2166" s="385"/>
      <c r="H2166" s="385">
        <v>2025</v>
      </c>
      <c r="I2166" s="386">
        <v>45818</v>
      </c>
      <c r="J2166" s="30" t="s">
        <v>5506</v>
      </c>
      <c r="K2166" s="385"/>
      <c r="L2166" s="385"/>
      <c r="M2166" s="385"/>
      <c r="N2166" s="385"/>
      <c r="O2166" s="385"/>
      <c r="P2166" s="385" t="str">
        <f>IFERROR(
    IF(
        OR(ISBLANK(I2166), ISBLANK(L2166)),
        "",
        MAX(
            1,
            IF(
                NETWORKDAYS(I2166, L2166, Holiday_Dates) &lt;= 0,
                1,
                NETWORKDAYS(I2166, L2166, Holiday_Dates) - IF(I2166 = L2166, 0, 1)
            )
        )
    ),
    ""
)</f>
        <v/>
      </c>
      <c r="Q2166" s="385" t="str">
        <f>IF(
    OR(ISBLANK(L2166), ISBLANK(M2166)),
    "",
    MAX(
        1,
        IF(
            NETWORKDAYS(L2166, M2166, Holiday_Dates) &lt;= 0,
            1,
            NETWORKDAYS(L2166, M2166, Holiday_Dates) - IF(L2166 = M2166, 0, 1)
        )
    )
)</f>
        <v/>
      </c>
      <c r="R2166" s="385" t="str">
        <f>IFERROR(
    IF(
        OR(ISBLANK(N2166), AND(ISBLANK(L2166), ISBLANK(M2166))),
        "",
        MAX(
            1,
            IF(
                NETWORKDAYS(IF(NOT(ISBLANK(M2166)), M2166, L2166), N2166, Holiday_Dates) &lt;= 0,
                1,
                NETWORKDAYS(IF(NOT(ISBLANK(M2166)), M2166, L2166), N2166, Holiday_Dates)
                - IF(IF(NOT(ISBLANK(M2166)), M2166, L2166) = N2166, 0, 1)
            )
        )
    ),
    ""
)</f>
        <v/>
      </c>
      <c r="S2166" s="385" t="str">
        <f>IFERROR(
    IF(
        OR(ISBLANK(N2166), ISBLANK(O2166)),
        "",
        MAX(
            1,
            IF(
                NETWORKDAYS(N2166, O2166, Holiday_Dates) &lt;= 0,
                1,
                NETWORKDAYS(N2166, O2166, Holiday_Dates) - IF(N2166 = O2166, 0, 1)
            )
        )
    ),
    ""
)</f>
        <v/>
      </c>
      <c r="T2166" s="385"/>
      <c r="U2166" s="385" t="s">
        <v>672</v>
      </c>
      <c r="V2166" s="385" t="s">
        <v>1676</v>
      </c>
      <c r="W2166" s="385" t="s">
        <v>1436</v>
      </c>
      <c r="X2166" s="1"/>
    </row>
    <row r="2167" spans="1:24">
      <c r="A2167" s="385" t="s">
        <v>51</v>
      </c>
      <c r="B2167" s="385" t="s">
        <v>312</v>
      </c>
      <c r="C2167" s="385" t="s">
        <v>3736</v>
      </c>
      <c r="D2167" s="385" t="s">
        <v>88</v>
      </c>
      <c r="E2167" s="385"/>
      <c r="F2167" s="385"/>
      <c r="G2167" s="385"/>
      <c r="H2167" s="385">
        <v>2025</v>
      </c>
      <c r="I2167" s="386">
        <v>45818</v>
      </c>
      <c r="J2167" s="30" t="s">
        <v>5507</v>
      </c>
      <c r="K2167" s="385"/>
      <c r="L2167" s="385"/>
      <c r="M2167" s="385"/>
      <c r="N2167" s="385"/>
      <c r="O2167" s="385"/>
      <c r="P2167" s="385" t="str">
        <f>IFERROR(
    IF(
        OR(ISBLANK(I2167), ISBLANK(L2167)),
        "",
        MAX(
            1,
            IF(
                NETWORKDAYS(I2167, L2167, Holiday_Dates) &lt;= 0,
                1,
                NETWORKDAYS(I2167, L2167, Holiday_Dates) - IF(I2167 = L2167, 0, 1)
            )
        )
    ),
    ""
)</f>
        <v/>
      </c>
      <c r="Q2167" s="385" t="str">
        <f>IF(
    OR(ISBLANK(L2167), ISBLANK(M2167)),
    "",
    MAX(
        1,
        IF(
            NETWORKDAYS(L2167, M2167, Holiday_Dates) &lt;= 0,
            1,
            NETWORKDAYS(L2167, M2167, Holiday_Dates) - IF(L2167 = M2167, 0, 1)
        )
    )
)</f>
        <v/>
      </c>
      <c r="R2167" s="385" t="str">
        <f>IFERROR(
    IF(
        OR(ISBLANK(N2167), AND(ISBLANK(L2167), ISBLANK(M2167))),
        "",
        MAX(
            1,
            IF(
                NETWORKDAYS(IF(NOT(ISBLANK(M2167)), M2167, L2167), N2167, Holiday_Dates) &lt;= 0,
                1,
                NETWORKDAYS(IF(NOT(ISBLANK(M2167)), M2167, L2167), N2167, Holiday_Dates)
                - IF(IF(NOT(ISBLANK(M2167)), M2167, L2167) = N2167, 0, 1)
            )
        )
    ),
    ""
)</f>
        <v/>
      </c>
      <c r="S2167" s="385" t="str">
        <f>IFERROR(
    IF(
        OR(ISBLANK(N2167), ISBLANK(O2167)),
        "",
        MAX(
            1,
            IF(
                NETWORKDAYS(N2167, O2167, Holiday_Dates) &lt;= 0,
                1,
                NETWORKDAYS(N2167, O2167, Holiday_Dates) - IF(N2167 = O2167, 0, 1)
            )
        )
    ),
    ""
)</f>
        <v/>
      </c>
      <c r="T2167" s="385"/>
      <c r="U2167" s="385" t="s">
        <v>672</v>
      </c>
      <c r="V2167" s="385" t="s">
        <v>1676</v>
      </c>
      <c r="W2167" s="385" t="s">
        <v>1436</v>
      </c>
      <c r="X2167" s="1"/>
    </row>
    <row r="2168" spans="1:24">
      <c r="A2168" s="385" t="s">
        <v>51</v>
      </c>
      <c r="B2168" s="385" t="s">
        <v>312</v>
      </c>
      <c r="C2168" s="385" t="s">
        <v>3737</v>
      </c>
      <c r="D2168" s="385" t="s">
        <v>88</v>
      </c>
      <c r="E2168" s="385"/>
      <c r="F2168" s="385"/>
      <c r="G2168" s="385"/>
      <c r="H2168" s="385">
        <v>2024</v>
      </c>
      <c r="I2168" s="386">
        <v>45545</v>
      </c>
      <c r="J2168" s="30"/>
      <c r="K2168" s="385"/>
      <c r="L2168" s="385"/>
      <c r="M2168" s="385"/>
      <c r="N2168" s="385"/>
      <c r="O2168" s="385"/>
      <c r="P2168" s="385" t="str">
        <f>IFERROR(
    IF(
        OR(ISBLANK(I2168), ISBLANK(L2168)),
        "",
        MAX(
            1,
            IF(
                NETWORKDAYS(I2168, L2168, Holiday_Dates) &lt;= 0,
                1,
                NETWORKDAYS(I2168, L2168, Holiday_Dates) - IF(I2168 = L2168, 0, 1)
            )
        )
    ),
    ""
)</f>
        <v/>
      </c>
      <c r="Q2168" s="385" t="str">
        <f>IF(
    OR(ISBLANK(L2168), ISBLANK(M2168)),
    "",
    MAX(
        1,
        IF(
            NETWORKDAYS(L2168, M2168, Holiday_Dates) &lt;= 0,
            1,
            NETWORKDAYS(L2168, M2168, Holiday_Dates) - IF(L2168 = M2168, 0, 1)
        )
    )
)</f>
        <v/>
      </c>
      <c r="R2168" s="385" t="str">
        <f>IFERROR(
    IF(
        OR(ISBLANK(N2168), AND(ISBLANK(L2168), ISBLANK(M2168))),
        "",
        MAX(
            1,
            IF(
                NETWORKDAYS(IF(NOT(ISBLANK(M2168)), M2168, L2168), N2168, Holiday_Dates) &lt;= 0,
                1,
                NETWORKDAYS(IF(NOT(ISBLANK(M2168)), M2168, L2168), N2168, Holiday_Dates)
                - IF(IF(NOT(ISBLANK(M2168)), M2168, L2168) = N2168, 0, 1)
            )
        )
    ),
    ""
)</f>
        <v/>
      </c>
      <c r="S2168" s="385" t="str">
        <f>IFERROR(
    IF(
        OR(ISBLANK(N2168), ISBLANK(O2168)),
        "",
        MAX(
            1,
            IF(
                NETWORKDAYS(N2168, O2168, Holiday_Dates) &lt;= 0,
                1,
                NETWORKDAYS(N2168, O2168, Holiday_Dates) - IF(N2168 = O2168, 0, 1)
            )
        )
    ),
    ""
)</f>
        <v/>
      </c>
      <c r="T2168" s="385"/>
      <c r="U2168" s="385" t="s">
        <v>4</v>
      </c>
      <c r="V2168" s="385" t="s">
        <v>101</v>
      </c>
      <c r="W2168" s="385" t="s">
        <v>1436</v>
      </c>
      <c r="X2168" s="1"/>
    </row>
    <row r="2169" spans="1:24">
      <c r="A2169" s="385" t="s">
        <v>51</v>
      </c>
      <c r="B2169" s="385" t="s">
        <v>312</v>
      </c>
      <c r="C2169" s="385" t="s">
        <v>3739</v>
      </c>
      <c r="D2169" s="385" t="s">
        <v>88</v>
      </c>
      <c r="E2169" s="385"/>
      <c r="F2169" s="385"/>
      <c r="G2169" s="385"/>
      <c r="H2169" s="385">
        <v>2024</v>
      </c>
      <c r="I2169" s="386">
        <v>45518</v>
      </c>
      <c r="J2169" s="30"/>
      <c r="K2169" s="385"/>
      <c r="L2169" s="385"/>
      <c r="M2169" s="385"/>
      <c r="N2169" s="385"/>
      <c r="O2169" s="385"/>
      <c r="P2169" s="385" t="str">
        <f>IFERROR(
    IF(
        OR(ISBLANK(I2169), ISBLANK(L2169)),
        "",
        MAX(
            1,
            IF(
                NETWORKDAYS(I2169, L2169, Holiday_Dates) &lt;= 0,
                1,
                NETWORKDAYS(I2169, L2169, Holiday_Dates) - IF(I2169 = L2169, 0, 1)
            )
        )
    ),
    ""
)</f>
        <v/>
      </c>
      <c r="Q2169" s="385" t="str">
        <f>IF(
    OR(ISBLANK(L2169), ISBLANK(M2169)),
    "",
    MAX(
        1,
        IF(
            NETWORKDAYS(L2169, M2169, Holiday_Dates) &lt;= 0,
            1,
            NETWORKDAYS(L2169, M2169, Holiday_Dates) - IF(L2169 = M2169, 0, 1)
        )
    )
)</f>
        <v/>
      </c>
      <c r="R2169" s="385" t="str">
        <f>IFERROR(
    IF(
        OR(ISBLANK(N2169), AND(ISBLANK(L2169), ISBLANK(M2169))),
        "",
        MAX(
            1,
            IF(
                NETWORKDAYS(IF(NOT(ISBLANK(M2169)), M2169, L2169), N2169, Holiday_Dates) &lt;= 0,
                1,
                NETWORKDAYS(IF(NOT(ISBLANK(M2169)), M2169, L2169), N2169, Holiday_Dates)
                - IF(IF(NOT(ISBLANK(M2169)), M2169, L2169) = N2169, 0, 1)
            )
        )
    ),
    ""
)</f>
        <v/>
      </c>
      <c r="S2169" s="385" t="str">
        <f>IFERROR(
    IF(
        OR(ISBLANK(N2169), ISBLANK(O2169)),
        "",
        MAX(
            1,
            IF(
                NETWORKDAYS(N2169, O2169, Holiday_Dates) &lt;= 0,
                1,
                NETWORKDAYS(N2169, O2169, Holiday_Dates) - IF(N2169 = O2169, 0, 1)
            )
        )
    ),
    ""
)</f>
        <v/>
      </c>
      <c r="T2169" s="385"/>
      <c r="U2169" s="385" t="s">
        <v>4</v>
      </c>
      <c r="V2169" s="385" t="s">
        <v>101</v>
      </c>
      <c r="W2169" s="385" t="s">
        <v>1436</v>
      </c>
      <c r="X2169" s="1"/>
    </row>
    <row r="2170" spans="1:24">
      <c r="A2170" s="385" t="s">
        <v>65</v>
      </c>
      <c r="B2170" s="385" t="s">
        <v>507</v>
      </c>
      <c r="C2170" s="385" t="s">
        <v>2935</v>
      </c>
      <c r="D2170" s="385" t="s">
        <v>89</v>
      </c>
      <c r="E2170" s="385" t="s">
        <v>29</v>
      </c>
      <c r="F2170" s="385"/>
      <c r="G2170" s="385" t="s">
        <v>130</v>
      </c>
      <c r="H2170" s="385"/>
      <c r="I2170" s="385"/>
      <c r="J2170" s="30"/>
      <c r="K2170" s="385"/>
      <c r="L2170" s="385"/>
      <c r="M2170" s="385"/>
      <c r="N2170" s="385"/>
      <c r="O2170" s="385"/>
      <c r="P2170" s="385" t="str">
        <f>IFERROR(
    IF(
        OR(ISBLANK(I2170), ISBLANK(L2170)),
        "",
        MAX(
            1,
            IF(
                NETWORKDAYS(I2170, L2170, Holiday_Dates) &lt;= 0,
                1,
                NETWORKDAYS(I2170, L2170, Holiday_Dates) - IF(I2170 = L2170, 0, 1)
            )
        )
    ),
    ""
)</f>
        <v/>
      </c>
      <c r="Q2170" s="385" t="str">
        <f>IF(
    OR(ISBLANK(L2170), ISBLANK(M2170)),
    "",
    MAX(
        1,
        IF(
            NETWORKDAYS(L2170, M2170, Holiday_Dates) &lt;= 0,
            1,
            NETWORKDAYS(L2170, M2170, Holiday_Dates) - IF(L2170 = M2170, 0, 1)
        )
    )
)</f>
        <v/>
      </c>
      <c r="R2170" s="385" t="str">
        <f>IFERROR(
    IF(
        OR(ISBLANK(N2170), AND(ISBLANK(L2170), ISBLANK(M2170))),
        "",
        MAX(
            1,
            IF(
                NETWORKDAYS(IF(NOT(ISBLANK(M2170)), M2170, L2170), N2170, Holiday_Dates) &lt;= 0,
                1,
                NETWORKDAYS(IF(NOT(ISBLANK(M2170)), M2170, L2170), N2170, Holiday_Dates)
                - IF(IF(NOT(ISBLANK(M2170)), M2170, L2170) = N2170, 0, 1)
            )
        )
    ),
    ""
)</f>
        <v/>
      </c>
      <c r="S2170" s="385" t="str">
        <f>IFERROR(
    IF(
        OR(ISBLANK(N2170), ISBLANK(O2170)),
        "",
        MAX(
            1,
            IF(
                NETWORKDAYS(N2170, O2170, Holiday_Dates) &lt;= 0,
                1,
                NETWORKDAYS(N2170, O2170, Holiday_Dates) - IF(N2170 = O2170, 0, 1)
            )
        )
    ),
    ""
)</f>
        <v/>
      </c>
      <c r="T2170" s="385"/>
      <c r="U2170" s="385"/>
      <c r="V2170" s="385"/>
      <c r="W2170" s="385" t="s">
        <v>4710</v>
      </c>
      <c r="X2170" s="1"/>
    </row>
    <row r="2171" spans="1:24">
      <c r="A2171" s="385" t="s">
        <v>65</v>
      </c>
      <c r="B2171" s="385" t="s">
        <v>507</v>
      </c>
      <c r="C2171" s="385" t="s">
        <v>2936</v>
      </c>
      <c r="D2171" s="385" t="s">
        <v>89</v>
      </c>
      <c r="E2171" s="385" t="s">
        <v>29</v>
      </c>
      <c r="F2171" s="385"/>
      <c r="G2171" s="385" t="s">
        <v>130</v>
      </c>
      <c r="H2171" s="385"/>
      <c r="I2171" s="385"/>
      <c r="J2171" s="30"/>
      <c r="K2171" s="385"/>
      <c r="L2171" s="385"/>
      <c r="M2171" s="385"/>
      <c r="N2171" s="385"/>
      <c r="O2171" s="385"/>
      <c r="P2171" s="385" t="str">
        <f>IFERROR(
    IF(
        OR(ISBLANK(I2171), ISBLANK(L2171)),
        "",
        MAX(
            1,
            IF(
                NETWORKDAYS(I2171, L2171, Holiday_Dates) &lt;= 0,
                1,
                NETWORKDAYS(I2171, L2171, Holiday_Dates) - IF(I2171 = L2171, 0, 1)
            )
        )
    ),
    ""
)</f>
        <v/>
      </c>
      <c r="Q2171" s="385" t="str">
        <f>IF(
    OR(ISBLANK(L2171), ISBLANK(M2171)),
    "",
    MAX(
        1,
        IF(
            NETWORKDAYS(L2171, M2171, Holiday_Dates) &lt;= 0,
            1,
            NETWORKDAYS(L2171, M2171, Holiday_Dates) - IF(L2171 = M2171, 0, 1)
        )
    )
)</f>
        <v/>
      </c>
      <c r="R2171" s="385" t="str">
        <f>IFERROR(
    IF(
        OR(ISBLANK(N2171), AND(ISBLANK(L2171), ISBLANK(M2171))),
        "",
        MAX(
            1,
            IF(
                NETWORKDAYS(IF(NOT(ISBLANK(M2171)), M2171, L2171), N2171, Holiday_Dates) &lt;= 0,
                1,
                NETWORKDAYS(IF(NOT(ISBLANK(M2171)), M2171, L2171), N2171, Holiday_Dates)
                - IF(IF(NOT(ISBLANK(M2171)), M2171, L2171) = N2171, 0, 1)
            )
        )
    ),
    ""
)</f>
        <v/>
      </c>
      <c r="S2171" s="385" t="str">
        <f>IFERROR(
    IF(
        OR(ISBLANK(N2171), ISBLANK(O2171)),
        "",
        MAX(
            1,
            IF(
                NETWORKDAYS(N2171, O2171, Holiday_Dates) &lt;= 0,
                1,
                NETWORKDAYS(N2171, O2171, Holiday_Dates) - IF(N2171 = O2171, 0, 1)
            )
        )
    ),
    ""
)</f>
        <v/>
      </c>
      <c r="T2171" s="385"/>
      <c r="U2171" s="385"/>
      <c r="V2171" s="385"/>
      <c r="W2171" s="385" t="s">
        <v>4710</v>
      </c>
      <c r="X2171" s="1"/>
    </row>
    <row r="2172" spans="1:24">
      <c r="A2172" s="385" t="s">
        <v>51</v>
      </c>
      <c r="B2172" s="385" t="s">
        <v>312</v>
      </c>
      <c r="C2172" s="385" t="s">
        <v>3743</v>
      </c>
      <c r="D2172" s="385" t="s">
        <v>88</v>
      </c>
      <c r="E2172" s="385"/>
      <c r="F2172" s="385"/>
      <c r="G2172" s="385"/>
      <c r="H2172" s="385">
        <v>2024</v>
      </c>
      <c r="I2172" s="386">
        <v>45518</v>
      </c>
      <c r="J2172" s="30"/>
      <c r="K2172" s="385"/>
      <c r="L2172" s="385"/>
      <c r="M2172" s="385"/>
      <c r="N2172" s="385"/>
      <c r="O2172" s="385"/>
      <c r="P2172" s="385" t="str">
        <f>IFERROR(
    IF(
        OR(ISBLANK(I2172), ISBLANK(L2172)),
        "",
        MAX(
            1,
            IF(
                NETWORKDAYS(I2172, L2172, Holiday_Dates) &lt;= 0,
                1,
                NETWORKDAYS(I2172, L2172, Holiday_Dates) - IF(I2172 = L2172, 0, 1)
            )
        )
    ),
    ""
)</f>
        <v/>
      </c>
      <c r="Q2172" s="385" t="str">
        <f>IF(
    OR(ISBLANK(L2172), ISBLANK(M2172)),
    "",
    MAX(
        1,
        IF(
            NETWORKDAYS(L2172, M2172, Holiday_Dates) &lt;= 0,
            1,
            NETWORKDAYS(L2172, M2172, Holiday_Dates) - IF(L2172 = M2172, 0, 1)
        )
    )
)</f>
        <v/>
      </c>
      <c r="R2172" s="385" t="str">
        <f>IFERROR(
    IF(
        OR(ISBLANK(N2172), AND(ISBLANK(L2172), ISBLANK(M2172))),
        "",
        MAX(
            1,
            IF(
                NETWORKDAYS(IF(NOT(ISBLANK(M2172)), M2172, L2172), N2172, Holiday_Dates) &lt;= 0,
                1,
                NETWORKDAYS(IF(NOT(ISBLANK(M2172)), M2172, L2172), N2172, Holiday_Dates)
                - IF(IF(NOT(ISBLANK(M2172)), M2172, L2172) = N2172, 0, 1)
            )
        )
    ),
    ""
)</f>
        <v/>
      </c>
      <c r="S2172" s="385" t="str">
        <f>IFERROR(
    IF(
        OR(ISBLANK(N2172), ISBLANK(O2172)),
        "",
        MAX(
            1,
            IF(
                NETWORKDAYS(N2172, O2172, Holiday_Dates) &lt;= 0,
                1,
                NETWORKDAYS(N2172, O2172, Holiday_Dates) - IF(N2172 = O2172, 0, 1)
            )
        )
    ),
    ""
)</f>
        <v/>
      </c>
      <c r="T2172" s="385"/>
      <c r="U2172" s="385" t="s">
        <v>4</v>
      </c>
      <c r="V2172" s="385" t="s">
        <v>101</v>
      </c>
      <c r="W2172" s="385" t="s">
        <v>1436</v>
      </c>
      <c r="X2172" s="1"/>
    </row>
    <row r="2173" spans="1:24">
      <c r="A2173" s="385" t="s">
        <v>51</v>
      </c>
      <c r="B2173" s="385" t="s">
        <v>312</v>
      </c>
      <c r="C2173" s="385" t="s">
        <v>3745</v>
      </c>
      <c r="D2173" s="385" t="s">
        <v>88</v>
      </c>
      <c r="E2173" s="385"/>
      <c r="F2173" s="385"/>
      <c r="G2173" s="385"/>
      <c r="H2173" s="385">
        <v>2024</v>
      </c>
      <c r="I2173" s="386">
        <v>45518</v>
      </c>
      <c r="J2173" s="30"/>
      <c r="K2173" s="385"/>
      <c r="L2173" s="385"/>
      <c r="M2173" s="385"/>
      <c r="N2173" s="385"/>
      <c r="O2173" s="385"/>
      <c r="P2173" s="385" t="str">
        <f>IFERROR(
    IF(
        OR(ISBLANK(I2173), ISBLANK(L2173)),
        "",
        MAX(
            1,
            IF(
                NETWORKDAYS(I2173, L2173, Holiday_Dates) &lt;= 0,
                1,
                NETWORKDAYS(I2173, L2173, Holiday_Dates) - IF(I2173 = L2173, 0, 1)
            )
        )
    ),
    ""
)</f>
        <v/>
      </c>
      <c r="Q2173" s="385" t="str">
        <f>IF(
    OR(ISBLANK(L2173), ISBLANK(M2173)),
    "",
    MAX(
        1,
        IF(
            NETWORKDAYS(L2173, M2173, Holiday_Dates) &lt;= 0,
            1,
            NETWORKDAYS(L2173, M2173, Holiday_Dates) - IF(L2173 = M2173, 0, 1)
        )
    )
)</f>
        <v/>
      </c>
      <c r="R2173" s="385" t="str">
        <f>IFERROR(
    IF(
        OR(ISBLANK(N2173), AND(ISBLANK(L2173), ISBLANK(M2173))),
        "",
        MAX(
            1,
            IF(
                NETWORKDAYS(IF(NOT(ISBLANK(M2173)), M2173, L2173), N2173, Holiday_Dates) &lt;= 0,
                1,
                NETWORKDAYS(IF(NOT(ISBLANK(M2173)), M2173, L2173), N2173, Holiday_Dates)
                - IF(IF(NOT(ISBLANK(M2173)), M2173, L2173) = N2173, 0, 1)
            )
        )
    ),
    ""
)</f>
        <v/>
      </c>
      <c r="S2173" s="385" t="str">
        <f>IFERROR(
    IF(
        OR(ISBLANK(N2173), ISBLANK(O2173)),
        "",
        MAX(
            1,
            IF(
                NETWORKDAYS(N2173, O2173, Holiday_Dates) &lt;= 0,
                1,
                NETWORKDAYS(N2173, O2173, Holiday_Dates) - IF(N2173 = O2173, 0, 1)
            )
        )
    ),
    ""
)</f>
        <v/>
      </c>
      <c r="T2173" s="385"/>
      <c r="U2173" s="385" t="s">
        <v>4</v>
      </c>
      <c r="V2173" s="385" t="s">
        <v>101</v>
      </c>
      <c r="W2173" s="385" t="s">
        <v>1436</v>
      </c>
      <c r="X2173" s="1"/>
    </row>
    <row r="2174" spans="1:24">
      <c r="A2174" s="385" t="s">
        <v>51</v>
      </c>
      <c r="B2174" s="385" t="s">
        <v>312</v>
      </c>
      <c r="C2174" s="385" t="s">
        <v>2342</v>
      </c>
      <c r="D2174" s="385" t="s">
        <v>88</v>
      </c>
      <c r="E2174" s="385"/>
      <c r="F2174" s="385"/>
      <c r="G2174" s="385"/>
      <c r="H2174" s="385">
        <v>2025</v>
      </c>
      <c r="I2174" s="386">
        <v>45818</v>
      </c>
      <c r="J2174" s="30" t="s">
        <v>5508</v>
      </c>
      <c r="K2174" s="385"/>
      <c r="L2174" s="385"/>
      <c r="M2174" s="385"/>
      <c r="N2174" s="385"/>
      <c r="O2174" s="385"/>
      <c r="P2174" s="385" t="str">
        <f>IFERROR(
    IF(
        OR(ISBLANK(I2174), ISBLANK(L2174)),
        "",
        MAX(
            1,
            IF(
                NETWORKDAYS(I2174, L2174, Holiday_Dates) &lt;= 0,
                1,
                NETWORKDAYS(I2174, L2174, Holiday_Dates) - IF(I2174 = L2174, 0, 1)
            )
        )
    ),
    ""
)</f>
        <v/>
      </c>
      <c r="Q2174" s="385" t="str">
        <f>IF(
    OR(ISBLANK(L2174), ISBLANK(M2174)),
    "",
    MAX(
        1,
        IF(
            NETWORKDAYS(L2174, M2174, Holiday_Dates) &lt;= 0,
            1,
            NETWORKDAYS(L2174, M2174, Holiday_Dates) - IF(L2174 = M2174, 0, 1)
        )
    )
)</f>
        <v/>
      </c>
      <c r="R2174" s="385" t="str">
        <f>IFERROR(
    IF(
        OR(ISBLANK(N2174), AND(ISBLANK(L2174), ISBLANK(M2174))),
        "",
        MAX(
            1,
            IF(
                NETWORKDAYS(IF(NOT(ISBLANK(M2174)), M2174, L2174), N2174, Holiday_Dates) &lt;= 0,
                1,
                NETWORKDAYS(IF(NOT(ISBLANK(M2174)), M2174, L2174), N2174, Holiday_Dates)
                - IF(IF(NOT(ISBLANK(M2174)), M2174, L2174) = N2174, 0, 1)
            )
        )
    ),
    ""
)</f>
        <v/>
      </c>
      <c r="S2174" s="385" t="str">
        <f>IFERROR(
    IF(
        OR(ISBLANK(N2174), ISBLANK(O2174)),
        "",
        MAX(
            1,
            IF(
                NETWORKDAYS(N2174, O2174, Holiday_Dates) &lt;= 0,
                1,
                NETWORKDAYS(N2174, O2174, Holiday_Dates) - IF(N2174 = O2174, 0, 1)
            )
        )
    ),
    ""
)</f>
        <v/>
      </c>
      <c r="T2174" s="385"/>
      <c r="U2174" s="385" t="s">
        <v>4</v>
      </c>
      <c r="V2174" s="385" t="s">
        <v>108</v>
      </c>
      <c r="W2174" s="385" t="s">
        <v>1436</v>
      </c>
      <c r="X2174" s="1"/>
    </row>
    <row r="2175" spans="1:24">
      <c r="A2175" s="385" t="s">
        <v>65</v>
      </c>
      <c r="B2175" s="385" t="s">
        <v>507</v>
      </c>
      <c r="C2175" s="385" t="s">
        <v>2937</v>
      </c>
      <c r="D2175" s="385" t="s">
        <v>89</v>
      </c>
      <c r="E2175" s="385" t="s">
        <v>29</v>
      </c>
      <c r="F2175" s="385"/>
      <c r="G2175" s="385" t="s">
        <v>130</v>
      </c>
      <c r="H2175" s="385"/>
      <c r="I2175" s="385"/>
      <c r="J2175" s="30"/>
      <c r="K2175" s="385"/>
      <c r="L2175" s="385"/>
      <c r="M2175" s="385"/>
      <c r="N2175" s="385"/>
      <c r="O2175" s="385"/>
      <c r="P2175" s="385" t="str">
        <f>IFERROR(
    IF(
        OR(ISBLANK(I2175), ISBLANK(L2175)),
        "",
        MAX(
            1,
            IF(
                NETWORKDAYS(I2175, L2175, Holiday_Dates) &lt;= 0,
                1,
                NETWORKDAYS(I2175, L2175, Holiday_Dates) - IF(I2175 = L2175, 0, 1)
            )
        )
    ),
    ""
)</f>
        <v/>
      </c>
      <c r="Q2175" s="385" t="str">
        <f>IF(
    OR(ISBLANK(L2175), ISBLANK(M2175)),
    "",
    MAX(
        1,
        IF(
            NETWORKDAYS(L2175, M2175, Holiday_Dates) &lt;= 0,
            1,
            NETWORKDAYS(L2175, M2175, Holiday_Dates) - IF(L2175 = M2175, 0, 1)
        )
    )
)</f>
        <v/>
      </c>
      <c r="R2175" s="385" t="str">
        <f>IFERROR(
    IF(
        OR(ISBLANK(N2175), AND(ISBLANK(L2175), ISBLANK(M2175))),
        "",
        MAX(
            1,
            IF(
                NETWORKDAYS(IF(NOT(ISBLANK(M2175)), M2175, L2175), N2175, Holiday_Dates) &lt;= 0,
                1,
                NETWORKDAYS(IF(NOT(ISBLANK(M2175)), M2175, L2175), N2175, Holiday_Dates)
                - IF(IF(NOT(ISBLANK(M2175)), M2175, L2175) = N2175, 0, 1)
            )
        )
    ),
    ""
)</f>
        <v/>
      </c>
      <c r="S2175" s="385" t="str">
        <f>IFERROR(
    IF(
        OR(ISBLANK(N2175), ISBLANK(O2175)),
        "",
        MAX(
            1,
            IF(
                NETWORKDAYS(N2175, O2175, Holiday_Dates) &lt;= 0,
                1,
                NETWORKDAYS(N2175, O2175, Holiday_Dates) - IF(N2175 = O2175, 0, 1)
            )
        )
    ),
    ""
)</f>
        <v/>
      </c>
      <c r="T2175" s="385"/>
      <c r="U2175" s="385"/>
      <c r="V2175" s="385"/>
      <c r="W2175" s="385" t="s">
        <v>4710</v>
      </c>
      <c r="X2175" s="1"/>
    </row>
    <row r="2176" spans="1:24">
      <c r="A2176" s="385" t="s">
        <v>65</v>
      </c>
      <c r="B2176" s="385" t="s">
        <v>507</v>
      </c>
      <c r="C2176" s="385" t="s">
        <v>2938</v>
      </c>
      <c r="D2176" s="385" t="s">
        <v>89</v>
      </c>
      <c r="E2176" s="385" t="s">
        <v>29</v>
      </c>
      <c r="F2176" s="385"/>
      <c r="G2176" s="385" t="s">
        <v>130</v>
      </c>
      <c r="H2176" s="385"/>
      <c r="I2176" s="385"/>
      <c r="J2176" s="30"/>
      <c r="K2176" s="385"/>
      <c r="L2176" s="385"/>
      <c r="M2176" s="385"/>
      <c r="N2176" s="385"/>
      <c r="O2176" s="385"/>
      <c r="P2176" s="385" t="str">
        <f>IFERROR(
    IF(
        OR(ISBLANK(I2176), ISBLANK(L2176)),
        "",
        MAX(
            1,
            IF(
                NETWORKDAYS(I2176, L2176, Holiday_Dates) &lt;= 0,
                1,
                NETWORKDAYS(I2176, L2176, Holiday_Dates) - IF(I2176 = L2176, 0, 1)
            )
        )
    ),
    ""
)</f>
        <v/>
      </c>
      <c r="Q2176" s="385" t="str">
        <f>IF(
    OR(ISBLANK(L2176), ISBLANK(M2176)),
    "",
    MAX(
        1,
        IF(
            NETWORKDAYS(L2176, M2176, Holiday_Dates) &lt;= 0,
            1,
            NETWORKDAYS(L2176, M2176, Holiday_Dates) - IF(L2176 = M2176, 0, 1)
        )
    )
)</f>
        <v/>
      </c>
      <c r="R2176" s="385" t="str">
        <f>IFERROR(
    IF(
        OR(ISBLANK(N2176), AND(ISBLANK(L2176), ISBLANK(M2176))),
        "",
        MAX(
            1,
            IF(
                NETWORKDAYS(IF(NOT(ISBLANK(M2176)), M2176, L2176), N2176, Holiday_Dates) &lt;= 0,
                1,
                NETWORKDAYS(IF(NOT(ISBLANK(M2176)), M2176, L2176), N2176, Holiday_Dates)
                - IF(IF(NOT(ISBLANK(M2176)), M2176, L2176) = N2176, 0, 1)
            )
        )
    ),
    ""
)</f>
        <v/>
      </c>
      <c r="S2176" s="385" t="str">
        <f>IFERROR(
    IF(
        OR(ISBLANK(N2176), ISBLANK(O2176)),
        "",
        MAX(
            1,
            IF(
                NETWORKDAYS(N2176, O2176, Holiday_Dates) &lt;= 0,
                1,
                NETWORKDAYS(N2176, O2176, Holiday_Dates) - IF(N2176 = O2176, 0, 1)
            )
        )
    ),
    ""
)</f>
        <v/>
      </c>
      <c r="T2176" s="385"/>
      <c r="U2176" s="385"/>
      <c r="V2176" s="385"/>
      <c r="W2176" s="385" t="s">
        <v>4710</v>
      </c>
      <c r="X2176" s="1"/>
    </row>
    <row r="2177" spans="1:24">
      <c r="A2177" s="385" t="s">
        <v>65</v>
      </c>
      <c r="B2177" s="385" t="s">
        <v>507</v>
      </c>
      <c r="C2177" s="385" t="s">
        <v>2939</v>
      </c>
      <c r="D2177" s="385" t="s">
        <v>89</v>
      </c>
      <c r="E2177" s="385" t="s">
        <v>29</v>
      </c>
      <c r="F2177" s="385"/>
      <c r="G2177" s="385" t="s">
        <v>130</v>
      </c>
      <c r="H2177" s="385"/>
      <c r="I2177" s="385"/>
      <c r="J2177" s="30"/>
      <c r="K2177" s="385"/>
      <c r="L2177" s="385"/>
      <c r="M2177" s="385"/>
      <c r="N2177" s="385"/>
      <c r="O2177" s="385"/>
      <c r="P2177" s="385" t="str">
        <f>IFERROR(
    IF(
        OR(ISBLANK(I2177), ISBLANK(L2177)),
        "",
        MAX(
            1,
            IF(
                NETWORKDAYS(I2177, L2177, Holiday_Dates) &lt;= 0,
                1,
                NETWORKDAYS(I2177, L2177, Holiday_Dates) - IF(I2177 = L2177, 0, 1)
            )
        )
    ),
    ""
)</f>
        <v/>
      </c>
      <c r="Q2177" s="385" t="str">
        <f>IF(
    OR(ISBLANK(L2177), ISBLANK(M2177)),
    "",
    MAX(
        1,
        IF(
            NETWORKDAYS(L2177, M2177, Holiday_Dates) &lt;= 0,
            1,
            NETWORKDAYS(L2177, M2177, Holiday_Dates) - IF(L2177 = M2177, 0, 1)
        )
    )
)</f>
        <v/>
      </c>
      <c r="R2177" s="385" t="str">
        <f>IFERROR(
    IF(
        OR(ISBLANK(N2177), AND(ISBLANK(L2177), ISBLANK(M2177))),
        "",
        MAX(
            1,
            IF(
                NETWORKDAYS(IF(NOT(ISBLANK(M2177)), M2177, L2177), N2177, Holiday_Dates) &lt;= 0,
                1,
                NETWORKDAYS(IF(NOT(ISBLANK(M2177)), M2177, L2177), N2177, Holiday_Dates)
                - IF(IF(NOT(ISBLANK(M2177)), M2177, L2177) = N2177, 0, 1)
            )
        )
    ),
    ""
)</f>
        <v/>
      </c>
      <c r="S2177" s="385" t="str">
        <f>IFERROR(
    IF(
        OR(ISBLANK(N2177), ISBLANK(O2177)),
        "",
        MAX(
            1,
            IF(
                NETWORKDAYS(N2177, O2177, Holiday_Dates) &lt;= 0,
                1,
                NETWORKDAYS(N2177, O2177, Holiday_Dates) - IF(N2177 = O2177, 0, 1)
            )
        )
    ),
    ""
)</f>
        <v/>
      </c>
      <c r="T2177" s="385"/>
      <c r="U2177" s="385"/>
      <c r="V2177" s="385"/>
      <c r="W2177" s="385" t="s">
        <v>4710</v>
      </c>
      <c r="X2177" s="1"/>
    </row>
    <row r="2178" spans="1:24">
      <c r="A2178" s="385" t="s">
        <v>51</v>
      </c>
      <c r="B2178" s="385" t="s">
        <v>312</v>
      </c>
      <c r="C2178" s="385" t="s">
        <v>881</v>
      </c>
      <c r="D2178" s="385" t="s">
        <v>88</v>
      </c>
      <c r="E2178" s="385"/>
      <c r="F2178" s="385"/>
      <c r="G2178" s="385"/>
      <c r="H2178" s="385">
        <v>2025</v>
      </c>
      <c r="I2178" s="386">
        <v>45818</v>
      </c>
      <c r="J2178" s="30" t="s">
        <v>5509</v>
      </c>
      <c r="K2178" s="385"/>
      <c r="L2178" s="385"/>
      <c r="M2178" s="385"/>
      <c r="N2178" s="385"/>
      <c r="O2178" s="385"/>
      <c r="P2178" s="385" t="str">
        <f>IFERROR(
    IF(
        OR(ISBLANK(I2178), ISBLANK(L2178)),
        "",
        MAX(
            1,
            IF(
                NETWORKDAYS(I2178, L2178, Holiday_Dates) &lt;= 0,
                1,
                NETWORKDAYS(I2178, L2178, Holiday_Dates) - IF(I2178 = L2178, 0, 1)
            )
        )
    ),
    ""
)</f>
        <v/>
      </c>
      <c r="Q2178" s="385" t="str">
        <f>IF(
    OR(ISBLANK(L2178), ISBLANK(M2178)),
    "",
    MAX(
        1,
        IF(
            NETWORKDAYS(L2178, M2178, Holiday_Dates) &lt;= 0,
            1,
            NETWORKDAYS(L2178, M2178, Holiday_Dates) - IF(L2178 = M2178, 0, 1)
        )
    )
)</f>
        <v/>
      </c>
      <c r="R2178" s="385" t="str">
        <f>IFERROR(
    IF(
        OR(ISBLANK(N2178), AND(ISBLANK(L2178), ISBLANK(M2178))),
        "",
        MAX(
            1,
            IF(
                NETWORKDAYS(IF(NOT(ISBLANK(M2178)), M2178, L2178), N2178, Holiday_Dates) &lt;= 0,
                1,
                NETWORKDAYS(IF(NOT(ISBLANK(M2178)), M2178, L2178), N2178, Holiday_Dates)
                - IF(IF(NOT(ISBLANK(M2178)), M2178, L2178) = N2178, 0, 1)
            )
        )
    ),
    ""
)</f>
        <v/>
      </c>
      <c r="S2178" s="385" t="str">
        <f>IFERROR(
    IF(
        OR(ISBLANK(N2178), ISBLANK(O2178)),
        "",
        MAX(
            1,
            IF(
                NETWORKDAYS(N2178, O2178, Holiday_Dates) &lt;= 0,
                1,
                NETWORKDAYS(N2178, O2178, Holiday_Dates) - IF(N2178 = O2178, 0, 1)
            )
        )
    ),
    ""
)</f>
        <v/>
      </c>
      <c r="T2178" s="385"/>
      <c r="U2178" s="385" t="s">
        <v>4</v>
      </c>
      <c r="V2178" s="385" t="s">
        <v>108</v>
      </c>
      <c r="W2178" s="385" t="s">
        <v>1436</v>
      </c>
      <c r="X2178" s="1"/>
    </row>
    <row r="2179" spans="1:24">
      <c r="A2179" s="385" t="s">
        <v>51</v>
      </c>
      <c r="B2179" s="385" t="s">
        <v>312</v>
      </c>
      <c r="C2179" s="385" t="s">
        <v>554</v>
      </c>
      <c r="D2179" s="385" t="s">
        <v>88</v>
      </c>
      <c r="E2179" s="385"/>
      <c r="F2179" s="385"/>
      <c r="G2179" s="385"/>
      <c r="H2179" s="385">
        <v>2024</v>
      </c>
      <c r="I2179" s="386">
        <v>45545</v>
      </c>
      <c r="J2179" s="30"/>
      <c r="K2179" s="385"/>
      <c r="L2179" s="385"/>
      <c r="M2179" s="385"/>
      <c r="N2179" s="385"/>
      <c r="O2179" s="385"/>
      <c r="P2179" s="385" t="str">
        <f>IFERROR(
    IF(
        OR(ISBLANK(I2179), ISBLANK(L2179)),
        "",
        MAX(
            1,
            IF(
                NETWORKDAYS(I2179, L2179, Holiday_Dates) &lt;= 0,
                1,
                NETWORKDAYS(I2179, L2179, Holiday_Dates) - IF(I2179 = L2179, 0, 1)
            )
        )
    ),
    ""
)</f>
        <v/>
      </c>
      <c r="Q2179" s="385" t="str">
        <f>IF(
    OR(ISBLANK(L2179), ISBLANK(M2179)),
    "",
    MAX(
        1,
        IF(
            NETWORKDAYS(L2179, M2179, Holiday_Dates) &lt;= 0,
            1,
            NETWORKDAYS(L2179, M2179, Holiday_Dates) - IF(L2179 = M2179, 0, 1)
        )
    )
)</f>
        <v/>
      </c>
      <c r="R2179" s="385" t="str">
        <f>IFERROR(
    IF(
        OR(ISBLANK(N2179), AND(ISBLANK(L2179), ISBLANK(M2179))),
        "",
        MAX(
            1,
            IF(
                NETWORKDAYS(IF(NOT(ISBLANK(M2179)), M2179, L2179), N2179, Holiday_Dates) &lt;= 0,
                1,
                NETWORKDAYS(IF(NOT(ISBLANK(M2179)), M2179, L2179), N2179, Holiday_Dates)
                - IF(IF(NOT(ISBLANK(M2179)), M2179, L2179) = N2179, 0, 1)
            )
        )
    ),
    ""
)</f>
        <v/>
      </c>
      <c r="S2179" s="385" t="str">
        <f>IFERROR(
    IF(
        OR(ISBLANK(N2179), ISBLANK(O2179)),
        "",
        MAX(
            1,
            IF(
                NETWORKDAYS(N2179, O2179, Holiday_Dates) &lt;= 0,
                1,
                NETWORKDAYS(N2179, O2179, Holiday_Dates) - IF(N2179 = O2179, 0, 1)
            )
        )
    ),
    ""
)</f>
        <v/>
      </c>
      <c r="T2179" s="385"/>
      <c r="U2179" s="385" t="s">
        <v>4</v>
      </c>
      <c r="V2179" s="385" t="s">
        <v>101</v>
      </c>
      <c r="W2179" s="385" t="s">
        <v>1436</v>
      </c>
      <c r="X2179" s="1"/>
    </row>
    <row r="2180" spans="1:24">
      <c r="A2180" s="385" t="s">
        <v>65</v>
      </c>
      <c r="B2180" s="385" t="s">
        <v>507</v>
      </c>
      <c r="C2180" s="385" t="s">
        <v>2940</v>
      </c>
      <c r="D2180" s="385" t="s">
        <v>89</v>
      </c>
      <c r="E2180" s="385" t="s">
        <v>29</v>
      </c>
      <c r="F2180" s="385"/>
      <c r="G2180" s="385" t="s">
        <v>130</v>
      </c>
      <c r="H2180" s="385"/>
      <c r="I2180" s="385"/>
      <c r="J2180" s="30"/>
      <c r="K2180" s="385"/>
      <c r="L2180" s="385"/>
      <c r="M2180" s="385"/>
      <c r="N2180" s="385"/>
      <c r="O2180" s="385"/>
      <c r="P2180" s="385" t="str">
        <f>IFERROR(
    IF(
        OR(ISBLANK(I2180), ISBLANK(L2180)),
        "",
        MAX(
            1,
            IF(
                NETWORKDAYS(I2180, L2180, Holiday_Dates) &lt;= 0,
                1,
                NETWORKDAYS(I2180, L2180, Holiday_Dates) - IF(I2180 = L2180, 0, 1)
            )
        )
    ),
    ""
)</f>
        <v/>
      </c>
      <c r="Q2180" s="385" t="str">
        <f>IF(
    OR(ISBLANK(L2180), ISBLANK(M2180)),
    "",
    MAX(
        1,
        IF(
            NETWORKDAYS(L2180, M2180, Holiday_Dates) &lt;= 0,
            1,
            NETWORKDAYS(L2180, M2180, Holiday_Dates) - IF(L2180 = M2180, 0, 1)
        )
    )
)</f>
        <v/>
      </c>
      <c r="R2180" s="385" t="str">
        <f>IFERROR(
    IF(
        OR(ISBLANK(N2180), AND(ISBLANK(L2180), ISBLANK(M2180))),
        "",
        MAX(
            1,
            IF(
                NETWORKDAYS(IF(NOT(ISBLANK(M2180)), M2180, L2180), N2180, Holiday_Dates) &lt;= 0,
                1,
                NETWORKDAYS(IF(NOT(ISBLANK(M2180)), M2180, L2180), N2180, Holiday_Dates)
                - IF(IF(NOT(ISBLANK(M2180)), M2180, L2180) = N2180, 0, 1)
            )
        )
    ),
    ""
)</f>
        <v/>
      </c>
      <c r="S2180" s="385" t="str">
        <f>IFERROR(
    IF(
        OR(ISBLANK(N2180), ISBLANK(O2180)),
        "",
        MAX(
            1,
            IF(
                NETWORKDAYS(N2180, O2180, Holiday_Dates) &lt;= 0,
                1,
                NETWORKDAYS(N2180, O2180, Holiday_Dates) - IF(N2180 = O2180, 0, 1)
            )
        )
    ),
    ""
)</f>
        <v/>
      </c>
      <c r="T2180" s="385"/>
      <c r="U2180" s="385"/>
      <c r="V2180" s="385"/>
      <c r="W2180" s="385" t="s">
        <v>4710</v>
      </c>
      <c r="X2180" s="1"/>
    </row>
    <row r="2181" spans="1:24">
      <c r="A2181" s="385" t="s">
        <v>65</v>
      </c>
      <c r="B2181" s="385" t="s">
        <v>507</v>
      </c>
      <c r="C2181" s="385" t="s">
        <v>2941</v>
      </c>
      <c r="D2181" s="385" t="s">
        <v>89</v>
      </c>
      <c r="E2181" s="385" t="s">
        <v>29</v>
      </c>
      <c r="F2181" s="385"/>
      <c r="G2181" s="385" t="s">
        <v>130</v>
      </c>
      <c r="H2181" s="385"/>
      <c r="I2181" s="385"/>
      <c r="J2181" s="30"/>
      <c r="K2181" s="385"/>
      <c r="L2181" s="385"/>
      <c r="M2181" s="385"/>
      <c r="N2181" s="385"/>
      <c r="O2181" s="385"/>
      <c r="P2181" s="385" t="str">
        <f>IFERROR(
    IF(
        OR(ISBLANK(I2181), ISBLANK(L2181)),
        "",
        MAX(
            1,
            IF(
                NETWORKDAYS(I2181, L2181, Holiday_Dates) &lt;= 0,
                1,
                NETWORKDAYS(I2181, L2181, Holiday_Dates) - IF(I2181 = L2181, 0, 1)
            )
        )
    ),
    ""
)</f>
        <v/>
      </c>
      <c r="Q2181" s="385" t="str">
        <f>IF(
    OR(ISBLANK(L2181), ISBLANK(M2181)),
    "",
    MAX(
        1,
        IF(
            NETWORKDAYS(L2181, M2181, Holiday_Dates) &lt;= 0,
            1,
            NETWORKDAYS(L2181, M2181, Holiday_Dates) - IF(L2181 = M2181, 0, 1)
        )
    )
)</f>
        <v/>
      </c>
      <c r="R2181" s="385" t="str">
        <f>IFERROR(
    IF(
        OR(ISBLANK(N2181), AND(ISBLANK(L2181), ISBLANK(M2181))),
        "",
        MAX(
            1,
            IF(
                NETWORKDAYS(IF(NOT(ISBLANK(M2181)), M2181, L2181), N2181, Holiday_Dates) &lt;= 0,
                1,
                NETWORKDAYS(IF(NOT(ISBLANK(M2181)), M2181, L2181), N2181, Holiday_Dates)
                - IF(IF(NOT(ISBLANK(M2181)), M2181, L2181) = N2181, 0, 1)
            )
        )
    ),
    ""
)</f>
        <v/>
      </c>
      <c r="S2181" s="385" t="str">
        <f>IFERROR(
    IF(
        OR(ISBLANK(N2181), ISBLANK(O2181)),
        "",
        MAX(
            1,
            IF(
                NETWORKDAYS(N2181, O2181, Holiday_Dates) &lt;= 0,
                1,
                NETWORKDAYS(N2181, O2181, Holiday_Dates) - IF(N2181 = O2181, 0, 1)
            )
        )
    ),
    ""
)</f>
        <v/>
      </c>
      <c r="T2181" s="385"/>
      <c r="U2181" s="385"/>
      <c r="V2181" s="385"/>
      <c r="W2181" s="385" t="s">
        <v>4710</v>
      </c>
      <c r="X2181" s="1"/>
    </row>
    <row r="2182" spans="1:24">
      <c r="A2182" s="385" t="s">
        <v>65</v>
      </c>
      <c r="B2182" s="385" t="s">
        <v>507</v>
      </c>
      <c r="C2182" s="385" t="s">
        <v>444</v>
      </c>
      <c r="D2182" s="385" t="s">
        <v>89</v>
      </c>
      <c r="E2182" s="385" t="s">
        <v>29</v>
      </c>
      <c r="F2182" s="385"/>
      <c r="G2182" s="385" t="s">
        <v>130</v>
      </c>
      <c r="H2182" s="385"/>
      <c r="I2182" s="385"/>
      <c r="J2182" s="30"/>
      <c r="K2182" s="385"/>
      <c r="L2182" s="385"/>
      <c r="M2182" s="385"/>
      <c r="N2182" s="385"/>
      <c r="O2182" s="385"/>
      <c r="P2182" s="385" t="str">
        <f>IFERROR(
    IF(
        OR(ISBLANK(I2182), ISBLANK(L2182)),
        "",
        MAX(
            1,
            IF(
                NETWORKDAYS(I2182, L2182, Holiday_Dates) &lt;= 0,
                1,
                NETWORKDAYS(I2182, L2182, Holiday_Dates) - IF(I2182 = L2182, 0, 1)
            )
        )
    ),
    ""
)</f>
        <v/>
      </c>
      <c r="Q2182" s="385" t="str">
        <f>IF(
    OR(ISBLANK(L2182), ISBLANK(M2182)),
    "",
    MAX(
        1,
        IF(
            NETWORKDAYS(L2182, M2182, Holiday_Dates) &lt;= 0,
            1,
            NETWORKDAYS(L2182, M2182, Holiday_Dates) - IF(L2182 = M2182, 0, 1)
        )
    )
)</f>
        <v/>
      </c>
      <c r="R2182" s="385" t="str">
        <f>IFERROR(
    IF(
        OR(ISBLANK(N2182), AND(ISBLANK(L2182), ISBLANK(M2182))),
        "",
        MAX(
            1,
            IF(
                NETWORKDAYS(IF(NOT(ISBLANK(M2182)), M2182, L2182), N2182, Holiday_Dates) &lt;= 0,
                1,
                NETWORKDAYS(IF(NOT(ISBLANK(M2182)), M2182, L2182), N2182, Holiday_Dates)
                - IF(IF(NOT(ISBLANK(M2182)), M2182, L2182) = N2182, 0, 1)
            )
        )
    ),
    ""
)</f>
        <v/>
      </c>
      <c r="S2182" s="385" t="str">
        <f>IFERROR(
    IF(
        OR(ISBLANK(N2182), ISBLANK(O2182)),
        "",
        MAX(
            1,
            IF(
                NETWORKDAYS(N2182, O2182, Holiday_Dates) &lt;= 0,
                1,
                NETWORKDAYS(N2182, O2182, Holiday_Dates) - IF(N2182 = O2182, 0, 1)
            )
        )
    ),
    ""
)</f>
        <v/>
      </c>
      <c r="T2182" s="385"/>
      <c r="U2182" s="385"/>
      <c r="V2182" s="385"/>
      <c r="W2182" s="385" t="s">
        <v>4710</v>
      </c>
      <c r="X2182" s="1"/>
    </row>
    <row r="2183" spans="1:24">
      <c r="A2183" s="385" t="s">
        <v>65</v>
      </c>
      <c r="B2183" s="385" t="s">
        <v>507</v>
      </c>
      <c r="C2183" s="385" t="s">
        <v>784</v>
      </c>
      <c r="D2183" s="385" t="s">
        <v>89</v>
      </c>
      <c r="E2183" s="385" t="s">
        <v>29</v>
      </c>
      <c r="F2183" s="385"/>
      <c r="G2183" s="385" t="s">
        <v>130</v>
      </c>
      <c r="H2183" s="385"/>
      <c r="I2183" s="385"/>
      <c r="J2183" s="30"/>
      <c r="K2183" s="385"/>
      <c r="L2183" s="385"/>
      <c r="M2183" s="385"/>
      <c r="N2183" s="385"/>
      <c r="O2183" s="385"/>
      <c r="P2183" s="385" t="str">
        <f>IFERROR(
    IF(
        OR(ISBLANK(I2183), ISBLANK(L2183)),
        "",
        MAX(
            1,
            IF(
                NETWORKDAYS(I2183, L2183, Holiday_Dates) &lt;= 0,
                1,
                NETWORKDAYS(I2183, L2183, Holiday_Dates) - IF(I2183 = L2183, 0, 1)
            )
        )
    ),
    ""
)</f>
        <v/>
      </c>
      <c r="Q2183" s="385" t="str">
        <f>IF(
    OR(ISBLANK(L2183), ISBLANK(M2183)),
    "",
    MAX(
        1,
        IF(
            NETWORKDAYS(L2183, M2183, Holiday_Dates) &lt;= 0,
            1,
            NETWORKDAYS(L2183, M2183, Holiday_Dates) - IF(L2183 = M2183, 0, 1)
        )
    )
)</f>
        <v/>
      </c>
      <c r="R2183" s="385" t="str">
        <f>IFERROR(
    IF(
        OR(ISBLANK(N2183), AND(ISBLANK(L2183), ISBLANK(M2183))),
        "",
        MAX(
            1,
            IF(
                NETWORKDAYS(IF(NOT(ISBLANK(M2183)), M2183, L2183), N2183, Holiday_Dates) &lt;= 0,
                1,
                NETWORKDAYS(IF(NOT(ISBLANK(M2183)), M2183, L2183), N2183, Holiday_Dates)
                - IF(IF(NOT(ISBLANK(M2183)), M2183, L2183) = N2183, 0, 1)
            )
        )
    ),
    ""
)</f>
        <v/>
      </c>
      <c r="S2183" s="385" t="str">
        <f>IFERROR(
    IF(
        OR(ISBLANK(N2183), ISBLANK(O2183)),
        "",
        MAX(
            1,
            IF(
                NETWORKDAYS(N2183, O2183, Holiday_Dates) &lt;= 0,
                1,
                NETWORKDAYS(N2183, O2183, Holiday_Dates) - IF(N2183 = O2183, 0, 1)
            )
        )
    ),
    ""
)</f>
        <v/>
      </c>
      <c r="T2183" s="385"/>
      <c r="U2183" s="385"/>
      <c r="V2183" s="385"/>
      <c r="W2183" s="385" t="s">
        <v>4710</v>
      </c>
      <c r="X2183" s="1"/>
    </row>
    <row r="2184" spans="1:24">
      <c r="A2184" s="385" t="s">
        <v>65</v>
      </c>
      <c r="B2184" s="385" t="s">
        <v>386</v>
      </c>
      <c r="C2184" s="385" t="s">
        <v>2955</v>
      </c>
      <c r="D2184" s="385" t="s">
        <v>88</v>
      </c>
      <c r="E2184" s="385" t="s">
        <v>141</v>
      </c>
      <c r="F2184" s="385"/>
      <c r="G2184" s="385" t="s">
        <v>130</v>
      </c>
      <c r="H2184" s="385"/>
      <c r="I2184" s="385"/>
      <c r="J2184" s="30"/>
      <c r="K2184" s="385"/>
      <c r="L2184" s="385"/>
      <c r="M2184" s="385"/>
      <c r="N2184" s="385"/>
      <c r="O2184" s="385"/>
      <c r="P2184" s="385" t="str">
        <f>IFERROR(
    IF(
        OR(ISBLANK(I2184), ISBLANK(L2184)),
        "",
        MAX(
            1,
            IF(
                NETWORKDAYS(I2184, L2184, Holiday_Dates) &lt;= 0,
                1,
                NETWORKDAYS(I2184, L2184, Holiday_Dates) - IF(I2184 = L2184, 0, 1)
            )
        )
    ),
    ""
)</f>
        <v/>
      </c>
      <c r="Q2184" s="385" t="str">
        <f>IF(
    OR(ISBLANK(L2184), ISBLANK(M2184)),
    "",
    MAX(
        1,
        IF(
            NETWORKDAYS(L2184, M2184, Holiday_Dates) &lt;= 0,
            1,
            NETWORKDAYS(L2184, M2184, Holiday_Dates) - IF(L2184 = M2184, 0, 1)
        )
    )
)</f>
        <v/>
      </c>
      <c r="R2184" s="385" t="str">
        <f>IFERROR(
    IF(
        OR(ISBLANK(N2184), AND(ISBLANK(L2184), ISBLANK(M2184))),
        "",
        MAX(
            1,
            IF(
                NETWORKDAYS(IF(NOT(ISBLANK(M2184)), M2184, L2184), N2184, Holiday_Dates) &lt;= 0,
                1,
                NETWORKDAYS(IF(NOT(ISBLANK(M2184)), M2184, L2184), N2184, Holiday_Dates)
                - IF(IF(NOT(ISBLANK(M2184)), M2184, L2184) = N2184, 0, 1)
            )
        )
    ),
    ""
)</f>
        <v/>
      </c>
      <c r="S2184" s="385" t="str">
        <f>IFERROR(
    IF(
        OR(ISBLANK(N2184), ISBLANK(O2184)),
        "",
        MAX(
            1,
            IF(
                NETWORKDAYS(N2184, O2184, Holiday_Dates) &lt;= 0,
                1,
                NETWORKDAYS(N2184, O2184, Holiday_Dates) - IF(N2184 = O2184, 0, 1)
            )
        )
    ),
    ""
)</f>
        <v/>
      </c>
      <c r="T2184" s="385"/>
      <c r="U2184" s="385"/>
      <c r="V2184" s="385"/>
      <c r="W2184" s="385" t="s">
        <v>4710</v>
      </c>
      <c r="X2184" s="1"/>
    </row>
    <row r="2185" spans="1:24">
      <c r="A2185" s="385" t="s">
        <v>65</v>
      </c>
      <c r="B2185" s="385" t="s">
        <v>386</v>
      </c>
      <c r="C2185" s="385" t="s">
        <v>590</v>
      </c>
      <c r="D2185" s="385" t="s">
        <v>88</v>
      </c>
      <c r="E2185" s="385" t="s">
        <v>141</v>
      </c>
      <c r="F2185" s="385"/>
      <c r="G2185" s="385" t="s">
        <v>130</v>
      </c>
      <c r="H2185" s="385"/>
      <c r="I2185" s="385"/>
      <c r="J2185" s="30"/>
      <c r="K2185" s="385"/>
      <c r="L2185" s="385"/>
      <c r="M2185" s="385"/>
      <c r="N2185" s="385"/>
      <c r="O2185" s="385"/>
      <c r="P2185" s="385" t="str">
        <f>IFERROR(
    IF(
        OR(ISBLANK(I2185), ISBLANK(L2185)),
        "",
        MAX(
            1,
            IF(
                NETWORKDAYS(I2185, L2185, Holiday_Dates) &lt;= 0,
                1,
                NETWORKDAYS(I2185, L2185, Holiday_Dates) - IF(I2185 = L2185, 0, 1)
            )
        )
    ),
    ""
)</f>
        <v/>
      </c>
      <c r="Q2185" s="385" t="str">
        <f>IF(
    OR(ISBLANK(L2185), ISBLANK(M2185)),
    "",
    MAX(
        1,
        IF(
            NETWORKDAYS(L2185, M2185, Holiday_Dates) &lt;= 0,
            1,
            NETWORKDAYS(L2185, M2185, Holiday_Dates) - IF(L2185 = M2185, 0, 1)
        )
    )
)</f>
        <v/>
      </c>
      <c r="R2185" s="385" t="str">
        <f>IFERROR(
    IF(
        OR(ISBLANK(N2185), AND(ISBLANK(L2185), ISBLANK(M2185))),
        "",
        MAX(
            1,
            IF(
                NETWORKDAYS(IF(NOT(ISBLANK(M2185)), M2185, L2185), N2185, Holiday_Dates) &lt;= 0,
                1,
                NETWORKDAYS(IF(NOT(ISBLANK(M2185)), M2185, L2185), N2185, Holiday_Dates)
                - IF(IF(NOT(ISBLANK(M2185)), M2185, L2185) = N2185, 0, 1)
            )
        )
    ),
    ""
)</f>
        <v/>
      </c>
      <c r="S2185" s="385" t="str">
        <f>IFERROR(
    IF(
        OR(ISBLANK(N2185), ISBLANK(O2185)),
        "",
        MAX(
            1,
            IF(
                NETWORKDAYS(N2185, O2185, Holiday_Dates) &lt;= 0,
                1,
                NETWORKDAYS(N2185, O2185, Holiday_Dates) - IF(N2185 = O2185, 0, 1)
            )
        )
    ),
    ""
)</f>
        <v/>
      </c>
      <c r="T2185" s="385"/>
      <c r="U2185" s="385"/>
      <c r="V2185" s="385"/>
      <c r="W2185" s="385" t="s">
        <v>4710</v>
      </c>
      <c r="X2185" s="1"/>
    </row>
    <row r="2186" spans="1:24">
      <c r="A2186" s="385" t="s">
        <v>65</v>
      </c>
      <c r="B2186" s="385" t="s">
        <v>386</v>
      </c>
      <c r="C2186" s="385" t="s">
        <v>2956</v>
      </c>
      <c r="D2186" s="385" t="s">
        <v>88</v>
      </c>
      <c r="E2186" s="385" t="s">
        <v>141</v>
      </c>
      <c r="F2186" s="385"/>
      <c r="G2186" s="385" t="s">
        <v>130</v>
      </c>
      <c r="H2186" s="385"/>
      <c r="I2186" s="385"/>
      <c r="J2186" s="30"/>
      <c r="K2186" s="385"/>
      <c r="L2186" s="385"/>
      <c r="M2186" s="385"/>
      <c r="N2186" s="385"/>
      <c r="O2186" s="385"/>
      <c r="P2186" s="385" t="str">
        <f>IFERROR(
    IF(
        OR(ISBLANK(I2186), ISBLANK(L2186)),
        "",
        MAX(
            1,
            IF(
                NETWORKDAYS(I2186, L2186, Holiday_Dates) &lt;= 0,
                1,
                NETWORKDAYS(I2186, L2186, Holiday_Dates) - IF(I2186 = L2186, 0, 1)
            )
        )
    ),
    ""
)</f>
        <v/>
      </c>
      <c r="Q2186" s="385" t="str">
        <f>IF(
    OR(ISBLANK(L2186), ISBLANK(M2186)),
    "",
    MAX(
        1,
        IF(
            NETWORKDAYS(L2186, M2186, Holiday_Dates) &lt;= 0,
            1,
            NETWORKDAYS(L2186, M2186, Holiday_Dates) - IF(L2186 = M2186, 0, 1)
        )
    )
)</f>
        <v/>
      </c>
      <c r="R2186" s="385" t="str">
        <f>IFERROR(
    IF(
        OR(ISBLANK(N2186), AND(ISBLANK(L2186), ISBLANK(M2186))),
        "",
        MAX(
            1,
            IF(
                NETWORKDAYS(IF(NOT(ISBLANK(M2186)), M2186, L2186), N2186, Holiday_Dates) &lt;= 0,
                1,
                NETWORKDAYS(IF(NOT(ISBLANK(M2186)), M2186, L2186), N2186, Holiday_Dates)
                - IF(IF(NOT(ISBLANK(M2186)), M2186, L2186) = N2186, 0, 1)
            )
        )
    ),
    ""
)</f>
        <v/>
      </c>
      <c r="S2186" s="385" t="str">
        <f>IFERROR(
    IF(
        OR(ISBLANK(N2186), ISBLANK(O2186)),
        "",
        MAX(
            1,
            IF(
                NETWORKDAYS(N2186, O2186, Holiday_Dates) &lt;= 0,
                1,
                NETWORKDAYS(N2186, O2186, Holiday_Dates) - IF(N2186 = O2186, 0, 1)
            )
        )
    ),
    ""
)</f>
        <v/>
      </c>
      <c r="T2186" s="385"/>
      <c r="U2186" s="385"/>
      <c r="V2186" s="385"/>
      <c r="W2186" s="385" t="s">
        <v>4710</v>
      </c>
      <c r="X2186" s="1"/>
    </row>
    <row r="2187" spans="1:24">
      <c r="A2187" s="385" t="s">
        <v>65</v>
      </c>
      <c r="B2187" s="385" t="s">
        <v>386</v>
      </c>
      <c r="C2187" s="385" t="s">
        <v>2957</v>
      </c>
      <c r="D2187" s="385" t="s">
        <v>88</v>
      </c>
      <c r="E2187" s="385" t="s">
        <v>141</v>
      </c>
      <c r="F2187" s="385"/>
      <c r="G2187" s="385" t="s">
        <v>130</v>
      </c>
      <c r="H2187" s="385"/>
      <c r="I2187" s="385"/>
      <c r="J2187" s="30"/>
      <c r="K2187" s="385"/>
      <c r="L2187" s="385"/>
      <c r="M2187" s="385"/>
      <c r="N2187" s="385"/>
      <c r="O2187" s="385"/>
      <c r="P2187" s="385" t="str">
        <f>IFERROR(
    IF(
        OR(ISBLANK(I2187), ISBLANK(L2187)),
        "",
        MAX(
            1,
            IF(
                NETWORKDAYS(I2187, L2187, Holiday_Dates) &lt;= 0,
                1,
                NETWORKDAYS(I2187, L2187, Holiday_Dates) - IF(I2187 = L2187, 0, 1)
            )
        )
    ),
    ""
)</f>
        <v/>
      </c>
      <c r="Q2187" s="385" t="str">
        <f>IF(
    OR(ISBLANK(L2187), ISBLANK(M2187)),
    "",
    MAX(
        1,
        IF(
            NETWORKDAYS(L2187, M2187, Holiday_Dates) &lt;= 0,
            1,
            NETWORKDAYS(L2187, M2187, Holiday_Dates) - IF(L2187 = M2187, 0, 1)
        )
    )
)</f>
        <v/>
      </c>
      <c r="R2187" s="385" t="str">
        <f>IFERROR(
    IF(
        OR(ISBLANK(N2187), AND(ISBLANK(L2187), ISBLANK(M2187))),
        "",
        MAX(
            1,
            IF(
                NETWORKDAYS(IF(NOT(ISBLANK(M2187)), M2187, L2187), N2187, Holiday_Dates) &lt;= 0,
                1,
                NETWORKDAYS(IF(NOT(ISBLANK(M2187)), M2187, L2187), N2187, Holiday_Dates)
                - IF(IF(NOT(ISBLANK(M2187)), M2187, L2187) = N2187, 0, 1)
            )
        )
    ),
    ""
)</f>
        <v/>
      </c>
      <c r="S2187" s="385" t="str">
        <f>IFERROR(
    IF(
        OR(ISBLANK(N2187), ISBLANK(O2187)),
        "",
        MAX(
            1,
            IF(
                NETWORKDAYS(N2187, O2187, Holiday_Dates) &lt;= 0,
                1,
                NETWORKDAYS(N2187, O2187, Holiday_Dates) - IF(N2187 = O2187, 0, 1)
            )
        )
    ),
    ""
)</f>
        <v/>
      </c>
      <c r="T2187" s="385"/>
      <c r="U2187" s="385"/>
      <c r="V2187" s="385"/>
      <c r="W2187" s="385" t="s">
        <v>4710</v>
      </c>
      <c r="X2187" s="1"/>
    </row>
    <row r="2188" spans="1:24">
      <c r="A2188" s="385" t="s">
        <v>65</v>
      </c>
      <c r="B2188" s="385" t="s">
        <v>386</v>
      </c>
      <c r="C2188" s="385" t="s">
        <v>607</v>
      </c>
      <c r="D2188" s="385" t="s">
        <v>88</v>
      </c>
      <c r="E2188" s="385" t="s">
        <v>141</v>
      </c>
      <c r="F2188" s="385"/>
      <c r="G2188" s="385" t="s">
        <v>130</v>
      </c>
      <c r="H2188" s="385"/>
      <c r="I2188" s="385"/>
      <c r="J2188" s="30"/>
      <c r="K2188" s="385"/>
      <c r="L2188" s="385"/>
      <c r="M2188" s="385"/>
      <c r="N2188" s="385"/>
      <c r="O2188" s="385"/>
      <c r="P2188" s="385" t="str">
        <f>IFERROR(
    IF(
        OR(ISBLANK(I2188), ISBLANK(L2188)),
        "",
        MAX(
            1,
            IF(
                NETWORKDAYS(I2188, L2188, Holiday_Dates) &lt;= 0,
                1,
                NETWORKDAYS(I2188, L2188, Holiday_Dates) - IF(I2188 = L2188, 0, 1)
            )
        )
    ),
    ""
)</f>
        <v/>
      </c>
      <c r="Q2188" s="385" t="str">
        <f>IF(
    OR(ISBLANK(L2188), ISBLANK(M2188)),
    "",
    MAX(
        1,
        IF(
            NETWORKDAYS(L2188, M2188, Holiday_Dates) &lt;= 0,
            1,
            NETWORKDAYS(L2188, M2188, Holiday_Dates) - IF(L2188 = M2188, 0, 1)
        )
    )
)</f>
        <v/>
      </c>
      <c r="R2188" s="385" t="str">
        <f>IFERROR(
    IF(
        OR(ISBLANK(N2188), AND(ISBLANK(L2188), ISBLANK(M2188))),
        "",
        MAX(
            1,
            IF(
                NETWORKDAYS(IF(NOT(ISBLANK(M2188)), M2188, L2188), N2188, Holiday_Dates) &lt;= 0,
                1,
                NETWORKDAYS(IF(NOT(ISBLANK(M2188)), M2188, L2188), N2188, Holiday_Dates)
                - IF(IF(NOT(ISBLANK(M2188)), M2188, L2188) = N2188, 0, 1)
            )
        )
    ),
    ""
)</f>
        <v/>
      </c>
      <c r="S2188" s="385" t="str">
        <f>IFERROR(
    IF(
        OR(ISBLANK(N2188), ISBLANK(O2188)),
        "",
        MAX(
            1,
            IF(
                NETWORKDAYS(N2188, O2188, Holiday_Dates) &lt;= 0,
                1,
                NETWORKDAYS(N2188, O2188, Holiday_Dates) - IF(N2188 = O2188, 0, 1)
            )
        )
    ),
    ""
)</f>
        <v/>
      </c>
      <c r="T2188" s="385"/>
      <c r="U2188" s="385"/>
      <c r="V2188" s="385"/>
      <c r="W2188" s="385" t="s">
        <v>4710</v>
      </c>
      <c r="X2188" s="1"/>
    </row>
    <row r="2189" spans="1:24">
      <c r="A2189" s="385" t="s">
        <v>65</v>
      </c>
      <c r="B2189" s="385" t="s">
        <v>386</v>
      </c>
      <c r="C2189" s="385" t="s">
        <v>1030</v>
      </c>
      <c r="D2189" s="385" t="s">
        <v>88</v>
      </c>
      <c r="E2189" s="385" t="s">
        <v>141</v>
      </c>
      <c r="F2189" s="385"/>
      <c r="G2189" s="385" t="s">
        <v>130</v>
      </c>
      <c r="H2189" s="385"/>
      <c r="I2189" s="385"/>
      <c r="J2189" s="30"/>
      <c r="K2189" s="385"/>
      <c r="L2189" s="385"/>
      <c r="M2189" s="385"/>
      <c r="N2189" s="385"/>
      <c r="O2189" s="385"/>
      <c r="P2189" s="385" t="str">
        <f>IFERROR(
    IF(
        OR(ISBLANK(I2189), ISBLANK(L2189)),
        "",
        MAX(
            1,
            IF(
                NETWORKDAYS(I2189, L2189, Holiday_Dates) &lt;= 0,
                1,
                NETWORKDAYS(I2189, L2189, Holiday_Dates) - IF(I2189 = L2189, 0, 1)
            )
        )
    ),
    ""
)</f>
        <v/>
      </c>
      <c r="Q2189" s="385" t="str">
        <f>IF(
    OR(ISBLANK(L2189), ISBLANK(M2189)),
    "",
    MAX(
        1,
        IF(
            NETWORKDAYS(L2189, M2189, Holiday_Dates) &lt;= 0,
            1,
            NETWORKDAYS(L2189, M2189, Holiday_Dates) - IF(L2189 = M2189, 0, 1)
        )
    )
)</f>
        <v/>
      </c>
      <c r="R2189" s="385" t="str">
        <f>IFERROR(
    IF(
        OR(ISBLANK(N2189), AND(ISBLANK(L2189), ISBLANK(M2189))),
        "",
        MAX(
            1,
            IF(
                NETWORKDAYS(IF(NOT(ISBLANK(M2189)), M2189, L2189), N2189, Holiday_Dates) &lt;= 0,
                1,
                NETWORKDAYS(IF(NOT(ISBLANK(M2189)), M2189, L2189), N2189, Holiday_Dates)
                - IF(IF(NOT(ISBLANK(M2189)), M2189, L2189) = N2189, 0, 1)
            )
        )
    ),
    ""
)</f>
        <v/>
      </c>
      <c r="S2189" s="385" t="str">
        <f>IFERROR(
    IF(
        OR(ISBLANK(N2189), ISBLANK(O2189)),
        "",
        MAX(
            1,
            IF(
                NETWORKDAYS(N2189, O2189, Holiday_Dates) &lt;= 0,
                1,
                NETWORKDAYS(N2189, O2189, Holiday_Dates) - IF(N2189 = O2189, 0, 1)
            )
        )
    ),
    ""
)</f>
        <v/>
      </c>
      <c r="T2189" s="385"/>
      <c r="U2189" s="385"/>
      <c r="V2189" s="385"/>
      <c r="W2189" s="385" t="s">
        <v>4710</v>
      </c>
      <c r="X2189" s="1"/>
    </row>
    <row r="2190" spans="1:24">
      <c r="A2190" s="385" t="s">
        <v>65</v>
      </c>
      <c r="B2190" s="385" t="s">
        <v>507</v>
      </c>
      <c r="C2190" s="385" t="s">
        <v>714</v>
      </c>
      <c r="D2190" s="385" t="s">
        <v>89</v>
      </c>
      <c r="E2190" s="385" t="s">
        <v>29</v>
      </c>
      <c r="F2190" s="385"/>
      <c r="G2190" s="385" t="s">
        <v>130</v>
      </c>
      <c r="H2190" s="385"/>
      <c r="I2190" s="385"/>
      <c r="J2190" s="30"/>
      <c r="K2190" s="385"/>
      <c r="L2190" s="385"/>
      <c r="M2190" s="385"/>
      <c r="N2190" s="385"/>
      <c r="O2190" s="385"/>
      <c r="P2190" s="385" t="str">
        <f>IFERROR(
    IF(
        OR(ISBLANK(I2190), ISBLANK(L2190)),
        "",
        MAX(
            1,
            IF(
                NETWORKDAYS(I2190, L2190, Holiday_Dates) &lt;= 0,
                1,
                NETWORKDAYS(I2190, L2190, Holiday_Dates) - IF(I2190 = L2190, 0, 1)
            )
        )
    ),
    ""
)</f>
        <v/>
      </c>
      <c r="Q2190" s="385" t="str">
        <f>IF(
    OR(ISBLANK(L2190), ISBLANK(M2190)),
    "",
    MAX(
        1,
        IF(
            NETWORKDAYS(L2190, M2190, Holiday_Dates) &lt;= 0,
            1,
            NETWORKDAYS(L2190, M2190, Holiday_Dates) - IF(L2190 = M2190, 0, 1)
        )
    )
)</f>
        <v/>
      </c>
      <c r="R2190" s="385" t="str">
        <f>IFERROR(
    IF(
        OR(ISBLANK(N2190), AND(ISBLANK(L2190), ISBLANK(M2190))),
        "",
        MAX(
            1,
            IF(
                NETWORKDAYS(IF(NOT(ISBLANK(M2190)), M2190, L2190), N2190, Holiday_Dates) &lt;= 0,
                1,
                NETWORKDAYS(IF(NOT(ISBLANK(M2190)), M2190, L2190), N2190, Holiday_Dates)
                - IF(IF(NOT(ISBLANK(M2190)), M2190, L2190) = N2190, 0, 1)
            )
        )
    ),
    ""
)</f>
        <v/>
      </c>
      <c r="S2190" s="385" t="str">
        <f>IFERROR(
    IF(
        OR(ISBLANK(N2190), ISBLANK(O2190)),
        "",
        MAX(
            1,
            IF(
                NETWORKDAYS(N2190, O2190, Holiday_Dates) &lt;= 0,
                1,
                NETWORKDAYS(N2190, O2190, Holiday_Dates) - IF(N2190 = O2190, 0, 1)
            )
        )
    ),
    ""
)</f>
        <v/>
      </c>
      <c r="T2190" s="385"/>
      <c r="U2190" s="385"/>
      <c r="V2190" s="385"/>
      <c r="W2190" s="385" t="s">
        <v>4710</v>
      </c>
      <c r="X2190" s="1"/>
    </row>
    <row r="2191" spans="1:24">
      <c r="A2191" s="385" t="s">
        <v>65</v>
      </c>
      <c r="B2191" s="385" t="s">
        <v>507</v>
      </c>
      <c r="C2191" s="385" t="s">
        <v>427</v>
      </c>
      <c r="D2191" s="385" t="s">
        <v>89</v>
      </c>
      <c r="E2191" s="385" t="s">
        <v>29</v>
      </c>
      <c r="F2191" s="385"/>
      <c r="G2191" s="385" t="s">
        <v>130</v>
      </c>
      <c r="H2191" s="385"/>
      <c r="I2191" s="385"/>
      <c r="J2191" s="30"/>
      <c r="K2191" s="385"/>
      <c r="L2191" s="385"/>
      <c r="M2191" s="385"/>
      <c r="N2191" s="385"/>
      <c r="O2191" s="385"/>
      <c r="P2191" s="385" t="str">
        <f>IFERROR(
    IF(
        OR(ISBLANK(I2191), ISBLANK(L2191)),
        "",
        MAX(
            1,
            IF(
                NETWORKDAYS(I2191, L2191, Holiday_Dates) &lt;= 0,
                1,
                NETWORKDAYS(I2191, L2191, Holiday_Dates) - IF(I2191 = L2191, 0, 1)
            )
        )
    ),
    ""
)</f>
        <v/>
      </c>
      <c r="Q2191" s="385" t="str">
        <f>IF(
    OR(ISBLANK(L2191), ISBLANK(M2191)),
    "",
    MAX(
        1,
        IF(
            NETWORKDAYS(L2191, M2191, Holiday_Dates) &lt;= 0,
            1,
            NETWORKDAYS(L2191, M2191, Holiday_Dates) - IF(L2191 = M2191, 0, 1)
        )
    )
)</f>
        <v/>
      </c>
      <c r="R2191" s="385" t="str">
        <f>IFERROR(
    IF(
        OR(ISBLANK(N2191), AND(ISBLANK(L2191), ISBLANK(M2191))),
        "",
        MAX(
            1,
            IF(
                NETWORKDAYS(IF(NOT(ISBLANK(M2191)), M2191, L2191), N2191, Holiday_Dates) &lt;= 0,
                1,
                NETWORKDAYS(IF(NOT(ISBLANK(M2191)), M2191, L2191), N2191, Holiday_Dates)
                - IF(IF(NOT(ISBLANK(M2191)), M2191, L2191) = N2191, 0, 1)
            )
        )
    ),
    ""
)</f>
        <v/>
      </c>
      <c r="S2191" s="385" t="str">
        <f>IFERROR(
    IF(
        OR(ISBLANK(N2191), ISBLANK(O2191)),
        "",
        MAX(
            1,
            IF(
                NETWORKDAYS(N2191, O2191, Holiday_Dates) &lt;= 0,
                1,
                NETWORKDAYS(N2191, O2191, Holiday_Dates) - IF(N2191 = O2191, 0, 1)
            )
        )
    ),
    ""
)</f>
        <v/>
      </c>
      <c r="T2191" s="385"/>
      <c r="U2191" s="385"/>
      <c r="V2191" s="385"/>
      <c r="W2191" s="385" t="s">
        <v>4710</v>
      </c>
      <c r="X2191" s="1"/>
    </row>
    <row r="2192" spans="1:24">
      <c r="A2192" s="385" t="s">
        <v>51</v>
      </c>
      <c r="B2192" s="385" t="s">
        <v>537</v>
      </c>
      <c r="C2192" s="385" t="s">
        <v>3758</v>
      </c>
      <c r="D2192" s="385" t="s">
        <v>88</v>
      </c>
      <c r="E2192" s="385"/>
      <c r="F2192" s="385"/>
      <c r="G2192" s="385"/>
      <c r="H2192" s="385">
        <v>2025</v>
      </c>
      <c r="I2192" s="386">
        <v>45757</v>
      </c>
      <c r="J2192" s="30" t="s">
        <v>5510</v>
      </c>
      <c r="K2192" s="385"/>
      <c r="L2192" s="385"/>
      <c r="M2192" s="385"/>
      <c r="N2192" s="385"/>
      <c r="O2192" s="385"/>
      <c r="P2192" s="385" t="str">
        <f>IFERROR(
    IF(
        OR(ISBLANK(I2192), ISBLANK(L2192)),
        "",
        MAX(
            1,
            IF(
                NETWORKDAYS(I2192, L2192, Holiday_Dates) &lt;= 0,
                1,
                NETWORKDAYS(I2192, L2192, Holiday_Dates) - IF(I2192 = L2192, 0, 1)
            )
        )
    ),
    ""
)</f>
        <v/>
      </c>
      <c r="Q2192" s="385" t="str">
        <f>IF(
    OR(ISBLANK(L2192), ISBLANK(M2192)),
    "",
    MAX(
        1,
        IF(
            NETWORKDAYS(L2192, M2192, Holiday_Dates) &lt;= 0,
            1,
            NETWORKDAYS(L2192, M2192, Holiday_Dates) - IF(L2192 = M2192, 0, 1)
        )
    )
)</f>
        <v/>
      </c>
      <c r="R2192" s="385" t="str">
        <f>IFERROR(
    IF(
        OR(ISBLANK(N2192), AND(ISBLANK(L2192), ISBLANK(M2192))),
        "",
        MAX(
            1,
            IF(
                NETWORKDAYS(IF(NOT(ISBLANK(M2192)), M2192, L2192), N2192, Holiday_Dates) &lt;= 0,
                1,
                NETWORKDAYS(IF(NOT(ISBLANK(M2192)), M2192, L2192), N2192, Holiday_Dates)
                - IF(IF(NOT(ISBLANK(M2192)), M2192, L2192) = N2192, 0, 1)
            )
        )
    ),
    ""
)</f>
        <v/>
      </c>
      <c r="S2192" s="385" t="str">
        <f>IFERROR(
    IF(
        OR(ISBLANK(N2192), ISBLANK(O2192)),
        "",
        MAX(
            1,
            IF(
                NETWORKDAYS(N2192, O2192, Holiday_Dates) &lt;= 0,
                1,
                NETWORKDAYS(N2192, O2192, Holiday_Dates) - IF(N2192 = O2192, 0, 1)
            )
        )
    ),
    ""
)</f>
        <v/>
      </c>
      <c r="T2192" s="385"/>
      <c r="U2192" s="385" t="s">
        <v>672</v>
      </c>
      <c r="V2192" s="385" t="s">
        <v>1676</v>
      </c>
      <c r="W2192" s="385" t="s">
        <v>1436</v>
      </c>
      <c r="X2192" s="1"/>
    </row>
    <row r="2193" spans="1:24">
      <c r="A2193" s="385" t="s">
        <v>65</v>
      </c>
      <c r="B2193" s="385" t="s">
        <v>507</v>
      </c>
      <c r="C2193" s="385" t="s">
        <v>764</v>
      </c>
      <c r="D2193" s="385" t="s">
        <v>89</v>
      </c>
      <c r="E2193" s="385" t="s">
        <v>29</v>
      </c>
      <c r="F2193" s="385"/>
      <c r="G2193" s="385" t="s">
        <v>130</v>
      </c>
      <c r="H2193" s="385"/>
      <c r="I2193" s="385"/>
      <c r="J2193" s="30"/>
      <c r="K2193" s="385"/>
      <c r="L2193" s="385"/>
      <c r="M2193" s="385"/>
      <c r="N2193" s="385"/>
      <c r="O2193" s="385"/>
      <c r="P2193" s="385" t="str">
        <f>IFERROR(
    IF(
        OR(ISBLANK(I2193), ISBLANK(L2193)),
        "",
        MAX(
            1,
            IF(
                NETWORKDAYS(I2193, L2193, Holiday_Dates) &lt;= 0,
                1,
                NETWORKDAYS(I2193, L2193, Holiday_Dates) - IF(I2193 = L2193, 0, 1)
            )
        )
    ),
    ""
)</f>
        <v/>
      </c>
      <c r="Q2193" s="385" t="str">
        <f>IF(
    OR(ISBLANK(L2193), ISBLANK(M2193)),
    "",
    MAX(
        1,
        IF(
            NETWORKDAYS(L2193, M2193, Holiday_Dates) &lt;= 0,
            1,
            NETWORKDAYS(L2193, M2193, Holiday_Dates) - IF(L2193 = M2193, 0, 1)
        )
    )
)</f>
        <v/>
      </c>
      <c r="R2193" s="385" t="str">
        <f>IFERROR(
    IF(
        OR(ISBLANK(N2193), AND(ISBLANK(L2193), ISBLANK(M2193))),
        "",
        MAX(
            1,
            IF(
                NETWORKDAYS(IF(NOT(ISBLANK(M2193)), M2193, L2193), N2193, Holiday_Dates) &lt;= 0,
                1,
                NETWORKDAYS(IF(NOT(ISBLANK(M2193)), M2193, L2193), N2193, Holiday_Dates)
                - IF(IF(NOT(ISBLANK(M2193)), M2193, L2193) = N2193, 0, 1)
            )
        )
    ),
    ""
)</f>
        <v/>
      </c>
      <c r="S2193" s="385" t="str">
        <f>IFERROR(
    IF(
        OR(ISBLANK(N2193), ISBLANK(O2193)),
        "",
        MAX(
            1,
            IF(
                NETWORKDAYS(N2193, O2193, Holiday_Dates) &lt;= 0,
                1,
                NETWORKDAYS(N2193, O2193, Holiday_Dates) - IF(N2193 = O2193, 0, 1)
            )
        )
    ),
    ""
)</f>
        <v/>
      </c>
      <c r="T2193" s="385"/>
      <c r="U2193" s="385"/>
      <c r="V2193" s="385"/>
      <c r="W2193" s="385" t="s">
        <v>4710</v>
      </c>
      <c r="X2193" s="1"/>
    </row>
    <row r="2194" spans="1:24">
      <c r="A2194" s="385" t="s">
        <v>65</v>
      </c>
      <c r="B2194" s="385" t="s">
        <v>507</v>
      </c>
      <c r="C2194" s="385" t="s">
        <v>2718</v>
      </c>
      <c r="D2194" s="385" t="s">
        <v>89</v>
      </c>
      <c r="E2194" s="385" t="s">
        <v>29</v>
      </c>
      <c r="F2194" s="385"/>
      <c r="G2194" s="385" t="s">
        <v>130</v>
      </c>
      <c r="H2194" s="385"/>
      <c r="I2194" s="385"/>
      <c r="J2194" s="30"/>
      <c r="K2194" s="385"/>
      <c r="L2194" s="385"/>
      <c r="M2194" s="385"/>
      <c r="N2194" s="385"/>
      <c r="O2194" s="385"/>
      <c r="P2194" s="385" t="str">
        <f>IFERROR(
    IF(
        OR(ISBLANK(I2194), ISBLANK(L2194)),
        "",
        MAX(
            1,
            IF(
                NETWORKDAYS(I2194, L2194, Holiday_Dates) &lt;= 0,
                1,
                NETWORKDAYS(I2194, L2194, Holiday_Dates) - IF(I2194 = L2194, 0, 1)
            )
        )
    ),
    ""
)</f>
        <v/>
      </c>
      <c r="Q2194" s="385" t="str">
        <f>IF(
    OR(ISBLANK(L2194), ISBLANK(M2194)),
    "",
    MAX(
        1,
        IF(
            NETWORKDAYS(L2194, M2194, Holiday_Dates) &lt;= 0,
            1,
            NETWORKDAYS(L2194, M2194, Holiday_Dates) - IF(L2194 = M2194, 0, 1)
        )
    )
)</f>
        <v/>
      </c>
      <c r="R2194" s="385" t="str">
        <f>IFERROR(
    IF(
        OR(ISBLANK(N2194), AND(ISBLANK(L2194), ISBLANK(M2194))),
        "",
        MAX(
            1,
            IF(
                NETWORKDAYS(IF(NOT(ISBLANK(M2194)), M2194, L2194), N2194, Holiday_Dates) &lt;= 0,
                1,
                NETWORKDAYS(IF(NOT(ISBLANK(M2194)), M2194, L2194), N2194, Holiday_Dates)
                - IF(IF(NOT(ISBLANK(M2194)), M2194, L2194) = N2194, 0, 1)
            )
        )
    ),
    ""
)</f>
        <v/>
      </c>
      <c r="S2194" s="385" t="str">
        <f>IFERROR(
    IF(
        OR(ISBLANK(N2194), ISBLANK(O2194)),
        "",
        MAX(
            1,
            IF(
                NETWORKDAYS(N2194, O2194, Holiday_Dates) &lt;= 0,
                1,
                NETWORKDAYS(N2194, O2194, Holiday_Dates) - IF(N2194 = O2194, 0, 1)
            )
        )
    ),
    ""
)</f>
        <v/>
      </c>
      <c r="T2194" s="385"/>
      <c r="U2194" s="385"/>
      <c r="V2194" s="385"/>
      <c r="W2194" s="385" t="s">
        <v>4710</v>
      </c>
      <c r="X2194" s="1"/>
    </row>
    <row r="2195" spans="1:24">
      <c r="A2195" s="385" t="s">
        <v>65</v>
      </c>
      <c r="B2195" s="385" t="s">
        <v>507</v>
      </c>
      <c r="C2195" s="385" t="s">
        <v>554</v>
      </c>
      <c r="D2195" s="385" t="s">
        <v>89</v>
      </c>
      <c r="E2195" s="385" t="s">
        <v>29</v>
      </c>
      <c r="F2195" s="385"/>
      <c r="G2195" s="385" t="s">
        <v>130</v>
      </c>
      <c r="H2195" s="385"/>
      <c r="I2195" s="385"/>
      <c r="J2195" s="30"/>
      <c r="K2195" s="385"/>
      <c r="L2195" s="385"/>
      <c r="M2195" s="385"/>
      <c r="N2195" s="385"/>
      <c r="O2195" s="385"/>
      <c r="P2195" s="385" t="str">
        <f>IFERROR(
    IF(
        OR(ISBLANK(I2195), ISBLANK(L2195)),
        "",
        MAX(
            1,
            IF(
                NETWORKDAYS(I2195, L2195, Holiday_Dates) &lt;= 0,
                1,
                NETWORKDAYS(I2195, L2195, Holiday_Dates) - IF(I2195 = L2195, 0, 1)
            )
        )
    ),
    ""
)</f>
        <v/>
      </c>
      <c r="Q2195" s="385" t="str">
        <f>IF(
    OR(ISBLANK(L2195), ISBLANK(M2195)),
    "",
    MAX(
        1,
        IF(
            NETWORKDAYS(L2195, M2195, Holiday_Dates) &lt;= 0,
            1,
            NETWORKDAYS(L2195, M2195, Holiday_Dates) - IF(L2195 = M2195, 0, 1)
        )
    )
)</f>
        <v/>
      </c>
      <c r="R2195" s="385" t="str">
        <f>IFERROR(
    IF(
        OR(ISBLANK(N2195), AND(ISBLANK(L2195), ISBLANK(M2195))),
        "",
        MAX(
            1,
            IF(
                NETWORKDAYS(IF(NOT(ISBLANK(M2195)), M2195, L2195), N2195, Holiday_Dates) &lt;= 0,
                1,
                NETWORKDAYS(IF(NOT(ISBLANK(M2195)), M2195, L2195), N2195, Holiday_Dates)
                - IF(IF(NOT(ISBLANK(M2195)), M2195, L2195) = N2195, 0, 1)
            )
        )
    ),
    ""
)</f>
        <v/>
      </c>
      <c r="S2195" s="385" t="str">
        <f>IFERROR(
    IF(
        OR(ISBLANK(N2195), ISBLANK(O2195)),
        "",
        MAX(
            1,
            IF(
                NETWORKDAYS(N2195, O2195, Holiday_Dates) &lt;= 0,
                1,
                NETWORKDAYS(N2195, O2195, Holiday_Dates) - IF(N2195 = O2195, 0, 1)
            )
        )
    ),
    ""
)</f>
        <v/>
      </c>
      <c r="T2195" s="385"/>
      <c r="U2195" s="385"/>
      <c r="V2195" s="385"/>
      <c r="W2195" s="385" t="s">
        <v>4710</v>
      </c>
      <c r="X2195" s="1"/>
    </row>
    <row r="2196" spans="1:24">
      <c r="A2196" s="385" t="s">
        <v>65</v>
      </c>
      <c r="B2196" s="385" t="s">
        <v>507</v>
      </c>
      <c r="C2196" s="385" t="s">
        <v>2943</v>
      </c>
      <c r="D2196" s="385" t="s">
        <v>89</v>
      </c>
      <c r="E2196" s="385" t="s">
        <v>29</v>
      </c>
      <c r="F2196" s="385"/>
      <c r="G2196" s="385" t="s">
        <v>130</v>
      </c>
      <c r="H2196" s="385"/>
      <c r="I2196" s="385"/>
      <c r="J2196" s="30"/>
      <c r="K2196" s="385"/>
      <c r="L2196" s="385"/>
      <c r="M2196" s="385"/>
      <c r="N2196" s="385"/>
      <c r="O2196" s="385"/>
      <c r="P2196" s="385" t="str">
        <f>IFERROR(
    IF(
        OR(ISBLANK(I2196), ISBLANK(L2196)),
        "",
        MAX(
            1,
            IF(
                NETWORKDAYS(I2196, L2196, Holiday_Dates) &lt;= 0,
                1,
                NETWORKDAYS(I2196, L2196, Holiday_Dates) - IF(I2196 = L2196, 0, 1)
            )
        )
    ),
    ""
)</f>
        <v/>
      </c>
      <c r="Q2196" s="385" t="str">
        <f>IF(
    OR(ISBLANK(L2196), ISBLANK(M2196)),
    "",
    MAX(
        1,
        IF(
            NETWORKDAYS(L2196, M2196, Holiday_Dates) &lt;= 0,
            1,
            NETWORKDAYS(L2196, M2196, Holiday_Dates) - IF(L2196 = M2196, 0, 1)
        )
    )
)</f>
        <v/>
      </c>
      <c r="R2196" s="385" t="str">
        <f>IFERROR(
    IF(
        OR(ISBLANK(N2196), AND(ISBLANK(L2196), ISBLANK(M2196))),
        "",
        MAX(
            1,
            IF(
                NETWORKDAYS(IF(NOT(ISBLANK(M2196)), M2196, L2196), N2196, Holiday_Dates) &lt;= 0,
                1,
                NETWORKDAYS(IF(NOT(ISBLANK(M2196)), M2196, L2196), N2196, Holiday_Dates)
                - IF(IF(NOT(ISBLANK(M2196)), M2196, L2196) = N2196, 0, 1)
            )
        )
    ),
    ""
)</f>
        <v/>
      </c>
      <c r="S2196" s="385" t="str">
        <f>IFERROR(
    IF(
        OR(ISBLANK(N2196), ISBLANK(O2196)),
        "",
        MAX(
            1,
            IF(
                NETWORKDAYS(N2196, O2196, Holiday_Dates) &lt;= 0,
                1,
                NETWORKDAYS(N2196, O2196, Holiday_Dates) - IF(N2196 = O2196, 0, 1)
            )
        )
    ),
    ""
)</f>
        <v/>
      </c>
      <c r="T2196" s="385"/>
      <c r="U2196" s="385"/>
      <c r="V2196" s="385"/>
      <c r="W2196" s="385" t="s">
        <v>4710</v>
      </c>
      <c r="X2196" s="1"/>
    </row>
    <row r="2197" spans="1:24">
      <c r="A2197" s="385" t="s">
        <v>65</v>
      </c>
      <c r="B2197" s="385" t="s">
        <v>507</v>
      </c>
      <c r="C2197" s="385" t="s">
        <v>2944</v>
      </c>
      <c r="D2197" s="385" t="s">
        <v>89</v>
      </c>
      <c r="E2197" s="385" t="s">
        <v>29</v>
      </c>
      <c r="F2197" s="385"/>
      <c r="G2197" s="385" t="s">
        <v>130</v>
      </c>
      <c r="H2197" s="385"/>
      <c r="I2197" s="385"/>
      <c r="J2197" s="30"/>
      <c r="K2197" s="385"/>
      <c r="L2197" s="385"/>
      <c r="M2197" s="385"/>
      <c r="N2197" s="385"/>
      <c r="O2197" s="385"/>
      <c r="P2197" s="385" t="str">
        <f>IFERROR(
    IF(
        OR(ISBLANK(I2197), ISBLANK(L2197)),
        "",
        MAX(
            1,
            IF(
                NETWORKDAYS(I2197, L2197, Holiday_Dates) &lt;= 0,
                1,
                NETWORKDAYS(I2197, L2197, Holiday_Dates) - IF(I2197 = L2197, 0, 1)
            )
        )
    ),
    ""
)</f>
        <v/>
      </c>
      <c r="Q2197" s="385" t="str">
        <f>IF(
    OR(ISBLANK(L2197), ISBLANK(M2197)),
    "",
    MAX(
        1,
        IF(
            NETWORKDAYS(L2197, M2197, Holiday_Dates) &lt;= 0,
            1,
            NETWORKDAYS(L2197, M2197, Holiday_Dates) - IF(L2197 = M2197, 0, 1)
        )
    )
)</f>
        <v/>
      </c>
      <c r="R2197" s="385" t="str">
        <f>IFERROR(
    IF(
        OR(ISBLANK(N2197), AND(ISBLANK(L2197), ISBLANK(M2197))),
        "",
        MAX(
            1,
            IF(
                NETWORKDAYS(IF(NOT(ISBLANK(M2197)), M2197, L2197), N2197, Holiday_Dates) &lt;= 0,
                1,
                NETWORKDAYS(IF(NOT(ISBLANK(M2197)), M2197, L2197), N2197, Holiday_Dates)
                - IF(IF(NOT(ISBLANK(M2197)), M2197, L2197) = N2197, 0, 1)
            )
        )
    ),
    ""
)</f>
        <v/>
      </c>
      <c r="S2197" s="385" t="str">
        <f>IFERROR(
    IF(
        OR(ISBLANK(N2197), ISBLANK(O2197)),
        "",
        MAX(
            1,
            IF(
                NETWORKDAYS(N2197, O2197, Holiday_Dates) &lt;= 0,
                1,
                NETWORKDAYS(N2197, O2197, Holiday_Dates) - IF(N2197 = O2197, 0, 1)
            )
        )
    ),
    ""
)</f>
        <v/>
      </c>
      <c r="T2197" s="385"/>
      <c r="U2197" s="385"/>
      <c r="V2197" s="385"/>
      <c r="W2197" s="385" t="s">
        <v>4710</v>
      </c>
      <c r="X2197" s="1"/>
    </row>
    <row r="2198" spans="1:24">
      <c r="A2198" s="385" t="s">
        <v>51</v>
      </c>
      <c r="B2198" s="385" t="s">
        <v>537</v>
      </c>
      <c r="C2198" s="385" t="s">
        <v>3762</v>
      </c>
      <c r="D2198" s="385" t="s">
        <v>88</v>
      </c>
      <c r="E2198" s="385"/>
      <c r="F2198" s="385"/>
      <c r="G2198" s="385"/>
      <c r="H2198" s="385">
        <v>2025</v>
      </c>
      <c r="I2198" s="386">
        <v>45757</v>
      </c>
      <c r="J2198" s="30" t="s">
        <v>5511</v>
      </c>
      <c r="K2198" s="385"/>
      <c r="L2198" s="385"/>
      <c r="M2198" s="385"/>
      <c r="N2198" s="385"/>
      <c r="O2198" s="385"/>
      <c r="P2198" s="385" t="str">
        <f>IFERROR(
    IF(
        OR(ISBLANK(I2198), ISBLANK(L2198)),
        "",
        MAX(
            1,
            IF(
                NETWORKDAYS(I2198, L2198, Holiday_Dates) &lt;= 0,
                1,
                NETWORKDAYS(I2198, L2198, Holiday_Dates) - IF(I2198 = L2198, 0, 1)
            )
        )
    ),
    ""
)</f>
        <v/>
      </c>
      <c r="Q2198" s="385" t="str">
        <f>IF(
    OR(ISBLANK(L2198), ISBLANK(M2198)),
    "",
    MAX(
        1,
        IF(
            NETWORKDAYS(L2198, M2198, Holiday_Dates) &lt;= 0,
            1,
            NETWORKDAYS(L2198, M2198, Holiday_Dates) - IF(L2198 = M2198, 0, 1)
        )
    )
)</f>
        <v/>
      </c>
      <c r="R2198" s="385" t="str">
        <f>IFERROR(
    IF(
        OR(ISBLANK(N2198), AND(ISBLANK(L2198), ISBLANK(M2198))),
        "",
        MAX(
            1,
            IF(
                NETWORKDAYS(IF(NOT(ISBLANK(M2198)), M2198, L2198), N2198, Holiday_Dates) &lt;= 0,
                1,
                NETWORKDAYS(IF(NOT(ISBLANK(M2198)), M2198, L2198), N2198, Holiday_Dates)
                - IF(IF(NOT(ISBLANK(M2198)), M2198, L2198) = N2198, 0, 1)
            )
        )
    ),
    ""
)</f>
        <v/>
      </c>
      <c r="S2198" s="385" t="str">
        <f>IFERROR(
    IF(
        OR(ISBLANK(N2198), ISBLANK(O2198)),
        "",
        MAX(
            1,
            IF(
                NETWORKDAYS(N2198, O2198, Holiday_Dates) &lt;= 0,
                1,
                NETWORKDAYS(N2198, O2198, Holiday_Dates) - IF(N2198 = O2198, 0, 1)
            )
        )
    ),
    ""
)</f>
        <v/>
      </c>
      <c r="T2198" s="385"/>
      <c r="U2198" s="385" t="s">
        <v>672</v>
      </c>
      <c r="V2198" s="385" t="s">
        <v>1676</v>
      </c>
      <c r="W2198" s="385" t="s">
        <v>1436</v>
      </c>
      <c r="X2198" s="1"/>
    </row>
    <row r="2199" spans="1:24">
      <c r="A2199" s="385" t="s">
        <v>65</v>
      </c>
      <c r="B2199" s="385" t="s">
        <v>507</v>
      </c>
      <c r="C2199" s="385" t="s">
        <v>2945</v>
      </c>
      <c r="D2199" s="385" t="s">
        <v>89</v>
      </c>
      <c r="E2199" s="385" t="s">
        <v>29</v>
      </c>
      <c r="F2199" s="385"/>
      <c r="G2199" s="385" t="s">
        <v>130</v>
      </c>
      <c r="H2199" s="385"/>
      <c r="I2199" s="385"/>
      <c r="J2199" s="30"/>
      <c r="K2199" s="385"/>
      <c r="L2199" s="385"/>
      <c r="M2199" s="385"/>
      <c r="N2199" s="385"/>
      <c r="O2199" s="385"/>
      <c r="P2199" s="385" t="str">
        <f>IFERROR(
    IF(
        OR(ISBLANK(I2199), ISBLANK(L2199)),
        "",
        MAX(
            1,
            IF(
                NETWORKDAYS(I2199, L2199, Holiday_Dates) &lt;= 0,
                1,
                NETWORKDAYS(I2199, L2199, Holiday_Dates) - IF(I2199 = L2199, 0, 1)
            )
        )
    ),
    ""
)</f>
        <v/>
      </c>
      <c r="Q2199" s="385" t="str">
        <f>IF(
    OR(ISBLANK(L2199), ISBLANK(M2199)),
    "",
    MAX(
        1,
        IF(
            NETWORKDAYS(L2199, M2199, Holiday_Dates) &lt;= 0,
            1,
            NETWORKDAYS(L2199, M2199, Holiday_Dates) - IF(L2199 = M2199, 0, 1)
        )
    )
)</f>
        <v/>
      </c>
      <c r="R2199" s="385" t="str">
        <f>IFERROR(
    IF(
        OR(ISBLANK(N2199), AND(ISBLANK(L2199), ISBLANK(M2199))),
        "",
        MAX(
            1,
            IF(
                NETWORKDAYS(IF(NOT(ISBLANK(M2199)), M2199, L2199), N2199, Holiday_Dates) &lt;= 0,
                1,
                NETWORKDAYS(IF(NOT(ISBLANK(M2199)), M2199, L2199), N2199, Holiday_Dates)
                - IF(IF(NOT(ISBLANK(M2199)), M2199, L2199) = N2199, 0, 1)
            )
        )
    ),
    ""
)</f>
        <v/>
      </c>
      <c r="S2199" s="385" t="str">
        <f>IFERROR(
    IF(
        OR(ISBLANK(N2199), ISBLANK(O2199)),
        "",
        MAX(
            1,
            IF(
                NETWORKDAYS(N2199, O2199, Holiday_Dates) &lt;= 0,
                1,
                NETWORKDAYS(N2199, O2199, Holiday_Dates) - IF(N2199 = O2199, 0, 1)
            )
        )
    ),
    ""
)</f>
        <v/>
      </c>
      <c r="T2199" s="385"/>
      <c r="U2199" s="385"/>
      <c r="V2199" s="385"/>
      <c r="W2199" s="385" t="s">
        <v>4710</v>
      </c>
      <c r="X2199" s="1"/>
    </row>
    <row r="2200" spans="1:24">
      <c r="A2200" s="385" t="s">
        <v>65</v>
      </c>
      <c r="B2200" s="385" t="s">
        <v>507</v>
      </c>
      <c r="C2200" s="385" t="s">
        <v>2946</v>
      </c>
      <c r="D2200" s="385" t="s">
        <v>89</v>
      </c>
      <c r="E2200" s="385" t="s">
        <v>29</v>
      </c>
      <c r="F2200" s="385"/>
      <c r="G2200" s="385" t="s">
        <v>130</v>
      </c>
      <c r="H2200" s="385"/>
      <c r="I2200" s="385"/>
      <c r="J2200" s="30"/>
      <c r="K2200" s="385"/>
      <c r="L2200" s="385"/>
      <c r="M2200" s="385"/>
      <c r="N2200" s="385"/>
      <c r="O2200" s="385"/>
      <c r="P2200" s="385" t="str">
        <f>IFERROR(
    IF(
        OR(ISBLANK(I2200), ISBLANK(L2200)),
        "",
        MAX(
            1,
            IF(
                NETWORKDAYS(I2200, L2200, Holiday_Dates) &lt;= 0,
                1,
                NETWORKDAYS(I2200, L2200, Holiday_Dates) - IF(I2200 = L2200, 0, 1)
            )
        )
    ),
    ""
)</f>
        <v/>
      </c>
      <c r="Q2200" s="385" t="str">
        <f>IF(
    OR(ISBLANK(L2200), ISBLANK(M2200)),
    "",
    MAX(
        1,
        IF(
            NETWORKDAYS(L2200, M2200, Holiday_Dates) &lt;= 0,
            1,
            NETWORKDAYS(L2200, M2200, Holiday_Dates) - IF(L2200 = M2200, 0, 1)
        )
    )
)</f>
        <v/>
      </c>
      <c r="R2200" s="385" t="str">
        <f>IFERROR(
    IF(
        OR(ISBLANK(N2200), AND(ISBLANK(L2200), ISBLANK(M2200))),
        "",
        MAX(
            1,
            IF(
                NETWORKDAYS(IF(NOT(ISBLANK(M2200)), M2200, L2200), N2200, Holiday_Dates) &lt;= 0,
                1,
                NETWORKDAYS(IF(NOT(ISBLANK(M2200)), M2200, L2200), N2200, Holiday_Dates)
                - IF(IF(NOT(ISBLANK(M2200)), M2200, L2200) = N2200, 0, 1)
            )
        )
    ),
    ""
)</f>
        <v/>
      </c>
      <c r="S2200" s="385" t="str">
        <f>IFERROR(
    IF(
        OR(ISBLANK(N2200), ISBLANK(O2200)),
        "",
        MAX(
            1,
            IF(
                NETWORKDAYS(N2200, O2200, Holiday_Dates) &lt;= 0,
                1,
                NETWORKDAYS(N2200, O2200, Holiday_Dates) - IF(N2200 = O2200, 0, 1)
            )
        )
    ),
    ""
)</f>
        <v/>
      </c>
      <c r="T2200" s="385"/>
      <c r="U2200" s="385"/>
      <c r="V2200" s="385"/>
      <c r="W2200" s="385" t="s">
        <v>4710</v>
      </c>
      <c r="X2200" s="1"/>
    </row>
    <row r="2201" spans="1:24">
      <c r="A2201" s="385" t="s">
        <v>65</v>
      </c>
      <c r="B2201" s="385" t="s">
        <v>507</v>
      </c>
      <c r="C2201" s="385" t="s">
        <v>2947</v>
      </c>
      <c r="D2201" s="385" t="s">
        <v>89</v>
      </c>
      <c r="E2201" s="385" t="s">
        <v>29</v>
      </c>
      <c r="F2201" s="385"/>
      <c r="G2201" s="385" t="s">
        <v>130</v>
      </c>
      <c r="H2201" s="385"/>
      <c r="I2201" s="385"/>
      <c r="J2201" s="30"/>
      <c r="K2201" s="385"/>
      <c r="L2201" s="385"/>
      <c r="M2201" s="385"/>
      <c r="N2201" s="385"/>
      <c r="O2201" s="385"/>
      <c r="P2201" s="385" t="str">
        <f>IFERROR(
    IF(
        OR(ISBLANK(I2201), ISBLANK(L2201)),
        "",
        MAX(
            1,
            IF(
                NETWORKDAYS(I2201, L2201, Holiday_Dates) &lt;= 0,
                1,
                NETWORKDAYS(I2201, L2201, Holiday_Dates) - IF(I2201 = L2201, 0, 1)
            )
        )
    ),
    ""
)</f>
        <v/>
      </c>
      <c r="Q2201" s="385" t="str">
        <f>IF(
    OR(ISBLANK(L2201), ISBLANK(M2201)),
    "",
    MAX(
        1,
        IF(
            NETWORKDAYS(L2201, M2201, Holiday_Dates) &lt;= 0,
            1,
            NETWORKDAYS(L2201, M2201, Holiday_Dates) - IF(L2201 = M2201, 0, 1)
        )
    )
)</f>
        <v/>
      </c>
      <c r="R2201" s="385" t="str">
        <f>IFERROR(
    IF(
        OR(ISBLANK(N2201), AND(ISBLANK(L2201), ISBLANK(M2201))),
        "",
        MAX(
            1,
            IF(
                NETWORKDAYS(IF(NOT(ISBLANK(M2201)), M2201, L2201), N2201, Holiday_Dates) &lt;= 0,
                1,
                NETWORKDAYS(IF(NOT(ISBLANK(M2201)), M2201, L2201), N2201, Holiday_Dates)
                - IF(IF(NOT(ISBLANK(M2201)), M2201, L2201) = N2201, 0, 1)
            )
        )
    ),
    ""
)</f>
        <v/>
      </c>
      <c r="S2201" s="385" t="str">
        <f>IFERROR(
    IF(
        OR(ISBLANK(N2201), ISBLANK(O2201)),
        "",
        MAX(
            1,
            IF(
                NETWORKDAYS(N2201, O2201, Holiday_Dates) &lt;= 0,
                1,
                NETWORKDAYS(N2201, O2201, Holiday_Dates) - IF(N2201 = O2201, 0, 1)
            )
        )
    ),
    ""
)</f>
        <v/>
      </c>
      <c r="T2201" s="385"/>
      <c r="U2201" s="385"/>
      <c r="V2201" s="385"/>
      <c r="W2201" s="385" t="s">
        <v>4710</v>
      </c>
      <c r="X2201" s="1"/>
    </row>
    <row r="2202" spans="1:24">
      <c r="A2202" s="385" t="s">
        <v>65</v>
      </c>
      <c r="B2202" s="385" t="s">
        <v>511</v>
      </c>
      <c r="C2202" s="385" t="s">
        <v>3045</v>
      </c>
      <c r="D2202" s="385" t="s">
        <v>88</v>
      </c>
      <c r="E2202" s="385" t="s">
        <v>29</v>
      </c>
      <c r="F2202" s="385"/>
      <c r="G2202" s="385" t="s">
        <v>130</v>
      </c>
      <c r="H2202" s="385"/>
      <c r="I2202" s="385"/>
      <c r="J2202" s="30"/>
      <c r="K2202" s="385"/>
      <c r="L2202" s="385"/>
      <c r="M2202" s="385"/>
      <c r="N2202" s="385"/>
      <c r="O2202" s="385"/>
      <c r="P2202" s="385" t="str">
        <f>IFERROR(
    IF(
        OR(ISBLANK(I2202), ISBLANK(L2202)),
        "",
        MAX(
            1,
            IF(
                NETWORKDAYS(I2202, L2202, Holiday_Dates) &lt;= 0,
                1,
                NETWORKDAYS(I2202, L2202, Holiday_Dates) - IF(I2202 = L2202, 0, 1)
            )
        )
    ),
    ""
)</f>
        <v/>
      </c>
      <c r="Q2202" s="385" t="str">
        <f>IF(
    OR(ISBLANK(L2202), ISBLANK(M2202)),
    "",
    MAX(
        1,
        IF(
            NETWORKDAYS(L2202, M2202, Holiday_Dates) &lt;= 0,
            1,
            NETWORKDAYS(L2202, M2202, Holiday_Dates) - IF(L2202 = M2202, 0, 1)
        )
    )
)</f>
        <v/>
      </c>
      <c r="R2202" s="385" t="str">
        <f>IFERROR(
    IF(
        OR(ISBLANK(N2202), AND(ISBLANK(L2202), ISBLANK(M2202))),
        "",
        MAX(
            1,
            IF(
                NETWORKDAYS(IF(NOT(ISBLANK(M2202)), M2202, L2202), N2202, Holiday_Dates) &lt;= 0,
                1,
                NETWORKDAYS(IF(NOT(ISBLANK(M2202)), M2202, L2202), N2202, Holiday_Dates)
                - IF(IF(NOT(ISBLANK(M2202)), M2202, L2202) = N2202, 0, 1)
            )
        )
    ),
    ""
)</f>
        <v/>
      </c>
      <c r="S2202" s="385" t="str">
        <f>IFERROR(
    IF(
        OR(ISBLANK(N2202), ISBLANK(O2202)),
        "",
        MAX(
            1,
            IF(
                NETWORKDAYS(N2202, O2202, Holiday_Dates) &lt;= 0,
                1,
                NETWORKDAYS(N2202, O2202, Holiday_Dates) - IF(N2202 = O2202, 0, 1)
            )
        )
    ),
    ""
)</f>
        <v/>
      </c>
      <c r="T2202" s="385"/>
      <c r="U2202" s="385"/>
      <c r="V2202" s="385"/>
      <c r="W2202" s="385" t="s">
        <v>4710</v>
      </c>
      <c r="X2202" s="1"/>
    </row>
    <row r="2203" spans="1:24">
      <c r="A2203" s="385" t="s">
        <v>65</v>
      </c>
      <c r="B2203" s="385" t="s">
        <v>511</v>
      </c>
      <c r="C2203" s="385" t="s">
        <v>3046</v>
      </c>
      <c r="D2203" s="385" t="s">
        <v>88</v>
      </c>
      <c r="E2203" s="385" t="s">
        <v>29</v>
      </c>
      <c r="F2203" s="385"/>
      <c r="G2203" s="385" t="s">
        <v>130</v>
      </c>
      <c r="H2203" s="385"/>
      <c r="I2203" s="385"/>
      <c r="J2203" s="30"/>
      <c r="K2203" s="385"/>
      <c r="L2203" s="385"/>
      <c r="M2203" s="385"/>
      <c r="N2203" s="385"/>
      <c r="O2203" s="385"/>
      <c r="P2203" s="385" t="str">
        <f>IFERROR(
    IF(
        OR(ISBLANK(I2203), ISBLANK(L2203)),
        "",
        MAX(
            1,
            IF(
                NETWORKDAYS(I2203, L2203, Holiday_Dates) &lt;= 0,
                1,
                NETWORKDAYS(I2203, L2203, Holiday_Dates) - IF(I2203 = L2203, 0, 1)
            )
        )
    ),
    ""
)</f>
        <v/>
      </c>
      <c r="Q2203" s="385" t="str">
        <f>IF(
    OR(ISBLANK(L2203), ISBLANK(M2203)),
    "",
    MAX(
        1,
        IF(
            NETWORKDAYS(L2203, M2203, Holiday_Dates) &lt;= 0,
            1,
            NETWORKDAYS(L2203, M2203, Holiday_Dates) - IF(L2203 = M2203, 0, 1)
        )
    )
)</f>
        <v/>
      </c>
      <c r="R2203" s="385" t="str">
        <f>IFERROR(
    IF(
        OR(ISBLANK(N2203), AND(ISBLANK(L2203), ISBLANK(M2203))),
        "",
        MAX(
            1,
            IF(
                NETWORKDAYS(IF(NOT(ISBLANK(M2203)), M2203, L2203), N2203, Holiday_Dates) &lt;= 0,
                1,
                NETWORKDAYS(IF(NOT(ISBLANK(M2203)), M2203, L2203), N2203, Holiday_Dates)
                - IF(IF(NOT(ISBLANK(M2203)), M2203, L2203) = N2203, 0, 1)
            )
        )
    ),
    ""
)</f>
        <v/>
      </c>
      <c r="S2203" s="385" t="str">
        <f>IFERROR(
    IF(
        OR(ISBLANK(N2203), ISBLANK(O2203)),
        "",
        MAX(
            1,
            IF(
                NETWORKDAYS(N2203, O2203, Holiday_Dates) &lt;= 0,
                1,
                NETWORKDAYS(N2203, O2203, Holiday_Dates) - IF(N2203 = O2203, 0, 1)
            )
        )
    ),
    ""
)</f>
        <v/>
      </c>
      <c r="T2203" s="385"/>
      <c r="U2203" s="385"/>
      <c r="V2203" s="385"/>
      <c r="W2203" s="385" t="s">
        <v>4710</v>
      </c>
      <c r="X2203" s="1"/>
    </row>
    <row r="2204" spans="1:24">
      <c r="A2204" s="385" t="s">
        <v>65</v>
      </c>
      <c r="B2204" s="385" t="s">
        <v>511</v>
      </c>
      <c r="C2204" s="385" t="s">
        <v>3047</v>
      </c>
      <c r="D2204" s="385" t="s">
        <v>88</v>
      </c>
      <c r="E2204" s="385" t="s">
        <v>29</v>
      </c>
      <c r="F2204" s="385"/>
      <c r="G2204" s="385" t="s">
        <v>130</v>
      </c>
      <c r="H2204" s="385"/>
      <c r="I2204" s="385"/>
      <c r="J2204" s="30"/>
      <c r="K2204" s="385"/>
      <c r="L2204" s="385"/>
      <c r="M2204" s="385"/>
      <c r="N2204" s="385"/>
      <c r="O2204" s="385"/>
      <c r="P2204" s="385" t="str">
        <f>IFERROR(
    IF(
        OR(ISBLANK(I2204), ISBLANK(L2204)),
        "",
        MAX(
            1,
            IF(
                NETWORKDAYS(I2204, L2204, Holiday_Dates) &lt;= 0,
                1,
                NETWORKDAYS(I2204, L2204, Holiday_Dates) - IF(I2204 = L2204, 0, 1)
            )
        )
    ),
    ""
)</f>
        <v/>
      </c>
      <c r="Q2204" s="385" t="str">
        <f>IF(
    OR(ISBLANK(L2204), ISBLANK(M2204)),
    "",
    MAX(
        1,
        IF(
            NETWORKDAYS(L2204, M2204, Holiday_Dates) &lt;= 0,
            1,
            NETWORKDAYS(L2204, M2204, Holiday_Dates) - IF(L2204 = M2204, 0, 1)
        )
    )
)</f>
        <v/>
      </c>
      <c r="R2204" s="385" t="str">
        <f>IFERROR(
    IF(
        OR(ISBLANK(N2204), AND(ISBLANK(L2204), ISBLANK(M2204))),
        "",
        MAX(
            1,
            IF(
                NETWORKDAYS(IF(NOT(ISBLANK(M2204)), M2204, L2204), N2204, Holiday_Dates) &lt;= 0,
                1,
                NETWORKDAYS(IF(NOT(ISBLANK(M2204)), M2204, L2204), N2204, Holiday_Dates)
                - IF(IF(NOT(ISBLANK(M2204)), M2204, L2204) = N2204, 0, 1)
            )
        )
    ),
    ""
)</f>
        <v/>
      </c>
      <c r="S2204" s="385" t="str">
        <f>IFERROR(
    IF(
        OR(ISBLANK(N2204), ISBLANK(O2204)),
        "",
        MAX(
            1,
            IF(
                NETWORKDAYS(N2204, O2204, Holiday_Dates) &lt;= 0,
                1,
                NETWORKDAYS(N2204, O2204, Holiday_Dates) - IF(N2204 = O2204, 0, 1)
            )
        )
    ),
    ""
)</f>
        <v/>
      </c>
      <c r="T2204" s="385"/>
      <c r="U2204" s="385"/>
      <c r="V2204" s="385"/>
      <c r="W2204" s="385" t="s">
        <v>4710</v>
      </c>
      <c r="X2204" s="1"/>
    </row>
    <row r="2205" spans="1:24">
      <c r="A2205" s="385" t="s">
        <v>65</v>
      </c>
      <c r="B2205" s="385" t="s">
        <v>511</v>
      </c>
      <c r="C2205" s="385" t="s">
        <v>3048</v>
      </c>
      <c r="D2205" s="385" t="s">
        <v>88</v>
      </c>
      <c r="E2205" s="385" t="s">
        <v>29</v>
      </c>
      <c r="F2205" s="385"/>
      <c r="G2205" s="385" t="s">
        <v>130</v>
      </c>
      <c r="H2205" s="385"/>
      <c r="I2205" s="385"/>
      <c r="J2205" s="30"/>
      <c r="K2205" s="385"/>
      <c r="L2205" s="385"/>
      <c r="M2205" s="385"/>
      <c r="N2205" s="385"/>
      <c r="O2205" s="385"/>
      <c r="P2205" s="385" t="str">
        <f>IFERROR(
    IF(
        OR(ISBLANK(I2205), ISBLANK(L2205)),
        "",
        MAX(
            1,
            IF(
                NETWORKDAYS(I2205, L2205, Holiday_Dates) &lt;= 0,
                1,
                NETWORKDAYS(I2205, L2205, Holiday_Dates) - IF(I2205 = L2205, 0, 1)
            )
        )
    ),
    ""
)</f>
        <v/>
      </c>
      <c r="Q2205" s="385" t="str">
        <f>IF(
    OR(ISBLANK(L2205), ISBLANK(M2205)),
    "",
    MAX(
        1,
        IF(
            NETWORKDAYS(L2205, M2205, Holiday_Dates) &lt;= 0,
            1,
            NETWORKDAYS(L2205, M2205, Holiday_Dates) - IF(L2205 = M2205, 0, 1)
        )
    )
)</f>
        <v/>
      </c>
      <c r="R2205" s="385" t="str">
        <f>IFERROR(
    IF(
        OR(ISBLANK(N2205), AND(ISBLANK(L2205), ISBLANK(M2205))),
        "",
        MAX(
            1,
            IF(
                NETWORKDAYS(IF(NOT(ISBLANK(M2205)), M2205, L2205), N2205, Holiday_Dates) &lt;= 0,
                1,
                NETWORKDAYS(IF(NOT(ISBLANK(M2205)), M2205, L2205), N2205, Holiday_Dates)
                - IF(IF(NOT(ISBLANK(M2205)), M2205, L2205) = N2205, 0, 1)
            )
        )
    ),
    ""
)</f>
        <v/>
      </c>
      <c r="S2205" s="385" t="str">
        <f>IFERROR(
    IF(
        OR(ISBLANK(N2205), ISBLANK(O2205)),
        "",
        MAX(
            1,
            IF(
                NETWORKDAYS(N2205, O2205, Holiday_Dates) &lt;= 0,
                1,
                NETWORKDAYS(N2205, O2205, Holiday_Dates) - IF(N2205 = O2205, 0, 1)
            )
        )
    ),
    ""
)</f>
        <v/>
      </c>
      <c r="T2205" s="385"/>
      <c r="U2205" s="385"/>
      <c r="V2205" s="385"/>
      <c r="W2205" s="385" t="s">
        <v>4710</v>
      </c>
      <c r="X2205" s="1"/>
    </row>
    <row r="2206" spans="1:24">
      <c r="A2206" s="385" t="s">
        <v>65</v>
      </c>
      <c r="B2206" s="385" t="s">
        <v>511</v>
      </c>
      <c r="C2206" s="385" t="s">
        <v>3049</v>
      </c>
      <c r="D2206" s="385" t="s">
        <v>88</v>
      </c>
      <c r="E2206" s="385" t="s">
        <v>29</v>
      </c>
      <c r="F2206" s="385"/>
      <c r="G2206" s="385" t="s">
        <v>130</v>
      </c>
      <c r="H2206" s="385"/>
      <c r="I2206" s="385"/>
      <c r="J2206" s="30"/>
      <c r="K2206" s="385"/>
      <c r="L2206" s="385"/>
      <c r="M2206" s="385"/>
      <c r="N2206" s="385"/>
      <c r="O2206" s="385"/>
      <c r="P2206" s="385" t="str">
        <f>IFERROR(
    IF(
        OR(ISBLANK(I2206), ISBLANK(L2206)),
        "",
        MAX(
            1,
            IF(
                NETWORKDAYS(I2206, L2206, Holiday_Dates) &lt;= 0,
                1,
                NETWORKDAYS(I2206, L2206, Holiday_Dates) - IF(I2206 = L2206, 0, 1)
            )
        )
    ),
    ""
)</f>
        <v/>
      </c>
      <c r="Q2206" s="385" t="str">
        <f>IF(
    OR(ISBLANK(L2206), ISBLANK(M2206)),
    "",
    MAX(
        1,
        IF(
            NETWORKDAYS(L2206, M2206, Holiday_Dates) &lt;= 0,
            1,
            NETWORKDAYS(L2206, M2206, Holiday_Dates) - IF(L2206 = M2206, 0, 1)
        )
    )
)</f>
        <v/>
      </c>
      <c r="R2206" s="385" t="str">
        <f>IFERROR(
    IF(
        OR(ISBLANK(N2206), AND(ISBLANK(L2206), ISBLANK(M2206))),
        "",
        MAX(
            1,
            IF(
                NETWORKDAYS(IF(NOT(ISBLANK(M2206)), M2206, L2206), N2206, Holiday_Dates) &lt;= 0,
                1,
                NETWORKDAYS(IF(NOT(ISBLANK(M2206)), M2206, L2206), N2206, Holiday_Dates)
                - IF(IF(NOT(ISBLANK(M2206)), M2206, L2206) = N2206, 0, 1)
            )
        )
    ),
    ""
)</f>
        <v/>
      </c>
      <c r="S2206" s="385" t="str">
        <f>IFERROR(
    IF(
        OR(ISBLANK(N2206), ISBLANK(O2206)),
        "",
        MAX(
            1,
            IF(
                NETWORKDAYS(N2206, O2206, Holiday_Dates) &lt;= 0,
                1,
                NETWORKDAYS(N2206, O2206, Holiday_Dates) - IF(N2206 = O2206, 0, 1)
            )
        )
    ),
    ""
)</f>
        <v/>
      </c>
      <c r="T2206" s="385"/>
      <c r="U2206" s="385"/>
      <c r="V2206" s="385"/>
      <c r="W2206" s="385" t="s">
        <v>4710</v>
      </c>
      <c r="X2206" s="1"/>
    </row>
    <row r="2207" spans="1:24">
      <c r="A2207" s="385" t="s">
        <v>65</v>
      </c>
      <c r="B2207" s="385" t="s">
        <v>511</v>
      </c>
      <c r="C2207" s="385" t="s">
        <v>3052</v>
      </c>
      <c r="D2207" s="385" t="s">
        <v>88</v>
      </c>
      <c r="E2207" s="385" t="s">
        <v>29</v>
      </c>
      <c r="F2207" s="385"/>
      <c r="G2207" s="385" t="s">
        <v>130</v>
      </c>
      <c r="H2207" s="385"/>
      <c r="I2207" s="385"/>
      <c r="J2207" s="30"/>
      <c r="K2207" s="385"/>
      <c r="L2207" s="385"/>
      <c r="M2207" s="385"/>
      <c r="N2207" s="385"/>
      <c r="O2207" s="385"/>
      <c r="P2207" s="385" t="str">
        <f>IFERROR(
    IF(
        OR(ISBLANK(I2207), ISBLANK(L2207)),
        "",
        MAX(
            1,
            IF(
                NETWORKDAYS(I2207, L2207, Holiday_Dates) &lt;= 0,
                1,
                NETWORKDAYS(I2207, L2207, Holiday_Dates) - IF(I2207 = L2207, 0, 1)
            )
        )
    ),
    ""
)</f>
        <v/>
      </c>
      <c r="Q2207" s="385" t="str">
        <f>IF(
    OR(ISBLANK(L2207), ISBLANK(M2207)),
    "",
    MAX(
        1,
        IF(
            NETWORKDAYS(L2207, M2207, Holiday_Dates) &lt;= 0,
            1,
            NETWORKDAYS(L2207, M2207, Holiday_Dates) - IF(L2207 = M2207, 0, 1)
        )
    )
)</f>
        <v/>
      </c>
      <c r="R2207" s="385" t="str">
        <f>IFERROR(
    IF(
        OR(ISBLANK(N2207), AND(ISBLANK(L2207), ISBLANK(M2207))),
        "",
        MAX(
            1,
            IF(
                NETWORKDAYS(IF(NOT(ISBLANK(M2207)), M2207, L2207), N2207, Holiday_Dates) &lt;= 0,
                1,
                NETWORKDAYS(IF(NOT(ISBLANK(M2207)), M2207, L2207), N2207, Holiday_Dates)
                - IF(IF(NOT(ISBLANK(M2207)), M2207, L2207) = N2207, 0, 1)
            )
        )
    ),
    ""
)</f>
        <v/>
      </c>
      <c r="S2207" s="385" t="str">
        <f>IFERROR(
    IF(
        OR(ISBLANK(N2207), ISBLANK(O2207)),
        "",
        MAX(
            1,
            IF(
                NETWORKDAYS(N2207, O2207, Holiday_Dates) &lt;= 0,
                1,
                NETWORKDAYS(N2207, O2207, Holiday_Dates) - IF(N2207 = O2207, 0, 1)
            )
        )
    ),
    ""
)</f>
        <v/>
      </c>
      <c r="T2207" s="385"/>
      <c r="U2207" s="385"/>
      <c r="V2207" s="385"/>
      <c r="W2207" s="385" t="s">
        <v>4710</v>
      </c>
      <c r="X2207" s="1"/>
    </row>
    <row r="2208" spans="1:24">
      <c r="A2208" s="385" t="s">
        <v>65</v>
      </c>
      <c r="B2208" s="385" t="s">
        <v>511</v>
      </c>
      <c r="C2208" s="385" t="s">
        <v>3053</v>
      </c>
      <c r="D2208" s="385" t="s">
        <v>88</v>
      </c>
      <c r="E2208" s="385" t="s">
        <v>29</v>
      </c>
      <c r="F2208" s="385"/>
      <c r="G2208" s="385" t="s">
        <v>130</v>
      </c>
      <c r="H2208" s="385"/>
      <c r="I2208" s="385"/>
      <c r="J2208" s="30"/>
      <c r="K2208" s="385"/>
      <c r="L2208" s="385"/>
      <c r="M2208" s="385"/>
      <c r="N2208" s="385"/>
      <c r="O2208" s="385"/>
      <c r="P2208" s="385" t="str">
        <f>IFERROR(
    IF(
        OR(ISBLANK(I2208), ISBLANK(L2208)),
        "",
        MAX(
            1,
            IF(
                NETWORKDAYS(I2208, L2208, Holiday_Dates) &lt;= 0,
                1,
                NETWORKDAYS(I2208, L2208, Holiday_Dates) - IF(I2208 = L2208, 0, 1)
            )
        )
    ),
    ""
)</f>
        <v/>
      </c>
      <c r="Q2208" s="385" t="str">
        <f>IF(
    OR(ISBLANK(L2208), ISBLANK(M2208)),
    "",
    MAX(
        1,
        IF(
            NETWORKDAYS(L2208, M2208, Holiday_Dates) &lt;= 0,
            1,
            NETWORKDAYS(L2208, M2208, Holiday_Dates) - IF(L2208 = M2208, 0, 1)
        )
    )
)</f>
        <v/>
      </c>
      <c r="R2208" s="385" t="str">
        <f>IFERROR(
    IF(
        OR(ISBLANK(N2208), AND(ISBLANK(L2208), ISBLANK(M2208))),
        "",
        MAX(
            1,
            IF(
                NETWORKDAYS(IF(NOT(ISBLANK(M2208)), M2208, L2208), N2208, Holiday_Dates) &lt;= 0,
                1,
                NETWORKDAYS(IF(NOT(ISBLANK(M2208)), M2208, L2208), N2208, Holiday_Dates)
                - IF(IF(NOT(ISBLANK(M2208)), M2208, L2208) = N2208, 0, 1)
            )
        )
    ),
    ""
)</f>
        <v/>
      </c>
      <c r="S2208" s="385" t="str">
        <f>IFERROR(
    IF(
        OR(ISBLANK(N2208), ISBLANK(O2208)),
        "",
        MAX(
            1,
            IF(
                NETWORKDAYS(N2208, O2208, Holiday_Dates) &lt;= 0,
                1,
                NETWORKDAYS(N2208, O2208, Holiday_Dates) - IF(N2208 = O2208, 0, 1)
            )
        )
    ),
    ""
)</f>
        <v/>
      </c>
      <c r="T2208" s="385"/>
      <c r="U2208" s="385"/>
      <c r="V2208" s="385"/>
      <c r="W2208" s="385" t="s">
        <v>4710</v>
      </c>
      <c r="X2208" s="1"/>
    </row>
    <row r="2209" spans="1:24">
      <c r="A2209" s="385" t="s">
        <v>65</v>
      </c>
      <c r="B2209" s="385" t="s">
        <v>511</v>
      </c>
      <c r="C2209" s="385" t="s">
        <v>3054</v>
      </c>
      <c r="D2209" s="385" t="s">
        <v>88</v>
      </c>
      <c r="E2209" s="385" t="s">
        <v>29</v>
      </c>
      <c r="F2209" s="385"/>
      <c r="G2209" s="385" t="s">
        <v>130</v>
      </c>
      <c r="H2209" s="385"/>
      <c r="I2209" s="385"/>
      <c r="J2209" s="30"/>
      <c r="K2209" s="385"/>
      <c r="L2209" s="385"/>
      <c r="M2209" s="385"/>
      <c r="N2209" s="385"/>
      <c r="O2209" s="385"/>
      <c r="P2209" s="385" t="str">
        <f>IFERROR(
    IF(
        OR(ISBLANK(I2209), ISBLANK(L2209)),
        "",
        MAX(
            1,
            IF(
                NETWORKDAYS(I2209, L2209, Holiday_Dates) &lt;= 0,
                1,
                NETWORKDAYS(I2209, L2209, Holiday_Dates) - IF(I2209 = L2209, 0, 1)
            )
        )
    ),
    ""
)</f>
        <v/>
      </c>
      <c r="Q2209" s="385" t="str">
        <f>IF(
    OR(ISBLANK(L2209), ISBLANK(M2209)),
    "",
    MAX(
        1,
        IF(
            NETWORKDAYS(L2209, M2209, Holiday_Dates) &lt;= 0,
            1,
            NETWORKDAYS(L2209, M2209, Holiday_Dates) - IF(L2209 = M2209, 0, 1)
        )
    )
)</f>
        <v/>
      </c>
      <c r="R2209" s="385" t="str">
        <f>IFERROR(
    IF(
        OR(ISBLANK(N2209), AND(ISBLANK(L2209), ISBLANK(M2209))),
        "",
        MAX(
            1,
            IF(
                NETWORKDAYS(IF(NOT(ISBLANK(M2209)), M2209, L2209), N2209, Holiday_Dates) &lt;= 0,
                1,
                NETWORKDAYS(IF(NOT(ISBLANK(M2209)), M2209, L2209), N2209, Holiday_Dates)
                - IF(IF(NOT(ISBLANK(M2209)), M2209, L2209) = N2209, 0, 1)
            )
        )
    ),
    ""
)</f>
        <v/>
      </c>
      <c r="S2209" s="385" t="str">
        <f>IFERROR(
    IF(
        OR(ISBLANK(N2209), ISBLANK(O2209)),
        "",
        MAX(
            1,
            IF(
                NETWORKDAYS(N2209, O2209, Holiday_Dates) &lt;= 0,
                1,
                NETWORKDAYS(N2209, O2209, Holiday_Dates) - IF(N2209 = O2209, 0, 1)
            )
        )
    ),
    ""
)</f>
        <v/>
      </c>
      <c r="T2209" s="385"/>
      <c r="U2209" s="385"/>
      <c r="V2209" s="385"/>
      <c r="W2209" s="385" t="s">
        <v>4710</v>
      </c>
      <c r="X2209" s="1"/>
    </row>
    <row r="2210" spans="1:24">
      <c r="A2210" s="385" t="s">
        <v>65</v>
      </c>
      <c r="B2210" s="385" t="s">
        <v>511</v>
      </c>
      <c r="C2210" s="385" t="s">
        <v>3055</v>
      </c>
      <c r="D2210" s="385" t="s">
        <v>88</v>
      </c>
      <c r="E2210" s="385" t="s">
        <v>29</v>
      </c>
      <c r="F2210" s="385"/>
      <c r="G2210" s="385" t="s">
        <v>130</v>
      </c>
      <c r="H2210" s="385"/>
      <c r="I2210" s="385"/>
      <c r="J2210" s="30"/>
      <c r="K2210" s="385"/>
      <c r="L2210" s="385"/>
      <c r="M2210" s="385"/>
      <c r="N2210" s="385"/>
      <c r="O2210" s="385"/>
      <c r="P2210" s="385" t="str">
        <f>IFERROR(
    IF(
        OR(ISBLANK(I2210), ISBLANK(L2210)),
        "",
        MAX(
            1,
            IF(
                NETWORKDAYS(I2210, L2210, Holiday_Dates) &lt;= 0,
                1,
                NETWORKDAYS(I2210, L2210, Holiday_Dates) - IF(I2210 = L2210, 0, 1)
            )
        )
    ),
    ""
)</f>
        <v/>
      </c>
      <c r="Q2210" s="385" t="str">
        <f>IF(
    OR(ISBLANK(L2210), ISBLANK(M2210)),
    "",
    MAX(
        1,
        IF(
            NETWORKDAYS(L2210, M2210, Holiday_Dates) &lt;= 0,
            1,
            NETWORKDAYS(L2210, M2210, Holiday_Dates) - IF(L2210 = M2210, 0, 1)
        )
    )
)</f>
        <v/>
      </c>
      <c r="R2210" s="385" t="str">
        <f>IFERROR(
    IF(
        OR(ISBLANK(N2210), AND(ISBLANK(L2210), ISBLANK(M2210))),
        "",
        MAX(
            1,
            IF(
                NETWORKDAYS(IF(NOT(ISBLANK(M2210)), M2210, L2210), N2210, Holiday_Dates) &lt;= 0,
                1,
                NETWORKDAYS(IF(NOT(ISBLANK(M2210)), M2210, L2210), N2210, Holiday_Dates)
                - IF(IF(NOT(ISBLANK(M2210)), M2210, L2210) = N2210, 0, 1)
            )
        )
    ),
    ""
)</f>
        <v/>
      </c>
      <c r="S2210" s="385" t="str">
        <f>IFERROR(
    IF(
        OR(ISBLANK(N2210), ISBLANK(O2210)),
        "",
        MAX(
            1,
            IF(
                NETWORKDAYS(N2210, O2210, Holiday_Dates) &lt;= 0,
                1,
                NETWORKDAYS(N2210, O2210, Holiday_Dates) - IF(N2210 = O2210, 0, 1)
            )
        )
    ),
    ""
)</f>
        <v/>
      </c>
      <c r="T2210" s="385"/>
      <c r="U2210" s="385"/>
      <c r="V2210" s="385"/>
      <c r="W2210" s="385" t="s">
        <v>4710</v>
      </c>
      <c r="X2210" s="1"/>
    </row>
    <row r="2211" spans="1:24">
      <c r="A2211" s="385" t="s">
        <v>65</v>
      </c>
      <c r="B2211" s="385" t="s">
        <v>511</v>
      </c>
      <c r="C2211" s="385" t="s">
        <v>452</v>
      </c>
      <c r="D2211" s="385" t="s">
        <v>88</v>
      </c>
      <c r="E2211" s="385" t="s">
        <v>29</v>
      </c>
      <c r="F2211" s="385"/>
      <c r="G2211" s="385" t="s">
        <v>130</v>
      </c>
      <c r="H2211" s="385"/>
      <c r="I2211" s="385"/>
      <c r="J2211" s="30"/>
      <c r="K2211" s="385"/>
      <c r="L2211" s="385"/>
      <c r="M2211" s="385"/>
      <c r="N2211" s="385"/>
      <c r="O2211" s="385"/>
      <c r="P2211" s="385" t="str">
        <f>IFERROR(
    IF(
        OR(ISBLANK(I2211), ISBLANK(L2211)),
        "",
        MAX(
            1,
            IF(
                NETWORKDAYS(I2211, L2211, Holiday_Dates) &lt;= 0,
                1,
                NETWORKDAYS(I2211, L2211, Holiday_Dates) - IF(I2211 = L2211, 0, 1)
            )
        )
    ),
    ""
)</f>
        <v/>
      </c>
      <c r="Q2211" s="385" t="str">
        <f>IF(
    OR(ISBLANK(L2211), ISBLANK(M2211)),
    "",
    MAX(
        1,
        IF(
            NETWORKDAYS(L2211, M2211, Holiday_Dates) &lt;= 0,
            1,
            NETWORKDAYS(L2211, M2211, Holiday_Dates) - IF(L2211 = M2211, 0, 1)
        )
    )
)</f>
        <v/>
      </c>
      <c r="R2211" s="385" t="str">
        <f>IFERROR(
    IF(
        OR(ISBLANK(N2211), AND(ISBLANK(L2211), ISBLANK(M2211))),
        "",
        MAX(
            1,
            IF(
                NETWORKDAYS(IF(NOT(ISBLANK(M2211)), M2211, L2211), N2211, Holiday_Dates) &lt;= 0,
                1,
                NETWORKDAYS(IF(NOT(ISBLANK(M2211)), M2211, L2211), N2211, Holiday_Dates)
                - IF(IF(NOT(ISBLANK(M2211)), M2211, L2211) = N2211, 0, 1)
            )
        )
    ),
    ""
)</f>
        <v/>
      </c>
      <c r="S2211" s="385" t="str">
        <f>IFERROR(
    IF(
        OR(ISBLANK(N2211), ISBLANK(O2211)),
        "",
        MAX(
            1,
            IF(
                NETWORKDAYS(N2211, O2211, Holiday_Dates) &lt;= 0,
                1,
                NETWORKDAYS(N2211, O2211, Holiday_Dates) - IF(N2211 = O2211, 0, 1)
            )
        )
    ),
    ""
)</f>
        <v/>
      </c>
      <c r="T2211" s="385"/>
      <c r="U2211" s="385"/>
      <c r="V2211" s="385"/>
      <c r="W2211" s="385" t="s">
        <v>4710</v>
      </c>
      <c r="X2211" s="1"/>
    </row>
    <row r="2212" spans="1:24">
      <c r="A2212" s="385" t="s">
        <v>65</v>
      </c>
      <c r="B2212" s="385" t="s">
        <v>511</v>
      </c>
      <c r="C2212" s="385" t="s">
        <v>554</v>
      </c>
      <c r="D2212" s="385" t="s">
        <v>88</v>
      </c>
      <c r="E2212" s="385" t="s">
        <v>29</v>
      </c>
      <c r="F2212" s="385"/>
      <c r="G2212" s="385" t="s">
        <v>130</v>
      </c>
      <c r="H2212" s="385"/>
      <c r="I2212" s="385"/>
      <c r="J2212" s="30"/>
      <c r="K2212" s="385"/>
      <c r="L2212" s="385"/>
      <c r="M2212" s="385"/>
      <c r="N2212" s="385"/>
      <c r="O2212" s="385"/>
      <c r="P2212" s="385" t="str">
        <f>IFERROR(
    IF(
        OR(ISBLANK(I2212), ISBLANK(L2212)),
        "",
        MAX(
            1,
            IF(
                NETWORKDAYS(I2212, L2212, Holiday_Dates) &lt;= 0,
                1,
                NETWORKDAYS(I2212, L2212, Holiday_Dates) - IF(I2212 = L2212, 0, 1)
            )
        )
    ),
    ""
)</f>
        <v/>
      </c>
      <c r="Q2212" s="385" t="str">
        <f>IF(
    OR(ISBLANK(L2212), ISBLANK(M2212)),
    "",
    MAX(
        1,
        IF(
            NETWORKDAYS(L2212, M2212, Holiday_Dates) &lt;= 0,
            1,
            NETWORKDAYS(L2212, M2212, Holiday_Dates) - IF(L2212 = M2212, 0, 1)
        )
    )
)</f>
        <v/>
      </c>
      <c r="R2212" s="385" t="str">
        <f>IFERROR(
    IF(
        OR(ISBLANK(N2212), AND(ISBLANK(L2212), ISBLANK(M2212))),
        "",
        MAX(
            1,
            IF(
                NETWORKDAYS(IF(NOT(ISBLANK(M2212)), M2212, L2212), N2212, Holiday_Dates) &lt;= 0,
                1,
                NETWORKDAYS(IF(NOT(ISBLANK(M2212)), M2212, L2212), N2212, Holiday_Dates)
                - IF(IF(NOT(ISBLANK(M2212)), M2212, L2212) = N2212, 0, 1)
            )
        )
    ),
    ""
)</f>
        <v/>
      </c>
      <c r="S2212" s="385" t="str">
        <f>IFERROR(
    IF(
        OR(ISBLANK(N2212), ISBLANK(O2212)),
        "",
        MAX(
            1,
            IF(
                NETWORKDAYS(N2212, O2212, Holiday_Dates) &lt;= 0,
                1,
                NETWORKDAYS(N2212, O2212, Holiday_Dates) - IF(N2212 = O2212, 0, 1)
            )
        )
    ),
    ""
)</f>
        <v/>
      </c>
      <c r="T2212" s="385"/>
      <c r="U2212" s="385"/>
      <c r="V2212" s="385"/>
      <c r="W2212" s="385" t="s">
        <v>4710</v>
      </c>
      <c r="X2212" s="1"/>
    </row>
    <row r="2213" spans="1:24">
      <c r="A2213" s="385" t="s">
        <v>65</v>
      </c>
      <c r="B2213" s="385" t="s">
        <v>511</v>
      </c>
      <c r="C2213" s="385" t="s">
        <v>1656</v>
      </c>
      <c r="D2213" s="385" t="s">
        <v>88</v>
      </c>
      <c r="E2213" s="385" t="s">
        <v>29</v>
      </c>
      <c r="F2213" s="385"/>
      <c r="G2213" s="385" t="s">
        <v>130</v>
      </c>
      <c r="H2213" s="385"/>
      <c r="I2213" s="385"/>
      <c r="J2213" s="30"/>
      <c r="K2213" s="385"/>
      <c r="L2213" s="385"/>
      <c r="M2213" s="385"/>
      <c r="N2213" s="385"/>
      <c r="O2213" s="385"/>
      <c r="P2213" s="385" t="str">
        <f>IFERROR(
    IF(
        OR(ISBLANK(I2213), ISBLANK(L2213)),
        "",
        MAX(
            1,
            IF(
                NETWORKDAYS(I2213, L2213, Holiday_Dates) &lt;= 0,
                1,
                NETWORKDAYS(I2213, L2213, Holiday_Dates) - IF(I2213 = L2213, 0, 1)
            )
        )
    ),
    ""
)</f>
        <v/>
      </c>
      <c r="Q2213" s="385" t="str">
        <f>IF(
    OR(ISBLANK(L2213), ISBLANK(M2213)),
    "",
    MAX(
        1,
        IF(
            NETWORKDAYS(L2213, M2213, Holiday_Dates) &lt;= 0,
            1,
            NETWORKDAYS(L2213, M2213, Holiday_Dates) - IF(L2213 = M2213, 0, 1)
        )
    )
)</f>
        <v/>
      </c>
      <c r="R2213" s="385" t="str">
        <f>IFERROR(
    IF(
        OR(ISBLANK(N2213), AND(ISBLANK(L2213), ISBLANK(M2213))),
        "",
        MAX(
            1,
            IF(
                NETWORKDAYS(IF(NOT(ISBLANK(M2213)), M2213, L2213), N2213, Holiday_Dates) &lt;= 0,
                1,
                NETWORKDAYS(IF(NOT(ISBLANK(M2213)), M2213, L2213), N2213, Holiday_Dates)
                - IF(IF(NOT(ISBLANK(M2213)), M2213, L2213) = N2213, 0, 1)
            )
        )
    ),
    ""
)</f>
        <v/>
      </c>
      <c r="S2213" s="385" t="str">
        <f>IFERROR(
    IF(
        OR(ISBLANK(N2213), ISBLANK(O2213)),
        "",
        MAX(
            1,
            IF(
                NETWORKDAYS(N2213, O2213, Holiday_Dates) &lt;= 0,
                1,
                NETWORKDAYS(N2213, O2213, Holiday_Dates) - IF(N2213 = O2213, 0, 1)
            )
        )
    ),
    ""
)</f>
        <v/>
      </c>
      <c r="T2213" s="385"/>
      <c r="U2213" s="385"/>
      <c r="V2213" s="385"/>
      <c r="W2213" s="385" t="s">
        <v>4710</v>
      </c>
      <c r="X2213" s="1"/>
    </row>
    <row r="2214" spans="1:24">
      <c r="A2214" s="385" t="s">
        <v>65</v>
      </c>
      <c r="B2214" s="385" t="s">
        <v>511</v>
      </c>
      <c r="C2214" s="385" t="s">
        <v>3067</v>
      </c>
      <c r="D2214" s="385" t="s">
        <v>88</v>
      </c>
      <c r="E2214" s="385" t="s">
        <v>29</v>
      </c>
      <c r="F2214" s="385"/>
      <c r="G2214" s="385" t="s">
        <v>130</v>
      </c>
      <c r="H2214" s="385"/>
      <c r="I2214" s="385"/>
      <c r="J2214" s="30"/>
      <c r="K2214" s="385"/>
      <c r="L2214" s="385"/>
      <c r="M2214" s="385"/>
      <c r="N2214" s="385"/>
      <c r="O2214" s="385"/>
      <c r="P2214" s="385" t="str">
        <f>IFERROR(
    IF(
        OR(ISBLANK(I2214), ISBLANK(L2214)),
        "",
        MAX(
            1,
            IF(
                NETWORKDAYS(I2214, L2214, Holiday_Dates) &lt;= 0,
                1,
                NETWORKDAYS(I2214, L2214, Holiday_Dates) - IF(I2214 = L2214, 0, 1)
            )
        )
    ),
    ""
)</f>
        <v/>
      </c>
      <c r="Q2214" s="385" t="str">
        <f>IF(
    OR(ISBLANK(L2214), ISBLANK(M2214)),
    "",
    MAX(
        1,
        IF(
            NETWORKDAYS(L2214, M2214, Holiday_Dates) &lt;= 0,
            1,
            NETWORKDAYS(L2214, M2214, Holiday_Dates) - IF(L2214 = M2214, 0, 1)
        )
    )
)</f>
        <v/>
      </c>
      <c r="R2214" s="385" t="str">
        <f>IFERROR(
    IF(
        OR(ISBLANK(N2214), AND(ISBLANK(L2214), ISBLANK(M2214))),
        "",
        MAX(
            1,
            IF(
                NETWORKDAYS(IF(NOT(ISBLANK(M2214)), M2214, L2214), N2214, Holiday_Dates) &lt;= 0,
                1,
                NETWORKDAYS(IF(NOT(ISBLANK(M2214)), M2214, L2214), N2214, Holiday_Dates)
                - IF(IF(NOT(ISBLANK(M2214)), M2214, L2214) = N2214, 0, 1)
            )
        )
    ),
    ""
)</f>
        <v/>
      </c>
      <c r="S2214" s="385" t="str">
        <f>IFERROR(
    IF(
        OR(ISBLANK(N2214), ISBLANK(O2214)),
        "",
        MAX(
            1,
            IF(
                NETWORKDAYS(N2214, O2214, Holiday_Dates) &lt;= 0,
                1,
                NETWORKDAYS(N2214, O2214, Holiday_Dates) - IF(N2214 = O2214, 0, 1)
            )
        )
    ),
    ""
)</f>
        <v/>
      </c>
      <c r="T2214" s="385"/>
      <c r="U2214" s="385"/>
      <c r="V2214" s="385"/>
      <c r="W2214" s="385" t="s">
        <v>4710</v>
      </c>
      <c r="X2214" s="1"/>
    </row>
    <row r="2215" spans="1:24">
      <c r="A2215" s="385" t="s">
        <v>65</v>
      </c>
      <c r="B2215" s="385" t="s">
        <v>511</v>
      </c>
      <c r="C2215" s="385" t="s">
        <v>3070</v>
      </c>
      <c r="D2215" s="385" t="s">
        <v>88</v>
      </c>
      <c r="E2215" s="385" t="s">
        <v>29</v>
      </c>
      <c r="F2215" s="385"/>
      <c r="G2215" s="385" t="s">
        <v>130</v>
      </c>
      <c r="H2215" s="385"/>
      <c r="I2215" s="385"/>
      <c r="J2215" s="30"/>
      <c r="K2215" s="385"/>
      <c r="L2215" s="385"/>
      <c r="M2215" s="385"/>
      <c r="N2215" s="385"/>
      <c r="O2215" s="385"/>
      <c r="P2215" s="385" t="str">
        <f>IFERROR(
    IF(
        OR(ISBLANK(I2215), ISBLANK(L2215)),
        "",
        MAX(
            1,
            IF(
                NETWORKDAYS(I2215, L2215, Holiday_Dates) &lt;= 0,
                1,
                NETWORKDAYS(I2215, L2215, Holiday_Dates) - IF(I2215 = L2215, 0, 1)
            )
        )
    ),
    ""
)</f>
        <v/>
      </c>
      <c r="Q2215" s="385" t="str">
        <f>IF(
    OR(ISBLANK(L2215), ISBLANK(M2215)),
    "",
    MAX(
        1,
        IF(
            NETWORKDAYS(L2215, M2215, Holiday_Dates) &lt;= 0,
            1,
            NETWORKDAYS(L2215, M2215, Holiday_Dates) - IF(L2215 = M2215, 0, 1)
        )
    )
)</f>
        <v/>
      </c>
      <c r="R2215" s="385" t="str">
        <f>IFERROR(
    IF(
        OR(ISBLANK(N2215), AND(ISBLANK(L2215), ISBLANK(M2215))),
        "",
        MAX(
            1,
            IF(
                NETWORKDAYS(IF(NOT(ISBLANK(M2215)), M2215, L2215), N2215, Holiday_Dates) &lt;= 0,
                1,
                NETWORKDAYS(IF(NOT(ISBLANK(M2215)), M2215, L2215), N2215, Holiday_Dates)
                - IF(IF(NOT(ISBLANK(M2215)), M2215, L2215) = N2215, 0, 1)
            )
        )
    ),
    ""
)</f>
        <v/>
      </c>
      <c r="S2215" s="385" t="str">
        <f>IFERROR(
    IF(
        OR(ISBLANK(N2215), ISBLANK(O2215)),
        "",
        MAX(
            1,
            IF(
                NETWORKDAYS(N2215, O2215, Holiday_Dates) &lt;= 0,
                1,
                NETWORKDAYS(N2215, O2215, Holiday_Dates) - IF(N2215 = O2215, 0, 1)
            )
        )
    ),
    ""
)</f>
        <v/>
      </c>
      <c r="T2215" s="385"/>
      <c r="U2215" s="385"/>
      <c r="V2215" s="385"/>
      <c r="W2215" s="385" t="s">
        <v>4710</v>
      </c>
      <c r="X2215" s="1"/>
    </row>
    <row r="2216" spans="1:24">
      <c r="A2216" s="385" t="s">
        <v>65</v>
      </c>
      <c r="B2216" s="385" t="s">
        <v>511</v>
      </c>
      <c r="C2216" s="385" t="s">
        <v>3071</v>
      </c>
      <c r="D2216" s="385" t="s">
        <v>88</v>
      </c>
      <c r="E2216" s="385" t="s">
        <v>29</v>
      </c>
      <c r="F2216" s="385"/>
      <c r="G2216" s="385" t="s">
        <v>130</v>
      </c>
      <c r="H2216" s="385"/>
      <c r="I2216" s="385"/>
      <c r="J2216" s="30"/>
      <c r="K2216" s="385"/>
      <c r="L2216" s="385"/>
      <c r="M2216" s="385"/>
      <c r="N2216" s="385"/>
      <c r="O2216" s="385"/>
      <c r="P2216" s="385" t="str">
        <f>IFERROR(
    IF(
        OR(ISBLANK(I2216), ISBLANK(L2216)),
        "",
        MAX(
            1,
            IF(
                NETWORKDAYS(I2216, L2216, Holiday_Dates) &lt;= 0,
                1,
                NETWORKDAYS(I2216, L2216, Holiday_Dates) - IF(I2216 = L2216, 0, 1)
            )
        )
    ),
    ""
)</f>
        <v/>
      </c>
      <c r="Q2216" s="385" t="str">
        <f>IF(
    OR(ISBLANK(L2216), ISBLANK(M2216)),
    "",
    MAX(
        1,
        IF(
            NETWORKDAYS(L2216, M2216, Holiday_Dates) &lt;= 0,
            1,
            NETWORKDAYS(L2216, M2216, Holiday_Dates) - IF(L2216 = M2216, 0, 1)
        )
    )
)</f>
        <v/>
      </c>
      <c r="R2216" s="385" t="str">
        <f>IFERROR(
    IF(
        OR(ISBLANK(N2216), AND(ISBLANK(L2216), ISBLANK(M2216))),
        "",
        MAX(
            1,
            IF(
                NETWORKDAYS(IF(NOT(ISBLANK(M2216)), M2216, L2216), N2216, Holiday_Dates) &lt;= 0,
                1,
                NETWORKDAYS(IF(NOT(ISBLANK(M2216)), M2216, L2216), N2216, Holiday_Dates)
                - IF(IF(NOT(ISBLANK(M2216)), M2216, L2216) = N2216, 0, 1)
            )
        )
    ),
    ""
)</f>
        <v/>
      </c>
      <c r="S2216" s="385" t="str">
        <f>IFERROR(
    IF(
        OR(ISBLANK(N2216), ISBLANK(O2216)),
        "",
        MAX(
            1,
            IF(
                NETWORKDAYS(N2216, O2216, Holiday_Dates) &lt;= 0,
                1,
                NETWORKDAYS(N2216, O2216, Holiday_Dates) - IF(N2216 = O2216, 0, 1)
            )
        )
    ),
    ""
)</f>
        <v/>
      </c>
      <c r="T2216" s="385"/>
      <c r="U2216" s="385"/>
      <c r="V2216" s="385"/>
      <c r="W2216" s="385" t="s">
        <v>4710</v>
      </c>
      <c r="X2216" s="1"/>
    </row>
    <row r="2217" spans="1:24">
      <c r="A2217" s="385" t="s">
        <v>65</v>
      </c>
      <c r="B2217" s="385" t="s">
        <v>511</v>
      </c>
      <c r="C2217" s="385" t="s">
        <v>3072</v>
      </c>
      <c r="D2217" s="385" t="s">
        <v>88</v>
      </c>
      <c r="E2217" s="385" t="s">
        <v>29</v>
      </c>
      <c r="F2217" s="385"/>
      <c r="G2217" s="385" t="s">
        <v>130</v>
      </c>
      <c r="H2217" s="385"/>
      <c r="I2217" s="385"/>
      <c r="J2217" s="30"/>
      <c r="K2217" s="385"/>
      <c r="L2217" s="385"/>
      <c r="M2217" s="385"/>
      <c r="N2217" s="385"/>
      <c r="O2217" s="385"/>
      <c r="P2217" s="385" t="str">
        <f>IFERROR(
    IF(
        OR(ISBLANK(I2217), ISBLANK(L2217)),
        "",
        MAX(
            1,
            IF(
                NETWORKDAYS(I2217, L2217, Holiday_Dates) &lt;= 0,
                1,
                NETWORKDAYS(I2217, L2217, Holiday_Dates) - IF(I2217 = L2217, 0, 1)
            )
        )
    ),
    ""
)</f>
        <v/>
      </c>
      <c r="Q2217" s="385" t="str">
        <f>IF(
    OR(ISBLANK(L2217), ISBLANK(M2217)),
    "",
    MAX(
        1,
        IF(
            NETWORKDAYS(L2217, M2217, Holiday_Dates) &lt;= 0,
            1,
            NETWORKDAYS(L2217, M2217, Holiday_Dates) - IF(L2217 = M2217, 0, 1)
        )
    )
)</f>
        <v/>
      </c>
      <c r="R2217" s="385" t="str">
        <f>IFERROR(
    IF(
        OR(ISBLANK(N2217), AND(ISBLANK(L2217), ISBLANK(M2217))),
        "",
        MAX(
            1,
            IF(
                NETWORKDAYS(IF(NOT(ISBLANK(M2217)), M2217, L2217), N2217, Holiday_Dates) &lt;= 0,
                1,
                NETWORKDAYS(IF(NOT(ISBLANK(M2217)), M2217, L2217), N2217, Holiday_Dates)
                - IF(IF(NOT(ISBLANK(M2217)), M2217, L2217) = N2217, 0, 1)
            )
        )
    ),
    ""
)</f>
        <v/>
      </c>
      <c r="S2217" s="385" t="str">
        <f>IFERROR(
    IF(
        OR(ISBLANK(N2217), ISBLANK(O2217)),
        "",
        MAX(
            1,
            IF(
                NETWORKDAYS(N2217, O2217, Holiday_Dates) &lt;= 0,
                1,
                NETWORKDAYS(N2217, O2217, Holiday_Dates) - IF(N2217 = O2217, 0, 1)
            )
        )
    ),
    ""
)</f>
        <v/>
      </c>
      <c r="T2217" s="385"/>
      <c r="U2217" s="385"/>
      <c r="V2217" s="385"/>
      <c r="W2217" s="385" t="s">
        <v>4710</v>
      </c>
      <c r="X2217" s="1"/>
    </row>
    <row r="2218" spans="1:24">
      <c r="A2218" s="385" t="s">
        <v>65</v>
      </c>
      <c r="B2218" s="385" t="s">
        <v>511</v>
      </c>
      <c r="C2218" s="385" t="s">
        <v>3073</v>
      </c>
      <c r="D2218" s="385" t="s">
        <v>88</v>
      </c>
      <c r="E2218" s="385" t="s">
        <v>29</v>
      </c>
      <c r="F2218" s="385"/>
      <c r="G2218" s="385" t="s">
        <v>130</v>
      </c>
      <c r="H2218" s="385"/>
      <c r="I2218" s="385"/>
      <c r="J2218" s="30"/>
      <c r="K2218" s="385"/>
      <c r="L2218" s="385"/>
      <c r="M2218" s="385"/>
      <c r="N2218" s="385"/>
      <c r="O2218" s="385"/>
      <c r="P2218" s="385" t="str">
        <f>IFERROR(
    IF(
        OR(ISBLANK(I2218), ISBLANK(L2218)),
        "",
        MAX(
            1,
            IF(
                NETWORKDAYS(I2218, L2218, Holiday_Dates) &lt;= 0,
                1,
                NETWORKDAYS(I2218, L2218, Holiday_Dates) - IF(I2218 = L2218, 0, 1)
            )
        )
    ),
    ""
)</f>
        <v/>
      </c>
      <c r="Q2218" s="385" t="str">
        <f>IF(
    OR(ISBLANK(L2218), ISBLANK(M2218)),
    "",
    MAX(
        1,
        IF(
            NETWORKDAYS(L2218, M2218, Holiday_Dates) &lt;= 0,
            1,
            NETWORKDAYS(L2218, M2218, Holiday_Dates) - IF(L2218 = M2218, 0, 1)
        )
    )
)</f>
        <v/>
      </c>
      <c r="R2218" s="385" t="str">
        <f>IFERROR(
    IF(
        OR(ISBLANK(N2218), AND(ISBLANK(L2218), ISBLANK(M2218))),
        "",
        MAX(
            1,
            IF(
                NETWORKDAYS(IF(NOT(ISBLANK(M2218)), M2218, L2218), N2218, Holiday_Dates) &lt;= 0,
                1,
                NETWORKDAYS(IF(NOT(ISBLANK(M2218)), M2218, L2218), N2218, Holiday_Dates)
                - IF(IF(NOT(ISBLANK(M2218)), M2218, L2218) = N2218, 0, 1)
            )
        )
    ),
    ""
)</f>
        <v/>
      </c>
      <c r="S2218" s="385" t="str">
        <f>IFERROR(
    IF(
        OR(ISBLANK(N2218), ISBLANK(O2218)),
        "",
        MAX(
            1,
            IF(
                NETWORKDAYS(N2218, O2218, Holiday_Dates) &lt;= 0,
                1,
                NETWORKDAYS(N2218, O2218, Holiday_Dates) - IF(N2218 = O2218, 0, 1)
            )
        )
    ),
    ""
)</f>
        <v/>
      </c>
      <c r="T2218" s="385"/>
      <c r="U2218" s="385"/>
      <c r="V2218" s="385"/>
      <c r="W2218" s="385" t="s">
        <v>4710</v>
      </c>
      <c r="X2218" s="1"/>
    </row>
    <row r="2219" spans="1:24">
      <c r="A2219" s="385" t="s">
        <v>65</v>
      </c>
      <c r="B2219" s="385" t="s">
        <v>388</v>
      </c>
      <c r="C2219" s="385" t="s">
        <v>3344</v>
      </c>
      <c r="D2219" s="385" t="s">
        <v>88</v>
      </c>
      <c r="E2219" s="385" t="s">
        <v>26</v>
      </c>
      <c r="F2219" s="385"/>
      <c r="G2219" s="385" t="s">
        <v>130</v>
      </c>
      <c r="H2219" s="385"/>
      <c r="I2219" s="385"/>
      <c r="J2219" s="30"/>
      <c r="K2219" s="385"/>
      <c r="L2219" s="385"/>
      <c r="M2219" s="385"/>
      <c r="N2219" s="385"/>
      <c r="O2219" s="385"/>
      <c r="P2219" s="385" t="str">
        <f>IFERROR(
    IF(
        OR(ISBLANK(I2219), ISBLANK(L2219)),
        "",
        MAX(
            1,
            IF(
                NETWORKDAYS(I2219, L2219, Holiday_Dates) &lt;= 0,
                1,
                NETWORKDAYS(I2219, L2219, Holiday_Dates) - IF(I2219 = L2219, 0, 1)
            )
        )
    ),
    ""
)</f>
        <v/>
      </c>
      <c r="Q2219" s="385" t="str">
        <f>IF(
    OR(ISBLANK(L2219), ISBLANK(M2219)),
    "",
    MAX(
        1,
        IF(
            NETWORKDAYS(L2219, M2219, Holiday_Dates) &lt;= 0,
            1,
            NETWORKDAYS(L2219, M2219, Holiday_Dates) - IF(L2219 = M2219, 0, 1)
        )
    )
)</f>
        <v/>
      </c>
      <c r="R2219" s="385" t="str">
        <f>IFERROR(
    IF(
        OR(ISBLANK(N2219), AND(ISBLANK(L2219), ISBLANK(M2219))),
        "",
        MAX(
            1,
            IF(
                NETWORKDAYS(IF(NOT(ISBLANK(M2219)), M2219, L2219), N2219, Holiday_Dates) &lt;= 0,
                1,
                NETWORKDAYS(IF(NOT(ISBLANK(M2219)), M2219, L2219), N2219, Holiday_Dates)
                - IF(IF(NOT(ISBLANK(M2219)), M2219, L2219) = N2219, 0, 1)
            )
        )
    ),
    ""
)</f>
        <v/>
      </c>
      <c r="S2219" s="385" t="str">
        <f>IFERROR(
    IF(
        OR(ISBLANK(N2219), ISBLANK(O2219)),
        "",
        MAX(
            1,
            IF(
                NETWORKDAYS(N2219, O2219, Holiday_Dates) &lt;= 0,
                1,
                NETWORKDAYS(N2219, O2219, Holiday_Dates) - IF(N2219 = O2219, 0, 1)
            )
        )
    ),
    ""
)</f>
        <v/>
      </c>
      <c r="T2219" s="385"/>
      <c r="U2219" s="385"/>
      <c r="V2219" s="385"/>
      <c r="W2219" s="385" t="s">
        <v>4710</v>
      </c>
      <c r="X2219" s="1"/>
    </row>
    <row r="2220" spans="1:24">
      <c r="A2220" s="385" t="s">
        <v>65</v>
      </c>
      <c r="B2220" s="385" t="s">
        <v>388</v>
      </c>
      <c r="C2220" s="385" t="s">
        <v>3345</v>
      </c>
      <c r="D2220" s="385" t="s">
        <v>88</v>
      </c>
      <c r="E2220" s="385" t="s">
        <v>26</v>
      </c>
      <c r="F2220" s="385"/>
      <c r="G2220" s="385" t="s">
        <v>130</v>
      </c>
      <c r="H2220" s="385"/>
      <c r="I2220" s="385"/>
      <c r="J2220" s="30"/>
      <c r="K2220" s="385"/>
      <c r="L2220" s="385"/>
      <c r="M2220" s="385"/>
      <c r="N2220" s="385"/>
      <c r="O2220" s="385"/>
      <c r="P2220" s="385" t="str">
        <f>IFERROR(
    IF(
        OR(ISBLANK(I2220), ISBLANK(L2220)),
        "",
        MAX(
            1,
            IF(
                NETWORKDAYS(I2220, L2220, Holiday_Dates) &lt;= 0,
                1,
                NETWORKDAYS(I2220, L2220, Holiday_Dates) - IF(I2220 = L2220, 0, 1)
            )
        )
    ),
    ""
)</f>
        <v/>
      </c>
      <c r="Q2220" s="385" t="str">
        <f>IF(
    OR(ISBLANK(L2220), ISBLANK(M2220)),
    "",
    MAX(
        1,
        IF(
            NETWORKDAYS(L2220, M2220, Holiday_Dates) &lt;= 0,
            1,
            NETWORKDAYS(L2220, M2220, Holiday_Dates) - IF(L2220 = M2220, 0, 1)
        )
    )
)</f>
        <v/>
      </c>
      <c r="R2220" s="385" t="str">
        <f>IFERROR(
    IF(
        OR(ISBLANK(N2220), AND(ISBLANK(L2220), ISBLANK(M2220))),
        "",
        MAX(
            1,
            IF(
                NETWORKDAYS(IF(NOT(ISBLANK(M2220)), M2220, L2220), N2220, Holiday_Dates) &lt;= 0,
                1,
                NETWORKDAYS(IF(NOT(ISBLANK(M2220)), M2220, L2220), N2220, Holiday_Dates)
                - IF(IF(NOT(ISBLANK(M2220)), M2220, L2220) = N2220, 0, 1)
            )
        )
    ),
    ""
)</f>
        <v/>
      </c>
      <c r="S2220" s="385" t="str">
        <f>IFERROR(
    IF(
        OR(ISBLANK(N2220), ISBLANK(O2220)),
        "",
        MAX(
            1,
            IF(
                NETWORKDAYS(N2220, O2220, Holiday_Dates) &lt;= 0,
                1,
                NETWORKDAYS(N2220, O2220, Holiday_Dates) - IF(N2220 = O2220, 0, 1)
            )
        )
    ),
    ""
)</f>
        <v/>
      </c>
      <c r="T2220" s="385"/>
      <c r="U2220" s="385"/>
      <c r="V2220" s="385"/>
      <c r="W2220" s="385" t="s">
        <v>4710</v>
      </c>
      <c r="X2220" s="1"/>
    </row>
    <row r="2221" spans="1:24">
      <c r="A2221" s="385" t="s">
        <v>65</v>
      </c>
      <c r="B2221" s="385" t="s">
        <v>388</v>
      </c>
      <c r="C2221" s="385" t="s">
        <v>3347</v>
      </c>
      <c r="D2221" s="385" t="s">
        <v>88</v>
      </c>
      <c r="E2221" s="385" t="s">
        <v>26</v>
      </c>
      <c r="F2221" s="385"/>
      <c r="G2221" s="385" t="s">
        <v>130</v>
      </c>
      <c r="H2221" s="385"/>
      <c r="I2221" s="385"/>
      <c r="J2221" s="30"/>
      <c r="K2221" s="385"/>
      <c r="L2221" s="385"/>
      <c r="M2221" s="385"/>
      <c r="N2221" s="385"/>
      <c r="O2221" s="385"/>
      <c r="P2221" s="385" t="str">
        <f>IFERROR(
    IF(
        OR(ISBLANK(I2221), ISBLANK(L2221)),
        "",
        MAX(
            1,
            IF(
                NETWORKDAYS(I2221, L2221, Holiday_Dates) &lt;= 0,
                1,
                NETWORKDAYS(I2221, L2221, Holiday_Dates) - IF(I2221 = L2221, 0, 1)
            )
        )
    ),
    ""
)</f>
        <v/>
      </c>
      <c r="Q2221" s="385" t="str">
        <f>IF(
    OR(ISBLANK(L2221), ISBLANK(M2221)),
    "",
    MAX(
        1,
        IF(
            NETWORKDAYS(L2221, M2221, Holiday_Dates) &lt;= 0,
            1,
            NETWORKDAYS(L2221, M2221, Holiday_Dates) - IF(L2221 = M2221, 0, 1)
        )
    )
)</f>
        <v/>
      </c>
      <c r="R2221" s="385" t="str">
        <f>IFERROR(
    IF(
        OR(ISBLANK(N2221), AND(ISBLANK(L2221), ISBLANK(M2221))),
        "",
        MAX(
            1,
            IF(
                NETWORKDAYS(IF(NOT(ISBLANK(M2221)), M2221, L2221), N2221, Holiday_Dates) &lt;= 0,
                1,
                NETWORKDAYS(IF(NOT(ISBLANK(M2221)), M2221, L2221), N2221, Holiday_Dates)
                - IF(IF(NOT(ISBLANK(M2221)), M2221, L2221) = N2221, 0, 1)
            )
        )
    ),
    ""
)</f>
        <v/>
      </c>
      <c r="S2221" s="385" t="str">
        <f>IFERROR(
    IF(
        OR(ISBLANK(N2221), ISBLANK(O2221)),
        "",
        MAX(
            1,
            IF(
                NETWORKDAYS(N2221, O2221, Holiday_Dates) &lt;= 0,
                1,
                NETWORKDAYS(N2221, O2221, Holiday_Dates) - IF(N2221 = O2221, 0, 1)
            )
        )
    ),
    ""
)</f>
        <v/>
      </c>
      <c r="T2221" s="385"/>
      <c r="U2221" s="385"/>
      <c r="V2221" s="385"/>
      <c r="W2221" s="385" t="s">
        <v>4710</v>
      </c>
      <c r="X2221" s="1"/>
    </row>
    <row r="2222" spans="1:24">
      <c r="A2222" s="385" t="s">
        <v>65</v>
      </c>
      <c r="B2222" s="385" t="s">
        <v>388</v>
      </c>
      <c r="C2222" s="385" t="s">
        <v>3348</v>
      </c>
      <c r="D2222" s="385" t="s">
        <v>88</v>
      </c>
      <c r="E2222" s="385" t="s">
        <v>26</v>
      </c>
      <c r="F2222" s="385"/>
      <c r="G2222" s="385" t="s">
        <v>130</v>
      </c>
      <c r="H2222" s="385"/>
      <c r="I2222" s="385"/>
      <c r="J2222" s="30"/>
      <c r="K2222" s="385"/>
      <c r="L2222" s="385"/>
      <c r="M2222" s="385"/>
      <c r="N2222" s="385"/>
      <c r="O2222" s="385"/>
      <c r="P2222" s="385" t="str">
        <f>IFERROR(
    IF(
        OR(ISBLANK(I2222), ISBLANK(L2222)),
        "",
        MAX(
            1,
            IF(
                NETWORKDAYS(I2222, L2222, Holiday_Dates) &lt;= 0,
                1,
                NETWORKDAYS(I2222, L2222, Holiday_Dates) - IF(I2222 = L2222, 0, 1)
            )
        )
    ),
    ""
)</f>
        <v/>
      </c>
      <c r="Q2222" s="385" t="str">
        <f>IF(
    OR(ISBLANK(L2222), ISBLANK(M2222)),
    "",
    MAX(
        1,
        IF(
            NETWORKDAYS(L2222, M2222, Holiday_Dates) &lt;= 0,
            1,
            NETWORKDAYS(L2222, M2222, Holiday_Dates) - IF(L2222 = M2222, 0, 1)
        )
    )
)</f>
        <v/>
      </c>
      <c r="R2222" s="385" t="str">
        <f>IFERROR(
    IF(
        OR(ISBLANK(N2222), AND(ISBLANK(L2222), ISBLANK(M2222))),
        "",
        MAX(
            1,
            IF(
                NETWORKDAYS(IF(NOT(ISBLANK(M2222)), M2222, L2222), N2222, Holiday_Dates) &lt;= 0,
                1,
                NETWORKDAYS(IF(NOT(ISBLANK(M2222)), M2222, L2222), N2222, Holiday_Dates)
                - IF(IF(NOT(ISBLANK(M2222)), M2222, L2222) = N2222, 0, 1)
            )
        )
    ),
    ""
)</f>
        <v/>
      </c>
      <c r="S2222" s="385" t="str">
        <f>IFERROR(
    IF(
        OR(ISBLANK(N2222), ISBLANK(O2222)),
        "",
        MAX(
            1,
            IF(
                NETWORKDAYS(N2222, O2222, Holiday_Dates) &lt;= 0,
                1,
                NETWORKDAYS(N2222, O2222, Holiday_Dates) - IF(N2222 = O2222, 0, 1)
            )
        )
    ),
    ""
)</f>
        <v/>
      </c>
      <c r="T2222" s="385"/>
      <c r="U2222" s="385"/>
      <c r="V2222" s="385"/>
      <c r="W2222" s="385" t="s">
        <v>4710</v>
      </c>
      <c r="X2222" s="1"/>
    </row>
    <row r="2223" spans="1:24">
      <c r="A2223" s="385" t="s">
        <v>65</v>
      </c>
      <c r="B2223" s="385" t="s">
        <v>524</v>
      </c>
      <c r="C2223" s="385" t="s">
        <v>3372</v>
      </c>
      <c r="D2223" s="385" t="s">
        <v>88</v>
      </c>
      <c r="E2223" s="385" t="s">
        <v>141</v>
      </c>
      <c r="F2223" s="385"/>
      <c r="G2223" s="385" t="s">
        <v>130</v>
      </c>
      <c r="H2223" s="385"/>
      <c r="I2223" s="385"/>
      <c r="J2223" s="30"/>
      <c r="K2223" s="385"/>
      <c r="L2223" s="385"/>
      <c r="M2223" s="385"/>
      <c r="N2223" s="385"/>
      <c r="O2223" s="385"/>
      <c r="P2223" s="385" t="str">
        <f>IFERROR(
    IF(
        OR(ISBLANK(I2223), ISBLANK(L2223)),
        "",
        MAX(
            1,
            IF(
                NETWORKDAYS(I2223, L2223, Holiday_Dates) &lt;= 0,
                1,
                NETWORKDAYS(I2223, L2223, Holiday_Dates) - IF(I2223 = L2223, 0, 1)
            )
        )
    ),
    ""
)</f>
        <v/>
      </c>
      <c r="Q2223" s="385" t="str">
        <f>IF(
    OR(ISBLANK(L2223), ISBLANK(M2223)),
    "",
    MAX(
        1,
        IF(
            NETWORKDAYS(L2223, M2223, Holiday_Dates) &lt;= 0,
            1,
            NETWORKDAYS(L2223, M2223, Holiday_Dates) - IF(L2223 = M2223, 0, 1)
        )
    )
)</f>
        <v/>
      </c>
      <c r="R2223" s="385" t="str">
        <f>IFERROR(
    IF(
        OR(ISBLANK(N2223), AND(ISBLANK(L2223), ISBLANK(M2223))),
        "",
        MAX(
            1,
            IF(
                NETWORKDAYS(IF(NOT(ISBLANK(M2223)), M2223, L2223), N2223, Holiday_Dates) &lt;= 0,
                1,
                NETWORKDAYS(IF(NOT(ISBLANK(M2223)), M2223, L2223), N2223, Holiday_Dates)
                - IF(IF(NOT(ISBLANK(M2223)), M2223, L2223) = N2223, 0, 1)
            )
        )
    ),
    ""
)</f>
        <v/>
      </c>
      <c r="S2223" s="385" t="str">
        <f>IFERROR(
    IF(
        OR(ISBLANK(N2223), ISBLANK(O2223)),
        "",
        MAX(
            1,
            IF(
                NETWORKDAYS(N2223, O2223, Holiday_Dates) &lt;= 0,
                1,
                NETWORKDAYS(N2223, O2223, Holiday_Dates) - IF(N2223 = O2223, 0, 1)
            )
        )
    ),
    ""
)</f>
        <v/>
      </c>
      <c r="T2223" s="385"/>
      <c r="U2223" s="385"/>
      <c r="V2223" s="385"/>
      <c r="W2223" s="385" t="s">
        <v>4710</v>
      </c>
      <c r="X2223" s="1"/>
    </row>
    <row r="2224" spans="1:24">
      <c r="A2224" s="385" t="s">
        <v>65</v>
      </c>
      <c r="B2224" s="385" t="s">
        <v>524</v>
      </c>
      <c r="C2224" s="385" t="s">
        <v>3373</v>
      </c>
      <c r="D2224" s="385" t="s">
        <v>88</v>
      </c>
      <c r="E2224" s="385" t="s">
        <v>141</v>
      </c>
      <c r="F2224" s="385"/>
      <c r="G2224" s="385" t="s">
        <v>130</v>
      </c>
      <c r="H2224" s="385"/>
      <c r="I2224" s="385"/>
      <c r="J2224" s="30"/>
      <c r="K2224" s="385"/>
      <c r="L2224" s="385"/>
      <c r="M2224" s="385"/>
      <c r="N2224" s="385"/>
      <c r="O2224" s="385"/>
      <c r="P2224" s="385" t="str">
        <f>IFERROR(
    IF(
        OR(ISBLANK(I2224), ISBLANK(L2224)),
        "",
        MAX(
            1,
            IF(
                NETWORKDAYS(I2224, L2224, Holiday_Dates) &lt;= 0,
                1,
                NETWORKDAYS(I2224, L2224, Holiday_Dates) - IF(I2224 = L2224, 0, 1)
            )
        )
    ),
    ""
)</f>
        <v/>
      </c>
      <c r="Q2224" s="385" t="str">
        <f>IF(
    OR(ISBLANK(L2224), ISBLANK(M2224)),
    "",
    MAX(
        1,
        IF(
            NETWORKDAYS(L2224, M2224, Holiday_Dates) &lt;= 0,
            1,
            NETWORKDAYS(L2224, M2224, Holiday_Dates) - IF(L2224 = M2224, 0, 1)
        )
    )
)</f>
        <v/>
      </c>
      <c r="R2224" s="385" t="str">
        <f>IFERROR(
    IF(
        OR(ISBLANK(N2224), AND(ISBLANK(L2224), ISBLANK(M2224))),
        "",
        MAX(
            1,
            IF(
                NETWORKDAYS(IF(NOT(ISBLANK(M2224)), M2224, L2224), N2224, Holiday_Dates) &lt;= 0,
                1,
                NETWORKDAYS(IF(NOT(ISBLANK(M2224)), M2224, L2224), N2224, Holiday_Dates)
                - IF(IF(NOT(ISBLANK(M2224)), M2224, L2224) = N2224, 0, 1)
            )
        )
    ),
    ""
)</f>
        <v/>
      </c>
      <c r="S2224" s="385" t="str">
        <f>IFERROR(
    IF(
        OR(ISBLANK(N2224), ISBLANK(O2224)),
        "",
        MAX(
            1,
            IF(
                NETWORKDAYS(N2224, O2224, Holiday_Dates) &lt;= 0,
                1,
                NETWORKDAYS(N2224, O2224, Holiday_Dates) - IF(N2224 = O2224, 0, 1)
            )
        )
    ),
    ""
)</f>
        <v/>
      </c>
      <c r="T2224" s="385"/>
      <c r="U2224" s="385"/>
      <c r="V2224" s="385"/>
      <c r="W2224" s="385" t="s">
        <v>4710</v>
      </c>
      <c r="X2224" s="1"/>
    </row>
    <row r="2225" spans="1:24">
      <c r="A2225" s="385" t="s">
        <v>65</v>
      </c>
      <c r="B2225" s="385" t="s">
        <v>524</v>
      </c>
      <c r="C2225" s="385" t="s">
        <v>3362</v>
      </c>
      <c r="D2225" s="385" t="s">
        <v>88</v>
      </c>
      <c r="E2225" s="385" t="s">
        <v>141</v>
      </c>
      <c r="F2225" s="385"/>
      <c r="G2225" s="385" t="s">
        <v>130</v>
      </c>
      <c r="H2225" s="385"/>
      <c r="I2225" s="385"/>
      <c r="J2225" s="30"/>
      <c r="K2225" s="385"/>
      <c r="L2225" s="385"/>
      <c r="M2225" s="385"/>
      <c r="N2225" s="385"/>
      <c r="O2225" s="385"/>
      <c r="P2225" s="385" t="str">
        <f>IFERROR(
    IF(
        OR(ISBLANK(I2225), ISBLANK(L2225)),
        "",
        MAX(
            1,
            IF(
                NETWORKDAYS(I2225, L2225, Holiday_Dates) &lt;= 0,
                1,
                NETWORKDAYS(I2225, L2225, Holiday_Dates) - IF(I2225 = L2225, 0, 1)
            )
        )
    ),
    ""
)</f>
        <v/>
      </c>
      <c r="Q2225" s="385" t="str">
        <f>IF(
    OR(ISBLANK(L2225), ISBLANK(M2225)),
    "",
    MAX(
        1,
        IF(
            NETWORKDAYS(L2225, M2225, Holiday_Dates) &lt;= 0,
            1,
            NETWORKDAYS(L2225, M2225, Holiday_Dates) - IF(L2225 = M2225, 0, 1)
        )
    )
)</f>
        <v/>
      </c>
      <c r="R2225" s="385" t="str">
        <f>IFERROR(
    IF(
        OR(ISBLANK(N2225), AND(ISBLANK(L2225), ISBLANK(M2225))),
        "",
        MAX(
            1,
            IF(
                NETWORKDAYS(IF(NOT(ISBLANK(M2225)), M2225, L2225), N2225, Holiday_Dates) &lt;= 0,
                1,
                NETWORKDAYS(IF(NOT(ISBLANK(M2225)), M2225, L2225), N2225, Holiday_Dates)
                - IF(IF(NOT(ISBLANK(M2225)), M2225, L2225) = N2225, 0, 1)
            )
        )
    ),
    ""
)</f>
        <v/>
      </c>
      <c r="S2225" s="385" t="str">
        <f>IFERROR(
    IF(
        OR(ISBLANK(N2225), ISBLANK(O2225)),
        "",
        MAX(
            1,
            IF(
                NETWORKDAYS(N2225, O2225, Holiday_Dates) &lt;= 0,
                1,
                NETWORKDAYS(N2225, O2225, Holiday_Dates) - IF(N2225 = O2225, 0, 1)
            )
        )
    ),
    ""
)</f>
        <v/>
      </c>
      <c r="T2225" s="385"/>
      <c r="U2225" s="385"/>
      <c r="V2225" s="385"/>
      <c r="W2225" s="385" t="s">
        <v>4710</v>
      </c>
      <c r="X2225" s="1"/>
    </row>
    <row r="2226" spans="1:24">
      <c r="A2226" s="385" t="s">
        <v>65</v>
      </c>
      <c r="B2226" s="385" t="s">
        <v>524</v>
      </c>
      <c r="C2226" s="385" t="s">
        <v>3268</v>
      </c>
      <c r="D2226" s="385" t="s">
        <v>88</v>
      </c>
      <c r="E2226" s="385" t="s">
        <v>141</v>
      </c>
      <c r="F2226" s="385"/>
      <c r="G2226" s="385" t="s">
        <v>130</v>
      </c>
      <c r="H2226" s="385"/>
      <c r="I2226" s="385"/>
      <c r="J2226" s="30"/>
      <c r="K2226" s="385"/>
      <c r="L2226" s="385"/>
      <c r="M2226" s="385"/>
      <c r="N2226" s="385"/>
      <c r="O2226" s="385"/>
      <c r="P2226" s="385" t="str">
        <f>IFERROR(
    IF(
        OR(ISBLANK(I2226), ISBLANK(L2226)),
        "",
        MAX(
            1,
            IF(
                NETWORKDAYS(I2226, L2226, Holiday_Dates) &lt;= 0,
                1,
                NETWORKDAYS(I2226, L2226, Holiday_Dates) - IF(I2226 = L2226, 0, 1)
            )
        )
    ),
    ""
)</f>
        <v/>
      </c>
      <c r="Q2226" s="385" t="str">
        <f>IF(
    OR(ISBLANK(L2226), ISBLANK(M2226)),
    "",
    MAX(
        1,
        IF(
            NETWORKDAYS(L2226, M2226, Holiday_Dates) &lt;= 0,
            1,
            NETWORKDAYS(L2226, M2226, Holiday_Dates) - IF(L2226 = M2226, 0, 1)
        )
    )
)</f>
        <v/>
      </c>
      <c r="R2226" s="385" t="str">
        <f>IFERROR(
    IF(
        OR(ISBLANK(N2226), AND(ISBLANK(L2226), ISBLANK(M2226))),
        "",
        MAX(
            1,
            IF(
                NETWORKDAYS(IF(NOT(ISBLANK(M2226)), M2226, L2226), N2226, Holiday_Dates) &lt;= 0,
                1,
                NETWORKDAYS(IF(NOT(ISBLANK(M2226)), M2226, L2226), N2226, Holiday_Dates)
                - IF(IF(NOT(ISBLANK(M2226)), M2226, L2226) = N2226, 0, 1)
            )
        )
    ),
    ""
)</f>
        <v/>
      </c>
      <c r="S2226" s="385" t="str">
        <f>IFERROR(
    IF(
        OR(ISBLANK(N2226), ISBLANK(O2226)),
        "",
        MAX(
            1,
            IF(
                NETWORKDAYS(N2226, O2226, Holiday_Dates) &lt;= 0,
                1,
                NETWORKDAYS(N2226, O2226, Holiday_Dates) - IF(N2226 = O2226, 0, 1)
            )
        )
    ),
    ""
)</f>
        <v/>
      </c>
      <c r="T2226" s="385"/>
      <c r="U2226" s="385"/>
      <c r="V2226" s="385"/>
      <c r="W2226" s="385" t="s">
        <v>4710</v>
      </c>
      <c r="X2226" s="1"/>
    </row>
    <row r="2227" spans="1:24">
      <c r="A2227" s="385" t="s">
        <v>65</v>
      </c>
      <c r="B2227" s="385" t="s">
        <v>524</v>
      </c>
      <c r="C2227" s="385" t="s">
        <v>3127</v>
      </c>
      <c r="D2227" s="385" t="s">
        <v>88</v>
      </c>
      <c r="E2227" s="385" t="s">
        <v>141</v>
      </c>
      <c r="F2227" s="385"/>
      <c r="G2227" s="385" t="s">
        <v>130</v>
      </c>
      <c r="H2227" s="385"/>
      <c r="I2227" s="385"/>
      <c r="J2227" s="30"/>
      <c r="K2227" s="385"/>
      <c r="L2227" s="385"/>
      <c r="M2227" s="385"/>
      <c r="N2227" s="385"/>
      <c r="O2227" s="385"/>
      <c r="P2227" s="385" t="str">
        <f>IFERROR(
    IF(
        OR(ISBLANK(I2227), ISBLANK(L2227)),
        "",
        MAX(
            1,
            IF(
                NETWORKDAYS(I2227, L2227, Holiday_Dates) &lt;= 0,
                1,
                NETWORKDAYS(I2227, L2227, Holiday_Dates) - IF(I2227 = L2227, 0, 1)
            )
        )
    ),
    ""
)</f>
        <v/>
      </c>
      <c r="Q2227" s="385" t="str">
        <f>IF(
    OR(ISBLANK(L2227), ISBLANK(M2227)),
    "",
    MAX(
        1,
        IF(
            NETWORKDAYS(L2227, M2227, Holiday_Dates) &lt;= 0,
            1,
            NETWORKDAYS(L2227, M2227, Holiday_Dates) - IF(L2227 = M2227, 0, 1)
        )
    )
)</f>
        <v/>
      </c>
      <c r="R2227" s="385" t="str">
        <f>IFERROR(
    IF(
        OR(ISBLANK(N2227), AND(ISBLANK(L2227), ISBLANK(M2227))),
        "",
        MAX(
            1,
            IF(
                NETWORKDAYS(IF(NOT(ISBLANK(M2227)), M2227, L2227), N2227, Holiday_Dates) &lt;= 0,
                1,
                NETWORKDAYS(IF(NOT(ISBLANK(M2227)), M2227, L2227), N2227, Holiday_Dates)
                - IF(IF(NOT(ISBLANK(M2227)), M2227, L2227) = N2227, 0, 1)
            )
        )
    ),
    ""
)</f>
        <v/>
      </c>
      <c r="S2227" s="385" t="str">
        <f>IFERROR(
    IF(
        OR(ISBLANK(N2227), ISBLANK(O2227)),
        "",
        MAX(
            1,
            IF(
                NETWORKDAYS(N2227, O2227, Holiday_Dates) &lt;= 0,
                1,
                NETWORKDAYS(N2227, O2227, Holiday_Dates) - IF(N2227 = O2227, 0, 1)
            )
        )
    ),
    ""
)</f>
        <v/>
      </c>
      <c r="T2227" s="385"/>
      <c r="U2227" s="385"/>
      <c r="V2227" s="385"/>
      <c r="W2227" s="385" t="s">
        <v>4710</v>
      </c>
      <c r="X2227" s="1"/>
    </row>
    <row r="2228" spans="1:24">
      <c r="A2228" s="385" t="s">
        <v>65</v>
      </c>
      <c r="B2228" s="385" t="s">
        <v>524</v>
      </c>
      <c r="C2228" s="385" t="s">
        <v>3374</v>
      </c>
      <c r="D2228" s="385" t="s">
        <v>88</v>
      </c>
      <c r="E2228" s="385" t="s">
        <v>141</v>
      </c>
      <c r="F2228" s="385"/>
      <c r="G2228" s="385" t="s">
        <v>130</v>
      </c>
      <c r="H2228" s="385"/>
      <c r="I2228" s="385"/>
      <c r="J2228" s="30"/>
      <c r="K2228" s="385"/>
      <c r="L2228" s="385"/>
      <c r="M2228" s="385"/>
      <c r="N2228" s="385"/>
      <c r="O2228" s="385"/>
      <c r="P2228" s="385" t="str">
        <f>IFERROR(
    IF(
        OR(ISBLANK(I2228), ISBLANK(L2228)),
        "",
        MAX(
            1,
            IF(
                NETWORKDAYS(I2228, L2228, Holiday_Dates) &lt;= 0,
                1,
                NETWORKDAYS(I2228, L2228, Holiday_Dates) - IF(I2228 = L2228, 0, 1)
            )
        )
    ),
    ""
)</f>
        <v/>
      </c>
      <c r="Q2228" s="385" t="str">
        <f>IF(
    OR(ISBLANK(L2228), ISBLANK(M2228)),
    "",
    MAX(
        1,
        IF(
            NETWORKDAYS(L2228, M2228, Holiday_Dates) &lt;= 0,
            1,
            NETWORKDAYS(L2228, M2228, Holiday_Dates) - IF(L2228 = M2228, 0, 1)
        )
    )
)</f>
        <v/>
      </c>
      <c r="R2228" s="385" t="str">
        <f>IFERROR(
    IF(
        OR(ISBLANK(N2228), AND(ISBLANK(L2228), ISBLANK(M2228))),
        "",
        MAX(
            1,
            IF(
                NETWORKDAYS(IF(NOT(ISBLANK(M2228)), M2228, L2228), N2228, Holiday_Dates) &lt;= 0,
                1,
                NETWORKDAYS(IF(NOT(ISBLANK(M2228)), M2228, L2228), N2228, Holiday_Dates)
                - IF(IF(NOT(ISBLANK(M2228)), M2228, L2228) = N2228, 0, 1)
            )
        )
    ),
    ""
)</f>
        <v/>
      </c>
      <c r="S2228" s="385" t="str">
        <f>IFERROR(
    IF(
        OR(ISBLANK(N2228), ISBLANK(O2228)),
        "",
        MAX(
            1,
            IF(
                NETWORKDAYS(N2228, O2228, Holiday_Dates) &lt;= 0,
                1,
                NETWORKDAYS(N2228, O2228, Holiday_Dates) - IF(N2228 = O2228, 0, 1)
            )
        )
    ),
    ""
)</f>
        <v/>
      </c>
      <c r="T2228" s="385"/>
      <c r="U2228" s="385"/>
      <c r="V2228" s="385"/>
      <c r="W2228" s="385" t="s">
        <v>4710</v>
      </c>
      <c r="X2228" s="1"/>
    </row>
    <row r="2229" spans="1:24">
      <c r="A2229" s="385" t="s">
        <v>65</v>
      </c>
      <c r="B2229" s="385" t="s">
        <v>524</v>
      </c>
      <c r="C2229" s="385" t="s">
        <v>3375</v>
      </c>
      <c r="D2229" s="385" t="s">
        <v>88</v>
      </c>
      <c r="E2229" s="385" t="s">
        <v>141</v>
      </c>
      <c r="F2229" s="385"/>
      <c r="G2229" s="385" t="s">
        <v>130</v>
      </c>
      <c r="H2229" s="385"/>
      <c r="I2229" s="385"/>
      <c r="J2229" s="30"/>
      <c r="K2229" s="385"/>
      <c r="L2229" s="385"/>
      <c r="M2229" s="385"/>
      <c r="N2229" s="385"/>
      <c r="O2229" s="385"/>
      <c r="P2229" s="385" t="str">
        <f>IFERROR(
    IF(
        OR(ISBLANK(I2229), ISBLANK(L2229)),
        "",
        MAX(
            1,
            IF(
                NETWORKDAYS(I2229, L2229, Holiday_Dates) &lt;= 0,
                1,
                NETWORKDAYS(I2229, L2229, Holiday_Dates) - IF(I2229 = L2229, 0, 1)
            )
        )
    ),
    ""
)</f>
        <v/>
      </c>
      <c r="Q2229" s="385" t="str">
        <f>IF(
    OR(ISBLANK(L2229), ISBLANK(M2229)),
    "",
    MAX(
        1,
        IF(
            NETWORKDAYS(L2229, M2229, Holiday_Dates) &lt;= 0,
            1,
            NETWORKDAYS(L2229, M2229, Holiday_Dates) - IF(L2229 = M2229, 0, 1)
        )
    )
)</f>
        <v/>
      </c>
      <c r="R2229" s="385" t="str">
        <f>IFERROR(
    IF(
        OR(ISBLANK(N2229), AND(ISBLANK(L2229), ISBLANK(M2229))),
        "",
        MAX(
            1,
            IF(
                NETWORKDAYS(IF(NOT(ISBLANK(M2229)), M2229, L2229), N2229, Holiday_Dates) &lt;= 0,
                1,
                NETWORKDAYS(IF(NOT(ISBLANK(M2229)), M2229, L2229), N2229, Holiday_Dates)
                - IF(IF(NOT(ISBLANK(M2229)), M2229, L2229) = N2229, 0, 1)
            )
        )
    ),
    ""
)</f>
        <v/>
      </c>
      <c r="S2229" s="385" t="str">
        <f>IFERROR(
    IF(
        OR(ISBLANK(N2229), ISBLANK(O2229)),
        "",
        MAX(
            1,
            IF(
                NETWORKDAYS(N2229, O2229, Holiday_Dates) &lt;= 0,
                1,
                NETWORKDAYS(N2229, O2229, Holiday_Dates) - IF(N2229 = O2229, 0, 1)
            )
        )
    ),
    ""
)</f>
        <v/>
      </c>
      <c r="T2229" s="385"/>
      <c r="U2229" s="385"/>
      <c r="V2229" s="385"/>
      <c r="W2229" s="385" t="s">
        <v>4710</v>
      </c>
      <c r="X2229" s="1"/>
    </row>
    <row r="2230" spans="1:24">
      <c r="A2230" s="385" t="s">
        <v>65</v>
      </c>
      <c r="B2230" s="385" t="s">
        <v>524</v>
      </c>
      <c r="C2230" s="385" t="s">
        <v>2823</v>
      </c>
      <c r="D2230" s="385" t="s">
        <v>88</v>
      </c>
      <c r="E2230" s="385" t="s">
        <v>141</v>
      </c>
      <c r="F2230" s="385"/>
      <c r="G2230" s="385" t="s">
        <v>130</v>
      </c>
      <c r="H2230" s="385"/>
      <c r="I2230" s="385"/>
      <c r="J2230" s="30"/>
      <c r="K2230" s="385"/>
      <c r="L2230" s="385"/>
      <c r="M2230" s="385"/>
      <c r="N2230" s="385"/>
      <c r="O2230" s="385"/>
      <c r="P2230" s="385" t="str">
        <f>IFERROR(
    IF(
        OR(ISBLANK(I2230), ISBLANK(L2230)),
        "",
        MAX(
            1,
            IF(
                NETWORKDAYS(I2230, L2230, Holiday_Dates) &lt;= 0,
                1,
                NETWORKDAYS(I2230, L2230, Holiday_Dates) - IF(I2230 = L2230, 0, 1)
            )
        )
    ),
    ""
)</f>
        <v/>
      </c>
      <c r="Q2230" s="385" t="str">
        <f>IF(
    OR(ISBLANK(L2230), ISBLANK(M2230)),
    "",
    MAX(
        1,
        IF(
            NETWORKDAYS(L2230, M2230, Holiday_Dates) &lt;= 0,
            1,
            NETWORKDAYS(L2230, M2230, Holiday_Dates) - IF(L2230 = M2230, 0, 1)
        )
    )
)</f>
        <v/>
      </c>
      <c r="R2230" s="385" t="str">
        <f>IFERROR(
    IF(
        OR(ISBLANK(N2230), AND(ISBLANK(L2230), ISBLANK(M2230))),
        "",
        MAX(
            1,
            IF(
                NETWORKDAYS(IF(NOT(ISBLANK(M2230)), M2230, L2230), N2230, Holiday_Dates) &lt;= 0,
                1,
                NETWORKDAYS(IF(NOT(ISBLANK(M2230)), M2230, L2230), N2230, Holiday_Dates)
                - IF(IF(NOT(ISBLANK(M2230)), M2230, L2230) = N2230, 0, 1)
            )
        )
    ),
    ""
)</f>
        <v/>
      </c>
      <c r="S2230" s="385" t="str">
        <f>IFERROR(
    IF(
        OR(ISBLANK(N2230), ISBLANK(O2230)),
        "",
        MAX(
            1,
            IF(
                NETWORKDAYS(N2230, O2230, Holiday_Dates) &lt;= 0,
                1,
                NETWORKDAYS(N2230, O2230, Holiday_Dates) - IF(N2230 = O2230, 0, 1)
            )
        )
    ),
    ""
)</f>
        <v/>
      </c>
      <c r="T2230" s="385"/>
      <c r="U2230" s="385"/>
      <c r="V2230" s="385"/>
      <c r="W2230" s="385" t="s">
        <v>4710</v>
      </c>
      <c r="X2230" s="1"/>
    </row>
    <row r="2231" spans="1:24">
      <c r="A2231" s="385" t="s">
        <v>51</v>
      </c>
      <c r="B2231" s="385" t="s">
        <v>392</v>
      </c>
      <c r="C2231" s="385" t="s">
        <v>2702</v>
      </c>
      <c r="D2231" s="385" t="s">
        <v>88</v>
      </c>
      <c r="E2231" s="385"/>
      <c r="F2231" s="385"/>
      <c r="G2231" s="385"/>
      <c r="H2231" s="385">
        <v>2024</v>
      </c>
      <c r="I2231" s="386">
        <v>45426</v>
      </c>
      <c r="J2231" s="30"/>
      <c r="K2231" s="385"/>
      <c r="L2231" s="385"/>
      <c r="M2231" s="385"/>
      <c r="N2231" s="385"/>
      <c r="O2231" s="385"/>
      <c r="P2231" s="385" t="str">
        <f>IFERROR(
    IF(
        OR(ISBLANK(I2231), ISBLANK(L2231)),
        "",
        MAX(
            1,
            IF(
                NETWORKDAYS(I2231, L2231, Holiday_Dates) &lt;= 0,
                1,
                NETWORKDAYS(I2231, L2231, Holiday_Dates) - IF(I2231 = L2231, 0, 1)
            )
        )
    ),
    ""
)</f>
        <v/>
      </c>
      <c r="Q2231" s="385" t="str">
        <f>IF(
    OR(ISBLANK(L2231), ISBLANK(M2231)),
    "",
    MAX(
        1,
        IF(
            NETWORKDAYS(L2231, M2231, Holiday_Dates) &lt;= 0,
            1,
            NETWORKDAYS(L2231, M2231, Holiday_Dates) - IF(L2231 = M2231, 0, 1)
        )
    )
)</f>
        <v/>
      </c>
      <c r="R2231" s="385" t="str">
        <f>IFERROR(
    IF(
        OR(ISBLANK(N2231), AND(ISBLANK(L2231), ISBLANK(M2231))),
        "",
        MAX(
            1,
            IF(
                NETWORKDAYS(IF(NOT(ISBLANK(M2231)), M2231, L2231), N2231, Holiday_Dates) &lt;= 0,
                1,
                NETWORKDAYS(IF(NOT(ISBLANK(M2231)), M2231, L2231), N2231, Holiday_Dates)
                - IF(IF(NOT(ISBLANK(M2231)), M2231, L2231) = N2231, 0, 1)
            )
        )
    ),
    ""
)</f>
        <v/>
      </c>
      <c r="S2231" s="385" t="str">
        <f>IFERROR(
    IF(
        OR(ISBLANK(N2231), ISBLANK(O2231)),
        "",
        MAX(
            1,
            IF(
                NETWORKDAYS(N2231, O2231, Holiday_Dates) &lt;= 0,
                1,
                NETWORKDAYS(N2231, O2231, Holiday_Dates) - IF(N2231 = O2231, 0, 1)
            )
        )
    ),
    ""
)</f>
        <v/>
      </c>
      <c r="T2231" s="385"/>
      <c r="U2231" s="385" t="s">
        <v>672</v>
      </c>
      <c r="V2231" s="385"/>
      <c r="W2231" s="385" t="s">
        <v>1436</v>
      </c>
      <c r="X2231" s="1"/>
    </row>
    <row r="2232" spans="1:24">
      <c r="A2232" s="385" t="s">
        <v>65</v>
      </c>
      <c r="B2232" s="385" t="s">
        <v>524</v>
      </c>
      <c r="C2232" s="385" t="s">
        <v>3129</v>
      </c>
      <c r="D2232" s="385" t="s">
        <v>88</v>
      </c>
      <c r="E2232" s="385" t="s">
        <v>141</v>
      </c>
      <c r="F2232" s="385"/>
      <c r="G2232" s="385" t="s">
        <v>130</v>
      </c>
      <c r="H2232" s="385"/>
      <c r="I2232" s="385"/>
      <c r="J2232" s="30"/>
      <c r="K2232" s="385"/>
      <c r="L2232" s="385"/>
      <c r="M2232" s="385"/>
      <c r="N2232" s="385"/>
      <c r="O2232" s="385"/>
      <c r="P2232" s="385" t="str">
        <f>IFERROR(
    IF(
        OR(ISBLANK(I2232), ISBLANK(L2232)),
        "",
        MAX(
            1,
            IF(
                NETWORKDAYS(I2232, L2232, Holiday_Dates) &lt;= 0,
                1,
                NETWORKDAYS(I2232, L2232, Holiday_Dates) - IF(I2232 = L2232, 0, 1)
            )
        )
    ),
    ""
)</f>
        <v/>
      </c>
      <c r="Q2232" s="385" t="str">
        <f>IF(
    OR(ISBLANK(L2232), ISBLANK(M2232)),
    "",
    MAX(
        1,
        IF(
            NETWORKDAYS(L2232, M2232, Holiday_Dates) &lt;= 0,
            1,
            NETWORKDAYS(L2232, M2232, Holiday_Dates) - IF(L2232 = M2232, 0, 1)
        )
    )
)</f>
        <v/>
      </c>
      <c r="R2232" s="385" t="str">
        <f>IFERROR(
    IF(
        OR(ISBLANK(N2232), AND(ISBLANK(L2232), ISBLANK(M2232))),
        "",
        MAX(
            1,
            IF(
                NETWORKDAYS(IF(NOT(ISBLANK(M2232)), M2232, L2232), N2232, Holiday_Dates) &lt;= 0,
                1,
                NETWORKDAYS(IF(NOT(ISBLANK(M2232)), M2232, L2232), N2232, Holiday_Dates)
                - IF(IF(NOT(ISBLANK(M2232)), M2232, L2232) = N2232, 0, 1)
            )
        )
    ),
    ""
)</f>
        <v/>
      </c>
      <c r="S2232" s="385" t="str">
        <f>IFERROR(
    IF(
        OR(ISBLANK(N2232), ISBLANK(O2232)),
        "",
        MAX(
            1,
            IF(
                NETWORKDAYS(N2232, O2232, Holiday_Dates) &lt;= 0,
                1,
                NETWORKDAYS(N2232, O2232, Holiday_Dates) - IF(N2232 = O2232, 0, 1)
            )
        )
    ),
    ""
)</f>
        <v/>
      </c>
      <c r="T2232" s="385"/>
      <c r="U2232" s="385"/>
      <c r="V2232" s="385"/>
      <c r="W2232" s="385" t="s">
        <v>4710</v>
      </c>
      <c r="X2232" s="1"/>
    </row>
    <row r="2233" spans="1:24">
      <c r="A2233" s="385" t="s">
        <v>51</v>
      </c>
      <c r="B2233" s="385" t="s">
        <v>392</v>
      </c>
      <c r="C2233" s="385" t="s">
        <v>2823</v>
      </c>
      <c r="D2233" s="385" t="s">
        <v>88</v>
      </c>
      <c r="E2233" s="385"/>
      <c r="F2233" s="385"/>
      <c r="G2233" s="385"/>
      <c r="H2233" s="385">
        <v>2024</v>
      </c>
      <c r="I2233" s="386">
        <v>45393</v>
      </c>
      <c r="J2233" s="30"/>
      <c r="K2233" s="385"/>
      <c r="L2233" s="385"/>
      <c r="M2233" s="385"/>
      <c r="N2233" s="385"/>
      <c r="O2233" s="385"/>
      <c r="P2233" s="385" t="str">
        <f>IFERROR(
    IF(
        OR(ISBLANK(I2233), ISBLANK(L2233)),
        "",
        MAX(
            1,
            IF(
                NETWORKDAYS(I2233, L2233, Holiday_Dates) &lt;= 0,
                1,
                NETWORKDAYS(I2233, L2233, Holiday_Dates) - IF(I2233 = L2233, 0, 1)
            )
        )
    ),
    ""
)</f>
        <v/>
      </c>
      <c r="Q2233" s="385" t="str">
        <f>IF(
    OR(ISBLANK(L2233), ISBLANK(M2233)),
    "",
    MAX(
        1,
        IF(
            NETWORKDAYS(L2233, M2233, Holiday_Dates) &lt;= 0,
            1,
            NETWORKDAYS(L2233, M2233, Holiday_Dates) - IF(L2233 = M2233, 0, 1)
        )
    )
)</f>
        <v/>
      </c>
      <c r="R2233" s="385" t="str">
        <f>IFERROR(
    IF(
        OR(ISBLANK(N2233), AND(ISBLANK(L2233), ISBLANK(M2233))),
        "",
        MAX(
            1,
            IF(
                NETWORKDAYS(IF(NOT(ISBLANK(M2233)), M2233, L2233), N2233, Holiday_Dates) &lt;= 0,
                1,
                NETWORKDAYS(IF(NOT(ISBLANK(M2233)), M2233, L2233), N2233, Holiday_Dates)
                - IF(IF(NOT(ISBLANK(M2233)), M2233, L2233) = N2233, 0, 1)
            )
        )
    ),
    ""
)</f>
        <v/>
      </c>
      <c r="S2233" s="385" t="str">
        <f>IFERROR(
    IF(
        OR(ISBLANK(N2233), ISBLANK(O2233)),
        "",
        MAX(
            1,
            IF(
                NETWORKDAYS(N2233, O2233, Holiday_Dates) &lt;= 0,
                1,
                NETWORKDAYS(N2233, O2233, Holiday_Dates) - IF(N2233 = O2233, 0, 1)
            )
        )
    ),
    ""
)</f>
        <v/>
      </c>
      <c r="T2233" s="385"/>
      <c r="U2233" s="385" t="s">
        <v>672</v>
      </c>
      <c r="V2233" s="385"/>
      <c r="W2233" s="385" t="s">
        <v>1436</v>
      </c>
      <c r="X2233" s="1"/>
    </row>
    <row r="2234" spans="1:24">
      <c r="A2234" s="385" t="s">
        <v>51</v>
      </c>
      <c r="B2234" s="385" t="s">
        <v>392</v>
      </c>
      <c r="C2234" s="385" t="s">
        <v>3782</v>
      </c>
      <c r="D2234" s="385" t="s">
        <v>88</v>
      </c>
      <c r="E2234" s="385"/>
      <c r="F2234" s="385"/>
      <c r="G2234" s="385"/>
      <c r="H2234" s="385">
        <v>2024</v>
      </c>
      <c r="I2234" s="386">
        <v>45457</v>
      </c>
      <c r="J2234" s="30"/>
      <c r="K2234" s="385"/>
      <c r="L2234" s="385"/>
      <c r="M2234" s="385"/>
      <c r="N2234" s="385"/>
      <c r="O2234" s="385"/>
      <c r="P2234" s="385" t="str">
        <f>IFERROR(
    IF(
        OR(ISBLANK(I2234), ISBLANK(L2234)),
        "",
        MAX(
            1,
            IF(
                NETWORKDAYS(I2234, L2234, Holiday_Dates) &lt;= 0,
                1,
                NETWORKDAYS(I2234, L2234, Holiday_Dates) - IF(I2234 = L2234, 0, 1)
            )
        )
    ),
    ""
)</f>
        <v/>
      </c>
      <c r="Q2234" s="385" t="str">
        <f>IF(
    OR(ISBLANK(L2234), ISBLANK(M2234)),
    "",
    MAX(
        1,
        IF(
            NETWORKDAYS(L2234, M2234, Holiday_Dates) &lt;= 0,
            1,
            NETWORKDAYS(L2234, M2234, Holiday_Dates) - IF(L2234 = M2234, 0, 1)
        )
    )
)</f>
        <v/>
      </c>
      <c r="R2234" s="385" t="str">
        <f>IFERROR(
    IF(
        OR(ISBLANK(N2234), AND(ISBLANK(L2234), ISBLANK(M2234))),
        "",
        MAX(
            1,
            IF(
                NETWORKDAYS(IF(NOT(ISBLANK(M2234)), M2234, L2234), N2234, Holiday_Dates) &lt;= 0,
                1,
                NETWORKDAYS(IF(NOT(ISBLANK(M2234)), M2234, L2234), N2234, Holiday_Dates)
                - IF(IF(NOT(ISBLANK(M2234)), M2234, L2234) = N2234, 0, 1)
            )
        )
    ),
    ""
)</f>
        <v/>
      </c>
      <c r="S2234" s="385" t="str">
        <f>IFERROR(
    IF(
        OR(ISBLANK(N2234), ISBLANK(O2234)),
        "",
        MAX(
            1,
            IF(
                NETWORKDAYS(N2234, O2234, Holiday_Dates) &lt;= 0,
                1,
                NETWORKDAYS(N2234, O2234, Holiday_Dates) - IF(N2234 = O2234, 0, 1)
            )
        )
    ),
    ""
)</f>
        <v/>
      </c>
      <c r="T2234" s="385"/>
      <c r="U2234" s="385" t="s">
        <v>672</v>
      </c>
      <c r="V2234" s="385"/>
      <c r="W2234" s="385" t="s">
        <v>1436</v>
      </c>
      <c r="X2234" s="1"/>
    </row>
    <row r="2235" spans="1:24">
      <c r="A2235" s="385" t="s">
        <v>51</v>
      </c>
      <c r="B2235" s="385" t="s">
        <v>392</v>
      </c>
      <c r="C2235" s="385" t="s">
        <v>3784</v>
      </c>
      <c r="D2235" s="385" t="s">
        <v>88</v>
      </c>
      <c r="E2235" s="385"/>
      <c r="F2235" s="385"/>
      <c r="G2235" s="385"/>
      <c r="H2235" s="385">
        <v>2024</v>
      </c>
      <c r="I2235" s="386">
        <v>45426</v>
      </c>
      <c r="J2235" s="30"/>
      <c r="K2235" s="385"/>
      <c r="L2235" s="385"/>
      <c r="M2235" s="385"/>
      <c r="N2235" s="385"/>
      <c r="O2235" s="385"/>
      <c r="P2235" s="385" t="str">
        <f>IFERROR(
    IF(
        OR(ISBLANK(I2235), ISBLANK(L2235)),
        "",
        MAX(
            1,
            IF(
                NETWORKDAYS(I2235, L2235, Holiday_Dates) &lt;= 0,
                1,
                NETWORKDAYS(I2235, L2235, Holiday_Dates) - IF(I2235 = L2235, 0, 1)
            )
        )
    ),
    ""
)</f>
        <v/>
      </c>
      <c r="Q2235" s="385" t="str">
        <f>IF(
    OR(ISBLANK(L2235), ISBLANK(M2235)),
    "",
    MAX(
        1,
        IF(
            NETWORKDAYS(L2235, M2235, Holiday_Dates) &lt;= 0,
            1,
            NETWORKDAYS(L2235, M2235, Holiday_Dates) - IF(L2235 = M2235, 0, 1)
        )
    )
)</f>
        <v/>
      </c>
      <c r="R2235" s="385" t="str">
        <f>IFERROR(
    IF(
        OR(ISBLANK(N2235), AND(ISBLANK(L2235), ISBLANK(M2235))),
        "",
        MAX(
            1,
            IF(
                NETWORKDAYS(IF(NOT(ISBLANK(M2235)), M2235, L2235), N2235, Holiday_Dates) &lt;= 0,
                1,
                NETWORKDAYS(IF(NOT(ISBLANK(M2235)), M2235, L2235), N2235, Holiday_Dates)
                - IF(IF(NOT(ISBLANK(M2235)), M2235, L2235) = N2235, 0, 1)
            )
        )
    ),
    ""
)</f>
        <v/>
      </c>
      <c r="S2235" s="385" t="str">
        <f>IFERROR(
    IF(
        OR(ISBLANK(N2235), ISBLANK(O2235)),
        "",
        MAX(
            1,
            IF(
                NETWORKDAYS(N2235, O2235, Holiday_Dates) &lt;= 0,
                1,
                NETWORKDAYS(N2235, O2235, Holiday_Dates) - IF(N2235 = O2235, 0, 1)
            )
        )
    ),
    ""
)</f>
        <v/>
      </c>
      <c r="T2235" s="385"/>
      <c r="U2235" s="385" t="s">
        <v>672</v>
      </c>
      <c r="V2235" s="385"/>
      <c r="W2235" s="385" t="s">
        <v>1436</v>
      </c>
      <c r="X2235" s="1"/>
    </row>
    <row r="2236" spans="1:24">
      <c r="A2236" s="385" t="s">
        <v>51</v>
      </c>
      <c r="B2236" s="385" t="s">
        <v>392</v>
      </c>
      <c r="C2236" s="385" t="s">
        <v>3786</v>
      </c>
      <c r="D2236" s="385" t="s">
        <v>88</v>
      </c>
      <c r="E2236" s="385"/>
      <c r="F2236" s="385"/>
      <c r="G2236" s="385"/>
      <c r="H2236" s="385">
        <v>2024</v>
      </c>
      <c r="I2236" s="386">
        <v>45426</v>
      </c>
      <c r="J2236" s="30"/>
      <c r="K2236" s="385"/>
      <c r="L2236" s="385"/>
      <c r="M2236" s="385"/>
      <c r="N2236" s="385"/>
      <c r="O2236" s="385"/>
      <c r="P2236" s="385" t="str">
        <f>IFERROR(
    IF(
        OR(ISBLANK(I2236), ISBLANK(L2236)),
        "",
        MAX(
            1,
            IF(
                NETWORKDAYS(I2236, L2236, Holiday_Dates) &lt;= 0,
                1,
                NETWORKDAYS(I2236, L2236, Holiday_Dates) - IF(I2236 = L2236, 0, 1)
            )
        )
    ),
    ""
)</f>
        <v/>
      </c>
      <c r="Q2236" s="385" t="str">
        <f>IF(
    OR(ISBLANK(L2236), ISBLANK(M2236)),
    "",
    MAX(
        1,
        IF(
            NETWORKDAYS(L2236, M2236, Holiday_Dates) &lt;= 0,
            1,
            NETWORKDAYS(L2236, M2236, Holiday_Dates) - IF(L2236 = M2236, 0, 1)
        )
    )
)</f>
        <v/>
      </c>
      <c r="R2236" s="385" t="str">
        <f>IFERROR(
    IF(
        OR(ISBLANK(N2236), AND(ISBLANK(L2236), ISBLANK(M2236))),
        "",
        MAX(
            1,
            IF(
                NETWORKDAYS(IF(NOT(ISBLANK(M2236)), M2236, L2236), N2236, Holiday_Dates) &lt;= 0,
                1,
                NETWORKDAYS(IF(NOT(ISBLANK(M2236)), M2236, L2236), N2236, Holiday_Dates)
                - IF(IF(NOT(ISBLANK(M2236)), M2236, L2236) = N2236, 0, 1)
            )
        )
    ),
    ""
)</f>
        <v/>
      </c>
      <c r="S2236" s="385" t="str">
        <f>IFERROR(
    IF(
        OR(ISBLANK(N2236), ISBLANK(O2236)),
        "",
        MAX(
            1,
            IF(
                NETWORKDAYS(N2236, O2236, Holiday_Dates) &lt;= 0,
                1,
                NETWORKDAYS(N2236, O2236, Holiday_Dates) - IF(N2236 = O2236, 0, 1)
            )
        )
    ),
    ""
)</f>
        <v/>
      </c>
      <c r="T2236" s="385"/>
      <c r="U2236" s="385" t="s">
        <v>672</v>
      </c>
      <c r="V2236" s="385"/>
      <c r="W2236" s="385" t="s">
        <v>1436</v>
      </c>
      <c r="X2236" s="1"/>
    </row>
    <row r="2237" spans="1:24">
      <c r="A2237" s="385" t="s">
        <v>65</v>
      </c>
      <c r="B2237" s="385" t="s">
        <v>524</v>
      </c>
      <c r="C2237" s="385" t="s">
        <v>3365</v>
      </c>
      <c r="D2237" s="385" t="s">
        <v>88</v>
      </c>
      <c r="E2237" s="385" t="s">
        <v>141</v>
      </c>
      <c r="F2237" s="385"/>
      <c r="G2237" s="385" t="s">
        <v>130</v>
      </c>
      <c r="H2237" s="385"/>
      <c r="I2237" s="385"/>
      <c r="J2237" s="30"/>
      <c r="K2237" s="385"/>
      <c r="L2237" s="385"/>
      <c r="M2237" s="385"/>
      <c r="N2237" s="385"/>
      <c r="O2237" s="385"/>
      <c r="P2237" s="385" t="str">
        <f>IFERROR(
    IF(
        OR(ISBLANK(I2237), ISBLANK(L2237)),
        "",
        MAX(
            1,
            IF(
                NETWORKDAYS(I2237, L2237, Holiday_Dates) &lt;= 0,
                1,
                NETWORKDAYS(I2237, L2237, Holiday_Dates) - IF(I2237 = L2237, 0, 1)
            )
        )
    ),
    ""
)</f>
        <v/>
      </c>
      <c r="Q2237" s="385" t="str">
        <f>IF(
    OR(ISBLANK(L2237), ISBLANK(M2237)),
    "",
    MAX(
        1,
        IF(
            NETWORKDAYS(L2237, M2237, Holiday_Dates) &lt;= 0,
            1,
            NETWORKDAYS(L2237, M2237, Holiday_Dates) - IF(L2237 = M2237, 0, 1)
        )
    )
)</f>
        <v/>
      </c>
      <c r="R2237" s="385" t="str">
        <f>IFERROR(
    IF(
        OR(ISBLANK(N2237), AND(ISBLANK(L2237), ISBLANK(M2237))),
        "",
        MAX(
            1,
            IF(
                NETWORKDAYS(IF(NOT(ISBLANK(M2237)), M2237, L2237), N2237, Holiday_Dates) &lt;= 0,
                1,
                NETWORKDAYS(IF(NOT(ISBLANK(M2237)), M2237, L2237), N2237, Holiday_Dates)
                - IF(IF(NOT(ISBLANK(M2237)), M2237, L2237) = N2237, 0, 1)
            )
        )
    ),
    ""
)</f>
        <v/>
      </c>
      <c r="S2237" s="385" t="str">
        <f>IFERROR(
    IF(
        OR(ISBLANK(N2237), ISBLANK(O2237)),
        "",
        MAX(
            1,
            IF(
                NETWORKDAYS(N2237, O2237, Holiday_Dates) &lt;= 0,
                1,
                NETWORKDAYS(N2237, O2237, Holiday_Dates) - IF(N2237 = O2237, 0, 1)
            )
        )
    ),
    ""
)</f>
        <v/>
      </c>
      <c r="T2237" s="385"/>
      <c r="U2237" s="385"/>
      <c r="V2237" s="385"/>
      <c r="W2237" s="385" t="s">
        <v>4710</v>
      </c>
      <c r="X2237" s="1"/>
    </row>
    <row r="2238" spans="1:24">
      <c r="A2238" s="385" t="s">
        <v>51</v>
      </c>
      <c r="B2238" s="385" t="s">
        <v>392</v>
      </c>
      <c r="C2238" s="385" t="s">
        <v>3749</v>
      </c>
      <c r="D2238" s="385" t="s">
        <v>88</v>
      </c>
      <c r="E2238" s="385"/>
      <c r="F2238" s="385"/>
      <c r="G2238" s="385"/>
      <c r="H2238" s="385">
        <v>2024</v>
      </c>
      <c r="I2238" s="386">
        <v>45457</v>
      </c>
      <c r="J2238" s="30"/>
      <c r="K2238" s="385"/>
      <c r="L2238" s="385"/>
      <c r="M2238" s="385"/>
      <c r="N2238" s="385"/>
      <c r="O2238" s="385"/>
      <c r="P2238" s="385" t="str">
        <f>IFERROR(
    IF(
        OR(ISBLANK(I2238), ISBLANK(L2238)),
        "",
        MAX(
            1,
            IF(
                NETWORKDAYS(I2238, L2238, Holiday_Dates) &lt;= 0,
                1,
                NETWORKDAYS(I2238, L2238, Holiday_Dates) - IF(I2238 = L2238, 0, 1)
            )
        )
    ),
    ""
)</f>
        <v/>
      </c>
      <c r="Q2238" s="385" t="str">
        <f>IF(
    OR(ISBLANK(L2238), ISBLANK(M2238)),
    "",
    MAX(
        1,
        IF(
            NETWORKDAYS(L2238, M2238, Holiday_Dates) &lt;= 0,
            1,
            NETWORKDAYS(L2238, M2238, Holiday_Dates) - IF(L2238 = M2238, 0, 1)
        )
    )
)</f>
        <v/>
      </c>
      <c r="R2238" s="385" t="str">
        <f>IFERROR(
    IF(
        OR(ISBLANK(N2238), AND(ISBLANK(L2238), ISBLANK(M2238))),
        "",
        MAX(
            1,
            IF(
                NETWORKDAYS(IF(NOT(ISBLANK(M2238)), M2238, L2238), N2238, Holiday_Dates) &lt;= 0,
                1,
                NETWORKDAYS(IF(NOT(ISBLANK(M2238)), M2238, L2238), N2238, Holiday_Dates)
                - IF(IF(NOT(ISBLANK(M2238)), M2238, L2238) = N2238, 0, 1)
            )
        )
    ),
    ""
)</f>
        <v/>
      </c>
      <c r="S2238" s="385" t="str">
        <f>IFERROR(
    IF(
        OR(ISBLANK(N2238), ISBLANK(O2238)),
        "",
        MAX(
            1,
            IF(
                NETWORKDAYS(N2238, O2238, Holiday_Dates) &lt;= 0,
                1,
                NETWORKDAYS(N2238, O2238, Holiday_Dates) - IF(N2238 = O2238, 0, 1)
            )
        )
    ),
    ""
)</f>
        <v/>
      </c>
      <c r="T2238" s="385"/>
      <c r="U2238" s="385" t="s">
        <v>672</v>
      </c>
      <c r="V2238" s="385"/>
      <c r="W2238" s="385" t="s">
        <v>1436</v>
      </c>
      <c r="X2238" s="1"/>
    </row>
    <row r="2239" spans="1:24">
      <c r="A2239" s="385" t="s">
        <v>51</v>
      </c>
      <c r="B2239" s="385" t="s">
        <v>392</v>
      </c>
      <c r="C2239" s="385" t="s">
        <v>881</v>
      </c>
      <c r="D2239" s="385" t="s">
        <v>88</v>
      </c>
      <c r="E2239" s="385"/>
      <c r="F2239" s="385"/>
      <c r="G2239" s="385"/>
      <c r="H2239" s="385">
        <v>2024</v>
      </c>
      <c r="I2239" s="386">
        <v>45457</v>
      </c>
      <c r="J2239" s="30"/>
      <c r="K2239" s="385"/>
      <c r="L2239" s="385"/>
      <c r="M2239" s="385"/>
      <c r="N2239" s="385"/>
      <c r="O2239" s="385"/>
      <c r="P2239" s="385" t="str">
        <f>IFERROR(
    IF(
        OR(ISBLANK(I2239), ISBLANK(L2239)),
        "",
        MAX(
            1,
            IF(
                NETWORKDAYS(I2239, L2239, Holiday_Dates) &lt;= 0,
                1,
                NETWORKDAYS(I2239, L2239, Holiday_Dates) - IF(I2239 = L2239, 0, 1)
            )
        )
    ),
    ""
)</f>
        <v/>
      </c>
      <c r="Q2239" s="385" t="str">
        <f>IF(
    OR(ISBLANK(L2239), ISBLANK(M2239)),
    "",
    MAX(
        1,
        IF(
            NETWORKDAYS(L2239, M2239, Holiday_Dates) &lt;= 0,
            1,
            NETWORKDAYS(L2239, M2239, Holiday_Dates) - IF(L2239 = M2239, 0, 1)
        )
    )
)</f>
        <v/>
      </c>
      <c r="R2239" s="385" t="str">
        <f>IFERROR(
    IF(
        OR(ISBLANK(N2239), AND(ISBLANK(L2239), ISBLANK(M2239))),
        "",
        MAX(
            1,
            IF(
                NETWORKDAYS(IF(NOT(ISBLANK(M2239)), M2239, L2239), N2239, Holiday_Dates) &lt;= 0,
                1,
                NETWORKDAYS(IF(NOT(ISBLANK(M2239)), M2239, L2239), N2239, Holiday_Dates)
                - IF(IF(NOT(ISBLANK(M2239)), M2239, L2239) = N2239, 0, 1)
            )
        )
    ),
    ""
)</f>
        <v/>
      </c>
      <c r="S2239" s="385" t="str">
        <f>IFERROR(
    IF(
        OR(ISBLANK(N2239), ISBLANK(O2239)),
        "",
        MAX(
            1,
            IF(
                NETWORKDAYS(N2239, O2239, Holiday_Dates) &lt;= 0,
                1,
                NETWORKDAYS(N2239, O2239, Holiday_Dates) - IF(N2239 = O2239, 0, 1)
            )
        )
    ),
    ""
)</f>
        <v/>
      </c>
      <c r="T2239" s="385"/>
      <c r="U2239" s="385" t="s">
        <v>672</v>
      </c>
      <c r="V2239" s="385"/>
      <c r="W2239" s="385" t="s">
        <v>1436</v>
      </c>
      <c r="X2239" s="1"/>
    </row>
    <row r="2240" spans="1:24">
      <c r="A2240" s="385" t="s">
        <v>51</v>
      </c>
      <c r="B2240" s="385" t="s">
        <v>392</v>
      </c>
      <c r="C2240" s="385" t="s">
        <v>3468</v>
      </c>
      <c r="D2240" s="385" t="s">
        <v>88</v>
      </c>
      <c r="E2240" s="385"/>
      <c r="F2240" s="385"/>
      <c r="G2240" s="385"/>
      <c r="H2240" s="385">
        <v>2024</v>
      </c>
      <c r="I2240" s="386">
        <v>45426</v>
      </c>
      <c r="J2240" s="30"/>
      <c r="K2240" s="385"/>
      <c r="L2240" s="385"/>
      <c r="M2240" s="385"/>
      <c r="N2240" s="385"/>
      <c r="O2240" s="385"/>
      <c r="P2240" s="385" t="str">
        <f>IFERROR(
    IF(
        OR(ISBLANK(I2240), ISBLANK(L2240)),
        "",
        MAX(
            1,
            IF(
                NETWORKDAYS(I2240, L2240, Holiday_Dates) &lt;= 0,
                1,
                NETWORKDAYS(I2240, L2240, Holiday_Dates) - IF(I2240 = L2240, 0, 1)
            )
        )
    ),
    ""
)</f>
        <v/>
      </c>
      <c r="Q2240" s="385" t="str">
        <f>IF(
    OR(ISBLANK(L2240), ISBLANK(M2240)),
    "",
    MAX(
        1,
        IF(
            NETWORKDAYS(L2240, M2240, Holiday_Dates) &lt;= 0,
            1,
            NETWORKDAYS(L2240, M2240, Holiday_Dates) - IF(L2240 = M2240, 0, 1)
        )
    )
)</f>
        <v/>
      </c>
      <c r="R2240" s="385" t="str">
        <f>IFERROR(
    IF(
        OR(ISBLANK(N2240), AND(ISBLANK(L2240), ISBLANK(M2240))),
        "",
        MAX(
            1,
            IF(
                NETWORKDAYS(IF(NOT(ISBLANK(M2240)), M2240, L2240), N2240, Holiday_Dates) &lt;= 0,
                1,
                NETWORKDAYS(IF(NOT(ISBLANK(M2240)), M2240, L2240), N2240, Holiday_Dates)
                - IF(IF(NOT(ISBLANK(M2240)), M2240, L2240) = N2240, 0, 1)
            )
        )
    ),
    ""
)</f>
        <v/>
      </c>
      <c r="S2240" s="385" t="str">
        <f>IFERROR(
    IF(
        OR(ISBLANK(N2240), ISBLANK(O2240)),
        "",
        MAX(
            1,
            IF(
                NETWORKDAYS(N2240, O2240, Holiday_Dates) &lt;= 0,
                1,
                NETWORKDAYS(N2240, O2240, Holiday_Dates) - IF(N2240 = O2240, 0, 1)
            )
        )
    ),
    ""
)</f>
        <v/>
      </c>
      <c r="T2240" s="385"/>
      <c r="U2240" s="385" t="s">
        <v>672</v>
      </c>
      <c r="V2240" s="385"/>
      <c r="W2240" s="385" t="s">
        <v>1436</v>
      </c>
      <c r="X2240" s="1"/>
    </row>
    <row r="2241" spans="1:24">
      <c r="A2241" s="385" t="s">
        <v>51</v>
      </c>
      <c r="B2241" s="385" t="s">
        <v>392</v>
      </c>
      <c r="C2241" s="385" t="s">
        <v>380</v>
      </c>
      <c r="D2241" s="385" t="s">
        <v>88</v>
      </c>
      <c r="E2241" s="385"/>
      <c r="F2241" s="385"/>
      <c r="G2241" s="385"/>
      <c r="H2241" s="385">
        <v>2024</v>
      </c>
      <c r="I2241" s="386">
        <v>45393</v>
      </c>
      <c r="J2241" s="30"/>
      <c r="K2241" s="385"/>
      <c r="L2241" s="385"/>
      <c r="M2241" s="385"/>
      <c r="N2241" s="385"/>
      <c r="O2241" s="385"/>
      <c r="P2241" s="385" t="str">
        <f>IFERROR(
    IF(
        OR(ISBLANK(I2241), ISBLANK(L2241)),
        "",
        MAX(
            1,
            IF(
                NETWORKDAYS(I2241, L2241, Holiday_Dates) &lt;= 0,
                1,
                NETWORKDAYS(I2241, L2241, Holiday_Dates) - IF(I2241 = L2241, 0, 1)
            )
        )
    ),
    ""
)</f>
        <v/>
      </c>
      <c r="Q2241" s="385" t="str">
        <f>IF(
    OR(ISBLANK(L2241), ISBLANK(M2241)),
    "",
    MAX(
        1,
        IF(
            NETWORKDAYS(L2241, M2241, Holiday_Dates) &lt;= 0,
            1,
            NETWORKDAYS(L2241, M2241, Holiday_Dates) - IF(L2241 = M2241, 0, 1)
        )
    )
)</f>
        <v/>
      </c>
      <c r="R2241" s="385" t="str">
        <f>IFERROR(
    IF(
        OR(ISBLANK(N2241), AND(ISBLANK(L2241), ISBLANK(M2241))),
        "",
        MAX(
            1,
            IF(
                NETWORKDAYS(IF(NOT(ISBLANK(M2241)), M2241, L2241), N2241, Holiday_Dates) &lt;= 0,
                1,
                NETWORKDAYS(IF(NOT(ISBLANK(M2241)), M2241, L2241), N2241, Holiday_Dates)
                - IF(IF(NOT(ISBLANK(M2241)), M2241, L2241) = N2241, 0, 1)
            )
        )
    ),
    ""
)</f>
        <v/>
      </c>
      <c r="S2241" s="385" t="str">
        <f>IFERROR(
    IF(
        OR(ISBLANK(N2241), ISBLANK(O2241)),
        "",
        MAX(
            1,
            IF(
                NETWORKDAYS(N2241, O2241, Holiday_Dates) &lt;= 0,
                1,
                NETWORKDAYS(N2241, O2241, Holiday_Dates) - IF(N2241 = O2241, 0, 1)
            )
        )
    ),
    ""
)</f>
        <v/>
      </c>
      <c r="T2241" s="385"/>
      <c r="U2241" s="385" t="s">
        <v>672</v>
      </c>
      <c r="V2241" s="385"/>
      <c r="W2241" s="385" t="s">
        <v>1436</v>
      </c>
      <c r="X2241" s="1"/>
    </row>
    <row r="2242" spans="1:24">
      <c r="A2242" s="385" t="s">
        <v>51</v>
      </c>
      <c r="B2242" s="385" t="s">
        <v>392</v>
      </c>
      <c r="C2242" s="385" t="s">
        <v>539</v>
      </c>
      <c r="D2242" s="385" t="s">
        <v>88</v>
      </c>
      <c r="E2242" s="385"/>
      <c r="F2242" s="385"/>
      <c r="G2242" s="385"/>
      <c r="H2242" s="385">
        <v>2024</v>
      </c>
      <c r="I2242" s="386">
        <v>45393</v>
      </c>
      <c r="J2242" s="30"/>
      <c r="K2242" s="385"/>
      <c r="L2242" s="385"/>
      <c r="M2242" s="385"/>
      <c r="N2242" s="385"/>
      <c r="O2242" s="385"/>
      <c r="P2242" s="385" t="str">
        <f>IFERROR(
    IF(
        OR(ISBLANK(I2242), ISBLANK(L2242)),
        "",
        MAX(
            1,
            IF(
                NETWORKDAYS(I2242, L2242, Holiday_Dates) &lt;= 0,
                1,
                NETWORKDAYS(I2242, L2242, Holiday_Dates) - IF(I2242 = L2242, 0, 1)
            )
        )
    ),
    ""
)</f>
        <v/>
      </c>
      <c r="Q2242" s="385" t="str">
        <f>IF(
    OR(ISBLANK(L2242), ISBLANK(M2242)),
    "",
    MAX(
        1,
        IF(
            NETWORKDAYS(L2242, M2242, Holiday_Dates) &lt;= 0,
            1,
            NETWORKDAYS(L2242, M2242, Holiday_Dates) - IF(L2242 = M2242, 0, 1)
        )
    )
)</f>
        <v/>
      </c>
      <c r="R2242" s="385" t="str">
        <f>IFERROR(
    IF(
        OR(ISBLANK(N2242), AND(ISBLANK(L2242), ISBLANK(M2242))),
        "",
        MAX(
            1,
            IF(
                NETWORKDAYS(IF(NOT(ISBLANK(M2242)), M2242, L2242), N2242, Holiday_Dates) &lt;= 0,
                1,
                NETWORKDAYS(IF(NOT(ISBLANK(M2242)), M2242, L2242), N2242, Holiday_Dates)
                - IF(IF(NOT(ISBLANK(M2242)), M2242, L2242) = N2242, 0, 1)
            )
        )
    ),
    ""
)</f>
        <v/>
      </c>
      <c r="S2242" s="385" t="str">
        <f>IFERROR(
    IF(
        OR(ISBLANK(N2242), ISBLANK(O2242)),
        "",
        MAX(
            1,
            IF(
                NETWORKDAYS(N2242, O2242, Holiday_Dates) &lt;= 0,
                1,
                NETWORKDAYS(N2242, O2242, Holiday_Dates) - IF(N2242 = O2242, 0, 1)
            )
        )
    ),
    ""
)</f>
        <v/>
      </c>
      <c r="T2242" s="385"/>
      <c r="U2242" s="385" t="s">
        <v>672</v>
      </c>
      <c r="V2242" s="385"/>
      <c r="W2242" s="385" t="s">
        <v>1436</v>
      </c>
      <c r="X2242" s="1"/>
    </row>
    <row r="2243" spans="1:24">
      <c r="A2243" s="385" t="s">
        <v>51</v>
      </c>
      <c r="B2243" s="385" t="s">
        <v>392</v>
      </c>
      <c r="C2243" s="385" t="s">
        <v>526</v>
      </c>
      <c r="D2243" s="385" t="s">
        <v>88</v>
      </c>
      <c r="E2243" s="385"/>
      <c r="F2243" s="385"/>
      <c r="G2243" s="385"/>
      <c r="H2243" s="385">
        <v>2024</v>
      </c>
      <c r="I2243" s="386">
        <v>45393</v>
      </c>
      <c r="J2243" s="30"/>
      <c r="K2243" s="385"/>
      <c r="L2243" s="385"/>
      <c r="M2243" s="385"/>
      <c r="N2243" s="385"/>
      <c r="O2243" s="385"/>
      <c r="P2243" s="385" t="str">
        <f>IFERROR(
    IF(
        OR(ISBLANK(I2243), ISBLANK(L2243)),
        "",
        MAX(
            1,
            IF(
                NETWORKDAYS(I2243, L2243, Holiday_Dates) &lt;= 0,
                1,
                NETWORKDAYS(I2243, L2243, Holiday_Dates) - IF(I2243 = L2243, 0, 1)
            )
        )
    ),
    ""
)</f>
        <v/>
      </c>
      <c r="Q2243" s="385" t="str">
        <f>IF(
    OR(ISBLANK(L2243), ISBLANK(M2243)),
    "",
    MAX(
        1,
        IF(
            NETWORKDAYS(L2243, M2243, Holiday_Dates) &lt;= 0,
            1,
            NETWORKDAYS(L2243, M2243, Holiday_Dates) - IF(L2243 = M2243, 0, 1)
        )
    )
)</f>
        <v/>
      </c>
      <c r="R2243" s="385" t="str">
        <f>IFERROR(
    IF(
        OR(ISBLANK(N2243), AND(ISBLANK(L2243), ISBLANK(M2243))),
        "",
        MAX(
            1,
            IF(
                NETWORKDAYS(IF(NOT(ISBLANK(M2243)), M2243, L2243), N2243, Holiday_Dates) &lt;= 0,
                1,
                NETWORKDAYS(IF(NOT(ISBLANK(M2243)), M2243, L2243), N2243, Holiday_Dates)
                - IF(IF(NOT(ISBLANK(M2243)), M2243, L2243) = N2243, 0, 1)
            )
        )
    ),
    ""
)</f>
        <v/>
      </c>
      <c r="S2243" s="385" t="str">
        <f>IFERROR(
    IF(
        OR(ISBLANK(N2243), ISBLANK(O2243)),
        "",
        MAX(
            1,
            IF(
                NETWORKDAYS(N2243, O2243, Holiday_Dates) &lt;= 0,
                1,
                NETWORKDAYS(N2243, O2243, Holiday_Dates) - IF(N2243 = O2243, 0, 1)
            )
        )
    ),
    ""
)</f>
        <v/>
      </c>
      <c r="T2243" s="385"/>
      <c r="U2243" s="385" t="s">
        <v>672</v>
      </c>
      <c r="V2243" s="385"/>
      <c r="W2243" s="385" t="s">
        <v>1436</v>
      </c>
      <c r="X2243" s="1"/>
    </row>
    <row r="2244" spans="1:24">
      <c r="A2244" s="385" t="s">
        <v>51</v>
      </c>
      <c r="B2244" s="385" t="s">
        <v>392</v>
      </c>
      <c r="C2244" s="385" t="s">
        <v>2395</v>
      </c>
      <c r="D2244" s="385" t="s">
        <v>88</v>
      </c>
      <c r="E2244" s="385"/>
      <c r="F2244" s="385"/>
      <c r="G2244" s="385"/>
      <c r="H2244" s="385">
        <v>2024</v>
      </c>
      <c r="I2244" s="386">
        <v>45457</v>
      </c>
      <c r="J2244" s="30"/>
      <c r="K2244" s="385"/>
      <c r="L2244" s="385"/>
      <c r="M2244" s="385"/>
      <c r="N2244" s="385"/>
      <c r="O2244" s="385"/>
      <c r="P2244" s="385" t="str">
        <f>IFERROR(
    IF(
        OR(ISBLANK(I2244), ISBLANK(L2244)),
        "",
        MAX(
            1,
            IF(
                NETWORKDAYS(I2244, L2244, Holiday_Dates) &lt;= 0,
                1,
                NETWORKDAYS(I2244, L2244, Holiday_Dates) - IF(I2244 = L2244, 0, 1)
            )
        )
    ),
    ""
)</f>
        <v/>
      </c>
      <c r="Q2244" s="385" t="str">
        <f>IF(
    OR(ISBLANK(L2244), ISBLANK(M2244)),
    "",
    MAX(
        1,
        IF(
            NETWORKDAYS(L2244, M2244, Holiday_Dates) &lt;= 0,
            1,
            NETWORKDAYS(L2244, M2244, Holiday_Dates) - IF(L2244 = M2244, 0, 1)
        )
    )
)</f>
        <v/>
      </c>
      <c r="R2244" s="385" t="str">
        <f>IFERROR(
    IF(
        OR(ISBLANK(N2244), AND(ISBLANK(L2244), ISBLANK(M2244))),
        "",
        MAX(
            1,
            IF(
                NETWORKDAYS(IF(NOT(ISBLANK(M2244)), M2244, L2244), N2244, Holiday_Dates) &lt;= 0,
                1,
                NETWORKDAYS(IF(NOT(ISBLANK(M2244)), M2244, L2244), N2244, Holiday_Dates)
                - IF(IF(NOT(ISBLANK(M2244)), M2244, L2244) = N2244, 0, 1)
            )
        )
    ),
    ""
)</f>
        <v/>
      </c>
      <c r="S2244" s="385" t="str">
        <f>IFERROR(
    IF(
        OR(ISBLANK(N2244), ISBLANK(O2244)),
        "",
        MAX(
            1,
            IF(
                NETWORKDAYS(N2244, O2244, Holiday_Dates) &lt;= 0,
                1,
                NETWORKDAYS(N2244, O2244, Holiday_Dates) - IF(N2244 = O2244, 0, 1)
            )
        )
    ),
    ""
)</f>
        <v/>
      </c>
      <c r="T2244" s="385"/>
      <c r="U2244" s="385" t="s">
        <v>672</v>
      </c>
      <c r="V2244" s="385"/>
      <c r="W2244" s="385" t="s">
        <v>1436</v>
      </c>
      <c r="X2244" s="1"/>
    </row>
    <row r="2245" spans="1:24">
      <c r="A2245" s="385" t="s">
        <v>51</v>
      </c>
      <c r="B2245" s="385" t="s">
        <v>392</v>
      </c>
      <c r="C2245" s="385" t="s">
        <v>3795</v>
      </c>
      <c r="D2245" s="385" t="s">
        <v>88</v>
      </c>
      <c r="E2245" s="385"/>
      <c r="F2245" s="385"/>
      <c r="G2245" s="385"/>
      <c r="H2245" s="385">
        <v>2024</v>
      </c>
      <c r="I2245" s="386">
        <v>45426</v>
      </c>
      <c r="J2245" s="30"/>
      <c r="K2245" s="385"/>
      <c r="L2245" s="385"/>
      <c r="M2245" s="385"/>
      <c r="N2245" s="385"/>
      <c r="O2245" s="385"/>
      <c r="P2245" s="385" t="str">
        <f>IFERROR(
    IF(
        OR(ISBLANK(I2245), ISBLANK(L2245)),
        "",
        MAX(
            1,
            IF(
                NETWORKDAYS(I2245, L2245, Holiday_Dates) &lt;= 0,
                1,
                NETWORKDAYS(I2245, L2245, Holiday_Dates) - IF(I2245 = L2245, 0, 1)
            )
        )
    ),
    ""
)</f>
        <v/>
      </c>
      <c r="Q2245" s="385" t="str">
        <f>IF(
    OR(ISBLANK(L2245), ISBLANK(M2245)),
    "",
    MAX(
        1,
        IF(
            NETWORKDAYS(L2245, M2245, Holiday_Dates) &lt;= 0,
            1,
            NETWORKDAYS(L2245, M2245, Holiday_Dates) - IF(L2245 = M2245, 0, 1)
        )
    )
)</f>
        <v/>
      </c>
      <c r="R2245" s="385" t="str">
        <f>IFERROR(
    IF(
        OR(ISBLANK(N2245), AND(ISBLANK(L2245), ISBLANK(M2245))),
        "",
        MAX(
            1,
            IF(
                NETWORKDAYS(IF(NOT(ISBLANK(M2245)), M2245, L2245), N2245, Holiday_Dates) &lt;= 0,
                1,
                NETWORKDAYS(IF(NOT(ISBLANK(M2245)), M2245, L2245), N2245, Holiday_Dates)
                - IF(IF(NOT(ISBLANK(M2245)), M2245, L2245) = N2245, 0, 1)
            )
        )
    ),
    ""
)</f>
        <v/>
      </c>
      <c r="S2245" s="385" t="str">
        <f>IFERROR(
    IF(
        OR(ISBLANK(N2245), ISBLANK(O2245)),
        "",
        MAX(
            1,
            IF(
                NETWORKDAYS(N2245, O2245, Holiday_Dates) &lt;= 0,
                1,
                NETWORKDAYS(N2245, O2245, Holiday_Dates) - IF(N2245 = O2245, 0, 1)
            )
        )
    ),
    ""
)</f>
        <v/>
      </c>
      <c r="T2245" s="385"/>
      <c r="U2245" s="385" t="s">
        <v>672</v>
      </c>
      <c r="V2245" s="385"/>
      <c r="W2245" s="385" t="s">
        <v>1436</v>
      </c>
      <c r="X2245" s="1"/>
    </row>
    <row r="2246" spans="1:24">
      <c r="A2246" s="385" t="s">
        <v>51</v>
      </c>
      <c r="B2246" s="385" t="s">
        <v>416</v>
      </c>
      <c r="C2246" s="385" t="s">
        <v>3797</v>
      </c>
      <c r="D2246" s="385" t="s">
        <v>88</v>
      </c>
      <c r="E2246" s="385"/>
      <c r="F2246" s="385"/>
      <c r="G2246" s="385"/>
      <c r="H2246" s="385">
        <v>2025</v>
      </c>
      <c r="I2246" s="386">
        <v>45883</v>
      </c>
      <c r="J2246" s="30" t="s">
        <v>5512</v>
      </c>
      <c r="K2246" s="385"/>
      <c r="L2246" s="385"/>
      <c r="M2246" s="385"/>
      <c r="N2246" s="385"/>
      <c r="O2246" s="385"/>
      <c r="P2246" s="385" t="str">
        <f>IFERROR(
    IF(
        OR(ISBLANK(I2246), ISBLANK(L2246)),
        "",
        MAX(
            1,
            IF(
                NETWORKDAYS(I2246, L2246, Holiday_Dates) &lt;= 0,
                1,
                NETWORKDAYS(I2246, L2246, Holiday_Dates) - IF(I2246 = L2246, 0, 1)
            )
        )
    ),
    ""
)</f>
        <v/>
      </c>
      <c r="Q2246" s="385" t="str">
        <f>IF(
    OR(ISBLANK(L2246), ISBLANK(M2246)),
    "",
    MAX(
        1,
        IF(
            NETWORKDAYS(L2246, M2246, Holiday_Dates) &lt;= 0,
            1,
            NETWORKDAYS(L2246, M2246, Holiday_Dates) - IF(L2246 = M2246, 0, 1)
        )
    )
)</f>
        <v/>
      </c>
      <c r="R2246" s="385" t="str">
        <f>IFERROR(
    IF(
        OR(ISBLANK(N2246), AND(ISBLANK(L2246), ISBLANK(M2246))),
        "",
        MAX(
            1,
            IF(
                NETWORKDAYS(IF(NOT(ISBLANK(M2246)), M2246, L2246), N2246, Holiday_Dates) &lt;= 0,
                1,
                NETWORKDAYS(IF(NOT(ISBLANK(M2246)), M2246, L2246), N2246, Holiday_Dates)
                - IF(IF(NOT(ISBLANK(M2246)), M2246, L2246) = N2246, 0, 1)
            )
        )
    ),
    ""
)</f>
        <v/>
      </c>
      <c r="S2246" s="385" t="str">
        <f>IFERROR(
    IF(
        OR(ISBLANK(N2246), ISBLANK(O2246)),
        "",
        MAX(
            1,
            IF(
                NETWORKDAYS(N2246, O2246, Holiday_Dates) &lt;= 0,
                1,
                NETWORKDAYS(N2246, O2246, Holiday_Dates) - IF(N2246 = O2246, 0, 1)
            )
        )
    ),
    ""
)</f>
        <v/>
      </c>
      <c r="T2246" s="385"/>
      <c r="U2246" s="385" t="s">
        <v>672</v>
      </c>
      <c r="V2246" s="385" t="s">
        <v>101</v>
      </c>
      <c r="W2246" s="385" t="s">
        <v>1436</v>
      </c>
      <c r="X2246" s="1"/>
    </row>
    <row r="2247" spans="1:24">
      <c r="A2247" s="385" t="s">
        <v>51</v>
      </c>
      <c r="B2247" s="385" t="s">
        <v>416</v>
      </c>
      <c r="C2247" s="385" t="s">
        <v>3798</v>
      </c>
      <c r="D2247" s="385" t="s">
        <v>88</v>
      </c>
      <c r="E2247" s="385"/>
      <c r="F2247" s="385"/>
      <c r="G2247" s="385"/>
      <c r="H2247" s="385">
        <v>2025</v>
      </c>
      <c r="I2247" s="386">
        <v>45883</v>
      </c>
      <c r="J2247" s="30" t="s">
        <v>5513</v>
      </c>
      <c r="K2247" s="385"/>
      <c r="L2247" s="385"/>
      <c r="M2247" s="385"/>
      <c r="N2247" s="385"/>
      <c r="O2247" s="385"/>
      <c r="P2247" s="385" t="str">
        <f>IFERROR(
    IF(
        OR(ISBLANK(I2247), ISBLANK(L2247)),
        "",
        MAX(
            1,
            IF(
                NETWORKDAYS(I2247, L2247, Holiday_Dates) &lt;= 0,
                1,
                NETWORKDAYS(I2247, L2247, Holiday_Dates) - IF(I2247 = L2247, 0, 1)
            )
        )
    ),
    ""
)</f>
        <v/>
      </c>
      <c r="Q2247" s="385" t="str">
        <f>IF(
    OR(ISBLANK(L2247), ISBLANK(M2247)),
    "",
    MAX(
        1,
        IF(
            NETWORKDAYS(L2247, M2247, Holiday_Dates) &lt;= 0,
            1,
            NETWORKDAYS(L2247, M2247, Holiday_Dates) - IF(L2247 = M2247, 0, 1)
        )
    )
)</f>
        <v/>
      </c>
      <c r="R2247" s="385" t="str">
        <f>IFERROR(
    IF(
        OR(ISBLANK(N2247), AND(ISBLANK(L2247), ISBLANK(M2247))),
        "",
        MAX(
            1,
            IF(
                NETWORKDAYS(IF(NOT(ISBLANK(M2247)), M2247, L2247), N2247, Holiday_Dates) &lt;= 0,
                1,
                NETWORKDAYS(IF(NOT(ISBLANK(M2247)), M2247, L2247), N2247, Holiday_Dates)
                - IF(IF(NOT(ISBLANK(M2247)), M2247, L2247) = N2247, 0, 1)
            )
        )
    ),
    ""
)</f>
        <v/>
      </c>
      <c r="S2247" s="385" t="str">
        <f>IFERROR(
    IF(
        OR(ISBLANK(N2247), ISBLANK(O2247)),
        "",
        MAX(
            1,
            IF(
                NETWORKDAYS(N2247, O2247, Holiday_Dates) &lt;= 0,
                1,
                NETWORKDAYS(N2247, O2247, Holiday_Dates) - IF(N2247 = O2247, 0, 1)
            )
        )
    ),
    ""
)</f>
        <v/>
      </c>
      <c r="T2247" s="385"/>
      <c r="U2247" s="385" t="s">
        <v>4</v>
      </c>
      <c r="V2247" s="385" t="s">
        <v>101</v>
      </c>
      <c r="W2247" s="385" t="s">
        <v>1436</v>
      </c>
      <c r="X2247" s="1"/>
    </row>
    <row r="2248" spans="1:24">
      <c r="A2248" s="385" t="s">
        <v>65</v>
      </c>
      <c r="B2248" s="385" t="s">
        <v>524</v>
      </c>
      <c r="C2248" s="385" t="s">
        <v>3366</v>
      </c>
      <c r="D2248" s="385" t="s">
        <v>88</v>
      </c>
      <c r="E2248" s="385" t="s">
        <v>141</v>
      </c>
      <c r="F2248" s="385"/>
      <c r="G2248" s="385" t="s">
        <v>130</v>
      </c>
      <c r="H2248" s="385"/>
      <c r="I2248" s="385"/>
      <c r="J2248" s="30"/>
      <c r="K2248" s="385"/>
      <c r="L2248" s="385"/>
      <c r="M2248" s="385"/>
      <c r="N2248" s="385"/>
      <c r="O2248" s="385"/>
      <c r="P2248" s="385" t="str">
        <f>IFERROR(
    IF(
        OR(ISBLANK(I2248), ISBLANK(L2248)),
        "",
        MAX(
            1,
            IF(
                NETWORKDAYS(I2248, L2248, Holiday_Dates) &lt;= 0,
                1,
                NETWORKDAYS(I2248, L2248, Holiday_Dates) - IF(I2248 = L2248, 0, 1)
            )
        )
    ),
    ""
)</f>
        <v/>
      </c>
      <c r="Q2248" s="385" t="str">
        <f>IF(
    OR(ISBLANK(L2248), ISBLANK(M2248)),
    "",
    MAX(
        1,
        IF(
            NETWORKDAYS(L2248, M2248, Holiday_Dates) &lt;= 0,
            1,
            NETWORKDAYS(L2248, M2248, Holiday_Dates) - IF(L2248 = M2248, 0, 1)
        )
    )
)</f>
        <v/>
      </c>
      <c r="R2248" s="385" t="str">
        <f>IFERROR(
    IF(
        OR(ISBLANK(N2248), AND(ISBLANK(L2248), ISBLANK(M2248))),
        "",
        MAX(
            1,
            IF(
                NETWORKDAYS(IF(NOT(ISBLANK(M2248)), M2248, L2248), N2248, Holiday_Dates) &lt;= 0,
                1,
                NETWORKDAYS(IF(NOT(ISBLANK(M2248)), M2248, L2248), N2248, Holiday_Dates)
                - IF(IF(NOT(ISBLANK(M2248)), M2248, L2248) = N2248, 0, 1)
            )
        )
    ),
    ""
)</f>
        <v/>
      </c>
      <c r="S2248" s="385" t="str">
        <f>IFERROR(
    IF(
        OR(ISBLANK(N2248), ISBLANK(O2248)),
        "",
        MAX(
            1,
            IF(
                NETWORKDAYS(N2248, O2248, Holiday_Dates) &lt;= 0,
                1,
                NETWORKDAYS(N2248, O2248, Holiday_Dates) - IF(N2248 = O2248, 0, 1)
            )
        )
    ),
    ""
)</f>
        <v/>
      </c>
      <c r="T2248" s="385"/>
      <c r="U2248" s="385"/>
      <c r="V2248" s="385"/>
      <c r="W2248" s="385" t="s">
        <v>4710</v>
      </c>
      <c r="X2248" s="1"/>
    </row>
    <row r="2249" spans="1:24">
      <c r="A2249" s="385" t="s">
        <v>51</v>
      </c>
      <c r="B2249" s="385" t="s">
        <v>416</v>
      </c>
      <c r="C2249" s="385" t="s">
        <v>3799</v>
      </c>
      <c r="D2249" s="385" t="s">
        <v>88</v>
      </c>
      <c r="E2249" s="385"/>
      <c r="F2249" s="385"/>
      <c r="G2249" s="385"/>
      <c r="H2249" s="385">
        <v>2025</v>
      </c>
      <c r="I2249" s="386">
        <v>45910</v>
      </c>
      <c r="J2249" s="30" t="s">
        <v>5514</v>
      </c>
      <c r="K2249" s="385"/>
      <c r="L2249" s="385"/>
      <c r="M2249" s="385"/>
      <c r="N2249" s="385"/>
      <c r="O2249" s="385"/>
      <c r="P2249" s="385" t="str">
        <f>IFERROR(
    IF(
        OR(ISBLANK(I2249), ISBLANK(L2249)),
        "",
        MAX(
            1,
            IF(
                NETWORKDAYS(I2249, L2249, Holiday_Dates) &lt;= 0,
                1,
                NETWORKDAYS(I2249, L2249, Holiday_Dates) - IF(I2249 = L2249, 0, 1)
            )
        )
    ),
    ""
)</f>
        <v/>
      </c>
      <c r="Q2249" s="385" t="str">
        <f>IF(
    OR(ISBLANK(L2249), ISBLANK(M2249)),
    "",
    MAX(
        1,
        IF(
            NETWORKDAYS(L2249, M2249, Holiday_Dates) &lt;= 0,
            1,
            NETWORKDAYS(L2249, M2249, Holiday_Dates) - IF(L2249 = M2249, 0, 1)
        )
    )
)</f>
        <v/>
      </c>
      <c r="R2249" s="385" t="str">
        <f>IFERROR(
    IF(
        OR(ISBLANK(N2249), AND(ISBLANK(L2249), ISBLANK(M2249))),
        "",
        MAX(
            1,
            IF(
                NETWORKDAYS(IF(NOT(ISBLANK(M2249)), M2249, L2249), N2249, Holiday_Dates) &lt;= 0,
                1,
                NETWORKDAYS(IF(NOT(ISBLANK(M2249)), M2249, L2249), N2249, Holiday_Dates)
                - IF(IF(NOT(ISBLANK(M2249)), M2249, L2249) = N2249, 0, 1)
            )
        )
    ),
    ""
)</f>
        <v/>
      </c>
      <c r="S2249" s="385" t="str">
        <f>IFERROR(
    IF(
        OR(ISBLANK(N2249), ISBLANK(O2249)),
        "",
        MAX(
            1,
            IF(
                NETWORKDAYS(N2249, O2249, Holiday_Dates) &lt;= 0,
                1,
                NETWORKDAYS(N2249, O2249, Holiday_Dates) - IF(N2249 = O2249, 0, 1)
            )
        )
    ),
    ""
)</f>
        <v/>
      </c>
      <c r="T2249" s="385"/>
      <c r="U2249" s="385" t="s">
        <v>672</v>
      </c>
      <c r="V2249" s="385" t="s">
        <v>1676</v>
      </c>
      <c r="W2249" s="385" t="s">
        <v>1436</v>
      </c>
      <c r="X2249" s="1"/>
    </row>
    <row r="2250" spans="1:24">
      <c r="A2250" s="385" t="s">
        <v>65</v>
      </c>
      <c r="B2250" s="385" t="s">
        <v>524</v>
      </c>
      <c r="C2250" s="385" t="s">
        <v>1532</v>
      </c>
      <c r="D2250" s="385" t="s">
        <v>88</v>
      </c>
      <c r="E2250" s="385" t="s">
        <v>141</v>
      </c>
      <c r="F2250" s="385"/>
      <c r="G2250" s="385" t="s">
        <v>130</v>
      </c>
      <c r="H2250" s="385"/>
      <c r="I2250" s="385"/>
      <c r="J2250" s="30"/>
      <c r="K2250" s="385"/>
      <c r="L2250" s="385"/>
      <c r="M2250" s="385"/>
      <c r="N2250" s="385"/>
      <c r="O2250" s="385"/>
      <c r="P2250" s="385" t="str">
        <f>IFERROR(
    IF(
        OR(ISBLANK(I2250), ISBLANK(L2250)),
        "",
        MAX(
            1,
            IF(
                NETWORKDAYS(I2250, L2250, Holiday_Dates) &lt;= 0,
                1,
                NETWORKDAYS(I2250, L2250, Holiday_Dates) - IF(I2250 = L2250, 0, 1)
            )
        )
    ),
    ""
)</f>
        <v/>
      </c>
      <c r="Q2250" s="385" t="str">
        <f>IF(
    OR(ISBLANK(L2250), ISBLANK(M2250)),
    "",
    MAX(
        1,
        IF(
            NETWORKDAYS(L2250, M2250, Holiday_Dates) &lt;= 0,
            1,
            NETWORKDAYS(L2250, M2250, Holiday_Dates) - IF(L2250 = M2250, 0, 1)
        )
    )
)</f>
        <v/>
      </c>
      <c r="R2250" s="385" t="str">
        <f>IFERROR(
    IF(
        OR(ISBLANK(N2250), AND(ISBLANK(L2250), ISBLANK(M2250))),
        "",
        MAX(
            1,
            IF(
                NETWORKDAYS(IF(NOT(ISBLANK(M2250)), M2250, L2250), N2250, Holiday_Dates) &lt;= 0,
                1,
                NETWORKDAYS(IF(NOT(ISBLANK(M2250)), M2250, L2250), N2250, Holiday_Dates)
                - IF(IF(NOT(ISBLANK(M2250)), M2250, L2250) = N2250, 0, 1)
            )
        )
    ),
    ""
)</f>
        <v/>
      </c>
      <c r="S2250" s="385" t="str">
        <f>IFERROR(
    IF(
        OR(ISBLANK(N2250), ISBLANK(O2250)),
        "",
        MAX(
            1,
            IF(
                NETWORKDAYS(N2250, O2250, Holiday_Dates) &lt;= 0,
                1,
                NETWORKDAYS(N2250, O2250, Holiday_Dates) - IF(N2250 = O2250, 0, 1)
            )
        )
    ),
    ""
)</f>
        <v/>
      </c>
      <c r="T2250" s="385"/>
      <c r="U2250" s="385"/>
      <c r="V2250" s="385"/>
      <c r="W2250" s="385" t="s">
        <v>4710</v>
      </c>
      <c r="X2250" s="1"/>
    </row>
    <row r="2251" spans="1:24">
      <c r="A2251" s="385" t="s">
        <v>51</v>
      </c>
      <c r="B2251" s="385" t="s">
        <v>416</v>
      </c>
      <c r="C2251" s="385" t="s">
        <v>3800</v>
      </c>
      <c r="D2251" s="385" t="s">
        <v>88</v>
      </c>
      <c r="E2251" s="385"/>
      <c r="F2251" s="385"/>
      <c r="G2251" s="385"/>
      <c r="H2251" s="385">
        <v>2024</v>
      </c>
      <c r="I2251" s="386">
        <v>45393</v>
      </c>
      <c r="J2251" s="30"/>
      <c r="K2251" s="385"/>
      <c r="L2251" s="385"/>
      <c r="M2251" s="385"/>
      <c r="N2251" s="385"/>
      <c r="O2251" s="385"/>
      <c r="P2251" s="385" t="str">
        <f>IFERROR(
    IF(
        OR(ISBLANK(I2251), ISBLANK(L2251)),
        "",
        MAX(
            1,
            IF(
                NETWORKDAYS(I2251, L2251, Holiday_Dates) &lt;= 0,
                1,
                NETWORKDAYS(I2251, L2251, Holiday_Dates) - IF(I2251 = L2251, 0, 1)
            )
        )
    ),
    ""
)</f>
        <v/>
      </c>
      <c r="Q2251" s="385" t="str">
        <f>IF(
    OR(ISBLANK(L2251), ISBLANK(M2251)),
    "",
    MAX(
        1,
        IF(
            NETWORKDAYS(L2251, M2251, Holiday_Dates) &lt;= 0,
            1,
            NETWORKDAYS(L2251, M2251, Holiday_Dates) - IF(L2251 = M2251, 0, 1)
        )
    )
)</f>
        <v/>
      </c>
      <c r="R2251" s="385" t="str">
        <f>IFERROR(
    IF(
        OR(ISBLANK(N2251), AND(ISBLANK(L2251), ISBLANK(M2251))),
        "",
        MAX(
            1,
            IF(
                NETWORKDAYS(IF(NOT(ISBLANK(M2251)), M2251, L2251), N2251, Holiday_Dates) &lt;= 0,
                1,
                NETWORKDAYS(IF(NOT(ISBLANK(M2251)), M2251, L2251), N2251, Holiday_Dates)
                - IF(IF(NOT(ISBLANK(M2251)), M2251, L2251) = N2251, 0, 1)
            )
        )
    ),
    ""
)</f>
        <v/>
      </c>
      <c r="S2251" s="385" t="str">
        <f>IFERROR(
    IF(
        OR(ISBLANK(N2251), ISBLANK(O2251)),
        "",
        MAX(
            1,
            IF(
                NETWORKDAYS(N2251, O2251, Holiday_Dates) &lt;= 0,
                1,
                NETWORKDAYS(N2251, O2251, Holiday_Dates) - IF(N2251 = O2251, 0, 1)
            )
        )
    ),
    ""
)</f>
        <v/>
      </c>
      <c r="T2251" s="385"/>
      <c r="U2251" s="385" t="s">
        <v>672</v>
      </c>
      <c r="V2251" s="385"/>
      <c r="W2251" s="385" t="s">
        <v>1436</v>
      </c>
      <c r="X2251" s="1"/>
    </row>
    <row r="2252" spans="1:24">
      <c r="A2252" s="385" t="s">
        <v>65</v>
      </c>
      <c r="B2252" s="385" t="s">
        <v>524</v>
      </c>
      <c r="C2252" s="385" t="s">
        <v>3367</v>
      </c>
      <c r="D2252" s="385" t="s">
        <v>88</v>
      </c>
      <c r="E2252" s="385" t="s">
        <v>141</v>
      </c>
      <c r="F2252" s="385"/>
      <c r="G2252" s="385" t="s">
        <v>130</v>
      </c>
      <c r="H2252" s="385"/>
      <c r="I2252" s="385"/>
      <c r="J2252" s="30"/>
      <c r="K2252" s="385"/>
      <c r="L2252" s="385"/>
      <c r="M2252" s="385"/>
      <c r="N2252" s="385"/>
      <c r="O2252" s="385"/>
      <c r="P2252" s="385" t="str">
        <f>IFERROR(
    IF(
        OR(ISBLANK(I2252), ISBLANK(L2252)),
        "",
        MAX(
            1,
            IF(
                NETWORKDAYS(I2252, L2252, Holiday_Dates) &lt;= 0,
                1,
                NETWORKDAYS(I2252, L2252, Holiday_Dates) - IF(I2252 = L2252, 0, 1)
            )
        )
    ),
    ""
)</f>
        <v/>
      </c>
      <c r="Q2252" s="385" t="str">
        <f>IF(
    OR(ISBLANK(L2252), ISBLANK(M2252)),
    "",
    MAX(
        1,
        IF(
            NETWORKDAYS(L2252, M2252, Holiday_Dates) &lt;= 0,
            1,
            NETWORKDAYS(L2252, M2252, Holiday_Dates) - IF(L2252 = M2252, 0, 1)
        )
    )
)</f>
        <v/>
      </c>
      <c r="R2252" s="385" t="str">
        <f>IFERROR(
    IF(
        OR(ISBLANK(N2252), AND(ISBLANK(L2252), ISBLANK(M2252))),
        "",
        MAX(
            1,
            IF(
                NETWORKDAYS(IF(NOT(ISBLANK(M2252)), M2252, L2252), N2252, Holiday_Dates) &lt;= 0,
                1,
                NETWORKDAYS(IF(NOT(ISBLANK(M2252)), M2252, L2252), N2252, Holiday_Dates)
                - IF(IF(NOT(ISBLANK(M2252)), M2252, L2252) = N2252, 0, 1)
            )
        )
    ),
    ""
)</f>
        <v/>
      </c>
      <c r="S2252" s="385" t="str">
        <f>IFERROR(
    IF(
        OR(ISBLANK(N2252), ISBLANK(O2252)),
        "",
        MAX(
            1,
            IF(
                NETWORKDAYS(N2252, O2252, Holiday_Dates) &lt;= 0,
                1,
                NETWORKDAYS(N2252, O2252, Holiday_Dates) - IF(N2252 = O2252, 0, 1)
            )
        )
    ),
    ""
)</f>
        <v/>
      </c>
      <c r="T2252" s="385"/>
      <c r="U2252" s="385"/>
      <c r="V2252" s="385"/>
      <c r="W2252" s="385" t="s">
        <v>4710</v>
      </c>
      <c r="X2252" s="1"/>
    </row>
    <row r="2253" spans="1:24">
      <c r="A2253" s="385" t="s">
        <v>65</v>
      </c>
      <c r="B2253" s="385" t="s">
        <v>524</v>
      </c>
      <c r="C2253" s="385" t="s">
        <v>1076</v>
      </c>
      <c r="D2253" s="385" t="s">
        <v>88</v>
      </c>
      <c r="E2253" s="385" t="s">
        <v>141</v>
      </c>
      <c r="F2253" s="385"/>
      <c r="G2253" s="385" t="s">
        <v>130</v>
      </c>
      <c r="H2253" s="385"/>
      <c r="I2253" s="385"/>
      <c r="J2253" s="30"/>
      <c r="K2253" s="385"/>
      <c r="L2253" s="385"/>
      <c r="M2253" s="385"/>
      <c r="N2253" s="385"/>
      <c r="O2253" s="385"/>
      <c r="P2253" s="385" t="str">
        <f>IFERROR(
    IF(
        OR(ISBLANK(I2253), ISBLANK(L2253)),
        "",
        MAX(
            1,
            IF(
                NETWORKDAYS(I2253, L2253, Holiday_Dates) &lt;= 0,
                1,
                NETWORKDAYS(I2253, L2253, Holiday_Dates) - IF(I2253 = L2253, 0, 1)
            )
        )
    ),
    ""
)</f>
        <v/>
      </c>
      <c r="Q2253" s="385" t="str">
        <f>IF(
    OR(ISBLANK(L2253), ISBLANK(M2253)),
    "",
    MAX(
        1,
        IF(
            NETWORKDAYS(L2253, M2253, Holiday_Dates) &lt;= 0,
            1,
            NETWORKDAYS(L2253, M2253, Holiday_Dates) - IF(L2253 = M2253, 0, 1)
        )
    )
)</f>
        <v/>
      </c>
      <c r="R2253" s="385" t="str">
        <f>IFERROR(
    IF(
        OR(ISBLANK(N2253), AND(ISBLANK(L2253), ISBLANK(M2253))),
        "",
        MAX(
            1,
            IF(
                NETWORKDAYS(IF(NOT(ISBLANK(M2253)), M2253, L2253), N2253, Holiday_Dates) &lt;= 0,
                1,
                NETWORKDAYS(IF(NOT(ISBLANK(M2253)), M2253, L2253), N2253, Holiday_Dates)
                - IF(IF(NOT(ISBLANK(M2253)), M2253, L2253) = N2253, 0, 1)
            )
        )
    ),
    ""
)</f>
        <v/>
      </c>
      <c r="S2253" s="385" t="str">
        <f>IFERROR(
    IF(
        OR(ISBLANK(N2253), ISBLANK(O2253)),
        "",
        MAX(
            1,
            IF(
                NETWORKDAYS(N2253, O2253, Holiday_Dates) &lt;= 0,
                1,
                NETWORKDAYS(N2253, O2253, Holiday_Dates) - IF(N2253 = O2253, 0, 1)
            )
        )
    ),
    ""
)</f>
        <v/>
      </c>
      <c r="T2253" s="385"/>
      <c r="U2253" s="385"/>
      <c r="V2253" s="385"/>
      <c r="W2253" s="385" t="s">
        <v>4710</v>
      </c>
      <c r="X2253" s="1"/>
    </row>
    <row r="2254" spans="1:24">
      <c r="A2254" s="385" t="s">
        <v>65</v>
      </c>
      <c r="B2254" s="385" t="s">
        <v>524</v>
      </c>
      <c r="C2254" s="385" t="s">
        <v>3368</v>
      </c>
      <c r="D2254" s="385" t="s">
        <v>88</v>
      </c>
      <c r="E2254" s="385" t="s">
        <v>141</v>
      </c>
      <c r="F2254" s="385"/>
      <c r="G2254" s="385" t="s">
        <v>130</v>
      </c>
      <c r="H2254" s="385"/>
      <c r="I2254" s="385"/>
      <c r="J2254" s="30"/>
      <c r="K2254" s="385"/>
      <c r="L2254" s="385"/>
      <c r="M2254" s="385"/>
      <c r="N2254" s="385"/>
      <c r="O2254" s="385"/>
      <c r="P2254" s="385" t="str">
        <f>IFERROR(
    IF(
        OR(ISBLANK(I2254), ISBLANK(L2254)),
        "",
        MAX(
            1,
            IF(
                NETWORKDAYS(I2254, L2254, Holiday_Dates) &lt;= 0,
                1,
                NETWORKDAYS(I2254, L2254, Holiday_Dates) - IF(I2254 = L2254, 0, 1)
            )
        )
    ),
    ""
)</f>
        <v/>
      </c>
      <c r="Q2254" s="385" t="str">
        <f>IF(
    OR(ISBLANK(L2254), ISBLANK(M2254)),
    "",
    MAX(
        1,
        IF(
            NETWORKDAYS(L2254, M2254, Holiday_Dates) &lt;= 0,
            1,
            NETWORKDAYS(L2254, M2254, Holiday_Dates) - IF(L2254 = M2254, 0, 1)
        )
    )
)</f>
        <v/>
      </c>
      <c r="R2254" s="385" t="str">
        <f>IFERROR(
    IF(
        OR(ISBLANK(N2254), AND(ISBLANK(L2254), ISBLANK(M2254))),
        "",
        MAX(
            1,
            IF(
                NETWORKDAYS(IF(NOT(ISBLANK(M2254)), M2254, L2254), N2254, Holiday_Dates) &lt;= 0,
                1,
                NETWORKDAYS(IF(NOT(ISBLANK(M2254)), M2254, L2254), N2254, Holiday_Dates)
                - IF(IF(NOT(ISBLANK(M2254)), M2254, L2254) = N2254, 0, 1)
            )
        )
    ),
    ""
)</f>
        <v/>
      </c>
      <c r="S2254" s="385" t="str">
        <f>IFERROR(
    IF(
        OR(ISBLANK(N2254), ISBLANK(O2254)),
        "",
        MAX(
            1,
            IF(
                NETWORKDAYS(N2254, O2254, Holiday_Dates) &lt;= 0,
                1,
                NETWORKDAYS(N2254, O2254, Holiday_Dates) - IF(N2254 = O2254, 0, 1)
            )
        )
    ),
    ""
)</f>
        <v/>
      </c>
      <c r="T2254" s="385"/>
      <c r="U2254" s="385"/>
      <c r="V2254" s="385"/>
      <c r="W2254" s="385" t="s">
        <v>4710</v>
      </c>
      <c r="X2254" s="1"/>
    </row>
    <row r="2255" spans="1:24">
      <c r="A2255" s="385" t="s">
        <v>51</v>
      </c>
      <c r="B2255" s="385" t="s">
        <v>416</v>
      </c>
      <c r="C2255" s="385" t="s">
        <v>3803</v>
      </c>
      <c r="D2255" s="385" t="s">
        <v>88</v>
      </c>
      <c r="E2255" s="385"/>
      <c r="F2255" s="385"/>
      <c r="G2255" s="385"/>
      <c r="H2255" s="385">
        <v>2024</v>
      </c>
      <c r="I2255" s="386">
        <v>45393</v>
      </c>
      <c r="J2255" s="30"/>
      <c r="K2255" s="385"/>
      <c r="L2255" s="385"/>
      <c r="M2255" s="385"/>
      <c r="N2255" s="385"/>
      <c r="O2255" s="385"/>
      <c r="P2255" s="385" t="str">
        <f>IFERROR(
    IF(
        OR(ISBLANK(I2255), ISBLANK(L2255)),
        "",
        MAX(
            1,
            IF(
                NETWORKDAYS(I2255, L2255, Holiday_Dates) &lt;= 0,
                1,
                NETWORKDAYS(I2255, L2255, Holiday_Dates) - IF(I2255 = L2255, 0, 1)
            )
        )
    ),
    ""
)</f>
        <v/>
      </c>
      <c r="Q2255" s="385" t="str">
        <f>IF(
    OR(ISBLANK(L2255), ISBLANK(M2255)),
    "",
    MAX(
        1,
        IF(
            NETWORKDAYS(L2255, M2255, Holiday_Dates) &lt;= 0,
            1,
            NETWORKDAYS(L2255, M2255, Holiday_Dates) - IF(L2255 = M2255, 0, 1)
        )
    )
)</f>
        <v/>
      </c>
      <c r="R2255" s="385" t="str">
        <f>IFERROR(
    IF(
        OR(ISBLANK(N2255), AND(ISBLANK(L2255), ISBLANK(M2255))),
        "",
        MAX(
            1,
            IF(
                NETWORKDAYS(IF(NOT(ISBLANK(M2255)), M2255, L2255), N2255, Holiday_Dates) &lt;= 0,
                1,
                NETWORKDAYS(IF(NOT(ISBLANK(M2255)), M2255, L2255), N2255, Holiday_Dates)
                - IF(IF(NOT(ISBLANK(M2255)), M2255, L2255) = N2255, 0, 1)
            )
        )
    ),
    ""
)</f>
        <v/>
      </c>
      <c r="S2255" s="385" t="str">
        <f>IFERROR(
    IF(
        OR(ISBLANK(N2255), ISBLANK(O2255)),
        "",
        MAX(
            1,
            IF(
                NETWORKDAYS(N2255, O2255, Holiday_Dates) &lt;= 0,
                1,
                NETWORKDAYS(N2255, O2255, Holiday_Dates) - IF(N2255 = O2255, 0, 1)
            )
        )
    ),
    ""
)</f>
        <v/>
      </c>
      <c r="T2255" s="385"/>
      <c r="U2255" s="385" t="s">
        <v>672</v>
      </c>
      <c r="V2255" s="385"/>
      <c r="W2255" s="385" t="s">
        <v>1436</v>
      </c>
      <c r="X2255" s="1"/>
    </row>
    <row r="2256" spans="1:24">
      <c r="A2256" s="385" t="s">
        <v>65</v>
      </c>
      <c r="B2256" s="385" t="s">
        <v>524</v>
      </c>
      <c r="C2256" s="385" t="s">
        <v>741</v>
      </c>
      <c r="D2256" s="385" t="s">
        <v>88</v>
      </c>
      <c r="E2256" s="385" t="s">
        <v>141</v>
      </c>
      <c r="F2256" s="385"/>
      <c r="G2256" s="385" t="s">
        <v>130</v>
      </c>
      <c r="H2256" s="385"/>
      <c r="I2256" s="385"/>
      <c r="J2256" s="30"/>
      <c r="K2256" s="385"/>
      <c r="L2256" s="385"/>
      <c r="M2256" s="385"/>
      <c r="N2256" s="385"/>
      <c r="O2256" s="385"/>
      <c r="P2256" s="385" t="str">
        <f>IFERROR(
    IF(
        OR(ISBLANK(I2256), ISBLANK(L2256)),
        "",
        MAX(
            1,
            IF(
                NETWORKDAYS(I2256, L2256, Holiday_Dates) &lt;= 0,
                1,
                NETWORKDAYS(I2256, L2256, Holiday_Dates) - IF(I2256 = L2256, 0, 1)
            )
        )
    ),
    ""
)</f>
        <v/>
      </c>
      <c r="Q2256" s="385" t="str">
        <f>IF(
    OR(ISBLANK(L2256), ISBLANK(M2256)),
    "",
    MAX(
        1,
        IF(
            NETWORKDAYS(L2256, M2256, Holiday_Dates) &lt;= 0,
            1,
            NETWORKDAYS(L2256, M2256, Holiday_Dates) - IF(L2256 = M2256, 0, 1)
        )
    )
)</f>
        <v/>
      </c>
      <c r="R2256" s="385" t="str">
        <f>IFERROR(
    IF(
        OR(ISBLANK(N2256), AND(ISBLANK(L2256), ISBLANK(M2256))),
        "",
        MAX(
            1,
            IF(
                NETWORKDAYS(IF(NOT(ISBLANK(M2256)), M2256, L2256), N2256, Holiday_Dates) &lt;= 0,
                1,
                NETWORKDAYS(IF(NOT(ISBLANK(M2256)), M2256, L2256), N2256, Holiday_Dates)
                - IF(IF(NOT(ISBLANK(M2256)), M2256, L2256) = N2256, 0, 1)
            )
        )
    ),
    ""
)</f>
        <v/>
      </c>
      <c r="S2256" s="385" t="str">
        <f>IFERROR(
    IF(
        OR(ISBLANK(N2256), ISBLANK(O2256)),
        "",
        MAX(
            1,
            IF(
                NETWORKDAYS(N2256, O2256, Holiday_Dates) &lt;= 0,
                1,
                NETWORKDAYS(N2256, O2256, Holiday_Dates) - IF(N2256 = O2256, 0, 1)
            )
        )
    ),
    ""
)</f>
        <v/>
      </c>
      <c r="T2256" s="385"/>
      <c r="U2256" s="385"/>
      <c r="V2256" s="385"/>
      <c r="W2256" s="385" t="s">
        <v>4710</v>
      </c>
      <c r="X2256" s="1"/>
    </row>
    <row r="2257" spans="1:24">
      <c r="A2257" s="385" t="s">
        <v>51</v>
      </c>
      <c r="B2257" s="385" t="s">
        <v>416</v>
      </c>
      <c r="C2257" s="385" t="s">
        <v>3806</v>
      </c>
      <c r="D2257" s="385" t="s">
        <v>88</v>
      </c>
      <c r="E2257" s="385"/>
      <c r="F2257" s="385"/>
      <c r="G2257" s="385"/>
      <c r="H2257" s="385">
        <v>2025</v>
      </c>
      <c r="I2257" s="386">
        <v>45883</v>
      </c>
      <c r="J2257" s="30" t="s">
        <v>5515</v>
      </c>
      <c r="K2257" s="385"/>
      <c r="L2257" s="385"/>
      <c r="M2257" s="385"/>
      <c r="N2257" s="385"/>
      <c r="O2257" s="385"/>
      <c r="P2257" s="385" t="str">
        <f>IFERROR(
    IF(
        OR(ISBLANK(I2257), ISBLANK(L2257)),
        "",
        MAX(
            1,
            IF(
                NETWORKDAYS(I2257, L2257, Holiday_Dates) &lt;= 0,
                1,
                NETWORKDAYS(I2257, L2257, Holiday_Dates) - IF(I2257 = L2257, 0, 1)
            )
        )
    ),
    ""
)</f>
        <v/>
      </c>
      <c r="Q2257" s="385" t="str">
        <f>IF(
    OR(ISBLANK(L2257), ISBLANK(M2257)),
    "",
    MAX(
        1,
        IF(
            NETWORKDAYS(L2257, M2257, Holiday_Dates) &lt;= 0,
            1,
            NETWORKDAYS(L2257, M2257, Holiday_Dates) - IF(L2257 = M2257, 0, 1)
        )
    )
)</f>
        <v/>
      </c>
      <c r="R2257" s="385" t="str">
        <f>IFERROR(
    IF(
        OR(ISBLANK(N2257), AND(ISBLANK(L2257), ISBLANK(M2257))),
        "",
        MAX(
            1,
            IF(
                NETWORKDAYS(IF(NOT(ISBLANK(M2257)), M2257, L2257), N2257, Holiday_Dates) &lt;= 0,
                1,
                NETWORKDAYS(IF(NOT(ISBLANK(M2257)), M2257, L2257), N2257, Holiday_Dates)
                - IF(IF(NOT(ISBLANK(M2257)), M2257, L2257) = N2257, 0, 1)
            )
        )
    ),
    ""
)</f>
        <v/>
      </c>
      <c r="S2257" s="385" t="str">
        <f>IFERROR(
    IF(
        OR(ISBLANK(N2257), ISBLANK(O2257)),
        "",
        MAX(
            1,
            IF(
                NETWORKDAYS(N2257, O2257, Holiday_Dates) &lt;= 0,
                1,
                NETWORKDAYS(N2257, O2257, Holiday_Dates) - IF(N2257 = O2257, 0, 1)
            )
        )
    ),
    ""
)</f>
        <v/>
      </c>
      <c r="T2257" s="385"/>
      <c r="U2257" s="385" t="s">
        <v>4</v>
      </c>
      <c r="V2257" s="385" t="s">
        <v>108</v>
      </c>
      <c r="W2257" s="385" t="s">
        <v>1436</v>
      </c>
      <c r="X2257" s="1"/>
    </row>
    <row r="2258" spans="1:24">
      <c r="A2258" s="385" t="s">
        <v>51</v>
      </c>
      <c r="B2258" s="385" t="s">
        <v>416</v>
      </c>
      <c r="C2258" s="385" t="s">
        <v>3807</v>
      </c>
      <c r="D2258" s="385" t="s">
        <v>88</v>
      </c>
      <c r="E2258" s="385"/>
      <c r="F2258" s="385"/>
      <c r="G2258" s="385"/>
      <c r="H2258" s="385">
        <v>2025</v>
      </c>
      <c r="I2258" s="386">
        <v>45821</v>
      </c>
      <c r="J2258" s="30" t="s">
        <v>5516</v>
      </c>
      <c r="K2258" s="385"/>
      <c r="L2258" s="385"/>
      <c r="M2258" s="385"/>
      <c r="N2258" s="385"/>
      <c r="O2258" s="385"/>
      <c r="P2258" s="385" t="str">
        <f>IFERROR(
    IF(
        OR(ISBLANK(I2258), ISBLANK(L2258)),
        "",
        MAX(
            1,
            IF(
                NETWORKDAYS(I2258, L2258, Holiday_Dates) &lt;= 0,
                1,
                NETWORKDAYS(I2258, L2258, Holiday_Dates) - IF(I2258 = L2258, 0, 1)
            )
        )
    ),
    ""
)</f>
        <v/>
      </c>
      <c r="Q2258" s="385" t="str">
        <f>IF(
    OR(ISBLANK(L2258), ISBLANK(M2258)),
    "",
    MAX(
        1,
        IF(
            NETWORKDAYS(L2258, M2258, Holiday_Dates) &lt;= 0,
            1,
            NETWORKDAYS(L2258, M2258, Holiday_Dates) - IF(L2258 = M2258, 0, 1)
        )
    )
)</f>
        <v/>
      </c>
      <c r="R2258" s="385" t="str">
        <f>IFERROR(
    IF(
        OR(ISBLANK(N2258), AND(ISBLANK(L2258), ISBLANK(M2258))),
        "",
        MAX(
            1,
            IF(
                NETWORKDAYS(IF(NOT(ISBLANK(M2258)), M2258, L2258), N2258, Holiday_Dates) &lt;= 0,
                1,
                NETWORKDAYS(IF(NOT(ISBLANK(M2258)), M2258, L2258), N2258, Holiday_Dates)
                - IF(IF(NOT(ISBLANK(M2258)), M2258, L2258) = N2258, 0, 1)
            )
        )
    ),
    ""
)</f>
        <v/>
      </c>
      <c r="S2258" s="385" t="str">
        <f>IFERROR(
    IF(
        OR(ISBLANK(N2258), ISBLANK(O2258)),
        "",
        MAX(
            1,
            IF(
                NETWORKDAYS(N2258, O2258, Holiday_Dates) &lt;= 0,
                1,
                NETWORKDAYS(N2258, O2258, Holiday_Dates) - IF(N2258 = O2258, 0, 1)
            )
        )
    ),
    ""
)</f>
        <v/>
      </c>
      <c r="T2258" s="385"/>
      <c r="U2258" s="385" t="s">
        <v>672</v>
      </c>
      <c r="V2258" s="385" t="s">
        <v>1676</v>
      </c>
      <c r="W2258" s="385" t="s">
        <v>1436</v>
      </c>
      <c r="X2258" s="1"/>
    </row>
    <row r="2259" spans="1:24">
      <c r="A2259" s="385" t="s">
        <v>51</v>
      </c>
      <c r="B2259" s="385" t="s">
        <v>416</v>
      </c>
      <c r="C2259" s="385" t="s">
        <v>3808</v>
      </c>
      <c r="D2259" s="385" t="s">
        <v>88</v>
      </c>
      <c r="E2259" s="385"/>
      <c r="F2259" s="385"/>
      <c r="G2259" s="385"/>
      <c r="H2259" s="385">
        <v>2025</v>
      </c>
      <c r="I2259" s="386">
        <v>45910</v>
      </c>
      <c r="J2259" s="30" t="s">
        <v>5517</v>
      </c>
      <c r="K2259" s="385"/>
      <c r="L2259" s="385"/>
      <c r="M2259" s="385"/>
      <c r="N2259" s="385"/>
      <c r="O2259" s="385"/>
      <c r="P2259" s="385" t="str">
        <f>IFERROR(
    IF(
        OR(ISBLANK(I2259), ISBLANK(L2259)),
        "",
        MAX(
            1,
            IF(
                NETWORKDAYS(I2259, L2259, Holiday_Dates) &lt;= 0,
                1,
                NETWORKDAYS(I2259, L2259, Holiday_Dates) - IF(I2259 = L2259, 0, 1)
            )
        )
    ),
    ""
)</f>
        <v/>
      </c>
      <c r="Q2259" s="385" t="str">
        <f>IF(
    OR(ISBLANK(L2259), ISBLANK(M2259)),
    "",
    MAX(
        1,
        IF(
            NETWORKDAYS(L2259, M2259, Holiday_Dates) &lt;= 0,
            1,
            NETWORKDAYS(L2259, M2259, Holiday_Dates) - IF(L2259 = M2259, 0, 1)
        )
    )
)</f>
        <v/>
      </c>
      <c r="R2259" s="385" t="str">
        <f>IFERROR(
    IF(
        OR(ISBLANK(N2259), AND(ISBLANK(L2259), ISBLANK(M2259))),
        "",
        MAX(
            1,
            IF(
                NETWORKDAYS(IF(NOT(ISBLANK(M2259)), M2259, L2259), N2259, Holiday_Dates) &lt;= 0,
                1,
                NETWORKDAYS(IF(NOT(ISBLANK(M2259)), M2259, L2259), N2259, Holiday_Dates)
                - IF(IF(NOT(ISBLANK(M2259)), M2259, L2259) = N2259, 0, 1)
            )
        )
    ),
    ""
)</f>
        <v/>
      </c>
      <c r="S2259" s="385" t="str">
        <f>IFERROR(
    IF(
        OR(ISBLANK(N2259), ISBLANK(O2259)),
        "",
        MAX(
            1,
            IF(
                NETWORKDAYS(N2259, O2259, Holiday_Dates) &lt;= 0,
                1,
                NETWORKDAYS(N2259, O2259, Holiday_Dates) - IF(N2259 = O2259, 0, 1)
            )
        )
    ),
    ""
)</f>
        <v/>
      </c>
      <c r="T2259" s="385"/>
      <c r="U2259" s="385" t="s">
        <v>672</v>
      </c>
      <c r="V2259" s="385" t="s">
        <v>1676</v>
      </c>
      <c r="W2259" s="385" t="s">
        <v>1436</v>
      </c>
      <c r="X2259" s="1"/>
    </row>
    <row r="2260" spans="1:24">
      <c r="A2260" s="385" t="s">
        <v>65</v>
      </c>
      <c r="B2260" s="385" t="s">
        <v>524</v>
      </c>
      <c r="C2260" s="385" t="s">
        <v>520</v>
      </c>
      <c r="D2260" s="385" t="s">
        <v>88</v>
      </c>
      <c r="E2260" s="385" t="s">
        <v>141</v>
      </c>
      <c r="F2260" s="385"/>
      <c r="G2260" s="385" t="s">
        <v>130</v>
      </c>
      <c r="H2260" s="385"/>
      <c r="I2260" s="385"/>
      <c r="J2260" s="30"/>
      <c r="K2260" s="385"/>
      <c r="L2260" s="385"/>
      <c r="M2260" s="385"/>
      <c r="N2260" s="385"/>
      <c r="O2260" s="385"/>
      <c r="P2260" s="385" t="str">
        <f>IFERROR(
    IF(
        OR(ISBLANK(I2260), ISBLANK(L2260)),
        "",
        MAX(
            1,
            IF(
                NETWORKDAYS(I2260, L2260, Holiday_Dates) &lt;= 0,
                1,
                NETWORKDAYS(I2260, L2260, Holiday_Dates) - IF(I2260 = L2260, 0, 1)
            )
        )
    ),
    ""
)</f>
        <v/>
      </c>
      <c r="Q2260" s="385" t="str">
        <f>IF(
    OR(ISBLANK(L2260), ISBLANK(M2260)),
    "",
    MAX(
        1,
        IF(
            NETWORKDAYS(L2260, M2260, Holiday_Dates) &lt;= 0,
            1,
            NETWORKDAYS(L2260, M2260, Holiday_Dates) - IF(L2260 = M2260, 0, 1)
        )
    )
)</f>
        <v/>
      </c>
      <c r="R2260" s="385" t="str">
        <f>IFERROR(
    IF(
        OR(ISBLANK(N2260), AND(ISBLANK(L2260), ISBLANK(M2260))),
        "",
        MAX(
            1,
            IF(
                NETWORKDAYS(IF(NOT(ISBLANK(M2260)), M2260, L2260), N2260, Holiday_Dates) &lt;= 0,
                1,
                NETWORKDAYS(IF(NOT(ISBLANK(M2260)), M2260, L2260), N2260, Holiday_Dates)
                - IF(IF(NOT(ISBLANK(M2260)), M2260, L2260) = N2260, 0, 1)
            )
        )
    ),
    ""
)</f>
        <v/>
      </c>
      <c r="S2260" s="385" t="str">
        <f>IFERROR(
    IF(
        OR(ISBLANK(N2260), ISBLANK(O2260)),
        "",
        MAX(
            1,
            IF(
                NETWORKDAYS(N2260, O2260, Holiday_Dates) &lt;= 0,
                1,
                NETWORKDAYS(N2260, O2260, Holiday_Dates) - IF(N2260 = O2260, 0, 1)
            )
        )
    ),
    ""
)</f>
        <v/>
      </c>
      <c r="T2260" s="385"/>
      <c r="U2260" s="385"/>
      <c r="V2260" s="385"/>
      <c r="W2260" s="385" t="s">
        <v>4710</v>
      </c>
      <c r="X2260" s="1"/>
    </row>
    <row r="2261" spans="1:24">
      <c r="A2261" s="385" t="s">
        <v>65</v>
      </c>
      <c r="B2261" s="385" t="s">
        <v>524</v>
      </c>
      <c r="C2261" s="385" t="s">
        <v>3376</v>
      </c>
      <c r="D2261" s="385" t="s">
        <v>88</v>
      </c>
      <c r="E2261" s="385" t="s">
        <v>141</v>
      </c>
      <c r="F2261" s="385"/>
      <c r="G2261" s="385" t="s">
        <v>130</v>
      </c>
      <c r="H2261" s="385"/>
      <c r="I2261" s="385"/>
      <c r="J2261" s="30"/>
      <c r="K2261" s="385"/>
      <c r="L2261" s="385"/>
      <c r="M2261" s="385"/>
      <c r="N2261" s="385"/>
      <c r="O2261" s="385"/>
      <c r="P2261" s="385" t="str">
        <f>IFERROR(
    IF(
        OR(ISBLANK(I2261), ISBLANK(L2261)),
        "",
        MAX(
            1,
            IF(
                NETWORKDAYS(I2261, L2261, Holiday_Dates) &lt;= 0,
                1,
                NETWORKDAYS(I2261, L2261, Holiday_Dates) - IF(I2261 = L2261, 0, 1)
            )
        )
    ),
    ""
)</f>
        <v/>
      </c>
      <c r="Q2261" s="385" t="str">
        <f>IF(
    OR(ISBLANK(L2261), ISBLANK(M2261)),
    "",
    MAX(
        1,
        IF(
            NETWORKDAYS(L2261, M2261, Holiday_Dates) &lt;= 0,
            1,
            NETWORKDAYS(L2261, M2261, Holiday_Dates) - IF(L2261 = M2261, 0, 1)
        )
    )
)</f>
        <v/>
      </c>
      <c r="R2261" s="385" t="str">
        <f>IFERROR(
    IF(
        OR(ISBLANK(N2261), AND(ISBLANK(L2261), ISBLANK(M2261))),
        "",
        MAX(
            1,
            IF(
                NETWORKDAYS(IF(NOT(ISBLANK(M2261)), M2261, L2261), N2261, Holiday_Dates) &lt;= 0,
                1,
                NETWORKDAYS(IF(NOT(ISBLANK(M2261)), M2261, L2261), N2261, Holiday_Dates)
                - IF(IF(NOT(ISBLANK(M2261)), M2261, L2261) = N2261, 0, 1)
            )
        )
    ),
    ""
)</f>
        <v/>
      </c>
      <c r="S2261" s="385" t="str">
        <f>IFERROR(
    IF(
        OR(ISBLANK(N2261), ISBLANK(O2261)),
        "",
        MAX(
            1,
            IF(
                NETWORKDAYS(N2261, O2261, Holiday_Dates) &lt;= 0,
                1,
                NETWORKDAYS(N2261, O2261, Holiday_Dates) - IF(N2261 = O2261, 0, 1)
            )
        )
    ),
    ""
)</f>
        <v/>
      </c>
      <c r="T2261" s="385"/>
      <c r="U2261" s="385"/>
      <c r="V2261" s="385"/>
      <c r="W2261" s="385" t="s">
        <v>4710</v>
      </c>
      <c r="X2261" s="1"/>
    </row>
    <row r="2262" spans="1:24">
      <c r="A2262" s="385" t="s">
        <v>51</v>
      </c>
      <c r="B2262" s="385" t="s">
        <v>416</v>
      </c>
      <c r="C2262" s="385" t="s">
        <v>3811</v>
      </c>
      <c r="D2262" s="385" t="s">
        <v>88</v>
      </c>
      <c r="E2262" s="385"/>
      <c r="F2262" s="385"/>
      <c r="G2262" s="385"/>
      <c r="H2262" s="385">
        <v>2025</v>
      </c>
      <c r="I2262" s="386">
        <v>45841</v>
      </c>
      <c r="J2262" s="30" t="s">
        <v>5518</v>
      </c>
      <c r="K2262" s="385"/>
      <c r="L2262" s="385"/>
      <c r="M2262" s="385"/>
      <c r="N2262" s="385"/>
      <c r="O2262" s="385"/>
      <c r="P2262" s="385" t="str">
        <f>IFERROR(
    IF(
        OR(ISBLANK(I2262), ISBLANK(L2262)),
        "",
        MAX(
            1,
            IF(
                NETWORKDAYS(I2262, L2262, Holiday_Dates) &lt;= 0,
                1,
                NETWORKDAYS(I2262, L2262, Holiday_Dates) - IF(I2262 = L2262, 0, 1)
            )
        )
    ),
    ""
)</f>
        <v/>
      </c>
      <c r="Q2262" s="385" t="str">
        <f>IF(
    OR(ISBLANK(L2262), ISBLANK(M2262)),
    "",
    MAX(
        1,
        IF(
            NETWORKDAYS(L2262, M2262, Holiday_Dates) &lt;= 0,
            1,
            NETWORKDAYS(L2262, M2262, Holiday_Dates) - IF(L2262 = M2262, 0, 1)
        )
    )
)</f>
        <v/>
      </c>
      <c r="R2262" s="385" t="str">
        <f>IFERROR(
    IF(
        OR(ISBLANK(N2262), AND(ISBLANK(L2262), ISBLANK(M2262))),
        "",
        MAX(
            1,
            IF(
                NETWORKDAYS(IF(NOT(ISBLANK(M2262)), M2262, L2262), N2262, Holiday_Dates) &lt;= 0,
                1,
                NETWORKDAYS(IF(NOT(ISBLANK(M2262)), M2262, L2262), N2262, Holiday_Dates)
                - IF(IF(NOT(ISBLANK(M2262)), M2262, L2262) = N2262, 0, 1)
            )
        )
    ),
    ""
)</f>
        <v/>
      </c>
      <c r="S2262" s="385" t="str">
        <f>IFERROR(
    IF(
        OR(ISBLANK(N2262), ISBLANK(O2262)),
        "",
        MAX(
            1,
            IF(
                NETWORKDAYS(N2262, O2262, Holiday_Dates) &lt;= 0,
                1,
                NETWORKDAYS(N2262, O2262, Holiday_Dates) - IF(N2262 = O2262, 0, 1)
            )
        )
    ),
    ""
)</f>
        <v/>
      </c>
      <c r="T2262" s="385"/>
      <c r="U2262" s="385" t="s">
        <v>672</v>
      </c>
      <c r="V2262" s="385" t="s">
        <v>1676</v>
      </c>
      <c r="W2262" s="385" t="s">
        <v>1436</v>
      </c>
      <c r="X2262" s="1"/>
    </row>
    <row r="2263" spans="1:24">
      <c r="A2263" s="385" t="s">
        <v>65</v>
      </c>
      <c r="B2263" s="385" t="s">
        <v>524</v>
      </c>
      <c r="C2263" s="385" t="s">
        <v>881</v>
      </c>
      <c r="D2263" s="385" t="s">
        <v>88</v>
      </c>
      <c r="E2263" s="385" t="s">
        <v>141</v>
      </c>
      <c r="F2263" s="385"/>
      <c r="G2263" s="385" t="s">
        <v>130</v>
      </c>
      <c r="H2263" s="385"/>
      <c r="I2263" s="385"/>
      <c r="J2263" s="30"/>
      <c r="K2263" s="385"/>
      <c r="L2263" s="385"/>
      <c r="M2263" s="385"/>
      <c r="N2263" s="385"/>
      <c r="O2263" s="385"/>
      <c r="P2263" s="385" t="str">
        <f>IFERROR(
    IF(
        OR(ISBLANK(I2263), ISBLANK(L2263)),
        "",
        MAX(
            1,
            IF(
                NETWORKDAYS(I2263, L2263, Holiday_Dates) &lt;= 0,
                1,
                NETWORKDAYS(I2263, L2263, Holiday_Dates) - IF(I2263 = L2263, 0, 1)
            )
        )
    ),
    ""
)</f>
        <v/>
      </c>
      <c r="Q2263" s="385" t="str">
        <f>IF(
    OR(ISBLANK(L2263), ISBLANK(M2263)),
    "",
    MAX(
        1,
        IF(
            NETWORKDAYS(L2263, M2263, Holiday_Dates) &lt;= 0,
            1,
            NETWORKDAYS(L2263, M2263, Holiday_Dates) - IF(L2263 = M2263, 0, 1)
        )
    )
)</f>
        <v/>
      </c>
      <c r="R2263" s="385" t="str">
        <f>IFERROR(
    IF(
        OR(ISBLANK(N2263), AND(ISBLANK(L2263), ISBLANK(M2263))),
        "",
        MAX(
            1,
            IF(
                NETWORKDAYS(IF(NOT(ISBLANK(M2263)), M2263, L2263), N2263, Holiday_Dates) &lt;= 0,
                1,
                NETWORKDAYS(IF(NOT(ISBLANK(M2263)), M2263, L2263), N2263, Holiday_Dates)
                - IF(IF(NOT(ISBLANK(M2263)), M2263, L2263) = N2263, 0, 1)
            )
        )
    ),
    ""
)</f>
        <v/>
      </c>
      <c r="S2263" s="385" t="str">
        <f>IFERROR(
    IF(
        OR(ISBLANK(N2263), ISBLANK(O2263)),
        "",
        MAX(
            1,
            IF(
                NETWORKDAYS(N2263, O2263, Holiday_Dates) &lt;= 0,
                1,
                NETWORKDAYS(N2263, O2263, Holiday_Dates) - IF(N2263 = O2263, 0, 1)
            )
        )
    ),
    ""
)</f>
        <v/>
      </c>
      <c r="T2263" s="385"/>
      <c r="U2263" s="385"/>
      <c r="V2263" s="385"/>
      <c r="W2263" s="385" t="s">
        <v>4710</v>
      </c>
      <c r="X2263" s="1"/>
    </row>
    <row r="2264" spans="1:24">
      <c r="A2264" s="385" t="s">
        <v>51</v>
      </c>
      <c r="B2264" s="385" t="s">
        <v>416</v>
      </c>
      <c r="C2264" s="385" t="s">
        <v>3812</v>
      </c>
      <c r="D2264" s="385" t="s">
        <v>88</v>
      </c>
      <c r="E2264" s="385"/>
      <c r="F2264" s="385"/>
      <c r="G2264" s="385"/>
      <c r="H2264" s="385">
        <v>2025</v>
      </c>
      <c r="I2264" s="386">
        <v>45847</v>
      </c>
      <c r="J2264" s="30" t="s">
        <v>5519</v>
      </c>
      <c r="K2264" s="385"/>
      <c r="L2264" s="385"/>
      <c r="M2264" s="385"/>
      <c r="N2264" s="385"/>
      <c r="O2264" s="385"/>
      <c r="P2264" s="385" t="str">
        <f>IFERROR(
    IF(
        OR(ISBLANK(I2264), ISBLANK(L2264)),
        "",
        MAX(
            1,
            IF(
                NETWORKDAYS(I2264, L2264, Holiday_Dates) &lt;= 0,
                1,
                NETWORKDAYS(I2264, L2264, Holiday_Dates) - IF(I2264 = L2264, 0, 1)
            )
        )
    ),
    ""
)</f>
        <v/>
      </c>
      <c r="Q2264" s="385" t="str">
        <f>IF(
    OR(ISBLANK(L2264), ISBLANK(M2264)),
    "",
    MAX(
        1,
        IF(
            NETWORKDAYS(L2264, M2264, Holiday_Dates) &lt;= 0,
            1,
            NETWORKDAYS(L2264, M2264, Holiday_Dates) - IF(L2264 = M2264, 0, 1)
        )
    )
)</f>
        <v/>
      </c>
      <c r="R2264" s="385" t="str">
        <f>IFERROR(
    IF(
        OR(ISBLANK(N2264), AND(ISBLANK(L2264), ISBLANK(M2264))),
        "",
        MAX(
            1,
            IF(
                NETWORKDAYS(IF(NOT(ISBLANK(M2264)), M2264, L2264), N2264, Holiday_Dates) &lt;= 0,
                1,
                NETWORKDAYS(IF(NOT(ISBLANK(M2264)), M2264, L2264), N2264, Holiday_Dates)
                - IF(IF(NOT(ISBLANK(M2264)), M2264, L2264) = N2264, 0, 1)
            )
        )
    ),
    ""
)</f>
        <v/>
      </c>
      <c r="S2264" s="385" t="str">
        <f>IFERROR(
    IF(
        OR(ISBLANK(N2264), ISBLANK(O2264)),
        "",
        MAX(
            1,
            IF(
                NETWORKDAYS(N2264, O2264, Holiday_Dates) &lt;= 0,
                1,
                NETWORKDAYS(N2264, O2264, Holiday_Dates) - IF(N2264 = O2264, 0, 1)
            )
        )
    ),
    ""
)</f>
        <v/>
      </c>
      <c r="T2264" s="385"/>
      <c r="U2264" s="385" t="s">
        <v>672</v>
      </c>
      <c r="V2264" s="385" t="s">
        <v>1676</v>
      </c>
      <c r="W2264" s="385" t="s">
        <v>1436</v>
      </c>
      <c r="X2264" s="1"/>
    </row>
    <row r="2265" spans="1:24">
      <c r="A2265" s="385" t="s">
        <v>51</v>
      </c>
      <c r="B2265" s="385" t="s">
        <v>416</v>
      </c>
      <c r="C2265" s="385" t="s">
        <v>846</v>
      </c>
      <c r="D2265" s="385" t="s">
        <v>88</v>
      </c>
      <c r="E2265" s="385"/>
      <c r="F2265" s="385"/>
      <c r="G2265" s="385"/>
      <c r="H2265" s="385">
        <v>2025</v>
      </c>
      <c r="I2265" s="386">
        <v>45701</v>
      </c>
      <c r="J2265" s="30" t="s">
        <v>5520</v>
      </c>
      <c r="K2265" s="385"/>
      <c r="L2265" s="385"/>
      <c r="M2265" s="385"/>
      <c r="N2265" s="385"/>
      <c r="O2265" s="385"/>
      <c r="P2265" s="385" t="str">
        <f>IFERROR(
    IF(
        OR(ISBLANK(I2265), ISBLANK(L2265)),
        "",
        MAX(
            1,
            IF(
                NETWORKDAYS(I2265, L2265, Holiday_Dates) &lt;= 0,
                1,
                NETWORKDAYS(I2265, L2265, Holiday_Dates) - IF(I2265 = L2265, 0, 1)
            )
        )
    ),
    ""
)</f>
        <v/>
      </c>
      <c r="Q2265" s="385" t="str">
        <f>IF(
    OR(ISBLANK(L2265), ISBLANK(M2265)),
    "",
    MAX(
        1,
        IF(
            NETWORKDAYS(L2265, M2265, Holiday_Dates) &lt;= 0,
            1,
            NETWORKDAYS(L2265, M2265, Holiday_Dates) - IF(L2265 = M2265, 0, 1)
        )
    )
)</f>
        <v/>
      </c>
      <c r="R2265" s="385" t="str">
        <f>IFERROR(
    IF(
        OR(ISBLANK(N2265), AND(ISBLANK(L2265), ISBLANK(M2265))),
        "",
        MAX(
            1,
            IF(
                NETWORKDAYS(IF(NOT(ISBLANK(M2265)), M2265, L2265), N2265, Holiday_Dates) &lt;= 0,
                1,
                NETWORKDAYS(IF(NOT(ISBLANK(M2265)), M2265, L2265), N2265, Holiday_Dates)
                - IF(IF(NOT(ISBLANK(M2265)), M2265, L2265) = N2265, 0, 1)
            )
        )
    ),
    ""
)</f>
        <v/>
      </c>
      <c r="S2265" s="385" t="str">
        <f>IFERROR(
    IF(
        OR(ISBLANK(N2265), ISBLANK(O2265)),
        "",
        MAX(
            1,
            IF(
                NETWORKDAYS(N2265, O2265, Holiday_Dates) &lt;= 0,
                1,
                NETWORKDAYS(N2265, O2265, Holiday_Dates) - IF(N2265 = O2265, 0, 1)
            )
        )
    ),
    ""
)</f>
        <v/>
      </c>
      <c r="T2265" s="385"/>
      <c r="U2265" s="385" t="s">
        <v>672</v>
      </c>
      <c r="V2265" s="385" t="s">
        <v>101</v>
      </c>
      <c r="W2265" s="385" t="s">
        <v>1436</v>
      </c>
      <c r="X2265" s="1"/>
    </row>
    <row r="2266" spans="1:24">
      <c r="A2266" s="385" t="s">
        <v>51</v>
      </c>
      <c r="B2266" s="385" t="s">
        <v>416</v>
      </c>
      <c r="C2266" s="385" t="s">
        <v>926</v>
      </c>
      <c r="D2266" s="385" t="s">
        <v>88</v>
      </c>
      <c r="E2266" s="385"/>
      <c r="F2266" s="385"/>
      <c r="G2266" s="385"/>
      <c r="H2266" s="385">
        <v>2025</v>
      </c>
      <c r="I2266" s="386">
        <v>45883</v>
      </c>
      <c r="J2266" s="30" t="s">
        <v>5521</v>
      </c>
      <c r="K2266" s="385"/>
      <c r="L2266" s="385"/>
      <c r="M2266" s="385"/>
      <c r="N2266" s="385"/>
      <c r="O2266" s="385"/>
      <c r="P2266" s="385" t="str">
        <f>IFERROR(
    IF(
        OR(ISBLANK(I2266), ISBLANK(L2266)),
        "",
        MAX(
            1,
            IF(
                NETWORKDAYS(I2266, L2266, Holiday_Dates) &lt;= 0,
                1,
                NETWORKDAYS(I2266, L2266, Holiday_Dates) - IF(I2266 = L2266, 0, 1)
            )
        )
    ),
    ""
)</f>
        <v/>
      </c>
      <c r="Q2266" s="385" t="str">
        <f>IF(
    OR(ISBLANK(L2266), ISBLANK(M2266)),
    "",
    MAX(
        1,
        IF(
            NETWORKDAYS(L2266, M2266, Holiday_Dates) &lt;= 0,
            1,
            NETWORKDAYS(L2266, M2266, Holiday_Dates) - IF(L2266 = M2266, 0, 1)
        )
    )
)</f>
        <v/>
      </c>
      <c r="R2266" s="385" t="str">
        <f>IFERROR(
    IF(
        OR(ISBLANK(N2266), AND(ISBLANK(L2266), ISBLANK(M2266))),
        "",
        MAX(
            1,
            IF(
                NETWORKDAYS(IF(NOT(ISBLANK(M2266)), M2266, L2266), N2266, Holiday_Dates) &lt;= 0,
                1,
                NETWORKDAYS(IF(NOT(ISBLANK(M2266)), M2266, L2266), N2266, Holiday_Dates)
                - IF(IF(NOT(ISBLANK(M2266)), M2266, L2266) = N2266, 0, 1)
            )
        )
    ),
    ""
)</f>
        <v/>
      </c>
      <c r="S2266" s="385" t="str">
        <f>IFERROR(
    IF(
        OR(ISBLANK(N2266), ISBLANK(O2266)),
        "",
        MAX(
            1,
            IF(
                NETWORKDAYS(N2266, O2266, Holiday_Dates) &lt;= 0,
                1,
                NETWORKDAYS(N2266, O2266, Holiday_Dates) - IF(N2266 = O2266, 0, 1)
            )
        )
    ),
    ""
)</f>
        <v/>
      </c>
      <c r="T2266" s="385"/>
      <c r="U2266" s="385" t="s">
        <v>672</v>
      </c>
      <c r="V2266" s="385" t="s">
        <v>1676</v>
      </c>
      <c r="W2266" s="385" t="s">
        <v>1436</v>
      </c>
      <c r="X2266" s="1"/>
    </row>
    <row r="2267" spans="1:24">
      <c r="A2267" s="385" t="s">
        <v>51</v>
      </c>
      <c r="B2267" s="385" t="s">
        <v>416</v>
      </c>
      <c r="C2267" s="385" t="s">
        <v>3813</v>
      </c>
      <c r="D2267" s="385" t="s">
        <v>88</v>
      </c>
      <c r="E2267" s="385"/>
      <c r="F2267" s="385"/>
      <c r="G2267" s="385"/>
      <c r="H2267" s="385">
        <v>2025</v>
      </c>
      <c r="I2267" s="386">
        <v>45910</v>
      </c>
      <c r="J2267" s="30" t="s">
        <v>5522</v>
      </c>
      <c r="K2267" s="385"/>
      <c r="L2267" s="385"/>
      <c r="M2267" s="385"/>
      <c r="N2267" s="385"/>
      <c r="O2267" s="385"/>
      <c r="P2267" s="385" t="str">
        <f>IFERROR(
    IF(
        OR(ISBLANK(I2267), ISBLANK(L2267)),
        "",
        MAX(
            1,
            IF(
                NETWORKDAYS(I2267, L2267, Holiday_Dates) &lt;= 0,
                1,
                NETWORKDAYS(I2267, L2267, Holiday_Dates) - IF(I2267 = L2267, 0, 1)
            )
        )
    ),
    ""
)</f>
        <v/>
      </c>
      <c r="Q2267" s="385" t="str">
        <f>IF(
    OR(ISBLANK(L2267), ISBLANK(M2267)),
    "",
    MAX(
        1,
        IF(
            NETWORKDAYS(L2267, M2267, Holiday_Dates) &lt;= 0,
            1,
            NETWORKDAYS(L2267, M2267, Holiday_Dates) - IF(L2267 = M2267, 0, 1)
        )
    )
)</f>
        <v/>
      </c>
      <c r="R2267" s="385" t="str">
        <f>IFERROR(
    IF(
        OR(ISBLANK(N2267), AND(ISBLANK(L2267), ISBLANK(M2267))),
        "",
        MAX(
            1,
            IF(
                NETWORKDAYS(IF(NOT(ISBLANK(M2267)), M2267, L2267), N2267, Holiday_Dates) &lt;= 0,
                1,
                NETWORKDAYS(IF(NOT(ISBLANK(M2267)), M2267, L2267), N2267, Holiday_Dates)
                - IF(IF(NOT(ISBLANK(M2267)), M2267, L2267) = N2267, 0, 1)
            )
        )
    ),
    ""
)</f>
        <v/>
      </c>
      <c r="S2267" s="385" t="str">
        <f>IFERROR(
    IF(
        OR(ISBLANK(N2267), ISBLANK(O2267)),
        "",
        MAX(
            1,
            IF(
                NETWORKDAYS(N2267, O2267, Holiday_Dates) &lt;= 0,
                1,
                NETWORKDAYS(N2267, O2267, Holiday_Dates) - IF(N2267 = O2267, 0, 1)
            )
        )
    ),
    ""
)</f>
        <v/>
      </c>
      <c r="T2267" s="385"/>
      <c r="U2267" s="385" t="s">
        <v>672</v>
      </c>
      <c r="V2267" s="385" t="s">
        <v>1676</v>
      </c>
      <c r="W2267" s="385" t="s">
        <v>1436</v>
      </c>
      <c r="X2267" s="1"/>
    </row>
    <row r="2268" spans="1:24">
      <c r="A2268" s="385" t="s">
        <v>65</v>
      </c>
      <c r="B2268" s="385" t="s">
        <v>524</v>
      </c>
      <c r="C2268" s="385" t="s">
        <v>3377</v>
      </c>
      <c r="D2268" s="385" t="s">
        <v>88</v>
      </c>
      <c r="E2268" s="385" t="s">
        <v>141</v>
      </c>
      <c r="F2268" s="385"/>
      <c r="G2268" s="385" t="s">
        <v>130</v>
      </c>
      <c r="H2268" s="385"/>
      <c r="I2268" s="385"/>
      <c r="J2268" s="30"/>
      <c r="K2268" s="385"/>
      <c r="L2268" s="385"/>
      <c r="M2268" s="385"/>
      <c r="N2268" s="385"/>
      <c r="O2268" s="385"/>
      <c r="P2268" s="385" t="str">
        <f>IFERROR(
    IF(
        OR(ISBLANK(I2268), ISBLANK(L2268)),
        "",
        MAX(
            1,
            IF(
                NETWORKDAYS(I2268, L2268, Holiday_Dates) &lt;= 0,
                1,
                NETWORKDAYS(I2268, L2268, Holiday_Dates) - IF(I2268 = L2268, 0, 1)
            )
        )
    ),
    ""
)</f>
        <v/>
      </c>
      <c r="Q2268" s="385" t="str">
        <f>IF(
    OR(ISBLANK(L2268), ISBLANK(M2268)),
    "",
    MAX(
        1,
        IF(
            NETWORKDAYS(L2268, M2268, Holiday_Dates) &lt;= 0,
            1,
            NETWORKDAYS(L2268, M2268, Holiday_Dates) - IF(L2268 = M2268, 0, 1)
        )
    )
)</f>
        <v/>
      </c>
      <c r="R2268" s="385" t="str">
        <f>IFERROR(
    IF(
        OR(ISBLANK(N2268), AND(ISBLANK(L2268), ISBLANK(M2268))),
        "",
        MAX(
            1,
            IF(
                NETWORKDAYS(IF(NOT(ISBLANK(M2268)), M2268, L2268), N2268, Holiday_Dates) &lt;= 0,
                1,
                NETWORKDAYS(IF(NOT(ISBLANK(M2268)), M2268, L2268), N2268, Holiday_Dates)
                - IF(IF(NOT(ISBLANK(M2268)), M2268, L2268) = N2268, 0, 1)
            )
        )
    ),
    ""
)</f>
        <v/>
      </c>
      <c r="S2268" s="385" t="str">
        <f>IFERROR(
    IF(
        OR(ISBLANK(N2268), ISBLANK(O2268)),
        "",
        MAX(
            1,
            IF(
                NETWORKDAYS(N2268, O2268, Holiday_Dates) &lt;= 0,
                1,
                NETWORKDAYS(N2268, O2268, Holiday_Dates) - IF(N2268 = O2268, 0, 1)
            )
        )
    ),
    ""
)</f>
        <v/>
      </c>
      <c r="T2268" s="385"/>
      <c r="U2268" s="385"/>
      <c r="V2268" s="385"/>
      <c r="W2268" s="385" t="s">
        <v>4710</v>
      </c>
      <c r="X2268" s="1"/>
    </row>
    <row r="2269" spans="1:24">
      <c r="A2269" s="385" t="s">
        <v>51</v>
      </c>
      <c r="B2269" s="385" t="s">
        <v>416</v>
      </c>
      <c r="C2269" s="385" t="s">
        <v>862</v>
      </c>
      <c r="D2269" s="385" t="s">
        <v>88</v>
      </c>
      <c r="E2269" s="385"/>
      <c r="F2269" s="385"/>
      <c r="G2269" s="385"/>
      <c r="H2269" s="385">
        <v>2025</v>
      </c>
      <c r="I2269" s="386">
        <v>45821</v>
      </c>
      <c r="J2269" s="30" t="s">
        <v>5523</v>
      </c>
      <c r="K2269" s="385"/>
      <c r="L2269" s="385"/>
      <c r="M2269" s="385"/>
      <c r="N2269" s="385"/>
      <c r="O2269" s="385"/>
      <c r="P2269" s="385" t="str">
        <f>IFERROR(
    IF(
        OR(ISBLANK(I2269), ISBLANK(L2269)),
        "",
        MAX(
            1,
            IF(
                NETWORKDAYS(I2269, L2269, Holiday_Dates) &lt;= 0,
                1,
                NETWORKDAYS(I2269, L2269, Holiday_Dates) - IF(I2269 = L2269, 0, 1)
            )
        )
    ),
    ""
)</f>
        <v/>
      </c>
      <c r="Q2269" s="385" t="str">
        <f>IF(
    OR(ISBLANK(L2269), ISBLANK(M2269)),
    "",
    MAX(
        1,
        IF(
            NETWORKDAYS(L2269, M2269, Holiday_Dates) &lt;= 0,
            1,
            NETWORKDAYS(L2269, M2269, Holiday_Dates) - IF(L2269 = M2269, 0, 1)
        )
    )
)</f>
        <v/>
      </c>
      <c r="R2269" s="385" t="str">
        <f>IFERROR(
    IF(
        OR(ISBLANK(N2269), AND(ISBLANK(L2269), ISBLANK(M2269))),
        "",
        MAX(
            1,
            IF(
                NETWORKDAYS(IF(NOT(ISBLANK(M2269)), M2269, L2269), N2269, Holiday_Dates) &lt;= 0,
                1,
                NETWORKDAYS(IF(NOT(ISBLANK(M2269)), M2269, L2269), N2269, Holiday_Dates)
                - IF(IF(NOT(ISBLANK(M2269)), M2269, L2269) = N2269, 0, 1)
            )
        )
    ),
    ""
)</f>
        <v/>
      </c>
      <c r="S2269" s="385" t="str">
        <f>IFERROR(
    IF(
        OR(ISBLANK(N2269), ISBLANK(O2269)),
        "",
        MAX(
            1,
            IF(
                NETWORKDAYS(N2269, O2269, Holiday_Dates) &lt;= 0,
                1,
                NETWORKDAYS(N2269, O2269, Holiday_Dates) - IF(N2269 = O2269, 0, 1)
            )
        )
    ),
    ""
)</f>
        <v/>
      </c>
      <c r="T2269" s="385"/>
      <c r="U2269" s="385" t="s">
        <v>672</v>
      </c>
      <c r="V2269" s="385" t="s">
        <v>101</v>
      </c>
      <c r="W2269" s="385" t="s">
        <v>1436</v>
      </c>
      <c r="X2269" s="1"/>
    </row>
    <row r="2270" spans="1:24">
      <c r="A2270" s="385" t="s">
        <v>51</v>
      </c>
      <c r="B2270" s="385" t="s">
        <v>416</v>
      </c>
      <c r="C2270" s="385" t="s">
        <v>554</v>
      </c>
      <c r="D2270" s="385" t="s">
        <v>88</v>
      </c>
      <c r="E2270" s="385"/>
      <c r="F2270" s="385"/>
      <c r="G2270" s="385"/>
      <c r="H2270" s="385">
        <v>2025</v>
      </c>
      <c r="I2270" s="386">
        <v>45727</v>
      </c>
      <c r="J2270" s="30" t="s">
        <v>5524</v>
      </c>
      <c r="K2270" s="385"/>
      <c r="L2270" s="385"/>
      <c r="M2270" s="385"/>
      <c r="N2270" s="385"/>
      <c r="O2270" s="385"/>
      <c r="P2270" s="385" t="str">
        <f>IFERROR(
    IF(
        OR(ISBLANK(I2270), ISBLANK(L2270)),
        "",
        MAX(
            1,
            IF(
                NETWORKDAYS(I2270, L2270, Holiday_Dates) &lt;= 0,
                1,
                NETWORKDAYS(I2270, L2270, Holiday_Dates) - IF(I2270 = L2270, 0, 1)
            )
        )
    ),
    ""
)</f>
        <v/>
      </c>
      <c r="Q2270" s="385" t="str">
        <f>IF(
    OR(ISBLANK(L2270), ISBLANK(M2270)),
    "",
    MAX(
        1,
        IF(
            NETWORKDAYS(L2270, M2270, Holiday_Dates) &lt;= 0,
            1,
            NETWORKDAYS(L2270, M2270, Holiday_Dates) - IF(L2270 = M2270, 0, 1)
        )
    )
)</f>
        <v/>
      </c>
      <c r="R2270" s="385" t="str">
        <f>IFERROR(
    IF(
        OR(ISBLANK(N2270), AND(ISBLANK(L2270), ISBLANK(M2270))),
        "",
        MAX(
            1,
            IF(
                NETWORKDAYS(IF(NOT(ISBLANK(M2270)), M2270, L2270), N2270, Holiday_Dates) &lt;= 0,
                1,
                NETWORKDAYS(IF(NOT(ISBLANK(M2270)), M2270, L2270), N2270, Holiday_Dates)
                - IF(IF(NOT(ISBLANK(M2270)), M2270, L2270) = N2270, 0, 1)
            )
        )
    ),
    ""
)</f>
        <v/>
      </c>
      <c r="S2270" s="385" t="str">
        <f>IFERROR(
    IF(
        OR(ISBLANK(N2270), ISBLANK(O2270)),
        "",
        MAX(
            1,
            IF(
                NETWORKDAYS(N2270, O2270, Holiday_Dates) &lt;= 0,
                1,
                NETWORKDAYS(N2270, O2270, Holiday_Dates) - IF(N2270 = O2270, 0, 1)
            )
        )
    ),
    ""
)</f>
        <v/>
      </c>
      <c r="T2270" s="385"/>
      <c r="U2270" s="385" t="s">
        <v>672</v>
      </c>
      <c r="V2270" s="385" t="s">
        <v>1676</v>
      </c>
      <c r="W2270" s="385" t="s">
        <v>1436</v>
      </c>
      <c r="X2270" s="1"/>
    </row>
    <row r="2271" spans="1:24">
      <c r="A2271" s="385" t="s">
        <v>65</v>
      </c>
      <c r="B2271" s="385" t="s">
        <v>524</v>
      </c>
      <c r="C2271" s="385" t="s">
        <v>2347</v>
      </c>
      <c r="D2271" s="385" t="s">
        <v>88</v>
      </c>
      <c r="E2271" s="385" t="s">
        <v>141</v>
      </c>
      <c r="F2271" s="385"/>
      <c r="G2271" s="385" t="s">
        <v>130</v>
      </c>
      <c r="H2271" s="385"/>
      <c r="I2271" s="385"/>
      <c r="J2271" s="30"/>
      <c r="K2271" s="385"/>
      <c r="L2271" s="385"/>
      <c r="M2271" s="385"/>
      <c r="N2271" s="385"/>
      <c r="O2271" s="385"/>
      <c r="P2271" s="385" t="str">
        <f>IFERROR(
    IF(
        OR(ISBLANK(I2271), ISBLANK(L2271)),
        "",
        MAX(
            1,
            IF(
                NETWORKDAYS(I2271, L2271, Holiday_Dates) &lt;= 0,
                1,
                NETWORKDAYS(I2271, L2271, Holiday_Dates) - IF(I2271 = L2271, 0, 1)
            )
        )
    ),
    ""
)</f>
        <v/>
      </c>
      <c r="Q2271" s="385" t="str">
        <f>IF(
    OR(ISBLANK(L2271), ISBLANK(M2271)),
    "",
    MAX(
        1,
        IF(
            NETWORKDAYS(L2271, M2271, Holiday_Dates) &lt;= 0,
            1,
            NETWORKDAYS(L2271, M2271, Holiday_Dates) - IF(L2271 = M2271, 0, 1)
        )
    )
)</f>
        <v/>
      </c>
      <c r="R2271" s="385" t="str">
        <f>IFERROR(
    IF(
        OR(ISBLANK(N2271), AND(ISBLANK(L2271), ISBLANK(M2271))),
        "",
        MAX(
            1,
            IF(
                NETWORKDAYS(IF(NOT(ISBLANK(M2271)), M2271, L2271), N2271, Holiday_Dates) &lt;= 0,
                1,
                NETWORKDAYS(IF(NOT(ISBLANK(M2271)), M2271, L2271), N2271, Holiday_Dates)
                - IF(IF(NOT(ISBLANK(M2271)), M2271, L2271) = N2271, 0, 1)
            )
        )
    ),
    ""
)</f>
        <v/>
      </c>
      <c r="S2271" s="385" t="str">
        <f>IFERROR(
    IF(
        OR(ISBLANK(N2271), ISBLANK(O2271)),
        "",
        MAX(
            1,
            IF(
                NETWORKDAYS(N2271, O2271, Holiday_Dates) &lt;= 0,
                1,
                NETWORKDAYS(N2271, O2271, Holiday_Dates) - IF(N2271 = O2271, 0, 1)
            )
        )
    ),
    ""
)</f>
        <v/>
      </c>
      <c r="T2271" s="385"/>
      <c r="U2271" s="385"/>
      <c r="V2271" s="385"/>
      <c r="W2271" s="385" t="s">
        <v>4710</v>
      </c>
      <c r="X2271" s="1"/>
    </row>
    <row r="2272" spans="1:24">
      <c r="A2272" s="385" t="s">
        <v>51</v>
      </c>
      <c r="B2272" s="385" t="s">
        <v>416</v>
      </c>
      <c r="C2272" s="385" t="s">
        <v>3815</v>
      </c>
      <c r="D2272" s="385" t="s">
        <v>88</v>
      </c>
      <c r="E2272" s="385"/>
      <c r="F2272" s="385"/>
      <c r="G2272" s="385"/>
      <c r="H2272" s="385">
        <v>2025</v>
      </c>
      <c r="I2272" s="387">
        <v>45910</v>
      </c>
      <c r="J2272" s="30" t="s">
        <v>5525</v>
      </c>
      <c r="K2272" s="385"/>
      <c r="L2272" s="385"/>
      <c r="M2272" s="385"/>
      <c r="N2272" s="385"/>
      <c r="O2272" s="385"/>
      <c r="P2272" s="385" t="str">
        <f>IFERROR(
    IF(
        OR(ISBLANK(I2272), ISBLANK(L2272)),
        "",
        MAX(
            1,
            IF(
                NETWORKDAYS(I2272, L2272, Holiday_Dates) &lt;= 0,
                1,
                NETWORKDAYS(I2272, L2272, Holiday_Dates) - IF(I2272 = L2272, 0, 1)
            )
        )
    ),
    ""
)</f>
        <v/>
      </c>
      <c r="Q2272" s="385" t="str">
        <f>IF(
    OR(ISBLANK(L2272), ISBLANK(M2272)),
    "",
    MAX(
        1,
        IF(
            NETWORKDAYS(L2272, M2272, Holiday_Dates) &lt;= 0,
            1,
            NETWORKDAYS(L2272, M2272, Holiday_Dates) - IF(L2272 = M2272, 0, 1)
        )
    )
)</f>
        <v/>
      </c>
      <c r="R2272" s="385" t="str">
        <f>IFERROR(
    IF(
        OR(ISBLANK(N2272), AND(ISBLANK(L2272), ISBLANK(M2272))),
        "",
        MAX(
            1,
            IF(
                NETWORKDAYS(IF(NOT(ISBLANK(M2272)), M2272, L2272), N2272, Holiday_Dates) &lt;= 0,
                1,
                NETWORKDAYS(IF(NOT(ISBLANK(M2272)), M2272, L2272), N2272, Holiday_Dates)
                - IF(IF(NOT(ISBLANK(M2272)), M2272, L2272) = N2272, 0, 1)
            )
        )
    ),
    ""
)</f>
        <v/>
      </c>
      <c r="S2272" s="385" t="str">
        <f>IFERROR(
    IF(
        OR(ISBLANK(N2272), ISBLANK(O2272)),
        "",
        MAX(
            1,
            IF(
                NETWORKDAYS(N2272, O2272, Holiday_Dates) &lt;= 0,
                1,
                NETWORKDAYS(N2272, O2272, Holiday_Dates) - IF(N2272 = O2272, 0, 1)
            )
        )
    ),
    ""
)</f>
        <v/>
      </c>
      <c r="T2272" s="385"/>
      <c r="U2272" s="385" t="s">
        <v>672</v>
      </c>
      <c r="V2272" s="385" t="s">
        <v>1676</v>
      </c>
      <c r="W2272" s="385" t="s">
        <v>1436</v>
      </c>
      <c r="X2272" s="1"/>
    </row>
    <row r="2273" spans="1:24">
      <c r="A2273" s="385" t="s">
        <v>65</v>
      </c>
      <c r="B2273" s="385" t="s">
        <v>524</v>
      </c>
      <c r="C2273" s="385" t="s">
        <v>3378</v>
      </c>
      <c r="D2273" s="385" t="s">
        <v>88</v>
      </c>
      <c r="E2273" s="385" t="s">
        <v>141</v>
      </c>
      <c r="F2273" s="385"/>
      <c r="G2273" s="385" t="s">
        <v>130</v>
      </c>
      <c r="H2273" s="385"/>
      <c r="I2273" s="385"/>
      <c r="J2273" s="30"/>
      <c r="K2273" s="385"/>
      <c r="L2273" s="385"/>
      <c r="M2273" s="385"/>
      <c r="N2273" s="385"/>
      <c r="O2273" s="385"/>
      <c r="P2273" s="385" t="str">
        <f>IFERROR(
    IF(
        OR(ISBLANK(I2273), ISBLANK(L2273)),
        "",
        MAX(
            1,
            IF(
                NETWORKDAYS(I2273, L2273, Holiday_Dates) &lt;= 0,
                1,
                NETWORKDAYS(I2273, L2273, Holiday_Dates) - IF(I2273 = L2273, 0, 1)
            )
        )
    ),
    ""
)</f>
        <v/>
      </c>
      <c r="Q2273" s="385" t="str">
        <f>IF(
    OR(ISBLANK(L2273), ISBLANK(M2273)),
    "",
    MAX(
        1,
        IF(
            NETWORKDAYS(L2273, M2273, Holiday_Dates) &lt;= 0,
            1,
            NETWORKDAYS(L2273, M2273, Holiday_Dates) - IF(L2273 = M2273, 0, 1)
        )
    )
)</f>
        <v/>
      </c>
      <c r="R2273" s="385" t="str">
        <f>IFERROR(
    IF(
        OR(ISBLANK(N2273), AND(ISBLANK(L2273), ISBLANK(M2273))),
        "",
        MAX(
            1,
            IF(
                NETWORKDAYS(IF(NOT(ISBLANK(M2273)), M2273, L2273), N2273, Holiday_Dates) &lt;= 0,
                1,
                NETWORKDAYS(IF(NOT(ISBLANK(M2273)), M2273, L2273), N2273, Holiday_Dates)
                - IF(IF(NOT(ISBLANK(M2273)), M2273, L2273) = N2273, 0, 1)
            )
        )
    ),
    ""
)</f>
        <v/>
      </c>
      <c r="S2273" s="385" t="str">
        <f>IFERROR(
    IF(
        OR(ISBLANK(N2273), ISBLANK(O2273)),
        "",
        MAX(
            1,
            IF(
                NETWORKDAYS(N2273, O2273, Holiday_Dates) &lt;= 0,
                1,
                NETWORKDAYS(N2273, O2273, Holiday_Dates) - IF(N2273 = O2273, 0, 1)
            )
        )
    ),
    ""
)</f>
        <v/>
      </c>
      <c r="T2273" s="385"/>
      <c r="U2273" s="385"/>
      <c r="V2273" s="385"/>
      <c r="W2273" s="385" t="s">
        <v>4710</v>
      </c>
      <c r="X2273" s="1"/>
    </row>
    <row r="2274" spans="1:24">
      <c r="A2274" s="385" t="s">
        <v>65</v>
      </c>
      <c r="B2274" s="385" t="s">
        <v>524</v>
      </c>
      <c r="C2274" s="385" t="s">
        <v>3379</v>
      </c>
      <c r="D2274" s="385" t="s">
        <v>88</v>
      </c>
      <c r="E2274" s="385" t="s">
        <v>141</v>
      </c>
      <c r="F2274" s="385"/>
      <c r="G2274" s="385" t="s">
        <v>130</v>
      </c>
      <c r="H2274" s="385"/>
      <c r="I2274" s="385"/>
      <c r="J2274" s="30"/>
      <c r="K2274" s="385"/>
      <c r="L2274" s="385"/>
      <c r="M2274" s="385"/>
      <c r="N2274" s="385"/>
      <c r="O2274" s="385"/>
      <c r="P2274" s="385" t="str">
        <f>IFERROR(
    IF(
        OR(ISBLANK(I2274), ISBLANK(L2274)),
        "",
        MAX(
            1,
            IF(
                NETWORKDAYS(I2274, L2274, Holiday_Dates) &lt;= 0,
                1,
                NETWORKDAYS(I2274, L2274, Holiday_Dates) - IF(I2274 = L2274, 0, 1)
            )
        )
    ),
    ""
)</f>
        <v/>
      </c>
      <c r="Q2274" s="385" t="str">
        <f>IF(
    OR(ISBLANK(L2274), ISBLANK(M2274)),
    "",
    MAX(
        1,
        IF(
            NETWORKDAYS(L2274, M2274, Holiday_Dates) &lt;= 0,
            1,
            NETWORKDAYS(L2274, M2274, Holiday_Dates) - IF(L2274 = M2274, 0, 1)
        )
    )
)</f>
        <v/>
      </c>
      <c r="R2274" s="385" t="str">
        <f>IFERROR(
    IF(
        OR(ISBLANK(N2274), AND(ISBLANK(L2274), ISBLANK(M2274))),
        "",
        MAX(
            1,
            IF(
                NETWORKDAYS(IF(NOT(ISBLANK(M2274)), M2274, L2274), N2274, Holiday_Dates) &lt;= 0,
                1,
                NETWORKDAYS(IF(NOT(ISBLANK(M2274)), M2274, L2274), N2274, Holiday_Dates)
                - IF(IF(NOT(ISBLANK(M2274)), M2274, L2274) = N2274, 0, 1)
            )
        )
    ),
    ""
)</f>
        <v/>
      </c>
      <c r="S2274" s="385" t="str">
        <f>IFERROR(
    IF(
        OR(ISBLANK(N2274), ISBLANK(O2274)),
        "",
        MAX(
            1,
            IF(
                NETWORKDAYS(N2274, O2274, Holiday_Dates) &lt;= 0,
                1,
                NETWORKDAYS(N2274, O2274, Holiday_Dates) - IF(N2274 = O2274, 0, 1)
            )
        )
    ),
    ""
)</f>
        <v/>
      </c>
      <c r="T2274" s="385"/>
      <c r="U2274" s="385"/>
      <c r="V2274" s="385"/>
      <c r="W2274" s="385" t="s">
        <v>4710</v>
      </c>
      <c r="X2274" s="1"/>
    </row>
    <row r="2275" spans="1:24">
      <c r="A2275" s="385" t="s">
        <v>65</v>
      </c>
      <c r="B2275" s="385" t="s">
        <v>524</v>
      </c>
      <c r="C2275" s="385" t="s">
        <v>3371</v>
      </c>
      <c r="D2275" s="385" t="s">
        <v>88</v>
      </c>
      <c r="E2275" s="385" t="s">
        <v>141</v>
      </c>
      <c r="F2275" s="385"/>
      <c r="G2275" s="385" t="s">
        <v>130</v>
      </c>
      <c r="H2275" s="385"/>
      <c r="I2275" s="385"/>
      <c r="J2275" s="30"/>
      <c r="K2275" s="385"/>
      <c r="L2275" s="385"/>
      <c r="M2275" s="385"/>
      <c r="N2275" s="385"/>
      <c r="O2275" s="385"/>
      <c r="P2275" s="385" t="str">
        <f>IFERROR(
    IF(
        OR(ISBLANK(I2275), ISBLANK(L2275)),
        "",
        MAX(
            1,
            IF(
                NETWORKDAYS(I2275, L2275, Holiday_Dates) &lt;= 0,
                1,
                NETWORKDAYS(I2275, L2275, Holiday_Dates) - IF(I2275 = L2275, 0, 1)
            )
        )
    ),
    ""
)</f>
        <v/>
      </c>
      <c r="Q2275" s="385" t="str">
        <f>IF(
    OR(ISBLANK(L2275), ISBLANK(M2275)),
    "",
    MAX(
        1,
        IF(
            NETWORKDAYS(L2275, M2275, Holiday_Dates) &lt;= 0,
            1,
            NETWORKDAYS(L2275, M2275, Holiday_Dates) - IF(L2275 = M2275, 0, 1)
        )
    )
)</f>
        <v/>
      </c>
      <c r="R2275" s="385" t="str">
        <f>IFERROR(
    IF(
        OR(ISBLANK(N2275), AND(ISBLANK(L2275), ISBLANK(M2275))),
        "",
        MAX(
            1,
            IF(
                NETWORKDAYS(IF(NOT(ISBLANK(M2275)), M2275, L2275), N2275, Holiday_Dates) &lt;= 0,
                1,
                NETWORKDAYS(IF(NOT(ISBLANK(M2275)), M2275, L2275), N2275, Holiday_Dates)
                - IF(IF(NOT(ISBLANK(M2275)), M2275, L2275) = N2275, 0, 1)
            )
        )
    ),
    ""
)</f>
        <v/>
      </c>
      <c r="S2275" s="385" t="str">
        <f>IFERROR(
    IF(
        OR(ISBLANK(N2275), ISBLANK(O2275)),
        "",
        MAX(
            1,
            IF(
                NETWORKDAYS(N2275, O2275, Holiday_Dates) &lt;= 0,
                1,
                NETWORKDAYS(N2275, O2275, Holiday_Dates) - IF(N2275 = O2275, 0, 1)
            )
        )
    ),
    ""
)</f>
        <v/>
      </c>
      <c r="T2275" s="385"/>
      <c r="U2275" s="385"/>
      <c r="V2275" s="385"/>
      <c r="W2275" s="385" t="s">
        <v>4710</v>
      </c>
      <c r="X2275" s="1"/>
    </row>
    <row r="2276" spans="1:24">
      <c r="A2276" s="385" t="s">
        <v>51</v>
      </c>
      <c r="B2276" s="385" t="s">
        <v>418</v>
      </c>
      <c r="C2276" s="385" t="s">
        <v>1998</v>
      </c>
      <c r="D2276" s="385" t="s">
        <v>88</v>
      </c>
      <c r="E2276" s="385"/>
      <c r="F2276" s="385"/>
      <c r="G2276" s="385"/>
      <c r="H2276" s="385">
        <v>2025</v>
      </c>
      <c r="I2276" s="386">
        <v>45758</v>
      </c>
      <c r="J2276" s="30" t="s">
        <v>5526</v>
      </c>
      <c r="K2276" s="385"/>
      <c r="L2276" s="385"/>
      <c r="M2276" s="385"/>
      <c r="N2276" s="385"/>
      <c r="O2276" s="385"/>
      <c r="P2276" s="385" t="str">
        <f>IFERROR(
    IF(
        OR(ISBLANK(I2276), ISBLANK(L2276)),
        "",
        MAX(
            1,
            IF(
                NETWORKDAYS(I2276, L2276, Holiday_Dates) &lt;= 0,
                1,
                NETWORKDAYS(I2276, L2276, Holiday_Dates) - IF(I2276 = L2276, 0, 1)
            )
        )
    ),
    ""
)</f>
        <v/>
      </c>
      <c r="Q2276" s="385" t="str">
        <f>IF(
    OR(ISBLANK(L2276), ISBLANK(M2276)),
    "",
    MAX(
        1,
        IF(
            NETWORKDAYS(L2276, M2276, Holiday_Dates) &lt;= 0,
            1,
            NETWORKDAYS(L2276, M2276, Holiday_Dates) - IF(L2276 = M2276, 0, 1)
        )
    )
)</f>
        <v/>
      </c>
      <c r="R2276" s="385" t="str">
        <f>IFERROR(
    IF(
        OR(ISBLANK(N2276), AND(ISBLANK(L2276), ISBLANK(M2276))),
        "",
        MAX(
            1,
            IF(
                NETWORKDAYS(IF(NOT(ISBLANK(M2276)), M2276, L2276), N2276, Holiday_Dates) &lt;= 0,
                1,
                NETWORKDAYS(IF(NOT(ISBLANK(M2276)), M2276, L2276), N2276, Holiday_Dates)
                - IF(IF(NOT(ISBLANK(M2276)), M2276, L2276) = N2276, 0, 1)
            )
        )
    ),
    ""
)</f>
        <v/>
      </c>
      <c r="S2276" s="385" t="str">
        <f>IFERROR(
    IF(
        OR(ISBLANK(N2276), ISBLANK(O2276)),
        "",
        MAX(
            1,
            IF(
                NETWORKDAYS(N2276, O2276, Holiday_Dates) &lt;= 0,
                1,
                NETWORKDAYS(N2276, O2276, Holiday_Dates) - IF(N2276 = O2276, 0, 1)
            )
        )
    ),
    ""
)</f>
        <v/>
      </c>
      <c r="T2276" s="385"/>
      <c r="U2276" s="385" t="s">
        <v>4</v>
      </c>
      <c r="V2276" s="385" t="s">
        <v>101</v>
      </c>
      <c r="W2276" s="385" t="s">
        <v>1436</v>
      </c>
      <c r="X2276" s="1"/>
    </row>
    <row r="2277" spans="1:24">
      <c r="A2277" s="385" t="s">
        <v>65</v>
      </c>
      <c r="B2277" s="385" t="s">
        <v>524</v>
      </c>
      <c r="C2277" s="385" t="s">
        <v>1886</v>
      </c>
      <c r="D2277" s="385" t="s">
        <v>88</v>
      </c>
      <c r="E2277" s="385" t="s">
        <v>141</v>
      </c>
      <c r="F2277" s="385"/>
      <c r="G2277" s="385" t="s">
        <v>130</v>
      </c>
      <c r="H2277" s="385"/>
      <c r="I2277" s="385"/>
      <c r="J2277" s="30"/>
      <c r="K2277" s="385"/>
      <c r="L2277" s="385"/>
      <c r="M2277" s="385"/>
      <c r="N2277" s="385"/>
      <c r="O2277" s="385"/>
      <c r="P2277" s="385" t="str">
        <f>IFERROR(
    IF(
        OR(ISBLANK(I2277), ISBLANK(L2277)),
        "",
        MAX(
            1,
            IF(
                NETWORKDAYS(I2277, L2277, Holiday_Dates) &lt;= 0,
                1,
                NETWORKDAYS(I2277, L2277, Holiday_Dates) - IF(I2277 = L2277, 0, 1)
            )
        )
    ),
    ""
)</f>
        <v/>
      </c>
      <c r="Q2277" s="385" t="str">
        <f>IF(
    OR(ISBLANK(L2277), ISBLANK(M2277)),
    "",
    MAX(
        1,
        IF(
            NETWORKDAYS(L2277, M2277, Holiday_Dates) &lt;= 0,
            1,
            NETWORKDAYS(L2277, M2277, Holiday_Dates) - IF(L2277 = M2277, 0, 1)
        )
    )
)</f>
        <v/>
      </c>
      <c r="R2277" s="385" t="str">
        <f>IFERROR(
    IF(
        OR(ISBLANK(N2277), AND(ISBLANK(L2277), ISBLANK(M2277))),
        "",
        MAX(
            1,
            IF(
                NETWORKDAYS(IF(NOT(ISBLANK(M2277)), M2277, L2277), N2277, Holiday_Dates) &lt;= 0,
                1,
                NETWORKDAYS(IF(NOT(ISBLANK(M2277)), M2277, L2277), N2277, Holiday_Dates)
                - IF(IF(NOT(ISBLANK(M2277)), M2277, L2277) = N2277, 0, 1)
            )
        )
    ),
    ""
)</f>
        <v/>
      </c>
      <c r="S2277" s="385" t="str">
        <f>IFERROR(
    IF(
        OR(ISBLANK(N2277), ISBLANK(O2277)),
        "",
        MAX(
            1,
            IF(
                NETWORKDAYS(N2277, O2277, Holiday_Dates) &lt;= 0,
                1,
                NETWORKDAYS(N2277, O2277, Holiday_Dates) - IF(N2277 = O2277, 0, 1)
            )
        )
    ),
    ""
)</f>
        <v/>
      </c>
      <c r="T2277" s="385"/>
      <c r="U2277" s="385"/>
      <c r="V2277" s="385"/>
      <c r="W2277" s="385" t="s">
        <v>4710</v>
      </c>
      <c r="X2277" s="1"/>
    </row>
    <row r="2278" spans="1:24">
      <c r="A2278" s="385" t="s">
        <v>51</v>
      </c>
      <c r="B2278" s="385" t="s">
        <v>418</v>
      </c>
      <c r="C2278" s="385" t="s">
        <v>427</v>
      </c>
      <c r="D2278" s="385" t="s">
        <v>88</v>
      </c>
      <c r="E2278" s="385"/>
      <c r="F2278" s="385"/>
      <c r="G2278" s="385"/>
      <c r="H2278" s="385">
        <v>2025</v>
      </c>
      <c r="I2278" s="386">
        <v>45912</v>
      </c>
      <c r="J2278" s="30" t="s">
        <v>5527</v>
      </c>
      <c r="K2278" s="385"/>
      <c r="L2278" s="385"/>
      <c r="M2278" s="385"/>
      <c r="N2278" s="385"/>
      <c r="O2278" s="385"/>
      <c r="P2278" s="385" t="str">
        <f>IFERROR(
    IF(
        OR(ISBLANK(I2278), ISBLANK(L2278)),
        "",
        MAX(
            1,
            IF(
                NETWORKDAYS(I2278, L2278, Holiday_Dates) &lt;= 0,
                1,
                NETWORKDAYS(I2278, L2278, Holiday_Dates) - IF(I2278 = L2278, 0, 1)
            )
        )
    ),
    ""
)</f>
        <v/>
      </c>
      <c r="Q2278" s="385" t="str">
        <f>IF(
    OR(ISBLANK(L2278), ISBLANK(M2278)),
    "",
    MAX(
        1,
        IF(
            NETWORKDAYS(L2278, M2278, Holiday_Dates) &lt;= 0,
            1,
            NETWORKDAYS(L2278, M2278, Holiday_Dates) - IF(L2278 = M2278, 0, 1)
        )
    )
)</f>
        <v/>
      </c>
      <c r="R2278" s="385" t="str">
        <f>IFERROR(
    IF(
        OR(ISBLANK(N2278), AND(ISBLANK(L2278), ISBLANK(M2278))),
        "",
        MAX(
            1,
            IF(
                NETWORKDAYS(IF(NOT(ISBLANK(M2278)), M2278, L2278), N2278, Holiday_Dates) &lt;= 0,
                1,
                NETWORKDAYS(IF(NOT(ISBLANK(M2278)), M2278, L2278), N2278, Holiday_Dates)
                - IF(IF(NOT(ISBLANK(M2278)), M2278, L2278) = N2278, 0, 1)
            )
        )
    ),
    ""
)</f>
        <v/>
      </c>
      <c r="S2278" s="385" t="str">
        <f>IFERROR(
    IF(
        OR(ISBLANK(N2278), ISBLANK(O2278)),
        "",
        MAX(
            1,
            IF(
                NETWORKDAYS(N2278, O2278, Holiday_Dates) &lt;= 0,
                1,
                NETWORKDAYS(N2278, O2278, Holiday_Dates) - IF(N2278 = O2278, 0, 1)
            )
        )
    ),
    ""
)</f>
        <v/>
      </c>
      <c r="T2278" s="385"/>
      <c r="U2278" s="385" t="s">
        <v>672</v>
      </c>
      <c r="V2278" s="385" t="s">
        <v>1676</v>
      </c>
      <c r="W2278" s="385" t="s">
        <v>1436</v>
      </c>
      <c r="X2278" s="1"/>
    </row>
    <row r="2279" spans="1:24">
      <c r="A2279" s="385" t="s">
        <v>51</v>
      </c>
      <c r="B2279" s="385" t="s">
        <v>418</v>
      </c>
      <c r="C2279" s="385" t="s">
        <v>764</v>
      </c>
      <c r="D2279" s="385" t="s">
        <v>88</v>
      </c>
      <c r="E2279" s="385"/>
      <c r="F2279" s="385"/>
      <c r="G2279" s="385"/>
      <c r="H2279" s="385">
        <v>2024</v>
      </c>
      <c r="I2279" s="386">
        <v>45608</v>
      </c>
      <c r="J2279" s="30"/>
      <c r="K2279" s="385"/>
      <c r="L2279" s="385"/>
      <c r="M2279" s="385"/>
      <c r="N2279" s="385"/>
      <c r="O2279" s="385"/>
      <c r="P2279" s="385" t="str">
        <f>IFERROR(
    IF(
        OR(ISBLANK(I2279), ISBLANK(L2279)),
        "",
        MAX(
            1,
            IF(
                NETWORKDAYS(I2279, L2279, Holiday_Dates) &lt;= 0,
                1,
                NETWORKDAYS(I2279, L2279, Holiday_Dates) - IF(I2279 = L2279, 0, 1)
            )
        )
    ),
    ""
)</f>
        <v/>
      </c>
      <c r="Q2279" s="385" t="str">
        <f>IF(
    OR(ISBLANK(L2279), ISBLANK(M2279)),
    "",
    MAX(
        1,
        IF(
            NETWORKDAYS(L2279, M2279, Holiday_Dates) &lt;= 0,
            1,
            NETWORKDAYS(L2279, M2279, Holiday_Dates) - IF(L2279 = M2279, 0, 1)
        )
    )
)</f>
        <v/>
      </c>
      <c r="R2279" s="385" t="str">
        <f>IFERROR(
    IF(
        OR(ISBLANK(N2279), AND(ISBLANK(L2279), ISBLANK(M2279))),
        "",
        MAX(
            1,
            IF(
                NETWORKDAYS(IF(NOT(ISBLANK(M2279)), M2279, L2279), N2279, Holiday_Dates) &lt;= 0,
                1,
                NETWORKDAYS(IF(NOT(ISBLANK(M2279)), M2279, L2279), N2279, Holiday_Dates)
                - IF(IF(NOT(ISBLANK(M2279)), M2279, L2279) = N2279, 0, 1)
            )
        )
    ),
    ""
)</f>
        <v/>
      </c>
      <c r="S2279" s="385" t="str">
        <f>IFERROR(
    IF(
        OR(ISBLANK(N2279), ISBLANK(O2279)),
        "",
        MAX(
            1,
            IF(
                NETWORKDAYS(N2279, O2279, Holiday_Dates) &lt;= 0,
                1,
                NETWORKDAYS(N2279, O2279, Holiday_Dates) - IF(N2279 = O2279, 0, 1)
            )
        )
    ),
    ""
)</f>
        <v/>
      </c>
      <c r="T2279" s="385"/>
      <c r="U2279" s="385" t="s">
        <v>4</v>
      </c>
      <c r="V2279" s="385" t="s">
        <v>108</v>
      </c>
      <c r="W2279" s="385" t="s">
        <v>1436</v>
      </c>
      <c r="X2279" s="1"/>
    </row>
    <row r="2280" spans="1:24">
      <c r="A2280" s="385" t="s">
        <v>65</v>
      </c>
      <c r="B2280" s="385" t="s">
        <v>526</v>
      </c>
      <c r="C2280" s="385" t="s">
        <v>694</v>
      </c>
      <c r="D2280" s="385" t="s">
        <v>88</v>
      </c>
      <c r="E2280" s="385" t="s">
        <v>140</v>
      </c>
      <c r="F2280" s="385"/>
      <c r="G2280" s="385" t="s">
        <v>130</v>
      </c>
      <c r="H2280" s="385"/>
      <c r="I2280" s="385"/>
      <c r="J2280" s="30"/>
      <c r="K2280" s="385"/>
      <c r="L2280" s="385"/>
      <c r="M2280" s="385"/>
      <c r="N2280" s="385"/>
      <c r="O2280" s="385"/>
      <c r="P2280" s="385" t="str">
        <f>IFERROR(
    IF(
        OR(ISBLANK(I2280), ISBLANK(L2280)),
        "",
        MAX(
            1,
            IF(
                NETWORKDAYS(I2280, L2280, Holiday_Dates) &lt;= 0,
                1,
                NETWORKDAYS(I2280, L2280, Holiday_Dates) - IF(I2280 = L2280, 0, 1)
            )
        )
    ),
    ""
)</f>
        <v/>
      </c>
      <c r="Q2280" s="385" t="str">
        <f>IF(
    OR(ISBLANK(L2280), ISBLANK(M2280)),
    "",
    MAX(
        1,
        IF(
            NETWORKDAYS(L2280, M2280, Holiday_Dates) &lt;= 0,
            1,
            NETWORKDAYS(L2280, M2280, Holiday_Dates) - IF(L2280 = M2280, 0, 1)
        )
    )
)</f>
        <v/>
      </c>
      <c r="R2280" s="385" t="str">
        <f>IFERROR(
    IF(
        OR(ISBLANK(N2280), AND(ISBLANK(L2280), ISBLANK(M2280))),
        "",
        MAX(
            1,
            IF(
                NETWORKDAYS(IF(NOT(ISBLANK(M2280)), M2280, L2280), N2280, Holiday_Dates) &lt;= 0,
                1,
                NETWORKDAYS(IF(NOT(ISBLANK(M2280)), M2280, L2280), N2280, Holiday_Dates)
                - IF(IF(NOT(ISBLANK(M2280)), M2280, L2280) = N2280, 0, 1)
            )
        )
    ),
    ""
)</f>
        <v/>
      </c>
      <c r="S2280" s="385" t="str">
        <f>IFERROR(
    IF(
        OR(ISBLANK(N2280), ISBLANK(O2280)),
        "",
        MAX(
            1,
            IF(
                NETWORKDAYS(N2280, O2280, Holiday_Dates) &lt;= 0,
                1,
                NETWORKDAYS(N2280, O2280, Holiday_Dates) - IF(N2280 = O2280, 0, 1)
            )
        )
    ),
    ""
)</f>
        <v/>
      </c>
      <c r="T2280" s="385"/>
      <c r="U2280" s="385"/>
      <c r="V2280" s="385"/>
      <c r="W2280" s="385" t="s">
        <v>4710</v>
      </c>
      <c r="X2280" s="1"/>
    </row>
    <row r="2281" spans="1:24">
      <c r="A2281" s="385" t="s">
        <v>51</v>
      </c>
      <c r="B2281" s="385" t="s">
        <v>418</v>
      </c>
      <c r="C2281" s="385" t="s">
        <v>2234</v>
      </c>
      <c r="D2281" s="385" t="s">
        <v>88</v>
      </c>
      <c r="E2281" s="385"/>
      <c r="F2281" s="385"/>
      <c r="G2281" s="385"/>
      <c r="H2281" s="385">
        <v>2025</v>
      </c>
      <c r="I2281" s="386">
        <v>45728</v>
      </c>
      <c r="J2281" s="30" t="s">
        <v>5528</v>
      </c>
      <c r="K2281" s="385"/>
      <c r="L2281" s="385"/>
      <c r="M2281" s="385"/>
      <c r="N2281" s="385"/>
      <c r="O2281" s="385"/>
      <c r="P2281" s="385" t="str">
        <f>IFERROR(
    IF(
        OR(ISBLANK(I2281), ISBLANK(L2281)),
        "",
        MAX(
            1,
            IF(
                NETWORKDAYS(I2281, L2281, Holiday_Dates) &lt;= 0,
                1,
                NETWORKDAYS(I2281, L2281, Holiday_Dates) - IF(I2281 = L2281, 0, 1)
            )
        )
    ),
    ""
)</f>
        <v/>
      </c>
      <c r="Q2281" s="385" t="str">
        <f>IF(
    OR(ISBLANK(L2281), ISBLANK(M2281)),
    "",
    MAX(
        1,
        IF(
            NETWORKDAYS(L2281, M2281, Holiday_Dates) &lt;= 0,
            1,
            NETWORKDAYS(L2281, M2281, Holiday_Dates) - IF(L2281 = M2281, 0, 1)
        )
    )
)</f>
        <v/>
      </c>
      <c r="R2281" s="385" t="str">
        <f>IFERROR(
    IF(
        OR(ISBLANK(N2281), AND(ISBLANK(L2281), ISBLANK(M2281))),
        "",
        MAX(
            1,
            IF(
                NETWORKDAYS(IF(NOT(ISBLANK(M2281)), M2281, L2281), N2281, Holiday_Dates) &lt;= 0,
                1,
                NETWORKDAYS(IF(NOT(ISBLANK(M2281)), M2281, L2281), N2281, Holiday_Dates)
                - IF(IF(NOT(ISBLANK(M2281)), M2281, L2281) = N2281, 0, 1)
            )
        )
    ),
    ""
)</f>
        <v/>
      </c>
      <c r="S2281" s="385" t="str">
        <f>IFERROR(
    IF(
        OR(ISBLANK(N2281), ISBLANK(O2281)),
        "",
        MAX(
            1,
            IF(
                NETWORKDAYS(N2281, O2281, Holiday_Dates) &lt;= 0,
                1,
                NETWORKDAYS(N2281, O2281, Holiday_Dates) - IF(N2281 = O2281, 0, 1)
            )
        )
    ),
    ""
)</f>
        <v/>
      </c>
      <c r="T2281" s="385"/>
      <c r="U2281" s="385" t="s">
        <v>4</v>
      </c>
      <c r="V2281" s="385" t="s">
        <v>113</v>
      </c>
      <c r="W2281" s="385" t="s">
        <v>1436</v>
      </c>
      <c r="X2281" s="1"/>
    </row>
    <row r="2282" spans="1:24">
      <c r="A2282" s="385" t="s">
        <v>51</v>
      </c>
      <c r="B2282" s="385" t="s">
        <v>418</v>
      </c>
      <c r="C2282" s="385" t="s">
        <v>2344</v>
      </c>
      <c r="D2282" s="385" t="s">
        <v>88</v>
      </c>
      <c r="E2282" s="385"/>
      <c r="F2282" s="385"/>
      <c r="G2282" s="385"/>
      <c r="H2282" s="385">
        <v>2025</v>
      </c>
      <c r="I2282" s="386">
        <v>45912</v>
      </c>
      <c r="J2282" s="30" t="s">
        <v>5529</v>
      </c>
      <c r="K2282" s="385"/>
      <c r="L2282" s="385"/>
      <c r="M2282" s="385"/>
      <c r="N2282" s="385"/>
      <c r="O2282" s="385"/>
      <c r="P2282" s="385" t="str">
        <f>IFERROR(
    IF(
        OR(ISBLANK(I2282), ISBLANK(L2282)),
        "",
        MAX(
            1,
            IF(
                NETWORKDAYS(I2282, L2282, Holiday_Dates) &lt;= 0,
                1,
                NETWORKDAYS(I2282, L2282, Holiday_Dates) - IF(I2282 = L2282, 0, 1)
            )
        )
    ),
    ""
)</f>
        <v/>
      </c>
      <c r="Q2282" s="385" t="str">
        <f>IF(
    OR(ISBLANK(L2282), ISBLANK(M2282)),
    "",
    MAX(
        1,
        IF(
            NETWORKDAYS(L2282, M2282, Holiday_Dates) &lt;= 0,
            1,
            NETWORKDAYS(L2282, M2282, Holiday_Dates) - IF(L2282 = M2282, 0, 1)
        )
    )
)</f>
        <v/>
      </c>
      <c r="R2282" s="385" t="str">
        <f>IFERROR(
    IF(
        OR(ISBLANK(N2282), AND(ISBLANK(L2282), ISBLANK(M2282))),
        "",
        MAX(
            1,
            IF(
                NETWORKDAYS(IF(NOT(ISBLANK(M2282)), M2282, L2282), N2282, Holiday_Dates) &lt;= 0,
                1,
                NETWORKDAYS(IF(NOT(ISBLANK(M2282)), M2282, L2282), N2282, Holiday_Dates)
                - IF(IF(NOT(ISBLANK(M2282)), M2282, L2282) = N2282, 0, 1)
            )
        )
    ),
    ""
)</f>
        <v/>
      </c>
      <c r="S2282" s="385" t="str">
        <f>IFERROR(
    IF(
        OR(ISBLANK(N2282), ISBLANK(O2282)),
        "",
        MAX(
            1,
            IF(
                NETWORKDAYS(N2282, O2282, Holiday_Dates) &lt;= 0,
                1,
                NETWORKDAYS(N2282, O2282, Holiday_Dates) - IF(N2282 = O2282, 0, 1)
            )
        )
    ),
    ""
)</f>
        <v/>
      </c>
      <c r="T2282" s="385"/>
      <c r="U2282" s="385" t="s">
        <v>672</v>
      </c>
      <c r="V2282" s="385" t="s">
        <v>1676</v>
      </c>
      <c r="W2282" s="385" t="s">
        <v>1436</v>
      </c>
      <c r="X2282" s="1"/>
    </row>
    <row r="2283" spans="1:24">
      <c r="A2283" s="385" t="s">
        <v>65</v>
      </c>
      <c r="B2283" s="385" t="s">
        <v>526</v>
      </c>
      <c r="C2283" s="385" t="s">
        <v>539</v>
      </c>
      <c r="D2283" s="385" t="s">
        <v>88</v>
      </c>
      <c r="E2283" s="385" t="s">
        <v>140</v>
      </c>
      <c r="F2283" s="385"/>
      <c r="G2283" s="385" t="s">
        <v>130</v>
      </c>
      <c r="H2283" s="385"/>
      <c r="I2283" s="385"/>
      <c r="J2283" s="30"/>
      <c r="K2283" s="385"/>
      <c r="L2283" s="385"/>
      <c r="M2283" s="385"/>
      <c r="N2283" s="385"/>
      <c r="O2283" s="385"/>
      <c r="P2283" s="385" t="str">
        <f>IFERROR(
    IF(
        OR(ISBLANK(I2283), ISBLANK(L2283)),
        "",
        MAX(
            1,
            IF(
                NETWORKDAYS(I2283, L2283, Holiday_Dates) &lt;= 0,
                1,
                NETWORKDAYS(I2283, L2283, Holiday_Dates) - IF(I2283 = L2283, 0, 1)
            )
        )
    ),
    ""
)</f>
        <v/>
      </c>
      <c r="Q2283" s="385" t="str">
        <f>IF(
    OR(ISBLANK(L2283), ISBLANK(M2283)),
    "",
    MAX(
        1,
        IF(
            NETWORKDAYS(L2283, M2283, Holiday_Dates) &lt;= 0,
            1,
            NETWORKDAYS(L2283, M2283, Holiday_Dates) - IF(L2283 = M2283, 0, 1)
        )
    )
)</f>
        <v/>
      </c>
      <c r="R2283" s="385" t="str">
        <f>IFERROR(
    IF(
        OR(ISBLANK(N2283), AND(ISBLANK(L2283), ISBLANK(M2283))),
        "",
        MAX(
            1,
            IF(
                NETWORKDAYS(IF(NOT(ISBLANK(M2283)), M2283, L2283), N2283, Holiday_Dates) &lt;= 0,
                1,
                NETWORKDAYS(IF(NOT(ISBLANK(M2283)), M2283, L2283), N2283, Holiday_Dates)
                - IF(IF(NOT(ISBLANK(M2283)), M2283, L2283) = N2283, 0, 1)
            )
        )
    ),
    ""
)</f>
        <v/>
      </c>
      <c r="S2283" s="385" t="str">
        <f>IFERROR(
    IF(
        OR(ISBLANK(N2283), ISBLANK(O2283)),
        "",
        MAX(
            1,
            IF(
                NETWORKDAYS(N2283, O2283, Holiday_Dates) &lt;= 0,
                1,
                NETWORKDAYS(N2283, O2283, Holiday_Dates) - IF(N2283 = O2283, 0, 1)
            )
        )
    ),
    ""
)</f>
        <v/>
      </c>
      <c r="T2283" s="385"/>
      <c r="U2283" s="385"/>
      <c r="V2283" s="385"/>
      <c r="W2283" s="385" t="s">
        <v>4710</v>
      </c>
      <c r="X2283" s="1"/>
    </row>
    <row r="2284" spans="1:24">
      <c r="A2284" s="385" t="s">
        <v>65</v>
      </c>
      <c r="B2284" s="385" t="s">
        <v>511</v>
      </c>
      <c r="C2284" s="385" t="s">
        <v>3075</v>
      </c>
      <c r="D2284" s="385" t="s">
        <v>88</v>
      </c>
      <c r="E2284" s="385" t="s">
        <v>29</v>
      </c>
      <c r="F2284" s="385"/>
      <c r="G2284" s="385" t="s">
        <v>130</v>
      </c>
      <c r="H2284" s="385"/>
      <c r="I2284" s="385"/>
      <c r="J2284" s="30"/>
      <c r="K2284" s="385"/>
      <c r="L2284" s="385"/>
      <c r="M2284" s="385"/>
      <c r="N2284" s="385"/>
      <c r="O2284" s="385"/>
      <c r="P2284" s="385" t="str">
        <f>IFERROR(
    IF(
        OR(ISBLANK(I2284), ISBLANK(L2284)),
        "",
        MAX(
            1,
            IF(
                NETWORKDAYS(I2284, L2284, Holiday_Dates) &lt;= 0,
                1,
                NETWORKDAYS(I2284, L2284, Holiday_Dates) - IF(I2284 = L2284, 0, 1)
            )
        )
    ),
    ""
)</f>
        <v/>
      </c>
      <c r="Q2284" s="385" t="str">
        <f>IF(
    OR(ISBLANK(L2284), ISBLANK(M2284)),
    "",
    MAX(
        1,
        IF(
            NETWORKDAYS(L2284, M2284, Holiday_Dates) &lt;= 0,
            1,
            NETWORKDAYS(L2284, M2284, Holiday_Dates) - IF(L2284 = M2284, 0, 1)
        )
    )
)</f>
        <v/>
      </c>
      <c r="R2284" s="385" t="str">
        <f>IFERROR(
    IF(
        OR(ISBLANK(N2284), AND(ISBLANK(L2284), ISBLANK(M2284))),
        "",
        MAX(
            1,
            IF(
                NETWORKDAYS(IF(NOT(ISBLANK(M2284)), M2284, L2284), N2284, Holiday_Dates) &lt;= 0,
                1,
                NETWORKDAYS(IF(NOT(ISBLANK(M2284)), M2284, L2284), N2284, Holiday_Dates)
                - IF(IF(NOT(ISBLANK(M2284)), M2284, L2284) = N2284, 0, 1)
            )
        )
    ),
    ""
)</f>
        <v/>
      </c>
      <c r="S2284" s="385" t="str">
        <f>IFERROR(
    IF(
        OR(ISBLANK(N2284), ISBLANK(O2284)),
        "",
        MAX(
            1,
            IF(
                NETWORKDAYS(N2284, O2284, Holiday_Dates) &lt;= 0,
                1,
                NETWORKDAYS(N2284, O2284, Holiday_Dates) - IF(N2284 = O2284, 0, 1)
            )
        )
    ),
    ""
)</f>
        <v/>
      </c>
      <c r="T2284" s="385"/>
      <c r="U2284" s="385"/>
      <c r="V2284" s="385"/>
      <c r="W2284" s="385" t="s">
        <v>4710</v>
      </c>
      <c r="X2284" s="1"/>
    </row>
    <row r="2285" spans="1:24">
      <c r="A2285" s="385" t="s">
        <v>51</v>
      </c>
      <c r="B2285" s="385" t="s">
        <v>418</v>
      </c>
      <c r="C2285" s="385" t="s">
        <v>3843</v>
      </c>
      <c r="D2285" s="385" t="s">
        <v>88</v>
      </c>
      <c r="E2285" s="385"/>
      <c r="F2285" s="385"/>
      <c r="G2285" s="385"/>
      <c r="H2285" s="385">
        <v>2025</v>
      </c>
      <c r="I2285" s="386">
        <v>45912</v>
      </c>
      <c r="J2285" s="30" t="s">
        <v>5530</v>
      </c>
      <c r="K2285" s="385"/>
      <c r="L2285" s="385"/>
      <c r="M2285" s="385"/>
      <c r="N2285" s="385"/>
      <c r="O2285" s="385"/>
      <c r="P2285" s="385" t="str">
        <f>IFERROR(
    IF(
        OR(ISBLANK(I2285), ISBLANK(L2285)),
        "",
        MAX(
            1,
            IF(
                NETWORKDAYS(I2285, L2285, Holiday_Dates) &lt;= 0,
                1,
                NETWORKDAYS(I2285, L2285, Holiday_Dates) - IF(I2285 = L2285, 0, 1)
            )
        )
    ),
    ""
)</f>
        <v/>
      </c>
      <c r="Q2285" s="385" t="str">
        <f>IF(
    OR(ISBLANK(L2285), ISBLANK(M2285)),
    "",
    MAX(
        1,
        IF(
            NETWORKDAYS(L2285, M2285, Holiday_Dates) &lt;= 0,
            1,
            NETWORKDAYS(L2285, M2285, Holiday_Dates) - IF(L2285 = M2285, 0, 1)
        )
    )
)</f>
        <v/>
      </c>
      <c r="R2285" s="385" t="str">
        <f>IFERROR(
    IF(
        OR(ISBLANK(N2285), AND(ISBLANK(L2285), ISBLANK(M2285))),
        "",
        MAX(
            1,
            IF(
                NETWORKDAYS(IF(NOT(ISBLANK(M2285)), M2285, L2285), N2285, Holiday_Dates) &lt;= 0,
                1,
                NETWORKDAYS(IF(NOT(ISBLANK(M2285)), M2285, L2285), N2285, Holiday_Dates)
                - IF(IF(NOT(ISBLANK(M2285)), M2285, L2285) = N2285, 0, 1)
            )
        )
    ),
    ""
)</f>
        <v/>
      </c>
      <c r="S2285" s="385" t="str">
        <f>IFERROR(
    IF(
        OR(ISBLANK(N2285), ISBLANK(O2285)),
        "",
        MAX(
            1,
            IF(
                NETWORKDAYS(N2285, O2285, Holiday_Dates) &lt;= 0,
                1,
                NETWORKDAYS(N2285, O2285, Holiday_Dates) - IF(N2285 = O2285, 0, 1)
            )
        )
    ),
    ""
)</f>
        <v/>
      </c>
      <c r="T2285" s="385"/>
      <c r="U2285" s="385" t="s">
        <v>672</v>
      </c>
      <c r="V2285" s="385" t="s">
        <v>1676</v>
      </c>
      <c r="W2285" s="385" t="s">
        <v>1436</v>
      </c>
      <c r="X2285" s="1"/>
    </row>
    <row r="2286" spans="1:24">
      <c r="A2286" s="385" t="s">
        <v>51</v>
      </c>
      <c r="B2286" s="385" t="s">
        <v>418</v>
      </c>
      <c r="C2286" s="385" t="s">
        <v>1656</v>
      </c>
      <c r="D2286" s="385" t="s">
        <v>88</v>
      </c>
      <c r="E2286" s="385"/>
      <c r="F2286" s="385"/>
      <c r="G2286" s="385"/>
      <c r="H2286" s="385">
        <v>2025</v>
      </c>
      <c r="I2286" s="386">
        <v>45702</v>
      </c>
      <c r="J2286" s="30" t="s">
        <v>5531</v>
      </c>
      <c r="K2286" s="385"/>
      <c r="L2286" s="385"/>
      <c r="M2286" s="385"/>
      <c r="N2286" s="385"/>
      <c r="O2286" s="385"/>
      <c r="P2286" s="385" t="str">
        <f>IFERROR(
    IF(
        OR(ISBLANK(I2286), ISBLANK(L2286)),
        "",
        MAX(
            1,
            IF(
                NETWORKDAYS(I2286, L2286, Holiday_Dates) &lt;= 0,
                1,
                NETWORKDAYS(I2286, L2286, Holiday_Dates) - IF(I2286 = L2286, 0, 1)
            )
        )
    ),
    ""
)</f>
        <v/>
      </c>
      <c r="Q2286" s="385" t="str">
        <f>IF(
    OR(ISBLANK(L2286), ISBLANK(M2286)),
    "",
    MAX(
        1,
        IF(
            NETWORKDAYS(L2286, M2286, Holiday_Dates) &lt;= 0,
            1,
            NETWORKDAYS(L2286, M2286, Holiday_Dates) - IF(L2286 = M2286, 0, 1)
        )
    )
)</f>
        <v/>
      </c>
      <c r="R2286" s="385" t="str">
        <f>IFERROR(
    IF(
        OR(ISBLANK(N2286), AND(ISBLANK(L2286), ISBLANK(M2286))),
        "",
        MAX(
            1,
            IF(
                NETWORKDAYS(IF(NOT(ISBLANK(M2286)), M2286, L2286), N2286, Holiday_Dates) &lt;= 0,
                1,
                NETWORKDAYS(IF(NOT(ISBLANK(M2286)), M2286, L2286), N2286, Holiday_Dates)
                - IF(IF(NOT(ISBLANK(M2286)), M2286, L2286) = N2286, 0, 1)
            )
        )
    ),
    ""
)</f>
        <v/>
      </c>
      <c r="S2286" s="385" t="str">
        <f>IFERROR(
    IF(
        OR(ISBLANK(N2286), ISBLANK(O2286)),
        "",
        MAX(
            1,
            IF(
                NETWORKDAYS(N2286, O2286, Holiday_Dates) &lt;= 0,
                1,
                NETWORKDAYS(N2286, O2286, Holiday_Dates) - IF(N2286 = O2286, 0, 1)
            )
        )
    ),
    ""
)</f>
        <v/>
      </c>
      <c r="T2286" s="385"/>
      <c r="U2286" s="385" t="s">
        <v>672</v>
      </c>
      <c r="V2286" s="385" t="s">
        <v>101</v>
      </c>
      <c r="W2286" s="385" t="s">
        <v>1436</v>
      </c>
      <c r="X2286" s="1"/>
    </row>
    <row r="2287" spans="1:24">
      <c r="A2287" s="385" t="s">
        <v>51</v>
      </c>
      <c r="B2287" s="385" t="s">
        <v>418</v>
      </c>
      <c r="C2287" s="385" t="s">
        <v>2345</v>
      </c>
      <c r="D2287" s="385" t="s">
        <v>88</v>
      </c>
      <c r="E2287" s="385"/>
      <c r="F2287" s="385"/>
      <c r="G2287" s="385"/>
      <c r="H2287" s="385">
        <v>2025</v>
      </c>
      <c r="I2287" s="386">
        <v>45679</v>
      </c>
      <c r="J2287" s="30" t="s">
        <v>5532</v>
      </c>
      <c r="K2287" s="385"/>
      <c r="L2287" s="385"/>
      <c r="M2287" s="385"/>
      <c r="N2287" s="385"/>
      <c r="O2287" s="385"/>
      <c r="P2287" s="385" t="str">
        <f>IFERROR(
    IF(
        OR(ISBLANK(I2287), ISBLANK(L2287)),
        "",
        MAX(
            1,
            IF(
                NETWORKDAYS(I2287, L2287, Holiday_Dates) &lt;= 0,
                1,
                NETWORKDAYS(I2287, L2287, Holiday_Dates) - IF(I2287 = L2287, 0, 1)
            )
        )
    ),
    ""
)</f>
        <v/>
      </c>
      <c r="Q2287" s="385" t="str">
        <f>IF(
    OR(ISBLANK(L2287), ISBLANK(M2287)),
    "",
    MAX(
        1,
        IF(
            NETWORKDAYS(L2287, M2287, Holiday_Dates) &lt;= 0,
            1,
            NETWORKDAYS(L2287, M2287, Holiday_Dates) - IF(L2287 = M2287, 0, 1)
        )
    )
)</f>
        <v/>
      </c>
      <c r="R2287" s="385" t="str">
        <f>IFERROR(
    IF(
        OR(ISBLANK(N2287), AND(ISBLANK(L2287), ISBLANK(M2287))),
        "",
        MAX(
            1,
            IF(
                NETWORKDAYS(IF(NOT(ISBLANK(M2287)), M2287, L2287), N2287, Holiday_Dates) &lt;= 0,
                1,
                NETWORKDAYS(IF(NOT(ISBLANK(M2287)), M2287, L2287), N2287, Holiday_Dates)
                - IF(IF(NOT(ISBLANK(M2287)), M2287, L2287) = N2287, 0, 1)
            )
        )
    ),
    ""
)</f>
        <v/>
      </c>
      <c r="S2287" s="385" t="str">
        <f>IFERROR(
    IF(
        OR(ISBLANK(N2287), ISBLANK(O2287)),
        "",
        MAX(
            1,
            IF(
                NETWORKDAYS(N2287, O2287, Holiday_Dates) &lt;= 0,
                1,
                NETWORKDAYS(N2287, O2287, Holiday_Dates) - IF(N2287 = O2287, 0, 1)
            )
        )
    ),
    ""
)</f>
        <v/>
      </c>
      <c r="T2287" s="385"/>
      <c r="U2287" s="385" t="s">
        <v>672</v>
      </c>
      <c r="V2287" s="385" t="s">
        <v>101</v>
      </c>
      <c r="W2287" s="385" t="s">
        <v>1436</v>
      </c>
      <c r="X2287" s="1"/>
    </row>
    <row r="2288" spans="1:24">
      <c r="A2288" s="385" t="s">
        <v>51</v>
      </c>
      <c r="B2288" s="385" t="s">
        <v>418</v>
      </c>
      <c r="C2288" s="385" t="s">
        <v>539</v>
      </c>
      <c r="D2288" s="385" t="s">
        <v>88</v>
      </c>
      <c r="E2288" s="385"/>
      <c r="F2288" s="385"/>
      <c r="G2288" s="385"/>
      <c r="H2288" s="385">
        <v>2025</v>
      </c>
      <c r="I2288" s="386">
        <v>45912</v>
      </c>
      <c r="J2288" s="30" t="s">
        <v>5533</v>
      </c>
      <c r="K2288" s="385"/>
      <c r="L2288" s="385"/>
      <c r="M2288" s="385"/>
      <c r="N2288" s="385"/>
      <c r="O2288" s="385"/>
      <c r="P2288" s="385" t="str">
        <f>IFERROR(
    IF(
        OR(ISBLANK(I2288), ISBLANK(L2288)),
        "",
        MAX(
            1,
            IF(
                NETWORKDAYS(I2288, L2288, Holiday_Dates) &lt;= 0,
                1,
                NETWORKDAYS(I2288, L2288, Holiday_Dates) - IF(I2288 = L2288, 0, 1)
            )
        )
    ),
    ""
)</f>
        <v/>
      </c>
      <c r="Q2288" s="385" t="str">
        <f>IF(
    OR(ISBLANK(L2288), ISBLANK(M2288)),
    "",
    MAX(
        1,
        IF(
            NETWORKDAYS(L2288, M2288, Holiday_Dates) &lt;= 0,
            1,
            NETWORKDAYS(L2288, M2288, Holiday_Dates) - IF(L2288 = M2288, 0, 1)
        )
    )
)</f>
        <v/>
      </c>
      <c r="R2288" s="385" t="str">
        <f>IFERROR(
    IF(
        OR(ISBLANK(N2288), AND(ISBLANK(L2288), ISBLANK(M2288))),
        "",
        MAX(
            1,
            IF(
                NETWORKDAYS(IF(NOT(ISBLANK(M2288)), M2288, L2288), N2288, Holiday_Dates) &lt;= 0,
                1,
                NETWORKDAYS(IF(NOT(ISBLANK(M2288)), M2288, L2288), N2288, Holiday_Dates)
                - IF(IF(NOT(ISBLANK(M2288)), M2288, L2288) = N2288, 0, 1)
            )
        )
    ),
    ""
)</f>
        <v/>
      </c>
      <c r="S2288" s="385" t="str">
        <f>IFERROR(
    IF(
        OR(ISBLANK(N2288), ISBLANK(O2288)),
        "",
        MAX(
            1,
            IF(
                NETWORKDAYS(N2288, O2288, Holiday_Dates) &lt;= 0,
                1,
                NETWORKDAYS(N2288, O2288, Holiday_Dates) - IF(N2288 = O2288, 0, 1)
            )
        )
    ),
    ""
)</f>
        <v/>
      </c>
      <c r="T2288" s="385"/>
      <c r="U2288" s="385" t="s">
        <v>672</v>
      </c>
      <c r="V2288" s="385" t="s">
        <v>1676</v>
      </c>
      <c r="W2288" s="385" t="s">
        <v>1436</v>
      </c>
      <c r="X2288" s="1"/>
    </row>
    <row r="2289" spans="1:24">
      <c r="A2289" s="385" t="s">
        <v>65</v>
      </c>
      <c r="B2289" s="385" t="s">
        <v>295</v>
      </c>
      <c r="C2289" s="385" t="s">
        <v>3157</v>
      </c>
      <c r="D2289" s="385" t="s">
        <v>88</v>
      </c>
      <c r="E2289" s="385" t="s">
        <v>29</v>
      </c>
      <c r="F2289" s="385"/>
      <c r="G2289" s="385" t="s">
        <v>130</v>
      </c>
      <c r="H2289" s="385"/>
      <c r="I2289" s="385"/>
      <c r="J2289" s="30"/>
      <c r="K2289" s="385"/>
      <c r="L2289" s="385"/>
      <c r="M2289" s="385"/>
      <c r="N2289" s="385"/>
      <c r="O2289" s="385"/>
      <c r="P2289" s="385" t="str">
        <f>IFERROR(
    IF(
        OR(ISBLANK(I2289), ISBLANK(L2289)),
        "",
        MAX(
            1,
            IF(
                NETWORKDAYS(I2289, L2289, Holiday_Dates) &lt;= 0,
                1,
                NETWORKDAYS(I2289, L2289, Holiday_Dates) - IF(I2289 = L2289, 0, 1)
            )
        )
    ),
    ""
)</f>
        <v/>
      </c>
      <c r="Q2289" s="385" t="str">
        <f>IF(
    OR(ISBLANK(L2289), ISBLANK(M2289)),
    "",
    MAX(
        1,
        IF(
            NETWORKDAYS(L2289, M2289, Holiday_Dates) &lt;= 0,
            1,
            NETWORKDAYS(L2289, M2289, Holiday_Dates) - IF(L2289 = M2289, 0, 1)
        )
    )
)</f>
        <v/>
      </c>
      <c r="R2289" s="385" t="str">
        <f>IFERROR(
    IF(
        OR(ISBLANK(N2289), AND(ISBLANK(L2289), ISBLANK(M2289))),
        "",
        MAX(
            1,
            IF(
                NETWORKDAYS(IF(NOT(ISBLANK(M2289)), M2289, L2289), N2289, Holiday_Dates) &lt;= 0,
                1,
                NETWORKDAYS(IF(NOT(ISBLANK(M2289)), M2289, L2289), N2289, Holiday_Dates)
                - IF(IF(NOT(ISBLANK(M2289)), M2289, L2289) = N2289, 0, 1)
            )
        )
    ),
    ""
)</f>
        <v/>
      </c>
      <c r="S2289" s="385" t="str">
        <f>IFERROR(
    IF(
        OR(ISBLANK(N2289), ISBLANK(O2289)),
        "",
        MAX(
            1,
            IF(
                NETWORKDAYS(N2289, O2289, Holiday_Dates) &lt;= 0,
                1,
                NETWORKDAYS(N2289, O2289, Holiday_Dates) - IF(N2289 = O2289, 0, 1)
            )
        )
    ),
    ""
)</f>
        <v/>
      </c>
      <c r="T2289" s="385"/>
      <c r="U2289" s="385"/>
      <c r="V2289" s="385"/>
      <c r="W2289" s="385" t="s">
        <v>4710</v>
      </c>
      <c r="X2289" s="1"/>
    </row>
    <row r="2290" spans="1:24">
      <c r="A2290" s="385" t="s">
        <v>51</v>
      </c>
      <c r="B2290" s="385" t="s">
        <v>418</v>
      </c>
      <c r="C2290" s="385" t="s">
        <v>2347</v>
      </c>
      <c r="D2290" s="385" t="s">
        <v>88</v>
      </c>
      <c r="E2290" s="385"/>
      <c r="F2290" s="385"/>
      <c r="G2290" s="385"/>
      <c r="H2290" s="385">
        <v>2025</v>
      </c>
      <c r="I2290" s="386">
        <v>45883</v>
      </c>
      <c r="J2290" s="30" t="s">
        <v>5534</v>
      </c>
      <c r="K2290" s="385"/>
      <c r="L2290" s="385"/>
      <c r="M2290" s="385"/>
      <c r="N2290" s="385"/>
      <c r="O2290" s="385"/>
      <c r="P2290" s="385" t="str">
        <f>IFERROR(
    IF(
        OR(ISBLANK(I2290), ISBLANK(L2290)),
        "",
        MAX(
            1,
            IF(
                NETWORKDAYS(I2290, L2290, Holiday_Dates) &lt;= 0,
                1,
                NETWORKDAYS(I2290, L2290, Holiday_Dates) - IF(I2290 = L2290, 0, 1)
            )
        )
    ),
    ""
)</f>
        <v/>
      </c>
      <c r="Q2290" s="385" t="str">
        <f>IF(
    OR(ISBLANK(L2290), ISBLANK(M2290)),
    "",
    MAX(
        1,
        IF(
            NETWORKDAYS(L2290, M2290, Holiday_Dates) &lt;= 0,
            1,
            NETWORKDAYS(L2290, M2290, Holiday_Dates) - IF(L2290 = M2290, 0, 1)
        )
    )
)</f>
        <v/>
      </c>
      <c r="R2290" s="385" t="str">
        <f>IFERROR(
    IF(
        OR(ISBLANK(N2290), AND(ISBLANK(L2290), ISBLANK(M2290))),
        "",
        MAX(
            1,
            IF(
                NETWORKDAYS(IF(NOT(ISBLANK(M2290)), M2290, L2290), N2290, Holiday_Dates) &lt;= 0,
                1,
                NETWORKDAYS(IF(NOT(ISBLANK(M2290)), M2290, L2290), N2290, Holiday_Dates)
                - IF(IF(NOT(ISBLANK(M2290)), M2290, L2290) = N2290, 0, 1)
            )
        )
    ),
    ""
)</f>
        <v/>
      </c>
      <c r="S2290" s="385" t="str">
        <f>IFERROR(
    IF(
        OR(ISBLANK(N2290), ISBLANK(O2290)),
        "",
        MAX(
            1,
            IF(
                NETWORKDAYS(N2290, O2290, Holiday_Dates) &lt;= 0,
                1,
                NETWORKDAYS(N2290, O2290, Holiday_Dates) - IF(N2290 = O2290, 0, 1)
            )
        )
    ),
    ""
)</f>
        <v/>
      </c>
      <c r="T2290" s="385"/>
      <c r="U2290" s="385" t="s">
        <v>672</v>
      </c>
      <c r="V2290" s="385" t="s">
        <v>1676</v>
      </c>
      <c r="W2290" s="385" t="s">
        <v>1436</v>
      </c>
      <c r="X2290" s="1"/>
    </row>
    <row r="2291" spans="1:24">
      <c r="A2291" s="385" t="s">
        <v>51</v>
      </c>
      <c r="B2291" s="385" t="s">
        <v>418</v>
      </c>
      <c r="C2291" s="385" t="s">
        <v>1658</v>
      </c>
      <c r="D2291" s="385" t="s">
        <v>88</v>
      </c>
      <c r="E2291" s="385"/>
      <c r="F2291" s="385"/>
      <c r="G2291" s="385"/>
      <c r="H2291" s="385">
        <v>2025</v>
      </c>
      <c r="I2291" s="386">
        <v>45912</v>
      </c>
      <c r="J2291" s="30" t="s">
        <v>5535</v>
      </c>
      <c r="K2291" s="385"/>
      <c r="L2291" s="385"/>
      <c r="M2291" s="385"/>
      <c r="N2291" s="385"/>
      <c r="O2291" s="385"/>
      <c r="P2291" s="385" t="str">
        <f>IFERROR(
    IF(
        OR(ISBLANK(I2291), ISBLANK(L2291)),
        "",
        MAX(
            1,
            IF(
                NETWORKDAYS(I2291, L2291, Holiday_Dates) &lt;= 0,
                1,
                NETWORKDAYS(I2291, L2291, Holiday_Dates) - IF(I2291 = L2291, 0, 1)
            )
        )
    ),
    ""
)</f>
        <v/>
      </c>
      <c r="Q2291" s="385" t="str">
        <f>IF(
    OR(ISBLANK(L2291), ISBLANK(M2291)),
    "",
    MAX(
        1,
        IF(
            NETWORKDAYS(L2291, M2291, Holiday_Dates) &lt;= 0,
            1,
            NETWORKDAYS(L2291, M2291, Holiday_Dates) - IF(L2291 = M2291, 0, 1)
        )
    )
)</f>
        <v/>
      </c>
      <c r="R2291" s="385" t="str">
        <f>IFERROR(
    IF(
        OR(ISBLANK(N2291), AND(ISBLANK(L2291), ISBLANK(M2291))),
        "",
        MAX(
            1,
            IF(
                NETWORKDAYS(IF(NOT(ISBLANK(M2291)), M2291, L2291), N2291, Holiday_Dates) &lt;= 0,
                1,
                NETWORKDAYS(IF(NOT(ISBLANK(M2291)), M2291, L2291), N2291, Holiday_Dates)
                - IF(IF(NOT(ISBLANK(M2291)), M2291, L2291) = N2291, 0, 1)
            )
        )
    ),
    ""
)</f>
        <v/>
      </c>
      <c r="S2291" s="385" t="str">
        <f>IFERROR(
    IF(
        OR(ISBLANK(N2291), ISBLANK(O2291)),
        "",
        MAX(
            1,
            IF(
                NETWORKDAYS(N2291, O2291, Holiday_Dates) &lt;= 0,
                1,
                NETWORKDAYS(N2291, O2291, Holiday_Dates) - IF(N2291 = O2291, 0, 1)
            )
        )
    ),
    ""
)</f>
        <v/>
      </c>
      <c r="T2291" s="385"/>
      <c r="U2291" s="385" t="s">
        <v>672</v>
      </c>
      <c r="V2291" s="385" t="s">
        <v>1676</v>
      </c>
      <c r="W2291" s="385" t="s">
        <v>1436</v>
      </c>
      <c r="X2291" s="1"/>
    </row>
    <row r="2292" spans="1:24">
      <c r="A2292" s="385" t="s">
        <v>51</v>
      </c>
      <c r="B2292" s="385" t="s">
        <v>450</v>
      </c>
      <c r="C2292" s="385" t="s">
        <v>250</v>
      </c>
      <c r="D2292" s="385" t="s">
        <v>88</v>
      </c>
      <c r="E2292" s="385"/>
      <c r="F2292" s="385"/>
      <c r="G2292" s="385"/>
      <c r="H2292" s="385">
        <v>2025</v>
      </c>
      <c r="I2292" s="386">
        <v>45854</v>
      </c>
      <c r="J2292" s="30" t="s">
        <v>5536</v>
      </c>
      <c r="K2292" s="385"/>
      <c r="L2292" s="385"/>
      <c r="M2292" s="385"/>
      <c r="N2292" s="385"/>
      <c r="O2292" s="385"/>
      <c r="P2292" s="385" t="str">
        <f>IFERROR(
    IF(
        OR(ISBLANK(I2292), ISBLANK(L2292)),
        "",
        MAX(
            1,
            IF(
                NETWORKDAYS(I2292, L2292, Holiday_Dates) &lt;= 0,
                1,
                NETWORKDAYS(I2292, L2292, Holiday_Dates) - IF(I2292 = L2292, 0, 1)
            )
        )
    ),
    ""
)</f>
        <v/>
      </c>
      <c r="Q2292" s="385" t="str">
        <f>IF(
    OR(ISBLANK(L2292), ISBLANK(M2292)),
    "",
    MAX(
        1,
        IF(
            NETWORKDAYS(L2292, M2292, Holiday_Dates) &lt;= 0,
            1,
            NETWORKDAYS(L2292, M2292, Holiday_Dates) - IF(L2292 = M2292, 0, 1)
        )
    )
)</f>
        <v/>
      </c>
      <c r="R2292" s="385" t="str">
        <f>IFERROR(
    IF(
        OR(ISBLANK(N2292), AND(ISBLANK(L2292), ISBLANK(M2292))),
        "",
        MAX(
            1,
            IF(
                NETWORKDAYS(IF(NOT(ISBLANK(M2292)), M2292, L2292), N2292, Holiday_Dates) &lt;= 0,
                1,
                NETWORKDAYS(IF(NOT(ISBLANK(M2292)), M2292, L2292), N2292, Holiday_Dates)
                - IF(IF(NOT(ISBLANK(M2292)), M2292, L2292) = N2292, 0, 1)
            )
        )
    ),
    ""
)</f>
        <v/>
      </c>
      <c r="S2292" s="385" t="str">
        <f>IFERROR(
    IF(
        OR(ISBLANK(N2292), ISBLANK(O2292)),
        "",
        MAX(
            1,
            IF(
                NETWORKDAYS(N2292, O2292, Holiday_Dates) &lt;= 0,
                1,
                NETWORKDAYS(N2292, O2292, Holiday_Dates) - IF(N2292 = O2292, 0, 1)
            )
        )
    ),
    ""
)</f>
        <v/>
      </c>
      <c r="T2292" s="385"/>
      <c r="U2292" s="385" t="s">
        <v>672</v>
      </c>
      <c r="V2292" s="385" t="s">
        <v>101</v>
      </c>
      <c r="W2292" s="385" t="s">
        <v>1436</v>
      </c>
      <c r="X2292" s="1"/>
    </row>
    <row r="2293" spans="1:24">
      <c r="A2293" s="385" t="s">
        <v>51</v>
      </c>
      <c r="B2293" s="385" t="s">
        <v>450</v>
      </c>
      <c r="C2293" s="385" t="s">
        <v>3663</v>
      </c>
      <c r="D2293" s="385" t="s">
        <v>88</v>
      </c>
      <c r="E2293" s="385"/>
      <c r="F2293" s="385"/>
      <c r="G2293" s="385"/>
      <c r="H2293" s="385">
        <v>2025</v>
      </c>
      <c r="I2293" s="386">
        <v>45846</v>
      </c>
      <c r="J2293" s="30" t="s">
        <v>5537</v>
      </c>
      <c r="K2293" s="385"/>
      <c r="L2293" s="385"/>
      <c r="M2293" s="385"/>
      <c r="N2293" s="385"/>
      <c r="O2293" s="385"/>
      <c r="P2293" s="385" t="str">
        <f>IFERROR(
    IF(
        OR(ISBLANK(I2293), ISBLANK(L2293)),
        "",
        MAX(
            1,
            IF(
                NETWORKDAYS(I2293, L2293, Holiday_Dates) &lt;= 0,
                1,
                NETWORKDAYS(I2293, L2293, Holiday_Dates) - IF(I2293 = L2293, 0, 1)
            )
        )
    ),
    ""
)</f>
        <v/>
      </c>
      <c r="Q2293" s="385" t="str">
        <f>IF(
    OR(ISBLANK(L2293), ISBLANK(M2293)),
    "",
    MAX(
        1,
        IF(
            NETWORKDAYS(L2293, M2293, Holiday_Dates) &lt;= 0,
            1,
            NETWORKDAYS(L2293, M2293, Holiday_Dates) - IF(L2293 = M2293, 0, 1)
        )
    )
)</f>
        <v/>
      </c>
      <c r="R2293" s="385" t="str">
        <f>IFERROR(
    IF(
        OR(ISBLANK(N2293), AND(ISBLANK(L2293), ISBLANK(M2293))),
        "",
        MAX(
            1,
            IF(
                NETWORKDAYS(IF(NOT(ISBLANK(M2293)), M2293, L2293), N2293, Holiday_Dates) &lt;= 0,
                1,
                NETWORKDAYS(IF(NOT(ISBLANK(M2293)), M2293, L2293), N2293, Holiday_Dates)
                - IF(IF(NOT(ISBLANK(M2293)), M2293, L2293) = N2293, 0, 1)
            )
        )
    ),
    ""
)</f>
        <v/>
      </c>
      <c r="S2293" s="385" t="str">
        <f>IFERROR(
    IF(
        OR(ISBLANK(N2293), ISBLANK(O2293)),
        "",
        MAX(
            1,
            IF(
                NETWORKDAYS(N2293, O2293, Holiday_Dates) &lt;= 0,
                1,
                NETWORKDAYS(N2293, O2293, Holiday_Dates) - IF(N2293 = O2293, 0, 1)
            )
        )
    ),
    ""
)</f>
        <v/>
      </c>
      <c r="T2293" s="385"/>
      <c r="U2293" s="385" t="s">
        <v>672</v>
      </c>
      <c r="V2293" s="385" t="s">
        <v>101</v>
      </c>
      <c r="W2293" s="385" t="s">
        <v>1436</v>
      </c>
      <c r="X2293" s="1"/>
    </row>
    <row r="2294" spans="1:24">
      <c r="A2294" s="385" t="s">
        <v>51</v>
      </c>
      <c r="B2294" s="385" t="s">
        <v>450</v>
      </c>
      <c r="C2294" s="385" t="s">
        <v>2342</v>
      </c>
      <c r="D2294" s="385" t="s">
        <v>88</v>
      </c>
      <c r="E2294" s="385"/>
      <c r="F2294" s="385"/>
      <c r="G2294" s="385"/>
      <c r="H2294" s="385">
        <v>2025</v>
      </c>
      <c r="I2294" s="386">
        <v>45793</v>
      </c>
      <c r="J2294" s="30" t="s">
        <v>5538</v>
      </c>
      <c r="K2294" s="385"/>
      <c r="L2294" s="385"/>
      <c r="M2294" s="385"/>
      <c r="N2294" s="385"/>
      <c r="O2294" s="385"/>
      <c r="P2294" s="385" t="str">
        <f>IFERROR(
    IF(
        OR(ISBLANK(I2294), ISBLANK(L2294)),
        "",
        MAX(
            1,
            IF(
                NETWORKDAYS(I2294, L2294, Holiday_Dates) &lt;= 0,
                1,
                NETWORKDAYS(I2294, L2294, Holiday_Dates) - IF(I2294 = L2294, 0, 1)
            )
        )
    ),
    ""
)</f>
        <v/>
      </c>
      <c r="Q2294" s="385" t="str">
        <f>IF(
    OR(ISBLANK(L2294), ISBLANK(M2294)),
    "",
    MAX(
        1,
        IF(
            NETWORKDAYS(L2294, M2294, Holiday_Dates) &lt;= 0,
            1,
            NETWORKDAYS(L2294, M2294, Holiday_Dates) - IF(L2294 = M2294, 0, 1)
        )
    )
)</f>
        <v/>
      </c>
      <c r="R2294" s="385" t="str">
        <f>IFERROR(
    IF(
        OR(ISBLANK(N2294), AND(ISBLANK(L2294), ISBLANK(M2294))),
        "",
        MAX(
            1,
            IF(
                NETWORKDAYS(IF(NOT(ISBLANK(M2294)), M2294, L2294), N2294, Holiday_Dates) &lt;= 0,
                1,
                NETWORKDAYS(IF(NOT(ISBLANK(M2294)), M2294, L2294), N2294, Holiday_Dates)
                - IF(IF(NOT(ISBLANK(M2294)), M2294, L2294) = N2294, 0, 1)
            )
        )
    ),
    ""
)</f>
        <v/>
      </c>
      <c r="S2294" s="385" t="str">
        <f>IFERROR(
    IF(
        OR(ISBLANK(N2294), ISBLANK(O2294)),
        "",
        MAX(
            1,
            IF(
                NETWORKDAYS(N2294, O2294, Holiday_Dates) &lt;= 0,
                1,
                NETWORKDAYS(N2294, O2294, Holiday_Dates) - IF(N2294 = O2294, 0, 1)
            )
        )
    ),
    ""
)</f>
        <v/>
      </c>
      <c r="T2294" s="385"/>
      <c r="U2294" s="385" t="s">
        <v>672</v>
      </c>
      <c r="V2294" s="385" t="s">
        <v>1676</v>
      </c>
      <c r="W2294" s="385" t="s">
        <v>1436</v>
      </c>
      <c r="X2294" s="1"/>
    </row>
    <row r="2295" spans="1:24">
      <c r="A2295" s="385" t="s">
        <v>51</v>
      </c>
      <c r="B2295" s="385" t="s">
        <v>450</v>
      </c>
      <c r="C2295" s="385" t="s">
        <v>520</v>
      </c>
      <c r="D2295" s="385" t="s">
        <v>88</v>
      </c>
      <c r="E2295" s="385"/>
      <c r="F2295" s="385"/>
      <c r="G2295" s="385"/>
      <c r="H2295" s="385">
        <v>2025</v>
      </c>
      <c r="I2295" s="386">
        <v>45728</v>
      </c>
      <c r="J2295" s="30" t="s">
        <v>5539</v>
      </c>
      <c r="K2295" s="385"/>
      <c r="L2295" s="385"/>
      <c r="M2295" s="385"/>
      <c r="N2295" s="385"/>
      <c r="O2295" s="385"/>
      <c r="P2295" s="385" t="str">
        <f>IFERROR(
    IF(
        OR(ISBLANK(I2295), ISBLANK(L2295)),
        "",
        MAX(
            1,
            IF(
                NETWORKDAYS(I2295, L2295, Holiday_Dates) &lt;= 0,
                1,
                NETWORKDAYS(I2295, L2295, Holiday_Dates) - IF(I2295 = L2295, 0, 1)
            )
        )
    ),
    ""
)</f>
        <v/>
      </c>
      <c r="Q2295" s="385" t="str">
        <f>IF(
    OR(ISBLANK(L2295), ISBLANK(M2295)),
    "",
    MAX(
        1,
        IF(
            NETWORKDAYS(L2295, M2295, Holiday_Dates) &lt;= 0,
            1,
            NETWORKDAYS(L2295, M2295, Holiday_Dates) - IF(L2295 = M2295, 0, 1)
        )
    )
)</f>
        <v/>
      </c>
      <c r="R2295" s="385" t="str">
        <f>IFERROR(
    IF(
        OR(ISBLANK(N2295), AND(ISBLANK(L2295), ISBLANK(M2295))),
        "",
        MAX(
            1,
            IF(
                NETWORKDAYS(IF(NOT(ISBLANK(M2295)), M2295, L2295), N2295, Holiday_Dates) &lt;= 0,
                1,
                NETWORKDAYS(IF(NOT(ISBLANK(M2295)), M2295, L2295), N2295, Holiday_Dates)
                - IF(IF(NOT(ISBLANK(M2295)), M2295, L2295) = N2295, 0, 1)
            )
        )
    ),
    ""
)</f>
        <v/>
      </c>
      <c r="S2295" s="385" t="str">
        <f>IFERROR(
    IF(
        OR(ISBLANK(N2295), ISBLANK(O2295)),
        "",
        MAX(
            1,
            IF(
                NETWORKDAYS(N2295, O2295, Holiday_Dates) &lt;= 0,
                1,
                NETWORKDAYS(N2295, O2295, Holiday_Dates) - IF(N2295 = O2295, 0, 1)
            )
        )
    ),
    ""
)</f>
        <v/>
      </c>
      <c r="T2295" s="385"/>
      <c r="U2295" s="385" t="s">
        <v>672</v>
      </c>
      <c r="V2295" s="385" t="s">
        <v>1676</v>
      </c>
      <c r="W2295" s="385" t="s">
        <v>1436</v>
      </c>
      <c r="X2295" s="1"/>
    </row>
    <row r="2296" spans="1:24">
      <c r="A2296" s="385" t="s">
        <v>51</v>
      </c>
      <c r="B2296" s="385" t="s">
        <v>450</v>
      </c>
      <c r="C2296" s="385" t="s">
        <v>427</v>
      </c>
      <c r="D2296" s="385" t="s">
        <v>88</v>
      </c>
      <c r="E2296" s="385"/>
      <c r="F2296" s="385"/>
      <c r="G2296" s="385"/>
      <c r="H2296" s="385">
        <v>2025</v>
      </c>
      <c r="I2296" s="386">
        <v>45702</v>
      </c>
      <c r="J2296" s="30" t="s">
        <v>5540</v>
      </c>
      <c r="K2296" s="385"/>
      <c r="L2296" s="385"/>
      <c r="M2296" s="385"/>
      <c r="N2296" s="385"/>
      <c r="O2296" s="385"/>
      <c r="P2296" s="385" t="str">
        <f>IFERROR(
    IF(
        OR(ISBLANK(I2296), ISBLANK(L2296)),
        "",
        MAX(
            1,
            IF(
                NETWORKDAYS(I2296, L2296, Holiday_Dates) &lt;= 0,
                1,
                NETWORKDAYS(I2296, L2296, Holiday_Dates) - IF(I2296 = L2296, 0, 1)
            )
        )
    ),
    ""
)</f>
        <v/>
      </c>
      <c r="Q2296" s="385" t="str">
        <f>IF(
    OR(ISBLANK(L2296), ISBLANK(M2296)),
    "",
    MAX(
        1,
        IF(
            NETWORKDAYS(L2296, M2296, Holiday_Dates) &lt;= 0,
            1,
            NETWORKDAYS(L2296, M2296, Holiday_Dates) - IF(L2296 = M2296, 0, 1)
        )
    )
)</f>
        <v/>
      </c>
      <c r="R2296" s="385" t="str">
        <f>IFERROR(
    IF(
        OR(ISBLANK(N2296), AND(ISBLANK(L2296), ISBLANK(M2296))),
        "",
        MAX(
            1,
            IF(
                NETWORKDAYS(IF(NOT(ISBLANK(M2296)), M2296, L2296), N2296, Holiday_Dates) &lt;= 0,
                1,
                NETWORKDAYS(IF(NOT(ISBLANK(M2296)), M2296, L2296), N2296, Holiday_Dates)
                - IF(IF(NOT(ISBLANK(M2296)), M2296, L2296) = N2296, 0, 1)
            )
        )
    ),
    ""
)</f>
        <v/>
      </c>
      <c r="S2296" s="385" t="str">
        <f>IFERROR(
    IF(
        OR(ISBLANK(N2296), ISBLANK(O2296)),
        "",
        MAX(
            1,
            IF(
                NETWORKDAYS(N2296, O2296, Holiday_Dates) &lt;= 0,
                1,
                NETWORKDAYS(N2296, O2296, Holiday_Dates) - IF(N2296 = O2296, 0, 1)
            )
        )
    ),
    ""
)</f>
        <v/>
      </c>
      <c r="T2296" s="385"/>
      <c r="U2296" s="385" t="s">
        <v>672</v>
      </c>
      <c r="V2296" s="385" t="s">
        <v>101</v>
      </c>
      <c r="W2296" s="385" t="s">
        <v>1436</v>
      </c>
      <c r="X2296" s="1"/>
    </row>
    <row r="2297" spans="1:24">
      <c r="A2297" s="385" t="s">
        <v>65</v>
      </c>
      <c r="B2297" s="385" t="s">
        <v>295</v>
      </c>
      <c r="C2297" s="385" t="s">
        <v>3013</v>
      </c>
      <c r="D2297" s="385" t="s">
        <v>88</v>
      </c>
      <c r="E2297" s="385" t="s">
        <v>29</v>
      </c>
      <c r="F2297" s="385"/>
      <c r="G2297" s="385" t="s">
        <v>130</v>
      </c>
      <c r="H2297" s="385"/>
      <c r="I2297" s="385"/>
      <c r="J2297" s="30"/>
      <c r="K2297" s="385"/>
      <c r="L2297" s="385"/>
      <c r="M2297" s="385"/>
      <c r="N2297" s="385"/>
      <c r="O2297" s="385"/>
      <c r="P2297" s="385" t="str">
        <f>IFERROR(
    IF(
        OR(ISBLANK(I2297), ISBLANK(L2297)),
        "",
        MAX(
            1,
            IF(
                NETWORKDAYS(I2297, L2297, Holiday_Dates) &lt;= 0,
                1,
                NETWORKDAYS(I2297, L2297, Holiday_Dates) - IF(I2297 = L2297, 0, 1)
            )
        )
    ),
    ""
)</f>
        <v/>
      </c>
      <c r="Q2297" s="385" t="str">
        <f>IF(
    OR(ISBLANK(L2297), ISBLANK(M2297)),
    "",
    MAX(
        1,
        IF(
            NETWORKDAYS(L2297, M2297, Holiday_Dates) &lt;= 0,
            1,
            NETWORKDAYS(L2297, M2297, Holiday_Dates) - IF(L2297 = M2297, 0, 1)
        )
    )
)</f>
        <v/>
      </c>
      <c r="R2297" s="385" t="str">
        <f>IFERROR(
    IF(
        OR(ISBLANK(N2297), AND(ISBLANK(L2297), ISBLANK(M2297))),
        "",
        MAX(
            1,
            IF(
                NETWORKDAYS(IF(NOT(ISBLANK(M2297)), M2297, L2297), N2297, Holiday_Dates) &lt;= 0,
                1,
                NETWORKDAYS(IF(NOT(ISBLANK(M2297)), M2297, L2297), N2297, Holiday_Dates)
                - IF(IF(NOT(ISBLANK(M2297)), M2297, L2297) = N2297, 0, 1)
            )
        )
    ),
    ""
)</f>
        <v/>
      </c>
      <c r="S2297" s="385" t="str">
        <f>IFERROR(
    IF(
        OR(ISBLANK(N2297), ISBLANK(O2297)),
        "",
        MAX(
            1,
            IF(
                NETWORKDAYS(N2297, O2297, Holiday_Dates) &lt;= 0,
                1,
                NETWORKDAYS(N2297, O2297, Holiday_Dates) - IF(N2297 = O2297, 0, 1)
            )
        )
    ),
    ""
)</f>
        <v/>
      </c>
      <c r="T2297" s="385"/>
      <c r="U2297" s="385"/>
      <c r="V2297" s="385"/>
      <c r="W2297" s="385" t="s">
        <v>4710</v>
      </c>
      <c r="X2297" s="1"/>
    </row>
    <row r="2298" spans="1:24">
      <c r="A2298" s="385" t="s">
        <v>51</v>
      </c>
      <c r="B2298" s="385" t="s">
        <v>450</v>
      </c>
      <c r="C2298" s="385" t="s">
        <v>440</v>
      </c>
      <c r="D2298" s="385" t="s">
        <v>88</v>
      </c>
      <c r="E2298" s="385"/>
      <c r="F2298" s="385"/>
      <c r="G2298" s="385"/>
      <c r="H2298" s="385">
        <v>2024</v>
      </c>
      <c r="I2298" s="386">
        <v>45511</v>
      </c>
      <c r="J2298" s="30"/>
      <c r="K2298" s="385"/>
      <c r="L2298" s="385"/>
      <c r="M2298" s="385"/>
      <c r="N2298" s="385"/>
      <c r="O2298" s="385"/>
      <c r="P2298" s="385" t="str">
        <f>IFERROR(
    IF(
        OR(ISBLANK(I2298), ISBLANK(L2298)),
        "",
        MAX(
            1,
            IF(
                NETWORKDAYS(I2298, L2298, Holiday_Dates) &lt;= 0,
                1,
                NETWORKDAYS(I2298, L2298, Holiday_Dates) - IF(I2298 = L2298, 0, 1)
            )
        )
    ),
    ""
)</f>
        <v/>
      </c>
      <c r="Q2298" s="385" t="str">
        <f>IF(
    OR(ISBLANK(L2298), ISBLANK(M2298)),
    "",
    MAX(
        1,
        IF(
            NETWORKDAYS(L2298, M2298, Holiday_Dates) &lt;= 0,
            1,
            NETWORKDAYS(L2298, M2298, Holiday_Dates) - IF(L2298 = M2298, 0, 1)
        )
    )
)</f>
        <v/>
      </c>
      <c r="R2298" s="385" t="str">
        <f>IFERROR(
    IF(
        OR(ISBLANK(N2298), AND(ISBLANK(L2298), ISBLANK(M2298))),
        "",
        MAX(
            1,
            IF(
                NETWORKDAYS(IF(NOT(ISBLANK(M2298)), M2298, L2298), N2298, Holiday_Dates) &lt;= 0,
                1,
                NETWORKDAYS(IF(NOT(ISBLANK(M2298)), M2298, L2298), N2298, Holiday_Dates)
                - IF(IF(NOT(ISBLANK(M2298)), M2298, L2298) = N2298, 0, 1)
            )
        )
    ),
    ""
)</f>
        <v/>
      </c>
      <c r="S2298" s="385" t="str">
        <f>IFERROR(
    IF(
        OR(ISBLANK(N2298), ISBLANK(O2298)),
        "",
        MAX(
            1,
            IF(
                NETWORKDAYS(N2298, O2298, Holiday_Dates) &lt;= 0,
                1,
                NETWORKDAYS(N2298, O2298, Holiday_Dates) - IF(N2298 = O2298, 0, 1)
            )
        )
    ),
    ""
)</f>
        <v/>
      </c>
      <c r="T2298" s="385"/>
      <c r="U2298" s="385" t="s">
        <v>4</v>
      </c>
      <c r="V2298" s="385" t="s">
        <v>101</v>
      </c>
      <c r="W2298" s="385" t="s">
        <v>1436</v>
      </c>
      <c r="X2298" s="1"/>
    </row>
    <row r="2299" spans="1:24">
      <c r="A2299" s="385" t="s">
        <v>51</v>
      </c>
      <c r="B2299" s="385" t="s">
        <v>450</v>
      </c>
      <c r="C2299" s="385" t="s">
        <v>717</v>
      </c>
      <c r="D2299" s="385" t="s">
        <v>88</v>
      </c>
      <c r="E2299" s="385"/>
      <c r="F2299" s="385"/>
      <c r="G2299" s="385"/>
      <c r="H2299" s="385">
        <v>2025</v>
      </c>
      <c r="I2299" s="386">
        <v>45718</v>
      </c>
      <c r="J2299" s="30" t="s">
        <v>5541</v>
      </c>
      <c r="K2299" s="385"/>
      <c r="L2299" s="385"/>
      <c r="M2299" s="385"/>
      <c r="N2299" s="385"/>
      <c r="O2299" s="385"/>
      <c r="P2299" s="385" t="str">
        <f>IFERROR(
    IF(
        OR(ISBLANK(I2299), ISBLANK(L2299)),
        "",
        MAX(
            1,
            IF(
                NETWORKDAYS(I2299, L2299, Holiday_Dates) &lt;= 0,
                1,
                NETWORKDAYS(I2299, L2299, Holiday_Dates) - IF(I2299 = L2299, 0, 1)
            )
        )
    ),
    ""
)</f>
        <v/>
      </c>
      <c r="Q2299" s="385" t="str">
        <f>IF(
    OR(ISBLANK(L2299), ISBLANK(M2299)),
    "",
    MAX(
        1,
        IF(
            NETWORKDAYS(L2299, M2299, Holiday_Dates) &lt;= 0,
            1,
            NETWORKDAYS(L2299, M2299, Holiday_Dates) - IF(L2299 = M2299, 0, 1)
        )
    )
)</f>
        <v/>
      </c>
      <c r="R2299" s="385" t="str">
        <f>IFERROR(
    IF(
        OR(ISBLANK(N2299), AND(ISBLANK(L2299), ISBLANK(M2299))),
        "",
        MAX(
            1,
            IF(
                NETWORKDAYS(IF(NOT(ISBLANK(M2299)), M2299, L2299), N2299, Holiday_Dates) &lt;= 0,
                1,
                NETWORKDAYS(IF(NOT(ISBLANK(M2299)), M2299, L2299), N2299, Holiday_Dates)
                - IF(IF(NOT(ISBLANK(M2299)), M2299, L2299) = N2299, 0, 1)
            )
        )
    ),
    ""
)</f>
        <v/>
      </c>
      <c r="S2299" s="385" t="str">
        <f>IFERROR(
    IF(
        OR(ISBLANK(N2299), ISBLANK(O2299)),
        "",
        MAX(
            1,
            IF(
                NETWORKDAYS(N2299, O2299, Holiday_Dates) &lt;= 0,
                1,
                NETWORKDAYS(N2299, O2299, Holiday_Dates) - IF(N2299 = O2299, 0, 1)
            )
        )
    ),
    ""
)</f>
        <v/>
      </c>
      <c r="T2299" s="385"/>
      <c r="U2299" s="385" t="s">
        <v>672</v>
      </c>
      <c r="V2299" s="385" t="s">
        <v>101</v>
      </c>
      <c r="W2299" s="385" t="s">
        <v>1436</v>
      </c>
      <c r="X2299" s="1"/>
    </row>
    <row r="2300" spans="1:24">
      <c r="A2300" s="385" t="s">
        <v>51</v>
      </c>
      <c r="B2300" s="385" t="s">
        <v>450</v>
      </c>
      <c r="C2300" s="385" t="s">
        <v>3846</v>
      </c>
      <c r="D2300" s="385" t="s">
        <v>88</v>
      </c>
      <c r="E2300" s="385"/>
      <c r="F2300" s="385"/>
      <c r="G2300" s="385"/>
      <c r="H2300" s="385">
        <v>2025</v>
      </c>
      <c r="I2300" s="386">
        <v>45757</v>
      </c>
      <c r="J2300" s="30" t="s">
        <v>5542</v>
      </c>
      <c r="K2300" s="385"/>
      <c r="L2300" s="385"/>
      <c r="M2300" s="385"/>
      <c r="N2300" s="385"/>
      <c r="O2300" s="385"/>
      <c r="P2300" s="385" t="str">
        <f>IFERROR(
    IF(
        OR(ISBLANK(I2300), ISBLANK(L2300)),
        "",
        MAX(
            1,
            IF(
                NETWORKDAYS(I2300, L2300, Holiday_Dates) &lt;= 0,
                1,
                NETWORKDAYS(I2300, L2300, Holiday_Dates) - IF(I2300 = L2300, 0, 1)
            )
        )
    ),
    ""
)</f>
        <v/>
      </c>
      <c r="Q2300" s="385" t="str">
        <f>IF(
    OR(ISBLANK(L2300), ISBLANK(M2300)),
    "",
    MAX(
        1,
        IF(
            NETWORKDAYS(L2300, M2300, Holiday_Dates) &lt;= 0,
            1,
            NETWORKDAYS(L2300, M2300, Holiday_Dates) - IF(L2300 = M2300, 0, 1)
        )
    )
)</f>
        <v/>
      </c>
      <c r="R2300" s="385" t="str">
        <f>IFERROR(
    IF(
        OR(ISBLANK(N2300), AND(ISBLANK(L2300), ISBLANK(M2300))),
        "",
        MAX(
            1,
            IF(
                NETWORKDAYS(IF(NOT(ISBLANK(M2300)), M2300, L2300), N2300, Holiday_Dates) &lt;= 0,
                1,
                NETWORKDAYS(IF(NOT(ISBLANK(M2300)), M2300, L2300), N2300, Holiday_Dates)
                - IF(IF(NOT(ISBLANK(M2300)), M2300, L2300) = N2300, 0, 1)
            )
        )
    ),
    ""
)</f>
        <v/>
      </c>
      <c r="S2300" s="385" t="str">
        <f>IFERROR(
    IF(
        OR(ISBLANK(N2300), ISBLANK(O2300)),
        "",
        MAX(
            1,
            IF(
                NETWORKDAYS(N2300, O2300, Holiday_Dates) &lt;= 0,
                1,
                NETWORKDAYS(N2300, O2300, Holiday_Dates) - IF(N2300 = O2300, 0, 1)
            )
        )
    ),
    ""
)</f>
        <v/>
      </c>
      <c r="T2300" s="385"/>
      <c r="U2300" s="385" t="s">
        <v>672</v>
      </c>
      <c r="V2300" s="385" t="s">
        <v>101</v>
      </c>
      <c r="W2300" s="385" t="s">
        <v>1436</v>
      </c>
      <c r="X2300" s="1"/>
    </row>
    <row r="2301" spans="1:24">
      <c r="A2301" s="385" t="s">
        <v>51</v>
      </c>
      <c r="B2301" s="385" t="s">
        <v>450</v>
      </c>
      <c r="C2301" s="385" t="s">
        <v>3847</v>
      </c>
      <c r="D2301" s="385" t="s">
        <v>88</v>
      </c>
      <c r="E2301" s="385"/>
      <c r="F2301" s="385"/>
      <c r="G2301" s="385"/>
      <c r="H2301" s="385">
        <v>2025</v>
      </c>
      <c r="I2301" s="386">
        <v>45728</v>
      </c>
      <c r="J2301" s="30" t="s">
        <v>5543</v>
      </c>
      <c r="K2301" s="385"/>
      <c r="L2301" s="385"/>
      <c r="M2301" s="385"/>
      <c r="N2301" s="385"/>
      <c r="O2301" s="385"/>
      <c r="P2301" s="385" t="str">
        <f>IFERROR(
    IF(
        OR(ISBLANK(I2301), ISBLANK(L2301)),
        "",
        MAX(
            1,
            IF(
                NETWORKDAYS(I2301, L2301, Holiday_Dates) &lt;= 0,
                1,
                NETWORKDAYS(I2301, L2301, Holiday_Dates) - IF(I2301 = L2301, 0, 1)
            )
        )
    ),
    ""
)</f>
        <v/>
      </c>
      <c r="Q2301" s="385" t="str">
        <f>IF(
    OR(ISBLANK(L2301), ISBLANK(M2301)),
    "",
    MAX(
        1,
        IF(
            NETWORKDAYS(L2301, M2301, Holiday_Dates) &lt;= 0,
            1,
            NETWORKDAYS(L2301, M2301, Holiday_Dates) - IF(L2301 = M2301, 0, 1)
        )
    )
)</f>
        <v/>
      </c>
      <c r="R2301" s="385" t="str">
        <f>IFERROR(
    IF(
        OR(ISBLANK(N2301), AND(ISBLANK(L2301), ISBLANK(M2301))),
        "",
        MAX(
            1,
            IF(
                NETWORKDAYS(IF(NOT(ISBLANK(M2301)), M2301, L2301), N2301, Holiday_Dates) &lt;= 0,
                1,
                NETWORKDAYS(IF(NOT(ISBLANK(M2301)), M2301, L2301), N2301, Holiday_Dates)
                - IF(IF(NOT(ISBLANK(M2301)), M2301, L2301) = N2301, 0, 1)
            )
        )
    ),
    ""
)</f>
        <v/>
      </c>
      <c r="S2301" s="385" t="str">
        <f>IFERROR(
    IF(
        OR(ISBLANK(N2301), ISBLANK(O2301)),
        "",
        MAX(
            1,
            IF(
                NETWORKDAYS(N2301, O2301, Holiday_Dates) &lt;= 0,
                1,
                NETWORKDAYS(N2301, O2301, Holiday_Dates) - IF(N2301 = O2301, 0, 1)
            )
        )
    ),
    ""
)</f>
        <v/>
      </c>
      <c r="T2301" s="385"/>
      <c r="U2301" s="385" t="s">
        <v>672</v>
      </c>
      <c r="V2301" s="385" t="s">
        <v>101</v>
      </c>
      <c r="W2301" s="385" t="s">
        <v>1436</v>
      </c>
      <c r="X2301" s="1"/>
    </row>
    <row r="2302" spans="1:24">
      <c r="A2302" s="385" t="s">
        <v>51</v>
      </c>
      <c r="B2302" s="385" t="s">
        <v>450</v>
      </c>
      <c r="C2302" s="385" t="s">
        <v>881</v>
      </c>
      <c r="D2302" s="385" t="s">
        <v>88</v>
      </c>
      <c r="E2302" s="385"/>
      <c r="F2302" s="385"/>
      <c r="G2302" s="385"/>
      <c r="H2302" s="385">
        <v>2025</v>
      </c>
      <c r="I2302" s="386">
        <v>45728</v>
      </c>
      <c r="J2302" s="30" t="s">
        <v>5544</v>
      </c>
      <c r="K2302" s="385"/>
      <c r="L2302" s="385"/>
      <c r="M2302" s="385"/>
      <c r="N2302" s="385"/>
      <c r="O2302" s="385"/>
      <c r="P2302" s="385" t="str">
        <f>IFERROR(
    IF(
        OR(ISBLANK(I2302), ISBLANK(L2302)),
        "",
        MAX(
            1,
            IF(
                NETWORKDAYS(I2302, L2302, Holiday_Dates) &lt;= 0,
                1,
                NETWORKDAYS(I2302, L2302, Holiday_Dates) - IF(I2302 = L2302, 0, 1)
            )
        )
    ),
    ""
)</f>
        <v/>
      </c>
      <c r="Q2302" s="385" t="str">
        <f>IF(
    OR(ISBLANK(L2302), ISBLANK(M2302)),
    "",
    MAX(
        1,
        IF(
            NETWORKDAYS(L2302, M2302, Holiday_Dates) &lt;= 0,
            1,
            NETWORKDAYS(L2302, M2302, Holiday_Dates) - IF(L2302 = M2302, 0, 1)
        )
    )
)</f>
        <v/>
      </c>
      <c r="R2302" s="385" t="str">
        <f>IFERROR(
    IF(
        OR(ISBLANK(N2302), AND(ISBLANK(L2302), ISBLANK(M2302))),
        "",
        MAX(
            1,
            IF(
                NETWORKDAYS(IF(NOT(ISBLANK(M2302)), M2302, L2302), N2302, Holiday_Dates) &lt;= 0,
                1,
                NETWORKDAYS(IF(NOT(ISBLANK(M2302)), M2302, L2302), N2302, Holiday_Dates)
                - IF(IF(NOT(ISBLANK(M2302)), M2302, L2302) = N2302, 0, 1)
            )
        )
    ),
    ""
)</f>
        <v/>
      </c>
      <c r="S2302" s="385" t="str">
        <f>IFERROR(
    IF(
        OR(ISBLANK(N2302), ISBLANK(O2302)),
        "",
        MAX(
            1,
            IF(
                NETWORKDAYS(N2302, O2302, Holiday_Dates) &lt;= 0,
                1,
                NETWORKDAYS(N2302, O2302, Holiday_Dates) - IF(N2302 = O2302, 0, 1)
            )
        )
    ),
    ""
)</f>
        <v/>
      </c>
      <c r="T2302" s="385"/>
      <c r="U2302" s="385" t="s">
        <v>672</v>
      </c>
      <c r="V2302" s="385" t="s">
        <v>101</v>
      </c>
      <c r="W2302" s="385" t="s">
        <v>1436</v>
      </c>
      <c r="X2302" s="1"/>
    </row>
    <row r="2303" spans="1:24">
      <c r="A2303" s="385" t="s">
        <v>51</v>
      </c>
      <c r="B2303" s="385" t="s">
        <v>450</v>
      </c>
      <c r="C2303" s="385" t="s">
        <v>554</v>
      </c>
      <c r="D2303" s="385" t="s">
        <v>88</v>
      </c>
      <c r="E2303" s="385"/>
      <c r="F2303" s="385"/>
      <c r="G2303" s="385"/>
      <c r="H2303" s="385">
        <v>2024</v>
      </c>
      <c r="I2303" s="386">
        <v>45574</v>
      </c>
      <c r="J2303" s="30"/>
      <c r="K2303" s="385"/>
      <c r="L2303" s="385"/>
      <c r="M2303" s="385"/>
      <c r="N2303" s="385"/>
      <c r="O2303" s="385"/>
      <c r="P2303" s="385" t="str">
        <f>IFERROR(
    IF(
        OR(ISBLANK(I2303), ISBLANK(L2303)),
        "",
        MAX(
            1,
            IF(
                NETWORKDAYS(I2303, L2303, Holiday_Dates) &lt;= 0,
                1,
                NETWORKDAYS(I2303, L2303, Holiday_Dates) - IF(I2303 = L2303, 0, 1)
            )
        )
    ),
    ""
)</f>
        <v/>
      </c>
      <c r="Q2303" s="385" t="str">
        <f>IF(
    OR(ISBLANK(L2303), ISBLANK(M2303)),
    "",
    MAX(
        1,
        IF(
            NETWORKDAYS(L2303, M2303, Holiday_Dates) &lt;= 0,
            1,
            NETWORKDAYS(L2303, M2303, Holiday_Dates) - IF(L2303 = M2303, 0, 1)
        )
    )
)</f>
        <v/>
      </c>
      <c r="R2303" s="385" t="str">
        <f>IFERROR(
    IF(
        OR(ISBLANK(N2303), AND(ISBLANK(L2303), ISBLANK(M2303))),
        "",
        MAX(
            1,
            IF(
                NETWORKDAYS(IF(NOT(ISBLANK(M2303)), M2303, L2303), N2303, Holiday_Dates) &lt;= 0,
                1,
                NETWORKDAYS(IF(NOT(ISBLANK(M2303)), M2303, L2303), N2303, Holiday_Dates)
                - IF(IF(NOT(ISBLANK(M2303)), M2303, L2303) = N2303, 0, 1)
            )
        )
    ),
    ""
)</f>
        <v/>
      </c>
      <c r="S2303" s="385" t="str">
        <f>IFERROR(
    IF(
        OR(ISBLANK(N2303), ISBLANK(O2303)),
        "",
        MAX(
            1,
            IF(
                NETWORKDAYS(N2303, O2303, Holiday_Dates) &lt;= 0,
                1,
                NETWORKDAYS(N2303, O2303, Holiday_Dates) - IF(N2303 = O2303, 0, 1)
            )
        )
    ),
    ""
)</f>
        <v/>
      </c>
      <c r="T2303" s="385"/>
      <c r="U2303" s="385" t="s">
        <v>4</v>
      </c>
      <c r="V2303" s="385" t="s">
        <v>101</v>
      </c>
      <c r="W2303" s="385" t="s">
        <v>1436</v>
      </c>
      <c r="X2303" s="1"/>
    </row>
    <row r="2304" spans="1:24">
      <c r="A2304" s="385" t="s">
        <v>65</v>
      </c>
      <c r="B2304" s="385" t="s">
        <v>3162</v>
      </c>
      <c r="C2304" s="385" t="s">
        <v>3166</v>
      </c>
      <c r="D2304" s="385" t="s">
        <v>88</v>
      </c>
      <c r="E2304" s="385" t="s">
        <v>29</v>
      </c>
      <c r="F2304" s="385"/>
      <c r="G2304" s="385" t="s">
        <v>130</v>
      </c>
      <c r="H2304" s="385"/>
      <c r="I2304" s="385"/>
      <c r="J2304" s="30"/>
      <c r="K2304" s="385"/>
      <c r="L2304" s="385"/>
      <c r="M2304" s="385"/>
      <c r="N2304" s="385"/>
      <c r="O2304" s="385"/>
      <c r="P2304" s="385" t="str">
        <f>IFERROR(
    IF(
        OR(ISBLANK(I2304), ISBLANK(L2304)),
        "",
        MAX(
            1,
            IF(
                NETWORKDAYS(I2304, L2304, Holiday_Dates) &lt;= 0,
                1,
                NETWORKDAYS(I2304, L2304, Holiday_Dates) - IF(I2304 = L2304, 0, 1)
            )
        )
    ),
    ""
)</f>
        <v/>
      </c>
      <c r="Q2304" s="385" t="str">
        <f>IF(
    OR(ISBLANK(L2304), ISBLANK(M2304)),
    "",
    MAX(
        1,
        IF(
            NETWORKDAYS(L2304, M2304, Holiday_Dates) &lt;= 0,
            1,
            NETWORKDAYS(L2304, M2304, Holiday_Dates) - IF(L2304 = M2304, 0, 1)
        )
    )
)</f>
        <v/>
      </c>
      <c r="R2304" s="385" t="str">
        <f>IFERROR(
    IF(
        OR(ISBLANK(N2304), AND(ISBLANK(L2304), ISBLANK(M2304))),
        "",
        MAX(
            1,
            IF(
                NETWORKDAYS(IF(NOT(ISBLANK(M2304)), M2304, L2304), N2304, Holiday_Dates) &lt;= 0,
                1,
                NETWORKDAYS(IF(NOT(ISBLANK(M2304)), M2304, L2304), N2304, Holiday_Dates)
                - IF(IF(NOT(ISBLANK(M2304)), M2304, L2304) = N2304, 0, 1)
            )
        )
    ),
    ""
)</f>
        <v/>
      </c>
      <c r="S2304" s="385" t="str">
        <f>IFERROR(
    IF(
        OR(ISBLANK(N2304), ISBLANK(O2304)),
        "",
        MAX(
            1,
            IF(
                NETWORKDAYS(N2304, O2304, Holiday_Dates) &lt;= 0,
                1,
                NETWORKDAYS(N2304, O2304, Holiday_Dates) - IF(N2304 = O2304, 0, 1)
            )
        )
    ),
    ""
)</f>
        <v/>
      </c>
      <c r="T2304" s="385"/>
      <c r="U2304" s="385"/>
      <c r="V2304" s="385"/>
      <c r="W2304" s="385" t="s">
        <v>4710</v>
      </c>
      <c r="X2304" s="1"/>
    </row>
    <row r="2305" spans="1:24">
      <c r="A2305" s="385" t="s">
        <v>51</v>
      </c>
      <c r="B2305" s="385" t="s">
        <v>450</v>
      </c>
      <c r="C2305" s="385" t="s">
        <v>1879</v>
      </c>
      <c r="D2305" s="385" t="s">
        <v>88</v>
      </c>
      <c r="E2305" s="385"/>
      <c r="F2305" s="385"/>
      <c r="G2305" s="385"/>
      <c r="H2305" s="385">
        <v>2025</v>
      </c>
      <c r="I2305" s="386">
        <v>45702</v>
      </c>
      <c r="J2305" s="30" t="s">
        <v>5545</v>
      </c>
      <c r="K2305" s="385"/>
      <c r="L2305" s="385"/>
      <c r="M2305" s="385"/>
      <c r="N2305" s="385"/>
      <c r="O2305" s="385"/>
      <c r="P2305" s="385" t="str">
        <f>IFERROR(
    IF(
        OR(ISBLANK(I2305), ISBLANK(L2305)),
        "",
        MAX(
            1,
            IF(
                NETWORKDAYS(I2305, L2305, Holiday_Dates) &lt;= 0,
                1,
                NETWORKDAYS(I2305, L2305, Holiday_Dates) - IF(I2305 = L2305, 0, 1)
            )
        )
    ),
    ""
)</f>
        <v/>
      </c>
      <c r="Q2305" s="385" t="str">
        <f>IF(
    OR(ISBLANK(L2305), ISBLANK(M2305)),
    "",
    MAX(
        1,
        IF(
            NETWORKDAYS(L2305, M2305, Holiday_Dates) &lt;= 0,
            1,
            NETWORKDAYS(L2305, M2305, Holiday_Dates) - IF(L2305 = M2305, 0, 1)
        )
    )
)</f>
        <v/>
      </c>
      <c r="R2305" s="385" t="str">
        <f>IFERROR(
    IF(
        OR(ISBLANK(N2305), AND(ISBLANK(L2305), ISBLANK(M2305))),
        "",
        MAX(
            1,
            IF(
                NETWORKDAYS(IF(NOT(ISBLANK(M2305)), M2305, L2305), N2305, Holiday_Dates) &lt;= 0,
                1,
                NETWORKDAYS(IF(NOT(ISBLANK(M2305)), M2305, L2305), N2305, Holiday_Dates)
                - IF(IF(NOT(ISBLANK(M2305)), M2305, L2305) = N2305, 0, 1)
            )
        )
    ),
    ""
)</f>
        <v/>
      </c>
      <c r="S2305" s="385" t="str">
        <f>IFERROR(
    IF(
        OR(ISBLANK(N2305), ISBLANK(O2305)),
        "",
        MAX(
            1,
            IF(
                NETWORKDAYS(N2305, O2305, Holiday_Dates) &lt;= 0,
                1,
                NETWORKDAYS(N2305, O2305, Holiday_Dates) - IF(N2305 = O2305, 0, 1)
            )
        )
    ),
    ""
)</f>
        <v/>
      </c>
      <c r="T2305" s="385"/>
      <c r="U2305" s="385" t="s">
        <v>672</v>
      </c>
      <c r="V2305" s="385" t="s">
        <v>101</v>
      </c>
      <c r="W2305" s="385" t="s">
        <v>1436</v>
      </c>
      <c r="X2305" s="1"/>
    </row>
    <row r="2306" spans="1:24">
      <c r="A2306" s="385" t="s">
        <v>65</v>
      </c>
      <c r="B2306" s="385" t="s">
        <v>3162</v>
      </c>
      <c r="C2306" s="385" t="s">
        <v>2755</v>
      </c>
      <c r="D2306" s="385" t="s">
        <v>88</v>
      </c>
      <c r="E2306" s="385" t="s">
        <v>29</v>
      </c>
      <c r="F2306" s="385"/>
      <c r="G2306" s="385" t="s">
        <v>130</v>
      </c>
      <c r="H2306" s="385"/>
      <c r="I2306" s="385"/>
      <c r="J2306" s="30"/>
      <c r="K2306" s="385"/>
      <c r="L2306" s="385"/>
      <c r="M2306" s="385"/>
      <c r="N2306" s="385"/>
      <c r="O2306" s="385"/>
      <c r="P2306" s="385" t="str">
        <f>IFERROR(
    IF(
        OR(ISBLANK(I2306), ISBLANK(L2306)),
        "",
        MAX(
            1,
            IF(
                NETWORKDAYS(I2306, L2306, Holiday_Dates) &lt;= 0,
                1,
                NETWORKDAYS(I2306, L2306, Holiday_Dates) - IF(I2306 = L2306, 0, 1)
            )
        )
    ),
    ""
)</f>
        <v/>
      </c>
      <c r="Q2306" s="385" t="str">
        <f>IF(
    OR(ISBLANK(L2306), ISBLANK(M2306)),
    "",
    MAX(
        1,
        IF(
            NETWORKDAYS(L2306, M2306, Holiday_Dates) &lt;= 0,
            1,
            NETWORKDAYS(L2306, M2306, Holiday_Dates) - IF(L2306 = M2306, 0, 1)
        )
    )
)</f>
        <v/>
      </c>
      <c r="R2306" s="385" t="str">
        <f>IFERROR(
    IF(
        OR(ISBLANK(N2306), AND(ISBLANK(L2306), ISBLANK(M2306))),
        "",
        MAX(
            1,
            IF(
                NETWORKDAYS(IF(NOT(ISBLANK(M2306)), M2306, L2306), N2306, Holiday_Dates) &lt;= 0,
                1,
                NETWORKDAYS(IF(NOT(ISBLANK(M2306)), M2306, L2306), N2306, Holiday_Dates)
                - IF(IF(NOT(ISBLANK(M2306)), M2306, L2306) = N2306, 0, 1)
            )
        )
    ),
    ""
)</f>
        <v/>
      </c>
      <c r="S2306" s="385" t="str">
        <f>IFERROR(
    IF(
        OR(ISBLANK(N2306), ISBLANK(O2306)),
        "",
        MAX(
            1,
            IF(
                NETWORKDAYS(N2306, O2306, Holiday_Dates) &lt;= 0,
                1,
                NETWORKDAYS(N2306, O2306, Holiday_Dates) - IF(N2306 = O2306, 0, 1)
            )
        )
    ),
    ""
)</f>
        <v/>
      </c>
      <c r="T2306" s="385"/>
      <c r="U2306" s="385"/>
      <c r="V2306" s="385"/>
      <c r="W2306" s="385" t="s">
        <v>4710</v>
      </c>
      <c r="X2306" s="1"/>
    </row>
    <row r="2307" spans="1:24">
      <c r="A2307" s="385" t="s">
        <v>51</v>
      </c>
      <c r="B2307" s="385" t="s">
        <v>1658</v>
      </c>
      <c r="C2307" s="385" t="s">
        <v>926</v>
      </c>
      <c r="D2307" s="385" t="s">
        <v>88</v>
      </c>
      <c r="E2307" s="385"/>
      <c r="F2307" s="385"/>
      <c r="G2307" s="385"/>
      <c r="H2307" s="385">
        <v>2025</v>
      </c>
      <c r="I2307" s="386">
        <v>45757</v>
      </c>
      <c r="J2307" s="30" t="s">
        <v>5546</v>
      </c>
      <c r="K2307" s="385"/>
      <c r="L2307" s="385"/>
      <c r="M2307" s="385"/>
      <c r="N2307" s="385"/>
      <c r="O2307" s="385"/>
      <c r="P2307" s="385" t="str">
        <f>IFERROR(
    IF(
        OR(ISBLANK(I2307), ISBLANK(L2307)),
        "",
        MAX(
            1,
            IF(
                NETWORKDAYS(I2307, L2307, Holiday_Dates) &lt;= 0,
                1,
                NETWORKDAYS(I2307, L2307, Holiday_Dates) - IF(I2307 = L2307, 0, 1)
            )
        )
    ),
    ""
)</f>
        <v/>
      </c>
      <c r="Q2307" s="385" t="str">
        <f>IF(
    OR(ISBLANK(L2307), ISBLANK(M2307)),
    "",
    MAX(
        1,
        IF(
            NETWORKDAYS(L2307, M2307, Holiday_Dates) &lt;= 0,
            1,
            NETWORKDAYS(L2307, M2307, Holiday_Dates) - IF(L2307 = M2307, 0, 1)
        )
    )
)</f>
        <v/>
      </c>
      <c r="R2307" s="385" t="str">
        <f>IFERROR(
    IF(
        OR(ISBLANK(N2307), AND(ISBLANK(L2307), ISBLANK(M2307))),
        "",
        MAX(
            1,
            IF(
                NETWORKDAYS(IF(NOT(ISBLANK(M2307)), M2307, L2307), N2307, Holiday_Dates) &lt;= 0,
                1,
                NETWORKDAYS(IF(NOT(ISBLANK(M2307)), M2307, L2307), N2307, Holiday_Dates)
                - IF(IF(NOT(ISBLANK(M2307)), M2307, L2307) = N2307, 0, 1)
            )
        )
    ),
    ""
)</f>
        <v/>
      </c>
      <c r="S2307" s="385" t="str">
        <f>IFERROR(
    IF(
        OR(ISBLANK(N2307), ISBLANK(O2307)),
        "",
        MAX(
            1,
            IF(
                NETWORKDAYS(N2307, O2307, Holiday_Dates) &lt;= 0,
                1,
                NETWORKDAYS(N2307, O2307, Holiday_Dates) - IF(N2307 = O2307, 0, 1)
            )
        )
    ),
    ""
)</f>
        <v/>
      </c>
      <c r="T2307" s="385"/>
      <c r="U2307" s="385" t="s">
        <v>4</v>
      </c>
      <c r="V2307" s="385" t="s">
        <v>685</v>
      </c>
      <c r="W2307" s="385" t="s">
        <v>1436</v>
      </c>
      <c r="X2307" s="1"/>
    </row>
    <row r="2308" spans="1:24">
      <c r="A2308" s="385" t="s">
        <v>51</v>
      </c>
      <c r="B2308" s="385" t="s">
        <v>1658</v>
      </c>
      <c r="C2308" s="385" t="s">
        <v>3850</v>
      </c>
      <c r="D2308" s="385" t="s">
        <v>88</v>
      </c>
      <c r="E2308" s="385"/>
      <c r="F2308" s="385"/>
      <c r="G2308" s="385"/>
      <c r="H2308" s="385">
        <v>2025</v>
      </c>
      <c r="I2308" s="386">
        <v>45750</v>
      </c>
      <c r="J2308" s="30" t="s">
        <v>5547</v>
      </c>
      <c r="K2308" s="385"/>
      <c r="L2308" s="385"/>
      <c r="M2308" s="385"/>
      <c r="N2308" s="385"/>
      <c r="O2308" s="385"/>
      <c r="P2308" s="385" t="str">
        <f>IFERROR(
    IF(
        OR(ISBLANK(I2308), ISBLANK(L2308)),
        "",
        MAX(
            1,
            IF(
                NETWORKDAYS(I2308, L2308, Holiday_Dates) &lt;= 0,
                1,
                NETWORKDAYS(I2308, L2308, Holiday_Dates) - IF(I2308 = L2308, 0, 1)
            )
        )
    ),
    ""
)</f>
        <v/>
      </c>
      <c r="Q2308" s="385" t="str">
        <f>IF(
    OR(ISBLANK(L2308), ISBLANK(M2308)),
    "",
    MAX(
        1,
        IF(
            NETWORKDAYS(L2308, M2308, Holiday_Dates) &lt;= 0,
            1,
            NETWORKDAYS(L2308, M2308, Holiday_Dates) - IF(L2308 = M2308, 0, 1)
        )
    )
)</f>
        <v/>
      </c>
      <c r="R2308" s="385" t="str">
        <f>IFERROR(
    IF(
        OR(ISBLANK(N2308), AND(ISBLANK(L2308), ISBLANK(M2308))),
        "",
        MAX(
            1,
            IF(
                NETWORKDAYS(IF(NOT(ISBLANK(M2308)), M2308, L2308), N2308, Holiday_Dates) &lt;= 0,
                1,
                NETWORKDAYS(IF(NOT(ISBLANK(M2308)), M2308, L2308), N2308, Holiday_Dates)
                - IF(IF(NOT(ISBLANK(M2308)), M2308, L2308) = N2308, 0, 1)
            )
        )
    ),
    ""
)</f>
        <v/>
      </c>
      <c r="S2308" s="385" t="str">
        <f>IFERROR(
    IF(
        OR(ISBLANK(N2308), ISBLANK(O2308)),
        "",
        MAX(
            1,
            IF(
                NETWORKDAYS(N2308, O2308, Holiday_Dates) &lt;= 0,
                1,
                NETWORKDAYS(N2308, O2308, Holiday_Dates) - IF(N2308 = O2308, 0, 1)
            )
        )
    ),
    ""
)</f>
        <v/>
      </c>
      <c r="T2308" s="385"/>
      <c r="U2308" s="385" t="s">
        <v>4</v>
      </c>
      <c r="V2308" s="385" t="s">
        <v>685</v>
      </c>
      <c r="W2308" s="385" t="s">
        <v>1436</v>
      </c>
      <c r="X2308" s="1"/>
    </row>
    <row r="2309" spans="1:24">
      <c r="A2309" s="385" t="s">
        <v>65</v>
      </c>
      <c r="B2309" s="385" t="s">
        <v>3162</v>
      </c>
      <c r="C2309" s="385" t="s">
        <v>3172</v>
      </c>
      <c r="D2309" s="385" t="s">
        <v>88</v>
      </c>
      <c r="E2309" s="385" t="s">
        <v>29</v>
      </c>
      <c r="F2309" s="385"/>
      <c r="G2309" s="385" t="s">
        <v>130</v>
      </c>
      <c r="H2309" s="385"/>
      <c r="I2309" s="385"/>
      <c r="J2309" s="30"/>
      <c r="K2309" s="385"/>
      <c r="L2309" s="385"/>
      <c r="M2309" s="385"/>
      <c r="N2309" s="385"/>
      <c r="O2309" s="385"/>
      <c r="P2309" s="385" t="str">
        <f>IFERROR(
    IF(
        OR(ISBLANK(I2309), ISBLANK(L2309)),
        "",
        MAX(
            1,
            IF(
                NETWORKDAYS(I2309, L2309, Holiday_Dates) &lt;= 0,
                1,
                NETWORKDAYS(I2309, L2309, Holiday_Dates) - IF(I2309 = L2309, 0, 1)
            )
        )
    ),
    ""
)</f>
        <v/>
      </c>
      <c r="Q2309" s="385" t="str">
        <f>IF(
    OR(ISBLANK(L2309), ISBLANK(M2309)),
    "",
    MAX(
        1,
        IF(
            NETWORKDAYS(L2309, M2309, Holiday_Dates) &lt;= 0,
            1,
            NETWORKDAYS(L2309, M2309, Holiday_Dates) - IF(L2309 = M2309, 0, 1)
        )
    )
)</f>
        <v/>
      </c>
      <c r="R2309" s="385" t="str">
        <f>IFERROR(
    IF(
        OR(ISBLANK(N2309), AND(ISBLANK(L2309), ISBLANK(M2309))),
        "",
        MAX(
            1,
            IF(
                NETWORKDAYS(IF(NOT(ISBLANK(M2309)), M2309, L2309), N2309, Holiday_Dates) &lt;= 0,
                1,
                NETWORKDAYS(IF(NOT(ISBLANK(M2309)), M2309, L2309), N2309, Holiday_Dates)
                - IF(IF(NOT(ISBLANK(M2309)), M2309, L2309) = N2309, 0, 1)
            )
        )
    ),
    ""
)</f>
        <v/>
      </c>
      <c r="S2309" s="385" t="str">
        <f>IFERROR(
    IF(
        OR(ISBLANK(N2309), ISBLANK(O2309)),
        "",
        MAX(
            1,
            IF(
                NETWORKDAYS(N2309, O2309, Holiday_Dates) &lt;= 0,
                1,
                NETWORKDAYS(N2309, O2309, Holiday_Dates) - IF(N2309 = O2309, 0, 1)
            )
        )
    ),
    ""
)</f>
        <v/>
      </c>
      <c r="T2309" s="385"/>
      <c r="U2309" s="385"/>
      <c r="V2309" s="385"/>
      <c r="W2309" s="385" t="s">
        <v>4710</v>
      </c>
      <c r="X2309" s="1"/>
    </row>
    <row r="2310" spans="1:24">
      <c r="A2310" s="385" t="s">
        <v>65</v>
      </c>
      <c r="B2310" s="385" t="s">
        <v>3162</v>
      </c>
      <c r="C2310" s="385" t="s">
        <v>3177</v>
      </c>
      <c r="D2310" s="385" t="s">
        <v>88</v>
      </c>
      <c r="E2310" s="385" t="s">
        <v>29</v>
      </c>
      <c r="F2310" s="385"/>
      <c r="G2310" s="385" t="s">
        <v>130</v>
      </c>
      <c r="H2310" s="385"/>
      <c r="I2310" s="385"/>
      <c r="J2310" s="30"/>
      <c r="K2310" s="385"/>
      <c r="L2310" s="385"/>
      <c r="M2310" s="385"/>
      <c r="N2310" s="385"/>
      <c r="O2310" s="385"/>
      <c r="P2310" s="385" t="str">
        <f>IFERROR(
    IF(
        OR(ISBLANK(I2310), ISBLANK(L2310)),
        "",
        MAX(
            1,
            IF(
                NETWORKDAYS(I2310, L2310, Holiday_Dates) &lt;= 0,
                1,
                NETWORKDAYS(I2310, L2310, Holiday_Dates) - IF(I2310 = L2310, 0, 1)
            )
        )
    ),
    ""
)</f>
        <v/>
      </c>
      <c r="Q2310" s="385" t="str">
        <f>IF(
    OR(ISBLANK(L2310), ISBLANK(M2310)),
    "",
    MAX(
        1,
        IF(
            NETWORKDAYS(L2310, M2310, Holiday_Dates) &lt;= 0,
            1,
            NETWORKDAYS(L2310, M2310, Holiday_Dates) - IF(L2310 = M2310, 0, 1)
        )
    )
)</f>
        <v/>
      </c>
      <c r="R2310" s="385" t="str">
        <f>IFERROR(
    IF(
        OR(ISBLANK(N2310), AND(ISBLANK(L2310), ISBLANK(M2310))),
        "",
        MAX(
            1,
            IF(
                NETWORKDAYS(IF(NOT(ISBLANK(M2310)), M2310, L2310), N2310, Holiday_Dates) &lt;= 0,
                1,
                NETWORKDAYS(IF(NOT(ISBLANK(M2310)), M2310, L2310), N2310, Holiday_Dates)
                - IF(IF(NOT(ISBLANK(M2310)), M2310, L2310) = N2310, 0, 1)
            )
        )
    ),
    ""
)</f>
        <v/>
      </c>
      <c r="S2310" s="385" t="str">
        <f>IFERROR(
    IF(
        OR(ISBLANK(N2310), ISBLANK(O2310)),
        "",
        MAX(
            1,
            IF(
                NETWORKDAYS(N2310, O2310, Holiday_Dates) &lt;= 0,
                1,
                NETWORKDAYS(N2310, O2310, Holiday_Dates) - IF(N2310 = O2310, 0, 1)
            )
        )
    ),
    ""
)</f>
        <v/>
      </c>
      <c r="T2310" s="385"/>
      <c r="U2310" s="385"/>
      <c r="V2310" s="385"/>
      <c r="W2310" s="385" t="s">
        <v>4710</v>
      </c>
      <c r="X2310" s="1"/>
    </row>
    <row r="2311" spans="1:24">
      <c r="A2311" s="385" t="s">
        <v>65</v>
      </c>
      <c r="B2311" s="385" t="s">
        <v>3162</v>
      </c>
      <c r="C2311" s="385" t="s">
        <v>3178</v>
      </c>
      <c r="D2311" s="385" t="s">
        <v>88</v>
      </c>
      <c r="E2311" s="385" t="s">
        <v>29</v>
      </c>
      <c r="F2311" s="385"/>
      <c r="G2311" s="385" t="s">
        <v>130</v>
      </c>
      <c r="H2311" s="385"/>
      <c r="I2311" s="385"/>
      <c r="J2311" s="30"/>
      <c r="K2311" s="385"/>
      <c r="L2311" s="385"/>
      <c r="M2311" s="385"/>
      <c r="N2311" s="385"/>
      <c r="O2311" s="385"/>
      <c r="P2311" s="385" t="str">
        <f>IFERROR(
    IF(
        OR(ISBLANK(I2311), ISBLANK(L2311)),
        "",
        MAX(
            1,
            IF(
                NETWORKDAYS(I2311, L2311, Holiday_Dates) &lt;= 0,
                1,
                NETWORKDAYS(I2311, L2311, Holiday_Dates) - IF(I2311 = L2311, 0, 1)
            )
        )
    ),
    ""
)</f>
        <v/>
      </c>
      <c r="Q2311" s="385" t="str">
        <f>IF(
    OR(ISBLANK(L2311), ISBLANK(M2311)),
    "",
    MAX(
        1,
        IF(
            NETWORKDAYS(L2311, M2311, Holiday_Dates) &lt;= 0,
            1,
            NETWORKDAYS(L2311, M2311, Holiday_Dates) - IF(L2311 = M2311, 0, 1)
        )
    )
)</f>
        <v/>
      </c>
      <c r="R2311" s="385" t="str">
        <f>IFERROR(
    IF(
        OR(ISBLANK(N2311), AND(ISBLANK(L2311), ISBLANK(M2311))),
        "",
        MAX(
            1,
            IF(
                NETWORKDAYS(IF(NOT(ISBLANK(M2311)), M2311, L2311), N2311, Holiday_Dates) &lt;= 0,
                1,
                NETWORKDAYS(IF(NOT(ISBLANK(M2311)), M2311, L2311), N2311, Holiday_Dates)
                - IF(IF(NOT(ISBLANK(M2311)), M2311, L2311) = N2311, 0, 1)
            )
        )
    ),
    ""
)</f>
        <v/>
      </c>
      <c r="S2311" s="385" t="str">
        <f>IFERROR(
    IF(
        OR(ISBLANK(N2311), ISBLANK(O2311)),
        "",
        MAX(
            1,
            IF(
                NETWORKDAYS(N2311, O2311, Holiday_Dates) &lt;= 0,
                1,
                NETWORKDAYS(N2311, O2311, Holiday_Dates) - IF(N2311 = O2311, 0, 1)
            )
        )
    ),
    ""
)</f>
        <v/>
      </c>
      <c r="T2311" s="385"/>
      <c r="U2311" s="385"/>
      <c r="V2311" s="385"/>
      <c r="W2311" s="385" t="s">
        <v>4710</v>
      </c>
      <c r="X2311" s="1"/>
    </row>
    <row r="2312" spans="1:24">
      <c r="A2312" s="385" t="s">
        <v>51</v>
      </c>
      <c r="B2312" s="385" t="s">
        <v>1658</v>
      </c>
      <c r="C2312" s="385" t="s">
        <v>2184</v>
      </c>
      <c r="D2312" s="385" t="s">
        <v>88</v>
      </c>
      <c r="E2312" s="385"/>
      <c r="F2312" s="385"/>
      <c r="G2312" s="385"/>
      <c r="H2312" s="385">
        <v>2025</v>
      </c>
      <c r="I2312" s="386">
        <v>45791</v>
      </c>
      <c r="J2312" s="30" t="s">
        <v>5548</v>
      </c>
      <c r="K2312" s="385"/>
      <c r="L2312" s="385"/>
      <c r="M2312" s="385"/>
      <c r="N2312" s="385"/>
      <c r="O2312" s="385"/>
      <c r="P2312" s="385" t="str">
        <f>IFERROR(
    IF(
        OR(ISBLANK(I2312), ISBLANK(L2312)),
        "",
        MAX(
            1,
            IF(
                NETWORKDAYS(I2312, L2312, Holiday_Dates) &lt;= 0,
                1,
                NETWORKDAYS(I2312, L2312, Holiday_Dates) - IF(I2312 = L2312, 0, 1)
            )
        )
    ),
    ""
)</f>
        <v/>
      </c>
      <c r="Q2312" s="385" t="str">
        <f>IF(
    OR(ISBLANK(L2312), ISBLANK(M2312)),
    "",
    MAX(
        1,
        IF(
            NETWORKDAYS(L2312, M2312, Holiday_Dates) &lt;= 0,
            1,
            NETWORKDAYS(L2312, M2312, Holiday_Dates) - IF(L2312 = M2312, 0, 1)
        )
    )
)</f>
        <v/>
      </c>
      <c r="R2312" s="385" t="str">
        <f>IFERROR(
    IF(
        OR(ISBLANK(N2312), AND(ISBLANK(L2312), ISBLANK(M2312))),
        "",
        MAX(
            1,
            IF(
                NETWORKDAYS(IF(NOT(ISBLANK(M2312)), M2312, L2312), N2312, Holiday_Dates) &lt;= 0,
                1,
                NETWORKDAYS(IF(NOT(ISBLANK(M2312)), M2312, L2312), N2312, Holiday_Dates)
                - IF(IF(NOT(ISBLANK(M2312)), M2312, L2312) = N2312, 0, 1)
            )
        )
    ),
    ""
)</f>
        <v/>
      </c>
      <c r="S2312" s="385" t="str">
        <f>IFERROR(
    IF(
        OR(ISBLANK(N2312), ISBLANK(O2312)),
        "",
        MAX(
            1,
            IF(
                NETWORKDAYS(N2312, O2312, Holiday_Dates) &lt;= 0,
                1,
                NETWORKDAYS(N2312, O2312, Holiday_Dates) - IF(N2312 = O2312, 0, 1)
            )
        )
    ),
    ""
)</f>
        <v/>
      </c>
      <c r="T2312" s="385"/>
      <c r="U2312" s="385" t="s">
        <v>4</v>
      </c>
      <c r="V2312" s="385" t="s">
        <v>108</v>
      </c>
      <c r="W2312" s="385" t="s">
        <v>1436</v>
      </c>
      <c r="X2312" s="1"/>
    </row>
    <row r="2313" spans="1:24">
      <c r="A2313" s="385" t="s">
        <v>65</v>
      </c>
      <c r="B2313" s="385" t="s">
        <v>3162</v>
      </c>
      <c r="C2313" s="385" t="s">
        <v>3179</v>
      </c>
      <c r="D2313" s="385" t="s">
        <v>88</v>
      </c>
      <c r="E2313" s="385" t="s">
        <v>29</v>
      </c>
      <c r="F2313" s="385"/>
      <c r="G2313" s="385" t="s">
        <v>130</v>
      </c>
      <c r="H2313" s="385"/>
      <c r="I2313" s="385"/>
      <c r="J2313" s="30"/>
      <c r="K2313" s="385"/>
      <c r="L2313" s="385"/>
      <c r="M2313" s="385"/>
      <c r="N2313" s="385"/>
      <c r="O2313" s="385"/>
      <c r="P2313" s="385" t="str">
        <f>IFERROR(
    IF(
        OR(ISBLANK(I2313), ISBLANK(L2313)),
        "",
        MAX(
            1,
            IF(
                NETWORKDAYS(I2313, L2313, Holiday_Dates) &lt;= 0,
                1,
                NETWORKDAYS(I2313, L2313, Holiday_Dates) - IF(I2313 = L2313, 0, 1)
            )
        )
    ),
    ""
)</f>
        <v/>
      </c>
      <c r="Q2313" s="385" t="str">
        <f>IF(
    OR(ISBLANK(L2313), ISBLANK(M2313)),
    "",
    MAX(
        1,
        IF(
            NETWORKDAYS(L2313, M2313, Holiday_Dates) &lt;= 0,
            1,
            NETWORKDAYS(L2313, M2313, Holiday_Dates) - IF(L2313 = M2313, 0, 1)
        )
    )
)</f>
        <v/>
      </c>
      <c r="R2313" s="385" t="str">
        <f>IFERROR(
    IF(
        OR(ISBLANK(N2313), AND(ISBLANK(L2313), ISBLANK(M2313))),
        "",
        MAX(
            1,
            IF(
                NETWORKDAYS(IF(NOT(ISBLANK(M2313)), M2313, L2313), N2313, Holiday_Dates) &lt;= 0,
                1,
                NETWORKDAYS(IF(NOT(ISBLANK(M2313)), M2313, L2313), N2313, Holiday_Dates)
                - IF(IF(NOT(ISBLANK(M2313)), M2313, L2313) = N2313, 0, 1)
            )
        )
    ),
    ""
)</f>
        <v/>
      </c>
      <c r="S2313" s="385" t="str">
        <f>IFERROR(
    IF(
        OR(ISBLANK(N2313), ISBLANK(O2313)),
        "",
        MAX(
            1,
            IF(
                NETWORKDAYS(N2313, O2313, Holiday_Dates) &lt;= 0,
                1,
                NETWORKDAYS(N2313, O2313, Holiday_Dates) - IF(N2313 = O2313, 0, 1)
            )
        )
    ),
    ""
)</f>
        <v/>
      </c>
      <c r="T2313" s="385"/>
      <c r="U2313" s="385"/>
      <c r="V2313" s="385"/>
      <c r="W2313" s="385" t="s">
        <v>4710</v>
      </c>
      <c r="X2313" s="1"/>
    </row>
    <row r="2314" spans="1:24">
      <c r="A2314" s="385" t="s">
        <v>65</v>
      </c>
      <c r="B2314" s="385" t="s">
        <v>3162</v>
      </c>
      <c r="C2314" s="385" t="s">
        <v>3053</v>
      </c>
      <c r="D2314" s="385" t="s">
        <v>88</v>
      </c>
      <c r="E2314" s="385" t="s">
        <v>29</v>
      </c>
      <c r="F2314" s="385"/>
      <c r="G2314" s="385" t="s">
        <v>130</v>
      </c>
      <c r="H2314" s="385"/>
      <c r="I2314" s="385"/>
      <c r="J2314" s="30"/>
      <c r="K2314" s="385"/>
      <c r="L2314" s="385"/>
      <c r="M2314" s="385"/>
      <c r="N2314" s="385"/>
      <c r="O2314" s="385"/>
      <c r="P2314" s="385" t="str">
        <f>IFERROR(
    IF(
        OR(ISBLANK(I2314), ISBLANK(L2314)),
        "",
        MAX(
            1,
            IF(
                NETWORKDAYS(I2314, L2314, Holiday_Dates) &lt;= 0,
                1,
                NETWORKDAYS(I2314, L2314, Holiday_Dates) - IF(I2314 = L2314, 0, 1)
            )
        )
    ),
    ""
)</f>
        <v/>
      </c>
      <c r="Q2314" s="385" t="str">
        <f>IF(
    OR(ISBLANK(L2314), ISBLANK(M2314)),
    "",
    MAX(
        1,
        IF(
            NETWORKDAYS(L2314, M2314, Holiday_Dates) &lt;= 0,
            1,
            NETWORKDAYS(L2314, M2314, Holiday_Dates) - IF(L2314 = M2314, 0, 1)
        )
    )
)</f>
        <v/>
      </c>
      <c r="R2314" s="385" t="str">
        <f>IFERROR(
    IF(
        OR(ISBLANK(N2314), AND(ISBLANK(L2314), ISBLANK(M2314))),
        "",
        MAX(
            1,
            IF(
                NETWORKDAYS(IF(NOT(ISBLANK(M2314)), M2314, L2314), N2314, Holiday_Dates) &lt;= 0,
                1,
                NETWORKDAYS(IF(NOT(ISBLANK(M2314)), M2314, L2314), N2314, Holiday_Dates)
                - IF(IF(NOT(ISBLANK(M2314)), M2314, L2314) = N2314, 0, 1)
            )
        )
    ),
    ""
)</f>
        <v/>
      </c>
      <c r="S2314" s="385" t="str">
        <f>IFERROR(
    IF(
        OR(ISBLANK(N2314), ISBLANK(O2314)),
        "",
        MAX(
            1,
            IF(
                NETWORKDAYS(N2314, O2314, Holiday_Dates) &lt;= 0,
                1,
                NETWORKDAYS(N2314, O2314, Holiday_Dates) - IF(N2314 = O2314, 0, 1)
            )
        )
    ),
    ""
)</f>
        <v/>
      </c>
      <c r="T2314" s="385"/>
      <c r="U2314" s="385"/>
      <c r="V2314" s="385"/>
      <c r="W2314" s="385" t="s">
        <v>4710</v>
      </c>
      <c r="X2314" s="1"/>
    </row>
    <row r="2315" spans="1:24">
      <c r="A2315" s="385" t="s">
        <v>65</v>
      </c>
      <c r="B2315" s="385" t="s">
        <v>3162</v>
      </c>
      <c r="C2315" s="385" t="s">
        <v>3180</v>
      </c>
      <c r="D2315" s="385" t="s">
        <v>88</v>
      </c>
      <c r="E2315" s="385" t="s">
        <v>29</v>
      </c>
      <c r="F2315" s="385"/>
      <c r="G2315" s="385" t="s">
        <v>130</v>
      </c>
      <c r="H2315" s="385"/>
      <c r="I2315" s="385"/>
      <c r="J2315" s="30"/>
      <c r="K2315" s="385"/>
      <c r="L2315" s="385"/>
      <c r="M2315" s="385"/>
      <c r="N2315" s="385"/>
      <c r="O2315" s="385"/>
      <c r="P2315" s="385" t="str">
        <f>IFERROR(
    IF(
        OR(ISBLANK(I2315), ISBLANK(L2315)),
        "",
        MAX(
            1,
            IF(
                NETWORKDAYS(I2315, L2315, Holiday_Dates) &lt;= 0,
                1,
                NETWORKDAYS(I2315, L2315, Holiday_Dates) - IF(I2315 = L2315, 0, 1)
            )
        )
    ),
    ""
)</f>
        <v/>
      </c>
      <c r="Q2315" s="385" t="str">
        <f>IF(
    OR(ISBLANK(L2315), ISBLANK(M2315)),
    "",
    MAX(
        1,
        IF(
            NETWORKDAYS(L2315, M2315, Holiday_Dates) &lt;= 0,
            1,
            NETWORKDAYS(L2315, M2315, Holiday_Dates) - IF(L2315 = M2315, 0, 1)
        )
    )
)</f>
        <v/>
      </c>
      <c r="R2315" s="385" t="str">
        <f>IFERROR(
    IF(
        OR(ISBLANK(N2315), AND(ISBLANK(L2315), ISBLANK(M2315))),
        "",
        MAX(
            1,
            IF(
                NETWORKDAYS(IF(NOT(ISBLANK(M2315)), M2315, L2315), N2315, Holiday_Dates) &lt;= 0,
                1,
                NETWORKDAYS(IF(NOT(ISBLANK(M2315)), M2315, L2315), N2315, Holiday_Dates)
                - IF(IF(NOT(ISBLANK(M2315)), M2315, L2315) = N2315, 0, 1)
            )
        )
    ),
    ""
)</f>
        <v/>
      </c>
      <c r="S2315" s="385" t="str">
        <f>IFERROR(
    IF(
        OR(ISBLANK(N2315), ISBLANK(O2315)),
        "",
        MAX(
            1,
            IF(
                NETWORKDAYS(N2315, O2315, Holiday_Dates) &lt;= 0,
                1,
                NETWORKDAYS(N2315, O2315, Holiday_Dates) - IF(N2315 = O2315, 0, 1)
            )
        )
    ),
    ""
)</f>
        <v/>
      </c>
      <c r="T2315" s="385"/>
      <c r="U2315" s="385"/>
      <c r="V2315" s="385"/>
      <c r="W2315" s="385" t="s">
        <v>4710</v>
      </c>
      <c r="X2315" s="1"/>
    </row>
    <row r="2316" spans="1:24">
      <c r="A2316" s="385" t="s">
        <v>65</v>
      </c>
      <c r="B2316" s="385" t="s">
        <v>3162</v>
      </c>
      <c r="C2316" s="385" t="s">
        <v>3181</v>
      </c>
      <c r="D2316" s="385" t="s">
        <v>88</v>
      </c>
      <c r="E2316" s="385" t="s">
        <v>29</v>
      </c>
      <c r="F2316" s="385"/>
      <c r="G2316" s="385" t="s">
        <v>130</v>
      </c>
      <c r="H2316" s="385"/>
      <c r="I2316" s="385"/>
      <c r="J2316" s="30"/>
      <c r="K2316" s="385"/>
      <c r="L2316" s="385"/>
      <c r="M2316" s="385"/>
      <c r="N2316" s="385"/>
      <c r="O2316" s="385"/>
      <c r="P2316" s="385" t="str">
        <f>IFERROR(
    IF(
        OR(ISBLANK(I2316), ISBLANK(L2316)),
        "",
        MAX(
            1,
            IF(
                NETWORKDAYS(I2316, L2316, Holiday_Dates) &lt;= 0,
                1,
                NETWORKDAYS(I2316, L2316, Holiday_Dates) - IF(I2316 = L2316, 0, 1)
            )
        )
    ),
    ""
)</f>
        <v/>
      </c>
      <c r="Q2316" s="385" t="str">
        <f>IF(
    OR(ISBLANK(L2316), ISBLANK(M2316)),
    "",
    MAX(
        1,
        IF(
            NETWORKDAYS(L2316, M2316, Holiday_Dates) &lt;= 0,
            1,
            NETWORKDAYS(L2316, M2316, Holiday_Dates) - IF(L2316 = M2316, 0, 1)
        )
    )
)</f>
        <v/>
      </c>
      <c r="R2316" s="385" t="str">
        <f>IFERROR(
    IF(
        OR(ISBLANK(N2316), AND(ISBLANK(L2316), ISBLANK(M2316))),
        "",
        MAX(
            1,
            IF(
                NETWORKDAYS(IF(NOT(ISBLANK(M2316)), M2316, L2316), N2316, Holiday_Dates) &lt;= 0,
                1,
                NETWORKDAYS(IF(NOT(ISBLANK(M2316)), M2316, L2316), N2316, Holiday_Dates)
                - IF(IF(NOT(ISBLANK(M2316)), M2316, L2316) = N2316, 0, 1)
            )
        )
    ),
    ""
)</f>
        <v/>
      </c>
      <c r="S2316" s="385" t="str">
        <f>IFERROR(
    IF(
        OR(ISBLANK(N2316), ISBLANK(O2316)),
        "",
        MAX(
            1,
            IF(
                NETWORKDAYS(N2316, O2316, Holiday_Dates) &lt;= 0,
                1,
                NETWORKDAYS(N2316, O2316, Holiday_Dates) - IF(N2316 = O2316, 0, 1)
            )
        )
    ),
    ""
)</f>
        <v/>
      </c>
      <c r="T2316" s="385"/>
      <c r="U2316" s="385"/>
      <c r="V2316" s="385"/>
      <c r="W2316" s="385" t="s">
        <v>4710</v>
      </c>
      <c r="X2316" s="1"/>
    </row>
    <row r="2317" spans="1:24">
      <c r="A2317" s="385" t="s">
        <v>65</v>
      </c>
      <c r="B2317" s="385" t="s">
        <v>3162</v>
      </c>
      <c r="C2317" s="385" t="s">
        <v>3184</v>
      </c>
      <c r="D2317" s="385" t="s">
        <v>88</v>
      </c>
      <c r="E2317" s="385" t="s">
        <v>29</v>
      </c>
      <c r="F2317" s="385"/>
      <c r="G2317" s="385" t="s">
        <v>130</v>
      </c>
      <c r="H2317" s="385"/>
      <c r="I2317" s="385"/>
      <c r="J2317" s="30"/>
      <c r="K2317" s="385"/>
      <c r="L2317" s="385"/>
      <c r="M2317" s="385"/>
      <c r="N2317" s="385"/>
      <c r="O2317" s="385"/>
      <c r="P2317" s="385" t="str">
        <f>IFERROR(
    IF(
        OR(ISBLANK(I2317), ISBLANK(L2317)),
        "",
        MAX(
            1,
            IF(
                NETWORKDAYS(I2317, L2317, Holiday_Dates) &lt;= 0,
                1,
                NETWORKDAYS(I2317, L2317, Holiday_Dates) - IF(I2317 = L2317, 0, 1)
            )
        )
    ),
    ""
)</f>
        <v/>
      </c>
      <c r="Q2317" s="385" t="str">
        <f>IF(
    OR(ISBLANK(L2317), ISBLANK(M2317)),
    "",
    MAX(
        1,
        IF(
            NETWORKDAYS(L2317, M2317, Holiday_Dates) &lt;= 0,
            1,
            NETWORKDAYS(L2317, M2317, Holiday_Dates) - IF(L2317 = M2317, 0, 1)
        )
    )
)</f>
        <v/>
      </c>
      <c r="R2317" s="385" t="str">
        <f>IFERROR(
    IF(
        OR(ISBLANK(N2317), AND(ISBLANK(L2317), ISBLANK(M2317))),
        "",
        MAX(
            1,
            IF(
                NETWORKDAYS(IF(NOT(ISBLANK(M2317)), M2317, L2317), N2317, Holiday_Dates) &lt;= 0,
                1,
                NETWORKDAYS(IF(NOT(ISBLANK(M2317)), M2317, L2317), N2317, Holiday_Dates)
                - IF(IF(NOT(ISBLANK(M2317)), M2317, L2317) = N2317, 0, 1)
            )
        )
    ),
    ""
)</f>
        <v/>
      </c>
      <c r="S2317" s="385" t="str">
        <f>IFERROR(
    IF(
        OR(ISBLANK(N2317), ISBLANK(O2317)),
        "",
        MAX(
            1,
            IF(
                NETWORKDAYS(N2317, O2317, Holiday_Dates) &lt;= 0,
                1,
                NETWORKDAYS(N2317, O2317, Holiday_Dates) - IF(N2317 = O2317, 0, 1)
            )
        )
    ),
    ""
)</f>
        <v/>
      </c>
      <c r="T2317" s="385"/>
      <c r="U2317" s="385"/>
      <c r="V2317" s="385"/>
      <c r="W2317" s="385" t="s">
        <v>4710</v>
      </c>
      <c r="X2317" s="1"/>
    </row>
    <row r="2318" spans="1:24">
      <c r="A2318" s="385" t="s">
        <v>51</v>
      </c>
      <c r="B2318" s="385" t="s">
        <v>394</v>
      </c>
      <c r="C2318" s="385" t="s">
        <v>714</v>
      </c>
      <c r="D2318" s="385" t="s">
        <v>88</v>
      </c>
      <c r="E2318" s="385"/>
      <c r="F2318" s="385"/>
      <c r="G2318" s="385"/>
      <c r="H2318" s="385">
        <v>2025</v>
      </c>
      <c r="I2318" s="386">
        <v>45757</v>
      </c>
      <c r="J2318" s="30" t="s">
        <v>5549</v>
      </c>
      <c r="K2318" s="385"/>
      <c r="L2318" s="385"/>
      <c r="M2318" s="385"/>
      <c r="N2318" s="385"/>
      <c r="O2318" s="385"/>
      <c r="P2318" s="385" t="str">
        <f>IFERROR(
    IF(
        OR(ISBLANK(I2318), ISBLANK(L2318)),
        "",
        MAX(
            1,
            IF(
                NETWORKDAYS(I2318, L2318, Holiday_Dates) &lt;= 0,
                1,
                NETWORKDAYS(I2318, L2318, Holiday_Dates) - IF(I2318 = L2318, 0, 1)
            )
        )
    ),
    ""
)</f>
        <v/>
      </c>
      <c r="Q2318" s="385" t="str">
        <f>IF(
    OR(ISBLANK(L2318), ISBLANK(M2318)),
    "",
    MAX(
        1,
        IF(
            NETWORKDAYS(L2318, M2318, Holiday_Dates) &lt;= 0,
            1,
            NETWORKDAYS(L2318, M2318, Holiday_Dates) - IF(L2318 = M2318, 0, 1)
        )
    )
)</f>
        <v/>
      </c>
      <c r="R2318" s="385" t="str">
        <f>IFERROR(
    IF(
        OR(ISBLANK(N2318), AND(ISBLANK(L2318), ISBLANK(M2318))),
        "",
        MAX(
            1,
            IF(
                NETWORKDAYS(IF(NOT(ISBLANK(M2318)), M2318, L2318), N2318, Holiday_Dates) &lt;= 0,
                1,
                NETWORKDAYS(IF(NOT(ISBLANK(M2318)), M2318, L2318), N2318, Holiday_Dates)
                - IF(IF(NOT(ISBLANK(M2318)), M2318, L2318) = N2318, 0, 1)
            )
        )
    ),
    ""
)</f>
        <v/>
      </c>
      <c r="S2318" s="385" t="str">
        <f>IFERROR(
    IF(
        OR(ISBLANK(N2318), ISBLANK(O2318)),
        "",
        MAX(
            1,
            IF(
                NETWORKDAYS(N2318, O2318, Holiday_Dates) &lt;= 0,
                1,
                NETWORKDAYS(N2318, O2318, Holiday_Dates) - IF(N2318 = O2318, 0, 1)
            )
        )
    ),
    ""
)</f>
        <v/>
      </c>
      <c r="T2318" s="385"/>
      <c r="U2318" s="385" t="s">
        <v>672</v>
      </c>
      <c r="V2318" s="385" t="s">
        <v>101</v>
      </c>
      <c r="W2318" s="385" t="s">
        <v>1436</v>
      </c>
      <c r="X2318" s="1"/>
    </row>
    <row r="2319" spans="1:24">
      <c r="A2319" s="385" t="s">
        <v>65</v>
      </c>
      <c r="B2319" s="385" t="s">
        <v>3162</v>
      </c>
      <c r="C2319" s="385" t="s">
        <v>444</v>
      </c>
      <c r="D2319" s="385" t="s">
        <v>88</v>
      </c>
      <c r="E2319" s="385" t="s">
        <v>29</v>
      </c>
      <c r="F2319" s="385"/>
      <c r="G2319" s="385" t="s">
        <v>130</v>
      </c>
      <c r="H2319" s="385"/>
      <c r="I2319" s="385"/>
      <c r="J2319" s="30"/>
      <c r="K2319" s="385"/>
      <c r="L2319" s="385"/>
      <c r="M2319" s="385"/>
      <c r="N2319" s="385"/>
      <c r="O2319" s="385"/>
      <c r="P2319" s="385" t="str">
        <f>IFERROR(
    IF(
        OR(ISBLANK(I2319), ISBLANK(L2319)),
        "",
        MAX(
            1,
            IF(
                NETWORKDAYS(I2319, L2319, Holiday_Dates) &lt;= 0,
                1,
                NETWORKDAYS(I2319, L2319, Holiday_Dates) - IF(I2319 = L2319, 0, 1)
            )
        )
    ),
    ""
)</f>
        <v/>
      </c>
      <c r="Q2319" s="385" t="str">
        <f>IF(
    OR(ISBLANK(L2319), ISBLANK(M2319)),
    "",
    MAX(
        1,
        IF(
            NETWORKDAYS(L2319, M2319, Holiday_Dates) &lt;= 0,
            1,
            NETWORKDAYS(L2319, M2319, Holiday_Dates) - IF(L2319 = M2319, 0, 1)
        )
    )
)</f>
        <v/>
      </c>
      <c r="R2319" s="385" t="str">
        <f>IFERROR(
    IF(
        OR(ISBLANK(N2319), AND(ISBLANK(L2319), ISBLANK(M2319))),
        "",
        MAX(
            1,
            IF(
                NETWORKDAYS(IF(NOT(ISBLANK(M2319)), M2319, L2319), N2319, Holiday_Dates) &lt;= 0,
                1,
                NETWORKDAYS(IF(NOT(ISBLANK(M2319)), M2319, L2319), N2319, Holiday_Dates)
                - IF(IF(NOT(ISBLANK(M2319)), M2319, L2319) = N2319, 0, 1)
            )
        )
    ),
    ""
)</f>
        <v/>
      </c>
      <c r="S2319" s="385" t="str">
        <f>IFERROR(
    IF(
        OR(ISBLANK(N2319), ISBLANK(O2319)),
        "",
        MAX(
            1,
            IF(
                NETWORKDAYS(N2319, O2319, Holiday_Dates) &lt;= 0,
                1,
                NETWORKDAYS(N2319, O2319, Holiday_Dates) - IF(N2319 = O2319, 0, 1)
            )
        )
    ),
    ""
)</f>
        <v/>
      </c>
      <c r="T2319" s="385"/>
      <c r="U2319" s="385"/>
      <c r="V2319" s="385"/>
      <c r="W2319" s="385" t="s">
        <v>4710</v>
      </c>
      <c r="X2319" s="1"/>
    </row>
    <row r="2320" spans="1:24">
      <c r="A2320" s="385" t="s">
        <v>51</v>
      </c>
      <c r="B2320" s="385" t="s">
        <v>394</v>
      </c>
      <c r="C2320" s="385" t="s">
        <v>3653</v>
      </c>
      <c r="D2320" s="385" t="s">
        <v>88</v>
      </c>
      <c r="E2320" s="385"/>
      <c r="F2320" s="385"/>
      <c r="G2320" s="385"/>
      <c r="H2320" s="385">
        <v>2025</v>
      </c>
      <c r="I2320" s="386">
        <v>45730</v>
      </c>
      <c r="J2320" s="30" t="s">
        <v>5550</v>
      </c>
      <c r="K2320" s="385"/>
      <c r="L2320" s="385"/>
      <c r="M2320" s="385"/>
      <c r="N2320" s="385"/>
      <c r="O2320" s="385"/>
      <c r="P2320" s="385" t="str">
        <f>IFERROR(
    IF(
        OR(ISBLANK(I2320), ISBLANK(L2320)),
        "",
        MAX(
            1,
            IF(
                NETWORKDAYS(I2320, L2320, Holiday_Dates) &lt;= 0,
                1,
                NETWORKDAYS(I2320, L2320, Holiday_Dates) - IF(I2320 = L2320, 0, 1)
            )
        )
    ),
    ""
)</f>
        <v/>
      </c>
      <c r="Q2320" s="385" t="str">
        <f>IF(
    OR(ISBLANK(L2320), ISBLANK(M2320)),
    "",
    MAX(
        1,
        IF(
            NETWORKDAYS(L2320, M2320, Holiday_Dates) &lt;= 0,
            1,
            NETWORKDAYS(L2320, M2320, Holiday_Dates) - IF(L2320 = M2320, 0, 1)
        )
    )
)</f>
        <v/>
      </c>
      <c r="R2320" s="385" t="str">
        <f>IFERROR(
    IF(
        OR(ISBLANK(N2320), AND(ISBLANK(L2320), ISBLANK(M2320))),
        "",
        MAX(
            1,
            IF(
                NETWORKDAYS(IF(NOT(ISBLANK(M2320)), M2320, L2320), N2320, Holiday_Dates) &lt;= 0,
                1,
                NETWORKDAYS(IF(NOT(ISBLANK(M2320)), M2320, L2320), N2320, Holiday_Dates)
                - IF(IF(NOT(ISBLANK(M2320)), M2320, L2320) = N2320, 0, 1)
            )
        )
    ),
    ""
)</f>
        <v/>
      </c>
      <c r="S2320" s="385" t="str">
        <f>IFERROR(
    IF(
        OR(ISBLANK(N2320), ISBLANK(O2320)),
        "",
        MAX(
            1,
            IF(
                NETWORKDAYS(N2320, O2320, Holiday_Dates) &lt;= 0,
                1,
                NETWORKDAYS(N2320, O2320, Holiday_Dates) - IF(N2320 = O2320, 0, 1)
            )
        )
    ),
    ""
)</f>
        <v/>
      </c>
      <c r="T2320" s="385"/>
      <c r="U2320" s="385" t="s">
        <v>672</v>
      </c>
      <c r="V2320" s="385" t="s">
        <v>1676</v>
      </c>
      <c r="W2320" s="385" t="s">
        <v>1436</v>
      </c>
      <c r="X2320" s="1"/>
    </row>
    <row r="2321" spans="1:24">
      <c r="A2321" s="385" t="s">
        <v>51</v>
      </c>
      <c r="B2321" s="385" t="s">
        <v>394</v>
      </c>
      <c r="C2321" s="385" t="s">
        <v>881</v>
      </c>
      <c r="D2321" s="385" t="s">
        <v>88</v>
      </c>
      <c r="E2321" s="385"/>
      <c r="F2321" s="385"/>
      <c r="G2321" s="385"/>
      <c r="H2321" s="385">
        <v>2024</v>
      </c>
      <c r="I2321" s="386">
        <v>45576</v>
      </c>
      <c r="J2321" s="30"/>
      <c r="K2321" s="385"/>
      <c r="L2321" s="385"/>
      <c r="M2321" s="385"/>
      <c r="N2321" s="385"/>
      <c r="O2321" s="385"/>
      <c r="P2321" s="385" t="str">
        <f>IFERROR(
    IF(
        OR(ISBLANK(I2321), ISBLANK(L2321)),
        "",
        MAX(
            1,
            IF(
                NETWORKDAYS(I2321, L2321, Holiday_Dates) &lt;= 0,
                1,
                NETWORKDAYS(I2321, L2321, Holiday_Dates) - IF(I2321 = L2321, 0, 1)
            )
        )
    ),
    ""
)</f>
        <v/>
      </c>
      <c r="Q2321" s="385" t="str">
        <f>IF(
    OR(ISBLANK(L2321), ISBLANK(M2321)),
    "",
    MAX(
        1,
        IF(
            NETWORKDAYS(L2321, M2321, Holiday_Dates) &lt;= 0,
            1,
            NETWORKDAYS(L2321, M2321, Holiday_Dates) - IF(L2321 = M2321, 0, 1)
        )
    )
)</f>
        <v/>
      </c>
      <c r="R2321" s="385" t="str">
        <f>IFERROR(
    IF(
        OR(ISBLANK(N2321), AND(ISBLANK(L2321), ISBLANK(M2321))),
        "",
        MAX(
            1,
            IF(
                NETWORKDAYS(IF(NOT(ISBLANK(M2321)), M2321, L2321), N2321, Holiday_Dates) &lt;= 0,
                1,
                NETWORKDAYS(IF(NOT(ISBLANK(M2321)), M2321, L2321), N2321, Holiday_Dates)
                - IF(IF(NOT(ISBLANK(M2321)), M2321, L2321) = N2321, 0, 1)
            )
        )
    ),
    ""
)</f>
        <v/>
      </c>
      <c r="S2321" s="385" t="str">
        <f>IFERROR(
    IF(
        OR(ISBLANK(N2321), ISBLANK(O2321)),
        "",
        MAX(
            1,
            IF(
                NETWORKDAYS(N2321, O2321, Holiday_Dates) &lt;= 0,
                1,
                NETWORKDAYS(N2321, O2321, Holiday_Dates) - IF(N2321 = O2321, 0, 1)
            )
        )
    ),
    ""
)</f>
        <v/>
      </c>
      <c r="T2321" s="385"/>
      <c r="U2321" s="385" t="s">
        <v>4</v>
      </c>
      <c r="V2321" s="385" t="s">
        <v>101</v>
      </c>
      <c r="W2321" s="385" t="s">
        <v>1436</v>
      </c>
      <c r="X2321" s="1"/>
    </row>
    <row r="2322" spans="1:24">
      <c r="A2322" s="385" t="s">
        <v>51</v>
      </c>
      <c r="B2322" s="385" t="s">
        <v>394</v>
      </c>
      <c r="C2322" s="385" t="s">
        <v>3684</v>
      </c>
      <c r="D2322" s="385" t="s">
        <v>88</v>
      </c>
      <c r="E2322" s="385"/>
      <c r="F2322" s="385"/>
      <c r="G2322" s="385"/>
      <c r="H2322" s="385">
        <v>2024</v>
      </c>
      <c r="I2322" s="386">
        <v>45414</v>
      </c>
      <c r="J2322" s="30"/>
      <c r="K2322" s="385"/>
      <c r="L2322" s="385"/>
      <c r="M2322" s="385"/>
      <c r="N2322" s="385"/>
      <c r="O2322" s="385"/>
      <c r="P2322" s="385" t="str">
        <f>IFERROR(
    IF(
        OR(ISBLANK(I2322), ISBLANK(L2322)),
        "",
        MAX(
            1,
            IF(
                NETWORKDAYS(I2322, L2322, Holiday_Dates) &lt;= 0,
                1,
                NETWORKDAYS(I2322, L2322, Holiday_Dates) - IF(I2322 = L2322, 0, 1)
            )
        )
    ),
    ""
)</f>
        <v/>
      </c>
      <c r="Q2322" s="385" t="str">
        <f>IF(
    OR(ISBLANK(L2322), ISBLANK(M2322)),
    "",
    MAX(
        1,
        IF(
            NETWORKDAYS(L2322, M2322, Holiday_Dates) &lt;= 0,
            1,
            NETWORKDAYS(L2322, M2322, Holiday_Dates) - IF(L2322 = M2322, 0, 1)
        )
    )
)</f>
        <v/>
      </c>
      <c r="R2322" s="385" t="str">
        <f>IFERROR(
    IF(
        OR(ISBLANK(N2322), AND(ISBLANK(L2322), ISBLANK(M2322))),
        "",
        MAX(
            1,
            IF(
                NETWORKDAYS(IF(NOT(ISBLANK(M2322)), M2322, L2322), N2322, Holiday_Dates) &lt;= 0,
                1,
                NETWORKDAYS(IF(NOT(ISBLANK(M2322)), M2322, L2322), N2322, Holiday_Dates)
                - IF(IF(NOT(ISBLANK(M2322)), M2322, L2322) = N2322, 0, 1)
            )
        )
    ),
    ""
)</f>
        <v/>
      </c>
      <c r="S2322" s="385" t="str">
        <f>IFERROR(
    IF(
        OR(ISBLANK(N2322), ISBLANK(O2322)),
        "",
        MAX(
            1,
            IF(
                NETWORKDAYS(N2322, O2322, Holiday_Dates) &lt;= 0,
                1,
                NETWORKDAYS(N2322, O2322, Holiday_Dates) - IF(N2322 = O2322, 0, 1)
            )
        )
    ),
    ""
)</f>
        <v/>
      </c>
      <c r="T2322" s="385"/>
      <c r="U2322" s="385" t="s">
        <v>672</v>
      </c>
      <c r="V2322" s="385"/>
      <c r="W2322" s="385" t="s">
        <v>1436</v>
      </c>
      <c r="X2322" s="1"/>
    </row>
    <row r="2323" spans="1:24">
      <c r="A2323" s="385" t="s">
        <v>51</v>
      </c>
      <c r="B2323" s="385" t="s">
        <v>394</v>
      </c>
      <c r="C2323" s="385" t="s">
        <v>2345</v>
      </c>
      <c r="D2323" s="385" t="s">
        <v>88</v>
      </c>
      <c r="E2323" s="385"/>
      <c r="F2323" s="385"/>
      <c r="G2323" s="385"/>
      <c r="H2323" s="385">
        <v>2025</v>
      </c>
      <c r="I2323" s="386">
        <v>45757</v>
      </c>
      <c r="J2323" s="30" t="s">
        <v>5551</v>
      </c>
      <c r="K2323" s="385"/>
      <c r="L2323" s="385"/>
      <c r="M2323" s="385"/>
      <c r="N2323" s="385"/>
      <c r="O2323" s="385"/>
      <c r="P2323" s="385" t="str">
        <f>IFERROR(
    IF(
        OR(ISBLANK(I2323), ISBLANK(L2323)),
        "",
        MAX(
            1,
            IF(
                NETWORKDAYS(I2323, L2323, Holiday_Dates) &lt;= 0,
                1,
                NETWORKDAYS(I2323, L2323, Holiday_Dates) - IF(I2323 = L2323, 0, 1)
            )
        )
    ),
    ""
)</f>
        <v/>
      </c>
      <c r="Q2323" s="385" t="str">
        <f>IF(
    OR(ISBLANK(L2323), ISBLANK(M2323)),
    "",
    MAX(
        1,
        IF(
            NETWORKDAYS(L2323, M2323, Holiday_Dates) &lt;= 0,
            1,
            NETWORKDAYS(L2323, M2323, Holiday_Dates) - IF(L2323 = M2323, 0, 1)
        )
    )
)</f>
        <v/>
      </c>
      <c r="R2323" s="385" t="str">
        <f>IFERROR(
    IF(
        OR(ISBLANK(N2323), AND(ISBLANK(L2323), ISBLANK(M2323))),
        "",
        MAX(
            1,
            IF(
                NETWORKDAYS(IF(NOT(ISBLANK(M2323)), M2323, L2323), N2323, Holiday_Dates) &lt;= 0,
                1,
                NETWORKDAYS(IF(NOT(ISBLANK(M2323)), M2323, L2323), N2323, Holiday_Dates)
                - IF(IF(NOT(ISBLANK(M2323)), M2323, L2323) = N2323, 0, 1)
            )
        )
    ),
    ""
)</f>
        <v/>
      </c>
      <c r="S2323" s="385" t="str">
        <f>IFERROR(
    IF(
        OR(ISBLANK(N2323), ISBLANK(O2323)),
        "",
        MAX(
            1,
            IF(
                NETWORKDAYS(N2323, O2323, Holiday_Dates) &lt;= 0,
                1,
                NETWORKDAYS(N2323, O2323, Holiday_Dates) - IF(N2323 = O2323, 0, 1)
            )
        )
    ),
    ""
)</f>
        <v/>
      </c>
      <c r="T2323" s="385"/>
      <c r="U2323" s="385" t="s">
        <v>672</v>
      </c>
      <c r="V2323" s="385" t="s">
        <v>1676</v>
      </c>
      <c r="W2323" s="385" t="s">
        <v>1436</v>
      </c>
      <c r="X2323" s="1"/>
    </row>
    <row r="2324" spans="1:24">
      <c r="A2324" s="385" t="s">
        <v>65</v>
      </c>
      <c r="B2324" s="385" t="s">
        <v>3162</v>
      </c>
      <c r="C2324" s="385" t="s">
        <v>3062</v>
      </c>
      <c r="D2324" s="385" t="s">
        <v>88</v>
      </c>
      <c r="E2324" s="385" t="s">
        <v>29</v>
      </c>
      <c r="F2324" s="385"/>
      <c r="G2324" s="385" t="s">
        <v>130</v>
      </c>
      <c r="H2324" s="385"/>
      <c r="I2324" s="385"/>
      <c r="J2324" s="30"/>
      <c r="K2324" s="385"/>
      <c r="L2324" s="385"/>
      <c r="M2324" s="385"/>
      <c r="N2324" s="385"/>
      <c r="O2324" s="385"/>
      <c r="P2324" s="385" t="str">
        <f>IFERROR(
    IF(
        OR(ISBLANK(I2324), ISBLANK(L2324)),
        "",
        MAX(
            1,
            IF(
                NETWORKDAYS(I2324, L2324, Holiday_Dates) &lt;= 0,
                1,
                NETWORKDAYS(I2324, L2324, Holiday_Dates) - IF(I2324 = L2324, 0, 1)
            )
        )
    ),
    ""
)</f>
        <v/>
      </c>
      <c r="Q2324" s="385" t="str">
        <f>IF(
    OR(ISBLANK(L2324), ISBLANK(M2324)),
    "",
    MAX(
        1,
        IF(
            NETWORKDAYS(L2324, M2324, Holiday_Dates) &lt;= 0,
            1,
            NETWORKDAYS(L2324, M2324, Holiday_Dates) - IF(L2324 = M2324, 0, 1)
        )
    )
)</f>
        <v/>
      </c>
      <c r="R2324" s="385" t="str">
        <f>IFERROR(
    IF(
        OR(ISBLANK(N2324), AND(ISBLANK(L2324), ISBLANK(M2324))),
        "",
        MAX(
            1,
            IF(
                NETWORKDAYS(IF(NOT(ISBLANK(M2324)), M2324, L2324), N2324, Holiday_Dates) &lt;= 0,
                1,
                NETWORKDAYS(IF(NOT(ISBLANK(M2324)), M2324, L2324), N2324, Holiday_Dates)
                - IF(IF(NOT(ISBLANK(M2324)), M2324, L2324) = N2324, 0, 1)
            )
        )
    ),
    ""
)</f>
        <v/>
      </c>
      <c r="S2324" s="385" t="str">
        <f>IFERROR(
    IF(
        OR(ISBLANK(N2324), ISBLANK(O2324)),
        "",
        MAX(
            1,
            IF(
                NETWORKDAYS(N2324, O2324, Holiday_Dates) &lt;= 0,
                1,
                NETWORKDAYS(N2324, O2324, Holiday_Dates) - IF(N2324 = O2324, 0, 1)
            )
        )
    ),
    ""
)</f>
        <v/>
      </c>
      <c r="T2324" s="385"/>
      <c r="U2324" s="385"/>
      <c r="V2324" s="385"/>
      <c r="W2324" s="385" t="s">
        <v>4710</v>
      </c>
      <c r="X2324" s="1"/>
    </row>
    <row r="2325" spans="1:24">
      <c r="A2325" s="385" t="s">
        <v>51</v>
      </c>
      <c r="B2325" s="385" t="s">
        <v>1361</v>
      </c>
      <c r="C2325" s="385" t="s">
        <v>2342</v>
      </c>
      <c r="D2325" s="385" t="s">
        <v>88</v>
      </c>
      <c r="E2325" s="385"/>
      <c r="F2325" s="385"/>
      <c r="G2325" s="385"/>
      <c r="H2325" s="385">
        <v>2024</v>
      </c>
      <c r="I2325" s="386">
        <v>45539</v>
      </c>
      <c r="J2325" s="30"/>
      <c r="K2325" s="385"/>
      <c r="L2325" s="385"/>
      <c r="M2325" s="385"/>
      <c r="N2325" s="385"/>
      <c r="O2325" s="385"/>
      <c r="P2325" s="385" t="str">
        <f>IFERROR(
    IF(
        OR(ISBLANK(I2325), ISBLANK(L2325)),
        "",
        MAX(
            1,
            IF(
                NETWORKDAYS(I2325, L2325, Holiday_Dates) &lt;= 0,
                1,
                NETWORKDAYS(I2325, L2325, Holiday_Dates) - IF(I2325 = L2325, 0, 1)
            )
        )
    ),
    ""
)</f>
        <v/>
      </c>
      <c r="Q2325" s="385" t="str">
        <f>IF(
    OR(ISBLANK(L2325), ISBLANK(M2325)),
    "",
    MAX(
        1,
        IF(
            NETWORKDAYS(L2325, M2325, Holiday_Dates) &lt;= 0,
            1,
            NETWORKDAYS(L2325, M2325, Holiday_Dates) - IF(L2325 = M2325, 0, 1)
        )
    )
)</f>
        <v/>
      </c>
      <c r="R2325" s="385" t="str">
        <f>IFERROR(
    IF(
        OR(ISBLANK(N2325), AND(ISBLANK(L2325), ISBLANK(M2325))),
        "",
        MAX(
            1,
            IF(
                NETWORKDAYS(IF(NOT(ISBLANK(M2325)), M2325, L2325), N2325, Holiday_Dates) &lt;= 0,
                1,
                NETWORKDAYS(IF(NOT(ISBLANK(M2325)), M2325, L2325), N2325, Holiday_Dates)
                - IF(IF(NOT(ISBLANK(M2325)), M2325, L2325) = N2325, 0, 1)
            )
        )
    ),
    ""
)</f>
        <v/>
      </c>
      <c r="S2325" s="385" t="str">
        <f>IFERROR(
    IF(
        OR(ISBLANK(N2325), ISBLANK(O2325)),
        "",
        MAX(
            1,
            IF(
                NETWORKDAYS(N2325, O2325, Holiday_Dates) &lt;= 0,
                1,
                NETWORKDAYS(N2325, O2325, Holiday_Dates) - IF(N2325 = O2325, 0, 1)
            )
        )
    ),
    ""
)</f>
        <v/>
      </c>
      <c r="T2325" s="385"/>
      <c r="U2325" s="385" t="s">
        <v>672</v>
      </c>
      <c r="V2325" s="385"/>
      <c r="W2325" s="385" t="s">
        <v>1436</v>
      </c>
      <c r="X2325" s="1"/>
    </row>
    <row r="2326" spans="1:24">
      <c r="A2326" s="385" t="s">
        <v>65</v>
      </c>
      <c r="B2326" s="385" t="s">
        <v>3162</v>
      </c>
      <c r="C2326" s="385" t="s">
        <v>3188</v>
      </c>
      <c r="D2326" s="385" t="s">
        <v>88</v>
      </c>
      <c r="E2326" s="385" t="s">
        <v>29</v>
      </c>
      <c r="F2326" s="385"/>
      <c r="G2326" s="385" t="s">
        <v>130</v>
      </c>
      <c r="H2326" s="385"/>
      <c r="I2326" s="385"/>
      <c r="J2326" s="30"/>
      <c r="K2326" s="385"/>
      <c r="L2326" s="385"/>
      <c r="M2326" s="385"/>
      <c r="N2326" s="385"/>
      <c r="O2326" s="385"/>
      <c r="P2326" s="385" t="str">
        <f>IFERROR(
    IF(
        OR(ISBLANK(I2326), ISBLANK(L2326)),
        "",
        MAX(
            1,
            IF(
                NETWORKDAYS(I2326, L2326, Holiday_Dates) &lt;= 0,
                1,
                NETWORKDAYS(I2326, L2326, Holiday_Dates) - IF(I2326 = L2326, 0, 1)
            )
        )
    ),
    ""
)</f>
        <v/>
      </c>
      <c r="Q2326" s="385" t="str">
        <f>IF(
    OR(ISBLANK(L2326), ISBLANK(M2326)),
    "",
    MAX(
        1,
        IF(
            NETWORKDAYS(L2326, M2326, Holiday_Dates) &lt;= 0,
            1,
            NETWORKDAYS(L2326, M2326, Holiday_Dates) - IF(L2326 = M2326, 0, 1)
        )
    )
)</f>
        <v/>
      </c>
      <c r="R2326" s="385" t="str">
        <f>IFERROR(
    IF(
        OR(ISBLANK(N2326), AND(ISBLANK(L2326), ISBLANK(M2326))),
        "",
        MAX(
            1,
            IF(
                NETWORKDAYS(IF(NOT(ISBLANK(M2326)), M2326, L2326), N2326, Holiday_Dates) &lt;= 0,
                1,
                NETWORKDAYS(IF(NOT(ISBLANK(M2326)), M2326, L2326), N2326, Holiday_Dates)
                - IF(IF(NOT(ISBLANK(M2326)), M2326, L2326) = N2326, 0, 1)
            )
        )
    ),
    ""
)</f>
        <v/>
      </c>
      <c r="S2326" s="385" t="str">
        <f>IFERROR(
    IF(
        OR(ISBLANK(N2326), ISBLANK(O2326)),
        "",
        MAX(
            1,
            IF(
                NETWORKDAYS(N2326, O2326, Holiday_Dates) &lt;= 0,
                1,
                NETWORKDAYS(N2326, O2326, Holiday_Dates) - IF(N2326 = O2326, 0, 1)
            )
        )
    ),
    ""
)</f>
        <v/>
      </c>
      <c r="T2326" s="385"/>
      <c r="U2326" s="385"/>
      <c r="V2326" s="385"/>
      <c r="W2326" s="385" t="s">
        <v>4710</v>
      </c>
      <c r="X2326" s="1"/>
    </row>
    <row r="2327" spans="1:24">
      <c r="A2327" s="385" t="s">
        <v>65</v>
      </c>
      <c r="B2327" s="385" t="s">
        <v>446</v>
      </c>
      <c r="C2327" s="385" t="s">
        <v>3416</v>
      </c>
      <c r="D2327" s="385" t="s">
        <v>88</v>
      </c>
      <c r="E2327" s="385" t="s">
        <v>140</v>
      </c>
      <c r="F2327" s="385"/>
      <c r="G2327" s="385" t="s">
        <v>130</v>
      </c>
      <c r="H2327" s="385"/>
      <c r="I2327" s="385"/>
      <c r="J2327" s="30"/>
      <c r="K2327" s="385"/>
      <c r="L2327" s="385"/>
      <c r="M2327" s="385"/>
      <c r="N2327" s="385"/>
      <c r="O2327" s="385"/>
      <c r="P2327" s="385" t="str">
        <f>IFERROR(
    IF(
        OR(ISBLANK(I2327), ISBLANK(L2327)),
        "",
        MAX(
            1,
            IF(
                NETWORKDAYS(I2327, L2327, Holiday_Dates) &lt;= 0,
                1,
                NETWORKDAYS(I2327, L2327, Holiday_Dates) - IF(I2327 = L2327, 0, 1)
            )
        )
    ),
    ""
)</f>
        <v/>
      </c>
      <c r="Q2327" s="385" t="str">
        <f>IF(
    OR(ISBLANK(L2327), ISBLANK(M2327)),
    "",
    MAX(
        1,
        IF(
            NETWORKDAYS(L2327, M2327, Holiday_Dates) &lt;= 0,
            1,
            NETWORKDAYS(L2327, M2327, Holiday_Dates) - IF(L2327 = M2327, 0, 1)
        )
    )
)</f>
        <v/>
      </c>
      <c r="R2327" s="385" t="str">
        <f>IFERROR(
    IF(
        OR(ISBLANK(N2327), AND(ISBLANK(L2327), ISBLANK(M2327))),
        "",
        MAX(
            1,
            IF(
                NETWORKDAYS(IF(NOT(ISBLANK(M2327)), M2327, L2327), N2327, Holiday_Dates) &lt;= 0,
                1,
                NETWORKDAYS(IF(NOT(ISBLANK(M2327)), M2327, L2327), N2327, Holiday_Dates)
                - IF(IF(NOT(ISBLANK(M2327)), M2327, L2327) = N2327, 0, 1)
            )
        )
    ),
    ""
)</f>
        <v/>
      </c>
      <c r="S2327" s="385" t="str">
        <f>IFERROR(
    IF(
        OR(ISBLANK(N2327), ISBLANK(O2327)),
        "",
        MAX(
            1,
            IF(
                NETWORKDAYS(N2327, O2327, Holiday_Dates) &lt;= 0,
                1,
                NETWORKDAYS(N2327, O2327, Holiday_Dates) - IF(N2327 = O2327, 0, 1)
            )
        )
    ),
    ""
)</f>
        <v/>
      </c>
      <c r="T2327" s="385"/>
      <c r="U2327" s="385"/>
      <c r="V2327" s="385"/>
      <c r="W2327" s="385" t="s">
        <v>4710</v>
      </c>
      <c r="X2327" s="1"/>
    </row>
    <row r="2328" spans="1:24">
      <c r="A2328" s="385" t="s">
        <v>65</v>
      </c>
      <c r="B2328" s="385" t="s">
        <v>446</v>
      </c>
      <c r="C2328" s="385" t="s">
        <v>3417</v>
      </c>
      <c r="D2328" s="385" t="s">
        <v>88</v>
      </c>
      <c r="E2328" s="385" t="s">
        <v>140</v>
      </c>
      <c r="F2328" s="385"/>
      <c r="G2328" s="385" t="s">
        <v>130</v>
      </c>
      <c r="H2328" s="385"/>
      <c r="I2328" s="385"/>
      <c r="J2328" s="30"/>
      <c r="K2328" s="385"/>
      <c r="L2328" s="385"/>
      <c r="M2328" s="385"/>
      <c r="N2328" s="385"/>
      <c r="O2328" s="385"/>
      <c r="P2328" s="385" t="str">
        <f>IFERROR(
    IF(
        OR(ISBLANK(I2328), ISBLANK(L2328)),
        "",
        MAX(
            1,
            IF(
                NETWORKDAYS(I2328, L2328, Holiday_Dates) &lt;= 0,
                1,
                NETWORKDAYS(I2328, L2328, Holiday_Dates) - IF(I2328 = L2328, 0, 1)
            )
        )
    ),
    ""
)</f>
        <v/>
      </c>
      <c r="Q2328" s="385" t="str">
        <f>IF(
    OR(ISBLANK(L2328), ISBLANK(M2328)),
    "",
    MAX(
        1,
        IF(
            NETWORKDAYS(L2328, M2328, Holiday_Dates) &lt;= 0,
            1,
            NETWORKDAYS(L2328, M2328, Holiday_Dates) - IF(L2328 = M2328, 0, 1)
        )
    )
)</f>
        <v/>
      </c>
      <c r="R2328" s="385" t="str">
        <f>IFERROR(
    IF(
        OR(ISBLANK(N2328), AND(ISBLANK(L2328), ISBLANK(M2328))),
        "",
        MAX(
            1,
            IF(
                NETWORKDAYS(IF(NOT(ISBLANK(M2328)), M2328, L2328), N2328, Holiday_Dates) &lt;= 0,
                1,
                NETWORKDAYS(IF(NOT(ISBLANK(M2328)), M2328, L2328), N2328, Holiday_Dates)
                - IF(IF(NOT(ISBLANK(M2328)), M2328, L2328) = N2328, 0, 1)
            )
        )
    ),
    ""
)</f>
        <v/>
      </c>
      <c r="S2328" s="385" t="str">
        <f>IFERROR(
    IF(
        OR(ISBLANK(N2328), ISBLANK(O2328)),
        "",
        MAX(
            1,
            IF(
                NETWORKDAYS(N2328, O2328, Holiday_Dates) &lt;= 0,
                1,
                NETWORKDAYS(N2328, O2328, Holiday_Dates) - IF(N2328 = O2328, 0, 1)
            )
        )
    ),
    ""
)</f>
        <v/>
      </c>
      <c r="T2328" s="385"/>
      <c r="U2328" s="385"/>
      <c r="V2328" s="385"/>
      <c r="W2328" s="385" t="s">
        <v>4710</v>
      </c>
      <c r="X2328" s="1"/>
    </row>
    <row r="2329" spans="1:24">
      <c r="A2329" s="385" t="s">
        <v>65</v>
      </c>
      <c r="B2329" s="385" t="s">
        <v>446</v>
      </c>
      <c r="C2329" s="385" t="s">
        <v>3423</v>
      </c>
      <c r="D2329" s="385" t="s">
        <v>88</v>
      </c>
      <c r="E2329" s="385" t="s">
        <v>140</v>
      </c>
      <c r="F2329" s="385"/>
      <c r="G2329" s="385" t="s">
        <v>130</v>
      </c>
      <c r="H2329" s="385"/>
      <c r="I2329" s="385"/>
      <c r="J2329" s="30"/>
      <c r="K2329" s="385"/>
      <c r="L2329" s="385"/>
      <c r="M2329" s="385"/>
      <c r="N2329" s="385"/>
      <c r="O2329" s="385"/>
      <c r="P2329" s="385" t="str">
        <f>IFERROR(
    IF(
        OR(ISBLANK(I2329), ISBLANK(L2329)),
        "",
        MAX(
            1,
            IF(
                NETWORKDAYS(I2329, L2329, Holiday_Dates) &lt;= 0,
                1,
                NETWORKDAYS(I2329, L2329, Holiday_Dates) - IF(I2329 = L2329, 0, 1)
            )
        )
    ),
    ""
)</f>
        <v/>
      </c>
      <c r="Q2329" s="385" t="str">
        <f>IF(
    OR(ISBLANK(L2329), ISBLANK(M2329)),
    "",
    MAX(
        1,
        IF(
            NETWORKDAYS(L2329, M2329, Holiday_Dates) &lt;= 0,
            1,
            NETWORKDAYS(L2329, M2329, Holiday_Dates) - IF(L2329 = M2329, 0, 1)
        )
    )
)</f>
        <v/>
      </c>
      <c r="R2329" s="385" t="str">
        <f>IFERROR(
    IF(
        OR(ISBLANK(N2329), AND(ISBLANK(L2329), ISBLANK(M2329))),
        "",
        MAX(
            1,
            IF(
                NETWORKDAYS(IF(NOT(ISBLANK(M2329)), M2329, L2329), N2329, Holiday_Dates) &lt;= 0,
                1,
                NETWORKDAYS(IF(NOT(ISBLANK(M2329)), M2329, L2329), N2329, Holiday_Dates)
                - IF(IF(NOT(ISBLANK(M2329)), M2329, L2329) = N2329, 0, 1)
            )
        )
    ),
    ""
)</f>
        <v/>
      </c>
      <c r="S2329" s="385" t="str">
        <f>IFERROR(
    IF(
        OR(ISBLANK(N2329), ISBLANK(O2329)),
        "",
        MAX(
            1,
            IF(
                NETWORKDAYS(N2329, O2329, Holiday_Dates) &lt;= 0,
                1,
                NETWORKDAYS(N2329, O2329, Holiday_Dates) - IF(N2329 = O2329, 0, 1)
            )
        )
    ),
    ""
)</f>
        <v/>
      </c>
      <c r="T2329" s="385"/>
      <c r="U2329" s="385"/>
      <c r="V2329" s="385"/>
      <c r="W2329" s="385" t="s">
        <v>4710</v>
      </c>
      <c r="X2329" s="1"/>
    </row>
    <row r="2330" spans="1:24">
      <c r="A2330" s="385" t="s">
        <v>65</v>
      </c>
      <c r="B2330" s="385" t="s">
        <v>446</v>
      </c>
      <c r="C2330" s="385" t="s">
        <v>3424</v>
      </c>
      <c r="D2330" s="385" t="s">
        <v>88</v>
      </c>
      <c r="E2330" s="385" t="s">
        <v>140</v>
      </c>
      <c r="F2330" s="385"/>
      <c r="G2330" s="385" t="s">
        <v>130</v>
      </c>
      <c r="H2330" s="385"/>
      <c r="I2330" s="385"/>
      <c r="J2330" s="30"/>
      <c r="K2330" s="385"/>
      <c r="L2330" s="385"/>
      <c r="M2330" s="385"/>
      <c r="N2330" s="385"/>
      <c r="O2330" s="385"/>
      <c r="P2330" s="385" t="str">
        <f>IFERROR(
    IF(
        OR(ISBLANK(I2330), ISBLANK(L2330)),
        "",
        MAX(
            1,
            IF(
                NETWORKDAYS(I2330, L2330, Holiday_Dates) &lt;= 0,
                1,
                NETWORKDAYS(I2330, L2330, Holiday_Dates) - IF(I2330 = L2330, 0, 1)
            )
        )
    ),
    ""
)</f>
        <v/>
      </c>
      <c r="Q2330" s="385" t="str">
        <f>IF(
    OR(ISBLANK(L2330), ISBLANK(M2330)),
    "",
    MAX(
        1,
        IF(
            NETWORKDAYS(L2330, M2330, Holiday_Dates) &lt;= 0,
            1,
            NETWORKDAYS(L2330, M2330, Holiday_Dates) - IF(L2330 = M2330, 0, 1)
        )
    )
)</f>
        <v/>
      </c>
      <c r="R2330" s="385" t="str">
        <f>IFERROR(
    IF(
        OR(ISBLANK(N2330), AND(ISBLANK(L2330), ISBLANK(M2330))),
        "",
        MAX(
            1,
            IF(
                NETWORKDAYS(IF(NOT(ISBLANK(M2330)), M2330, L2330), N2330, Holiday_Dates) &lt;= 0,
                1,
                NETWORKDAYS(IF(NOT(ISBLANK(M2330)), M2330, L2330), N2330, Holiday_Dates)
                - IF(IF(NOT(ISBLANK(M2330)), M2330, L2330) = N2330, 0, 1)
            )
        )
    ),
    ""
)</f>
        <v/>
      </c>
      <c r="S2330" s="385" t="str">
        <f>IFERROR(
    IF(
        OR(ISBLANK(N2330), ISBLANK(O2330)),
        "",
        MAX(
            1,
            IF(
                NETWORKDAYS(N2330, O2330, Holiday_Dates) &lt;= 0,
                1,
                NETWORKDAYS(N2330, O2330, Holiday_Dates) - IF(N2330 = O2330, 0, 1)
            )
        )
    ),
    ""
)</f>
        <v/>
      </c>
      <c r="T2330" s="385"/>
      <c r="U2330" s="385"/>
      <c r="V2330" s="385"/>
      <c r="W2330" s="385" t="s">
        <v>4710</v>
      </c>
      <c r="X2330" s="1"/>
    </row>
    <row r="2331" spans="1:24">
      <c r="A2331" s="385" t="s">
        <v>65</v>
      </c>
      <c r="B2331" s="385" t="s">
        <v>446</v>
      </c>
      <c r="C2331" s="385" t="s">
        <v>3426</v>
      </c>
      <c r="D2331" s="385" t="s">
        <v>88</v>
      </c>
      <c r="E2331" s="385" t="s">
        <v>140</v>
      </c>
      <c r="F2331" s="385"/>
      <c r="G2331" s="385" t="s">
        <v>130</v>
      </c>
      <c r="H2331" s="385"/>
      <c r="I2331" s="385"/>
      <c r="J2331" s="30"/>
      <c r="K2331" s="385"/>
      <c r="L2331" s="385"/>
      <c r="M2331" s="385"/>
      <c r="N2331" s="385"/>
      <c r="O2331" s="385"/>
      <c r="P2331" s="385" t="str">
        <f>IFERROR(
    IF(
        OR(ISBLANK(I2331), ISBLANK(L2331)),
        "",
        MAX(
            1,
            IF(
                NETWORKDAYS(I2331, L2331, Holiday_Dates) &lt;= 0,
                1,
                NETWORKDAYS(I2331, L2331, Holiday_Dates) - IF(I2331 = L2331, 0, 1)
            )
        )
    ),
    ""
)</f>
        <v/>
      </c>
      <c r="Q2331" s="385" t="str">
        <f>IF(
    OR(ISBLANK(L2331), ISBLANK(M2331)),
    "",
    MAX(
        1,
        IF(
            NETWORKDAYS(L2331, M2331, Holiday_Dates) &lt;= 0,
            1,
            NETWORKDAYS(L2331, M2331, Holiday_Dates) - IF(L2331 = M2331, 0, 1)
        )
    )
)</f>
        <v/>
      </c>
      <c r="R2331" s="385" t="str">
        <f>IFERROR(
    IF(
        OR(ISBLANK(N2331), AND(ISBLANK(L2331), ISBLANK(M2331))),
        "",
        MAX(
            1,
            IF(
                NETWORKDAYS(IF(NOT(ISBLANK(M2331)), M2331, L2331), N2331, Holiday_Dates) &lt;= 0,
                1,
                NETWORKDAYS(IF(NOT(ISBLANK(M2331)), M2331, L2331), N2331, Holiday_Dates)
                - IF(IF(NOT(ISBLANK(M2331)), M2331, L2331) = N2331, 0, 1)
            )
        )
    ),
    ""
)</f>
        <v/>
      </c>
      <c r="S2331" s="385" t="str">
        <f>IFERROR(
    IF(
        OR(ISBLANK(N2331), ISBLANK(O2331)),
        "",
        MAX(
            1,
            IF(
                NETWORKDAYS(N2331, O2331, Holiday_Dates) &lt;= 0,
                1,
                NETWORKDAYS(N2331, O2331, Holiday_Dates) - IF(N2331 = O2331, 0, 1)
            )
        )
    ),
    ""
)</f>
        <v/>
      </c>
      <c r="T2331" s="385"/>
      <c r="U2331" s="385"/>
      <c r="V2331" s="385"/>
      <c r="W2331" s="385" t="s">
        <v>4710</v>
      </c>
      <c r="X2331" s="1"/>
    </row>
    <row r="2332" spans="1:24">
      <c r="A2332" s="385" t="s">
        <v>51</v>
      </c>
      <c r="B2332" s="385" t="s">
        <v>1361</v>
      </c>
      <c r="C2332" s="385" t="s">
        <v>1873</v>
      </c>
      <c r="D2332" s="385" t="s">
        <v>88</v>
      </c>
      <c r="E2332" s="385"/>
      <c r="F2332" s="385"/>
      <c r="G2332" s="385"/>
      <c r="H2332" s="385">
        <v>2024</v>
      </c>
      <c r="I2332" s="386">
        <v>45539</v>
      </c>
      <c r="J2332" s="30"/>
      <c r="K2332" s="385"/>
      <c r="L2332" s="385"/>
      <c r="M2332" s="385"/>
      <c r="N2332" s="385"/>
      <c r="O2332" s="385"/>
      <c r="P2332" s="385" t="str">
        <f>IFERROR(
    IF(
        OR(ISBLANK(I2332), ISBLANK(L2332)),
        "",
        MAX(
            1,
            IF(
                NETWORKDAYS(I2332, L2332, Holiday_Dates) &lt;= 0,
                1,
                NETWORKDAYS(I2332, L2332, Holiday_Dates) - IF(I2332 = L2332, 0, 1)
            )
        )
    ),
    ""
)</f>
        <v/>
      </c>
      <c r="Q2332" s="385" t="str">
        <f>IF(
    OR(ISBLANK(L2332), ISBLANK(M2332)),
    "",
    MAX(
        1,
        IF(
            NETWORKDAYS(L2332, M2332, Holiday_Dates) &lt;= 0,
            1,
            NETWORKDAYS(L2332, M2332, Holiday_Dates) - IF(L2332 = M2332, 0, 1)
        )
    )
)</f>
        <v/>
      </c>
      <c r="R2332" s="385" t="str">
        <f>IFERROR(
    IF(
        OR(ISBLANK(N2332), AND(ISBLANK(L2332), ISBLANK(M2332))),
        "",
        MAX(
            1,
            IF(
                NETWORKDAYS(IF(NOT(ISBLANK(M2332)), M2332, L2332), N2332, Holiday_Dates) &lt;= 0,
                1,
                NETWORKDAYS(IF(NOT(ISBLANK(M2332)), M2332, L2332), N2332, Holiday_Dates)
                - IF(IF(NOT(ISBLANK(M2332)), M2332, L2332) = N2332, 0, 1)
            )
        )
    ),
    ""
)</f>
        <v/>
      </c>
      <c r="S2332" s="385" t="str">
        <f>IFERROR(
    IF(
        OR(ISBLANK(N2332), ISBLANK(O2332)),
        "",
        MAX(
            1,
            IF(
                NETWORKDAYS(N2332, O2332, Holiday_Dates) &lt;= 0,
                1,
                NETWORKDAYS(N2332, O2332, Holiday_Dates) - IF(N2332 = O2332, 0, 1)
            )
        )
    ),
    ""
)</f>
        <v/>
      </c>
      <c r="T2332" s="385"/>
      <c r="U2332" s="385" t="s">
        <v>4</v>
      </c>
      <c r="V2332" s="385" t="s">
        <v>108</v>
      </c>
      <c r="W2332" s="385" t="s">
        <v>1436</v>
      </c>
      <c r="X2332" s="1"/>
    </row>
    <row r="2333" spans="1:24">
      <c r="A2333" s="385" t="s">
        <v>51</v>
      </c>
      <c r="B2333" s="385" t="s">
        <v>1361</v>
      </c>
      <c r="C2333" s="385" t="s">
        <v>881</v>
      </c>
      <c r="D2333" s="385" t="s">
        <v>88</v>
      </c>
      <c r="E2333" s="385"/>
      <c r="F2333" s="385"/>
      <c r="G2333" s="385"/>
      <c r="H2333" s="385">
        <v>2025</v>
      </c>
      <c r="I2333" s="386">
        <v>45758</v>
      </c>
      <c r="J2333" s="30" t="s">
        <v>5552</v>
      </c>
      <c r="K2333" s="385"/>
      <c r="L2333" s="385"/>
      <c r="M2333" s="385"/>
      <c r="N2333" s="385"/>
      <c r="O2333" s="385"/>
      <c r="P2333" s="385" t="str">
        <f>IFERROR(
    IF(
        OR(ISBLANK(I2333), ISBLANK(L2333)),
        "",
        MAX(
            1,
            IF(
                NETWORKDAYS(I2333, L2333, Holiday_Dates) &lt;= 0,
                1,
                NETWORKDAYS(I2333, L2333, Holiday_Dates) - IF(I2333 = L2333, 0, 1)
            )
        )
    ),
    ""
)</f>
        <v/>
      </c>
      <c r="Q2333" s="385" t="str">
        <f>IF(
    OR(ISBLANK(L2333), ISBLANK(M2333)),
    "",
    MAX(
        1,
        IF(
            NETWORKDAYS(L2333, M2333, Holiday_Dates) &lt;= 0,
            1,
            NETWORKDAYS(L2333, M2333, Holiday_Dates) - IF(L2333 = M2333, 0, 1)
        )
    )
)</f>
        <v/>
      </c>
      <c r="R2333" s="385" t="str">
        <f>IFERROR(
    IF(
        OR(ISBLANK(N2333), AND(ISBLANK(L2333), ISBLANK(M2333))),
        "",
        MAX(
            1,
            IF(
                NETWORKDAYS(IF(NOT(ISBLANK(M2333)), M2333, L2333), N2333, Holiday_Dates) &lt;= 0,
                1,
                NETWORKDAYS(IF(NOT(ISBLANK(M2333)), M2333, L2333), N2333, Holiday_Dates)
                - IF(IF(NOT(ISBLANK(M2333)), M2333, L2333) = N2333, 0, 1)
            )
        )
    ),
    ""
)</f>
        <v/>
      </c>
      <c r="S2333" s="385" t="str">
        <f>IFERROR(
    IF(
        OR(ISBLANK(N2333), ISBLANK(O2333)),
        "",
        MAX(
            1,
            IF(
                NETWORKDAYS(N2333, O2333, Holiday_Dates) &lt;= 0,
                1,
                NETWORKDAYS(N2333, O2333, Holiday_Dates) - IF(N2333 = O2333, 0, 1)
            )
        )
    ),
    ""
)</f>
        <v/>
      </c>
      <c r="T2333" s="385"/>
      <c r="U2333" s="385" t="s">
        <v>672</v>
      </c>
      <c r="V2333" s="385" t="s">
        <v>1676</v>
      </c>
      <c r="W2333" s="385" t="s">
        <v>1436</v>
      </c>
      <c r="X2333" s="1"/>
    </row>
    <row r="2334" spans="1:24">
      <c r="A2334" s="385" t="s">
        <v>51</v>
      </c>
      <c r="B2334" s="385" t="s">
        <v>1361</v>
      </c>
      <c r="C2334" s="385" t="s">
        <v>2234</v>
      </c>
      <c r="D2334" s="385" t="s">
        <v>88</v>
      </c>
      <c r="E2334" s="385"/>
      <c r="F2334" s="385"/>
      <c r="G2334" s="385"/>
      <c r="H2334" s="385">
        <v>2025</v>
      </c>
      <c r="I2334" s="386">
        <v>45699</v>
      </c>
      <c r="J2334" s="30" t="s">
        <v>5553</v>
      </c>
      <c r="K2334" s="385"/>
      <c r="L2334" s="385"/>
      <c r="M2334" s="385"/>
      <c r="N2334" s="385"/>
      <c r="O2334" s="385"/>
      <c r="P2334" s="385" t="str">
        <f>IFERROR(
    IF(
        OR(ISBLANK(I2334), ISBLANK(L2334)),
        "",
        MAX(
            1,
            IF(
                NETWORKDAYS(I2334, L2334, Holiday_Dates) &lt;= 0,
                1,
                NETWORKDAYS(I2334, L2334, Holiday_Dates) - IF(I2334 = L2334, 0, 1)
            )
        )
    ),
    ""
)</f>
        <v/>
      </c>
      <c r="Q2334" s="385" t="str">
        <f>IF(
    OR(ISBLANK(L2334), ISBLANK(M2334)),
    "",
    MAX(
        1,
        IF(
            NETWORKDAYS(L2334, M2334, Holiday_Dates) &lt;= 0,
            1,
            NETWORKDAYS(L2334, M2334, Holiday_Dates) - IF(L2334 = M2334, 0, 1)
        )
    )
)</f>
        <v/>
      </c>
      <c r="R2334" s="385" t="str">
        <f>IFERROR(
    IF(
        OR(ISBLANK(N2334), AND(ISBLANK(L2334), ISBLANK(M2334))),
        "",
        MAX(
            1,
            IF(
                NETWORKDAYS(IF(NOT(ISBLANK(M2334)), M2334, L2334), N2334, Holiday_Dates) &lt;= 0,
                1,
                NETWORKDAYS(IF(NOT(ISBLANK(M2334)), M2334, L2334), N2334, Holiday_Dates)
                - IF(IF(NOT(ISBLANK(M2334)), M2334, L2334) = N2334, 0, 1)
            )
        )
    ),
    ""
)</f>
        <v/>
      </c>
      <c r="S2334" s="385" t="str">
        <f>IFERROR(
    IF(
        OR(ISBLANK(N2334), ISBLANK(O2334)),
        "",
        MAX(
            1,
            IF(
                NETWORKDAYS(N2334, O2334, Holiday_Dates) &lt;= 0,
                1,
                NETWORKDAYS(N2334, O2334, Holiday_Dates) - IF(N2334 = O2334, 0, 1)
            )
        )
    ),
    ""
)</f>
        <v/>
      </c>
      <c r="T2334" s="385"/>
      <c r="U2334" s="385" t="s">
        <v>4</v>
      </c>
      <c r="V2334" s="385" t="s">
        <v>108</v>
      </c>
      <c r="W2334" s="385" t="s">
        <v>1436</v>
      </c>
      <c r="X2334" s="1"/>
    </row>
    <row r="2335" spans="1:24">
      <c r="A2335" s="385" t="s">
        <v>51</v>
      </c>
      <c r="B2335" s="385" t="s">
        <v>1361</v>
      </c>
      <c r="C2335" s="385" t="s">
        <v>1656</v>
      </c>
      <c r="D2335" s="385" t="s">
        <v>88</v>
      </c>
      <c r="E2335" s="385"/>
      <c r="F2335" s="385"/>
      <c r="G2335" s="385"/>
      <c r="H2335" s="385">
        <v>2024</v>
      </c>
      <c r="I2335" s="386">
        <v>45539</v>
      </c>
      <c r="J2335" s="30"/>
      <c r="K2335" s="385"/>
      <c r="L2335" s="385"/>
      <c r="M2335" s="385"/>
      <c r="N2335" s="385"/>
      <c r="O2335" s="385"/>
      <c r="P2335" s="385" t="str">
        <f>IFERROR(
    IF(
        OR(ISBLANK(I2335), ISBLANK(L2335)),
        "",
        MAX(
            1,
            IF(
                NETWORKDAYS(I2335, L2335, Holiday_Dates) &lt;= 0,
                1,
                NETWORKDAYS(I2335, L2335, Holiday_Dates) - IF(I2335 = L2335, 0, 1)
            )
        )
    ),
    ""
)</f>
        <v/>
      </c>
      <c r="Q2335" s="385" t="str">
        <f>IF(
    OR(ISBLANK(L2335), ISBLANK(M2335)),
    "",
    MAX(
        1,
        IF(
            NETWORKDAYS(L2335, M2335, Holiday_Dates) &lt;= 0,
            1,
            NETWORKDAYS(L2335, M2335, Holiday_Dates) - IF(L2335 = M2335, 0, 1)
        )
    )
)</f>
        <v/>
      </c>
      <c r="R2335" s="385" t="str">
        <f>IFERROR(
    IF(
        OR(ISBLANK(N2335), AND(ISBLANK(L2335), ISBLANK(M2335))),
        "",
        MAX(
            1,
            IF(
                NETWORKDAYS(IF(NOT(ISBLANK(M2335)), M2335, L2335), N2335, Holiday_Dates) &lt;= 0,
                1,
                NETWORKDAYS(IF(NOT(ISBLANK(M2335)), M2335, L2335), N2335, Holiday_Dates)
                - IF(IF(NOT(ISBLANK(M2335)), M2335, L2335) = N2335, 0, 1)
            )
        )
    ),
    ""
)</f>
        <v/>
      </c>
      <c r="S2335" s="385" t="str">
        <f>IFERROR(
    IF(
        OR(ISBLANK(N2335), ISBLANK(O2335)),
        "",
        MAX(
            1,
            IF(
                NETWORKDAYS(N2335, O2335, Holiday_Dates) &lt;= 0,
                1,
                NETWORKDAYS(N2335, O2335, Holiday_Dates) - IF(N2335 = O2335, 0, 1)
            )
        )
    ),
    ""
)</f>
        <v/>
      </c>
      <c r="T2335" s="385"/>
      <c r="U2335" s="385" t="s">
        <v>4</v>
      </c>
      <c r="V2335" s="385" t="s">
        <v>108</v>
      </c>
      <c r="W2335" s="385" t="s">
        <v>1436</v>
      </c>
      <c r="X2335" s="1"/>
    </row>
    <row r="2336" spans="1:24">
      <c r="A2336" s="385" t="s">
        <v>65</v>
      </c>
      <c r="B2336" s="385" t="s">
        <v>446</v>
      </c>
      <c r="C2336" s="385" t="s">
        <v>3427</v>
      </c>
      <c r="D2336" s="385" t="s">
        <v>88</v>
      </c>
      <c r="E2336" s="385" t="s">
        <v>140</v>
      </c>
      <c r="F2336" s="385"/>
      <c r="G2336" s="385" t="s">
        <v>130</v>
      </c>
      <c r="H2336" s="385"/>
      <c r="I2336" s="385"/>
      <c r="J2336" s="30"/>
      <c r="K2336" s="385"/>
      <c r="L2336" s="385"/>
      <c r="M2336" s="385"/>
      <c r="N2336" s="385"/>
      <c r="O2336" s="385"/>
      <c r="P2336" s="385" t="str">
        <f>IFERROR(
    IF(
        OR(ISBLANK(I2336), ISBLANK(L2336)),
        "",
        MAX(
            1,
            IF(
                NETWORKDAYS(I2336, L2336, Holiday_Dates) &lt;= 0,
                1,
                NETWORKDAYS(I2336, L2336, Holiday_Dates) - IF(I2336 = L2336, 0, 1)
            )
        )
    ),
    ""
)</f>
        <v/>
      </c>
      <c r="Q2336" s="385" t="str">
        <f>IF(
    OR(ISBLANK(L2336), ISBLANK(M2336)),
    "",
    MAX(
        1,
        IF(
            NETWORKDAYS(L2336, M2336, Holiday_Dates) &lt;= 0,
            1,
            NETWORKDAYS(L2336, M2336, Holiday_Dates) - IF(L2336 = M2336, 0, 1)
        )
    )
)</f>
        <v/>
      </c>
      <c r="R2336" s="385" t="str">
        <f>IFERROR(
    IF(
        OR(ISBLANK(N2336), AND(ISBLANK(L2336), ISBLANK(M2336))),
        "",
        MAX(
            1,
            IF(
                NETWORKDAYS(IF(NOT(ISBLANK(M2336)), M2336, L2336), N2336, Holiday_Dates) &lt;= 0,
                1,
                NETWORKDAYS(IF(NOT(ISBLANK(M2336)), M2336, L2336), N2336, Holiday_Dates)
                - IF(IF(NOT(ISBLANK(M2336)), M2336, L2336) = N2336, 0, 1)
            )
        )
    ),
    ""
)</f>
        <v/>
      </c>
      <c r="S2336" s="385" t="str">
        <f>IFERROR(
    IF(
        OR(ISBLANK(N2336), ISBLANK(O2336)),
        "",
        MAX(
            1,
            IF(
                NETWORKDAYS(N2336, O2336, Holiday_Dates) &lt;= 0,
                1,
                NETWORKDAYS(N2336, O2336, Holiday_Dates) - IF(N2336 = O2336, 0, 1)
            )
        )
    ),
    ""
)</f>
        <v/>
      </c>
      <c r="T2336" s="385"/>
      <c r="U2336" s="385"/>
      <c r="V2336" s="385"/>
      <c r="W2336" s="385" t="s">
        <v>4710</v>
      </c>
      <c r="X2336" s="1"/>
    </row>
    <row r="2337" spans="1:24">
      <c r="A2337" s="385" t="s">
        <v>51</v>
      </c>
      <c r="B2337" s="385" t="s">
        <v>1361</v>
      </c>
      <c r="C2337" s="385" t="s">
        <v>1020</v>
      </c>
      <c r="D2337" s="385" t="s">
        <v>88</v>
      </c>
      <c r="E2337" s="385"/>
      <c r="F2337" s="385"/>
      <c r="G2337" s="385"/>
      <c r="H2337" s="385">
        <v>2025</v>
      </c>
      <c r="I2337" s="386">
        <v>45723</v>
      </c>
      <c r="J2337" s="30" t="s">
        <v>5554</v>
      </c>
      <c r="K2337" s="385"/>
      <c r="L2337" s="385"/>
      <c r="M2337" s="385"/>
      <c r="N2337" s="385"/>
      <c r="O2337" s="385"/>
      <c r="P2337" s="385" t="str">
        <f>IFERROR(
    IF(
        OR(ISBLANK(I2337), ISBLANK(L2337)),
        "",
        MAX(
            1,
            IF(
                NETWORKDAYS(I2337, L2337, Holiday_Dates) &lt;= 0,
                1,
                NETWORKDAYS(I2337, L2337, Holiday_Dates) - IF(I2337 = L2337, 0, 1)
            )
        )
    ),
    ""
)</f>
        <v/>
      </c>
      <c r="Q2337" s="385" t="str">
        <f>IF(
    OR(ISBLANK(L2337), ISBLANK(M2337)),
    "",
    MAX(
        1,
        IF(
            NETWORKDAYS(L2337, M2337, Holiday_Dates) &lt;= 0,
            1,
            NETWORKDAYS(L2337, M2337, Holiday_Dates) - IF(L2337 = M2337, 0, 1)
        )
    )
)</f>
        <v/>
      </c>
      <c r="R2337" s="385" t="str">
        <f>IFERROR(
    IF(
        OR(ISBLANK(N2337), AND(ISBLANK(L2337), ISBLANK(M2337))),
        "",
        MAX(
            1,
            IF(
                NETWORKDAYS(IF(NOT(ISBLANK(M2337)), M2337, L2337), N2337, Holiday_Dates) &lt;= 0,
                1,
                NETWORKDAYS(IF(NOT(ISBLANK(M2337)), M2337, L2337), N2337, Holiday_Dates)
                - IF(IF(NOT(ISBLANK(M2337)), M2337, L2337) = N2337, 0, 1)
            )
        )
    ),
    ""
)</f>
        <v/>
      </c>
      <c r="S2337" s="385" t="str">
        <f>IFERROR(
    IF(
        OR(ISBLANK(N2337), ISBLANK(O2337)),
        "",
        MAX(
            1,
            IF(
                NETWORKDAYS(N2337, O2337, Holiday_Dates) &lt;= 0,
                1,
                NETWORKDAYS(N2337, O2337, Holiday_Dates) - IF(N2337 = O2337, 0, 1)
            )
        )
    ),
    ""
)</f>
        <v/>
      </c>
      <c r="T2337" s="385"/>
      <c r="U2337" s="385" t="s">
        <v>4</v>
      </c>
      <c r="V2337" s="385" t="s">
        <v>101</v>
      </c>
      <c r="W2337" s="385" t="s">
        <v>1436</v>
      </c>
      <c r="X2337" s="1"/>
    </row>
    <row r="2338" spans="1:24">
      <c r="A2338" s="385" t="s">
        <v>65</v>
      </c>
      <c r="B2338" s="385" t="s">
        <v>446</v>
      </c>
      <c r="C2338" s="385" t="s">
        <v>3429</v>
      </c>
      <c r="D2338" s="385" t="s">
        <v>88</v>
      </c>
      <c r="E2338" s="385" t="s">
        <v>140</v>
      </c>
      <c r="F2338" s="385"/>
      <c r="G2338" s="385" t="s">
        <v>130</v>
      </c>
      <c r="H2338" s="385"/>
      <c r="I2338" s="385"/>
      <c r="J2338" s="30"/>
      <c r="K2338" s="385"/>
      <c r="L2338" s="385"/>
      <c r="M2338" s="385"/>
      <c r="N2338" s="385"/>
      <c r="O2338" s="385"/>
      <c r="P2338" s="385" t="str">
        <f>IFERROR(
    IF(
        OR(ISBLANK(I2338), ISBLANK(L2338)),
        "",
        MAX(
            1,
            IF(
                NETWORKDAYS(I2338, L2338, Holiday_Dates) &lt;= 0,
                1,
                NETWORKDAYS(I2338, L2338, Holiday_Dates) - IF(I2338 = L2338, 0, 1)
            )
        )
    ),
    ""
)</f>
        <v/>
      </c>
      <c r="Q2338" s="385" t="str">
        <f>IF(
    OR(ISBLANK(L2338), ISBLANK(M2338)),
    "",
    MAX(
        1,
        IF(
            NETWORKDAYS(L2338, M2338, Holiday_Dates) &lt;= 0,
            1,
            NETWORKDAYS(L2338, M2338, Holiday_Dates) - IF(L2338 = M2338, 0, 1)
        )
    )
)</f>
        <v/>
      </c>
      <c r="R2338" s="385" t="str">
        <f>IFERROR(
    IF(
        OR(ISBLANK(N2338), AND(ISBLANK(L2338), ISBLANK(M2338))),
        "",
        MAX(
            1,
            IF(
                NETWORKDAYS(IF(NOT(ISBLANK(M2338)), M2338, L2338), N2338, Holiday_Dates) &lt;= 0,
                1,
                NETWORKDAYS(IF(NOT(ISBLANK(M2338)), M2338, L2338), N2338, Holiday_Dates)
                - IF(IF(NOT(ISBLANK(M2338)), M2338, L2338) = N2338, 0, 1)
            )
        )
    ),
    ""
)</f>
        <v/>
      </c>
      <c r="S2338" s="385" t="str">
        <f>IFERROR(
    IF(
        OR(ISBLANK(N2338), ISBLANK(O2338)),
        "",
        MAX(
            1,
            IF(
                NETWORKDAYS(N2338, O2338, Holiday_Dates) &lt;= 0,
                1,
                NETWORKDAYS(N2338, O2338, Holiday_Dates) - IF(N2338 = O2338, 0, 1)
            )
        )
    ),
    ""
)</f>
        <v/>
      </c>
      <c r="T2338" s="385"/>
      <c r="U2338" s="385"/>
      <c r="V2338" s="385"/>
      <c r="W2338" s="385" t="s">
        <v>4710</v>
      </c>
      <c r="X2338" s="1"/>
    </row>
    <row r="2339" spans="1:24">
      <c r="A2339" s="385" t="s">
        <v>51</v>
      </c>
      <c r="B2339" s="385" t="s">
        <v>791</v>
      </c>
      <c r="C2339" s="385" t="s">
        <v>3853</v>
      </c>
      <c r="D2339" s="385" t="s">
        <v>88</v>
      </c>
      <c r="E2339" s="385"/>
      <c r="F2339" s="385"/>
      <c r="G2339" s="385"/>
      <c r="H2339" s="385">
        <v>2025</v>
      </c>
      <c r="I2339" s="386">
        <v>45700</v>
      </c>
      <c r="J2339" s="30" t="s">
        <v>5555</v>
      </c>
      <c r="K2339" s="385"/>
      <c r="L2339" s="385"/>
      <c r="M2339" s="385"/>
      <c r="N2339" s="385"/>
      <c r="O2339" s="385"/>
      <c r="P2339" s="385" t="str">
        <f>IFERROR(
    IF(
        OR(ISBLANK(I2339), ISBLANK(L2339)),
        "",
        MAX(
            1,
            IF(
                NETWORKDAYS(I2339, L2339, Holiday_Dates) &lt;= 0,
                1,
                NETWORKDAYS(I2339, L2339, Holiday_Dates) - IF(I2339 = L2339, 0, 1)
            )
        )
    ),
    ""
)</f>
        <v/>
      </c>
      <c r="Q2339" s="385" t="str">
        <f>IF(
    OR(ISBLANK(L2339), ISBLANK(M2339)),
    "",
    MAX(
        1,
        IF(
            NETWORKDAYS(L2339, M2339, Holiday_Dates) &lt;= 0,
            1,
            NETWORKDAYS(L2339, M2339, Holiday_Dates) - IF(L2339 = M2339, 0, 1)
        )
    )
)</f>
        <v/>
      </c>
      <c r="R2339" s="385" t="str">
        <f>IFERROR(
    IF(
        OR(ISBLANK(N2339), AND(ISBLANK(L2339), ISBLANK(M2339))),
        "",
        MAX(
            1,
            IF(
                NETWORKDAYS(IF(NOT(ISBLANK(M2339)), M2339, L2339), N2339, Holiday_Dates) &lt;= 0,
                1,
                NETWORKDAYS(IF(NOT(ISBLANK(M2339)), M2339, L2339), N2339, Holiday_Dates)
                - IF(IF(NOT(ISBLANK(M2339)), M2339, L2339) = N2339, 0, 1)
            )
        )
    ),
    ""
)</f>
        <v/>
      </c>
      <c r="S2339" s="385" t="str">
        <f>IFERROR(
    IF(
        OR(ISBLANK(N2339), ISBLANK(O2339)),
        "",
        MAX(
            1,
            IF(
                NETWORKDAYS(N2339, O2339, Holiday_Dates) &lt;= 0,
                1,
                NETWORKDAYS(N2339, O2339, Holiday_Dates) - IF(N2339 = O2339, 0, 1)
            )
        )
    ),
    ""
)</f>
        <v/>
      </c>
      <c r="T2339" s="385"/>
      <c r="U2339" s="385" t="s">
        <v>672</v>
      </c>
      <c r="V2339" s="385" t="s">
        <v>1676</v>
      </c>
      <c r="W2339" s="385" t="s">
        <v>1436</v>
      </c>
      <c r="X2339" s="1"/>
    </row>
    <row r="2340" spans="1:24">
      <c r="A2340" s="385" t="s">
        <v>65</v>
      </c>
      <c r="B2340" s="385" t="s">
        <v>446</v>
      </c>
      <c r="C2340" s="385" t="s">
        <v>2464</v>
      </c>
      <c r="D2340" s="385" t="s">
        <v>88</v>
      </c>
      <c r="E2340" s="385" t="s">
        <v>140</v>
      </c>
      <c r="F2340" s="385"/>
      <c r="G2340" s="385" t="s">
        <v>130</v>
      </c>
      <c r="H2340" s="385"/>
      <c r="I2340" s="385"/>
      <c r="J2340" s="30"/>
      <c r="K2340" s="385"/>
      <c r="L2340" s="385"/>
      <c r="M2340" s="385"/>
      <c r="N2340" s="385"/>
      <c r="O2340" s="385"/>
      <c r="P2340" s="385" t="str">
        <f>IFERROR(
    IF(
        OR(ISBLANK(I2340), ISBLANK(L2340)),
        "",
        MAX(
            1,
            IF(
                NETWORKDAYS(I2340, L2340, Holiday_Dates) &lt;= 0,
                1,
                NETWORKDAYS(I2340, L2340, Holiday_Dates) - IF(I2340 = L2340, 0, 1)
            )
        )
    ),
    ""
)</f>
        <v/>
      </c>
      <c r="Q2340" s="385" t="str">
        <f>IF(
    OR(ISBLANK(L2340), ISBLANK(M2340)),
    "",
    MAX(
        1,
        IF(
            NETWORKDAYS(L2340, M2340, Holiday_Dates) &lt;= 0,
            1,
            NETWORKDAYS(L2340, M2340, Holiday_Dates) - IF(L2340 = M2340, 0, 1)
        )
    )
)</f>
        <v/>
      </c>
      <c r="R2340" s="385" t="str">
        <f>IFERROR(
    IF(
        OR(ISBLANK(N2340), AND(ISBLANK(L2340), ISBLANK(M2340))),
        "",
        MAX(
            1,
            IF(
                NETWORKDAYS(IF(NOT(ISBLANK(M2340)), M2340, L2340), N2340, Holiday_Dates) &lt;= 0,
                1,
                NETWORKDAYS(IF(NOT(ISBLANK(M2340)), M2340, L2340), N2340, Holiday_Dates)
                - IF(IF(NOT(ISBLANK(M2340)), M2340, L2340) = N2340, 0, 1)
            )
        )
    ),
    ""
)</f>
        <v/>
      </c>
      <c r="S2340" s="385" t="str">
        <f>IFERROR(
    IF(
        OR(ISBLANK(N2340), ISBLANK(O2340)),
        "",
        MAX(
            1,
            IF(
                NETWORKDAYS(N2340, O2340, Holiday_Dates) &lt;= 0,
                1,
                NETWORKDAYS(N2340, O2340, Holiday_Dates) - IF(N2340 = O2340, 0, 1)
            )
        )
    ),
    ""
)</f>
        <v/>
      </c>
      <c r="T2340" s="385"/>
      <c r="U2340" s="385"/>
      <c r="V2340" s="385"/>
      <c r="W2340" s="385" t="s">
        <v>4710</v>
      </c>
      <c r="X2340" s="1"/>
    </row>
    <row r="2341" spans="1:24">
      <c r="A2341" s="385" t="s">
        <v>51</v>
      </c>
      <c r="B2341" s="385" t="s">
        <v>791</v>
      </c>
      <c r="C2341" s="385" t="s">
        <v>2342</v>
      </c>
      <c r="D2341" s="385" t="s">
        <v>88</v>
      </c>
      <c r="E2341" s="385"/>
      <c r="F2341" s="385"/>
      <c r="G2341" s="385"/>
      <c r="H2341" s="385">
        <v>2025</v>
      </c>
      <c r="I2341" s="386">
        <v>45854</v>
      </c>
      <c r="J2341" s="30" t="s">
        <v>5556</v>
      </c>
      <c r="K2341" s="385"/>
      <c r="L2341" s="385"/>
      <c r="M2341" s="385"/>
      <c r="N2341" s="385"/>
      <c r="O2341" s="385"/>
      <c r="P2341" s="385" t="str">
        <f>IFERROR(
    IF(
        OR(ISBLANK(I2341), ISBLANK(L2341)),
        "",
        MAX(
            1,
            IF(
                NETWORKDAYS(I2341, L2341, Holiday_Dates) &lt;= 0,
                1,
                NETWORKDAYS(I2341, L2341, Holiday_Dates) - IF(I2341 = L2341, 0, 1)
            )
        )
    ),
    ""
)</f>
        <v/>
      </c>
      <c r="Q2341" s="385" t="str">
        <f>IF(
    OR(ISBLANK(L2341), ISBLANK(M2341)),
    "",
    MAX(
        1,
        IF(
            NETWORKDAYS(L2341, M2341, Holiday_Dates) &lt;= 0,
            1,
            NETWORKDAYS(L2341, M2341, Holiday_Dates) - IF(L2341 = M2341, 0, 1)
        )
    )
)</f>
        <v/>
      </c>
      <c r="R2341" s="385" t="str">
        <f>IFERROR(
    IF(
        OR(ISBLANK(N2341), AND(ISBLANK(L2341), ISBLANK(M2341))),
        "",
        MAX(
            1,
            IF(
                NETWORKDAYS(IF(NOT(ISBLANK(M2341)), M2341, L2341), N2341, Holiday_Dates) &lt;= 0,
                1,
                NETWORKDAYS(IF(NOT(ISBLANK(M2341)), M2341, L2341), N2341, Holiday_Dates)
                - IF(IF(NOT(ISBLANK(M2341)), M2341, L2341) = N2341, 0, 1)
            )
        )
    ),
    ""
)</f>
        <v/>
      </c>
      <c r="S2341" s="385" t="str">
        <f>IFERROR(
    IF(
        OR(ISBLANK(N2341), ISBLANK(O2341)),
        "",
        MAX(
            1,
            IF(
                NETWORKDAYS(N2341, O2341, Holiday_Dates) &lt;= 0,
                1,
                NETWORKDAYS(N2341, O2341, Holiday_Dates) - IF(N2341 = O2341, 0, 1)
            )
        )
    ),
    ""
)</f>
        <v/>
      </c>
      <c r="T2341" s="385"/>
      <c r="U2341" s="385" t="s">
        <v>672</v>
      </c>
      <c r="V2341" s="385" t="s">
        <v>1676</v>
      </c>
      <c r="W2341" s="385" t="s">
        <v>1436</v>
      </c>
      <c r="X2341" s="1"/>
    </row>
    <row r="2342" spans="1:24">
      <c r="A2342" s="385" t="s">
        <v>51</v>
      </c>
      <c r="B2342" s="385" t="s">
        <v>791</v>
      </c>
      <c r="C2342" s="385" t="s">
        <v>3855</v>
      </c>
      <c r="D2342" s="385" t="s">
        <v>88</v>
      </c>
      <c r="E2342" s="385"/>
      <c r="F2342" s="385"/>
      <c r="G2342" s="385"/>
      <c r="H2342" s="385">
        <v>2025</v>
      </c>
      <c r="I2342" s="386">
        <v>45876</v>
      </c>
      <c r="J2342" s="30" t="s">
        <v>5557</v>
      </c>
      <c r="K2342" s="385"/>
      <c r="L2342" s="385"/>
      <c r="M2342" s="385"/>
      <c r="N2342" s="385"/>
      <c r="O2342" s="385"/>
      <c r="P2342" s="385" t="str">
        <f>IFERROR(
    IF(
        OR(ISBLANK(I2342), ISBLANK(L2342)),
        "",
        MAX(
            1,
            IF(
                NETWORKDAYS(I2342, L2342, Holiday_Dates) &lt;= 0,
                1,
                NETWORKDAYS(I2342, L2342, Holiday_Dates) - IF(I2342 = L2342, 0, 1)
            )
        )
    ),
    ""
)</f>
        <v/>
      </c>
      <c r="Q2342" s="385" t="str">
        <f>IF(
    OR(ISBLANK(L2342), ISBLANK(M2342)),
    "",
    MAX(
        1,
        IF(
            NETWORKDAYS(L2342, M2342, Holiday_Dates) &lt;= 0,
            1,
            NETWORKDAYS(L2342, M2342, Holiday_Dates) - IF(L2342 = M2342, 0, 1)
        )
    )
)</f>
        <v/>
      </c>
      <c r="R2342" s="385" t="str">
        <f>IFERROR(
    IF(
        OR(ISBLANK(N2342), AND(ISBLANK(L2342), ISBLANK(M2342))),
        "",
        MAX(
            1,
            IF(
                NETWORKDAYS(IF(NOT(ISBLANK(M2342)), M2342, L2342), N2342, Holiday_Dates) &lt;= 0,
                1,
                NETWORKDAYS(IF(NOT(ISBLANK(M2342)), M2342, L2342), N2342, Holiday_Dates)
                - IF(IF(NOT(ISBLANK(M2342)), M2342, L2342) = N2342, 0, 1)
            )
        )
    ),
    ""
)</f>
        <v/>
      </c>
      <c r="S2342" s="385" t="str">
        <f>IFERROR(
    IF(
        OR(ISBLANK(N2342), ISBLANK(O2342)),
        "",
        MAX(
            1,
            IF(
                NETWORKDAYS(N2342, O2342, Holiday_Dates) &lt;= 0,
                1,
                NETWORKDAYS(N2342, O2342, Holiday_Dates) - IF(N2342 = O2342, 0, 1)
            )
        )
    ),
    ""
)</f>
        <v/>
      </c>
      <c r="T2342" s="385"/>
      <c r="U2342" s="385" t="s">
        <v>672</v>
      </c>
      <c r="V2342" s="385" t="s">
        <v>1676</v>
      </c>
      <c r="W2342" s="385" t="s">
        <v>1436</v>
      </c>
      <c r="X2342" s="1"/>
    </row>
    <row r="2343" spans="1:24">
      <c r="A2343" s="385" t="s">
        <v>51</v>
      </c>
      <c r="B2343" s="385" t="s">
        <v>791</v>
      </c>
      <c r="C2343" s="385" t="s">
        <v>520</v>
      </c>
      <c r="D2343" s="385" t="s">
        <v>88</v>
      </c>
      <c r="E2343" s="385"/>
      <c r="F2343" s="385"/>
      <c r="G2343" s="385"/>
      <c r="H2343" s="385">
        <v>2025</v>
      </c>
      <c r="I2343" s="386">
        <v>45876</v>
      </c>
      <c r="J2343" s="30" t="s">
        <v>5558</v>
      </c>
      <c r="K2343" s="385"/>
      <c r="L2343" s="385"/>
      <c r="M2343" s="385"/>
      <c r="N2343" s="385"/>
      <c r="O2343" s="385"/>
      <c r="P2343" s="385" t="str">
        <f>IFERROR(
    IF(
        OR(ISBLANK(I2343), ISBLANK(L2343)),
        "",
        MAX(
            1,
            IF(
                NETWORKDAYS(I2343, L2343, Holiday_Dates) &lt;= 0,
                1,
                NETWORKDAYS(I2343, L2343, Holiday_Dates) - IF(I2343 = L2343, 0, 1)
            )
        )
    ),
    ""
)</f>
        <v/>
      </c>
      <c r="Q2343" s="385" t="str">
        <f>IF(
    OR(ISBLANK(L2343), ISBLANK(M2343)),
    "",
    MAX(
        1,
        IF(
            NETWORKDAYS(L2343, M2343, Holiday_Dates) &lt;= 0,
            1,
            NETWORKDAYS(L2343, M2343, Holiday_Dates) - IF(L2343 = M2343, 0, 1)
        )
    )
)</f>
        <v/>
      </c>
      <c r="R2343" s="385" t="str">
        <f>IFERROR(
    IF(
        OR(ISBLANK(N2343), AND(ISBLANK(L2343), ISBLANK(M2343))),
        "",
        MAX(
            1,
            IF(
                NETWORKDAYS(IF(NOT(ISBLANK(M2343)), M2343, L2343), N2343, Holiday_Dates) &lt;= 0,
                1,
                NETWORKDAYS(IF(NOT(ISBLANK(M2343)), M2343, L2343), N2343, Holiday_Dates)
                - IF(IF(NOT(ISBLANK(M2343)), M2343, L2343) = N2343, 0, 1)
            )
        )
    ),
    ""
)</f>
        <v/>
      </c>
      <c r="S2343" s="385" t="str">
        <f>IFERROR(
    IF(
        OR(ISBLANK(N2343), ISBLANK(O2343)),
        "",
        MAX(
            1,
            IF(
                NETWORKDAYS(N2343, O2343, Holiday_Dates) &lt;= 0,
                1,
                NETWORKDAYS(N2343, O2343, Holiday_Dates) - IF(N2343 = O2343, 0, 1)
            )
        )
    ),
    ""
)</f>
        <v/>
      </c>
      <c r="T2343" s="385"/>
      <c r="U2343" s="385" t="s">
        <v>672</v>
      </c>
      <c r="V2343" s="385" t="s">
        <v>1676</v>
      </c>
      <c r="W2343" s="385" t="s">
        <v>1436</v>
      </c>
      <c r="X2343" s="1"/>
    </row>
    <row r="2344" spans="1:24">
      <c r="A2344" s="385" t="s">
        <v>51</v>
      </c>
      <c r="B2344" s="385" t="s">
        <v>791</v>
      </c>
      <c r="C2344" s="385" t="s">
        <v>2278</v>
      </c>
      <c r="D2344" s="385" t="s">
        <v>88</v>
      </c>
      <c r="E2344" s="385"/>
      <c r="F2344" s="385"/>
      <c r="G2344" s="385"/>
      <c r="H2344" s="385">
        <v>2025</v>
      </c>
      <c r="I2344" s="386">
        <v>45833</v>
      </c>
      <c r="J2344" s="30" t="s">
        <v>5559</v>
      </c>
      <c r="K2344" s="385"/>
      <c r="L2344" s="385"/>
      <c r="M2344" s="385"/>
      <c r="N2344" s="385"/>
      <c r="O2344" s="385"/>
      <c r="P2344" s="385" t="str">
        <f>IFERROR(
    IF(
        OR(ISBLANK(I2344), ISBLANK(L2344)),
        "",
        MAX(
            1,
            IF(
                NETWORKDAYS(I2344, L2344, Holiday_Dates) &lt;= 0,
                1,
                NETWORKDAYS(I2344, L2344, Holiday_Dates) - IF(I2344 = L2344, 0, 1)
            )
        )
    ),
    ""
)</f>
        <v/>
      </c>
      <c r="Q2344" s="385" t="str">
        <f>IF(
    OR(ISBLANK(L2344), ISBLANK(M2344)),
    "",
    MAX(
        1,
        IF(
            NETWORKDAYS(L2344, M2344, Holiday_Dates) &lt;= 0,
            1,
            NETWORKDAYS(L2344, M2344, Holiday_Dates) - IF(L2344 = M2344, 0, 1)
        )
    )
)</f>
        <v/>
      </c>
      <c r="R2344" s="385" t="str">
        <f>IFERROR(
    IF(
        OR(ISBLANK(N2344), AND(ISBLANK(L2344), ISBLANK(M2344))),
        "",
        MAX(
            1,
            IF(
                NETWORKDAYS(IF(NOT(ISBLANK(M2344)), M2344, L2344), N2344, Holiday_Dates) &lt;= 0,
                1,
                NETWORKDAYS(IF(NOT(ISBLANK(M2344)), M2344, L2344), N2344, Holiday_Dates)
                - IF(IF(NOT(ISBLANK(M2344)), M2344, L2344) = N2344, 0, 1)
            )
        )
    ),
    ""
)</f>
        <v/>
      </c>
      <c r="S2344" s="385" t="str">
        <f>IFERROR(
    IF(
        OR(ISBLANK(N2344), ISBLANK(O2344)),
        "",
        MAX(
            1,
            IF(
                NETWORKDAYS(N2344, O2344, Holiday_Dates) &lt;= 0,
                1,
                NETWORKDAYS(N2344, O2344, Holiday_Dates) - IF(N2344 = O2344, 0, 1)
            )
        )
    ),
    ""
)</f>
        <v/>
      </c>
      <c r="T2344" s="385"/>
      <c r="U2344" s="385" t="s">
        <v>672</v>
      </c>
      <c r="V2344" s="385" t="s">
        <v>1676</v>
      </c>
      <c r="W2344" s="385" t="s">
        <v>1436</v>
      </c>
      <c r="X2344" s="1"/>
    </row>
    <row r="2345" spans="1:24">
      <c r="A2345" s="385" t="s">
        <v>51</v>
      </c>
      <c r="B2345" s="385" t="s">
        <v>791</v>
      </c>
      <c r="C2345" s="385" t="s">
        <v>764</v>
      </c>
      <c r="D2345" s="385" t="s">
        <v>88</v>
      </c>
      <c r="E2345" s="385"/>
      <c r="F2345" s="385"/>
      <c r="G2345" s="385"/>
      <c r="H2345" s="385">
        <v>2025</v>
      </c>
      <c r="I2345" s="386">
        <v>45876</v>
      </c>
      <c r="J2345" s="30" t="s">
        <v>5560</v>
      </c>
      <c r="K2345" s="385"/>
      <c r="L2345" s="385"/>
      <c r="M2345" s="385"/>
      <c r="N2345" s="385"/>
      <c r="O2345" s="385"/>
      <c r="P2345" s="385" t="str">
        <f>IFERROR(
    IF(
        OR(ISBLANK(I2345), ISBLANK(L2345)),
        "",
        MAX(
            1,
            IF(
                NETWORKDAYS(I2345, L2345, Holiday_Dates) &lt;= 0,
                1,
                NETWORKDAYS(I2345, L2345, Holiday_Dates) - IF(I2345 = L2345, 0, 1)
            )
        )
    ),
    ""
)</f>
        <v/>
      </c>
      <c r="Q2345" s="385" t="str">
        <f>IF(
    OR(ISBLANK(L2345), ISBLANK(M2345)),
    "",
    MAX(
        1,
        IF(
            NETWORKDAYS(L2345, M2345, Holiday_Dates) &lt;= 0,
            1,
            NETWORKDAYS(L2345, M2345, Holiday_Dates) - IF(L2345 = M2345, 0, 1)
        )
    )
)</f>
        <v/>
      </c>
      <c r="R2345" s="385" t="str">
        <f>IFERROR(
    IF(
        OR(ISBLANK(N2345), AND(ISBLANK(L2345), ISBLANK(M2345))),
        "",
        MAX(
            1,
            IF(
                NETWORKDAYS(IF(NOT(ISBLANK(M2345)), M2345, L2345), N2345, Holiday_Dates) &lt;= 0,
                1,
                NETWORKDAYS(IF(NOT(ISBLANK(M2345)), M2345, L2345), N2345, Holiday_Dates)
                - IF(IF(NOT(ISBLANK(M2345)), M2345, L2345) = N2345, 0, 1)
            )
        )
    ),
    ""
)</f>
        <v/>
      </c>
      <c r="S2345" s="385" t="str">
        <f>IFERROR(
    IF(
        OR(ISBLANK(N2345), ISBLANK(O2345)),
        "",
        MAX(
            1,
            IF(
                NETWORKDAYS(N2345, O2345, Holiday_Dates) &lt;= 0,
                1,
                NETWORKDAYS(N2345, O2345, Holiday_Dates) - IF(N2345 = O2345, 0, 1)
            )
        )
    ),
    ""
)</f>
        <v/>
      </c>
      <c r="T2345" s="385"/>
      <c r="U2345" s="385" t="s">
        <v>672</v>
      </c>
      <c r="V2345" s="385" t="s">
        <v>1676</v>
      </c>
      <c r="W2345" s="385" t="s">
        <v>1436</v>
      </c>
      <c r="X2345" s="1"/>
    </row>
    <row r="2346" spans="1:24">
      <c r="A2346" s="385" t="s">
        <v>65</v>
      </c>
      <c r="B2346" s="385" t="s">
        <v>446</v>
      </c>
      <c r="C2346" s="385" t="s">
        <v>3433</v>
      </c>
      <c r="D2346" s="385" t="s">
        <v>88</v>
      </c>
      <c r="E2346" s="385" t="s">
        <v>140</v>
      </c>
      <c r="F2346" s="385"/>
      <c r="G2346" s="385" t="s">
        <v>130</v>
      </c>
      <c r="H2346" s="385"/>
      <c r="I2346" s="385"/>
      <c r="J2346" s="30"/>
      <c r="K2346" s="385"/>
      <c r="L2346" s="385"/>
      <c r="M2346" s="385"/>
      <c r="N2346" s="385"/>
      <c r="O2346" s="385"/>
      <c r="P2346" s="385" t="str">
        <f>IFERROR(
    IF(
        OR(ISBLANK(I2346), ISBLANK(L2346)),
        "",
        MAX(
            1,
            IF(
                NETWORKDAYS(I2346, L2346, Holiday_Dates) &lt;= 0,
                1,
                NETWORKDAYS(I2346, L2346, Holiday_Dates) - IF(I2346 = L2346, 0, 1)
            )
        )
    ),
    ""
)</f>
        <v/>
      </c>
      <c r="Q2346" s="385" t="str">
        <f>IF(
    OR(ISBLANK(L2346), ISBLANK(M2346)),
    "",
    MAX(
        1,
        IF(
            NETWORKDAYS(L2346, M2346, Holiday_Dates) &lt;= 0,
            1,
            NETWORKDAYS(L2346, M2346, Holiday_Dates) - IF(L2346 = M2346, 0, 1)
        )
    )
)</f>
        <v/>
      </c>
      <c r="R2346" s="385" t="str">
        <f>IFERROR(
    IF(
        OR(ISBLANK(N2346), AND(ISBLANK(L2346), ISBLANK(M2346))),
        "",
        MAX(
            1,
            IF(
                NETWORKDAYS(IF(NOT(ISBLANK(M2346)), M2346, L2346), N2346, Holiday_Dates) &lt;= 0,
                1,
                NETWORKDAYS(IF(NOT(ISBLANK(M2346)), M2346, L2346), N2346, Holiday_Dates)
                - IF(IF(NOT(ISBLANK(M2346)), M2346, L2346) = N2346, 0, 1)
            )
        )
    ),
    ""
)</f>
        <v/>
      </c>
      <c r="S2346" s="385" t="str">
        <f>IFERROR(
    IF(
        OR(ISBLANK(N2346), ISBLANK(O2346)),
        "",
        MAX(
            1,
            IF(
                NETWORKDAYS(N2346, O2346, Holiday_Dates) &lt;= 0,
                1,
                NETWORKDAYS(N2346, O2346, Holiday_Dates) - IF(N2346 = O2346, 0, 1)
            )
        )
    ),
    ""
)</f>
        <v/>
      </c>
      <c r="T2346" s="385"/>
      <c r="U2346" s="385"/>
      <c r="V2346" s="385"/>
      <c r="W2346" s="385" t="s">
        <v>4710</v>
      </c>
      <c r="X2346" s="1"/>
    </row>
    <row r="2347" spans="1:24">
      <c r="A2347" s="385" t="s">
        <v>51</v>
      </c>
      <c r="B2347" s="385" t="s">
        <v>791</v>
      </c>
      <c r="C2347" s="385" t="s">
        <v>653</v>
      </c>
      <c r="D2347" s="385" t="s">
        <v>88</v>
      </c>
      <c r="E2347" s="385"/>
      <c r="F2347" s="385"/>
      <c r="G2347" s="385"/>
      <c r="H2347" s="385">
        <v>2025</v>
      </c>
      <c r="I2347" s="386">
        <v>45821</v>
      </c>
      <c r="J2347" s="30" t="s">
        <v>5561</v>
      </c>
      <c r="K2347" s="385"/>
      <c r="L2347" s="385"/>
      <c r="M2347" s="385"/>
      <c r="N2347" s="385"/>
      <c r="O2347" s="385"/>
      <c r="P2347" s="385" t="str">
        <f>IFERROR(
    IF(
        OR(ISBLANK(I2347), ISBLANK(L2347)),
        "",
        MAX(
            1,
            IF(
                NETWORKDAYS(I2347, L2347, Holiday_Dates) &lt;= 0,
                1,
                NETWORKDAYS(I2347, L2347, Holiday_Dates) - IF(I2347 = L2347, 0, 1)
            )
        )
    ),
    ""
)</f>
        <v/>
      </c>
      <c r="Q2347" s="385" t="str">
        <f>IF(
    OR(ISBLANK(L2347), ISBLANK(M2347)),
    "",
    MAX(
        1,
        IF(
            NETWORKDAYS(L2347, M2347, Holiday_Dates) &lt;= 0,
            1,
            NETWORKDAYS(L2347, M2347, Holiday_Dates) - IF(L2347 = M2347, 0, 1)
        )
    )
)</f>
        <v/>
      </c>
      <c r="R2347" s="385" t="str">
        <f>IFERROR(
    IF(
        OR(ISBLANK(N2347), AND(ISBLANK(L2347), ISBLANK(M2347))),
        "",
        MAX(
            1,
            IF(
                NETWORKDAYS(IF(NOT(ISBLANK(M2347)), M2347, L2347), N2347, Holiday_Dates) &lt;= 0,
                1,
                NETWORKDAYS(IF(NOT(ISBLANK(M2347)), M2347, L2347), N2347, Holiday_Dates)
                - IF(IF(NOT(ISBLANK(M2347)), M2347, L2347) = N2347, 0, 1)
            )
        )
    ),
    ""
)</f>
        <v/>
      </c>
      <c r="S2347" s="385" t="str">
        <f>IFERROR(
    IF(
        OR(ISBLANK(N2347), ISBLANK(O2347)),
        "",
        MAX(
            1,
            IF(
                NETWORKDAYS(N2347, O2347, Holiday_Dates) &lt;= 0,
                1,
                NETWORKDAYS(N2347, O2347, Holiday_Dates) - IF(N2347 = O2347, 0, 1)
            )
        )
    ),
    ""
)</f>
        <v/>
      </c>
      <c r="T2347" s="385"/>
      <c r="U2347" s="385" t="s">
        <v>672</v>
      </c>
      <c r="V2347" s="385" t="s">
        <v>1676</v>
      </c>
      <c r="W2347" s="385" t="s">
        <v>1436</v>
      </c>
      <c r="X2347" s="1"/>
    </row>
    <row r="2348" spans="1:24">
      <c r="A2348" s="385" t="s">
        <v>51</v>
      </c>
      <c r="B2348" s="385" t="s">
        <v>791</v>
      </c>
      <c r="C2348" s="385" t="s">
        <v>2345</v>
      </c>
      <c r="D2348" s="385" t="s">
        <v>88</v>
      </c>
      <c r="E2348" s="385"/>
      <c r="F2348" s="385"/>
      <c r="G2348" s="385"/>
      <c r="H2348" s="385">
        <v>2025</v>
      </c>
      <c r="I2348" s="386">
        <v>45854</v>
      </c>
      <c r="J2348" s="30" t="s">
        <v>5562</v>
      </c>
      <c r="K2348" s="385"/>
      <c r="L2348" s="385"/>
      <c r="M2348" s="385"/>
      <c r="N2348" s="385"/>
      <c r="O2348" s="385"/>
      <c r="P2348" s="385" t="str">
        <f>IFERROR(
    IF(
        OR(ISBLANK(I2348), ISBLANK(L2348)),
        "",
        MAX(
            1,
            IF(
                NETWORKDAYS(I2348, L2348, Holiday_Dates) &lt;= 0,
                1,
                NETWORKDAYS(I2348, L2348, Holiday_Dates) - IF(I2348 = L2348, 0, 1)
            )
        )
    ),
    ""
)</f>
        <v/>
      </c>
      <c r="Q2348" s="385" t="str">
        <f>IF(
    OR(ISBLANK(L2348), ISBLANK(M2348)),
    "",
    MAX(
        1,
        IF(
            NETWORKDAYS(L2348, M2348, Holiday_Dates) &lt;= 0,
            1,
            NETWORKDAYS(L2348, M2348, Holiday_Dates) - IF(L2348 = M2348, 0, 1)
        )
    )
)</f>
        <v/>
      </c>
      <c r="R2348" s="385" t="str">
        <f>IFERROR(
    IF(
        OR(ISBLANK(N2348), AND(ISBLANK(L2348), ISBLANK(M2348))),
        "",
        MAX(
            1,
            IF(
                NETWORKDAYS(IF(NOT(ISBLANK(M2348)), M2348, L2348), N2348, Holiday_Dates) &lt;= 0,
                1,
                NETWORKDAYS(IF(NOT(ISBLANK(M2348)), M2348, L2348), N2348, Holiday_Dates)
                - IF(IF(NOT(ISBLANK(M2348)), M2348, L2348) = N2348, 0, 1)
            )
        )
    ),
    ""
)</f>
        <v/>
      </c>
      <c r="S2348" s="385" t="str">
        <f>IFERROR(
    IF(
        OR(ISBLANK(N2348), ISBLANK(O2348)),
        "",
        MAX(
            1,
            IF(
                NETWORKDAYS(N2348, O2348, Holiday_Dates) &lt;= 0,
                1,
                NETWORKDAYS(N2348, O2348, Holiday_Dates) - IF(N2348 = O2348, 0, 1)
            )
        )
    ),
    ""
)</f>
        <v/>
      </c>
      <c r="T2348" s="385"/>
      <c r="U2348" s="385" t="s">
        <v>672</v>
      </c>
      <c r="V2348" s="385" t="s">
        <v>1676</v>
      </c>
      <c r="W2348" s="385" t="s">
        <v>1436</v>
      </c>
      <c r="X2348" s="1"/>
    </row>
    <row r="2349" spans="1:24">
      <c r="A2349" s="385" t="s">
        <v>65</v>
      </c>
      <c r="B2349" s="385" t="s">
        <v>446</v>
      </c>
      <c r="C2349" s="385" t="s">
        <v>3114</v>
      </c>
      <c r="D2349" s="385" t="s">
        <v>88</v>
      </c>
      <c r="E2349" s="385" t="s">
        <v>140</v>
      </c>
      <c r="F2349" s="385"/>
      <c r="G2349" s="385" t="s">
        <v>130</v>
      </c>
      <c r="H2349" s="385"/>
      <c r="I2349" s="385"/>
      <c r="J2349" s="30"/>
      <c r="K2349" s="385"/>
      <c r="L2349" s="385"/>
      <c r="M2349" s="385"/>
      <c r="N2349" s="385"/>
      <c r="O2349" s="385"/>
      <c r="P2349" s="385" t="str">
        <f>IFERROR(
    IF(
        OR(ISBLANK(I2349), ISBLANK(L2349)),
        "",
        MAX(
            1,
            IF(
                NETWORKDAYS(I2349, L2349, Holiday_Dates) &lt;= 0,
                1,
                NETWORKDAYS(I2349, L2349, Holiday_Dates) - IF(I2349 = L2349, 0, 1)
            )
        )
    ),
    ""
)</f>
        <v/>
      </c>
      <c r="Q2349" s="385" t="str">
        <f>IF(
    OR(ISBLANK(L2349), ISBLANK(M2349)),
    "",
    MAX(
        1,
        IF(
            NETWORKDAYS(L2349, M2349, Holiday_Dates) &lt;= 0,
            1,
            NETWORKDAYS(L2349, M2349, Holiday_Dates) - IF(L2349 = M2349, 0, 1)
        )
    )
)</f>
        <v/>
      </c>
      <c r="R2349" s="385" t="str">
        <f>IFERROR(
    IF(
        OR(ISBLANK(N2349), AND(ISBLANK(L2349), ISBLANK(M2349))),
        "",
        MAX(
            1,
            IF(
                NETWORKDAYS(IF(NOT(ISBLANK(M2349)), M2349, L2349), N2349, Holiday_Dates) &lt;= 0,
                1,
                NETWORKDAYS(IF(NOT(ISBLANK(M2349)), M2349, L2349), N2349, Holiday_Dates)
                - IF(IF(NOT(ISBLANK(M2349)), M2349, L2349) = N2349, 0, 1)
            )
        )
    ),
    ""
)</f>
        <v/>
      </c>
      <c r="S2349" s="385" t="str">
        <f>IFERROR(
    IF(
        OR(ISBLANK(N2349), ISBLANK(O2349)),
        "",
        MAX(
            1,
            IF(
                NETWORKDAYS(N2349, O2349, Holiday_Dates) &lt;= 0,
                1,
                NETWORKDAYS(N2349, O2349, Holiday_Dates) - IF(N2349 = O2349, 0, 1)
            )
        )
    ),
    ""
)</f>
        <v/>
      </c>
      <c r="T2349" s="385"/>
      <c r="U2349" s="385"/>
      <c r="V2349" s="385"/>
      <c r="W2349" s="385" t="s">
        <v>4710</v>
      </c>
      <c r="X2349" s="1"/>
    </row>
    <row r="2350" spans="1:24">
      <c r="A2350" s="385" t="s">
        <v>65</v>
      </c>
      <c r="B2350" s="385" t="s">
        <v>446</v>
      </c>
      <c r="C2350" s="385" t="s">
        <v>3438</v>
      </c>
      <c r="D2350" s="385" t="s">
        <v>88</v>
      </c>
      <c r="E2350" s="385" t="s">
        <v>140</v>
      </c>
      <c r="F2350" s="385"/>
      <c r="G2350" s="385" t="s">
        <v>130</v>
      </c>
      <c r="H2350" s="385"/>
      <c r="I2350" s="385"/>
      <c r="J2350" s="30"/>
      <c r="K2350" s="385"/>
      <c r="L2350" s="385"/>
      <c r="M2350" s="385"/>
      <c r="N2350" s="385"/>
      <c r="O2350" s="385"/>
      <c r="P2350" s="385" t="str">
        <f>IFERROR(
    IF(
        OR(ISBLANK(I2350), ISBLANK(L2350)),
        "",
        MAX(
            1,
            IF(
                NETWORKDAYS(I2350, L2350, Holiday_Dates) &lt;= 0,
                1,
                NETWORKDAYS(I2350, L2350, Holiday_Dates) - IF(I2350 = L2350, 0, 1)
            )
        )
    ),
    ""
)</f>
        <v/>
      </c>
      <c r="Q2350" s="385" t="str">
        <f>IF(
    OR(ISBLANK(L2350), ISBLANK(M2350)),
    "",
    MAX(
        1,
        IF(
            NETWORKDAYS(L2350, M2350, Holiday_Dates) &lt;= 0,
            1,
            NETWORKDAYS(L2350, M2350, Holiday_Dates) - IF(L2350 = M2350, 0, 1)
        )
    )
)</f>
        <v/>
      </c>
      <c r="R2350" s="385" t="str">
        <f>IFERROR(
    IF(
        OR(ISBLANK(N2350), AND(ISBLANK(L2350), ISBLANK(M2350))),
        "",
        MAX(
            1,
            IF(
                NETWORKDAYS(IF(NOT(ISBLANK(M2350)), M2350, L2350), N2350, Holiday_Dates) &lt;= 0,
                1,
                NETWORKDAYS(IF(NOT(ISBLANK(M2350)), M2350, L2350), N2350, Holiday_Dates)
                - IF(IF(NOT(ISBLANK(M2350)), M2350, L2350) = N2350, 0, 1)
            )
        )
    ),
    ""
)</f>
        <v/>
      </c>
      <c r="S2350" s="385" t="str">
        <f>IFERROR(
    IF(
        OR(ISBLANK(N2350), ISBLANK(O2350)),
        "",
        MAX(
            1,
            IF(
                NETWORKDAYS(N2350, O2350, Holiday_Dates) &lt;= 0,
                1,
                NETWORKDAYS(N2350, O2350, Holiday_Dates) - IF(N2350 = O2350, 0, 1)
            )
        )
    ),
    ""
)</f>
        <v/>
      </c>
      <c r="T2350" s="385"/>
      <c r="U2350" s="385"/>
      <c r="V2350" s="385"/>
      <c r="W2350" s="385" t="s">
        <v>4710</v>
      </c>
      <c r="X2350" s="1"/>
    </row>
    <row r="2351" spans="1:24">
      <c r="A2351" s="385" t="s">
        <v>65</v>
      </c>
      <c r="B2351" s="385" t="s">
        <v>446</v>
      </c>
      <c r="C2351" s="385" t="s">
        <v>3430</v>
      </c>
      <c r="D2351" s="385" t="s">
        <v>88</v>
      </c>
      <c r="E2351" s="385" t="s">
        <v>140</v>
      </c>
      <c r="F2351" s="385"/>
      <c r="G2351" s="385" t="s">
        <v>130</v>
      </c>
      <c r="H2351" s="385"/>
      <c r="I2351" s="385"/>
      <c r="J2351" s="30"/>
      <c r="K2351" s="385"/>
      <c r="L2351" s="385"/>
      <c r="M2351" s="385"/>
      <c r="N2351" s="385"/>
      <c r="O2351" s="385"/>
      <c r="P2351" s="385" t="str">
        <f>IFERROR(
    IF(
        OR(ISBLANK(I2351), ISBLANK(L2351)),
        "",
        MAX(
            1,
            IF(
                NETWORKDAYS(I2351, L2351, Holiday_Dates) &lt;= 0,
                1,
                NETWORKDAYS(I2351, L2351, Holiday_Dates) - IF(I2351 = L2351, 0, 1)
            )
        )
    ),
    ""
)</f>
        <v/>
      </c>
      <c r="Q2351" s="385" t="str">
        <f>IF(
    OR(ISBLANK(L2351), ISBLANK(M2351)),
    "",
    MAX(
        1,
        IF(
            NETWORKDAYS(L2351, M2351, Holiday_Dates) &lt;= 0,
            1,
            NETWORKDAYS(L2351, M2351, Holiday_Dates) - IF(L2351 = M2351, 0, 1)
        )
    )
)</f>
        <v/>
      </c>
      <c r="R2351" s="385" t="str">
        <f>IFERROR(
    IF(
        OR(ISBLANK(N2351), AND(ISBLANK(L2351), ISBLANK(M2351))),
        "",
        MAX(
            1,
            IF(
                NETWORKDAYS(IF(NOT(ISBLANK(M2351)), M2351, L2351), N2351, Holiday_Dates) &lt;= 0,
                1,
                NETWORKDAYS(IF(NOT(ISBLANK(M2351)), M2351, L2351), N2351, Holiday_Dates)
                - IF(IF(NOT(ISBLANK(M2351)), M2351, L2351) = N2351, 0, 1)
            )
        )
    ),
    ""
)</f>
        <v/>
      </c>
      <c r="S2351" s="385" t="str">
        <f>IFERROR(
    IF(
        OR(ISBLANK(N2351), ISBLANK(O2351)),
        "",
        MAX(
            1,
            IF(
                NETWORKDAYS(N2351, O2351, Holiday_Dates) &lt;= 0,
                1,
                NETWORKDAYS(N2351, O2351, Holiday_Dates) - IF(N2351 = O2351, 0, 1)
            )
        )
    ),
    ""
)</f>
        <v/>
      </c>
      <c r="T2351" s="385"/>
      <c r="U2351" s="385"/>
      <c r="V2351" s="385"/>
      <c r="W2351" s="385" t="s">
        <v>4710</v>
      </c>
      <c r="X2351" s="1"/>
    </row>
    <row r="2352" spans="1:24">
      <c r="A2352" s="385" t="s">
        <v>52</v>
      </c>
      <c r="B2352" s="385" t="s">
        <v>430</v>
      </c>
      <c r="C2352" s="385" t="s">
        <v>3475</v>
      </c>
      <c r="D2352" s="385" t="s">
        <v>88</v>
      </c>
      <c r="E2352" s="385"/>
      <c r="F2352" s="385"/>
      <c r="G2352" s="385"/>
      <c r="H2352" s="385">
        <v>2025</v>
      </c>
      <c r="I2352" s="386">
        <v>45729</v>
      </c>
      <c r="J2352" s="30" t="s">
        <v>5563</v>
      </c>
      <c r="K2352" s="385"/>
      <c r="L2352" s="385"/>
      <c r="M2352" s="385"/>
      <c r="N2352" s="385"/>
      <c r="O2352" s="385"/>
      <c r="P2352" s="385" t="str">
        <f>IFERROR(
    IF(
        OR(ISBLANK(I2352), ISBLANK(L2352)),
        "",
        MAX(
            1,
            IF(
                NETWORKDAYS(I2352, L2352, Holiday_Dates) &lt;= 0,
                1,
                NETWORKDAYS(I2352, L2352, Holiday_Dates) - IF(I2352 = L2352, 0, 1)
            )
        )
    ),
    ""
)</f>
        <v/>
      </c>
      <c r="Q2352" s="385" t="str">
        <f>IF(
    OR(ISBLANK(L2352), ISBLANK(M2352)),
    "",
    MAX(
        1,
        IF(
            NETWORKDAYS(L2352, M2352, Holiday_Dates) &lt;= 0,
            1,
            NETWORKDAYS(L2352, M2352, Holiday_Dates) - IF(L2352 = M2352, 0, 1)
        )
    )
)</f>
        <v/>
      </c>
      <c r="R2352" s="385" t="str">
        <f>IFERROR(
    IF(
        OR(ISBLANK(N2352), AND(ISBLANK(L2352), ISBLANK(M2352))),
        "",
        MAX(
            1,
            IF(
                NETWORKDAYS(IF(NOT(ISBLANK(M2352)), M2352, L2352), N2352, Holiday_Dates) &lt;= 0,
                1,
                NETWORKDAYS(IF(NOT(ISBLANK(M2352)), M2352, L2352), N2352, Holiday_Dates)
                - IF(IF(NOT(ISBLANK(M2352)), M2352, L2352) = N2352, 0, 1)
            )
        )
    ),
    ""
)</f>
        <v/>
      </c>
      <c r="S2352" s="385" t="str">
        <f>IFERROR(
    IF(
        OR(ISBLANK(N2352), ISBLANK(O2352)),
        "",
        MAX(
            1,
            IF(
                NETWORKDAYS(N2352, O2352, Holiday_Dates) &lt;= 0,
                1,
                NETWORKDAYS(N2352, O2352, Holiday_Dates) - IF(N2352 = O2352, 0, 1)
            )
        )
    ),
    ""
)</f>
        <v/>
      </c>
      <c r="T2352" s="385"/>
      <c r="U2352" s="385" t="s">
        <v>4</v>
      </c>
      <c r="V2352" s="385" t="s">
        <v>101</v>
      </c>
      <c r="W2352" s="385" t="s">
        <v>1436</v>
      </c>
      <c r="X2352" s="1"/>
    </row>
    <row r="2353" spans="1:24">
      <c r="A2353" s="385" t="s">
        <v>52</v>
      </c>
      <c r="B2353" s="385" t="s">
        <v>430</v>
      </c>
      <c r="C2353" s="385" t="s">
        <v>3866</v>
      </c>
      <c r="D2353" s="385" t="s">
        <v>88</v>
      </c>
      <c r="E2353" s="385"/>
      <c r="F2353" s="385"/>
      <c r="G2353" s="385"/>
      <c r="H2353" s="385">
        <v>2025</v>
      </c>
      <c r="I2353" s="386">
        <v>45917</v>
      </c>
      <c r="J2353" s="30" t="s">
        <v>5564</v>
      </c>
      <c r="K2353" s="385"/>
      <c r="L2353" s="385"/>
      <c r="M2353" s="385"/>
      <c r="N2353" s="385"/>
      <c r="O2353" s="385"/>
      <c r="P2353" s="385" t="str">
        <f>IFERROR(
    IF(
        OR(ISBLANK(I2353), ISBLANK(L2353)),
        "",
        MAX(
            1,
            IF(
                NETWORKDAYS(I2353, L2353, Holiday_Dates) &lt;= 0,
                1,
                NETWORKDAYS(I2353, L2353, Holiday_Dates) - IF(I2353 = L2353, 0, 1)
            )
        )
    ),
    ""
)</f>
        <v/>
      </c>
      <c r="Q2353" s="385" t="str">
        <f>IF(
    OR(ISBLANK(L2353), ISBLANK(M2353)),
    "",
    MAX(
        1,
        IF(
            NETWORKDAYS(L2353, M2353, Holiday_Dates) &lt;= 0,
            1,
            NETWORKDAYS(L2353, M2353, Holiday_Dates) - IF(L2353 = M2353, 0, 1)
        )
    )
)</f>
        <v/>
      </c>
      <c r="R2353" s="385" t="str">
        <f>IFERROR(
    IF(
        OR(ISBLANK(N2353), AND(ISBLANK(L2353), ISBLANK(M2353))),
        "",
        MAX(
            1,
            IF(
                NETWORKDAYS(IF(NOT(ISBLANK(M2353)), M2353, L2353), N2353, Holiday_Dates) &lt;= 0,
                1,
                NETWORKDAYS(IF(NOT(ISBLANK(M2353)), M2353, L2353), N2353, Holiday_Dates)
                - IF(IF(NOT(ISBLANK(M2353)), M2353, L2353) = N2353, 0, 1)
            )
        )
    ),
    ""
)</f>
        <v/>
      </c>
      <c r="S2353" s="385" t="str">
        <f>IFERROR(
    IF(
        OR(ISBLANK(N2353), ISBLANK(O2353)),
        "",
        MAX(
            1,
            IF(
                NETWORKDAYS(N2353, O2353, Holiday_Dates) &lt;= 0,
                1,
                NETWORKDAYS(N2353, O2353, Holiday_Dates) - IF(N2353 = O2353, 0, 1)
            )
        )
    ),
    ""
)</f>
        <v/>
      </c>
      <c r="T2353" s="385"/>
      <c r="U2353" s="385" t="s">
        <v>4</v>
      </c>
      <c r="V2353" s="385" t="s">
        <v>101</v>
      </c>
      <c r="W2353" s="385" t="s">
        <v>1436</v>
      </c>
      <c r="X2353" s="1"/>
    </row>
    <row r="2354" spans="1:24">
      <c r="A2354" s="385" t="s">
        <v>52</v>
      </c>
      <c r="B2354" s="385" t="s">
        <v>430</v>
      </c>
      <c r="C2354" s="385" t="s">
        <v>3867</v>
      </c>
      <c r="D2354" s="385" t="s">
        <v>88</v>
      </c>
      <c r="E2354" s="385"/>
      <c r="F2354" s="385"/>
      <c r="G2354" s="385"/>
      <c r="H2354" s="385">
        <v>2025</v>
      </c>
      <c r="I2354" s="386">
        <v>45821</v>
      </c>
      <c r="J2354" s="30" t="s">
        <v>5565</v>
      </c>
      <c r="K2354" s="385"/>
      <c r="L2354" s="385"/>
      <c r="M2354" s="385"/>
      <c r="N2354" s="385"/>
      <c r="O2354" s="385"/>
      <c r="P2354" s="385" t="str">
        <f>IFERROR(
    IF(
        OR(ISBLANK(I2354), ISBLANK(L2354)),
        "",
        MAX(
            1,
            IF(
                NETWORKDAYS(I2354, L2354, Holiday_Dates) &lt;= 0,
                1,
                NETWORKDAYS(I2354, L2354, Holiday_Dates) - IF(I2354 = L2354, 0, 1)
            )
        )
    ),
    ""
)</f>
        <v/>
      </c>
      <c r="Q2354" s="385" t="str">
        <f>IF(
    OR(ISBLANK(L2354), ISBLANK(M2354)),
    "",
    MAX(
        1,
        IF(
            NETWORKDAYS(L2354, M2354, Holiday_Dates) &lt;= 0,
            1,
            NETWORKDAYS(L2354, M2354, Holiday_Dates) - IF(L2354 = M2354, 0, 1)
        )
    )
)</f>
        <v/>
      </c>
      <c r="R2354" s="385" t="str">
        <f>IFERROR(
    IF(
        OR(ISBLANK(N2354), AND(ISBLANK(L2354), ISBLANK(M2354))),
        "",
        MAX(
            1,
            IF(
                NETWORKDAYS(IF(NOT(ISBLANK(M2354)), M2354, L2354), N2354, Holiday_Dates) &lt;= 0,
                1,
                NETWORKDAYS(IF(NOT(ISBLANK(M2354)), M2354, L2354), N2354, Holiday_Dates)
                - IF(IF(NOT(ISBLANK(M2354)), M2354, L2354) = N2354, 0, 1)
            )
        )
    ),
    ""
)</f>
        <v/>
      </c>
      <c r="S2354" s="385" t="str">
        <f>IFERROR(
    IF(
        OR(ISBLANK(N2354), ISBLANK(O2354)),
        "",
        MAX(
            1,
            IF(
                NETWORKDAYS(N2354, O2354, Holiday_Dates) &lt;= 0,
                1,
                NETWORKDAYS(N2354, O2354, Holiday_Dates) - IF(N2354 = O2354, 0, 1)
            )
        )
    ),
    ""
)</f>
        <v/>
      </c>
      <c r="T2354" s="385"/>
      <c r="U2354" s="385" t="s">
        <v>4</v>
      </c>
      <c r="V2354" s="385" t="s">
        <v>101</v>
      </c>
      <c r="W2354" s="385" t="s">
        <v>1436</v>
      </c>
      <c r="X2354" s="1"/>
    </row>
    <row r="2355" spans="1:24">
      <c r="A2355" s="385" t="s">
        <v>52</v>
      </c>
      <c r="B2355" s="385" t="s">
        <v>430</v>
      </c>
      <c r="C2355" s="385" t="s">
        <v>3868</v>
      </c>
      <c r="D2355" s="385" t="s">
        <v>88</v>
      </c>
      <c r="E2355" s="385"/>
      <c r="F2355" s="385"/>
      <c r="G2355" s="385"/>
      <c r="H2355" s="385">
        <v>2025</v>
      </c>
      <c r="I2355" s="386">
        <v>45917</v>
      </c>
      <c r="J2355" s="30" t="s">
        <v>5566</v>
      </c>
      <c r="K2355" s="385"/>
      <c r="L2355" s="385"/>
      <c r="M2355" s="385"/>
      <c r="N2355" s="385"/>
      <c r="O2355" s="385"/>
      <c r="P2355" s="385" t="str">
        <f>IFERROR(
    IF(
        OR(ISBLANK(I2355), ISBLANK(L2355)),
        "",
        MAX(
            1,
            IF(
                NETWORKDAYS(I2355, L2355, Holiday_Dates) &lt;= 0,
                1,
                NETWORKDAYS(I2355, L2355, Holiday_Dates) - IF(I2355 = L2355, 0, 1)
            )
        )
    ),
    ""
)</f>
        <v/>
      </c>
      <c r="Q2355" s="385" t="str">
        <f>IF(
    OR(ISBLANK(L2355), ISBLANK(M2355)),
    "",
    MAX(
        1,
        IF(
            NETWORKDAYS(L2355, M2355, Holiday_Dates) &lt;= 0,
            1,
            NETWORKDAYS(L2355, M2355, Holiday_Dates) - IF(L2355 = M2355, 0, 1)
        )
    )
)</f>
        <v/>
      </c>
      <c r="R2355" s="385" t="str">
        <f>IFERROR(
    IF(
        OR(ISBLANK(N2355), AND(ISBLANK(L2355), ISBLANK(M2355))),
        "",
        MAX(
            1,
            IF(
                NETWORKDAYS(IF(NOT(ISBLANK(M2355)), M2355, L2355), N2355, Holiday_Dates) &lt;= 0,
                1,
                NETWORKDAYS(IF(NOT(ISBLANK(M2355)), M2355, L2355), N2355, Holiday_Dates)
                - IF(IF(NOT(ISBLANK(M2355)), M2355, L2355) = N2355, 0, 1)
            )
        )
    ),
    ""
)</f>
        <v/>
      </c>
      <c r="S2355" s="385" t="str">
        <f>IFERROR(
    IF(
        OR(ISBLANK(N2355), ISBLANK(O2355)),
        "",
        MAX(
            1,
            IF(
                NETWORKDAYS(N2355, O2355, Holiday_Dates) &lt;= 0,
                1,
                NETWORKDAYS(N2355, O2355, Holiday_Dates) - IF(N2355 = O2355, 0, 1)
            )
        )
    ),
    ""
)</f>
        <v/>
      </c>
      <c r="T2355" s="385"/>
      <c r="U2355" s="385" t="s">
        <v>4</v>
      </c>
      <c r="V2355" s="385" t="s">
        <v>101</v>
      </c>
      <c r="W2355" s="385" t="s">
        <v>1436</v>
      </c>
      <c r="X2355" s="1"/>
    </row>
    <row r="2356" spans="1:24">
      <c r="A2356" s="385" t="s">
        <v>52</v>
      </c>
      <c r="B2356" s="385" t="s">
        <v>430</v>
      </c>
      <c r="C2356" s="385" t="s">
        <v>926</v>
      </c>
      <c r="D2356" s="385" t="s">
        <v>88</v>
      </c>
      <c r="E2356" s="385"/>
      <c r="F2356" s="385"/>
      <c r="G2356" s="385"/>
      <c r="H2356" s="385">
        <v>2025</v>
      </c>
      <c r="I2356" s="386">
        <v>45821</v>
      </c>
      <c r="J2356" s="30" t="s">
        <v>5567</v>
      </c>
      <c r="K2356" s="385"/>
      <c r="L2356" s="385"/>
      <c r="M2356" s="385"/>
      <c r="N2356" s="385"/>
      <c r="O2356" s="385"/>
      <c r="P2356" s="385" t="str">
        <f>IFERROR(
    IF(
        OR(ISBLANK(I2356), ISBLANK(L2356)),
        "",
        MAX(
            1,
            IF(
                NETWORKDAYS(I2356, L2356, Holiday_Dates) &lt;= 0,
                1,
                NETWORKDAYS(I2356, L2356, Holiday_Dates) - IF(I2356 = L2356, 0, 1)
            )
        )
    ),
    ""
)</f>
        <v/>
      </c>
      <c r="Q2356" s="385" t="str">
        <f>IF(
    OR(ISBLANK(L2356), ISBLANK(M2356)),
    "",
    MAX(
        1,
        IF(
            NETWORKDAYS(L2356, M2356, Holiday_Dates) &lt;= 0,
            1,
            NETWORKDAYS(L2356, M2356, Holiday_Dates) - IF(L2356 = M2356, 0, 1)
        )
    )
)</f>
        <v/>
      </c>
      <c r="R2356" s="385" t="str">
        <f>IFERROR(
    IF(
        OR(ISBLANK(N2356), AND(ISBLANK(L2356), ISBLANK(M2356))),
        "",
        MAX(
            1,
            IF(
                NETWORKDAYS(IF(NOT(ISBLANK(M2356)), M2356, L2356), N2356, Holiday_Dates) &lt;= 0,
                1,
                NETWORKDAYS(IF(NOT(ISBLANK(M2356)), M2356, L2356), N2356, Holiday_Dates)
                - IF(IF(NOT(ISBLANK(M2356)), M2356, L2356) = N2356, 0, 1)
            )
        )
    ),
    ""
)</f>
        <v/>
      </c>
      <c r="S2356" s="385" t="str">
        <f>IFERROR(
    IF(
        OR(ISBLANK(N2356), ISBLANK(O2356)),
        "",
        MAX(
            1,
            IF(
                NETWORKDAYS(N2356, O2356, Holiday_Dates) &lt;= 0,
                1,
                NETWORKDAYS(N2356, O2356, Holiday_Dates) - IF(N2356 = O2356, 0, 1)
            )
        )
    ),
    ""
)</f>
        <v/>
      </c>
      <c r="T2356" s="385"/>
      <c r="U2356" s="385" t="s">
        <v>4</v>
      </c>
      <c r="V2356" s="385" t="s">
        <v>101</v>
      </c>
      <c r="W2356" s="385" t="s">
        <v>1436</v>
      </c>
      <c r="X2356" s="1"/>
    </row>
    <row r="2357" spans="1:24">
      <c r="A2357" s="385" t="s">
        <v>65</v>
      </c>
      <c r="B2357" s="385" t="s">
        <v>446</v>
      </c>
      <c r="C2357" s="385" t="s">
        <v>2692</v>
      </c>
      <c r="D2357" s="385" t="s">
        <v>88</v>
      </c>
      <c r="E2357" s="385" t="s">
        <v>140</v>
      </c>
      <c r="F2357" s="385"/>
      <c r="G2357" s="385" t="s">
        <v>130</v>
      </c>
      <c r="H2357" s="385"/>
      <c r="I2357" s="385"/>
      <c r="J2357" s="30"/>
      <c r="K2357" s="385"/>
      <c r="L2357" s="385"/>
      <c r="M2357" s="385"/>
      <c r="N2357" s="385"/>
      <c r="O2357" s="385"/>
      <c r="P2357" s="385" t="str">
        <f>IFERROR(
    IF(
        OR(ISBLANK(I2357), ISBLANK(L2357)),
        "",
        MAX(
            1,
            IF(
                NETWORKDAYS(I2357, L2357, Holiday_Dates) &lt;= 0,
                1,
                NETWORKDAYS(I2357, L2357, Holiday_Dates) - IF(I2357 = L2357, 0, 1)
            )
        )
    ),
    ""
)</f>
        <v/>
      </c>
      <c r="Q2357" s="385" t="str">
        <f>IF(
    OR(ISBLANK(L2357), ISBLANK(M2357)),
    "",
    MAX(
        1,
        IF(
            NETWORKDAYS(L2357, M2357, Holiday_Dates) &lt;= 0,
            1,
            NETWORKDAYS(L2357, M2357, Holiday_Dates) - IF(L2357 = M2357, 0, 1)
        )
    )
)</f>
        <v/>
      </c>
      <c r="R2357" s="385" t="str">
        <f>IFERROR(
    IF(
        OR(ISBLANK(N2357), AND(ISBLANK(L2357), ISBLANK(M2357))),
        "",
        MAX(
            1,
            IF(
                NETWORKDAYS(IF(NOT(ISBLANK(M2357)), M2357, L2357), N2357, Holiday_Dates) &lt;= 0,
                1,
                NETWORKDAYS(IF(NOT(ISBLANK(M2357)), M2357, L2357), N2357, Holiday_Dates)
                - IF(IF(NOT(ISBLANK(M2357)), M2357, L2357) = N2357, 0, 1)
            )
        )
    ),
    ""
)</f>
        <v/>
      </c>
      <c r="S2357" s="385" t="str">
        <f>IFERROR(
    IF(
        OR(ISBLANK(N2357), ISBLANK(O2357)),
        "",
        MAX(
            1,
            IF(
                NETWORKDAYS(N2357, O2357, Holiday_Dates) &lt;= 0,
                1,
                NETWORKDAYS(N2357, O2357, Holiday_Dates) - IF(N2357 = O2357, 0, 1)
            )
        )
    ),
    ""
)</f>
        <v/>
      </c>
      <c r="T2357" s="385"/>
      <c r="U2357" s="385"/>
      <c r="V2357" s="385"/>
      <c r="W2357" s="385" t="s">
        <v>4710</v>
      </c>
      <c r="X2357" s="1"/>
    </row>
    <row r="2358" spans="1:24">
      <c r="A2358" s="385" t="s">
        <v>65</v>
      </c>
      <c r="B2358" s="385" t="s">
        <v>446</v>
      </c>
      <c r="C2358" s="385" t="s">
        <v>2057</v>
      </c>
      <c r="D2358" s="385" t="s">
        <v>88</v>
      </c>
      <c r="E2358" s="385" t="s">
        <v>140</v>
      </c>
      <c r="F2358" s="385"/>
      <c r="G2358" s="385" t="s">
        <v>130</v>
      </c>
      <c r="H2358" s="385"/>
      <c r="I2358" s="385"/>
      <c r="J2358" s="30"/>
      <c r="K2358" s="385"/>
      <c r="L2358" s="385"/>
      <c r="M2358" s="385"/>
      <c r="N2358" s="385"/>
      <c r="O2358" s="385"/>
      <c r="P2358" s="385" t="str">
        <f>IFERROR(
    IF(
        OR(ISBLANK(I2358), ISBLANK(L2358)),
        "",
        MAX(
            1,
            IF(
                NETWORKDAYS(I2358, L2358, Holiday_Dates) &lt;= 0,
                1,
                NETWORKDAYS(I2358, L2358, Holiday_Dates) - IF(I2358 = L2358, 0, 1)
            )
        )
    ),
    ""
)</f>
        <v/>
      </c>
      <c r="Q2358" s="385" t="str">
        <f>IF(
    OR(ISBLANK(L2358), ISBLANK(M2358)),
    "",
    MAX(
        1,
        IF(
            NETWORKDAYS(L2358, M2358, Holiday_Dates) &lt;= 0,
            1,
            NETWORKDAYS(L2358, M2358, Holiday_Dates) - IF(L2358 = M2358, 0, 1)
        )
    )
)</f>
        <v/>
      </c>
      <c r="R2358" s="385" t="str">
        <f>IFERROR(
    IF(
        OR(ISBLANK(N2358), AND(ISBLANK(L2358), ISBLANK(M2358))),
        "",
        MAX(
            1,
            IF(
                NETWORKDAYS(IF(NOT(ISBLANK(M2358)), M2358, L2358), N2358, Holiday_Dates) &lt;= 0,
                1,
                NETWORKDAYS(IF(NOT(ISBLANK(M2358)), M2358, L2358), N2358, Holiday_Dates)
                - IF(IF(NOT(ISBLANK(M2358)), M2358, L2358) = N2358, 0, 1)
            )
        )
    ),
    ""
)</f>
        <v/>
      </c>
      <c r="S2358" s="385" t="str">
        <f>IFERROR(
    IF(
        OR(ISBLANK(N2358), ISBLANK(O2358)),
        "",
        MAX(
            1,
            IF(
                NETWORKDAYS(N2358, O2358, Holiday_Dates) &lt;= 0,
                1,
                NETWORKDAYS(N2358, O2358, Holiday_Dates) - IF(N2358 = O2358, 0, 1)
            )
        )
    ),
    ""
)</f>
        <v/>
      </c>
      <c r="T2358" s="385"/>
      <c r="U2358" s="385"/>
      <c r="V2358" s="385"/>
      <c r="W2358" s="385" t="s">
        <v>4710</v>
      </c>
      <c r="X2358" s="1"/>
    </row>
    <row r="2359" spans="1:24">
      <c r="A2359" s="385" t="s">
        <v>65</v>
      </c>
      <c r="B2359" s="385" t="s">
        <v>446</v>
      </c>
      <c r="C2359" s="385" t="s">
        <v>3446</v>
      </c>
      <c r="D2359" s="385" t="s">
        <v>88</v>
      </c>
      <c r="E2359" s="385" t="s">
        <v>140</v>
      </c>
      <c r="F2359" s="385"/>
      <c r="G2359" s="385" t="s">
        <v>130</v>
      </c>
      <c r="H2359" s="385"/>
      <c r="I2359" s="385"/>
      <c r="J2359" s="30"/>
      <c r="K2359" s="385"/>
      <c r="L2359" s="385"/>
      <c r="M2359" s="385"/>
      <c r="N2359" s="385"/>
      <c r="O2359" s="385"/>
      <c r="P2359" s="385" t="str">
        <f>IFERROR(
    IF(
        OR(ISBLANK(I2359), ISBLANK(L2359)),
        "",
        MAX(
            1,
            IF(
                NETWORKDAYS(I2359, L2359, Holiday_Dates) &lt;= 0,
                1,
                NETWORKDAYS(I2359, L2359, Holiday_Dates) - IF(I2359 = L2359, 0, 1)
            )
        )
    ),
    ""
)</f>
        <v/>
      </c>
      <c r="Q2359" s="385" t="str">
        <f>IF(
    OR(ISBLANK(L2359), ISBLANK(M2359)),
    "",
    MAX(
        1,
        IF(
            NETWORKDAYS(L2359, M2359, Holiday_Dates) &lt;= 0,
            1,
            NETWORKDAYS(L2359, M2359, Holiday_Dates) - IF(L2359 = M2359, 0, 1)
        )
    )
)</f>
        <v/>
      </c>
      <c r="R2359" s="385" t="str">
        <f>IFERROR(
    IF(
        OR(ISBLANK(N2359), AND(ISBLANK(L2359), ISBLANK(M2359))),
        "",
        MAX(
            1,
            IF(
                NETWORKDAYS(IF(NOT(ISBLANK(M2359)), M2359, L2359), N2359, Holiday_Dates) &lt;= 0,
                1,
                NETWORKDAYS(IF(NOT(ISBLANK(M2359)), M2359, L2359), N2359, Holiday_Dates)
                - IF(IF(NOT(ISBLANK(M2359)), M2359, L2359) = N2359, 0, 1)
            )
        )
    ),
    ""
)</f>
        <v/>
      </c>
      <c r="S2359" s="385" t="str">
        <f>IFERROR(
    IF(
        OR(ISBLANK(N2359), ISBLANK(O2359)),
        "",
        MAX(
            1,
            IF(
                NETWORKDAYS(N2359, O2359, Holiday_Dates) &lt;= 0,
                1,
                NETWORKDAYS(N2359, O2359, Holiday_Dates) - IF(N2359 = O2359, 0, 1)
            )
        )
    ),
    ""
)</f>
        <v/>
      </c>
      <c r="T2359" s="385"/>
      <c r="U2359" s="385"/>
      <c r="V2359" s="385"/>
      <c r="W2359" s="385" t="s">
        <v>4710</v>
      </c>
      <c r="X2359" s="1"/>
    </row>
    <row r="2360" spans="1:24">
      <c r="A2360" s="385" t="s">
        <v>52</v>
      </c>
      <c r="B2360" s="385" t="s">
        <v>430</v>
      </c>
      <c r="C2360" s="385" t="s">
        <v>3871</v>
      </c>
      <c r="D2360" s="385" t="s">
        <v>88</v>
      </c>
      <c r="E2360" s="385"/>
      <c r="F2360" s="385"/>
      <c r="G2360" s="385"/>
      <c r="H2360" s="385">
        <v>2025</v>
      </c>
      <c r="I2360" s="386">
        <v>45751</v>
      </c>
      <c r="J2360" s="30" t="s">
        <v>5568</v>
      </c>
      <c r="K2360" s="385"/>
      <c r="L2360" s="385"/>
      <c r="M2360" s="385"/>
      <c r="N2360" s="385"/>
      <c r="O2360" s="385"/>
      <c r="P2360" s="385" t="str">
        <f>IFERROR(
    IF(
        OR(ISBLANK(I2360), ISBLANK(L2360)),
        "",
        MAX(
            1,
            IF(
                NETWORKDAYS(I2360, L2360, Holiday_Dates) &lt;= 0,
                1,
                NETWORKDAYS(I2360, L2360, Holiday_Dates) - IF(I2360 = L2360, 0, 1)
            )
        )
    ),
    ""
)</f>
        <v/>
      </c>
      <c r="Q2360" s="385" t="str">
        <f>IF(
    OR(ISBLANK(L2360), ISBLANK(M2360)),
    "",
    MAX(
        1,
        IF(
            NETWORKDAYS(L2360, M2360, Holiday_Dates) &lt;= 0,
            1,
            NETWORKDAYS(L2360, M2360, Holiday_Dates) - IF(L2360 = M2360, 0, 1)
        )
    )
)</f>
        <v/>
      </c>
      <c r="R2360" s="385" t="str">
        <f>IFERROR(
    IF(
        OR(ISBLANK(N2360), AND(ISBLANK(L2360), ISBLANK(M2360))),
        "",
        MAX(
            1,
            IF(
                NETWORKDAYS(IF(NOT(ISBLANK(M2360)), M2360, L2360), N2360, Holiday_Dates) &lt;= 0,
                1,
                NETWORKDAYS(IF(NOT(ISBLANK(M2360)), M2360, L2360), N2360, Holiday_Dates)
                - IF(IF(NOT(ISBLANK(M2360)), M2360, L2360) = N2360, 0, 1)
            )
        )
    ),
    ""
)</f>
        <v/>
      </c>
      <c r="S2360" s="385" t="str">
        <f>IFERROR(
    IF(
        OR(ISBLANK(N2360), ISBLANK(O2360)),
        "",
        MAX(
            1,
            IF(
                NETWORKDAYS(N2360, O2360, Holiday_Dates) &lt;= 0,
                1,
                NETWORKDAYS(N2360, O2360, Holiday_Dates) - IF(N2360 = O2360, 0, 1)
            )
        )
    ),
    ""
)</f>
        <v/>
      </c>
      <c r="T2360" s="385"/>
      <c r="U2360" s="385" t="s">
        <v>4</v>
      </c>
      <c r="V2360" s="385" t="s">
        <v>101</v>
      </c>
      <c r="W2360" s="385" t="s">
        <v>1436</v>
      </c>
      <c r="X2360" s="1"/>
    </row>
    <row r="2361" spans="1:24">
      <c r="A2361" s="385" t="s">
        <v>52</v>
      </c>
      <c r="B2361" s="385" t="s">
        <v>430</v>
      </c>
      <c r="C2361" s="385" t="s">
        <v>1001</v>
      </c>
      <c r="D2361" s="385" t="s">
        <v>88</v>
      </c>
      <c r="E2361" s="385"/>
      <c r="F2361" s="385"/>
      <c r="G2361" s="385"/>
      <c r="H2361" s="385">
        <v>2025</v>
      </c>
      <c r="I2361" s="386">
        <v>45751</v>
      </c>
      <c r="J2361" s="30" t="s">
        <v>5569</v>
      </c>
      <c r="K2361" s="385"/>
      <c r="L2361" s="385"/>
      <c r="M2361" s="385"/>
      <c r="N2361" s="385"/>
      <c r="O2361" s="385"/>
      <c r="P2361" s="385" t="str">
        <f>IFERROR(
    IF(
        OR(ISBLANK(I2361), ISBLANK(L2361)),
        "",
        MAX(
            1,
            IF(
                NETWORKDAYS(I2361, L2361, Holiday_Dates) &lt;= 0,
                1,
                NETWORKDAYS(I2361, L2361, Holiday_Dates) - IF(I2361 = L2361, 0, 1)
            )
        )
    ),
    ""
)</f>
        <v/>
      </c>
      <c r="Q2361" s="385" t="str">
        <f>IF(
    OR(ISBLANK(L2361), ISBLANK(M2361)),
    "",
    MAX(
        1,
        IF(
            NETWORKDAYS(L2361, M2361, Holiday_Dates) &lt;= 0,
            1,
            NETWORKDAYS(L2361, M2361, Holiday_Dates) - IF(L2361 = M2361, 0, 1)
        )
    )
)</f>
        <v/>
      </c>
      <c r="R2361" s="385" t="str">
        <f>IFERROR(
    IF(
        OR(ISBLANK(N2361), AND(ISBLANK(L2361), ISBLANK(M2361))),
        "",
        MAX(
            1,
            IF(
                NETWORKDAYS(IF(NOT(ISBLANK(M2361)), M2361, L2361), N2361, Holiday_Dates) &lt;= 0,
                1,
                NETWORKDAYS(IF(NOT(ISBLANK(M2361)), M2361, L2361), N2361, Holiday_Dates)
                - IF(IF(NOT(ISBLANK(M2361)), M2361, L2361) = N2361, 0, 1)
            )
        )
    ),
    ""
)</f>
        <v/>
      </c>
      <c r="S2361" s="385" t="str">
        <f>IFERROR(
    IF(
        OR(ISBLANK(N2361), ISBLANK(O2361)),
        "",
        MAX(
            1,
            IF(
                NETWORKDAYS(N2361, O2361, Holiday_Dates) &lt;= 0,
                1,
                NETWORKDAYS(N2361, O2361, Holiday_Dates) - IF(N2361 = O2361, 0, 1)
            )
        )
    ),
    ""
)</f>
        <v/>
      </c>
      <c r="T2361" s="385"/>
      <c r="U2361" s="385" t="s">
        <v>4</v>
      </c>
      <c r="V2361" s="385" t="s">
        <v>113</v>
      </c>
      <c r="W2361" s="385" t="s">
        <v>1436</v>
      </c>
      <c r="X2361" s="1"/>
    </row>
    <row r="2362" spans="1:24">
      <c r="A2362" s="385" t="s">
        <v>52</v>
      </c>
      <c r="B2362" s="385" t="s">
        <v>430</v>
      </c>
      <c r="C2362" s="385" t="s">
        <v>764</v>
      </c>
      <c r="D2362" s="385" t="s">
        <v>88</v>
      </c>
      <c r="E2362" s="385"/>
      <c r="F2362" s="385"/>
      <c r="G2362" s="385"/>
      <c r="H2362" s="385">
        <v>2025</v>
      </c>
      <c r="I2362" s="386">
        <v>45793</v>
      </c>
      <c r="J2362" s="30" t="s">
        <v>5570</v>
      </c>
      <c r="K2362" s="385"/>
      <c r="L2362" s="385"/>
      <c r="M2362" s="385"/>
      <c r="N2362" s="385"/>
      <c r="O2362" s="385"/>
      <c r="P2362" s="385" t="str">
        <f>IFERROR(
    IF(
        OR(ISBLANK(I2362), ISBLANK(L2362)),
        "",
        MAX(
            1,
            IF(
                NETWORKDAYS(I2362, L2362, Holiday_Dates) &lt;= 0,
                1,
                NETWORKDAYS(I2362, L2362, Holiday_Dates) - IF(I2362 = L2362, 0, 1)
            )
        )
    ),
    ""
)</f>
        <v/>
      </c>
      <c r="Q2362" s="385" t="str">
        <f>IF(
    OR(ISBLANK(L2362), ISBLANK(M2362)),
    "",
    MAX(
        1,
        IF(
            NETWORKDAYS(L2362, M2362, Holiday_Dates) &lt;= 0,
            1,
            NETWORKDAYS(L2362, M2362, Holiday_Dates) - IF(L2362 = M2362, 0, 1)
        )
    )
)</f>
        <v/>
      </c>
      <c r="R2362" s="385" t="str">
        <f>IFERROR(
    IF(
        OR(ISBLANK(N2362), AND(ISBLANK(L2362), ISBLANK(M2362))),
        "",
        MAX(
            1,
            IF(
                NETWORKDAYS(IF(NOT(ISBLANK(M2362)), M2362, L2362), N2362, Holiday_Dates) &lt;= 0,
                1,
                NETWORKDAYS(IF(NOT(ISBLANK(M2362)), M2362, L2362), N2362, Holiday_Dates)
                - IF(IF(NOT(ISBLANK(M2362)), M2362, L2362) = N2362, 0, 1)
            )
        )
    ),
    ""
)</f>
        <v/>
      </c>
      <c r="S2362" s="385" t="str">
        <f>IFERROR(
    IF(
        OR(ISBLANK(N2362), ISBLANK(O2362)),
        "",
        MAX(
            1,
            IF(
                NETWORKDAYS(N2362, O2362, Holiday_Dates) &lt;= 0,
                1,
                NETWORKDAYS(N2362, O2362, Holiday_Dates) - IF(N2362 = O2362, 0, 1)
            )
        )
    ),
    ""
)</f>
        <v/>
      </c>
      <c r="T2362" s="385"/>
      <c r="U2362" s="385" t="s">
        <v>4</v>
      </c>
      <c r="V2362" s="385" t="s">
        <v>101</v>
      </c>
      <c r="W2362" s="385" t="s">
        <v>1436</v>
      </c>
      <c r="X2362" s="1"/>
    </row>
    <row r="2363" spans="1:24">
      <c r="A2363" s="385" t="s">
        <v>52</v>
      </c>
      <c r="B2363" s="385" t="s">
        <v>430</v>
      </c>
      <c r="C2363" s="385" t="s">
        <v>2234</v>
      </c>
      <c r="D2363" s="385" t="s">
        <v>88</v>
      </c>
      <c r="E2363" s="385"/>
      <c r="F2363" s="385"/>
      <c r="G2363" s="385"/>
      <c r="H2363" s="385">
        <v>2025</v>
      </c>
      <c r="I2363" s="386">
        <v>45729</v>
      </c>
      <c r="J2363" s="30" t="s">
        <v>5571</v>
      </c>
      <c r="K2363" s="385"/>
      <c r="L2363" s="385"/>
      <c r="M2363" s="385"/>
      <c r="N2363" s="385"/>
      <c r="O2363" s="385"/>
      <c r="P2363" s="385" t="str">
        <f>IFERROR(
    IF(
        OR(ISBLANK(I2363), ISBLANK(L2363)),
        "",
        MAX(
            1,
            IF(
                NETWORKDAYS(I2363, L2363, Holiday_Dates) &lt;= 0,
                1,
                NETWORKDAYS(I2363, L2363, Holiday_Dates) - IF(I2363 = L2363, 0, 1)
            )
        )
    ),
    ""
)</f>
        <v/>
      </c>
      <c r="Q2363" s="385" t="str">
        <f>IF(
    OR(ISBLANK(L2363), ISBLANK(M2363)),
    "",
    MAX(
        1,
        IF(
            NETWORKDAYS(L2363, M2363, Holiday_Dates) &lt;= 0,
            1,
            NETWORKDAYS(L2363, M2363, Holiday_Dates) - IF(L2363 = M2363, 0, 1)
        )
    )
)</f>
        <v/>
      </c>
      <c r="R2363" s="385" t="str">
        <f>IFERROR(
    IF(
        OR(ISBLANK(N2363), AND(ISBLANK(L2363), ISBLANK(M2363))),
        "",
        MAX(
            1,
            IF(
                NETWORKDAYS(IF(NOT(ISBLANK(M2363)), M2363, L2363), N2363, Holiday_Dates) &lt;= 0,
                1,
                NETWORKDAYS(IF(NOT(ISBLANK(M2363)), M2363, L2363), N2363, Holiday_Dates)
                - IF(IF(NOT(ISBLANK(M2363)), M2363, L2363) = N2363, 0, 1)
            )
        )
    ),
    ""
)</f>
        <v/>
      </c>
      <c r="S2363" s="385" t="str">
        <f>IFERROR(
    IF(
        OR(ISBLANK(N2363), ISBLANK(O2363)),
        "",
        MAX(
            1,
            IF(
                NETWORKDAYS(N2363, O2363, Holiday_Dates) &lt;= 0,
                1,
                NETWORKDAYS(N2363, O2363, Holiday_Dates) - IF(N2363 = O2363, 0, 1)
            )
        )
    ),
    ""
)</f>
        <v/>
      </c>
      <c r="T2363" s="385"/>
      <c r="U2363" s="385" t="s">
        <v>4</v>
      </c>
      <c r="V2363" s="385" t="s">
        <v>101</v>
      </c>
      <c r="W2363" s="385" t="s">
        <v>1436</v>
      </c>
      <c r="X2363" s="1"/>
    </row>
    <row r="2364" spans="1:24">
      <c r="A2364" s="385" t="s">
        <v>52</v>
      </c>
      <c r="B2364" s="385" t="s">
        <v>430</v>
      </c>
      <c r="C2364" s="385" t="s">
        <v>526</v>
      </c>
      <c r="D2364" s="385" t="s">
        <v>88</v>
      </c>
      <c r="E2364" s="385"/>
      <c r="F2364" s="385"/>
      <c r="G2364" s="385"/>
      <c r="H2364" s="385">
        <v>2024</v>
      </c>
      <c r="I2364" s="386">
        <v>45582</v>
      </c>
      <c r="J2364" s="30"/>
      <c r="K2364" s="385"/>
      <c r="L2364" s="385"/>
      <c r="M2364" s="385"/>
      <c r="N2364" s="385"/>
      <c r="O2364" s="385"/>
      <c r="P2364" s="385" t="str">
        <f>IFERROR(
    IF(
        OR(ISBLANK(I2364), ISBLANK(L2364)),
        "",
        MAX(
            1,
            IF(
                NETWORKDAYS(I2364, L2364, Holiday_Dates) &lt;= 0,
                1,
                NETWORKDAYS(I2364, L2364, Holiday_Dates) - IF(I2364 = L2364, 0, 1)
            )
        )
    ),
    ""
)</f>
        <v/>
      </c>
      <c r="Q2364" s="385" t="str">
        <f>IF(
    OR(ISBLANK(L2364), ISBLANK(M2364)),
    "",
    MAX(
        1,
        IF(
            NETWORKDAYS(L2364, M2364, Holiday_Dates) &lt;= 0,
            1,
            NETWORKDAYS(L2364, M2364, Holiday_Dates) - IF(L2364 = M2364, 0, 1)
        )
    )
)</f>
        <v/>
      </c>
      <c r="R2364" s="385" t="str">
        <f>IFERROR(
    IF(
        OR(ISBLANK(N2364), AND(ISBLANK(L2364), ISBLANK(M2364))),
        "",
        MAX(
            1,
            IF(
                NETWORKDAYS(IF(NOT(ISBLANK(M2364)), M2364, L2364), N2364, Holiday_Dates) &lt;= 0,
                1,
                NETWORKDAYS(IF(NOT(ISBLANK(M2364)), M2364, L2364), N2364, Holiday_Dates)
                - IF(IF(NOT(ISBLANK(M2364)), M2364, L2364) = N2364, 0, 1)
            )
        )
    ),
    ""
)</f>
        <v/>
      </c>
      <c r="S2364" s="385" t="str">
        <f>IFERROR(
    IF(
        OR(ISBLANK(N2364), ISBLANK(O2364)),
        "",
        MAX(
            1,
            IF(
                NETWORKDAYS(N2364, O2364, Holiday_Dates) &lt;= 0,
                1,
                NETWORKDAYS(N2364, O2364, Holiday_Dates) - IF(N2364 = O2364, 0, 1)
            )
        )
    ),
    ""
)</f>
        <v/>
      </c>
      <c r="T2364" s="385"/>
      <c r="U2364" s="385" t="s">
        <v>672</v>
      </c>
      <c r="V2364" s="385" t="s">
        <v>101</v>
      </c>
      <c r="W2364" s="385" t="s">
        <v>1436</v>
      </c>
      <c r="X2364" s="1"/>
    </row>
    <row r="2365" spans="1:24">
      <c r="A2365" s="385" t="s">
        <v>52</v>
      </c>
      <c r="B2365" s="385" t="s">
        <v>430</v>
      </c>
      <c r="C2365" s="385" t="s">
        <v>3873</v>
      </c>
      <c r="D2365" s="385" t="s">
        <v>88</v>
      </c>
      <c r="E2365" s="385"/>
      <c r="F2365" s="385"/>
      <c r="G2365" s="385"/>
      <c r="H2365" s="385">
        <v>2024</v>
      </c>
      <c r="I2365" s="386">
        <v>45449</v>
      </c>
      <c r="J2365" s="30"/>
      <c r="K2365" s="385"/>
      <c r="L2365" s="385"/>
      <c r="M2365" s="385"/>
      <c r="N2365" s="385"/>
      <c r="O2365" s="385"/>
      <c r="P2365" s="385" t="str">
        <f>IFERROR(
    IF(
        OR(ISBLANK(I2365), ISBLANK(L2365)),
        "",
        MAX(
            1,
            IF(
                NETWORKDAYS(I2365, L2365, Holiday_Dates) &lt;= 0,
                1,
                NETWORKDAYS(I2365, L2365, Holiday_Dates) - IF(I2365 = L2365, 0, 1)
            )
        )
    ),
    ""
)</f>
        <v/>
      </c>
      <c r="Q2365" s="385" t="str">
        <f>IF(
    OR(ISBLANK(L2365), ISBLANK(M2365)),
    "",
    MAX(
        1,
        IF(
            NETWORKDAYS(L2365, M2365, Holiday_Dates) &lt;= 0,
            1,
            NETWORKDAYS(L2365, M2365, Holiday_Dates) - IF(L2365 = M2365, 0, 1)
        )
    )
)</f>
        <v/>
      </c>
      <c r="R2365" s="385" t="str">
        <f>IFERROR(
    IF(
        OR(ISBLANK(N2365), AND(ISBLANK(L2365), ISBLANK(M2365))),
        "",
        MAX(
            1,
            IF(
                NETWORKDAYS(IF(NOT(ISBLANK(M2365)), M2365, L2365), N2365, Holiday_Dates) &lt;= 0,
                1,
                NETWORKDAYS(IF(NOT(ISBLANK(M2365)), M2365, L2365), N2365, Holiday_Dates)
                - IF(IF(NOT(ISBLANK(M2365)), M2365, L2365) = N2365, 0, 1)
            )
        )
    ),
    ""
)</f>
        <v/>
      </c>
      <c r="S2365" s="385" t="str">
        <f>IFERROR(
    IF(
        OR(ISBLANK(N2365), ISBLANK(O2365)),
        "",
        MAX(
            1,
            IF(
                NETWORKDAYS(N2365, O2365, Holiday_Dates) &lt;= 0,
                1,
                NETWORKDAYS(N2365, O2365, Holiday_Dates) - IF(N2365 = O2365, 0, 1)
            )
        )
    ),
    ""
)</f>
        <v/>
      </c>
      <c r="T2365" s="385"/>
      <c r="U2365" s="385" t="s">
        <v>672</v>
      </c>
      <c r="V2365" s="385"/>
      <c r="W2365" s="385" t="s">
        <v>1436</v>
      </c>
      <c r="X2365" s="1"/>
    </row>
    <row r="2366" spans="1:24">
      <c r="A2366" s="385" t="s">
        <v>65</v>
      </c>
      <c r="B2366" s="385" t="s">
        <v>3162</v>
      </c>
      <c r="C2366" s="385" t="s">
        <v>3189</v>
      </c>
      <c r="D2366" s="385" t="s">
        <v>88</v>
      </c>
      <c r="E2366" s="385" t="s">
        <v>29</v>
      </c>
      <c r="F2366" s="385"/>
      <c r="G2366" s="385" t="s">
        <v>130</v>
      </c>
      <c r="H2366" s="385"/>
      <c r="I2366" s="385"/>
      <c r="J2366" s="30"/>
      <c r="K2366" s="385"/>
      <c r="L2366" s="385"/>
      <c r="M2366" s="385"/>
      <c r="N2366" s="385"/>
      <c r="O2366" s="385"/>
      <c r="P2366" s="385" t="str">
        <f>IFERROR(
    IF(
        OR(ISBLANK(I2366), ISBLANK(L2366)),
        "",
        MAX(
            1,
            IF(
                NETWORKDAYS(I2366, L2366, Holiday_Dates) &lt;= 0,
                1,
                NETWORKDAYS(I2366, L2366, Holiday_Dates) - IF(I2366 = L2366, 0, 1)
            )
        )
    ),
    ""
)</f>
        <v/>
      </c>
      <c r="Q2366" s="385" t="str">
        <f>IF(
    OR(ISBLANK(L2366), ISBLANK(M2366)),
    "",
    MAX(
        1,
        IF(
            NETWORKDAYS(L2366, M2366, Holiday_Dates) &lt;= 0,
            1,
            NETWORKDAYS(L2366, M2366, Holiday_Dates) - IF(L2366 = M2366, 0, 1)
        )
    )
)</f>
        <v/>
      </c>
      <c r="R2366" s="385" t="str">
        <f>IFERROR(
    IF(
        OR(ISBLANK(N2366), AND(ISBLANK(L2366), ISBLANK(M2366))),
        "",
        MAX(
            1,
            IF(
                NETWORKDAYS(IF(NOT(ISBLANK(M2366)), M2366, L2366), N2366, Holiday_Dates) &lt;= 0,
                1,
                NETWORKDAYS(IF(NOT(ISBLANK(M2366)), M2366, L2366), N2366, Holiday_Dates)
                - IF(IF(NOT(ISBLANK(M2366)), M2366, L2366) = N2366, 0, 1)
            )
        )
    ),
    ""
)</f>
        <v/>
      </c>
      <c r="S2366" s="385" t="str">
        <f>IFERROR(
    IF(
        OR(ISBLANK(N2366), ISBLANK(O2366)),
        "",
        MAX(
            1,
            IF(
                NETWORKDAYS(N2366, O2366, Holiday_Dates) &lt;= 0,
                1,
                NETWORKDAYS(N2366, O2366, Holiday_Dates) - IF(N2366 = O2366, 0, 1)
            )
        )
    ),
    ""
)</f>
        <v/>
      </c>
      <c r="T2366" s="385"/>
      <c r="U2366" s="385"/>
      <c r="V2366" s="385"/>
      <c r="W2366" s="385" t="s">
        <v>4710</v>
      </c>
      <c r="X2366" s="1"/>
    </row>
    <row r="2367" spans="1:24">
      <c r="A2367" s="385" t="s">
        <v>52</v>
      </c>
      <c r="B2367" s="385" t="s">
        <v>366</v>
      </c>
      <c r="C2367" s="385" t="s">
        <v>3876</v>
      </c>
      <c r="D2367" s="385" t="s">
        <v>88</v>
      </c>
      <c r="E2367" s="385"/>
      <c r="F2367" s="385"/>
      <c r="G2367" s="385"/>
      <c r="H2367" s="385">
        <v>2025</v>
      </c>
      <c r="I2367" s="386">
        <v>45730</v>
      </c>
      <c r="J2367" s="30" t="s">
        <v>5572</v>
      </c>
      <c r="K2367" s="385"/>
      <c r="L2367" s="385"/>
      <c r="M2367" s="385"/>
      <c r="N2367" s="385"/>
      <c r="O2367" s="385"/>
      <c r="P2367" s="385" t="str">
        <f>IFERROR(
    IF(
        OR(ISBLANK(I2367), ISBLANK(L2367)),
        "",
        MAX(
            1,
            IF(
                NETWORKDAYS(I2367, L2367, Holiday_Dates) &lt;= 0,
                1,
                NETWORKDAYS(I2367, L2367, Holiday_Dates) - IF(I2367 = L2367, 0, 1)
            )
        )
    ),
    ""
)</f>
        <v/>
      </c>
      <c r="Q2367" s="385" t="str">
        <f>IF(
    OR(ISBLANK(L2367), ISBLANK(M2367)),
    "",
    MAX(
        1,
        IF(
            NETWORKDAYS(L2367, M2367, Holiday_Dates) &lt;= 0,
            1,
            NETWORKDAYS(L2367, M2367, Holiday_Dates) - IF(L2367 = M2367, 0, 1)
        )
    )
)</f>
        <v/>
      </c>
      <c r="R2367" s="385" t="str">
        <f>IFERROR(
    IF(
        OR(ISBLANK(N2367), AND(ISBLANK(L2367), ISBLANK(M2367))),
        "",
        MAX(
            1,
            IF(
                NETWORKDAYS(IF(NOT(ISBLANK(M2367)), M2367, L2367), N2367, Holiday_Dates) &lt;= 0,
                1,
                NETWORKDAYS(IF(NOT(ISBLANK(M2367)), M2367, L2367), N2367, Holiday_Dates)
                - IF(IF(NOT(ISBLANK(M2367)), M2367, L2367) = N2367, 0, 1)
            )
        )
    ),
    ""
)</f>
        <v/>
      </c>
      <c r="S2367" s="385" t="str">
        <f>IFERROR(
    IF(
        OR(ISBLANK(N2367), ISBLANK(O2367)),
        "",
        MAX(
            1,
            IF(
                NETWORKDAYS(N2367, O2367, Holiday_Dates) &lt;= 0,
                1,
                NETWORKDAYS(N2367, O2367, Holiday_Dates) - IF(N2367 = O2367, 0, 1)
            )
        )
    ),
    ""
)</f>
        <v/>
      </c>
      <c r="T2367" s="385"/>
      <c r="U2367" s="385" t="s">
        <v>672</v>
      </c>
      <c r="V2367" s="385" t="s">
        <v>1676</v>
      </c>
      <c r="W2367" s="385" t="s">
        <v>1436</v>
      </c>
      <c r="X2367" s="1"/>
    </row>
    <row r="2368" spans="1:24">
      <c r="A2368" s="385" t="s">
        <v>65</v>
      </c>
      <c r="B2368" s="385" t="s">
        <v>528</v>
      </c>
      <c r="C2368" s="385" t="s">
        <v>2692</v>
      </c>
      <c r="D2368" s="385" t="s">
        <v>88</v>
      </c>
      <c r="E2368" s="385" t="s">
        <v>29</v>
      </c>
      <c r="F2368" s="385"/>
      <c r="G2368" s="385" t="s">
        <v>130</v>
      </c>
      <c r="H2368" s="385"/>
      <c r="I2368" s="385"/>
      <c r="J2368" s="30"/>
      <c r="K2368" s="385"/>
      <c r="L2368" s="385"/>
      <c r="M2368" s="385"/>
      <c r="N2368" s="385"/>
      <c r="O2368" s="385"/>
      <c r="P2368" s="385" t="str">
        <f>IFERROR(
    IF(
        OR(ISBLANK(I2368), ISBLANK(L2368)),
        "",
        MAX(
            1,
            IF(
                NETWORKDAYS(I2368, L2368, Holiday_Dates) &lt;= 0,
                1,
                NETWORKDAYS(I2368, L2368, Holiday_Dates) - IF(I2368 = L2368, 0, 1)
            )
        )
    ),
    ""
)</f>
        <v/>
      </c>
      <c r="Q2368" s="385" t="str">
        <f>IF(
    OR(ISBLANK(L2368), ISBLANK(M2368)),
    "",
    MAX(
        1,
        IF(
            NETWORKDAYS(L2368, M2368, Holiday_Dates) &lt;= 0,
            1,
            NETWORKDAYS(L2368, M2368, Holiday_Dates) - IF(L2368 = M2368, 0, 1)
        )
    )
)</f>
        <v/>
      </c>
      <c r="R2368" s="385" t="str">
        <f>IFERROR(
    IF(
        OR(ISBLANK(N2368), AND(ISBLANK(L2368), ISBLANK(M2368))),
        "",
        MAX(
            1,
            IF(
                NETWORKDAYS(IF(NOT(ISBLANK(M2368)), M2368, L2368), N2368, Holiday_Dates) &lt;= 0,
                1,
                NETWORKDAYS(IF(NOT(ISBLANK(M2368)), M2368, L2368), N2368, Holiday_Dates)
                - IF(IF(NOT(ISBLANK(M2368)), M2368, L2368) = N2368, 0, 1)
            )
        )
    ),
    ""
)</f>
        <v/>
      </c>
      <c r="S2368" s="385" t="str">
        <f>IFERROR(
    IF(
        OR(ISBLANK(N2368), ISBLANK(O2368)),
        "",
        MAX(
            1,
            IF(
                NETWORKDAYS(N2368, O2368, Holiday_Dates) &lt;= 0,
                1,
                NETWORKDAYS(N2368, O2368, Holiday_Dates) - IF(N2368 = O2368, 0, 1)
            )
        )
    ),
    ""
)</f>
        <v/>
      </c>
      <c r="T2368" s="385"/>
      <c r="U2368" s="385"/>
      <c r="V2368" s="385"/>
      <c r="W2368" s="385" t="s">
        <v>4710</v>
      </c>
      <c r="X2368" s="1"/>
    </row>
    <row r="2369" spans="1:24">
      <c r="A2369" s="385" t="s">
        <v>65</v>
      </c>
      <c r="B2369" s="385" t="s">
        <v>528</v>
      </c>
      <c r="C2369" s="385" t="s">
        <v>3468</v>
      </c>
      <c r="D2369" s="385" t="s">
        <v>88</v>
      </c>
      <c r="E2369" s="385" t="s">
        <v>29</v>
      </c>
      <c r="F2369" s="385"/>
      <c r="G2369" s="385" t="s">
        <v>130</v>
      </c>
      <c r="H2369" s="385"/>
      <c r="I2369" s="385"/>
      <c r="J2369" s="30"/>
      <c r="K2369" s="385"/>
      <c r="L2369" s="385"/>
      <c r="M2369" s="385"/>
      <c r="N2369" s="385"/>
      <c r="O2369" s="385"/>
      <c r="P2369" s="385" t="str">
        <f>IFERROR(
    IF(
        OR(ISBLANK(I2369), ISBLANK(L2369)),
        "",
        MAX(
            1,
            IF(
                NETWORKDAYS(I2369, L2369, Holiday_Dates) &lt;= 0,
                1,
                NETWORKDAYS(I2369, L2369, Holiday_Dates) - IF(I2369 = L2369, 0, 1)
            )
        )
    ),
    ""
)</f>
        <v/>
      </c>
      <c r="Q2369" s="385" t="str">
        <f>IF(
    OR(ISBLANK(L2369), ISBLANK(M2369)),
    "",
    MAX(
        1,
        IF(
            NETWORKDAYS(L2369, M2369, Holiday_Dates) &lt;= 0,
            1,
            NETWORKDAYS(L2369, M2369, Holiday_Dates) - IF(L2369 = M2369, 0, 1)
        )
    )
)</f>
        <v/>
      </c>
      <c r="R2369" s="385" t="str">
        <f>IFERROR(
    IF(
        OR(ISBLANK(N2369), AND(ISBLANK(L2369), ISBLANK(M2369))),
        "",
        MAX(
            1,
            IF(
                NETWORKDAYS(IF(NOT(ISBLANK(M2369)), M2369, L2369), N2369, Holiday_Dates) &lt;= 0,
                1,
                NETWORKDAYS(IF(NOT(ISBLANK(M2369)), M2369, L2369), N2369, Holiday_Dates)
                - IF(IF(NOT(ISBLANK(M2369)), M2369, L2369) = N2369, 0, 1)
            )
        )
    ),
    ""
)</f>
        <v/>
      </c>
      <c r="S2369" s="385" t="str">
        <f>IFERROR(
    IF(
        OR(ISBLANK(N2369), ISBLANK(O2369)),
        "",
        MAX(
            1,
            IF(
                NETWORKDAYS(N2369, O2369, Holiday_Dates) &lt;= 0,
                1,
                NETWORKDAYS(N2369, O2369, Holiday_Dates) - IF(N2369 = O2369, 0, 1)
            )
        )
    ),
    ""
)</f>
        <v/>
      </c>
      <c r="T2369" s="385"/>
      <c r="U2369" s="385"/>
      <c r="V2369" s="385"/>
      <c r="W2369" s="385" t="s">
        <v>4710</v>
      </c>
      <c r="X2369" s="1"/>
    </row>
    <row r="2370" spans="1:24">
      <c r="A2370" s="385" t="s">
        <v>65</v>
      </c>
      <c r="B2370" s="385" t="s">
        <v>528</v>
      </c>
      <c r="C2370" s="385" t="s">
        <v>526</v>
      </c>
      <c r="D2370" s="385" t="s">
        <v>88</v>
      </c>
      <c r="E2370" s="385" t="s">
        <v>29</v>
      </c>
      <c r="F2370" s="385"/>
      <c r="G2370" s="385" t="s">
        <v>130</v>
      </c>
      <c r="H2370" s="385"/>
      <c r="I2370" s="385"/>
      <c r="J2370" s="30"/>
      <c r="K2370" s="385"/>
      <c r="L2370" s="385"/>
      <c r="M2370" s="385"/>
      <c r="N2370" s="385"/>
      <c r="O2370" s="385"/>
      <c r="P2370" s="385" t="str">
        <f>IFERROR(
    IF(
        OR(ISBLANK(I2370), ISBLANK(L2370)),
        "",
        MAX(
            1,
            IF(
                NETWORKDAYS(I2370, L2370, Holiday_Dates) &lt;= 0,
                1,
                NETWORKDAYS(I2370, L2370, Holiday_Dates) - IF(I2370 = L2370, 0, 1)
            )
        )
    ),
    ""
)</f>
        <v/>
      </c>
      <c r="Q2370" s="385" t="str">
        <f>IF(
    OR(ISBLANK(L2370), ISBLANK(M2370)),
    "",
    MAX(
        1,
        IF(
            NETWORKDAYS(L2370, M2370, Holiday_Dates) &lt;= 0,
            1,
            NETWORKDAYS(L2370, M2370, Holiday_Dates) - IF(L2370 = M2370, 0, 1)
        )
    )
)</f>
        <v/>
      </c>
      <c r="R2370" s="385" t="str">
        <f>IFERROR(
    IF(
        OR(ISBLANK(N2370), AND(ISBLANK(L2370), ISBLANK(M2370))),
        "",
        MAX(
            1,
            IF(
                NETWORKDAYS(IF(NOT(ISBLANK(M2370)), M2370, L2370), N2370, Holiday_Dates) &lt;= 0,
                1,
                NETWORKDAYS(IF(NOT(ISBLANK(M2370)), M2370, L2370), N2370, Holiday_Dates)
                - IF(IF(NOT(ISBLANK(M2370)), M2370, L2370) = N2370, 0, 1)
            )
        )
    ),
    ""
)</f>
        <v/>
      </c>
      <c r="S2370" s="385" t="str">
        <f>IFERROR(
    IF(
        OR(ISBLANK(N2370), ISBLANK(O2370)),
        "",
        MAX(
            1,
            IF(
                NETWORKDAYS(N2370, O2370, Holiday_Dates) &lt;= 0,
                1,
                NETWORKDAYS(N2370, O2370, Holiday_Dates) - IF(N2370 = O2370, 0, 1)
            )
        )
    ),
    ""
)</f>
        <v/>
      </c>
      <c r="T2370" s="385"/>
      <c r="U2370" s="385"/>
      <c r="V2370" s="385"/>
      <c r="W2370" s="385" t="s">
        <v>4710</v>
      </c>
      <c r="X2370" s="1"/>
    </row>
    <row r="2371" spans="1:24">
      <c r="A2371" s="385" t="s">
        <v>65</v>
      </c>
      <c r="B2371" s="385" t="s">
        <v>528</v>
      </c>
      <c r="C2371" s="385" t="s">
        <v>3469</v>
      </c>
      <c r="D2371" s="385" t="s">
        <v>88</v>
      </c>
      <c r="E2371" s="385" t="s">
        <v>29</v>
      </c>
      <c r="F2371" s="385"/>
      <c r="G2371" s="385" t="s">
        <v>130</v>
      </c>
      <c r="H2371" s="385"/>
      <c r="I2371" s="385"/>
      <c r="J2371" s="30"/>
      <c r="K2371" s="385"/>
      <c r="L2371" s="385"/>
      <c r="M2371" s="385"/>
      <c r="N2371" s="385"/>
      <c r="O2371" s="385"/>
      <c r="P2371" s="385" t="str">
        <f>IFERROR(
    IF(
        OR(ISBLANK(I2371), ISBLANK(L2371)),
        "",
        MAX(
            1,
            IF(
                NETWORKDAYS(I2371, L2371, Holiday_Dates) &lt;= 0,
                1,
                NETWORKDAYS(I2371, L2371, Holiday_Dates) - IF(I2371 = L2371, 0, 1)
            )
        )
    ),
    ""
)</f>
        <v/>
      </c>
      <c r="Q2371" s="385" t="str">
        <f>IF(
    OR(ISBLANK(L2371), ISBLANK(M2371)),
    "",
    MAX(
        1,
        IF(
            NETWORKDAYS(L2371, M2371, Holiday_Dates) &lt;= 0,
            1,
            NETWORKDAYS(L2371, M2371, Holiday_Dates) - IF(L2371 = M2371, 0, 1)
        )
    )
)</f>
        <v/>
      </c>
      <c r="R2371" s="385" t="str">
        <f>IFERROR(
    IF(
        OR(ISBLANK(N2371), AND(ISBLANK(L2371), ISBLANK(M2371))),
        "",
        MAX(
            1,
            IF(
                NETWORKDAYS(IF(NOT(ISBLANK(M2371)), M2371, L2371), N2371, Holiday_Dates) &lt;= 0,
                1,
                NETWORKDAYS(IF(NOT(ISBLANK(M2371)), M2371, L2371), N2371, Holiday_Dates)
                - IF(IF(NOT(ISBLANK(M2371)), M2371, L2371) = N2371, 0, 1)
            )
        )
    ),
    ""
)</f>
        <v/>
      </c>
      <c r="S2371" s="385" t="str">
        <f>IFERROR(
    IF(
        OR(ISBLANK(N2371), ISBLANK(O2371)),
        "",
        MAX(
            1,
            IF(
                NETWORKDAYS(N2371, O2371, Holiday_Dates) &lt;= 0,
                1,
                NETWORKDAYS(N2371, O2371, Holiday_Dates) - IF(N2371 = O2371, 0, 1)
            )
        )
    ),
    ""
)</f>
        <v/>
      </c>
      <c r="T2371" s="385"/>
      <c r="U2371" s="385"/>
      <c r="V2371" s="385"/>
      <c r="W2371" s="385" t="s">
        <v>4710</v>
      </c>
      <c r="X2371" s="1"/>
    </row>
    <row r="2372" spans="1:24">
      <c r="A2372" s="385" t="s">
        <v>65</v>
      </c>
      <c r="B2372" s="385" t="s">
        <v>528</v>
      </c>
      <c r="C2372" s="385" t="s">
        <v>3470</v>
      </c>
      <c r="D2372" s="385" t="s">
        <v>88</v>
      </c>
      <c r="E2372" s="385" t="s">
        <v>29</v>
      </c>
      <c r="F2372" s="385"/>
      <c r="G2372" s="385" t="s">
        <v>130</v>
      </c>
      <c r="H2372" s="385"/>
      <c r="I2372" s="385"/>
      <c r="J2372" s="30"/>
      <c r="K2372" s="385"/>
      <c r="L2372" s="385"/>
      <c r="M2372" s="385"/>
      <c r="N2372" s="385"/>
      <c r="O2372" s="385"/>
      <c r="P2372" s="385" t="str">
        <f>IFERROR(
    IF(
        OR(ISBLANK(I2372), ISBLANK(L2372)),
        "",
        MAX(
            1,
            IF(
                NETWORKDAYS(I2372, L2372, Holiday_Dates) &lt;= 0,
                1,
                NETWORKDAYS(I2372, L2372, Holiday_Dates) - IF(I2372 = L2372, 0, 1)
            )
        )
    ),
    ""
)</f>
        <v/>
      </c>
      <c r="Q2372" s="385" t="str">
        <f>IF(
    OR(ISBLANK(L2372), ISBLANK(M2372)),
    "",
    MAX(
        1,
        IF(
            NETWORKDAYS(L2372, M2372, Holiday_Dates) &lt;= 0,
            1,
            NETWORKDAYS(L2372, M2372, Holiday_Dates) - IF(L2372 = M2372, 0, 1)
        )
    )
)</f>
        <v/>
      </c>
      <c r="R2372" s="385" t="str">
        <f>IFERROR(
    IF(
        OR(ISBLANK(N2372), AND(ISBLANK(L2372), ISBLANK(M2372))),
        "",
        MAX(
            1,
            IF(
                NETWORKDAYS(IF(NOT(ISBLANK(M2372)), M2372, L2372), N2372, Holiday_Dates) &lt;= 0,
                1,
                NETWORKDAYS(IF(NOT(ISBLANK(M2372)), M2372, L2372), N2372, Holiday_Dates)
                - IF(IF(NOT(ISBLANK(M2372)), M2372, L2372) = N2372, 0, 1)
            )
        )
    ),
    ""
)</f>
        <v/>
      </c>
      <c r="S2372" s="385" t="str">
        <f>IFERROR(
    IF(
        OR(ISBLANK(N2372), ISBLANK(O2372)),
        "",
        MAX(
            1,
            IF(
                NETWORKDAYS(N2372, O2372, Holiday_Dates) &lt;= 0,
                1,
                NETWORKDAYS(N2372, O2372, Holiday_Dates) - IF(N2372 = O2372, 0, 1)
            )
        )
    ),
    ""
)</f>
        <v/>
      </c>
      <c r="T2372" s="385"/>
      <c r="U2372" s="385"/>
      <c r="V2372" s="385"/>
      <c r="W2372" s="385" t="s">
        <v>4710</v>
      </c>
      <c r="X2372" s="1"/>
    </row>
    <row r="2373" spans="1:24">
      <c r="A2373" s="385" t="s">
        <v>52</v>
      </c>
      <c r="B2373" s="385" t="s">
        <v>366</v>
      </c>
      <c r="C2373" s="385" t="s">
        <v>2823</v>
      </c>
      <c r="D2373" s="385" t="s">
        <v>88</v>
      </c>
      <c r="E2373" s="385"/>
      <c r="F2373" s="385"/>
      <c r="G2373" s="385"/>
      <c r="H2373" s="385">
        <v>2025</v>
      </c>
      <c r="I2373" s="386">
        <v>45720</v>
      </c>
      <c r="J2373" s="30" t="s">
        <v>5573</v>
      </c>
      <c r="K2373" s="385"/>
      <c r="L2373" s="385"/>
      <c r="M2373" s="385"/>
      <c r="N2373" s="385"/>
      <c r="O2373" s="385"/>
      <c r="P2373" s="385" t="str">
        <f>IFERROR(
    IF(
        OR(ISBLANK(I2373), ISBLANK(L2373)),
        "",
        MAX(
            1,
            IF(
                NETWORKDAYS(I2373, L2373, Holiday_Dates) &lt;= 0,
                1,
                NETWORKDAYS(I2373, L2373, Holiday_Dates) - IF(I2373 = L2373, 0, 1)
            )
        )
    ),
    ""
)</f>
        <v/>
      </c>
      <c r="Q2373" s="385" t="str">
        <f>IF(
    OR(ISBLANK(L2373), ISBLANK(M2373)),
    "",
    MAX(
        1,
        IF(
            NETWORKDAYS(L2373, M2373, Holiday_Dates) &lt;= 0,
            1,
            NETWORKDAYS(L2373, M2373, Holiday_Dates) - IF(L2373 = M2373, 0, 1)
        )
    )
)</f>
        <v/>
      </c>
      <c r="R2373" s="385" t="str">
        <f>IFERROR(
    IF(
        OR(ISBLANK(N2373), AND(ISBLANK(L2373), ISBLANK(M2373))),
        "",
        MAX(
            1,
            IF(
                NETWORKDAYS(IF(NOT(ISBLANK(M2373)), M2373, L2373), N2373, Holiday_Dates) &lt;= 0,
                1,
                NETWORKDAYS(IF(NOT(ISBLANK(M2373)), M2373, L2373), N2373, Holiday_Dates)
                - IF(IF(NOT(ISBLANK(M2373)), M2373, L2373) = N2373, 0, 1)
            )
        )
    ),
    ""
)</f>
        <v/>
      </c>
      <c r="S2373" s="385" t="str">
        <f>IFERROR(
    IF(
        OR(ISBLANK(N2373), ISBLANK(O2373)),
        "",
        MAX(
            1,
            IF(
                NETWORKDAYS(N2373, O2373, Holiday_Dates) &lt;= 0,
                1,
                NETWORKDAYS(N2373, O2373, Holiday_Dates) - IF(N2373 = O2373, 0, 1)
            )
        )
    ),
    ""
)</f>
        <v/>
      </c>
      <c r="T2373" s="385"/>
      <c r="U2373" s="385" t="s">
        <v>672</v>
      </c>
      <c r="V2373" s="385" t="s">
        <v>1676</v>
      </c>
      <c r="W2373" s="385" t="s">
        <v>1436</v>
      </c>
      <c r="X2373" s="1"/>
    </row>
    <row r="2374" spans="1:24">
      <c r="A2374" s="385" t="s">
        <v>65</v>
      </c>
      <c r="B2374" s="385" t="s">
        <v>528</v>
      </c>
      <c r="C2374" s="385" t="s">
        <v>3471</v>
      </c>
      <c r="D2374" s="385" t="s">
        <v>88</v>
      </c>
      <c r="E2374" s="385" t="s">
        <v>29</v>
      </c>
      <c r="F2374" s="385"/>
      <c r="G2374" s="385" t="s">
        <v>130</v>
      </c>
      <c r="H2374" s="385"/>
      <c r="I2374" s="385"/>
      <c r="J2374" s="30"/>
      <c r="K2374" s="385"/>
      <c r="L2374" s="385"/>
      <c r="M2374" s="385"/>
      <c r="N2374" s="385"/>
      <c r="O2374" s="385"/>
      <c r="P2374" s="385" t="str">
        <f>IFERROR(
    IF(
        OR(ISBLANK(I2374), ISBLANK(L2374)),
        "",
        MAX(
            1,
            IF(
                NETWORKDAYS(I2374, L2374, Holiday_Dates) &lt;= 0,
                1,
                NETWORKDAYS(I2374, L2374, Holiday_Dates) - IF(I2374 = L2374, 0, 1)
            )
        )
    ),
    ""
)</f>
        <v/>
      </c>
      <c r="Q2374" s="385" t="str">
        <f>IF(
    OR(ISBLANK(L2374), ISBLANK(M2374)),
    "",
    MAX(
        1,
        IF(
            NETWORKDAYS(L2374, M2374, Holiday_Dates) &lt;= 0,
            1,
            NETWORKDAYS(L2374, M2374, Holiday_Dates) - IF(L2374 = M2374, 0, 1)
        )
    )
)</f>
        <v/>
      </c>
      <c r="R2374" s="385" t="str">
        <f>IFERROR(
    IF(
        OR(ISBLANK(N2374), AND(ISBLANK(L2374), ISBLANK(M2374))),
        "",
        MAX(
            1,
            IF(
                NETWORKDAYS(IF(NOT(ISBLANK(M2374)), M2374, L2374), N2374, Holiday_Dates) &lt;= 0,
                1,
                NETWORKDAYS(IF(NOT(ISBLANK(M2374)), M2374, L2374), N2374, Holiday_Dates)
                - IF(IF(NOT(ISBLANK(M2374)), M2374, L2374) = N2374, 0, 1)
            )
        )
    ),
    ""
)</f>
        <v/>
      </c>
      <c r="S2374" s="385" t="str">
        <f>IFERROR(
    IF(
        OR(ISBLANK(N2374), ISBLANK(O2374)),
        "",
        MAX(
            1,
            IF(
                NETWORKDAYS(N2374, O2374, Holiday_Dates) &lt;= 0,
                1,
                NETWORKDAYS(N2374, O2374, Holiday_Dates) - IF(N2374 = O2374, 0, 1)
            )
        )
    ),
    ""
)</f>
        <v/>
      </c>
      <c r="T2374" s="385"/>
      <c r="U2374" s="385"/>
      <c r="V2374" s="385"/>
      <c r="W2374" s="385" t="s">
        <v>4710</v>
      </c>
      <c r="X2374" s="1"/>
    </row>
    <row r="2375" spans="1:24">
      <c r="A2375" s="385" t="s">
        <v>52</v>
      </c>
      <c r="B2375" s="385" t="s">
        <v>366</v>
      </c>
      <c r="C2375" s="385" t="s">
        <v>3749</v>
      </c>
      <c r="D2375" s="385" t="s">
        <v>88</v>
      </c>
      <c r="E2375" s="385"/>
      <c r="F2375" s="385"/>
      <c r="G2375" s="385"/>
      <c r="H2375" s="385">
        <v>2025</v>
      </c>
      <c r="I2375" s="386">
        <v>45720</v>
      </c>
      <c r="J2375" s="30" t="s">
        <v>5574</v>
      </c>
      <c r="K2375" s="385"/>
      <c r="L2375" s="385"/>
      <c r="M2375" s="385"/>
      <c r="N2375" s="385"/>
      <c r="O2375" s="385"/>
      <c r="P2375" s="385" t="str">
        <f>IFERROR(
    IF(
        OR(ISBLANK(I2375), ISBLANK(L2375)),
        "",
        MAX(
            1,
            IF(
                NETWORKDAYS(I2375, L2375, Holiday_Dates) &lt;= 0,
                1,
                NETWORKDAYS(I2375, L2375, Holiday_Dates) - IF(I2375 = L2375, 0, 1)
            )
        )
    ),
    ""
)</f>
        <v/>
      </c>
      <c r="Q2375" s="385" t="str">
        <f>IF(
    OR(ISBLANK(L2375), ISBLANK(M2375)),
    "",
    MAX(
        1,
        IF(
            NETWORKDAYS(L2375, M2375, Holiday_Dates) &lt;= 0,
            1,
            NETWORKDAYS(L2375, M2375, Holiday_Dates) - IF(L2375 = M2375, 0, 1)
        )
    )
)</f>
        <v/>
      </c>
      <c r="R2375" s="385" t="str">
        <f>IFERROR(
    IF(
        OR(ISBLANK(N2375), AND(ISBLANK(L2375), ISBLANK(M2375))),
        "",
        MAX(
            1,
            IF(
                NETWORKDAYS(IF(NOT(ISBLANK(M2375)), M2375, L2375), N2375, Holiday_Dates) &lt;= 0,
                1,
                NETWORKDAYS(IF(NOT(ISBLANK(M2375)), M2375, L2375), N2375, Holiday_Dates)
                - IF(IF(NOT(ISBLANK(M2375)), M2375, L2375) = N2375, 0, 1)
            )
        )
    ),
    ""
)</f>
        <v/>
      </c>
      <c r="S2375" s="385" t="str">
        <f>IFERROR(
    IF(
        OR(ISBLANK(N2375), ISBLANK(O2375)),
        "",
        MAX(
            1,
            IF(
                NETWORKDAYS(N2375, O2375, Holiday_Dates) &lt;= 0,
                1,
                NETWORKDAYS(N2375, O2375, Holiday_Dates) - IF(N2375 = O2375, 0, 1)
            )
        )
    ),
    ""
)</f>
        <v/>
      </c>
      <c r="T2375" s="385"/>
      <c r="U2375" s="385" t="s">
        <v>4616</v>
      </c>
      <c r="V2375" s="385" t="s">
        <v>4632</v>
      </c>
      <c r="W2375" s="385" t="s">
        <v>1436</v>
      </c>
      <c r="X2375" s="1"/>
    </row>
    <row r="2376" spans="1:24">
      <c r="A2376" s="385" t="s">
        <v>65</v>
      </c>
      <c r="B2376" s="385" t="s">
        <v>528</v>
      </c>
      <c r="C2376" s="385" t="s">
        <v>3472</v>
      </c>
      <c r="D2376" s="385" t="s">
        <v>88</v>
      </c>
      <c r="E2376" s="385" t="s">
        <v>29</v>
      </c>
      <c r="F2376" s="385"/>
      <c r="G2376" s="385" t="s">
        <v>130</v>
      </c>
      <c r="H2376" s="385"/>
      <c r="I2376" s="385"/>
      <c r="J2376" s="30"/>
      <c r="K2376" s="385"/>
      <c r="L2376" s="385"/>
      <c r="M2376" s="385"/>
      <c r="N2376" s="385"/>
      <c r="O2376" s="385"/>
      <c r="P2376" s="385" t="str">
        <f>IFERROR(
    IF(
        OR(ISBLANK(I2376), ISBLANK(L2376)),
        "",
        MAX(
            1,
            IF(
                NETWORKDAYS(I2376, L2376, Holiday_Dates) &lt;= 0,
                1,
                NETWORKDAYS(I2376, L2376, Holiday_Dates) - IF(I2376 = L2376, 0, 1)
            )
        )
    ),
    ""
)</f>
        <v/>
      </c>
      <c r="Q2376" s="385" t="str">
        <f>IF(
    OR(ISBLANK(L2376), ISBLANK(M2376)),
    "",
    MAX(
        1,
        IF(
            NETWORKDAYS(L2376, M2376, Holiday_Dates) &lt;= 0,
            1,
            NETWORKDAYS(L2376, M2376, Holiday_Dates) - IF(L2376 = M2376, 0, 1)
        )
    )
)</f>
        <v/>
      </c>
      <c r="R2376" s="385" t="str">
        <f>IFERROR(
    IF(
        OR(ISBLANK(N2376), AND(ISBLANK(L2376), ISBLANK(M2376))),
        "",
        MAX(
            1,
            IF(
                NETWORKDAYS(IF(NOT(ISBLANK(M2376)), M2376, L2376), N2376, Holiday_Dates) &lt;= 0,
                1,
                NETWORKDAYS(IF(NOT(ISBLANK(M2376)), M2376, L2376), N2376, Holiday_Dates)
                - IF(IF(NOT(ISBLANK(M2376)), M2376, L2376) = N2376, 0, 1)
            )
        )
    ),
    ""
)</f>
        <v/>
      </c>
      <c r="S2376" s="385" t="str">
        <f>IFERROR(
    IF(
        OR(ISBLANK(N2376), ISBLANK(O2376)),
        "",
        MAX(
            1,
            IF(
                NETWORKDAYS(N2376, O2376, Holiday_Dates) &lt;= 0,
                1,
                NETWORKDAYS(N2376, O2376, Holiday_Dates) - IF(N2376 = O2376, 0, 1)
            )
        )
    ),
    ""
)</f>
        <v/>
      </c>
      <c r="T2376" s="385"/>
      <c r="U2376" s="385"/>
      <c r="V2376" s="385"/>
      <c r="W2376" s="385" t="s">
        <v>4710</v>
      </c>
      <c r="X2376" s="1"/>
    </row>
    <row r="2377" spans="1:24">
      <c r="A2377" s="385" t="s">
        <v>65</v>
      </c>
      <c r="B2377" s="385" t="s">
        <v>530</v>
      </c>
      <c r="C2377" s="385" t="s">
        <v>2117</v>
      </c>
      <c r="D2377" s="385" t="s">
        <v>88</v>
      </c>
      <c r="E2377" s="385" t="s">
        <v>140</v>
      </c>
      <c r="F2377" s="385"/>
      <c r="G2377" s="385" t="s">
        <v>130</v>
      </c>
      <c r="H2377" s="385"/>
      <c r="I2377" s="385"/>
      <c r="J2377" s="30"/>
      <c r="K2377" s="385"/>
      <c r="L2377" s="385"/>
      <c r="M2377" s="385"/>
      <c r="N2377" s="385"/>
      <c r="O2377" s="385"/>
      <c r="P2377" s="385" t="str">
        <f>IFERROR(
    IF(
        OR(ISBLANK(I2377), ISBLANK(L2377)),
        "",
        MAX(
            1,
            IF(
                NETWORKDAYS(I2377, L2377, Holiday_Dates) &lt;= 0,
                1,
                NETWORKDAYS(I2377, L2377, Holiday_Dates) - IF(I2377 = L2377, 0, 1)
            )
        )
    ),
    ""
)</f>
        <v/>
      </c>
      <c r="Q2377" s="385" t="str">
        <f>IF(
    OR(ISBLANK(L2377), ISBLANK(M2377)),
    "",
    MAX(
        1,
        IF(
            NETWORKDAYS(L2377, M2377, Holiday_Dates) &lt;= 0,
            1,
            NETWORKDAYS(L2377, M2377, Holiday_Dates) - IF(L2377 = M2377, 0, 1)
        )
    )
)</f>
        <v/>
      </c>
      <c r="R2377" s="385" t="str">
        <f>IFERROR(
    IF(
        OR(ISBLANK(N2377), AND(ISBLANK(L2377), ISBLANK(M2377))),
        "",
        MAX(
            1,
            IF(
                NETWORKDAYS(IF(NOT(ISBLANK(M2377)), M2377, L2377), N2377, Holiday_Dates) &lt;= 0,
                1,
                NETWORKDAYS(IF(NOT(ISBLANK(M2377)), M2377, L2377), N2377, Holiday_Dates)
                - IF(IF(NOT(ISBLANK(M2377)), M2377, L2377) = N2377, 0, 1)
            )
        )
    ),
    ""
)</f>
        <v/>
      </c>
      <c r="S2377" s="385" t="str">
        <f>IFERROR(
    IF(
        OR(ISBLANK(N2377), ISBLANK(O2377)),
        "",
        MAX(
            1,
            IF(
                NETWORKDAYS(N2377, O2377, Holiday_Dates) &lt;= 0,
                1,
                NETWORKDAYS(N2377, O2377, Holiday_Dates) - IF(N2377 = O2377, 0, 1)
            )
        )
    ),
    ""
)</f>
        <v/>
      </c>
      <c r="T2377" s="385"/>
      <c r="U2377" s="385"/>
      <c r="V2377" s="385"/>
      <c r="W2377" s="385" t="s">
        <v>4710</v>
      </c>
      <c r="X2377" s="1"/>
    </row>
    <row r="2378" spans="1:24">
      <c r="A2378" s="385" t="s">
        <v>52</v>
      </c>
      <c r="B2378" s="385" t="s">
        <v>366</v>
      </c>
      <c r="C2378" s="385" t="s">
        <v>2234</v>
      </c>
      <c r="D2378" s="385" t="s">
        <v>88</v>
      </c>
      <c r="E2378" s="385"/>
      <c r="F2378" s="385"/>
      <c r="G2378" s="385"/>
      <c r="H2378" s="385">
        <v>2025</v>
      </c>
      <c r="I2378" s="386">
        <v>45846</v>
      </c>
      <c r="J2378" s="30" t="s">
        <v>5575</v>
      </c>
      <c r="K2378" s="385"/>
      <c r="L2378" s="385"/>
      <c r="M2378" s="385"/>
      <c r="N2378" s="385"/>
      <c r="O2378" s="385"/>
      <c r="P2378" s="385" t="str">
        <f>IFERROR(
    IF(
        OR(ISBLANK(I2378), ISBLANK(L2378)),
        "",
        MAX(
            1,
            IF(
                NETWORKDAYS(I2378, L2378, Holiday_Dates) &lt;= 0,
                1,
                NETWORKDAYS(I2378, L2378, Holiday_Dates) - IF(I2378 = L2378, 0, 1)
            )
        )
    ),
    ""
)</f>
        <v/>
      </c>
      <c r="Q2378" s="385" t="str">
        <f>IF(
    OR(ISBLANK(L2378), ISBLANK(M2378)),
    "",
    MAX(
        1,
        IF(
            NETWORKDAYS(L2378, M2378, Holiday_Dates) &lt;= 0,
            1,
            NETWORKDAYS(L2378, M2378, Holiday_Dates) - IF(L2378 = M2378, 0, 1)
        )
    )
)</f>
        <v/>
      </c>
      <c r="R2378" s="385" t="str">
        <f>IFERROR(
    IF(
        OR(ISBLANK(N2378), AND(ISBLANK(L2378), ISBLANK(M2378))),
        "",
        MAX(
            1,
            IF(
                NETWORKDAYS(IF(NOT(ISBLANK(M2378)), M2378, L2378), N2378, Holiday_Dates) &lt;= 0,
                1,
                NETWORKDAYS(IF(NOT(ISBLANK(M2378)), M2378, L2378), N2378, Holiday_Dates)
                - IF(IF(NOT(ISBLANK(M2378)), M2378, L2378) = N2378, 0, 1)
            )
        )
    ),
    ""
)</f>
        <v/>
      </c>
      <c r="S2378" s="385" t="str">
        <f>IFERROR(
    IF(
        OR(ISBLANK(N2378), ISBLANK(O2378)),
        "",
        MAX(
            1,
            IF(
                NETWORKDAYS(N2378, O2378, Holiday_Dates) &lt;= 0,
                1,
                NETWORKDAYS(N2378, O2378, Holiday_Dates) - IF(N2378 = O2378, 0, 1)
            )
        )
    ),
    ""
)</f>
        <v/>
      </c>
      <c r="T2378" s="385"/>
      <c r="U2378" s="385" t="s">
        <v>672</v>
      </c>
      <c r="V2378" s="385" t="s">
        <v>1676</v>
      </c>
      <c r="W2378" s="385" t="s">
        <v>1436</v>
      </c>
      <c r="X2378" s="1"/>
    </row>
    <row r="2379" spans="1:24">
      <c r="A2379" s="385" t="s">
        <v>65</v>
      </c>
      <c r="B2379" s="385" t="s">
        <v>530</v>
      </c>
      <c r="C2379" s="385" t="s">
        <v>554</v>
      </c>
      <c r="D2379" s="385" t="s">
        <v>88</v>
      </c>
      <c r="E2379" s="385" t="s">
        <v>140</v>
      </c>
      <c r="F2379" s="385"/>
      <c r="G2379" s="385" t="s">
        <v>130</v>
      </c>
      <c r="H2379" s="385"/>
      <c r="I2379" s="385"/>
      <c r="J2379" s="30"/>
      <c r="K2379" s="385"/>
      <c r="L2379" s="385"/>
      <c r="M2379" s="385"/>
      <c r="N2379" s="385"/>
      <c r="O2379" s="385"/>
      <c r="P2379" s="385" t="str">
        <f>IFERROR(
    IF(
        OR(ISBLANK(I2379), ISBLANK(L2379)),
        "",
        MAX(
            1,
            IF(
                NETWORKDAYS(I2379, L2379, Holiday_Dates) &lt;= 0,
                1,
                NETWORKDAYS(I2379, L2379, Holiday_Dates) - IF(I2379 = L2379, 0, 1)
            )
        )
    ),
    ""
)</f>
        <v/>
      </c>
      <c r="Q2379" s="385" t="str">
        <f>IF(
    OR(ISBLANK(L2379), ISBLANK(M2379)),
    "",
    MAX(
        1,
        IF(
            NETWORKDAYS(L2379, M2379, Holiday_Dates) &lt;= 0,
            1,
            NETWORKDAYS(L2379, M2379, Holiday_Dates) - IF(L2379 = M2379, 0, 1)
        )
    )
)</f>
        <v/>
      </c>
      <c r="R2379" s="385" t="str">
        <f>IFERROR(
    IF(
        OR(ISBLANK(N2379), AND(ISBLANK(L2379), ISBLANK(M2379))),
        "",
        MAX(
            1,
            IF(
                NETWORKDAYS(IF(NOT(ISBLANK(M2379)), M2379, L2379), N2379, Holiday_Dates) &lt;= 0,
                1,
                NETWORKDAYS(IF(NOT(ISBLANK(M2379)), M2379, L2379), N2379, Holiday_Dates)
                - IF(IF(NOT(ISBLANK(M2379)), M2379, L2379) = N2379, 0, 1)
            )
        )
    ),
    ""
)</f>
        <v/>
      </c>
      <c r="S2379" s="385" t="str">
        <f>IFERROR(
    IF(
        OR(ISBLANK(N2379), ISBLANK(O2379)),
        "",
        MAX(
            1,
            IF(
                NETWORKDAYS(N2379, O2379, Holiday_Dates) &lt;= 0,
                1,
                NETWORKDAYS(N2379, O2379, Holiday_Dates) - IF(N2379 = O2379, 0, 1)
            )
        )
    ),
    ""
)</f>
        <v/>
      </c>
      <c r="T2379" s="385"/>
      <c r="U2379" s="385"/>
      <c r="V2379" s="385"/>
      <c r="W2379" s="385" t="s">
        <v>4710</v>
      </c>
      <c r="X2379" s="1"/>
    </row>
    <row r="2380" spans="1:24">
      <c r="A2380" s="385" t="s">
        <v>52</v>
      </c>
      <c r="B2380" s="385" t="s">
        <v>366</v>
      </c>
      <c r="C2380" s="385" t="s">
        <v>1879</v>
      </c>
      <c r="D2380" s="385" t="s">
        <v>88</v>
      </c>
      <c r="E2380" s="385"/>
      <c r="F2380" s="385"/>
      <c r="G2380" s="385"/>
      <c r="H2380" s="385">
        <v>2025</v>
      </c>
      <c r="I2380" s="386">
        <v>45846</v>
      </c>
      <c r="J2380" s="30" t="s">
        <v>5576</v>
      </c>
      <c r="K2380" s="385"/>
      <c r="L2380" s="385"/>
      <c r="M2380" s="385"/>
      <c r="N2380" s="385"/>
      <c r="O2380" s="385"/>
      <c r="P2380" s="385" t="str">
        <f>IFERROR(
    IF(
        OR(ISBLANK(I2380), ISBLANK(L2380)),
        "",
        MAX(
            1,
            IF(
                NETWORKDAYS(I2380, L2380, Holiday_Dates) &lt;= 0,
                1,
                NETWORKDAYS(I2380, L2380, Holiday_Dates) - IF(I2380 = L2380, 0, 1)
            )
        )
    ),
    ""
)</f>
        <v/>
      </c>
      <c r="Q2380" s="385" t="str">
        <f>IF(
    OR(ISBLANK(L2380), ISBLANK(M2380)),
    "",
    MAX(
        1,
        IF(
            NETWORKDAYS(L2380, M2380, Holiday_Dates) &lt;= 0,
            1,
            NETWORKDAYS(L2380, M2380, Holiday_Dates) - IF(L2380 = M2380, 0, 1)
        )
    )
)</f>
        <v/>
      </c>
      <c r="R2380" s="385" t="str">
        <f>IFERROR(
    IF(
        OR(ISBLANK(N2380), AND(ISBLANK(L2380), ISBLANK(M2380))),
        "",
        MAX(
            1,
            IF(
                NETWORKDAYS(IF(NOT(ISBLANK(M2380)), M2380, L2380), N2380, Holiday_Dates) &lt;= 0,
                1,
                NETWORKDAYS(IF(NOT(ISBLANK(M2380)), M2380, L2380), N2380, Holiday_Dates)
                - IF(IF(NOT(ISBLANK(M2380)), M2380, L2380) = N2380, 0, 1)
            )
        )
    ),
    ""
)</f>
        <v/>
      </c>
      <c r="S2380" s="385" t="str">
        <f>IFERROR(
    IF(
        OR(ISBLANK(N2380), ISBLANK(O2380)),
        "",
        MAX(
            1,
            IF(
                NETWORKDAYS(N2380, O2380, Holiday_Dates) &lt;= 0,
                1,
                NETWORKDAYS(N2380, O2380, Holiday_Dates) - IF(N2380 = O2380, 0, 1)
            )
        )
    ),
    ""
)</f>
        <v/>
      </c>
      <c r="T2380" s="385"/>
      <c r="U2380" s="385" t="s">
        <v>4</v>
      </c>
      <c r="V2380" s="385" t="s">
        <v>101</v>
      </c>
      <c r="W2380" s="385" t="s">
        <v>1436</v>
      </c>
      <c r="X2380" s="1"/>
    </row>
    <row r="2381" spans="1:24">
      <c r="A2381" s="385" t="s">
        <v>65</v>
      </c>
      <c r="B2381" s="385" t="s">
        <v>530</v>
      </c>
      <c r="C2381" s="385" t="s">
        <v>3480</v>
      </c>
      <c r="D2381" s="385" t="s">
        <v>88</v>
      </c>
      <c r="E2381" s="385" t="s">
        <v>140</v>
      </c>
      <c r="F2381" s="385"/>
      <c r="G2381" s="385" t="s">
        <v>130</v>
      </c>
      <c r="H2381" s="393"/>
      <c r="I2381" s="394"/>
      <c r="J2381" s="30"/>
      <c r="K2381" s="385"/>
      <c r="L2381" s="385"/>
      <c r="M2381" s="393"/>
      <c r="N2381" s="393"/>
      <c r="O2381" s="393"/>
      <c r="P2381" s="385" t="str">
        <f>IFERROR(
    IF(
        OR(ISBLANK(I2381), ISBLANK(L2381)),
        "",
        MAX(
            1,
            IF(
                NETWORKDAYS(I2381, L2381, Holiday_Dates) &lt;= 0,
                1,
                NETWORKDAYS(I2381, L2381, Holiday_Dates) - IF(I2381 = L2381, 0, 1)
            )
        )
    ),
    ""
)</f>
        <v/>
      </c>
      <c r="Q2381" s="385" t="str">
        <f>IF(
    OR(ISBLANK(L2381), ISBLANK(M2381)),
    "",
    MAX(
        1,
        IF(
            NETWORKDAYS(L2381, M2381, Holiday_Dates) &lt;= 0,
            1,
            NETWORKDAYS(L2381, M2381, Holiday_Dates) - IF(L2381 = M2381, 0, 1)
        )
    )
)</f>
        <v/>
      </c>
      <c r="R2381" s="385" t="str">
        <f>IFERROR(
    IF(
        OR(ISBLANK(N2381), AND(ISBLANK(L2381), ISBLANK(M2381))),
        "",
        MAX(
            1,
            IF(
                NETWORKDAYS(IF(NOT(ISBLANK(M2381)), M2381, L2381), N2381, Holiday_Dates) &lt;= 0,
                1,
                NETWORKDAYS(IF(NOT(ISBLANK(M2381)), M2381, L2381), N2381, Holiday_Dates)
                - IF(IF(NOT(ISBLANK(M2381)), M2381, L2381) = N2381, 0, 1)
            )
        )
    ),
    ""
)</f>
        <v/>
      </c>
      <c r="S2381" s="385" t="str">
        <f>IFERROR(
    IF(
        OR(ISBLANK(N2381), ISBLANK(O2381)),
        "",
        MAX(
            1,
            IF(
                NETWORKDAYS(N2381, O2381, Holiday_Dates) &lt;= 0,
                1,
                NETWORKDAYS(N2381, O2381, Holiday_Dates) - IF(N2381 = O2381, 0, 1)
            )
        )
    ),
    ""
)</f>
        <v/>
      </c>
      <c r="T2381" s="385"/>
      <c r="U2381" s="395"/>
      <c r="V2381" s="393"/>
      <c r="W2381" s="385" t="s">
        <v>4710</v>
      </c>
      <c r="X2381" s="1"/>
    </row>
    <row r="2382" spans="1:24">
      <c r="A2382" s="385" t="s">
        <v>52</v>
      </c>
      <c r="B2382" s="385" t="s">
        <v>368</v>
      </c>
      <c r="C2382" s="385" t="s">
        <v>3882</v>
      </c>
      <c r="D2382" s="385" t="s">
        <v>89</v>
      </c>
      <c r="E2382" s="385"/>
      <c r="F2382" s="385"/>
      <c r="G2382" s="385"/>
      <c r="H2382" s="385">
        <v>2025</v>
      </c>
      <c r="I2382" s="386">
        <v>45790</v>
      </c>
      <c r="J2382" s="30" t="s">
        <v>5577</v>
      </c>
      <c r="K2382" s="385"/>
      <c r="L2382" s="385"/>
      <c r="M2382" s="385"/>
      <c r="N2382" s="385"/>
      <c r="O2382" s="385"/>
      <c r="P2382" s="385" t="str">
        <f>IFERROR(
    IF(
        OR(ISBLANK(I2382), ISBLANK(L2382)),
        "",
        MAX(
            1,
            IF(
                NETWORKDAYS(I2382, L2382, Holiday_Dates) &lt;= 0,
                1,
                NETWORKDAYS(I2382, L2382, Holiday_Dates) - IF(I2382 = L2382, 0, 1)
            )
        )
    ),
    ""
)</f>
        <v/>
      </c>
      <c r="Q2382" s="385" t="str">
        <f>IF(
    OR(ISBLANK(L2382), ISBLANK(M2382)),
    "",
    MAX(
        1,
        IF(
            NETWORKDAYS(L2382, M2382, Holiday_Dates) &lt;= 0,
            1,
            NETWORKDAYS(L2382, M2382, Holiday_Dates) - IF(L2382 = M2382, 0, 1)
        )
    )
)</f>
        <v/>
      </c>
      <c r="R2382" s="385" t="str">
        <f>IFERROR(
    IF(
        OR(ISBLANK(N2382), AND(ISBLANK(L2382), ISBLANK(M2382))),
        "",
        MAX(
            1,
            IF(
                NETWORKDAYS(IF(NOT(ISBLANK(M2382)), M2382, L2382), N2382, Holiday_Dates) &lt;= 0,
                1,
                NETWORKDAYS(IF(NOT(ISBLANK(M2382)), M2382, L2382), N2382, Holiday_Dates)
                - IF(IF(NOT(ISBLANK(M2382)), M2382, L2382) = N2382, 0, 1)
            )
        )
    ),
    ""
)</f>
        <v/>
      </c>
      <c r="S2382" s="385" t="str">
        <f>IFERROR(
    IF(
        OR(ISBLANK(N2382), ISBLANK(O2382)),
        "",
        MAX(
            1,
            IF(
                NETWORKDAYS(N2382, O2382, Holiday_Dates) &lt;= 0,
                1,
                NETWORKDAYS(N2382, O2382, Holiday_Dates) - IF(N2382 = O2382, 0, 1)
            )
        )
    ),
    ""
)</f>
        <v/>
      </c>
      <c r="T2382" s="385"/>
      <c r="U2382" s="385" t="s">
        <v>672</v>
      </c>
      <c r="V2382" s="385" t="s">
        <v>101</v>
      </c>
      <c r="W2382" s="385" t="s">
        <v>1436</v>
      </c>
      <c r="X2382" s="1"/>
    </row>
    <row r="2383" spans="1:24">
      <c r="A2383" s="385" t="s">
        <v>52</v>
      </c>
      <c r="B2383" s="385" t="s">
        <v>368</v>
      </c>
      <c r="C2383" s="385" t="s">
        <v>3883</v>
      </c>
      <c r="D2383" s="385" t="s">
        <v>89</v>
      </c>
      <c r="E2383" s="385"/>
      <c r="F2383" s="385"/>
      <c r="G2383" s="385"/>
      <c r="H2383" s="385">
        <v>2025</v>
      </c>
      <c r="I2383" s="386">
        <v>45790</v>
      </c>
      <c r="J2383" s="30" t="s">
        <v>5578</v>
      </c>
      <c r="K2383" s="385"/>
      <c r="L2383" s="385"/>
      <c r="M2383" s="385"/>
      <c r="N2383" s="385"/>
      <c r="O2383" s="385"/>
      <c r="P2383" s="385" t="str">
        <f>IFERROR(
    IF(
        OR(ISBLANK(I2383), ISBLANK(L2383)),
        "",
        MAX(
            1,
            IF(
                NETWORKDAYS(I2383, L2383, Holiday_Dates) &lt;= 0,
                1,
                NETWORKDAYS(I2383, L2383, Holiday_Dates) - IF(I2383 = L2383, 0, 1)
            )
        )
    ),
    ""
)</f>
        <v/>
      </c>
      <c r="Q2383" s="385" t="str">
        <f>IF(
    OR(ISBLANK(L2383), ISBLANK(M2383)),
    "",
    MAX(
        1,
        IF(
            NETWORKDAYS(L2383, M2383, Holiday_Dates) &lt;= 0,
            1,
            NETWORKDAYS(L2383, M2383, Holiday_Dates) - IF(L2383 = M2383, 0, 1)
        )
    )
)</f>
        <v/>
      </c>
      <c r="R2383" s="385" t="str">
        <f>IFERROR(
    IF(
        OR(ISBLANK(N2383), AND(ISBLANK(L2383), ISBLANK(M2383))),
        "",
        MAX(
            1,
            IF(
                NETWORKDAYS(IF(NOT(ISBLANK(M2383)), M2383, L2383), N2383, Holiday_Dates) &lt;= 0,
                1,
                NETWORKDAYS(IF(NOT(ISBLANK(M2383)), M2383, L2383), N2383, Holiday_Dates)
                - IF(IF(NOT(ISBLANK(M2383)), M2383, L2383) = N2383, 0, 1)
            )
        )
    ),
    ""
)</f>
        <v/>
      </c>
      <c r="S2383" s="385" t="str">
        <f>IFERROR(
    IF(
        OR(ISBLANK(N2383), ISBLANK(O2383)),
        "",
        MAX(
            1,
            IF(
                NETWORKDAYS(N2383, O2383, Holiday_Dates) &lt;= 0,
                1,
                NETWORKDAYS(N2383, O2383, Holiday_Dates) - IF(N2383 = O2383, 0, 1)
            )
        )
    ),
    ""
)</f>
        <v/>
      </c>
      <c r="T2383" s="385"/>
      <c r="U2383" s="385" t="s">
        <v>672</v>
      </c>
      <c r="V2383" s="385" t="s">
        <v>101</v>
      </c>
      <c r="W2383" s="385" t="s">
        <v>1436</v>
      </c>
      <c r="X2383" s="1"/>
    </row>
    <row r="2384" spans="1:24">
      <c r="A2384" s="385" t="s">
        <v>65</v>
      </c>
      <c r="B2384" s="385" t="s">
        <v>530</v>
      </c>
      <c r="C2384" s="385" t="s">
        <v>3482</v>
      </c>
      <c r="D2384" s="385" t="s">
        <v>88</v>
      </c>
      <c r="E2384" s="385" t="s">
        <v>140</v>
      </c>
      <c r="F2384" s="385"/>
      <c r="G2384" s="385" t="s">
        <v>130</v>
      </c>
      <c r="H2384" s="385"/>
      <c r="I2384" s="385"/>
      <c r="J2384" s="30"/>
      <c r="K2384" s="385"/>
      <c r="L2384" s="385"/>
      <c r="M2384" s="385"/>
      <c r="N2384" s="385"/>
      <c r="O2384" s="385"/>
      <c r="P2384" s="385" t="str">
        <f>IFERROR(
    IF(
        OR(ISBLANK(I2384), ISBLANK(L2384)),
        "",
        MAX(
            1,
            IF(
                NETWORKDAYS(I2384, L2384, Holiday_Dates) &lt;= 0,
                1,
                NETWORKDAYS(I2384, L2384, Holiday_Dates) - IF(I2384 = L2384, 0, 1)
            )
        )
    ),
    ""
)</f>
        <v/>
      </c>
      <c r="Q2384" s="385" t="str">
        <f>IF(
    OR(ISBLANK(L2384), ISBLANK(M2384)),
    "",
    MAX(
        1,
        IF(
            NETWORKDAYS(L2384, M2384, Holiday_Dates) &lt;= 0,
            1,
            NETWORKDAYS(L2384, M2384, Holiday_Dates) - IF(L2384 = M2384, 0, 1)
        )
    )
)</f>
        <v/>
      </c>
      <c r="R2384" s="385" t="str">
        <f>IFERROR(
    IF(
        OR(ISBLANK(N2384), AND(ISBLANK(L2384), ISBLANK(M2384))),
        "",
        MAX(
            1,
            IF(
                NETWORKDAYS(IF(NOT(ISBLANK(M2384)), M2384, L2384), N2384, Holiday_Dates) &lt;= 0,
                1,
                NETWORKDAYS(IF(NOT(ISBLANK(M2384)), M2384, L2384), N2384, Holiday_Dates)
                - IF(IF(NOT(ISBLANK(M2384)), M2384, L2384) = N2384, 0, 1)
            )
        )
    ),
    ""
)</f>
        <v/>
      </c>
      <c r="S2384" s="385" t="str">
        <f>IFERROR(
    IF(
        OR(ISBLANK(N2384), ISBLANK(O2384)),
        "",
        MAX(
            1,
            IF(
                NETWORKDAYS(N2384, O2384, Holiday_Dates) &lt;= 0,
                1,
                NETWORKDAYS(N2384, O2384, Holiday_Dates) - IF(N2384 = O2384, 0, 1)
            )
        )
    ),
    ""
)</f>
        <v/>
      </c>
      <c r="T2384" s="385"/>
      <c r="U2384" s="385"/>
      <c r="V2384" s="385"/>
      <c r="W2384" s="385" t="s">
        <v>4710</v>
      </c>
      <c r="X2384" s="1"/>
    </row>
    <row r="2385" spans="1:24">
      <c r="A2385" s="385" t="s">
        <v>65</v>
      </c>
      <c r="B2385" s="385" t="s">
        <v>530</v>
      </c>
      <c r="C2385" s="385" t="s">
        <v>3483</v>
      </c>
      <c r="D2385" s="385" t="s">
        <v>88</v>
      </c>
      <c r="E2385" s="385" t="s">
        <v>140</v>
      </c>
      <c r="F2385" s="385"/>
      <c r="G2385" s="385" t="s">
        <v>130</v>
      </c>
      <c r="H2385" s="385"/>
      <c r="I2385" s="385"/>
      <c r="J2385" s="30"/>
      <c r="K2385" s="385"/>
      <c r="L2385" s="385"/>
      <c r="M2385" s="385"/>
      <c r="N2385" s="385"/>
      <c r="O2385" s="385"/>
      <c r="P2385" s="385" t="str">
        <f>IFERROR(
    IF(
        OR(ISBLANK(I2385), ISBLANK(L2385)),
        "",
        MAX(
            1,
            IF(
                NETWORKDAYS(I2385, L2385, Holiday_Dates) &lt;= 0,
                1,
                NETWORKDAYS(I2385, L2385, Holiday_Dates) - IF(I2385 = L2385, 0, 1)
            )
        )
    ),
    ""
)</f>
        <v/>
      </c>
      <c r="Q2385" s="385" t="str">
        <f>IF(
    OR(ISBLANK(L2385), ISBLANK(M2385)),
    "",
    MAX(
        1,
        IF(
            NETWORKDAYS(L2385, M2385, Holiday_Dates) &lt;= 0,
            1,
            NETWORKDAYS(L2385, M2385, Holiday_Dates) - IF(L2385 = M2385, 0, 1)
        )
    )
)</f>
        <v/>
      </c>
      <c r="R2385" s="385" t="str">
        <f>IFERROR(
    IF(
        OR(ISBLANK(N2385), AND(ISBLANK(L2385), ISBLANK(M2385))),
        "",
        MAX(
            1,
            IF(
                NETWORKDAYS(IF(NOT(ISBLANK(M2385)), M2385, L2385), N2385, Holiday_Dates) &lt;= 0,
                1,
                NETWORKDAYS(IF(NOT(ISBLANK(M2385)), M2385, L2385), N2385, Holiday_Dates)
                - IF(IF(NOT(ISBLANK(M2385)), M2385, L2385) = N2385, 0, 1)
            )
        )
    ),
    ""
)</f>
        <v/>
      </c>
      <c r="S2385" s="385" t="str">
        <f>IFERROR(
    IF(
        OR(ISBLANK(N2385), ISBLANK(O2385)),
        "",
        MAX(
            1,
            IF(
                NETWORKDAYS(N2385, O2385, Holiday_Dates) &lt;= 0,
                1,
                NETWORKDAYS(N2385, O2385, Holiday_Dates) - IF(N2385 = O2385, 0, 1)
            )
        )
    ),
    ""
)</f>
        <v/>
      </c>
      <c r="T2385" s="385"/>
      <c r="U2385" s="385"/>
      <c r="V2385" s="385"/>
      <c r="W2385" s="385" t="s">
        <v>4710</v>
      </c>
      <c r="X2385" s="1"/>
    </row>
    <row r="2386" spans="1:24">
      <c r="A2386" s="385" t="s">
        <v>52</v>
      </c>
      <c r="B2386" s="385" t="s">
        <v>368</v>
      </c>
      <c r="C2386" s="385" t="s">
        <v>1047</v>
      </c>
      <c r="D2386" s="385" t="s">
        <v>89</v>
      </c>
      <c r="E2386" s="385"/>
      <c r="F2386" s="385"/>
      <c r="G2386" s="385"/>
      <c r="H2386" s="385">
        <v>2024</v>
      </c>
      <c r="I2386" s="386">
        <v>45419</v>
      </c>
      <c r="J2386" s="30"/>
      <c r="K2386" s="385"/>
      <c r="L2386" s="385"/>
      <c r="M2386" s="385"/>
      <c r="N2386" s="385"/>
      <c r="O2386" s="385"/>
      <c r="P2386" s="385" t="str">
        <f>IFERROR(
    IF(
        OR(ISBLANK(I2386), ISBLANK(L2386)),
        "",
        MAX(
            1,
            IF(
                NETWORKDAYS(I2386, L2386, Holiday_Dates) &lt;= 0,
                1,
                NETWORKDAYS(I2386, L2386, Holiday_Dates) - IF(I2386 = L2386, 0, 1)
            )
        )
    ),
    ""
)</f>
        <v/>
      </c>
      <c r="Q2386" s="385" t="str">
        <f>IF(
    OR(ISBLANK(L2386), ISBLANK(M2386)),
    "",
    MAX(
        1,
        IF(
            NETWORKDAYS(L2386, M2386, Holiday_Dates) &lt;= 0,
            1,
            NETWORKDAYS(L2386, M2386, Holiday_Dates) - IF(L2386 = M2386, 0, 1)
        )
    )
)</f>
        <v/>
      </c>
      <c r="R2386" s="385" t="str">
        <f>IFERROR(
    IF(
        OR(ISBLANK(N2386), AND(ISBLANK(L2386), ISBLANK(M2386))),
        "",
        MAX(
            1,
            IF(
                NETWORKDAYS(IF(NOT(ISBLANK(M2386)), M2386, L2386), N2386, Holiday_Dates) &lt;= 0,
                1,
                NETWORKDAYS(IF(NOT(ISBLANK(M2386)), M2386, L2386), N2386, Holiday_Dates)
                - IF(IF(NOT(ISBLANK(M2386)), M2386, L2386) = N2386, 0, 1)
            )
        )
    ),
    ""
)</f>
        <v/>
      </c>
      <c r="S2386" s="385" t="str">
        <f>IFERROR(
    IF(
        OR(ISBLANK(N2386), ISBLANK(O2386)),
        "",
        MAX(
            1,
            IF(
                NETWORKDAYS(N2386, O2386, Holiday_Dates) &lt;= 0,
                1,
                NETWORKDAYS(N2386, O2386, Holiday_Dates) - IF(N2386 = O2386, 0, 1)
            )
        )
    ),
    ""
)</f>
        <v/>
      </c>
      <c r="T2386" s="385"/>
      <c r="U2386" s="385" t="s">
        <v>672</v>
      </c>
      <c r="V2386" s="385" t="s">
        <v>101</v>
      </c>
      <c r="W2386" s="385" t="s">
        <v>1436</v>
      </c>
      <c r="X2386" s="1"/>
    </row>
    <row r="2387" spans="1:24">
      <c r="A2387" s="385" t="s">
        <v>52</v>
      </c>
      <c r="B2387" s="385" t="s">
        <v>368</v>
      </c>
      <c r="C2387" s="385" t="s">
        <v>3887</v>
      </c>
      <c r="D2387" s="385" t="s">
        <v>89</v>
      </c>
      <c r="E2387" s="385"/>
      <c r="F2387" s="385"/>
      <c r="G2387" s="385"/>
      <c r="H2387" s="385">
        <v>2025</v>
      </c>
      <c r="I2387" s="386">
        <v>45881</v>
      </c>
      <c r="J2387" s="30" t="s">
        <v>5579</v>
      </c>
      <c r="K2387" s="385"/>
      <c r="L2387" s="385"/>
      <c r="M2387" s="385"/>
      <c r="N2387" s="385"/>
      <c r="O2387" s="385"/>
      <c r="P2387" s="385" t="str">
        <f>IFERROR(
    IF(
        OR(ISBLANK(I2387), ISBLANK(L2387)),
        "",
        MAX(
            1,
            IF(
                NETWORKDAYS(I2387, L2387, Holiday_Dates) &lt;= 0,
                1,
                NETWORKDAYS(I2387, L2387, Holiday_Dates) - IF(I2387 = L2387, 0, 1)
            )
        )
    ),
    ""
)</f>
        <v/>
      </c>
      <c r="Q2387" s="385" t="str">
        <f>IF(
    OR(ISBLANK(L2387), ISBLANK(M2387)),
    "",
    MAX(
        1,
        IF(
            NETWORKDAYS(L2387, M2387, Holiday_Dates) &lt;= 0,
            1,
            NETWORKDAYS(L2387, M2387, Holiday_Dates) - IF(L2387 = M2387, 0, 1)
        )
    )
)</f>
        <v/>
      </c>
      <c r="R2387" s="385" t="str">
        <f>IFERROR(
    IF(
        OR(ISBLANK(N2387), AND(ISBLANK(L2387), ISBLANK(M2387))),
        "",
        MAX(
            1,
            IF(
                NETWORKDAYS(IF(NOT(ISBLANK(M2387)), M2387, L2387), N2387, Holiday_Dates) &lt;= 0,
                1,
                NETWORKDAYS(IF(NOT(ISBLANK(M2387)), M2387, L2387), N2387, Holiday_Dates)
                - IF(IF(NOT(ISBLANK(M2387)), M2387, L2387) = N2387, 0, 1)
            )
        )
    ),
    ""
)</f>
        <v/>
      </c>
      <c r="S2387" s="385" t="str">
        <f>IFERROR(
    IF(
        OR(ISBLANK(N2387), ISBLANK(O2387)),
        "",
        MAX(
            1,
            IF(
                NETWORKDAYS(N2387, O2387, Holiday_Dates) &lt;= 0,
                1,
                NETWORKDAYS(N2387, O2387, Holiday_Dates) - IF(N2387 = O2387, 0, 1)
            )
        )
    ),
    ""
)</f>
        <v/>
      </c>
      <c r="T2387" s="385"/>
      <c r="U2387" s="385" t="s">
        <v>672</v>
      </c>
      <c r="V2387" s="385" t="s">
        <v>101</v>
      </c>
      <c r="W2387" s="385" t="s">
        <v>1436</v>
      </c>
      <c r="X2387" s="1"/>
    </row>
    <row r="2388" spans="1:24">
      <c r="A2388" s="385" t="s">
        <v>65</v>
      </c>
      <c r="B2388" s="385" t="s">
        <v>530</v>
      </c>
      <c r="C2388" s="385" t="s">
        <v>3484</v>
      </c>
      <c r="D2388" s="385" t="s">
        <v>88</v>
      </c>
      <c r="E2388" s="385" t="s">
        <v>140</v>
      </c>
      <c r="F2388" s="385"/>
      <c r="G2388" s="385" t="s">
        <v>130</v>
      </c>
      <c r="H2388" s="385"/>
      <c r="I2388" s="385"/>
      <c r="J2388" s="30"/>
      <c r="K2388" s="385"/>
      <c r="L2388" s="385"/>
      <c r="M2388" s="385"/>
      <c r="N2388" s="385"/>
      <c r="O2388" s="385"/>
      <c r="P2388" s="385" t="str">
        <f>IFERROR(
    IF(
        OR(ISBLANK(I2388), ISBLANK(L2388)),
        "",
        MAX(
            1,
            IF(
                NETWORKDAYS(I2388, L2388, Holiday_Dates) &lt;= 0,
                1,
                NETWORKDAYS(I2388, L2388, Holiday_Dates) - IF(I2388 = L2388, 0, 1)
            )
        )
    ),
    ""
)</f>
        <v/>
      </c>
      <c r="Q2388" s="385" t="str">
        <f>IF(
    OR(ISBLANK(L2388), ISBLANK(M2388)),
    "",
    MAX(
        1,
        IF(
            NETWORKDAYS(L2388, M2388, Holiday_Dates) &lt;= 0,
            1,
            NETWORKDAYS(L2388, M2388, Holiday_Dates) - IF(L2388 = M2388, 0, 1)
        )
    )
)</f>
        <v/>
      </c>
      <c r="R2388" s="385" t="str">
        <f>IFERROR(
    IF(
        OR(ISBLANK(N2388), AND(ISBLANK(L2388), ISBLANK(M2388))),
        "",
        MAX(
            1,
            IF(
                NETWORKDAYS(IF(NOT(ISBLANK(M2388)), M2388, L2388), N2388, Holiday_Dates) &lt;= 0,
                1,
                NETWORKDAYS(IF(NOT(ISBLANK(M2388)), M2388, L2388), N2388, Holiday_Dates)
                - IF(IF(NOT(ISBLANK(M2388)), M2388, L2388) = N2388, 0, 1)
            )
        )
    ),
    ""
)</f>
        <v/>
      </c>
      <c r="S2388" s="385" t="str">
        <f>IFERROR(
    IF(
        OR(ISBLANK(N2388), ISBLANK(O2388)),
        "",
        MAX(
            1,
            IF(
                NETWORKDAYS(N2388, O2388, Holiday_Dates) &lt;= 0,
                1,
                NETWORKDAYS(N2388, O2388, Holiday_Dates) - IF(N2388 = O2388, 0, 1)
            )
        )
    ),
    ""
)</f>
        <v/>
      </c>
      <c r="T2388" s="385"/>
      <c r="U2388" s="385"/>
      <c r="V2388" s="385"/>
      <c r="W2388" s="385" t="s">
        <v>4710</v>
      </c>
      <c r="X2388" s="1"/>
    </row>
    <row r="2389" spans="1:24">
      <c r="A2389" s="385" t="s">
        <v>52</v>
      </c>
      <c r="B2389" s="385" t="s">
        <v>368</v>
      </c>
      <c r="C2389" s="385" t="s">
        <v>3889</v>
      </c>
      <c r="D2389" s="385" t="s">
        <v>89</v>
      </c>
      <c r="E2389" s="385"/>
      <c r="F2389" s="385"/>
      <c r="G2389" s="385"/>
      <c r="H2389" s="385">
        <v>2024</v>
      </c>
      <c r="I2389" s="386">
        <v>45399</v>
      </c>
      <c r="J2389" s="30"/>
      <c r="K2389" s="385"/>
      <c r="L2389" s="385"/>
      <c r="M2389" s="385"/>
      <c r="N2389" s="385"/>
      <c r="O2389" s="385"/>
      <c r="P2389" s="385" t="str">
        <f>IFERROR(
    IF(
        OR(ISBLANK(I2389), ISBLANK(L2389)),
        "",
        MAX(
            1,
            IF(
                NETWORKDAYS(I2389, L2389, Holiday_Dates) &lt;= 0,
                1,
                NETWORKDAYS(I2389, L2389, Holiday_Dates) - IF(I2389 = L2389, 0, 1)
            )
        )
    ),
    ""
)</f>
        <v/>
      </c>
      <c r="Q2389" s="385" t="str">
        <f>IF(
    OR(ISBLANK(L2389), ISBLANK(M2389)),
    "",
    MAX(
        1,
        IF(
            NETWORKDAYS(L2389, M2389, Holiday_Dates) &lt;= 0,
            1,
            NETWORKDAYS(L2389, M2389, Holiday_Dates) - IF(L2389 = M2389, 0, 1)
        )
    )
)</f>
        <v/>
      </c>
      <c r="R2389" s="385" t="str">
        <f>IFERROR(
    IF(
        OR(ISBLANK(N2389), AND(ISBLANK(L2389), ISBLANK(M2389))),
        "",
        MAX(
            1,
            IF(
                NETWORKDAYS(IF(NOT(ISBLANK(M2389)), M2389, L2389), N2389, Holiday_Dates) &lt;= 0,
                1,
                NETWORKDAYS(IF(NOT(ISBLANK(M2389)), M2389, L2389), N2389, Holiday_Dates)
                - IF(IF(NOT(ISBLANK(M2389)), M2389, L2389) = N2389, 0, 1)
            )
        )
    ),
    ""
)</f>
        <v/>
      </c>
      <c r="S2389" s="385" t="str">
        <f>IFERROR(
    IF(
        OR(ISBLANK(N2389), ISBLANK(O2389)),
        "",
        MAX(
            1,
            IF(
                NETWORKDAYS(N2389, O2389, Holiday_Dates) &lt;= 0,
                1,
                NETWORKDAYS(N2389, O2389, Holiday_Dates) - IF(N2389 = O2389, 0, 1)
            )
        )
    ),
    ""
)</f>
        <v/>
      </c>
      <c r="T2389" s="385"/>
      <c r="U2389" s="385" t="s">
        <v>672</v>
      </c>
      <c r="V2389" s="385" t="s">
        <v>101</v>
      </c>
      <c r="W2389" s="385" t="s">
        <v>1436</v>
      </c>
      <c r="X2389" s="1"/>
    </row>
    <row r="2390" spans="1:24">
      <c r="A2390" s="385" t="s">
        <v>52</v>
      </c>
      <c r="B2390" s="385" t="s">
        <v>368</v>
      </c>
      <c r="C2390" s="385" t="s">
        <v>3892</v>
      </c>
      <c r="D2390" s="385" t="s">
        <v>89</v>
      </c>
      <c r="E2390" s="385"/>
      <c r="F2390" s="385"/>
      <c r="G2390" s="385"/>
      <c r="H2390" s="385">
        <v>2025</v>
      </c>
      <c r="I2390" s="386">
        <v>45874</v>
      </c>
      <c r="J2390" s="30" t="s">
        <v>5580</v>
      </c>
      <c r="K2390" s="385"/>
      <c r="L2390" s="385"/>
      <c r="M2390" s="385"/>
      <c r="N2390" s="385"/>
      <c r="O2390" s="385"/>
      <c r="P2390" s="385" t="str">
        <f>IFERROR(
    IF(
        OR(ISBLANK(I2390), ISBLANK(L2390)),
        "",
        MAX(
            1,
            IF(
                NETWORKDAYS(I2390, L2390, Holiday_Dates) &lt;= 0,
                1,
                NETWORKDAYS(I2390, L2390, Holiday_Dates) - IF(I2390 = L2390, 0, 1)
            )
        )
    ),
    ""
)</f>
        <v/>
      </c>
      <c r="Q2390" s="385" t="str">
        <f>IF(
    OR(ISBLANK(L2390), ISBLANK(M2390)),
    "",
    MAX(
        1,
        IF(
            NETWORKDAYS(L2390, M2390, Holiday_Dates) &lt;= 0,
            1,
            NETWORKDAYS(L2390, M2390, Holiday_Dates) - IF(L2390 = M2390, 0, 1)
        )
    )
)</f>
        <v/>
      </c>
      <c r="R2390" s="385" t="str">
        <f>IFERROR(
    IF(
        OR(ISBLANK(N2390), AND(ISBLANK(L2390), ISBLANK(M2390))),
        "",
        MAX(
            1,
            IF(
                NETWORKDAYS(IF(NOT(ISBLANK(M2390)), M2390, L2390), N2390, Holiday_Dates) &lt;= 0,
                1,
                NETWORKDAYS(IF(NOT(ISBLANK(M2390)), M2390, L2390), N2390, Holiday_Dates)
                - IF(IF(NOT(ISBLANK(M2390)), M2390, L2390) = N2390, 0, 1)
            )
        )
    ),
    ""
)</f>
        <v/>
      </c>
      <c r="S2390" s="385" t="str">
        <f>IFERROR(
    IF(
        OR(ISBLANK(N2390), ISBLANK(O2390)),
        "",
        MAX(
            1,
            IF(
                NETWORKDAYS(N2390, O2390, Holiday_Dates) &lt;= 0,
                1,
                NETWORKDAYS(N2390, O2390, Holiday_Dates) - IF(N2390 = O2390, 0, 1)
            )
        )
    ),
    ""
)</f>
        <v/>
      </c>
      <c r="T2390" s="385"/>
      <c r="U2390" s="385" t="s">
        <v>672</v>
      </c>
      <c r="V2390" s="385" t="s">
        <v>101</v>
      </c>
      <c r="W2390" s="385" t="s">
        <v>1436</v>
      </c>
      <c r="X2390" s="1"/>
    </row>
    <row r="2391" spans="1:24">
      <c r="A2391" s="385" t="s">
        <v>52</v>
      </c>
      <c r="B2391" s="385" t="s">
        <v>368</v>
      </c>
      <c r="C2391" s="385" t="s">
        <v>3893</v>
      </c>
      <c r="D2391" s="385" t="s">
        <v>89</v>
      </c>
      <c r="E2391" s="385"/>
      <c r="F2391" s="385"/>
      <c r="G2391" s="385"/>
      <c r="H2391" s="385">
        <v>2025</v>
      </c>
      <c r="I2391" s="386">
        <v>45874</v>
      </c>
      <c r="J2391" s="30" t="s">
        <v>5581</v>
      </c>
      <c r="K2391" s="385"/>
      <c r="L2391" s="385"/>
      <c r="M2391" s="385"/>
      <c r="N2391" s="385"/>
      <c r="O2391" s="385"/>
      <c r="P2391" s="385" t="str">
        <f>IFERROR(
    IF(
        OR(ISBLANK(I2391), ISBLANK(L2391)),
        "",
        MAX(
            1,
            IF(
                NETWORKDAYS(I2391, L2391, Holiday_Dates) &lt;= 0,
                1,
                NETWORKDAYS(I2391, L2391, Holiday_Dates) - IF(I2391 = L2391, 0, 1)
            )
        )
    ),
    ""
)</f>
        <v/>
      </c>
      <c r="Q2391" s="385" t="str">
        <f>IF(
    OR(ISBLANK(L2391), ISBLANK(M2391)),
    "",
    MAX(
        1,
        IF(
            NETWORKDAYS(L2391, M2391, Holiday_Dates) &lt;= 0,
            1,
            NETWORKDAYS(L2391, M2391, Holiday_Dates) - IF(L2391 = M2391, 0, 1)
        )
    )
)</f>
        <v/>
      </c>
      <c r="R2391" s="385" t="str">
        <f>IFERROR(
    IF(
        OR(ISBLANK(N2391), AND(ISBLANK(L2391), ISBLANK(M2391))),
        "",
        MAX(
            1,
            IF(
                NETWORKDAYS(IF(NOT(ISBLANK(M2391)), M2391, L2391), N2391, Holiday_Dates) &lt;= 0,
                1,
                NETWORKDAYS(IF(NOT(ISBLANK(M2391)), M2391, L2391), N2391, Holiday_Dates)
                - IF(IF(NOT(ISBLANK(M2391)), M2391, L2391) = N2391, 0, 1)
            )
        )
    ),
    ""
)</f>
        <v/>
      </c>
      <c r="S2391" s="385" t="str">
        <f>IFERROR(
    IF(
        OR(ISBLANK(N2391), ISBLANK(O2391)),
        "",
        MAX(
            1,
            IF(
                NETWORKDAYS(N2391, O2391, Holiday_Dates) &lt;= 0,
                1,
                NETWORKDAYS(N2391, O2391, Holiday_Dates) - IF(N2391 = O2391, 0, 1)
            )
        )
    ),
    ""
)</f>
        <v/>
      </c>
      <c r="T2391" s="385"/>
      <c r="U2391" s="385" t="s">
        <v>672</v>
      </c>
      <c r="V2391" s="385" t="s">
        <v>101</v>
      </c>
      <c r="W2391" s="385" t="s">
        <v>1436</v>
      </c>
      <c r="X2391" s="1"/>
    </row>
    <row r="2392" spans="1:24">
      <c r="A2392" s="385" t="s">
        <v>52</v>
      </c>
      <c r="B2392" s="385" t="s">
        <v>368</v>
      </c>
      <c r="C2392" s="385" t="s">
        <v>3891</v>
      </c>
      <c r="D2392" s="385" t="s">
        <v>89</v>
      </c>
      <c r="E2392" s="385"/>
      <c r="F2392" s="385"/>
      <c r="G2392" s="385"/>
      <c r="H2392" s="385">
        <v>2025</v>
      </c>
      <c r="I2392" s="386">
        <v>45874</v>
      </c>
      <c r="J2392" s="30" t="s">
        <v>5582</v>
      </c>
      <c r="K2392" s="385"/>
      <c r="L2392" s="385"/>
      <c r="M2392" s="385"/>
      <c r="N2392" s="385"/>
      <c r="O2392" s="385"/>
      <c r="P2392" s="385" t="str">
        <f>IFERROR(
    IF(
        OR(ISBLANK(I2392), ISBLANK(L2392)),
        "",
        MAX(
            1,
            IF(
                NETWORKDAYS(I2392, L2392, Holiday_Dates) &lt;= 0,
                1,
                NETWORKDAYS(I2392, L2392, Holiday_Dates) - IF(I2392 = L2392, 0, 1)
            )
        )
    ),
    ""
)</f>
        <v/>
      </c>
      <c r="Q2392" s="385" t="str">
        <f>IF(
    OR(ISBLANK(L2392), ISBLANK(M2392)),
    "",
    MAX(
        1,
        IF(
            NETWORKDAYS(L2392, M2392, Holiday_Dates) &lt;= 0,
            1,
            NETWORKDAYS(L2392, M2392, Holiday_Dates) - IF(L2392 = M2392, 0, 1)
        )
    )
)</f>
        <v/>
      </c>
      <c r="R2392" s="385" t="str">
        <f>IFERROR(
    IF(
        OR(ISBLANK(N2392), AND(ISBLANK(L2392), ISBLANK(M2392))),
        "",
        MAX(
            1,
            IF(
                NETWORKDAYS(IF(NOT(ISBLANK(M2392)), M2392, L2392), N2392, Holiday_Dates) &lt;= 0,
                1,
                NETWORKDAYS(IF(NOT(ISBLANK(M2392)), M2392, L2392), N2392, Holiday_Dates)
                - IF(IF(NOT(ISBLANK(M2392)), M2392, L2392) = N2392, 0, 1)
            )
        )
    ),
    ""
)</f>
        <v/>
      </c>
      <c r="S2392" s="385" t="str">
        <f>IFERROR(
    IF(
        OR(ISBLANK(N2392), ISBLANK(O2392)),
        "",
        MAX(
            1,
            IF(
                NETWORKDAYS(N2392, O2392, Holiday_Dates) &lt;= 0,
                1,
                NETWORKDAYS(N2392, O2392, Holiday_Dates) - IF(N2392 = O2392, 0, 1)
            )
        )
    ),
    ""
)</f>
        <v/>
      </c>
      <c r="T2392" s="385"/>
      <c r="U2392" s="385" t="s">
        <v>672</v>
      </c>
      <c r="V2392" s="385" t="s">
        <v>101</v>
      </c>
      <c r="W2392" s="385" t="s">
        <v>1436</v>
      </c>
      <c r="X2392" s="1"/>
    </row>
    <row r="2393" spans="1:24">
      <c r="A2393" s="385" t="s">
        <v>52</v>
      </c>
      <c r="B2393" s="385" t="s">
        <v>368</v>
      </c>
      <c r="C2393" s="385" t="s">
        <v>3894</v>
      </c>
      <c r="D2393" s="385" t="s">
        <v>89</v>
      </c>
      <c r="E2393" s="385"/>
      <c r="F2393" s="385"/>
      <c r="G2393" s="385"/>
      <c r="H2393" s="385">
        <v>2025</v>
      </c>
      <c r="I2393" s="386">
        <v>45846</v>
      </c>
      <c r="J2393" s="30" t="s">
        <v>5583</v>
      </c>
      <c r="K2393" s="385"/>
      <c r="L2393" s="385"/>
      <c r="M2393" s="385"/>
      <c r="N2393" s="385"/>
      <c r="O2393" s="385"/>
      <c r="P2393" s="385" t="str">
        <f>IFERROR(
    IF(
        OR(ISBLANK(I2393), ISBLANK(L2393)),
        "",
        MAX(
            1,
            IF(
                NETWORKDAYS(I2393, L2393, Holiday_Dates) &lt;= 0,
                1,
                NETWORKDAYS(I2393, L2393, Holiday_Dates) - IF(I2393 = L2393, 0, 1)
            )
        )
    ),
    ""
)</f>
        <v/>
      </c>
      <c r="Q2393" s="385" t="str">
        <f>IF(
    OR(ISBLANK(L2393), ISBLANK(M2393)),
    "",
    MAX(
        1,
        IF(
            NETWORKDAYS(L2393, M2393, Holiday_Dates) &lt;= 0,
            1,
            NETWORKDAYS(L2393, M2393, Holiday_Dates) - IF(L2393 = M2393, 0, 1)
        )
    )
)</f>
        <v/>
      </c>
      <c r="R2393" s="385" t="str">
        <f>IFERROR(
    IF(
        OR(ISBLANK(N2393), AND(ISBLANK(L2393), ISBLANK(M2393))),
        "",
        MAX(
            1,
            IF(
                NETWORKDAYS(IF(NOT(ISBLANK(M2393)), M2393, L2393), N2393, Holiday_Dates) &lt;= 0,
                1,
                NETWORKDAYS(IF(NOT(ISBLANK(M2393)), M2393, L2393), N2393, Holiday_Dates)
                - IF(IF(NOT(ISBLANK(M2393)), M2393, L2393) = N2393, 0, 1)
            )
        )
    ),
    ""
)</f>
        <v/>
      </c>
      <c r="S2393" s="385" t="str">
        <f>IFERROR(
    IF(
        OR(ISBLANK(N2393), ISBLANK(O2393)),
        "",
        MAX(
            1,
            IF(
                NETWORKDAYS(N2393, O2393, Holiday_Dates) &lt;= 0,
                1,
                NETWORKDAYS(N2393, O2393, Holiday_Dates) - IF(N2393 = O2393, 0, 1)
            )
        )
    ),
    ""
)</f>
        <v/>
      </c>
      <c r="T2393" s="385"/>
      <c r="U2393" s="385" t="s">
        <v>672</v>
      </c>
      <c r="V2393" s="385" t="s">
        <v>101</v>
      </c>
      <c r="W2393" s="385" t="s">
        <v>1436</v>
      </c>
      <c r="X2393" s="1"/>
    </row>
    <row r="2394" spans="1:24">
      <c r="A2394" s="385" t="s">
        <v>52</v>
      </c>
      <c r="B2394" s="385" t="s">
        <v>368</v>
      </c>
      <c r="C2394" s="385" t="s">
        <v>3895</v>
      </c>
      <c r="D2394" s="385" t="s">
        <v>89</v>
      </c>
      <c r="E2394" s="385"/>
      <c r="F2394" s="385"/>
      <c r="G2394" s="385"/>
      <c r="H2394" s="385">
        <v>2025</v>
      </c>
      <c r="I2394" s="386">
        <v>45758</v>
      </c>
      <c r="J2394" s="30" t="s">
        <v>5584</v>
      </c>
      <c r="K2394" s="385"/>
      <c r="L2394" s="385"/>
      <c r="M2394" s="385"/>
      <c r="N2394" s="385"/>
      <c r="O2394" s="385"/>
      <c r="P2394" s="385" t="str">
        <f>IFERROR(
    IF(
        OR(ISBLANK(I2394), ISBLANK(L2394)),
        "",
        MAX(
            1,
            IF(
                NETWORKDAYS(I2394, L2394, Holiday_Dates) &lt;= 0,
                1,
                NETWORKDAYS(I2394, L2394, Holiday_Dates) - IF(I2394 = L2394, 0, 1)
            )
        )
    ),
    ""
)</f>
        <v/>
      </c>
      <c r="Q2394" s="385" t="str">
        <f>IF(
    OR(ISBLANK(L2394), ISBLANK(M2394)),
    "",
    MAX(
        1,
        IF(
            NETWORKDAYS(L2394, M2394, Holiday_Dates) &lt;= 0,
            1,
            NETWORKDAYS(L2394, M2394, Holiday_Dates) - IF(L2394 = M2394, 0, 1)
        )
    )
)</f>
        <v/>
      </c>
      <c r="R2394" s="385" t="str">
        <f>IFERROR(
    IF(
        OR(ISBLANK(N2394), AND(ISBLANK(L2394), ISBLANK(M2394))),
        "",
        MAX(
            1,
            IF(
                NETWORKDAYS(IF(NOT(ISBLANK(M2394)), M2394, L2394), N2394, Holiday_Dates) &lt;= 0,
                1,
                NETWORKDAYS(IF(NOT(ISBLANK(M2394)), M2394, L2394), N2394, Holiday_Dates)
                - IF(IF(NOT(ISBLANK(M2394)), M2394, L2394) = N2394, 0, 1)
            )
        )
    ),
    ""
)</f>
        <v/>
      </c>
      <c r="S2394" s="385" t="str">
        <f>IFERROR(
    IF(
        OR(ISBLANK(N2394), ISBLANK(O2394)),
        "",
        MAX(
            1,
            IF(
                NETWORKDAYS(N2394, O2394, Holiday_Dates) &lt;= 0,
                1,
                NETWORKDAYS(N2394, O2394, Holiday_Dates) - IF(N2394 = O2394, 0, 1)
            )
        )
    ),
    ""
)</f>
        <v/>
      </c>
      <c r="T2394" s="385"/>
      <c r="U2394" s="385" t="s">
        <v>4</v>
      </c>
      <c r="V2394" s="385" t="s">
        <v>101</v>
      </c>
      <c r="W2394" s="385" t="s">
        <v>1436</v>
      </c>
      <c r="X2394" s="1"/>
    </row>
    <row r="2395" spans="1:24">
      <c r="A2395" s="385" t="s">
        <v>52</v>
      </c>
      <c r="B2395" s="385" t="s">
        <v>368</v>
      </c>
      <c r="C2395" s="385" t="s">
        <v>3896</v>
      </c>
      <c r="D2395" s="385" t="s">
        <v>89</v>
      </c>
      <c r="E2395" s="385"/>
      <c r="F2395" s="385"/>
      <c r="G2395" s="385"/>
      <c r="H2395" s="385">
        <v>2025</v>
      </c>
      <c r="I2395" s="386">
        <v>45783</v>
      </c>
      <c r="J2395" s="30" t="s">
        <v>5585</v>
      </c>
      <c r="K2395" s="385"/>
      <c r="L2395" s="385"/>
      <c r="M2395" s="385"/>
      <c r="N2395" s="385"/>
      <c r="O2395" s="385"/>
      <c r="P2395" s="385" t="str">
        <f>IFERROR(
    IF(
        OR(ISBLANK(I2395), ISBLANK(L2395)),
        "",
        MAX(
            1,
            IF(
                NETWORKDAYS(I2395, L2395, Holiday_Dates) &lt;= 0,
                1,
                NETWORKDAYS(I2395, L2395, Holiday_Dates) - IF(I2395 = L2395, 0, 1)
            )
        )
    ),
    ""
)</f>
        <v/>
      </c>
      <c r="Q2395" s="385" t="str">
        <f>IF(
    OR(ISBLANK(L2395), ISBLANK(M2395)),
    "",
    MAX(
        1,
        IF(
            NETWORKDAYS(L2395, M2395, Holiday_Dates) &lt;= 0,
            1,
            NETWORKDAYS(L2395, M2395, Holiday_Dates) - IF(L2395 = M2395, 0, 1)
        )
    )
)</f>
        <v/>
      </c>
      <c r="R2395" s="385" t="str">
        <f>IFERROR(
    IF(
        OR(ISBLANK(N2395), AND(ISBLANK(L2395), ISBLANK(M2395))),
        "",
        MAX(
            1,
            IF(
                NETWORKDAYS(IF(NOT(ISBLANK(M2395)), M2395, L2395), N2395, Holiday_Dates) &lt;= 0,
                1,
                NETWORKDAYS(IF(NOT(ISBLANK(M2395)), M2395, L2395), N2395, Holiday_Dates)
                - IF(IF(NOT(ISBLANK(M2395)), M2395, L2395) = N2395, 0, 1)
            )
        )
    ),
    ""
)</f>
        <v/>
      </c>
      <c r="S2395" s="385" t="str">
        <f>IFERROR(
    IF(
        OR(ISBLANK(N2395), ISBLANK(O2395)),
        "",
        MAX(
            1,
            IF(
                NETWORKDAYS(N2395, O2395, Holiday_Dates) &lt;= 0,
                1,
                NETWORKDAYS(N2395, O2395, Holiday_Dates) - IF(N2395 = O2395, 0, 1)
            )
        )
    ),
    ""
)</f>
        <v/>
      </c>
      <c r="T2395" s="385"/>
      <c r="U2395" s="385" t="s">
        <v>672</v>
      </c>
      <c r="V2395" s="385" t="s">
        <v>101</v>
      </c>
      <c r="W2395" s="385" t="s">
        <v>1436</v>
      </c>
      <c r="X2395" s="1"/>
    </row>
    <row r="2396" spans="1:24">
      <c r="A2396" s="385" t="s">
        <v>51</v>
      </c>
      <c r="B2396" s="385" t="s">
        <v>389</v>
      </c>
      <c r="C2396" s="385" t="s">
        <v>1532</v>
      </c>
      <c r="D2396" s="385" t="s">
        <v>88</v>
      </c>
      <c r="E2396" s="385" t="s">
        <v>32</v>
      </c>
      <c r="F2396" s="385"/>
      <c r="G2396" s="385" t="s">
        <v>133</v>
      </c>
      <c r="H2396" s="385"/>
      <c r="I2396" s="385"/>
      <c r="J2396" s="30"/>
      <c r="K2396" s="385"/>
      <c r="L2396" s="385"/>
      <c r="M2396" s="385"/>
      <c r="N2396" s="385"/>
      <c r="O2396" s="385"/>
      <c r="P2396" s="385" t="str">
        <f>IFERROR(
    IF(
        OR(ISBLANK(I2396), ISBLANK(L2396)),
        "",
        MAX(
            1,
            IF(
                NETWORKDAYS(I2396, L2396, Holiday_Dates) &lt;= 0,
                1,
                NETWORKDAYS(I2396, L2396, Holiday_Dates) - IF(I2396 = L2396, 0, 1)
            )
        )
    ),
    ""
)</f>
        <v/>
      </c>
      <c r="Q2396" s="385" t="str">
        <f>IF(
    OR(ISBLANK(L2396), ISBLANK(M2396)),
    "",
    MAX(
        1,
        IF(
            NETWORKDAYS(L2396, M2396, Holiday_Dates) &lt;= 0,
            1,
            NETWORKDAYS(L2396, M2396, Holiday_Dates) - IF(L2396 = M2396, 0, 1)
        )
    )
)</f>
        <v/>
      </c>
      <c r="R2396" s="385" t="str">
        <f>IFERROR(
    IF(
        OR(ISBLANK(N2396), AND(ISBLANK(L2396), ISBLANK(M2396))),
        "",
        MAX(
            1,
            IF(
                NETWORKDAYS(IF(NOT(ISBLANK(M2396)), M2396, L2396), N2396, Holiday_Dates) &lt;= 0,
                1,
                NETWORKDAYS(IF(NOT(ISBLANK(M2396)), M2396, L2396), N2396, Holiday_Dates)
                - IF(IF(NOT(ISBLANK(M2396)), M2396, L2396) = N2396, 0, 1)
            )
        )
    ),
    ""
)</f>
        <v/>
      </c>
      <c r="S2396" s="385" t="str">
        <f>IFERROR(
    IF(
        OR(ISBLANK(N2396), ISBLANK(O2396)),
        "",
        MAX(
            1,
            IF(
                NETWORKDAYS(N2396, O2396, Holiday_Dates) &lt;= 0,
                1,
                NETWORKDAYS(N2396, O2396, Holiday_Dates) - IF(N2396 = O2396, 0, 1)
            )
        )
    ),
    ""
)</f>
        <v/>
      </c>
      <c r="T2396" s="385"/>
      <c r="U2396" s="385"/>
      <c r="V2396" s="385"/>
      <c r="W2396" s="385" t="s">
        <v>4710</v>
      </c>
      <c r="X2396" s="1"/>
    </row>
    <row r="2397" spans="1:24">
      <c r="A2397" s="385" t="s">
        <v>52</v>
      </c>
      <c r="B2397" s="385" t="s">
        <v>368</v>
      </c>
      <c r="C2397" s="385" t="s">
        <v>3898</v>
      </c>
      <c r="D2397" s="385" t="s">
        <v>89</v>
      </c>
      <c r="E2397" s="385"/>
      <c r="F2397" s="385"/>
      <c r="G2397" s="385"/>
      <c r="H2397" s="385">
        <v>2025</v>
      </c>
      <c r="I2397" s="386">
        <v>45924</v>
      </c>
      <c r="J2397" s="30" t="s">
        <v>5586</v>
      </c>
      <c r="K2397" s="385"/>
      <c r="L2397" s="385"/>
      <c r="M2397" s="385"/>
      <c r="N2397" s="385"/>
      <c r="O2397" s="385"/>
      <c r="P2397" s="385" t="str">
        <f>IFERROR(
    IF(
        OR(ISBLANK(I2397), ISBLANK(L2397)),
        "",
        MAX(
            1,
            IF(
                NETWORKDAYS(I2397, L2397, Holiday_Dates) &lt;= 0,
                1,
                NETWORKDAYS(I2397, L2397, Holiday_Dates) - IF(I2397 = L2397, 0, 1)
            )
        )
    ),
    ""
)</f>
        <v/>
      </c>
      <c r="Q2397" s="385" t="str">
        <f>IF(
    OR(ISBLANK(L2397), ISBLANK(M2397)),
    "",
    MAX(
        1,
        IF(
            NETWORKDAYS(L2397, M2397, Holiday_Dates) &lt;= 0,
            1,
            NETWORKDAYS(L2397, M2397, Holiday_Dates) - IF(L2397 = M2397, 0, 1)
        )
    )
)</f>
        <v/>
      </c>
      <c r="R2397" s="385" t="str">
        <f>IFERROR(
    IF(
        OR(ISBLANK(N2397), AND(ISBLANK(L2397), ISBLANK(M2397))),
        "",
        MAX(
            1,
            IF(
                NETWORKDAYS(IF(NOT(ISBLANK(M2397)), M2397, L2397), N2397, Holiday_Dates) &lt;= 0,
                1,
                NETWORKDAYS(IF(NOT(ISBLANK(M2397)), M2397, L2397), N2397, Holiday_Dates)
                - IF(IF(NOT(ISBLANK(M2397)), M2397, L2397) = N2397, 0, 1)
            )
        )
    ),
    ""
)</f>
        <v/>
      </c>
      <c r="S2397" s="385" t="str">
        <f>IFERROR(
    IF(
        OR(ISBLANK(N2397), ISBLANK(O2397)),
        "",
        MAX(
            1,
            IF(
                NETWORKDAYS(N2397, O2397, Holiday_Dates) &lt;= 0,
                1,
                NETWORKDAYS(N2397, O2397, Holiday_Dates) - IF(N2397 = O2397, 0, 1)
            )
        )
    ),
    ""
)</f>
        <v/>
      </c>
      <c r="T2397" s="385"/>
      <c r="U2397" s="385" t="s">
        <v>672</v>
      </c>
      <c r="V2397" s="385" t="s">
        <v>101</v>
      </c>
      <c r="W2397" s="385" t="s">
        <v>1436</v>
      </c>
      <c r="X2397" s="1"/>
    </row>
    <row r="2398" spans="1:24">
      <c r="A2398" s="385" t="s">
        <v>52</v>
      </c>
      <c r="B2398" s="385" t="s">
        <v>368</v>
      </c>
      <c r="C2398" s="385" t="s">
        <v>3899</v>
      </c>
      <c r="D2398" s="385" t="s">
        <v>89</v>
      </c>
      <c r="E2398" s="385"/>
      <c r="F2398" s="385"/>
      <c r="G2398" s="385"/>
      <c r="H2398" s="385">
        <v>2025</v>
      </c>
      <c r="I2398" s="386">
        <v>45924</v>
      </c>
      <c r="J2398" s="30" t="s">
        <v>5587</v>
      </c>
      <c r="K2398" s="385"/>
      <c r="L2398" s="385"/>
      <c r="M2398" s="385"/>
      <c r="N2398" s="385"/>
      <c r="O2398" s="385"/>
      <c r="P2398" s="385" t="str">
        <f>IFERROR(
    IF(
        OR(ISBLANK(I2398), ISBLANK(L2398)),
        "",
        MAX(
            1,
            IF(
                NETWORKDAYS(I2398, L2398, Holiday_Dates) &lt;= 0,
                1,
                NETWORKDAYS(I2398, L2398, Holiday_Dates) - IF(I2398 = L2398, 0, 1)
            )
        )
    ),
    ""
)</f>
        <v/>
      </c>
      <c r="Q2398" s="385" t="str">
        <f>IF(
    OR(ISBLANK(L2398), ISBLANK(M2398)),
    "",
    MAX(
        1,
        IF(
            NETWORKDAYS(L2398, M2398, Holiday_Dates) &lt;= 0,
            1,
            NETWORKDAYS(L2398, M2398, Holiday_Dates) - IF(L2398 = M2398, 0, 1)
        )
    )
)</f>
        <v/>
      </c>
      <c r="R2398" s="385" t="str">
        <f>IFERROR(
    IF(
        OR(ISBLANK(N2398), AND(ISBLANK(L2398), ISBLANK(M2398))),
        "",
        MAX(
            1,
            IF(
                NETWORKDAYS(IF(NOT(ISBLANK(M2398)), M2398, L2398), N2398, Holiday_Dates) &lt;= 0,
                1,
                NETWORKDAYS(IF(NOT(ISBLANK(M2398)), M2398, L2398), N2398, Holiday_Dates)
                - IF(IF(NOT(ISBLANK(M2398)), M2398, L2398) = N2398, 0, 1)
            )
        )
    ),
    ""
)</f>
        <v/>
      </c>
      <c r="S2398" s="385" t="str">
        <f>IFERROR(
    IF(
        OR(ISBLANK(N2398), ISBLANK(O2398)),
        "",
        MAX(
            1,
            IF(
                NETWORKDAYS(N2398, O2398, Holiday_Dates) &lt;= 0,
                1,
                NETWORKDAYS(N2398, O2398, Holiday_Dates) - IF(N2398 = O2398, 0, 1)
            )
        )
    ),
    ""
)</f>
        <v/>
      </c>
      <c r="T2398" s="385"/>
      <c r="U2398" s="385" t="s">
        <v>672</v>
      </c>
      <c r="V2398" s="385" t="s">
        <v>101</v>
      </c>
      <c r="W2398" s="385" t="s">
        <v>1436</v>
      </c>
      <c r="X2398" s="1"/>
    </row>
    <row r="2399" spans="1:24">
      <c r="A2399" s="385" t="s">
        <v>51</v>
      </c>
      <c r="B2399" s="385" t="s">
        <v>389</v>
      </c>
      <c r="C2399" s="385" t="s">
        <v>3554</v>
      </c>
      <c r="D2399" s="385" t="s">
        <v>88</v>
      </c>
      <c r="E2399" s="385" t="s">
        <v>32</v>
      </c>
      <c r="F2399" s="385"/>
      <c r="G2399" s="385" t="s">
        <v>133</v>
      </c>
      <c r="H2399" s="385"/>
      <c r="I2399" s="385"/>
      <c r="J2399" s="30"/>
      <c r="K2399" s="385"/>
      <c r="L2399" s="385"/>
      <c r="M2399" s="385"/>
      <c r="N2399" s="385"/>
      <c r="O2399" s="385"/>
      <c r="P2399" s="385" t="str">
        <f>IFERROR(
    IF(
        OR(ISBLANK(I2399), ISBLANK(L2399)),
        "",
        MAX(
            1,
            IF(
                NETWORKDAYS(I2399, L2399, Holiday_Dates) &lt;= 0,
                1,
                NETWORKDAYS(I2399, L2399, Holiday_Dates) - IF(I2399 = L2399, 0, 1)
            )
        )
    ),
    ""
)</f>
        <v/>
      </c>
      <c r="Q2399" s="385" t="str">
        <f>IF(
    OR(ISBLANK(L2399), ISBLANK(M2399)),
    "",
    MAX(
        1,
        IF(
            NETWORKDAYS(L2399, M2399, Holiday_Dates) &lt;= 0,
            1,
            NETWORKDAYS(L2399, M2399, Holiday_Dates) - IF(L2399 = M2399, 0, 1)
        )
    )
)</f>
        <v/>
      </c>
      <c r="R2399" s="385" t="str">
        <f>IFERROR(
    IF(
        OR(ISBLANK(N2399), AND(ISBLANK(L2399), ISBLANK(M2399))),
        "",
        MAX(
            1,
            IF(
                NETWORKDAYS(IF(NOT(ISBLANK(M2399)), M2399, L2399), N2399, Holiday_Dates) &lt;= 0,
                1,
                NETWORKDAYS(IF(NOT(ISBLANK(M2399)), M2399, L2399), N2399, Holiday_Dates)
                - IF(IF(NOT(ISBLANK(M2399)), M2399, L2399) = N2399, 0, 1)
            )
        )
    ),
    ""
)</f>
        <v/>
      </c>
      <c r="S2399" s="385" t="str">
        <f>IFERROR(
    IF(
        OR(ISBLANK(N2399), ISBLANK(O2399)),
        "",
        MAX(
            1,
            IF(
                NETWORKDAYS(N2399, O2399, Holiday_Dates) &lt;= 0,
                1,
                NETWORKDAYS(N2399, O2399, Holiday_Dates) - IF(N2399 = O2399, 0, 1)
            )
        )
    ),
    ""
)</f>
        <v/>
      </c>
      <c r="T2399" s="385"/>
      <c r="U2399" s="385"/>
      <c r="V2399" s="385"/>
      <c r="W2399" s="385" t="s">
        <v>4710</v>
      </c>
      <c r="X2399" s="1"/>
    </row>
    <row r="2400" spans="1:24">
      <c r="A2400" s="385" t="s">
        <v>52</v>
      </c>
      <c r="B2400" s="385" t="s">
        <v>368</v>
      </c>
      <c r="C2400" s="385" t="s">
        <v>1641</v>
      </c>
      <c r="D2400" s="385" t="s">
        <v>89</v>
      </c>
      <c r="E2400" s="385"/>
      <c r="F2400" s="385"/>
      <c r="G2400" s="385"/>
      <c r="H2400" s="385">
        <v>2025</v>
      </c>
      <c r="I2400" s="386">
        <v>45924</v>
      </c>
      <c r="J2400" s="30" t="s">
        <v>5588</v>
      </c>
      <c r="K2400" s="385"/>
      <c r="L2400" s="385"/>
      <c r="M2400" s="385"/>
      <c r="N2400" s="385"/>
      <c r="O2400" s="385"/>
      <c r="P2400" s="385" t="str">
        <f>IFERROR(
    IF(
        OR(ISBLANK(I2400), ISBLANK(L2400)),
        "",
        MAX(
            1,
            IF(
                NETWORKDAYS(I2400, L2400, Holiday_Dates) &lt;= 0,
                1,
                NETWORKDAYS(I2400, L2400, Holiday_Dates) - IF(I2400 = L2400, 0, 1)
            )
        )
    ),
    ""
)</f>
        <v/>
      </c>
      <c r="Q2400" s="385" t="str">
        <f>IF(
    OR(ISBLANK(L2400), ISBLANK(M2400)),
    "",
    MAX(
        1,
        IF(
            NETWORKDAYS(L2400, M2400, Holiday_Dates) &lt;= 0,
            1,
            NETWORKDAYS(L2400, M2400, Holiday_Dates) - IF(L2400 = M2400, 0, 1)
        )
    )
)</f>
        <v/>
      </c>
      <c r="R2400" s="385" t="str">
        <f>IFERROR(
    IF(
        OR(ISBLANK(N2400), AND(ISBLANK(L2400), ISBLANK(M2400))),
        "",
        MAX(
            1,
            IF(
                NETWORKDAYS(IF(NOT(ISBLANK(M2400)), M2400, L2400), N2400, Holiday_Dates) &lt;= 0,
                1,
                NETWORKDAYS(IF(NOT(ISBLANK(M2400)), M2400, L2400), N2400, Holiday_Dates)
                - IF(IF(NOT(ISBLANK(M2400)), M2400, L2400) = N2400, 0, 1)
            )
        )
    ),
    ""
)</f>
        <v/>
      </c>
      <c r="S2400" s="385" t="str">
        <f>IFERROR(
    IF(
        OR(ISBLANK(N2400), ISBLANK(O2400)),
        "",
        MAX(
            1,
            IF(
                NETWORKDAYS(N2400, O2400, Holiday_Dates) &lt;= 0,
                1,
                NETWORKDAYS(N2400, O2400, Holiday_Dates) - IF(N2400 = O2400, 0, 1)
            )
        )
    ),
    ""
)</f>
        <v/>
      </c>
      <c r="T2400" s="385"/>
      <c r="U2400" s="385" t="s">
        <v>672</v>
      </c>
      <c r="V2400" s="385" t="s">
        <v>108</v>
      </c>
      <c r="W2400" s="385" t="s">
        <v>1436</v>
      </c>
      <c r="X2400" s="1"/>
    </row>
    <row r="2401" spans="1:24">
      <c r="A2401" s="385" t="s">
        <v>52</v>
      </c>
      <c r="B2401" s="385" t="s">
        <v>368</v>
      </c>
      <c r="C2401" s="385" t="s">
        <v>3901</v>
      </c>
      <c r="D2401" s="385" t="s">
        <v>89</v>
      </c>
      <c r="E2401" s="385"/>
      <c r="F2401" s="385"/>
      <c r="G2401" s="385"/>
      <c r="H2401" s="385">
        <v>2025</v>
      </c>
      <c r="I2401" s="386">
        <v>45783</v>
      </c>
      <c r="J2401" s="30" t="s">
        <v>5589</v>
      </c>
      <c r="K2401" s="385"/>
      <c r="L2401" s="385"/>
      <c r="M2401" s="385"/>
      <c r="N2401" s="385"/>
      <c r="O2401" s="385"/>
      <c r="P2401" s="385" t="str">
        <f>IFERROR(
    IF(
        OR(ISBLANK(I2401), ISBLANK(L2401)),
        "",
        MAX(
            1,
            IF(
                NETWORKDAYS(I2401, L2401, Holiday_Dates) &lt;= 0,
                1,
                NETWORKDAYS(I2401, L2401, Holiday_Dates) - IF(I2401 = L2401, 0, 1)
            )
        )
    ),
    ""
)</f>
        <v/>
      </c>
      <c r="Q2401" s="385" t="str">
        <f>IF(
    OR(ISBLANK(L2401), ISBLANK(M2401)),
    "",
    MAX(
        1,
        IF(
            NETWORKDAYS(L2401, M2401, Holiday_Dates) &lt;= 0,
            1,
            NETWORKDAYS(L2401, M2401, Holiday_Dates) - IF(L2401 = M2401, 0, 1)
        )
    )
)</f>
        <v/>
      </c>
      <c r="R2401" s="385" t="str">
        <f>IFERROR(
    IF(
        OR(ISBLANK(N2401), AND(ISBLANK(L2401), ISBLANK(M2401))),
        "",
        MAX(
            1,
            IF(
                NETWORKDAYS(IF(NOT(ISBLANK(M2401)), M2401, L2401), N2401, Holiday_Dates) &lt;= 0,
                1,
                NETWORKDAYS(IF(NOT(ISBLANK(M2401)), M2401, L2401), N2401, Holiday_Dates)
                - IF(IF(NOT(ISBLANK(M2401)), M2401, L2401) = N2401, 0, 1)
            )
        )
    ),
    ""
)</f>
        <v/>
      </c>
      <c r="S2401" s="385" t="str">
        <f>IFERROR(
    IF(
        OR(ISBLANK(N2401), ISBLANK(O2401)),
        "",
        MAX(
            1,
            IF(
                NETWORKDAYS(N2401, O2401, Holiday_Dates) &lt;= 0,
                1,
                NETWORKDAYS(N2401, O2401, Holiday_Dates) - IF(N2401 = O2401, 0, 1)
            )
        )
    ),
    ""
)</f>
        <v/>
      </c>
      <c r="T2401" s="385"/>
      <c r="U2401" s="385" t="s">
        <v>672</v>
      </c>
      <c r="V2401" s="385" t="s">
        <v>101</v>
      </c>
      <c r="W2401" s="385" t="s">
        <v>1436</v>
      </c>
      <c r="X2401" s="1"/>
    </row>
    <row r="2402" spans="1:24">
      <c r="A2402" s="385" t="s">
        <v>52</v>
      </c>
      <c r="B2402" s="385" t="s">
        <v>368</v>
      </c>
      <c r="C2402" s="385" t="s">
        <v>3902</v>
      </c>
      <c r="D2402" s="385" t="s">
        <v>89</v>
      </c>
      <c r="E2402" s="385"/>
      <c r="F2402" s="385"/>
      <c r="G2402" s="385"/>
      <c r="H2402" s="385">
        <v>2025</v>
      </c>
      <c r="I2402" s="386">
        <v>45783</v>
      </c>
      <c r="J2402" s="30" t="s">
        <v>5590</v>
      </c>
      <c r="K2402" s="385"/>
      <c r="L2402" s="385"/>
      <c r="M2402" s="385"/>
      <c r="N2402" s="385"/>
      <c r="O2402" s="385"/>
      <c r="P2402" s="385" t="str">
        <f>IFERROR(
    IF(
        OR(ISBLANK(I2402), ISBLANK(L2402)),
        "",
        MAX(
            1,
            IF(
                NETWORKDAYS(I2402, L2402, Holiday_Dates) &lt;= 0,
                1,
                NETWORKDAYS(I2402, L2402, Holiday_Dates) - IF(I2402 = L2402, 0, 1)
            )
        )
    ),
    ""
)</f>
        <v/>
      </c>
      <c r="Q2402" s="385" t="str">
        <f>IF(
    OR(ISBLANK(L2402), ISBLANK(M2402)),
    "",
    MAX(
        1,
        IF(
            NETWORKDAYS(L2402, M2402, Holiday_Dates) &lt;= 0,
            1,
            NETWORKDAYS(L2402, M2402, Holiday_Dates) - IF(L2402 = M2402, 0, 1)
        )
    )
)</f>
        <v/>
      </c>
      <c r="R2402" s="385" t="str">
        <f>IFERROR(
    IF(
        OR(ISBLANK(N2402), AND(ISBLANK(L2402), ISBLANK(M2402))),
        "",
        MAX(
            1,
            IF(
                NETWORKDAYS(IF(NOT(ISBLANK(M2402)), M2402, L2402), N2402, Holiday_Dates) &lt;= 0,
                1,
                NETWORKDAYS(IF(NOT(ISBLANK(M2402)), M2402, L2402), N2402, Holiday_Dates)
                - IF(IF(NOT(ISBLANK(M2402)), M2402, L2402) = N2402, 0, 1)
            )
        )
    ),
    ""
)</f>
        <v/>
      </c>
      <c r="S2402" s="385" t="str">
        <f>IFERROR(
    IF(
        OR(ISBLANK(N2402), ISBLANK(O2402)),
        "",
        MAX(
            1,
            IF(
                NETWORKDAYS(N2402, O2402, Holiday_Dates) &lt;= 0,
                1,
                NETWORKDAYS(N2402, O2402, Holiday_Dates) - IF(N2402 = O2402, 0, 1)
            )
        )
    ),
    ""
)</f>
        <v/>
      </c>
      <c r="T2402" s="385"/>
      <c r="U2402" s="385" t="s">
        <v>672</v>
      </c>
      <c r="V2402" s="385" t="s">
        <v>101</v>
      </c>
      <c r="W2402" s="385" t="s">
        <v>1436</v>
      </c>
      <c r="X2402" s="1"/>
    </row>
    <row r="2403" spans="1:24">
      <c r="A2403" s="385" t="s">
        <v>52</v>
      </c>
      <c r="B2403" s="385" t="s">
        <v>368</v>
      </c>
      <c r="C2403" s="385" t="s">
        <v>3903</v>
      </c>
      <c r="D2403" s="385" t="s">
        <v>89</v>
      </c>
      <c r="E2403" s="385"/>
      <c r="F2403" s="385"/>
      <c r="G2403" s="385"/>
      <c r="H2403" s="385">
        <v>2024</v>
      </c>
      <c r="I2403" s="386">
        <v>45603</v>
      </c>
      <c r="J2403" s="30"/>
      <c r="K2403" s="385"/>
      <c r="L2403" s="385"/>
      <c r="M2403" s="385"/>
      <c r="N2403" s="385"/>
      <c r="O2403" s="385"/>
      <c r="P2403" s="385" t="str">
        <f>IFERROR(
    IF(
        OR(ISBLANK(I2403), ISBLANK(L2403)),
        "",
        MAX(
            1,
            IF(
                NETWORKDAYS(I2403, L2403, Holiday_Dates) &lt;= 0,
                1,
                NETWORKDAYS(I2403, L2403, Holiday_Dates) - IF(I2403 = L2403, 0, 1)
            )
        )
    ),
    ""
)</f>
        <v/>
      </c>
      <c r="Q2403" s="385" t="str">
        <f>IF(
    OR(ISBLANK(L2403), ISBLANK(M2403)),
    "",
    MAX(
        1,
        IF(
            NETWORKDAYS(L2403, M2403, Holiday_Dates) &lt;= 0,
            1,
            NETWORKDAYS(L2403, M2403, Holiday_Dates) - IF(L2403 = M2403, 0, 1)
        )
    )
)</f>
        <v/>
      </c>
      <c r="R2403" s="385" t="str">
        <f>IFERROR(
    IF(
        OR(ISBLANK(N2403), AND(ISBLANK(L2403), ISBLANK(M2403))),
        "",
        MAX(
            1,
            IF(
                NETWORKDAYS(IF(NOT(ISBLANK(M2403)), M2403, L2403), N2403, Holiday_Dates) &lt;= 0,
                1,
                NETWORKDAYS(IF(NOT(ISBLANK(M2403)), M2403, L2403), N2403, Holiday_Dates)
                - IF(IF(NOT(ISBLANK(M2403)), M2403, L2403) = N2403, 0, 1)
            )
        )
    ),
    ""
)</f>
        <v/>
      </c>
      <c r="S2403" s="385" t="str">
        <f>IFERROR(
    IF(
        OR(ISBLANK(N2403), ISBLANK(O2403)),
        "",
        MAX(
            1,
            IF(
                NETWORKDAYS(N2403, O2403, Holiday_Dates) &lt;= 0,
                1,
                NETWORKDAYS(N2403, O2403, Holiday_Dates) - IF(N2403 = O2403, 0, 1)
            )
        )
    ),
    ""
)</f>
        <v/>
      </c>
      <c r="T2403" s="385"/>
      <c r="U2403" s="385" t="s">
        <v>672</v>
      </c>
      <c r="V2403" s="385"/>
      <c r="W2403" s="385" t="s">
        <v>1436</v>
      </c>
      <c r="X2403" s="1"/>
    </row>
    <row r="2404" spans="1:24">
      <c r="A2404" s="385" t="s">
        <v>52</v>
      </c>
      <c r="B2404" s="385" t="s">
        <v>368</v>
      </c>
      <c r="C2404" s="385" t="s">
        <v>5591</v>
      </c>
      <c r="D2404" s="385" t="s">
        <v>89</v>
      </c>
      <c r="E2404" s="385"/>
      <c r="F2404" s="385"/>
      <c r="G2404" s="385"/>
      <c r="H2404" s="385">
        <v>2025</v>
      </c>
      <c r="I2404" s="386">
        <v>45874</v>
      </c>
      <c r="J2404" s="30" t="s">
        <v>5592</v>
      </c>
      <c r="K2404" s="385"/>
      <c r="L2404" s="385"/>
      <c r="M2404" s="385"/>
      <c r="N2404" s="385"/>
      <c r="O2404" s="385"/>
      <c r="P2404" s="385" t="str">
        <f>IFERROR(
    IF(
        OR(ISBLANK(I2404), ISBLANK(L2404)),
        "",
        MAX(
            1,
            IF(
                NETWORKDAYS(I2404, L2404, Holiday_Dates) &lt;= 0,
                1,
                NETWORKDAYS(I2404, L2404, Holiday_Dates) - IF(I2404 = L2404, 0, 1)
            )
        )
    ),
    ""
)</f>
        <v/>
      </c>
      <c r="Q2404" s="385" t="str">
        <f>IF(
    OR(ISBLANK(L2404), ISBLANK(M2404)),
    "",
    MAX(
        1,
        IF(
            NETWORKDAYS(L2404, M2404, Holiday_Dates) &lt;= 0,
            1,
            NETWORKDAYS(L2404, M2404, Holiday_Dates) - IF(L2404 = M2404, 0, 1)
        )
    )
)</f>
        <v/>
      </c>
      <c r="R2404" s="385" t="str">
        <f>IFERROR(
    IF(
        OR(ISBLANK(N2404), AND(ISBLANK(L2404), ISBLANK(M2404))),
        "",
        MAX(
            1,
            IF(
                NETWORKDAYS(IF(NOT(ISBLANK(M2404)), M2404, L2404), N2404, Holiday_Dates) &lt;= 0,
                1,
                NETWORKDAYS(IF(NOT(ISBLANK(M2404)), M2404, L2404), N2404, Holiday_Dates)
                - IF(IF(NOT(ISBLANK(M2404)), M2404, L2404) = N2404, 0, 1)
            )
        )
    ),
    ""
)</f>
        <v/>
      </c>
      <c r="S2404" s="385" t="str">
        <f>IFERROR(
    IF(
        OR(ISBLANK(N2404), ISBLANK(O2404)),
        "",
        MAX(
            1,
            IF(
                NETWORKDAYS(N2404, O2404, Holiday_Dates) &lt;= 0,
                1,
                NETWORKDAYS(N2404, O2404, Holiday_Dates) - IF(N2404 = O2404, 0, 1)
            )
        )
    ),
    ""
)</f>
        <v/>
      </c>
      <c r="T2404" s="385"/>
      <c r="U2404" s="385" t="s">
        <v>672</v>
      </c>
      <c r="V2404" s="385" t="s">
        <v>101</v>
      </c>
      <c r="W2404" s="385" t="s">
        <v>1436</v>
      </c>
      <c r="X2404" s="1"/>
    </row>
    <row r="2405" spans="1:24">
      <c r="A2405" s="385" t="s">
        <v>51</v>
      </c>
      <c r="B2405" s="385" t="s">
        <v>389</v>
      </c>
      <c r="C2405" s="385" t="s">
        <v>926</v>
      </c>
      <c r="D2405" s="385" t="s">
        <v>88</v>
      </c>
      <c r="E2405" s="385" t="s">
        <v>32</v>
      </c>
      <c r="F2405" s="385"/>
      <c r="G2405" s="385" t="s">
        <v>133</v>
      </c>
      <c r="H2405" s="385"/>
      <c r="I2405" s="385"/>
      <c r="J2405" s="30"/>
      <c r="K2405" s="385"/>
      <c r="L2405" s="385"/>
      <c r="M2405" s="385"/>
      <c r="N2405" s="385"/>
      <c r="O2405" s="385"/>
      <c r="P2405" s="385" t="str">
        <f>IFERROR(
    IF(
        OR(ISBLANK(I2405), ISBLANK(L2405)),
        "",
        MAX(
            1,
            IF(
                NETWORKDAYS(I2405, L2405, Holiday_Dates) &lt;= 0,
                1,
                NETWORKDAYS(I2405, L2405, Holiday_Dates) - IF(I2405 = L2405, 0, 1)
            )
        )
    ),
    ""
)</f>
        <v/>
      </c>
      <c r="Q2405" s="385" t="str">
        <f>IF(
    OR(ISBLANK(L2405), ISBLANK(M2405)),
    "",
    MAX(
        1,
        IF(
            NETWORKDAYS(L2405, M2405, Holiday_Dates) &lt;= 0,
            1,
            NETWORKDAYS(L2405, M2405, Holiday_Dates) - IF(L2405 = M2405, 0, 1)
        )
    )
)</f>
        <v/>
      </c>
      <c r="R2405" s="385" t="str">
        <f>IFERROR(
    IF(
        OR(ISBLANK(N2405), AND(ISBLANK(L2405), ISBLANK(M2405))),
        "",
        MAX(
            1,
            IF(
                NETWORKDAYS(IF(NOT(ISBLANK(M2405)), M2405, L2405), N2405, Holiday_Dates) &lt;= 0,
                1,
                NETWORKDAYS(IF(NOT(ISBLANK(M2405)), M2405, L2405), N2405, Holiday_Dates)
                - IF(IF(NOT(ISBLANK(M2405)), M2405, L2405) = N2405, 0, 1)
            )
        )
    ),
    ""
)</f>
        <v/>
      </c>
      <c r="S2405" s="385" t="str">
        <f>IFERROR(
    IF(
        OR(ISBLANK(N2405), ISBLANK(O2405)),
        "",
        MAX(
            1,
            IF(
                NETWORKDAYS(N2405, O2405, Holiday_Dates) &lt;= 0,
                1,
                NETWORKDAYS(N2405, O2405, Holiday_Dates) - IF(N2405 = O2405, 0, 1)
            )
        )
    ),
    ""
)</f>
        <v/>
      </c>
      <c r="T2405" s="385"/>
      <c r="U2405" s="385"/>
      <c r="V2405" s="385"/>
      <c r="W2405" s="385" t="s">
        <v>4710</v>
      </c>
      <c r="X2405" s="1"/>
    </row>
    <row r="2406" spans="1:24">
      <c r="A2406" s="385" t="s">
        <v>52</v>
      </c>
      <c r="B2406" s="385" t="s">
        <v>368</v>
      </c>
      <c r="C2406" s="385" t="s">
        <v>3907</v>
      </c>
      <c r="D2406" s="385" t="s">
        <v>89</v>
      </c>
      <c r="E2406" s="385"/>
      <c r="F2406" s="385"/>
      <c r="G2406" s="385"/>
      <c r="H2406" s="385">
        <v>2025</v>
      </c>
      <c r="I2406" s="386">
        <v>45881</v>
      </c>
      <c r="J2406" s="30" t="s">
        <v>5593</v>
      </c>
      <c r="K2406" s="385"/>
      <c r="L2406" s="385"/>
      <c r="M2406" s="385"/>
      <c r="N2406" s="385"/>
      <c r="O2406" s="385"/>
      <c r="P2406" s="385" t="str">
        <f>IFERROR(
    IF(
        OR(ISBLANK(I2406), ISBLANK(L2406)),
        "",
        MAX(
            1,
            IF(
                NETWORKDAYS(I2406, L2406, Holiday_Dates) &lt;= 0,
                1,
                NETWORKDAYS(I2406, L2406, Holiday_Dates) - IF(I2406 = L2406, 0, 1)
            )
        )
    ),
    ""
)</f>
        <v/>
      </c>
      <c r="Q2406" s="385" t="str">
        <f>IF(
    OR(ISBLANK(L2406), ISBLANK(M2406)),
    "",
    MAX(
        1,
        IF(
            NETWORKDAYS(L2406, M2406, Holiday_Dates) &lt;= 0,
            1,
            NETWORKDAYS(L2406, M2406, Holiday_Dates) - IF(L2406 = M2406, 0, 1)
        )
    )
)</f>
        <v/>
      </c>
      <c r="R2406" s="385" t="str">
        <f>IFERROR(
    IF(
        OR(ISBLANK(N2406), AND(ISBLANK(L2406), ISBLANK(M2406))),
        "",
        MAX(
            1,
            IF(
                NETWORKDAYS(IF(NOT(ISBLANK(M2406)), M2406, L2406), N2406, Holiday_Dates) &lt;= 0,
                1,
                NETWORKDAYS(IF(NOT(ISBLANK(M2406)), M2406, L2406), N2406, Holiday_Dates)
                - IF(IF(NOT(ISBLANK(M2406)), M2406, L2406) = N2406, 0, 1)
            )
        )
    ),
    ""
)</f>
        <v/>
      </c>
      <c r="S2406" s="385" t="str">
        <f>IFERROR(
    IF(
        OR(ISBLANK(N2406), ISBLANK(O2406)),
        "",
        MAX(
            1,
            IF(
                NETWORKDAYS(N2406, O2406, Holiday_Dates) &lt;= 0,
                1,
                NETWORKDAYS(N2406, O2406, Holiday_Dates) - IF(N2406 = O2406, 0, 1)
            )
        )
    ),
    ""
)</f>
        <v/>
      </c>
      <c r="T2406" s="385"/>
      <c r="U2406" s="385" t="s">
        <v>672</v>
      </c>
      <c r="V2406" s="385" t="s">
        <v>101</v>
      </c>
      <c r="W2406" s="385" t="s">
        <v>1436</v>
      </c>
      <c r="X2406" s="1"/>
    </row>
    <row r="2407" spans="1:24">
      <c r="A2407" s="385" t="s">
        <v>52</v>
      </c>
      <c r="B2407" s="385" t="s">
        <v>368</v>
      </c>
      <c r="C2407" s="385" t="s">
        <v>3908</v>
      </c>
      <c r="D2407" s="385" t="s">
        <v>89</v>
      </c>
      <c r="E2407" s="385"/>
      <c r="F2407" s="385"/>
      <c r="G2407" s="385"/>
      <c r="H2407" s="385">
        <v>2025</v>
      </c>
      <c r="I2407" s="386">
        <v>45881</v>
      </c>
      <c r="J2407" s="30" t="s">
        <v>5594</v>
      </c>
      <c r="K2407" s="385"/>
      <c r="L2407" s="385"/>
      <c r="M2407" s="385"/>
      <c r="N2407" s="385"/>
      <c r="O2407" s="385"/>
      <c r="P2407" s="385" t="str">
        <f>IFERROR(
    IF(
        OR(ISBLANK(I2407), ISBLANK(L2407)),
        "",
        MAX(
            1,
            IF(
                NETWORKDAYS(I2407, L2407, Holiday_Dates) &lt;= 0,
                1,
                NETWORKDAYS(I2407, L2407, Holiday_Dates) - IF(I2407 = L2407, 0, 1)
            )
        )
    ),
    ""
)</f>
        <v/>
      </c>
      <c r="Q2407" s="385" t="str">
        <f>IF(
    OR(ISBLANK(L2407), ISBLANK(M2407)),
    "",
    MAX(
        1,
        IF(
            NETWORKDAYS(L2407, M2407, Holiday_Dates) &lt;= 0,
            1,
            NETWORKDAYS(L2407, M2407, Holiday_Dates) - IF(L2407 = M2407, 0, 1)
        )
    )
)</f>
        <v/>
      </c>
      <c r="R2407" s="385" t="str">
        <f>IFERROR(
    IF(
        OR(ISBLANK(N2407), AND(ISBLANK(L2407), ISBLANK(M2407))),
        "",
        MAX(
            1,
            IF(
                NETWORKDAYS(IF(NOT(ISBLANK(M2407)), M2407, L2407), N2407, Holiday_Dates) &lt;= 0,
                1,
                NETWORKDAYS(IF(NOT(ISBLANK(M2407)), M2407, L2407), N2407, Holiday_Dates)
                - IF(IF(NOT(ISBLANK(M2407)), M2407, L2407) = N2407, 0, 1)
            )
        )
    ),
    ""
)</f>
        <v/>
      </c>
      <c r="S2407" s="385" t="str">
        <f>IFERROR(
    IF(
        OR(ISBLANK(N2407), ISBLANK(O2407)),
        "",
        MAX(
            1,
            IF(
                NETWORKDAYS(N2407, O2407, Holiday_Dates) &lt;= 0,
                1,
                NETWORKDAYS(N2407, O2407, Holiday_Dates) - IF(N2407 = O2407, 0, 1)
            )
        )
    ),
    ""
)</f>
        <v/>
      </c>
      <c r="T2407" s="385"/>
      <c r="U2407" s="385" t="s">
        <v>672</v>
      </c>
      <c r="V2407" s="385" t="s">
        <v>101</v>
      </c>
      <c r="W2407" s="385" t="s">
        <v>1436</v>
      </c>
      <c r="X2407" s="1"/>
    </row>
    <row r="2408" spans="1:24">
      <c r="A2408" s="385" t="s">
        <v>52</v>
      </c>
      <c r="B2408" s="385" t="s">
        <v>368</v>
      </c>
      <c r="C2408" s="385" t="s">
        <v>3909</v>
      </c>
      <c r="D2408" s="385" t="s">
        <v>89</v>
      </c>
      <c r="E2408" s="385"/>
      <c r="F2408" s="385"/>
      <c r="G2408" s="385"/>
      <c r="H2408" s="385">
        <v>2025</v>
      </c>
      <c r="I2408" s="386">
        <v>45874</v>
      </c>
      <c r="J2408" s="30" t="s">
        <v>5595</v>
      </c>
      <c r="K2408" s="385"/>
      <c r="L2408" s="385"/>
      <c r="M2408" s="385"/>
      <c r="N2408" s="385"/>
      <c r="O2408" s="385"/>
      <c r="P2408" s="385" t="str">
        <f>IFERROR(
    IF(
        OR(ISBLANK(I2408), ISBLANK(L2408)),
        "",
        MAX(
            1,
            IF(
                NETWORKDAYS(I2408, L2408, Holiday_Dates) &lt;= 0,
                1,
                NETWORKDAYS(I2408, L2408, Holiday_Dates) - IF(I2408 = L2408, 0, 1)
            )
        )
    ),
    ""
)</f>
        <v/>
      </c>
      <c r="Q2408" s="385" t="str">
        <f>IF(
    OR(ISBLANK(L2408), ISBLANK(M2408)),
    "",
    MAX(
        1,
        IF(
            NETWORKDAYS(L2408, M2408, Holiday_Dates) &lt;= 0,
            1,
            NETWORKDAYS(L2408, M2408, Holiday_Dates) - IF(L2408 = M2408, 0, 1)
        )
    )
)</f>
        <v/>
      </c>
      <c r="R2408" s="385" t="str">
        <f>IFERROR(
    IF(
        OR(ISBLANK(N2408), AND(ISBLANK(L2408), ISBLANK(M2408))),
        "",
        MAX(
            1,
            IF(
                NETWORKDAYS(IF(NOT(ISBLANK(M2408)), M2408, L2408), N2408, Holiday_Dates) &lt;= 0,
                1,
                NETWORKDAYS(IF(NOT(ISBLANK(M2408)), M2408, L2408), N2408, Holiday_Dates)
                - IF(IF(NOT(ISBLANK(M2408)), M2408, L2408) = N2408, 0, 1)
            )
        )
    ),
    ""
)</f>
        <v/>
      </c>
      <c r="S2408" s="385" t="str">
        <f>IFERROR(
    IF(
        OR(ISBLANK(N2408), ISBLANK(O2408)),
        "",
        MAX(
            1,
            IF(
                NETWORKDAYS(N2408, O2408, Holiday_Dates) &lt;= 0,
                1,
                NETWORKDAYS(N2408, O2408, Holiday_Dates) - IF(N2408 = O2408, 0, 1)
            )
        )
    ),
    ""
)</f>
        <v/>
      </c>
      <c r="T2408" s="385"/>
      <c r="U2408" s="385" t="s">
        <v>672</v>
      </c>
      <c r="V2408" s="385" t="s">
        <v>101</v>
      </c>
      <c r="W2408" s="385" t="s">
        <v>1436</v>
      </c>
      <c r="X2408" s="1"/>
    </row>
    <row r="2409" spans="1:24">
      <c r="A2409" s="385" t="s">
        <v>52</v>
      </c>
      <c r="B2409" s="385" t="s">
        <v>368</v>
      </c>
      <c r="C2409" s="385" t="s">
        <v>3910</v>
      </c>
      <c r="D2409" s="385" t="s">
        <v>89</v>
      </c>
      <c r="E2409" s="385"/>
      <c r="F2409" s="385"/>
      <c r="G2409" s="385"/>
      <c r="H2409" s="385">
        <v>2025</v>
      </c>
      <c r="I2409" s="386">
        <v>45881</v>
      </c>
      <c r="J2409" s="30" t="s">
        <v>5596</v>
      </c>
      <c r="K2409" s="385"/>
      <c r="L2409" s="385"/>
      <c r="M2409" s="385"/>
      <c r="N2409" s="385"/>
      <c r="O2409" s="385"/>
      <c r="P2409" s="385" t="str">
        <f>IFERROR(
    IF(
        OR(ISBLANK(I2409), ISBLANK(L2409)),
        "",
        MAX(
            1,
            IF(
                NETWORKDAYS(I2409, L2409, Holiday_Dates) &lt;= 0,
                1,
                NETWORKDAYS(I2409, L2409, Holiday_Dates) - IF(I2409 = L2409, 0, 1)
            )
        )
    ),
    ""
)</f>
        <v/>
      </c>
      <c r="Q2409" s="385" t="str">
        <f>IF(
    OR(ISBLANK(L2409), ISBLANK(M2409)),
    "",
    MAX(
        1,
        IF(
            NETWORKDAYS(L2409, M2409, Holiday_Dates) &lt;= 0,
            1,
            NETWORKDAYS(L2409, M2409, Holiday_Dates) - IF(L2409 = M2409, 0, 1)
        )
    )
)</f>
        <v/>
      </c>
      <c r="R2409" s="385" t="str">
        <f>IFERROR(
    IF(
        OR(ISBLANK(N2409), AND(ISBLANK(L2409), ISBLANK(M2409))),
        "",
        MAX(
            1,
            IF(
                NETWORKDAYS(IF(NOT(ISBLANK(M2409)), M2409, L2409), N2409, Holiday_Dates) &lt;= 0,
                1,
                NETWORKDAYS(IF(NOT(ISBLANK(M2409)), M2409, L2409), N2409, Holiday_Dates)
                - IF(IF(NOT(ISBLANK(M2409)), M2409, L2409) = N2409, 0, 1)
            )
        )
    ),
    ""
)</f>
        <v/>
      </c>
      <c r="S2409" s="385" t="str">
        <f>IFERROR(
    IF(
        OR(ISBLANK(N2409), ISBLANK(O2409)),
        "",
        MAX(
            1,
            IF(
                NETWORKDAYS(N2409, O2409, Holiday_Dates) &lt;= 0,
                1,
                NETWORKDAYS(N2409, O2409, Holiday_Dates) - IF(N2409 = O2409, 0, 1)
            )
        )
    ),
    ""
)</f>
        <v/>
      </c>
      <c r="T2409" s="385"/>
      <c r="U2409" s="385" t="s">
        <v>672</v>
      </c>
      <c r="V2409" s="385" t="s">
        <v>101</v>
      </c>
      <c r="W2409" s="385" t="s">
        <v>1436</v>
      </c>
      <c r="X2409" s="1"/>
    </row>
    <row r="2410" spans="1:24">
      <c r="A2410" s="385" t="s">
        <v>52</v>
      </c>
      <c r="B2410" s="385" t="s">
        <v>368</v>
      </c>
      <c r="C2410" s="385" t="s">
        <v>3911</v>
      </c>
      <c r="D2410" s="385" t="s">
        <v>89</v>
      </c>
      <c r="E2410" s="385"/>
      <c r="F2410" s="385"/>
      <c r="G2410" s="385"/>
      <c r="H2410" s="385">
        <v>2025</v>
      </c>
      <c r="I2410" s="386">
        <v>45758</v>
      </c>
      <c r="J2410" s="30" t="s">
        <v>5597</v>
      </c>
      <c r="K2410" s="385"/>
      <c r="L2410" s="385"/>
      <c r="M2410" s="385"/>
      <c r="N2410" s="385"/>
      <c r="O2410" s="385"/>
      <c r="P2410" s="385" t="str">
        <f>IFERROR(
    IF(
        OR(ISBLANK(I2410), ISBLANK(L2410)),
        "",
        MAX(
            1,
            IF(
                NETWORKDAYS(I2410, L2410, Holiday_Dates) &lt;= 0,
                1,
                NETWORKDAYS(I2410, L2410, Holiday_Dates) - IF(I2410 = L2410, 0, 1)
            )
        )
    ),
    ""
)</f>
        <v/>
      </c>
      <c r="Q2410" s="385" t="str">
        <f>IF(
    OR(ISBLANK(L2410), ISBLANK(M2410)),
    "",
    MAX(
        1,
        IF(
            NETWORKDAYS(L2410, M2410, Holiday_Dates) &lt;= 0,
            1,
            NETWORKDAYS(L2410, M2410, Holiday_Dates) - IF(L2410 = M2410, 0, 1)
        )
    )
)</f>
        <v/>
      </c>
      <c r="R2410" s="385" t="str">
        <f>IFERROR(
    IF(
        OR(ISBLANK(N2410), AND(ISBLANK(L2410), ISBLANK(M2410))),
        "",
        MAX(
            1,
            IF(
                NETWORKDAYS(IF(NOT(ISBLANK(M2410)), M2410, L2410), N2410, Holiday_Dates) &lt;= 0,
                1,
                NETWORKDAYS(IF(NOT(ISBLANK(M2410)), M2410, L2410), N2410, Holiday_Dates)
                - IF(IF(NOT(ISBLANK(M2410)), M2410, L2410) = N2410, 0, 1)
            )
        )
    ),
    ""
)</f>
        <v/>
      </c>
      <c r="S2410" s="385" t="str">
        <f>IFERROR(
    IF(
        OR(ISBLANK(N2410), ISBLANK(O2410)),
        "",
        MAX(
            1,
            IF(
                NETWORKDAYS(N2410, O2410, Holiday_Dates) &lt;= 0,
                1,
                NETWORKDAYS(N2410, O2410, Holiday_Dates) - IF(N2410 = O2410, 0, 1)
            )
        )
    ),
    ""
)</f>
        <v/>
      </c>
      <c r="T2410" s="385"/>
      <c r="U2410" s="385" t="s">
        <v>672</v>
      </c>
      <c r="V2410" s="385" t="s">
        <v>101</v>
      </c>
      <c r="W2410" s="385" t="s">
        <v>1436</v>
      </c>
      <c r="X2410" s="1"/>
    </row>
    <row r="2411" spans="1:24">
      <c r="A2411" s="385" t="s">
        <v>52</v>
      </c>
      <c r="B2411" s="385" t="s">
        <v>368</v>
      </c>
      <c r="C2411" s="385" t="s">
        <v>3912</v>
      </c>
      <c r="D2411" s="385" t="s">
        <v>89</v>
      </c>
      <c r="E2411" s="385"/>
      <c r="F2411" s="385"/>
      <c r="G2411" s="385"/>
      <c r="H2411" s="385">
        <v>2025</v>
      </c>
      <c r="I2411" s="386">
        <v>45846</v>
      </c>
      <c r="J2411" s="30" t="s">
        <v>5598</v>
      </c>
      <c r="K2411" s="385"/>
      <c r="L2411" s="385"/>
      <c r="M2411" s="385"/>
      <c r="N2411" s="385"/>
      <c r="O2411" s="385"/>
      <c r="P2411" s="385" t="str">
        <f>IFERROR(
    IF(
        OR(ISBLANK(I2411), ISBLANK(L2411)),
        "",
        MAX(
            1,
            IF(
                NETWORKDAYS(I2411, L2411, Holiday_Dates) &lt;= 0,
                1,
                NETWORKDAYS(I2411, L2411, Holiday_Dates) - IF(I2411 = L2411, 0, 1)
            )
        )
    ),
    ""
)</f>
        <v/>
      </c>
      <c r="Q2411" s="385" t="str">
        <f>IF(
    OR(ISBLANK(L2411), ISBLANK(M2411)),
    "",
    MAX(
        1,
        IF(
            NETWORKDAYS(L2411, M2411, Holiday_Dates) &lt;= 0,
            1,
            NETWORKDAYS(L2411, M2411, Holiday_Dates) - IF(L2411 = M2411, 0, 1)
        )
    )
)</f>
        <v/>
      </c>
      <c r="R2411" s="385" t="str">
        <f>IFERROR(
    IF(
        OR(ISBLANK(N2411), AND(ISBLANK(L2411), ISBLANK(M2411))),
        "",
        MAX(
            1,
            IF(
                NETWORKDAYS(IF(NOT(ISBLANK(M2411)), M2411, L2411), N2411, Holiday_Dates) &lt;= 0,
                1,
                NETWORKDAYS(IF(NOT(ISBLANK(M2411)), M2411, L2411), N2411, Holiday_Dates)
                - IF(IF(NOT(ISBLANK(M2411)), M2411, L2411) = N2411, 0, 1)
            )
        )
    ),
    ""
)</f>
        <v/>
      </c>
      <c r="S2411" s="385" t="str">
        <f>IFERROR(
    IF(
        OR(ISBLANK(N2411), ISBLANK(O2411)),
        "",
        MAX(
            1,
            IF(
                NETWORKDAYS(N2411, O2411, Holiday_Dates) &lt;= 0,
                1,
                NETWORKDAYS(N2411, O2411, Holiday_Dates) - IF(N2411 = O2411, 0, 1)
            )
        )
    ),
    ""
)</f>
        <v/>
      </c>
      <c r="T2411" s="385"/>
      <c r="U2411" s="385" t="s">
        <v>672</v>
      </c>
      <c r="V2411" s="385" t="s">
        <v>101</v>
      </c>
      <c r="W2411" s="385" t="s">
        <v>1436</v>
      </c>
      <c r="X2411" s="1"/>
    </row>
    <row r="2412" spans="1:24">
      <c r="A2412" s="385" t="s">
        <v>51</v>
      </c>
      <c r="B2412" s="385" t="s">
        <v>389</v>
      </c>
      <c r="C2412" s="385" t="s">
        <v>3548</v>
      </c>
      <c r="D2412" s="385" t="s">
        <v>88</v>
      </c>
      <c r="E2412" s="385" t="s">
        <v>32</v>
      </c>
      <c r="F2412" s="385"/>
      <c r="G2412" s="385" t="s">
        <v>133</v>
      </c>
      <c r="H2412" s="385"/>
      <c r="I2412" s="385"/>
      <c r="J2412" s="30"/>
      <c r="K2412" s="385"/>
      <c r="L2412" s="385"/>
      <c r="M2412" s="385"/>
      <c r="N2412" s="385"/>
      <c r="O2412" s="385"/>
      <c r="P2412" s="385" t="str">
        <f>IFERROR(
    IF(
        OR(ISBLANK(I2412), ISBLANK(L2412)),
        "",
        MAX(
            1,
            IF(
                NETWORKDAYS(I2412, L2412, Holiday_Dates) &lt;= 0,
                1,
                NETWORKDAYS(I2412, L2412, Holiday_Dates) - IF(I2412 = L2412, 0, 1)
            )
        )
    ),
    ""
)</f>
        <v/>
      </c>
      <c r="Q2412" s="385" t="str">
        <f>IF(
    OR(ISBLANK(L2412), ISBLANK(M2412)),
    "",
    MAX(
        1,
        IF(
            NETWORKDAYS(L2412, M2412, Holiday_Dates) &lt;= 0,
            1,
            NETWORKDAYS(L2412, M2412, Holiday_Dates) - IF(L2412 = M2412, 0, 1)
        )
    )
)</f>
        <v/>
      </c>
      <c r="R2412" s="385" t="str">
        <f>IFERROR(
    IF(
        OR(ISBLANK(N2412), AND(ISBLANK(L2412), ISBLANK(M2412))),
        "",
        MAX(
            1,
            IF(
                NETWORKDAYS(IF(NOT(ISBLANK(M2412)), M2412, L2412), N2412, Holiday_Dates) &lt;= 0,
                1,
                NETWORKDAYS(IF(NOT(ISBLANK(M2412)), M2412, L2412), N2412, Holiday_Dates)
                - IF(IF(NOT(ISBLANK(M2412)), M2412, L2412) = N2412, 0, 1)
            )
        )
    ),
    ""
)</f>
        <v/>
      </c>
      <c r="S2412" s="385" t="str">
        <f>IFERROR(
    IF(
        OR(ISBLANK(N2412), ISBLANK(O2412)),
        "",
        MAX(
            1,
            IF(
                NETWORKDAYS(N2412, O2412, Holiday_Dates) &lt;= 0,
                1,
                NETWORKDAYS(N2412, O2412, Holiday_Dates) - IF(N2412 = O2412, 0, 1)
            )
        )
    ),
    ""
)</f>
        <v/>
      </c>
      <c r="T2412" s="385"/>
      <c r="U2412" s="385"/>
      <c r="V2412" s="385"/>
      <c r="W2412" s="385" t="s">
        <v>4710</v>
      </c>
      <c r="X2412" s="1"/>
    </row>
    <row r="2413" spans="1:24">
      <c r="A2413" s="385" t="s">
        <v>51</v>
      </c>
      <c r="B2413" s="385" t="s">
        <v>389</v>
      </c>
      <c r="C2413" s="385" t="s">
        <v>714</v>
      </c>
      <c r="D2413" s="385" t="s">
        <v>88</v>
      </c>
      <c r="E2413" s="385" t="s">
        <v>32</v>
      </c>
      <c r="F2413" s="385"/>
      <c r="G2413" s="385" t="s">
        <v>133</v>
      </c>
      <c r="H2413" s="385"/>
      <c r="I2413" s="385"/>
      <c r="J2413" s="533"/>
      <c r="K2413" s="385"/>
      <c r="L2413" s="385"/>
      <c r="M2413" s="385"/>
      <c r="N2413" s="385"/>
      <c r="O2413" s="385"/>
      <c r="P2413" s="385" t="str">
        <f>IFERROR(
    IF(
        OR(ISBLANK(I2413), ISBLANK(L2413)),
        "",
        MAX(
            1,
            IF(
                NETWORKDAYS(I2413, L2413, Holiday_Dates) &lt;= 0,
                1,
                NETWORKDAYS(I2413, L2413, Holiday_Dates) - IF(I2413 = L2413, 0, 1)
            )
        )
    ),
    ""
)</f>
        <v/>
      </c>
      <c r="Q2413" s="385" t="str">
        <f>IF(
    OR(ISBLANK(L2413), ISBLANK(M2413)),
    "",
    MAX(
        1,
        IF(
            NETWORKDAYS(L2413, M2413, Holiday_Dates) &lt;= 0,
            1,
            NETWORKDAYS(L2413, M2413, Holiday_Dates) - IF(L2413 = M2413, 0, 1)
        )
    )
)</f>
        <v/>
      </c>
      <c r="R2413" s="385" t="str">
        <f>IFERROR(
    IF(
        OR(ISBLANK(N2413), AND(ISBLANK(L2413), ISBLANK(M2413))),
        "",
        MAX(
            1,
            IF(
                NETWORKDAYS(IF(NOT(ISBLANK(M2413)), M2413, L2413), N2413, Holiday_Dates) &lt;= 0,
                1,
                NETWORKDAYS(IF(NOT(ISBLANK(M2413)), M2413, L2413), N2413, Holiday_Dates)
                - IF(IF(NOT(ISBLANK(M2413)), M2413, L2413) = N2413, 0, 1)
            )
        )
    ),
    ""
)</f>
        <v/>
      </c>
      <c r="S2413" s="385" t="str">
        <f>IFERROR(
    IF(
        OR(ISBLANK(N2413), ISBLANK(O2413)),
        "",
        MAX(
            1,
            IF(
                NETWORKDAYS(N2413, O2413, Holiday_Dates) &lt;= 0,
                1,
                NETWORKDAYS(N2413, O2413, Holiday_Dates) - IF(N2413 = O2413, 0, 1)
            )
        )
    ),
    ""
)</f>
        <v/>
      </c>
      <c r="T2413" s="385"/>
      <c r="U2413" s="385"/>
      <c r="V2413" s="385"/>
      <c r="W2413" s="385" t="s">
        <v>4710</v>
      </c>
      <c r="X2413" s="1"/>
    </row>
    <row r="2414" spans="1:24">
      <c r="A2414" s="385" t="s">
        <v>51</v>
      </c>
      <c r="B2414" s="385" t="s">
        <v>352</v>
      </c>
      <c r="C2414" s="385" t="s">
        <v>2220</v>
      </c>
      <c r="D2414" s="385" t="s">
        <v>88</v>
      </c>
      <c r="E2414" s="385" t="s">
        <v>32</v>
      </c>
      <c r="F2414" s="385"/>
      <c r="G2414" s="385" t="s">
        <v>133</v>
      </c>
      <c r="H2414" s="385"/>
      <c r="I2414" s="385"/>
      <c r="J2414" s="30"/>
      <c r="K2414" s="385"/>
      <c r="L2414" s="385"/>
      <c r="M2414" s="385"/>
      <c r="N2414" s="385"/>
      <c r="O2414" s="385"/>
      <c r="P2414" s="385" t="str">
        <f>IFERROR(
    IF(
        OR(ISBLANK(I2414), ISBLANK(L2414)),
        "",
        MAX(
            1,
            IF(
                NETWORKDAYS(I2414, L2414, Holiday_Dates) &lt;= 0,
                1,
                NETWORKDAYS(I2414, L2414, Holiday_Dates) - IF(I2414 = L2414, 0, 1)
            )
        )
    ),
    ""
)</f>
        <v/>
      </c>
      <c r="Q2414" s="385" t="str">
        <f>IF(
    OR(ISBLANK(L2414), ISBLANK(M2414)),
    "",
    MAX(
        1,
        IF(
            NETWORKDAYS(L2414, M2414, Holiday_Dates) &lt;= 0,
            1,
            NETWORKDAYS(L2414, M2414, Holiday_Dates) - IF(L2414 = M2414, 0, 1)
        )
    )
)</f>
        <v/>
      </c>
      <c r="R2414" s="385" t="str">
        <f>IFERROR(
    IF(
        OR(ISBLANK(N2414), AND(ISBLANK(L2414), ISBLANK(M2414))),
        "",
        MAX(
            1,
            IF(
                NETWORKDAYS(IF(NOT(ISBLANK(M2414)), M2414, L2414), N2414, Holiday_Dates) &lt;= 0,
                1,
                NETWORKDAYS(IF(NOT(ISBLANK(M2414)), M2414, L2414), N2414, Holiday_Dates)
                - IF(IF(NOT(ISBLANK(M2414)), M2414, L2414) = N2414, 0, 1)
            )
        )
    ),
    ""
)</f>
        <v/>
      </c>
      <c r="S2414" s="385" t="str">
        <f>IFERROR(
    IF(
        OR(ISBLANK(N2414), ISBLANK(O2414)),
        "",
        MAX(
            1,
            IF(
                NETWORKDAYS(N2414, O2414, Holiday_Dates) &lt;= 0,
                1,
                NETWORKDAYS(N2414, O2414, Holiday_Dates) - IF(N2414 = O2414, 0, 1)
            )
        )
    ),
    ""
)</f>
        <v/>
      </c>
      <c r="T2414" s="385"/>
      <c r="U2414" s="385"/>
      <c r="V2414" s="385"/>
      <c r="W2414" s="385" t="s">
        <v>4710</v>
      </c>
      <c r="X2414" s="1"/>
    </row>
    <row r="2415" spans="1:24">
      <c r="A2415" s="385" t="s">
        <v>51</v>
      </c>
      <c r="B2415" s="385" t="s">
        <v>352</v>
      </c>
      <c r="C2415" s="385" t="s">
        <v>3586</v>
      </c>
      <c r="D2415" s="385" t="s">
        <v>88</v>
      </c>
      <c r="E2415" s="385" t="s">
        <v>32</v>
      </c>
      <c r="F2415" s="385"/>
      <c r="G2415" s="385" t="s">
        <v>133</v>
      </c>
      <c r="H2415" s="385"/>
      <c r="I2415" s="385"/>
      <c r="J2415" s="30"/>
      <c r="K2415" s="385"/>
      <c r="L2415" s="385"/>
      <c r="M2415" s="385"/>
      <c r="N2415" s="385"/>
      <c r="O2415" s="385"/>
      <c r="P2415" s="385" t="str">
        <f>IFERROR(
    IF(
        OR(ISBLANK(I2415), ISBLANK(L2415)),
        "",
        MAX(
            1,
            IF(
                NETWORKDAYS(I2415, L2415, Holiday_Dates) &lt;= 0,
                1,
                NETWORKDAYS(I2415, L2415, Holiday_Dates) - IF(I2415 = L2415, 0, 1)
            )
        )
    ),
    ""
)</f>
        <v/>
      </c>
      <c r="Q2415" s="385" t="str">
        <f>IF(
    OR(ISBLANK(L2415), ISBLANK(M2415)),
    "",
    MAX(
        1,
        IF(
            NETWORKDAYS(L2415, M2415, Holiday_Dates) &lt;= 0,
            1,
            NETWORKDAYS(L2415, M2415, Holiday_Dates) - IF(L2415 = M2415, 0, 1)
        )
    )
)</f>
        <v/>
      </c>
      <c r="R2415" s="385" t="str">
        <f>IFERROR(
    IF(
        OR(ISBLANK(N2415), AND(ISBLANK(L2415), ISBLANK(M2415))),
        "",
        MAX(
            1,
            IF(
                NETWORKDAYS(IF(NOT(ISBLANK(M2415)), M2415, L2415), N2415, Holiday_Dates) &lt;= 0,
                1,
                NETWORKDAYS(IF(NOT(ISBLANK(M2415)), M2415, L2415), N2415, Holiday_Dates)
                - IF(IF(NOT(ISBLANK(M2415)), M2415, L2415) = N2415, 0, 1)
            )
        )
    ),
    ""
)</f>
        <v/>
      </c>
      <c r="S2415" s="385" t="str">
        <f>IFERROR(
    IF(
        OR(ISBLANK(N2415), ISBLANK(O2415)),
        "",
        MAX(
            1,
            IF(
                NETWORKDAYS(N2415, O2415, Holiday_Dates) &lt;= 0,
                1,
                NETWORKDAYS(N2415, O2415, Holiday_Dates) - IF(N2415 = O2415, 0, 1)
            )
        )
    ),
    ""
)</f>
        <v/>
      </c>
      <c r="T2415" s="385"/>
      <c r="U2415" s="385"/>
      <c r="V2415" s="385"/>
      <c r="W2415" s="385" t="s">
        <v>4710</v>
      </c>
      <c r="X2415" s="1"/>
    </row>
    <row r="2416" spans="1:24">
      <c r="A2416" s="385" t="s">
        <v>51</v>
      </c>
      <c r="B2416" s="385" t="s">
        <v>352</v>
      </c>
      <c r="C2416" s="385" t="s">
        <v>3587</v>
      </c>
      <c r="D2416" s="385" t="s">
        <v>88</v>
      </c>
      <c r="E2416" s="385" t="s">
        <v>32</v>
      </c>
      <c r="F2416" s="385"/>
      <c r="G2416" s="385" t="s">
        <v>133</v>
      </c>
      <c r="H2416" s="385"/>
      <c r="I2416" s="385"/>
      <c r="J2416" s="30"/>
      <c r="K2416" s="385"/>
      <c r="L2416" s="385"/>
      <c r="M2416" s="385"/>
      <c r="N2416" s="385"/>
      <c r="O2416" s="385"/>
      <c r="P2416" s="385" t="str">
        <f>IFERROR(
    IF(
        OR(ISBLANK(I2416), ISBLANK(L2416)),
        "",
        MAX(
            1,
            IF(
                NETWORKDAYS(I2416, L2416, Holiday_Dates) &lt;= 0,
                1,
                NETWORKDAYS(I2416, L2416, Holiday_Dates) - IF(I2416 = L2416, 0, 1)
            )
        )
    ),
    ""
)</f>
        <v/>
      </c>
      <c r="Q2416" s="385" t="str">
        <f>IF(
    OR(ISBLANK(L2416), ISBLANK(M2416)),
    "",
    MAX(
        1,
        IF(
            NETWORKDAYS(L2416, M2416, Holiday_Dates) &lt;= 0,
            1,
            NETWORKDAYS(L2416, M2416, Holiday_Dates) - IF(L2416 = M2416, 0, 1)
        )
    )
)</f>
        <v/>
      </c>
      <c r="R2416" s="385" t="str">
        <f>IFERROR(
    IF(
        OR(ISBLANK(N2416), AND(ISBLANK(L2416), ISBLANK(M2416))),
        "",
        MAX(
            1,
            IF(
                NETWORKDAYS(IF(NOT(ISBLANK(M2416)), M2416, L2416), N2416, Holiday_Dates) &lt;= 0,
                1,
                NETWORKDAYS(IF(NOT(ISBLANK(M2416)), M2416, L2416), N2416, Holiday_Dates)
                - IF(IF(NOT(ISBLANK(M2416)), M2416, L2416) = N2416, 0, 1)
            )
        )
    ),
    ""
)</f>
        <v/>
      </c>
      <c r="S2416" s="385" t="str">
        <f>IFERROR(
    IF(
        OR(ISBLANK(N2416), ISBLANK(O2416)),
        "",
        MAX(
            1,
            IF(
                NETWORKDAYS(N2416, O2416, Holiday_Dates) &lt;= 0,
                1,
                NETWORKDAYS(N2416, O2416, Holiday_Dates) - IF(N2416 = O2416, 0, 1)
            )
        )
    ),
    ""
)</f>
        <v/>
      </c>
      <c r="T2416" s="385"/>
      <c r="U2416" s="385"/>
      <c r="V2416" s="385"/>
      <c r="W2416" s="385" t="s">
        <v>4710</v>
      </c>
      <c r="X2416" s="1"/>
    </row>
    <row r="2417" spans="1:24">
      <c r="A2417" s="385" t="s">
        <v>52</v>
      </c>
      <c r="B2417" s="385" t="s">
        <v>368</v>
      </c>
      <c r="C2417" s="385" t="s">
        <v>3918</v>
      </c>
      <c r="D2417" s="385" t="s">
        <v>89</v>
      </c>
      <c r="E2417" s="385"/>
      <c r="F2417" s="385"/>
      <c r="G2417" s="385"/>
      <c r="H2417" s="385">
        <v>2025</v>
      </c>
      <c r="I2417" s="386">
        <v>45951</v>
      </c>
      <c r="J2417" s="30" t="s">
        <v>5599</v>
      </c>
      <c r="K2417" s="385"/>
      <c r="L2417" s="385"/>
      <c r="M2417" s="385"/>
      <c r="N2417" s="385"/>
      <c r="O2417" s="385"/>
      <c r="P2417" s="385" t="str">
        <f>IFERROR(
    IF(
        OR(ISBLANK(I2417), ISBLANK(L2417)),
        "",
        MAX(
            1,
            IF(
                NETWORKDAYS(I2417, L2417, Holiday_Dates) &lt;= 0,
                1,
                NETWORKDAYS(I2417, L2417, Holiday_Dates) - IF(I2417 = L2417, 0, 1)
            )
        )
    ),
    ""
)</f>
        <v/>
      </c>
      <c r="Q2417" s="385" t="str">
        <f>IF(
    OR(ISBLANK(L2417), ISBLANK(M2417)),
    "",
    MAX(
        1,
        IF(
            NETWORKDAYS(L2417, M2417, Holiday_Dates) &lt;= 0,
            1,
            NETWORKDAYS(L2417, M2417, Holiday_Dates) - IF(L2417 = M2417, 0, 1)
        )
    )
)</f>
        <v/>
      </c>
      <c r="R2417" s="385" t="str">
        <f>IFERROR(
    IF(
        OR(ISBLANK(N2417), AND(ISBLANK(L2417), ISBLANK(M2417))),
        "",
        MAX(
            1,
            IF(
                NETWORKDAYS(IF(NOT(ISBLANK(M2417)), M2417, L2417), N2417, Holiday_Dates) &lt;= 0,
                1,
                NETWORKDAYS(IF(NOT(ISBLANK(M2417)), M2417, L2417), N2417, Holiday_Dates)
                - IF(IF(NOT(ISBLANK(M2417)), M2417, L2417) = N2417, 0, 1)
            )
        )
    ),
    ""
)</f>
        <v/>
      </c>
      <c r="S2417" s="385" t="str">
        <f>IFERROR(
    IF(
        OR(ISBLANK(N2417), ISBLANK(O2417)),
        "",
        MAX(
            1,
            IF(
                NETWORKDAYS(N2417, O2417, Holiday_Dates) &lt;= 0,
                1,
                NETWORKDAYS(N2417, O2417, Holiday_Dates) - IF(N2417 = O2417, 0, 1)
            )
        )
    ),
    ""
)</f>
        <v/>
      </c>
      <c r="T2417" s="385"/>
      <c r="U2417" s="385" t="s">
        <v>672</v>
      </c>
      <c r="V2417" s="385" t="s">
        <v>101</v>
      </c>
      <c r="W2417" s="385" t="s">
        <v>1436</v>
      </c>
      <c r="X2417" s="1"/>
    </row>
    <row r="2418" spans="1:24">
      <c r="A2418" s="385" t="s">
        <v>52</v>
      </c>
      <c r="B2418" s="385" t="s">
        <v>368</v>
      </c>
      <c r="C2418" s="385" t="s">
        <v>3919</v>
      </c>
      <c r="D2418" s="385" t="s">
        <v>89</v>
      </c>
      <c r="E2418" s="385"/>
      <c r="F2418" s="385"/>
      <c r="G2418" s="385"/>
      <c r="H2418" s="385">
        <v>2024</v>
      </c>
      <c r="I2418" s="386">
        <v>45545</v>
      </c>
      <c r="J2418" s="30"/>
      <c r="K2418" s="385"/>
      <c r="L2418" s="385"/>
      <c r="M2418" s="385"/>
      <c r="N2418" s="385"/>
      <c r="O2418" s="385"/>
      <c r="P2418" s="385" t="str">
        <f>IFERROR(
    IF(
        OR(ISBLANK(I2418), ISBLANK(L2418)),
        "",
        MAX(
            1,
            IF(
                NETWORKDAYS(I2418, L2418, Holiday_Dates) &lt;= 0,
                1,
                NETWORKDAYS(I2418, L2418, Holiday_Dates) - IF(I2418 = L2418, 0, 1)
            )
        )
    ),
    ""
)</f>
        <v/>
      </c>
      <c r="Q2418" s="385" t="str">
        <f>IF(
    OR(ISBLANK(L2418), ISBLANK(M2418)),
    "",
    MAX(
        1,
        IF(
            NETWORKDAYS(L2418, M2418, Holiday_Dates) &lt;= 0,
            1,
            NETWORKDAYS(L2418, M2418, Holiday_Dates) - IF(L2418 = M2418, 0, 1)
        )
    )
)</f>
        <v/>
      </c>
      <c r="R2418" s="385" t="str">
        <f>IFERROR(
    IF(
        OR(ISBLANK(N2418), AND(ISBLANK(L2418), ISBLANK(M2418))),
        "",
        MAX(
            1,
            IF(
                NETWORKDAYS(IF(NOT(ISBLANK(M2418)), M2418, L2418), N2418, Holiday_Dates) &lt;= 0,
                1,
                NETWORKDAYS(IF(NOT(ISBLANK(M2418)), M2418, L2418), N2418, Holiday_Dates)
                - IF(IF(NOT(ISBLANK(M2418)), M2418, L2418) = N2418, 0, 1)
            )
        )
    ),
    ""
)</f>
        <v/>
      </c>
      <c r="S2418" s="385" t="str">
        <f>IFERROR(
    IF(
        OR(ISBLANK(N2418), ISBLANK(O2418)),
        "",
        MAX(
            1,
            IF(
                NETWORKDAYS(N2418, O2418, Holiday_Dates) &lt;= 0,
                1,
                NETWORKDAYS(N2418, O2418, Holiday_Dates) - IF(N2418 = O2418, 0, 1)
            )
        )
    ),
    ""
)</f>
        <v/>
      </c>
      <c r="T2418" s="385"/>
      <c r="U2418" s="385" t="s">
        <v>672</v>
      </c>
      <c r="V2418" s="385" t="s">
        <v>101</v>
      </c>
      <c r="W2418" s="385" t="s">
        <v>1436</v>
      </c>
      <c r="X2418" s="1"/>
    </row>
    <row r="2419" spans="1:24">
      <c r="A2419" s="385" t="s">
        <v>52</v>
      </c>
      <c r="B2419" s="385" t="s">
        <v>368</v>
      </c>
      <c r="C2419" s="385" t="s">
        <v>3921</v>
      </c>
      <c r="D2419" s="385" t="s">
        <v>89</v>
      </c>
      <c r="E2419" s="385"/>
      <c r="F2419" s="385"/>
      <c r="G2419" s="385"/>
      <c r="H2419" s="385">
        <v>2024</v>
      </c>
      <c r="I2419" s="386">
        <v>45580</v>
      </c>
      <c r="J2419" s="30"/>
      <c r="K2419" s="385"/>
      <c r="L2419" s="385"/>
      <c r="M2419" s="385"/>
      <c r="N2419" s="385"/>
      <c r="O2419" s="385"/>
      <c r="P2419" s="385" t="str">
        <f>IFERROR(
    IF(
        OR(ISBLANK(I2419), ISBLANK(L2419)),
        "",
        MAX(
            1,
            IF(
                NETWORKDAYS(I2419, L2419, Holiday_Dates) &lt;= 0,
                1,
                NETWORKDAYS(I2419, L2419, Holiday_Dates) - IF(I2419 = L2419, 0, 1)
            )
        )
    ),
    ""
)</f>
        <v/>
      </c>
      <c r="Q2419" s="385" t="str">
        <f>IF(
    OR(ISBLANK(L2419), ISBLANK(M2419)),
    "",
    MAX(
        1,
        IF(
            NETWORKDAYS(L2419, M2419, Holiday_Dates) &lt;= 0,
            1,
            NETWORKDAYS(L2419, M2419, Holiday_Dates) - IF(L2419 = M2419, 0, 1)
        )
    )
)</f>
        <v/>
      </c>
      <c r="R2419" s="385" t="str">
        <f>IFERROR(
    IF(
        OR(ISBLANK(N2419), AND(ISBLANK(L2419), ISBLANK(M2419))),
        "",
        MAX(
            1,
            IF(
                NETWORKDAYS(IF(NOT(ISBLANK(M2419)), M2419, L2419), N2419, Holiday_Dates) &lt;= 0,
                1,
                NETWORKDAYS(IF(NOT(ISBLANK(M2419)), M2419, L2419), N2419, Holiday_Dates)
                - IF(IF(NOT(ISBLANK(M2419)), M2419, L2419) = N2419, 0, 1)
            )
        )
    ),
    ""
)</f>
        <v/>
      </c>
      <c r="S2419" s="385" t="str">
        <f>IFERROR(
    IF(
        OR(ISBLANK(N2419), ISBLANK(O2419)),
        "",
        MAX(
            1,
            IF(
                NETWORKDAYS(N2419, O2419, Holiday_Dates) &lt;= 0,
                1,
                NETWORKDAYS(N2419, O2419, Holiday_Dates) - IF(N2419 = O2419, 0, 1)
            )
        )
    ),
    ""
)</f>
        <v/>
      </c>
      <c r="T2419" s="385"/>
      <c r="U2419" s="385" t="s">
        <v>672</v>
      </c>
      <c r="V2419" s="385" t="s">
        <v>101</v>
      </c>
      <c r="W2419" s="385" t="s">
        <v>1436</v>
      </c>
      <c r="X2419" s="1"/>
    </row>
    <row r="2420" spans="1:24">
      <c r="A2420" s="385" t="s">
        <v>51</v>
      </c>
      <c r="B2420" s="385" t="s">
        <v>352</v>
      </c>
      <c r="C2420" s="385" t="s">
        <v>2691</v>
      </c>
      <c r="D2420" s="385" t="s">
        <v>88</v>
      </c>
      <c r="E2420" s="385" t="s">
        <v>32</v>
      </c>
      <c r="F2420" s="385"/>
      <c r="G2420" s="385" t="s">
        <v>133</v>
      </c>
      <c r="H2420" s="385"/>
      <c r="I2420" s="385"/>
      <c r="J2420" s="30"/>
      <c r="K2420" s="385"/>
      <c r="L2420" s="385"/>
      <c r="M2420" s="385"/>
      <c r="N2420" s="385"/>
      <c r="O2420" s="385"/>
      <c r="P2420" s="385" t="str">
        <f>IFERROR(
    IF(
        OR(ISBLANK(I2420), ISBLANK(L2420)),
        "",
        MAX(
            1,
            IF(
                NETWORKDAYS(I2420, L2420, Holiday_Dates) &lt;= 0,
                1,
                NETWORKDAYS(I2420, L2420, Holiday_Dates) - IF(I2420 = L2420, 0, 1)
            )
        )
    ),
    ""
)</f>
        <v/>
      </c>
      <c r="Q2420" s="385" t="str">
        <f>IF(
    OR(ISBLANK(L2420), ISBLANK(M2420)),
    "",
    MAX(
        1,
        IF(
            NETWORKDAYS(L2420, M2420, Holiday_Dates) &lt;= 0,
            1,
            NETWORKDAYS(L2420, M2420, Holiday_Dates) - IF(L2420 = M2420, 0, 1)
        )
    )
)</f>
        <v/>
      </c>
      <c r="R2420" s="385" t="str">
        <f>IFERROR(
    IF(
        OR(ISBLANK(N2420), AND(ISBLANK(L2420), ISBLANK(M2420))),
        "",
        MAX(
            1,
            IF(
                NETWORKDAYS(IF(NOT(ISBLANK(M2420)), M2420, L2420), N2420, Holiday_Dates) &lt;= 0,
                1,
                NETWORKDAYS(IF(NOT(ISBLANK(M2420)), M2420, L2420), N2420, Holiday_Dates)
                - IF(IF(NOT(ISBLANK(M2420)), M2420, L2420) = N2420, 0, 1)
            )
        )
    ),
    ""
)</f>
        <v/>
      </c>
      <c r="S2420" s="385" t="str">
        <f>IFERROR(
    IF(
        OR(ISBLANK(N2420), ISBLANK(O2420)),
        "",
        MAX(
            1,
            IF(
                NETWORKDAYS(N2420, O2420, Holiday_Dates) &lt;= 0,
                1,
                NETWORKDAYS(N2420, O2420, Holiday_Dates) - IF(N2420 = O2420, 0, 1)
            )
        )
    ),
    ""
)</f>
        <v/>
      </c>
      <c r="T2420" s="385"/>
      <c r="U2420" s="385"/>
      <c r="V2420" s="385"/>
      <c r="W2420" s="385" t="s">
        <v>4710</v>
      </c>
      <c r="X2420" s="1"/>
    </row>
    <row r="2421" spans="1:24">
      <c r="A2421" s="385" t="s">
        <v>52</v>
      </c>
      <c r="B2421" s="385" t="s">
        <v>368</v>
      </c>
      <c r="C2421" s="385" t="s">
        <v>3924</v>
      </c>
      <c r="D2421" s="385" t="s">
        <v>89</v>
      </c>
      <c r="E2421" s="385"/>
      <c r="F2421" s="385"/>
      <c r="G2421" s="385"/>
      <c r="H2421" s="385">
        <v>2025</v>
      </c>
      <c r="I2421" s="386">
        <v>45692</v>
      </c>
      <c r="J2421" s="30" t="s">
        <v>5600</v>
      </c>
      <c r="K2421" s="385"/>
      <c r="L2421" s="385"/>
      <c r="M2421" s="385"/>
      <c r="N2421" s="385"/>
      <c r="O2421" s="385"/>
      <c r="P2421" s="385" t="str">
        <f>IFERROR(
    IF(
        OR(ISBLANK(I2421), ISBLANK(L2421)),
        "",
        MAX(
            1,
            IF(
                NETWORKDAYS(I2421, L2421, Holiday_Dates) &lt;= 0,
                1,
                NETWORKDAYS(I2421, L2421, Holiday_Dates) - IF(I2421 = L2421, 0, 1)
            )
        )
    ),
    ""
)</f>
        <v/>
      </c>
      <c r="Q2421" s="385" t="str">
        <f>IF(
    OR(ISBLANK(L2421), ISBLANK(M2421)),
    "",
    MAX(
        1,
        IF(
            NETWORKDAYS(L2421, M2421, Holiday_Dates) &lt;= 0,
            1,
            NETWORKDAYS(L2421, M2421, Holiday_Dates) - IF(L2421 = M2421, 0, 1)
        )
    )
)</f>
        <v/>
      </c>
      <c r="R2421" s="385" t="str">
        <f>IFERROR(
    IF(
        OR(ISBLANK(N2421), AND(ISBLANK(L2421), ISBLANK(M2421))),
        "",
        MAX(
            1,
            IF(
                NETWORKDAYS(IF(NOT(ISBLANK(M2421)), M2421, L2421), N2421, Holiday_Dates) &lt;= 0,
                1,
                NETWORKDAYS(IF(NOT(ISBLANK(M2421)), M2421, L2421), N2421, Holiday_Dates)
                - IF(IF(NOT(ISBLANK(M2421)), M2421, L2421) = N2421, 0, 1)
            )
        )
    ),
    ""
)</f>
        <v/>
      </c>
      <c r="S2421" s="385" t="str">
        <f>IFERROR(
    IF(
        OR(ISBLANK(N2421), ISBLANK(O2421)),
        "",
        MAX(
            1,
            IF(
                NETWORKDAYS(N2421, O2421, Holiday_Dates) &lt;= 0,
                1,
                NETWORKDAYS(N2421, O2421, Holiday_Dates) - IF(N2421 = O2421, 0, 1)
            )
        )
    ),
    ""
)</f>
        <v/>
      </c>
      <c r="T2421" s="385"/>
      <c r="U2421" s="385" t="s">
        <v>672</v>
      </c>
      <c r="V2421" s="385" t="s">
        <v>101</v>
      </c>
      <c r="W2421" s="385" t="s">
        <v>1436</v>
      </c>
      <c r="X2421" s="1"/>
    </row>
    <row r="2422" spans="1:24">
      <c r="A2422" s="385" t="s">
        <v>52</v>
      </c>
      <c r="B2422" s="385" t="s">
        <v>368</v>
      </c>
      <c r="C2422" s="385" t="s">
        <v>3925</v>
      </c>
      <c r="D2422" s="385" t="s">
        <v>89</v>
      </c>
      <c r="E2422" s="385"/>
      <c r="F2422" s="385"/>
      <c r="G2422" s="385"/>
      <c r="H2422" s="385">
        <v>2025</v>
      </c>
      <c r="I2422" s="386">
        <v>45714</v>
      </c>
      <c r="J2422" s="30" t="s">
        <v>5601</v>
      </c>
      <c r="K2422" s="385"/>
      <c r="L2422" s="385"/>
      <c r="M2422" s="385"/>
      <c r="N2422" s="385"/>
      <c r="O2422" s="385"/>
      <c r="P2422" s="385" t="str">
        <f>IFERROR(
    IF(
        OR(ISBLANK(I2422), ISBLANK(L2422)),
        "",
        MAX(
            1,
            IF(
                NETWORKDAYS(I2422, L2422, Holiday_Dates) &lt;= 0,
                1,
                NETWORKDAYS(I2422, L2422, Holiday_Dates) - IF(I2422 = L2422, 0, 1)
            )
        )
    ),
    ""
)</f>
        <v/>
      </c>
      <c r="Q2422" s="385" t="str">
        <f>IF(
    OR(ISBLANK(L2422), ISBLANK(M2422)),
    "",
    MAX(
        1,
        IF(
            NETWORKDAYS(L2422, M2422, Holiday_Dates) &lt;= 0,
            1,
            NETWORKDAYS(L2422, M2422, Holiday_Dates) - IF(L2422 = M2422, 0, 1)
        )
    )
)</f>
        <v/>
      </c>
      <c r="R2422" s="385" t="str">
        <f>IFERROR(
    IF(
        OR(ISBLANK(N2422), AND(ISBLANK(L2422), ISBLANK(M2422))),
        "",
        MAX(
            1,
            IF(
                NETWORKDAYS(IF(NOT(ISBLANK(M2422)), M2422, L2422), N2422, Holiday_Dates) &lt;= 0,
                1,
                NETWORKDAYS(IF(NOT(ISBLANK(M2422)), M2422, L2422), N2422, Holiday_Dates)
                - IF(IF(NOT(ISBLANK(M2422)), M2422, L2422) = N2422, 0, 1)
            )
        )
    ),
    ""
)</f>
        <v/>
      </c>
      <c r="S2422" s="385" t="str">
        <f>IFERROR(
    IF(
        OR(ISBLANK(N2422), ISBLANK(O2422)),
        "",
        MAX(
            1,
            IF(
                NETWORKDAYS(N2422, O2422, Holiday_Dates) &lt;= 0,
                1,
                NETWORKDAYS(N2422, O2422, Holiday_Dates) - IF(N2422 = O2422, 0, 1)
            )
        )
    ),
    ""
)</f>
        <v/>
      </c>
      <c r="T2422" s="385"/>
      <c r="U2422" s="385" t="s">
        <v>672</v>
      </c>
      <c r="V2422" s="385" t="s">
        <v>108</v>
      </c>
      <c r="W2422" s="385" t="s">
        <v>1436</v>
      </c>
      <c r="X2422" s="1"/>
    </row>
    <row r="2423" spans="1:24">
      <c r="A2423" s="385" t="s">
        <v>52</v>
      </c>
      <c r="B2423" s="385" t="s">
        <v>368</v>
      </c>
      <c r="C2423" s="385" t="s">
        <v>3926</v>
      </c>
      <c r="D2423" s="385" t="s">
        <v>89</v>
      </c>
      <c r="E2423" s="385"/>
      <c r="F2423" s="385"/>
      <c r="G2423" s="385"/>
      <c r="H2423" s="385">
        <v>2025</v>
      </c>
      <c r="I2423" s="386">
        <v>45720</v>
      </c>
      <c r="J2423" s="30" t="s">
        <v>5602</v>
      </c>
      <c r="K2423" s="385"/>
      <c r="L2423" s="385"/>
      <c r="M2423" s="385"/>
      <c r="N2423" s="385"/>
      <c r="O2423" s="385"/>
      <c r="P2423" s="385" t="str">
        <f>IFERROR(
    IF(
        OR(ISBLANK(I2423), ISBLANK(L2423)),
        "",
        MAX(
            1,
            IF(
                NETWORKDAYS(I2423, L2423, Holiday_Dates) &lt;= 0,
                1,
                NETWORKDAYS(I2423, L2423, Holiday_Dates) - IF(I2423 = L2423, 0, 1)
            )
        )
    ),
    ""
)</f>
        <v/>
      </c>
      <c r="Q2423" s="385" t="str">
        <f>IF(
    OR(ISBLANK(L2423), ISBLANK(M2423)),
    "",
    MAX(
        1,
        IF(
            NETWORKDAYS(L2423, M2423, Holiday_Dates) &lt;= 0,
            1,
            NETWORKDAYS(L2423, M2423, Holiday_Dates) - IF(L2423 = M2423, 0, 1)
        )
    )
)</f>
        <v/>
      </c>
      <c r="R2423" s="385" t="str">
        <f>IFERROR(
    IF(
        OR(ISBLANK(N2423), AND(ISBLANK(L2423), ISBLANK(M2423))),
        "",
        MAX(
            1,
            IF(
                NETWORKDAYS(IF(NOT(ISBLANK(M2423)), M2423, L2423), N2423, Holiday_Dates) &lt;= 0,
                1,
                NETWORKDAYS(IF(NOT(ISBLANK(M2423)), M2423, L2423), N2423, Holiday_Dates)
                - IF(IF(NOT(ISBLANK(M2423)), M2423, L2423) = N2423, 0, 1)
            )
        )
    ),
    ""
)</f>
        <v/>
      </c>
      <c r="S2423" s="385" t="str">
        <f>IFERROR(
    IF(
        OR(ISBLANK(N2423), ISBLANK(O2423)),
        "",
        MAX(
            1,
            IF(
                NETWORKDAYS(N2423, O2423, Holiday_Dates) &lt;= 0,
                1,
                NETWORKDAYS(N2423, O2423, Holiday_Dates) - IF(N2423 = O2423, 0, 1)
            )
        )
    ),
    ""
)</f>
        <v/>
      </c>
      <c r="T2423" s="385"/>
      <c r="U2423" s="385" t="s">
        <v>672</v>
      </c>
      <c r="V2423" s="385" t="s">
        <v>101</v>
      </c>
      <c r="W2423" s="385" t="s">
        <v>1436</v>
      </c>
      <c r="X2423" s="1"/>
    </row>
    <row r="2424" spans="1:24">
      <c r="A2424" s="385" t="s">
        <v>51</v>
      </c>
      <c r="B2424" s="385" t="s">
        <v>352</v>
      </c>
      <c r="C2424" s="385" t="s">
        <v>2347</v>
      </c>
      <c r="D2424" s="385" t="s">
        <v>88</v>
      </c>
      <c r="E2424" s="385" t="s">
        <v>32</v>
      </c>
      <c r="F2424" s="385"/>
      <c r="G2424" s="385" t="s">
        <v>133</v>
      </c>
      <c r="H2424" s="385"/>
      <c r="I2424" s="385"/>
      <c r="J2424" s="30"/>
      <c r="K2424" s="385"/>
      <c r="L2424" s="385"/>
      <c r="M2424" s="385"/>
      <c r="N2424" s="385"/>
      <c r="O2424" s="385"/>
      <c r="P2424" s="385" t="str">
        <f>IFERROR(
    IF(
        OR(ISBLANK(I2424), ISBLANK(L2424)),
        "",
        MAX(
            1,
            IF(
                NETWORKDAYS(I2424, L2424, Holiday_Dates) &lt;= 0,
                1,
                NETWORKDAYS(I2424, L2424, Holiday_Dates) - IF(I2424 = L2424, 0, 1)
            )
        )
    ),
    ""
)</f>
        <v/>
      </c>
      <c r="Q2424" s="385" t="str">
        <f>IF(
    OR(ISBLANK(L2424), ISBLANK(M2424)),
    "",
    MAX(
        1,
        IF(
            NETWORKDAYS(L2424, M2424, Holiday_Dates) &lt;= 0,
            1,
            NETWORKDAYS(L2424, M2424, Holiday_Dates) - IF(L2424 = M2424, 0, 1)
        )
    )
)</f>
        <v/>
      </c>
      <c r="R2424" s="385" t="str">
        <f>IFERROR(
    IF(
        OR(ISBLANK(N2424), AND(ISBLANK(L2424), ISBLANK(M2424))),
        "",
        MAX(
            1,
            IF(
                NETWORKDAYS(IF(NOT(ISBLANK(M2424)), M2424, L2424), N2424, Holiday_Dates) &lt;= 0,
                1,
                NETWORKDAYS(IF(NOT(ISBLANK(M2424)), M2424, L2424), N2424, Holiday_Dates)
                - IF(IF(NOT(ISBLANK(M2424)), M2424, L2424) = N2424, 0, 1)
            )
        )
    ),
    ""
)</f>
        <v/>
      </c>
      <c r="S2424" s="385" t="str">
        <f>IFERROR(
    IF(
        OR(ISBLANK(N2424), ISBLANK(O2424)),
        "",
        MAX(
            1,
            IF(
                NETWORKDAYS(N2424, O2424, Holiday_Dates) &lt;= 0,
                1,
                NETWORKDAYS(N2424, O2424, Holiday_Dates) - IF(N2424 = O2424, 0, 1)
            )
        )
    ),
    ""
)</f>
        <v/>
      </c>
      <c r="T2424" s="385"/>
      <c r="U2424" s="385"/>
      <c r="V2424" s="385"/>
      <c r="W2424" s="385" t="s">
        <v>4710</v>
      </c>
      <c r="X2424" s="1"/>
    </row>
    <row r="2425" spans="1:24">
      <c r="A2425" s="385" t="s">
        <v>52</v>
      </c>
      <c r="B2425" s="385" t="s">
        <v>368</v>
      </c>
      <c r="C2425" s="385" t="s">
        <v>3928</v>
      </c>
      <c r="D2425" s="385" t="s">
        <v>89</v>
      </c>
      <c r="E2425" s="385"/>
      <c r="F2425" s="385"/>
      <c r="G2425" s="385"/>
      <c r="H2425" s="385">
        <v>2025</v>
      </c>
      <c r="I2425" s="386">
        <v>45720</v>
      </c>
      <c r="J2425" s="30" t="s">
        <v>5603</v>
      </c>
      <c r="K2425" s="385"/>
      <c r="L2425" s="385"/>
      <c r="M2425" s="385"/>
      <c r="N2425" s="385"/>
      <c r="O2425" s="385"/>
      <c r="P2425" s="385" t="str">
        <f>IFERROR(
    IF(
        OR(ISBLANK(I2425), ISBLANK(L2425)),
        "",
        MAX(
            1,
            IF(
                NETWORKDAYS(I2425, L2425, Holiday_Dates) &lt;= 0,
                1,
                NETWORKDAYS(I2425, L2425, Holiday_Dates) - IF(I2425 = L2425, 0, 1)
            )
        )
    ),
    ""
)</f>
        <v/>
      </c>
      <c r="Q2425" s="385" t="str">
        <f>IF(
    OR(ISBLANK(L2425), ISBLANK(M2425)),
    "",
    MAX(
        1,
        IF(
            NETWORKDAYS(L2425, M2425, Holiday_Dates) &lt;= 0,
            1,
            NETWORKDAYS(L2425, M2425, Holiday_Dates) - IF(L2425 = M2425, 0, 1)
        )
    )
)</f>
        <v/>
      </c>
      <c r="R2425" s="385" t="str">
        <f>IFERROR(
    IF(
        OR(ISBLANK(N2425), AND(ISBLANK(L2425), ISBLANK(M2425))),
        "",
        MAX(
            1,
            IF(
                NETWORKDAYS(IF(NOT(ISBLANK(M2425)), M2425, L2425), N2425, Holiday_Dates) &lt;= 0,
                1,
                NETWORKDAYS(IF(NOT(ISBLANK(M2425)), M2425, L2425), N2425, Holiday_Dates)
                - IF(IF(NOT(ISBLANK(M2425)), M2425, L2425) = N2425, 0, 1)
            )
        )
    ),
    ""
)</f>
        <v/>
      </c>
      <c r="S2425" s="385" t="str">
        <f>IFERROR(
    IF(
        OR(ISBLANK(N2425), ISBLANK(O2425)),
        "",
        MAX(
            1,
            IF(
                NETWORKDAYS(N2425, O2425, Holiday_Dates) &lt;= 0,
                1,
                NETWORKDAYS(N2425, O2425, Holiday_Dates) - IF(N2425 = O2425, 0, 1)
            )
        )
    ),
    ""
)</f>
        <v/>
      </c>
      <c r="T2425" s="385"/>
      <c r="U2425" s="385" t="s">
        <v>672</v>
      </c>
      <c r="V2425" s="385" t="s">
        <v>108</v>
      </c>
      <c r="W2425" s="385" t="s">
        <v>1436</v>
      </c>
      <c r="X2425" s="1"/>
    </row>
    <row r="2426" spans="1:24">
      <c r="A2426" s="385" t="s">
        <v>52</v>
      </c>
      <c r="B2426" s="385" t="s">
        <v>368</v>
      </c>
      <c r="C2426" s="385" t="s">
        <v>2409</v>
      </c>
      <c r="D2426" s="385" t="s">
        <v>89</v>
      </c>
      <c r="E2426" s="385"/>
      <c r="F2426" s="385"/>
      <c r="G2426" s="385"/>
      <c r="H2426" s="385">
        <v>2025</v>
      </c>
      <c r="I2426" s="386">
        <v>45692</v>
      </c>
      <c r="J2426" s="30" t="s">
        <v>5604</v>
      </c>
      <c r="K2426" s="385"/>
      <c r="L2426" s="385"/>
      <c r="M2426" s="385"/>
      <c r="N2426" s="385"/>
      <c r="O2426" s="385"/>
      <c r="P2426" s="385" t="str">
        <f>IFERROR(
    IF(
        OR(ISBLANK(I2426), ISBLANK(L2426)),
        "",
        MAX(
            1,
            IF(
                NETWORKDAYS(I2426, L2426, Holiday_Dates) &lt;= 0,
                1,
                NETWORKDAYS(I2426, L2426, Holiday_Dates) - IF(I2426 = L2426, 0, 1)
            )
        )
    ),
    ""
)</f>
        <v/>
      </c>
      <c r="Q2426" s="385" t="str">
        <f>IF(
    OR(ISBLANK(L2426), ISBLANK(M2426)),
    "",
    MAX(
        1,
        IF(
            NETWORKDAYS(L2426, M2426, Holiday_Dates) &lt;= 0,
            1,
            NETWORKDAYS(L2426, M2426, Holiday_Dates) - IF(L2426 = M2426, 0, 1)
        )
    )
)</f>
        <v/>
      </c>
      <c r="R2426" s="385" t="str">
        <f>IFERROR(
    IF(
        OR(ISBLANK(N2426), AND(ISBLANK(L2426), ISBLANK(M2426))),
        "",
        MAX(
            1,
            IF(
                NETWORKDAYS(IF(NOT(ISBLANK(M2426)), M2426, L2426), N2426, Holiday_Dates) &lt;= 0,
                1,
                NETWORKDAYS(IF(NOT(ISBLANK(M2426)), M2426, L2426), N2426, Holiday_Dates)
                - IF(IF(NOT(ISBLANK(M2426)), M2426, L2426) = N2426, 0, 1)
            )
        )
    ),
    ""
)</f>
        <v/>
      </c>
      <c r="S2426" s="385" t="str">
        <f>IFERROR(
    IF(
        OR(ISBLANK(N2426), ISBLANK(O2426)),
        "",
        MAX(
            1,
            IF(
                NETWORKDAYS(N2426, O2426, Holiday_Dates) &lt;= 0,
                1,
                NETWORKDAYS(N2426, O2426, Holiday_Dates) - IF(N2426 = O2426, 0, 1)
            )
        )
    ),
    ""
)</f>
        <v/>
      </c>
      <c r="T2426" s="385"/>
      <c r="U2426" s="385" t="s">
        <v>672</v>
      </c>
      <c r="V2426" s="385" t="s">
        <v>101</v>
      </c>
      <c r="W2426" s="385" t="s">
        <v>1436</v>
      </c>
      <c r="X2426" s="1"/>
    </row>
    <row r="2427" spans="1:24">
      <c r="A2427" s="385" t="s">
        <v>52</v>
      </c>
      <c r="B2427" s="385" t="s">
        <v>368</v>
      </c>
      <c r="C2427" s="385" t="s">
        <v>3929</v>
      </c>
      <c r="D2427" s="385" t="s">
        <v>89</v>
      </c>
      <c r="E2427" s="385"/>
      <c r="F2427" s="385"/>
      <c r="G2427" s="385"/>
      <c r="H2427" s="385">
        <v>2025</v>
      </c>
      <c r="I2427" s="386">
        <v>45692</v>
      </c>
      <c r="J2427" s="30" t="s">
        <v>5605</v>
      </c>
      <c r="K2427" s="385"/>
      <c r="L2427" s="385"/>
      <c r="M2427" s="385"/>
      <c r="N2427" s="385"/>
      <c r="O2427" s="385"/>
      <c r="P2427" s="385" t="str">
        <f>IFERROR(
    IF(
        OR(ISBLANK(I2427), ISBLANK(L2427)),
        "",
        MAX(
            1,
            IF(
                NETWORKDAYS(I2427, L2427, Holiday_Dates) &lt;= 0,
                1,
                NETWORKDAYS(I2427, L2427, Holiday_Dates) - IF(I2427 = L2427, 0, 1)
            )
        )
    ),
    ""
)</f>
        <v/>
      </c>
      <c r="Q2427" s="385" t="str">
        <f>IF(
    OR(ISBLANK(L2427), ISBLANK(M2427)),
    "",
    MAX(
        1,
        IF(
            NETWORKDAYS(L2427, M2427, Holiday_Dates) &lt;= 0,
            1,
            NETWORKDAYS(L2427, M2427, Holiday_Dates) - IF(L2427 = M2427, 0, 1)
        )
    )
)</f>
        <v/>
      </c>
      <c r="R2427" s="385" t="str">
        <f>IFERROR(
    IF(
        OR(ISBLANK(N2427), AND(ISBLANK(L2427), ISBLANK(M2427))),
        "",
        MAX(
            1,
            IF(
                NETWORKDAYS(IF(NOT(ISBLANK(M2427)), M2427, L2427), N2427, Holiday_Dates) &lt;= 0,
                1,
                NETWORKDAYS(IF(NOT(ISBLANK(M2427)), M2427, L2427), N2427, Holiday_Dates)
                - IF(IF(NOT(ISBLANK(M2427)), M2427, L2427) = N2427, 0, 1)
            )
        )
    ),
    ""
)</f>
        <v/>
      </c>
      <c r="S2427" s="385" t="str">
        <f>IFERROR(
    IF(
        OR(ISBLANK(N2427), ISBLANK(O2427)),
        "",
        MAX(
            1,
            IF(
                NETWORKDAYS(N2427, O2427, Holiday_Dates) &lt;= 0,
                1,
                NETWORKDAYS(N2427, O2427, Holiday_Dates) - IF(N2427 = O2427, 0, 1)
            )
        )
    ),
    ""
)</f>
        <v/>
      </c>
      <c r="T2427" s="385"/>
      <c r="U2427" s="385" t="s">
        <v>672</v>
      </c>
      <c r="V2427" s="385" t="s">
        <v>101</v>
      </c>
      <c r="W2427" s="385" t="s">
        <v>1436</v>
      </c>
      <c r="X2427" s="1"/>
    </row>
    <row r="2428" spans="1:24">
      <c r="A2428" s="385" t="s">
        <v>51</v>
      </c>
      <c r="B2428" s="385" t="s">
        <v>352</v>
      </c>
      <c r="C2428" s="385" t="s">
        <v>3606</v>
      </c>
      <c r="D2428" s="385" t="s">
        <v>88</v>
      </c>
      <c r="E2428" s="385" t="s">
        <v>32</v>
      </c>
      <c r="F2428" s="385"/>
      <c r="G2428" s="385" t="s">
        <v>133</v>
      </c>
      <c r="H2428" s="385"/>
      <c r="I2428" s="385"/>
      <c r="J2428" s="30"/>
      <c r="K2428" s="385"/>
      <c r="L2428" s="385"/>
      <c r="M2428" s="385"/>
      <c r="N2428" s="385"/>
      <c r="O2428" s="385"/>
      <c r="P2428" s="385" t="str">
        <f>IFERROR(
    IF(
        OR(ISBLANK(I2428), ISBLANK(L2428)),
        "",
        MAX(
            1,
            IF(
                NETWORKDAYS(I2428, L2428, Holiday_Dates) &lt;= 0,
                1,
                NETWORKDAYS(I2428, L2428, Holiday_Dates) - IF(I2428 = L2428, 0, 1)
            )
        )
    ),
    ""
)</f>
        <v/>
      </c>
      <c r="Q2428" s="385" t="str">
        <f>IF(
    OR(ISBLANK(L2428), ISBLANK(M2428)),
    "",
    MAX(
        1,
        IF(
            NETWORKDAYS(L2428, M2428, Holiday_Dates) &lt;= 0,
            1,
            NETWORKDAYS(L2428, M2428, Holiday_Dates) - IF(L2428 = M2428, 0, 1)
        )
    )
)</f>
        <v/>
      </c>
      <c r="R2428" s="385" t="str">
        <f>IFERROR(
    IF(
        OR(ISBLANK(N2428), AND(ISBLANK(L2428), ISBLANK(M2428))),
        "",
        MAX(
            1,
            IF(
                NETWORKDAYS(IF(NOT(ISBLANK(M2428)), M2428, L2428), N2428, Holiday_Dates) &lt;= 0,
                1,
                NETWORKDAYS(IF(NOT(ISBLANK(M2428)), M2428, L2428), N2428, Holiday_Dates)
                - IF(IF(NOT(ISBLANK(M2428)), M2428, L2428) = N2428, 0, 1)
            )
        )
    ),
    ""
)</f>
        <v/>
      </c>
      <c r="S2428" s="385" t="str">
        <f>IFERROR(
    IF(
        OR(ISBLANK(N2428), ISBLANK(O2428)),
        "",
        MAX(
            1,
            IF(
                NETWORKDAYS(N2428, O2428, Holiday_Dates) &lt;= 0,
                1,
                NETWORKDAYS(N2428, O2428, Holiday_Dates) - IF(N2428 = O2428, 0, 1)
            )
        )
    ),
    ""
)</f>
        <v/>
      </c>
      <c r="T2428" s="385"/>
      <c r="U2428" s="385"/>
      <c r="V2428" s="385"/>
      <c r="W2428" s="385" t="s">
        <v>4710</v>
      </c>
      <c r="X2428" s="1"/>
    </row>
    <row r="2429" spans="1:24">
      <c r="A2429" s="385" t="s">
        <v>52</v>
      </c>
      <c r="B2429" s="385" t="s">
        <v>368</v>
      </c>
      <c r="C2429" s="385" t="s">
        <v>380</v>
      </c>
      <c r="D2429" s="385" t="s">
        <v>89</v>
      </c>
      <c r="E2429" s="385"/>
      <c r="F2429" s="385"/>
      <c r="G2429" s="385"/>
      <c r="H2429" s="385">
        <v>2025</v>
      </c>
      <c r="I2429" s="386">
        <v>45700</v>
      </c>
      <c r="J2429" s="30" t="s">
        <v>5606</v>
      </c>
      <c r="K2429" s="385"/>
      <c r="L2429" s="385"/>
      <c r="M2429" s="385"/>
      <c r="N2429" s="385"/>
      <c r="O2429" s="385"/>
      <c r="P2429" s="385" t="str">
        <f>IFERROR(
    IF(
        OR(ISBLANK(I2429), ISBLANK(L2429)),
        "",
        MAX(
            1,
            IF(
                NETWORKDAYS(I2429, L2429, Holiday_Dates) &lt;= 0,
                1,
                NETWORKDAYS(I2429, L2429, Holiday_Dates) - IF(I2429 = L2429, 0, 1)
            )
        )
    ),
    ""
)</f>
        <v/>
      </c>
      <c r="Q2429" s="385" t="str">
        <f>IF(
    OR(ISBLANK(L2429), ISBLANK(M2429)),
    "",
    MAX(
        1,
        IF(
            NETWORKDAYS(L2429, M2429, Holiday_Dates) &lt;= 0,
            1,
            NETWORKDAYS(L2429, M2429, Holiday_Dates) - IF(L2429 = M2429, 0, 1)
        )
    )
)</f>
        <v/>
      </c>
      <c r="R2429" s="385" t="str">
        <f>IFERROR(
    IF(
        OR(ISBLANK(N2429), AND(ISBLANK(L2429), ISBLANK(M2429))),
        "",
        MAX(
            1,
            IF(
                NETWORKDAYS(IF(NOT(ISBLANK(M2429)), M2429, L2429), N2429, Holiday_Dates) &lt;= 0,
                1,
                NETWORKDAYS(IF(NOT(ISBLANK(M2429)), M2429, L2429), N2429, Holiday_Dates)
                - IF(IF(NOT(ISBLANK(M2429)), M2429, L2429) = N2429, 0, 1)
            )
        )
    ),
    ""
)</f>
        <v/>
      </c>
      <c r="S2429" s="385" t="str">
        <f>IFERROR(
    IF(
        OR(ISBLANK(N2429), ISBLANK(O2429)),
        "",
        MAX(
            1,
            IF(
                NETWORKDAYS(N2429, O2429, Holiday_Dates) &lt;= 0,
                1,
                NETWORKDAYS(N2429, O2429, Holiday_Dates) - IF(N2429 = O2429, 0, 1)
            )
        )
    ),
    ""
)</f>
        <v/>
      </c>
      <c r="T2429" s="385"/>
      <c r="U2429" s="385" t="s">
        <v>672</v>
      </c>
      <c r="V2429" s="385" t="s">
        <v>101</v>
      </c>
      <c r="W2429" s="385" t="s">
        <v>1436</v>
      </c>
      <c r="X2429" s="1"/>
    </row>
    <row r="2430" spans="1:24">
      <c r="A2430" s="385" t="s">
        <v>52</v>
      </c>
      <c r="B2430" s="385" t="s">
        <v>368</v>
      </c>
      <c r="C2430" s="385" t="s">
        <v>3930</v>
      </c>
      <c r="D2430" s="385" t="s">
        <v>89</v>
      </c>
      <c r="E2430" s="385"/>
      <c r="F2430" s="385"/>
      <c r="G2430" s="385"/>
      <c r="H2430" s="385">
        <v>2025</v>
      </c>
      <c r="I2430" s="386">
        <v>45846</v>
      </c>
      <c r="J2430" s="30" t="s">
        <v>5607</v>
      </c>
      <c r="K2430" s="385"/>
      <c r="L2430" s="385"/>
      <c r="M2430" s="385"/>
      <c r="N2430" s="385"/>
      <c r="O2430" s="385"/>
      <c r="P2430" s="385" t="str">
        <f>IFERROR(
    IF(
        OR(ISBLANK(I2430), ISBLANK(L2430)),
        "",
        MAX(
            1,
            IF(
                NETWORKDAYS(I2430, L2430, Holiday_Dates) &lt;= 0,
                1,
                NETWORKDAYS(I2430, L2430, Holiday_Dates) - IF(I2430 = L2430, 0, 1)
            )
        )
    ),
    ""
)</f>
        <v/>
      </c>
      <c r="Q2430" s="385" t="str">
        <f>IF(
    OR(ISBLANK(L2430), ISBLANK(M2430)),
    "",
    MAX(
        1,
        IF(
            NETWORKDAYS(L2430, M2430, Holiday_Dates) &lt;= 0,
            1,
            NETWORKDAYS(L2430, M2430, Holiday_Dates) - IF(L2430 = M2430, 0, 1)
        )
    )
)</f>
        <v/>
      </c>
      <c r="R2430" s="385" t="str">
        <f>IFERROR(
    IF(
        OR(ISBLANK(N2430), AND(ISBLANK(L2430), ISBLANK(M2430))),
        "",
        MAX(
            1,
            IF(
                NETWORKDAYS(IF(NOT(ISBLANK(M2430)), M2430, L2430), N2430, Holiday_Dates) &lt;= 0,
                1,
                NETWORKDAYS(IF(NOT(ISBLANK(M2430)), M2430, L2430), N2430, Holiday_Dates)
                - IF(IF(NOT(ISBLANK(M2430)), M2430, L2430) = N2430, 0, 1)
            )
        )
    ),
    ""
)</f>
        <v/>
      </c>
      <c r="S2430" s="385" t="str">
        <f>IFERROR(
    IF(
        OR(ISBLANK(N2430), ISBLANK(O2430)),
        "",
        MAX(
            1,
            IF(
                NETWORKDAYS(N2430, O2430, Holiday_Dates) &lt;= 0,
                1,
                NETWORKDAYS(N2430, O2430, Holiday_Dates) - IF(N2430 = O2430, 0, 1)
            )
        )
    ),
    ""
)</f>
        <v/>
      </c>
      <c r="T2430" s="385"/>
      <c r="U2430" s="385" t="s">
        <v>672</v>
      </c>
      <c r="V2430" s="385" t="s">
        <v>101</v>
      </c>
      <c r="W2430" s="385" t="s">
        <v>1436</v>
      </c>
      <c r="X2430" s="1"/>
    </row>
    <row r="2431" spans="1:24">
      <c r="A2431" s="385" t="s">
        <v>52</v>
      </c>
      <c r="B2431" s="385" t="s">
        <v>368</v>
      </c>
      <c r="C2431" s="385" t="s">
        <v>3931</v>
      </c>
      <c r="D2431" s="385" t="s">
        <v>89</v>
      </c>
      <c r="E2431" s="385"/>
      <c r="F2431" s="385"/>
      <c r="G2431" s="385"/>
      <c r="H2431" s="385">
        <v>2025</v>
      </c>
      <c r="I2431" s="386">
        <v>45811</v>
      </c>
      <c r="J2431" s="30" t="s">
        <v>5608</v>
      </c>
      <c r="K2431" s="385"/>
      <c r="L2431" s="385"/>
      <c r="M2431" s="385"/>
      <c r="N2431" s="385"/>
      <c r="O2431" s="385"/>
      <c r="P2431" s="385" t="str">
        <f>IFERROR(
    IF(
        OR(ISBLANK(I2431), ISBLANK(L2431)),
        "",
        MAX(
            1,
            IF(
                NETWORKDAYS(I2431, L2431, Holiday_Dates) &lt;= 0,
                1,
                NETWORKDAYS(I2431, L2431, Holiday_Dates) - IF(I2431 = L2431, 0, 1)
            )
        )
    ),
    ""
)</f>
        <v/>
      </c>
      <c r="Q2431" s="385" t="str">
        <f>IF(
    OR(ISBLANK(L2431), ISBLANK(M2431)),
    "",
    MAX(
        1,
        IF(
            NETWORKDAYS(L2431, M2431, Holiday_Dates) &lt;= 0,
            1,
            NETWORKDAYS(L2431, M2431, Holiday_Dates) - IF(L2431 = M2431, 0, 1)
        )
    )
)</f>
        <v/>
      </c>
      <c r="R2431" s="385" t="str">
        <f>IFERROR(
    IF(
        OR(ISBLANK(N2431), AND(ISBLANK(L2431), ISBLANK(M2431))),
        "",
        MAX(
            1,
            IF(
                NETWORKDAYS(IF(NOT(ISBLANK(M2431)), M2431, L2431), N2431, Holiday_Dates) &lt;= 0,
                1,
                NETWORKDAYS(IF(NOT(ISBLANK(M2431)), M2431, L2431), N2431, Holiday_Dates)
                - IF(IF(NOT(ISBLANK(M2431)), M2431, L2431) = N2431, 0, 1)
            )
        )
    ),
    ""
)</f>
        <v/>
      </c>
      <c r="S2431" s="385" t="str">
        <f>IFERROR(
    IF(
        OR(ISBLANK(N2431), ISBLANK(O2431)),
        "",
        MAX(
            1,
            IF(
                NETWORKDAYS(N2431, O2431, Holiday_Dates) &lt;= 0,
                1,
                NETWORKDAYS(N2431, O2431, Holiday_Dates) - IF(N2431 = O2431, 0, 1)
            )
        )
    ),
    ""
)</f>
        <v/>
      </c>
      <c r="T2431" s="385"/>
      <c r="U2431" s="385" t="s">
        <v>672</v>
      </c>
      <c r="V2431" s="385" t="s">
        <v>101</v>
      </c>
      <c r="W2431" s="385" t="s">
        <v>1436</v>
      </c>
      <c r="X2431" s="1"/>
    </row>
    <row r="2432" spans="1:24">
      <c r="A2432" s="385" t="s">
        <v>52</v>
      </c>
      <c r="B2432" s="385" t="s">
        <v>368</v>
      </c>
      <c r="C2432" s="385" t="s">
        <v>3932</v>
      </c>
      <c r="D2432" s="385" t="s">
        <v>89</v>
      </c>
      <c r="E2432" s="385"/>
      <c r="F2432" s="385"/>
      <c r="G2432" s="385"/>
      <c r="H2432" s="385">
        <v>2025</v>
      </c>
      <c r="I2432" s="386">
        <v>45811</v>
      </c>
      <c r="J2432" s="30" t="s">
        <v>5609</v>
      </c>
      <c r="K2432" s="385"/>
      <c r="L2432" s="385"/>
      <c r="M2432" s="385"/>
      <c r="N2432" s="385"/>
      <c r="O2432" s="385"/>
      <c r="P2432" s="385" t="str">
        <f>IFERROR(
    IF(
        OR(ISBLANK(I2432), ISBLANK(L2432)),
        "",
        MAX(
            1,
            IF(
                NETWORKDAYS(I2432, L2432, Holiday_Dates) &lt;= 0,
                1,
                NETWORKDAYS(I2432, L2432, Holiday_Dates) - IF(I2432 = L2432, 0, 1)
            )
        )
    ),
    ""
)</f>
        <v/>
      </c>
      <c r="Q2432" s="385" t="str">
        <f>IF(
    OR(ISBLANK(L2432), ISBLANK(M2432)),
    "",
    MAX(
        1,
        IF(
            NETWORKDAYS(L2432, M2432, Holiday_Dates) &lt;= 0,
            1,
            NETWORKDAYS(L2432, M2432, Holiday_Dates) - IF(L2432 = M2432, 0, 1)
        )
    )
)</f>
        <v/>
      </c>
      <c r="R2432" s="385" t="str">
        <f>IFERROR(
    IF(
        OR(ISBLANK(N2432), AND(ISBLANK(L2432), ISBLANK(M2432))),
        "",
        MAX(
            1,
            IF(
                NETWORKDAYS(IF(NOT(ISBLANK(M2432)), M2432, L2432), N2432, Holiday_Dates) &lt;= 0,
                1,
                NETWORKDAYS(IF(NOT(ISBLANK(M2432)), M2432, L2432), N2432, Holiday_Dates)
                - IF(IF(NOT(ISBLANK(M2432)), M2432, L2432) = N2432, 0, 1)
            )
        )
    ),
    ""
)</f>
        <v/>
      </c>
      <c r="S2432" s="385" t="str">
        <f>IFERROR(
    IF(
        OR(ISBLANK(N2432), ISBLANK(O2432)),
        "",
        MAX(
            1,
            IF(
                NETWORKDAYS(N2432, O2432, Holiday_Dates) &lt;= 0,
                1,
                NETWORKDAYS(N2432, O2432, Holiday_Dates) - IF(N2432 = O2432, 0, 1)
            )
        )
    ),
    ""
)</f>
        <v/>
      </c>
      <c r="T2432" s="385"/>
      <c r="U2432" s="385" t="s">
        <v>672</v>
      </c>
      <c r="V2432" s="385" t="s">
        <v>101</v>
      </c>
      <c r="W2432" s="385" t="s">
        <v>1436</v>
      </c>
      <c r="X2432" s="1"/>
    </row>
    <row r="2433" spans="1:24">
      <c r="A2433" s="385" t="s">
        <v>52</v>
      </c>
      <c r="B2433" s="385" t="s">
        <v>368</v>
      </c>
      <c r="C2433" s="385" t="s">
        <v>3933</v>
      </c>
      <c r="D2433" s="385" t="s">
        <v>89</v>
      </c>
      <c r="E2433" s="385"/>
      <c r="F2433" s="385"/>
      <c r="G2433" s="385"/>
      <c r="H2433" s="385">
        <v>2025</v>
      </c>
      <c r="I2433" s="386">
        <v>45811</v>
      </c>
      <c r="J2433" s="30" t="s">
        <v>5610</v>
      </c>
      <c r="K2433" s="385"/>
      <c r="L2433" s="385"/>
      <c r="M2433" s="385"/>
      <c r="N2433" s="385"/>
      <c r="O2433" s="385"/>
      <c r="P2433" s="385" t="str">
        <f>IFERROR(
    IF(
        OR(ISBLANK(I2433), ISBLANK(L2433)),
        "",
        MAX(
            1,
            IF(
                NETWORKDAYS(I2433, L2433, Holiday_Dates) &lt;= 0,
                1,
                NETWORKDAYS(I2433, L2433, Holiday_Dates) - IF(I2433 = L2433, 0, 1)
            )
        )
    ),
    ""
)</f>
        <v/>
      </c>
      <c r="Q2433" s="385" t="str">
        <f>IF(
    OR(ISBLANK(L2433), ISBLANK(M2433)),
    "",
    MAX(
        1,
        IF(
            NETWORKDAYS(L2433, M2433, Holiday_Dates) &lt;= 0,
            1,
            NETWORKDAYS(L2433, M2433, Holiday_Dates) - IF(L2433 = M2433, 0, 1)
        )
    )
)</f>
        <v/>
      </c>
      <c r="R2433" s="385" t="str">
        <f>IFERROR(
    IF(
        OR(ISBLANK(N2433), AND(ISBLANK(L2433), ISBLANK(M2433))),
        "",
        MAX(
            1,
            IF(
                NETWORKDAYS(IF(NOT(ISBLANK(M2433)), M2433, L2433), N2433, Holiday_Dates) &lt;= 0,
                1,
                NETWORKDAYS(IF(NOT(ISBLANK(M2433)), M2433, L2433), N2433, Holiday_Dates)
                - IF(IF(NOT(ISBLANK(M2433)), M2433, L2433) = N2433, 0, 1)
            )
        )
    ),
    ""
)</f>
        <v/>
      </c>
      <c r="S2433" s="385" t="str">
        <f>IFERROR(
    IF(
        OR(ISBLANK(N2433), ISBLANK(O2433)),
        "",
        MAX(
            1,
            IF(
                NETWORKDAYS(N2433, O2433, Holiday_Dates) &lt;= 0,
                1,
                NETWORKDAYS(N2433, O2433, Holiday_Dates) - IF(N2433 = O2433, 0, 1)
            )
        )
    ),
    ""
)</f>
        <v/>
      </c>
      <c r="T2433" s="385"/>
      <c r="U2433" s="385" t="s">
        <v>672</v>
      </c>
      <c r="V2433" s="385" t="s">
        <v>101</v>
      </c>
      <c r="W2433" s="385" t="s">
        <v>1436</v>
      </c>
      <c r="X2433" s="1"/>
    </row>
    <row r="2434" spans="1:24">
      <c r="A2434" s="385" t="s">
        <v>52</v>
      </c>
      <c r="B2434" s="385" t="s">
        <v>368</v>
      </c>
      <c r="C2434" s="385" t="s">
        <v>3934</v>
      </c>
      <c r="D2434" s="385" t="s">
        <v>89</v>
      </c>
      <c r="E2434" s="385"/>
      <c r="F2434" s="385"/>
      <c r="G2434" s="385"/>
      <c r="H2434" s="385">
        <v>2025</v>
      </c>
      <c r="I2434" s="386">
        <v>45951</v>
      </c>
      <c r="J2434" s="30" t="s">
        <v>5611</v>
      </c>
      <c r="K2434" s="385"/>
      <c r="L2434" s="385"/>
      <c r="M2434" s="385"/>
      <c r="N2434" s="385"/>
      <c r="O2434" s="385"/>
      <c r="P2434" s="385" t="str">
        <f>IFERROR(
    IF(
        OR(ISBLANK(I2434), ISBLANK(L2434)),
        "",
        MAX(
            1,
            IF(
                NETWORKDAYS(I2434, L2434, Holiday_Dates) &lt;= 0,
                1,
                NETWORKDAYS(I2434, L2434, Holiday_Dates) - IF(I2434 = L2434, 0, 1)
            )
        )
    ),
    ""
)</f>
        <v/>
      </c>
      <c r="Q2434" s="385" t="str">
        <f>IF(
    OR(ISBLANK(L2434), ISBLANK(M2434)),
    "",
    MAX(
        1,
        IF(
            NETWORKDAYS(L2434, M2434, Holiday_Dates) &lt;= 0,
            1,
            NETWORKDAYS(L2434, M2434, Holiday_Dates) - IF(L2434 = M2434, 0, 1)
        )
    )
)</f>
        <v/>
      </c>
      <c r="R2434" s="385" t="str">
        <f>IFERROR(
    IF(
        OR(ISBLANK(N2434), AND(ISBLANK(L2434), ISBLANK(M2434))),
        "",
        MAX(
            1,
            IF(
                NETWORKDAYS(IF(NOT(ISBLANK(M2434)), M2434, L2434), N2434, Holiday_Dates) &lt;= 0,
                1,
                NETWORKDAYS(IF(NOT(ISBLANK(M2434)), M2434, L2434), N2434, Holiday_Dates)
                - IF(IF(NOT(ISBLANK(M2434)), M2434, L2434) = N2434, 0, 1)
            )
        )
    ),
    ""
)</f>
        <v/>
      </c>
      <c r="S2434" s="385" t="str">
        <f>IFERROR(
    IF(
        OR(ISBLANK(N2434), ISBLANK(O2434)),
        "",
        MAX(
            1,
            IF(
                NETWORKDAYS(N2434, O2434, Holiday_Dates) &lt;= 0,
                1,
                NETWORKDAYS(N2434, O2434, Holiday_Dates) - IF(N2434 = O2434, 0, 1)
            )
        )
    ),
    ""
)</f>
        <v/>
      </c>
      <c r="T2434" s="385"/>
      <c r="U2434" s="385" t="s">
        <v>672</v>
      </c>
      <c r="V2434" s="385" t="s">
        <v>101</v>
      </c>
      <c r="W2434" s="385" t="s">
        <v>1436</v>
      </c>
      <c r="X2434" s="1"/>
    </row>
    <row r="2435" spans="1:24">
      <c r="A2435" s="385" t="s">
        <v>52</v>
      </c>
      <c r="B2435" s="385" t="s">
        <v>368</v>
      </c>
      <c r="C2435" s="385" t="s">
        <v>3935</v>
      </c>
      <c r="D2435" s="385" t="s">
        <v>89</v>
      </c>
      <c r="E2435" s="385"/>
      <c r="F2435" s="385"/>
      <c r="G2435" s="385"/>
      <c r="H2435" s="385">
        <v>2025</v>
      </c>
      <c r="I2435" s="386">
        <v>45758</v>
      </c>
      <c r="J2435" s="30" t="s">
        <v>5612</v>
      </c>
      <c r="K2435" s="385"/>
      <c r="L2435" s="385"/>
      <c r="M2435" s="385"/>
      <c r="N2435" s="385"/>
      <c r="O2435" s="385"/>
      <c r="P2435" s="385" t="str">
        <f>IFERROR(
    IF(
        OR(ISBLANK(I2435), ISBLANK(L2435)),
        "",
        MAX(
            1,
            IF(
                NETWORKDAYS(I2435, L2435, Holiday_Dates) &lt;= 0,
                1,
                NETWORKDAYS(I2435, L2435, Holiday_Dates) - IF(I2435 = L2435, 0, 1)
            )
        )
    ),
    ""
)</f>
        <v/>
      </c>
      <c r="Q2435" s="385" t="str">
        <f>IF(
    OR(ISBLANK(L2435), ISBLANK(M2435)),
    "",
    MAX(
        1,
        IF(
            NETWORKDAYS(L2435, M2435, Holiday_Dates) &lt;= 0,
            1,
            NETWORKDAYS(L2435, M2435, Holiday_Dates) - IF(L2435 = M2435, 0, 1)
        )
    )
)</f>
        <v/>
      </c>
      <c r="R2435" s="385" t="str">
        <f>IFERROR(
    IF(
        OR(ISBLANK(N2435), AND(ISBLANK(L2435), ISBLANK(M2435))),
        "",
        MAX(
            1,
            IF(
                NETWORKDAYS(IF(NOT(ISBLANK(M2435)), M2435, L2435), N2435, Holiday_Dates) &lt;= 0,
                1,
                NETWORKDAYS(IF(NOT(ISBLANK(M2435)), M2435, L2435), N2435, Holiday_Dates)
                - IF(IF(NOT(ISBLANK(M2435)), M2435, L2435) = N2435, 0, 1)
            )
        )
    ),
    ""
)</f>
        <v/>
      </c>
      <c r="S2435" s="385" t="str">
        <f>IFERROR(
    IF(
        OR(ISBLANK(N2435), ISBLANK(O2435)),
        "",
        MAX(
            1,
            IF(
                NETWORKDAYS(N2435, O2435, Holiday_Dates) &lt;= 0,
                1,
                NETWORKDAYS(N2435, O2435, Holiday_Dates) - IF(N2435 = O2435, 0, 1)
            )
        )
    ),
    ""
)</f>
        <v/>
      </c>
      <c r="T2435" s="385"/>
      <c r="U2435" s="385" t="s">
        <v>4</v>
      </c>
      <c r="V2435" s="385" t="s">
        <v>101</v>
      </c>
      <c r="W2435" s="385" t="s">
        <v>1436</v>
      </c>
      <c r="X2435" s="1"/>
    </row>
    <row r="2436" spans="1:24">
      <c r="A2436" s="385" t="s">
        <v>52</v>
      </c>
      <c r="B2436" s="385" t="s">
        <v>368</v>
      </c>
      <c r="C2436" s="385" t="s">
        <v>3936</v>
      </c>
      <c r="D2436" s="385" t="s">
        <v>89</v>
      </c>
      <c r="E2436" s="385"/>
      <c r="F2436" s="385"/>
      <c r="G2436" s="385"/>
      <c r="H2436" s="385">
        <v>2024</v>
      </c>
      <c r="I2436" s="386">
        <v>45602</v>
      </c>
      <c r="J2436" s="30"/>
      <c r="K2436" s="385"/>
      <c r="L2436" s="385"/>
      <c r="M2436" s="385"/>
      <c r="N2436" s="385"/>
      <c r="O2436" s="385"/>
      <c r="P2436" s="385" t="str">
        <f>IFERROR(
    IF(
        OR(ISBLANK(I2436), ISBLANK(L2436)),
        "",
        MAX(
            1,
            IF(
                NETWORKDAYS(I2436, L2436, Holiday_Dates) &lt;= 0,
                1,
                NETWORKDAYS(I2436, L2436, Holiday_Dates) - IF(I2436 = L2436, 0, 1)
            )
        )
    ),
    ""
)</f>
        <v/>
      </c>
      <c r="Q2436" s="385" t="str">
        <f>IF(
    OR(ISBLANK(L2436), ISBLANK(M2436)),
    "",
    MAX(
        1,
        IF(
            NETWORKDAYS(L2436, M2436, Holiday_Dates) &lt;= 0,
            1,
            NETWORKDAYS(L2436, M2436, Holiday_Dates) - IF(L2436 = M2436, 0, 1)
        )
    )
)</f>
        <v/>
      </c>
      <c r="R2436" s="385" t="str">
        <f>IFERROR(
    IF(
        OR(ISBLANK(N2436), AND(ISBLANK(L2436), ISBLANK(M2436))),
        "",
        MAX(
            1,
            IF(
                NETWORKDAYS(IF(NOT(ISBLANK(M2436)), M2436, L2436), N2436, Holiday_Dates) &lt;= 0,
                1,
                NETWORKDAYS(IF(NOT(ISBLANK(M2436)), M2436, L2436), N2436, Holiday_Dates)
                - IF(IF(NOT(ISBLANK(M2436)), M2436, L2436) = N2436, 0, 1)
            )
        )
    ),
    ""
)</f>
        <v/>
      </c>
      <c r="S2436" s="385" t="str">
        <f>IFERROR(
    IF(
        OR(ISBLANK(N2436), ISBLANK(O2436)),
        "",
        MAX(
            1,
            IF(
                NETWORKDAYS(N2436, O2436, Holiday_Dates) &lt;= 0,
                1,
                NETWORKDAYS(N2436, O2436, Holiday_Dates) - IF(N2436 = O2436, 0, 1)
            )
        )
    ),
    ""
)</f>
        <v/>
      </c>
      <c r="T2436" s="385"/>
      <c r="U2436" s="385" t="s">
        <v>672</v>
      </c>
      <c r="V2436" s="385" t="s">
        <v>101</v>
      </c>
      <c r="W2436" s="385" t="s">
        <v>1436</v>
      </c>
      <c r="X2436" s="1"/>
    </row>
    <row r="2437" spans="1:24">
      <c r="A2437" s="385" t="s">
        <v>52</v>
      </c>
      <c r="B2437" s="385" t="s">
        <v>368</v>
      </c>
      <c r="C2437" s="385" t="s">
        <v>3938</v>
      </c>
      <c r="D2437" s="385" t="s">
        <v>89</v>
      </c>
      <c r="E2437" s="385"/>
      <c r="F2437" s="385"/>
      <c r="G2437" s="385"/>
      <c r="H2437" s="385">
        <v>2025</v>
      </c>
      <c r="I2437" s="386">
        <v>45700</v>
      </c>
      <c r="J2437" s="30" t="s">
        <v>5613</v>
      </c>
      <c r="K2437" s="385"/>
      <c r="L2437" s="385"/>
      <c r="M2437" s="385"/>
      <c r="N2437" s="385"/>
      <c r="O2437" s="385"/>
      <c r="P2437" s="385" t="str">
        <f>IFERROR(
    IF(
        OR(ISBLANK(I2437), ISBLANK(L2437)),
        "",
        MAX(
            1,
            IF(
                NETWORKDAYS(I2437, L2437, Holiday_Dates) &lt;= 0,
                1,
                NETWORKDAYS(I2437, L2437, Holiday_Dates) - IF(I2437 = L2437, 0, 1)
            )
        )
    ),
    ""
)</f>
        <v/>
      </c>
      <c r="Q2437" s="385" t="str">
        <f>IF(
    OR(ISBLANK(L2437), ISBLANK(M2437)),
    "",
    MAX(
        1,
        IF(
            NETWORKDAYS(L2437, M2437, Holiday_Dates) &lt;= 0,
            1,
            NETWORKDAYS(L2437, M2437, Holiday_Dates) - IF(L2437 = M2437, 0, 1)
        )
    )
)</f>
        <v/>
      </c>
      <c r="R2437" s="385" t="str">
        <f>IFERROR(
    IF(
        OR(ISBLANK(N2437), AND(ISBLANK(L2437), ISBLANK(M2437))),
        "",
        MAX(
            1,
            IF(
                NETWORKDAYS(IF(NOT(ISBLANK(M2437)), M2437, L2437), N2437, Holiday_Dates) &lt;= 0,
                1,
                NETWORKDAYS(IF(NOT(ISBLANK(M2437)), M2437, L2437), N2437, Holiday_Dates)
                - IF(IF(NOT(ISBLANK(M2437)), M2437, L2437) = N2437, 0, 1)
            )
        )
    ),
    ""
)</f>
        <v/>
      </c>
      <c r="S2437" s="385" t="str">
        <f>IFERROR(
    IF(
        OR(ISBLANK(N2437), ISBLANK(O2437)),
        "",
        MAX(
            1,
            IF(
                NETWORKDAYS(N2437, O2437, Holiday_Dates) &lt;= 0,
                1,
                NETWORKDAYS(N2437, O2437, Holiday_Dates) - IF(N2437 = O2437, 0, 1)
            )
        )
    ),
    ""
)</f>
        <v/>
      </c>
      <c r="T2437" s="385"/>
      <c r="U2437" s="385" t="s">
        <v>672</v>
      </c>
      <c r="V2437" s="385" t="s">
        <v>101</v>
      </c>
      <c r="W2437" s="385" t="s">
        <v>1436</v>
      </c>
      <c r="X2437" s="1"/>
    </row>
    <row r="2438" spans="1:24">
      <c r="A2438" s="385" t="s">
        <v>52</v>
      </c>
      <c r="B2438" s="385" t="s">
        <v>368</v>
      </c>
      <c r="C2438" s="385" t="s">
        <v>3939</v>
      </c>
      <c r="D2438" s="385" t="s">
        <v>89</v>
      </c>
      <c r="E2438" s="385"/>
      <c r="F2438" s="385"/>
      <c r="G2438" s="385"/>
      <c r="H2438" s="385">
        <v>2025</v>
      </c>
      <c r="I2438" s="386">
        <v>45758</v>
      </c>
      <c r="J2438" s="30" t="s">
        <v>5614</v>
      </c>
      <c r="K2438" s="385"/>
      <c r="L2438" s="385"/>
      <c r="M2438" s="385"/>
      <c r="N2438" s="385"/>
      <c r="O2438" s="385"/>
      <c r="P2438" s="385" t="str">
        <f>IFERROR(
    IF(
        OR(ISBLANK(I2438), ISBLANK(L2438)),
        "",
        MAX(
            1,
            IF(
                NETWORKDAYS(I2438, L2438, Holiday_Dates) &lt;= 0,
                1,
                NETWORKDAYS(I2438, L2438, Holiday_Dates) - IF(I2438 = L2438, 0, 1)
            )
        )
    ),
    ""
)</f>
        <v/>
      </c>
      <c r="Q2438" s="385" t="str">
        <f>IF(
    OR(ISBLANK(L2438), ISBLANK(M2438)),
    "",
    MAX(
        1,
        IF(
            NETWORKDAYS(L2438, M2438, Holiday_Dates) &lt;= 0,
            1,
            NETWORKDAYS(L2438, M2438, Holiday_Dates) - IF(L2438 = M2438, 0, 1)
        )
    )
)</f>
        <v/>
      </c>
      <c r="R2438" s="385" t="str">
        <f>IFERROR(
    IF(
        OR(ISBLANK(N2438), AND(ISBLANK(L2438), ISBLANK(M2438))),
        "",
        MAX(
            1,
            IF(
                NETWORKDAYS(IF(NOT(ISBLANK(M2438)), M2438, L2438), N2438, Holiday_Dates) &lt;= 0,
                1,
                NETWORKDAYS(IF(NOT(ISBLANK(M2438)), M2438, L2438), N2438, Holiday_Dates)
                - IF(IF(NOT(ISBLANK(M2438)), M2438, L2438) = N2438, 0, 1)
            )
        )
    ),
    ""
)</f>
        <v/>
      </c>
      <c r="S2438" s="385" t="str">
        <f>IFERROR(
    IF(
        OR(ISBLANK(N2438), ISBLANK(O2438)),
        "",
        MAX(
            1,
            IF(
                NETWORKDAYS(N2438, O2438, Holiday_Dates) &lt;= 0,
                1,
                NETWORKDAYS(N2438, O2438, Holiday_Dates) - IF(N2438 = O2438, 0, 1)
            )
        )
    ),
    ""
)</f>
        <v/>
      </c>
      <c r="T2438" s="385"/>
      <c r="U2438" s="385" t="s">
        <v>4</v>
      </c>
      <c r="V2438" s="385" t="s">
        <v>101</v>
      </c>
      <c r="W2438" s="385" t="s">
        <v>1436</v>
      </c>
      <c r="X2438" s="1"/>
    </row>
    <row r="2439" spans="1:24">
      <c r="A2439" s="385" t="s">
        <v>52</v>
      </c>
      <c r="B2439" s="385" t="s">
        <v>368</v>
      </c>
      <c r="C2439" s="385" t="s">
        <v>3940</v>
      </c>
      <c r="D2439" s="385" t="s">
        <v>89</v>
      </c>
      <c r="E2439" s="385"/>
      <c r="F2439" s="385"/>
      <c r="G2439" s="385"/>
      <c r="H2439" s="385">
        <v>2024</v>
      </c>
      <c r="I2439" s="386">
        <v>45603</v>
      </c>
      <c r="J2439" s="30"/>
      <c r="K2439" s="385"/>
      <c r="L2439" s="385"/>
      <c r="M2439" s="385"/>
      <c r="N2439" s="385"/>
      <c r="O2439" s="385"/>
      <c r="P2439" s="385" t="str">
        <f>IFERROR(
    IF(
        OR(ISBLANK(I2439), ISBLANK(L2439)),
        "",
        MAX(
            1,
            IF(
                NETWORKDAYS(I2439, L2439, Holiday_Dates) &lt;= 0,
                1,
                NETWORKDAYS(I2439, L2439, Holiday_Dates) - IF(I2439 = L2439, 0, 1)
            )
        )
    ),
    ""
)</f>
        <v/>
      </c>
      <c r="Q2439" s="385" t="str">
        <f>IF(
    OR(ISBLANK(L2439), ISBLANK(M2439)),
    "",
    MAX(
        1,
        IF(
            NETWORKDAYS(L2439, M2439, Holiday_Dates) &lt;= 0,
            1,
            NETWORKDAYS(L2439, M2439, Holiday_Dates) - IF(L2439 = M2439, 0, 1)
        )
    )
)</f>
        <v/>
      </c>
      <c r="R2439" s="385" t="str">
        <f>IFERROR(
    IF(
        OR(ISBLANK(N2439), AND(ISBLANK(L2439), ISBLANK(M2439))),
        "",
        MAX(
            1,
            IF(
                NETWORKDAYS(IF(NOT(ISBLANK(M2439)), M2439, L2439), N2439, Holiday_Dates) &lt;= 0,
                1,
                NETWORKDAYS(IF(NOT(ISBLANK(M2439)), M2439, L2439), N2439, Holiday_Dates)
                - IF(IF(NOT(ISBLANK(M2439)), M2439, L2439) = N2439, 0, 1)
            )
        )
    ),
    ""
)</f>
        <v/>
      </c>
      <c r="S2439" s="385" t="str">
        <f>IFERROR(
    IF(
        OR(ISBLANK(N2439), ISBLANK(O2439)),
        "",
        MAX(
            1,
            IF(
                NETWORKDAYS(N2439, O2439, Holiday_Dates) &lt;= 0,
                1,
                NETWORKDAYS(N2439, O2439, Holiday_Dates) - IF(N2439 = O2439, 0, 1)
            )
        )
    ),
    ""
)</f>
        <v/>
      </c>
      <c r="T2439" s="385"/>
      <c r="U2439" s="385" t="s">
        <v>672</v>
      </c>
      <c r="V2439" s="385" t="s">
        <v>101</v>
      </c>
      <c r="W2439" s="385" t="s">
        <v>1436</v>
      </c>
      <c r="X2439" s="1"/>
    </row>
    <row r="2440" spans="1:24">
      <c r="A2440" s="385" t="s">
        <v>52</v>
      </c>
      <c r="B2440" s="385" t="s">
        <v>368</v>
      </c>
      <c r="C2440" s="385" t="s">
        <v>3942</v>
      </c>
      <c r="D2440" s="385" t="s">
        <v>89</v>
      </c>
      <c r="E2440" s="385"/>
      <c r="F2440" s="385"/>
      <c r="G2440" s="385"/>
      <c r="H2440" s="385">
        <v>2025</v>
      </c>
      <c r="I2440" s="386">
        <v>45806</v>
      </c>
      <c r="J2440" s="30" t="s">
        <v>5615</v>
      </c>
      <c r="K2440" s="385"/>
      <c r="L2440" s="385"/>
      <c r="M2440" s="385"/>
      <c r="N2440" s="385"/>
      <c r="O2440" s="385"/>
      <c r="P2440" s="385" t="str">
        <f>IFERROR(
    IF(
        OR(ISBLANK(I2440), ISBLANK(L2440)),
        "",
        MAX(
            1,
            IF(
                NETWORKDAYS(I2440, L2440, Holiday_Dates) &lt;= 0,
                1,
                NETWORKDAYS(I2440, L2440, Holiday_Dates) - IF(I2440 = L2440, 0, 1)
            )
        )
    ),
    ""
)</f>
        <v/>
      </c>
      <c r="Q2440" s="385" t="str">
        <f>IF(
    OR(ISBLANK(L2440), ISBLANK(M2440)),
    "",
    MAX(
        1,
        IF(
            NETWORKDAYS(L2440, M2440, Holiday_Dates) &lt;= 0,
            1,
            NETWORKDAYS(L2440, M2440, Holiday_Dates) - IF(L2440 = M2440, 0, 1)
        )
    )
)</f>
        <v/>
      </c>
      <c r="R2440" s="385" t="str">
        <f>IFERROR(
    IF(
        OR(ISBLANK(N2440), AND(ISBLANK(L2440), ISBLANK(M2440))),
        "",
        MAX(
            1,
            IF(
                NETWORKDAYS(IF(NOT(ISBLANK(M2440)), M2440, L2440), N2440, Holiday_Dates) &lt;= 0,
                1,
                NETWORKDAYS(IF(NOT(ISBLANK(M2440)), M2440, L2440), N2440, Holiday_Dates)
                - IF(IF(NOT(ISBLANK(M2440)), M2440, L2440) = N2440, 0, 1)
            )
        )
    ),
    ""
)</f>
        <v/>
      </c>
      <c r="S2440" s="385" t="str">
        <f>IFERROR(
    IF(
        OR(ISBLANK(N2440), ISBLANK(O2440)),
        "",
        MAX(
            1,
            IF(
                NETWORKDAYS(N2440, O2440, Holiday_Dates) &lt;= 0,
                1,
                NETWORKDAYS(N2440, O2440, Holiday_Dates) - IF(N2440 = O2440, 0, 1)
            )
        )
    ),
    ""
)</f>
        <v/>
      </c>
      <c r="T2440" s="385"/>
      <c r="U2440" s="385" t="s">
        <v>672</v>
      </c>
      <c r="V2440" s="385" t="s">
        <v>101</v>
      </c>
      <c r="W2440" s="385" t="s">
        <v>1436</v>
      </c>
      <c r="X2440" s="1"/>
    </row>
    <row r="2441" spans="1:24">
      <c r="A2441" s="385" t="s">
        <v>52</v>
      </c>
      <c r="B2441" s="385" t="s">
        <v>368</v>
      </c>
      <c r="C2441" s="385" t="s">
        <v>3943</v>
      </c>
      <c r="D2441" s="385" t="s">
        <v>89</v>
      </c>
      <c r="E2441" s="385"/>
      <c r="F2441" s="385"/>
      <c r="G2441" s="385"/>
      <c r="H2441" s="385">
        <v>2024</v>
      </c>
      <c r="I2441" s="386">
        <v>45581</v>
      </c>
      <c r="J2441" s="30"/>
      <c r="K2441" s="385"/>
      <c r="L2441" s="385"/>
      <c r="M2441" s="385"/>
      <c r="N2441" s="385"/>
      <c r="O2441" s="385"/>
      <c r="P2441" s="385" t="str">
        <f>IFERROR(
    IF(
        OR(ISBLANK(I2441), ISBLANK(L2441)),
        "",
        MAX(
            1,
            IF(
                NETWORKDAYS(I2441, L2441, Holiday_Dates) &lt;= 0,
                1,
                NETWORKDAYS(I2441, L2441, Holiday_Dates) - IF(I2441 = L2441, 0, 1)
            )
        )
    ),
    ""
)</f>
        <v/>
      </c>
      <c r="Q2441" s="385" t="str">
        <f>IF(
    OR(ISBLANK(L2441), ISBLANK(M2441)),
    "",
    MAX(
        1,
        IF(
            NETWORKDAYS(L2441, M2441, Holiday_Dates) &lt;= 0,
            1,
            NETWORKDAYS(L2441, M2441, Holiday_Dates) - IF(L2441 = M2441, 0, 1)
        )
    )
)</f>
        <v/>
      </c>
      <c r="R2441" s="385" t="str">
        <f>IFERROR(
    IF(
        OR(ISBLANK(N2441), AND(ISBLANK(L2441), ISBLANK(M2441))),
        "",
        MAX(
            1,
            IF(
                NETWORKDAYS(IF(NOT(ISBLANK(M2441)), M2441, L2441), N2441, Holiday_Dates) &lt;= 0,
                1,
                NETWORKDAYS(IF(NOT(ISBLANK(M2441)), M2441, L2441), N2441, Holiday_Dates)
                - IF(IF(NOT(ISBLANK(M2441)), M2441, L2441) = N2441, 0, 1)
            )
        )
    ),
    ""
)</f>
        <v/>
      </c>
      <c r="S2441" s="385" t="str">
        <f>IFERROR(
    IF(
        OR(ISBLANK(N2441), ISBLANK(O2441)),
        "",
        MAX(
            1,
            IF(
                NETWORKDAYS(N2441, O2441, Holiday_Dates) &lt;= 0,
                1,
                NETWORKDAYS(N2441, O2441, Holiday_Dates) - IF(N2441 = O2441, 0, 1)
            )
        )
    ),
    ""
)</f>
        <v/>
      </c>
      <c r="T2441" s="385"/>
      <c r="U2441" s="385" t="s">
        <v>672</v>
      </c>
      <c r="V2441" s="385" t="s">
        <v>101</v>
      </c>
      <c r="W2441" s="385" t="s">
        <v>1436</v>
      </c>
      <c r="X2441" s="1"/>
    </row>
    <row r="2442" spans="1:24">
      <c r="A2442" s="385" t="s">
        <v>52</v>
      </c>
      <c r="B2442" s="385" t="s">
        <v>368</v>
      </c>
      <c r="C2442" s="385" t="s">
        <v>3945</v>
      </c>
      <c r="D2442" s="385" t="s">
        <v>89</v>
      </c>
      <c r="E2442" s="385"/>
      <c r="F2442" s="385"/>
      <c r="G2442" s="385"/>
      <c r="H2442" s="385">
        <v>2024</v>
      </c>
      <c r="I2442" s="386">
        <v>45603</v>
      </c>
      <c r="J2442" s="30"/>
      <c r="K2442" s="385"/>
      <c r="L2442" s="385"/>
      <c r="M2442" s="385"/>
      <c r="N2442" s="385"/>
      <c r="O2442" s="385"/>
      <c r="P2442" s="385" t="str">
        <f>IFERROR(
    IF(
        OR(ISBLANK(I2442), ISBLANK(L2442)),
        "",
        MAX(
            1,
            IF(
                NETWORKDAYS(I2442, L2442, Holiday_Dates) &lt;= 0,
                1,
                NETWORKDAYS(I2442, L2442, Holiday_Dates) - IF(I2442 = L2442, 0, 1)
            )
        )
    ),
    ""
)</f>
        <v/>
      </c>
      <c r="Q2442" s="385" t="str">
        <f>IF(
    OR(ISBLANK(L2442), ISBLANK(M2442)),
    "",
    MAX(
        1,
        IF(
            NETWORKDAYS(L2442, M2442, Holiday_Dates) &lt;= 0,
            1,
            NETWORKDAYS(L2442, M2442, Holiday_Dates) - IF(L2442 = M2442, 0, 1)
        )
    )
)</f>
        <v/>
      </c>
      <c r="R2442" s="385" t="str">
        <f>IFERROR(
    IF(
        OR(ISBLANK(N2442), AND(ISBLANK(L2442), ISBLANK(M2442))),
        "",
        MAX(
            1,
            IF(
                NETWORKDAYS(IF(NOT(ISBLANK(M2442)), M2442, L2442), N2442, Holiday_Dates) &lt;= 0,
                1,
                NETWORKDAYS(IF(NOT(ISBLANK(M2442)), M2442, L2442), N2442, Holiday_Dates)
                - IF(IF(NOT(ISBLANK(M2442)), M2442, L2442) = N2442, 0, 1)
            )
        )
    ),
    ""
)</f>
        <v/>
      </c>
      <c r="S2442" s="385" t="str">
        <f>IFERROR(
    IF(
        OR(ISBLANK(N2442), ISBLANK(O2442)),
        "",
        MAX(
            1,
            IF(
                NETWORKDAYS(N2442, O2442, Holiday_Dates) &lt;= 0,
                1,
                NETWORKDAYS(N2442, O2442, Holiday_Dates) - IF(N2442 = O2442, 0, 1)
            )
        )
    ),
    ""
)</f>
        <v/>
      </c>
      <c r="T2442" s="385"/>
      <c r="U2442" s="385" t="s">
        <v>672</v>
      </c>
      <c r="V2442" s="385" t="s">
        <v>101</v>
      </c>
      <c r="W2442" s="385" t="s">
        <v>1436</v>
      </c>
      <c r="X2442" s="1"/>
    </row>
    <row r="2443" spans="1:24">
      <c r="A2443" s="385" t="s">
        <v>52</v>
      </c>
      <c r="B2443" s="385" t="s">
        <v>460</v>
      </c>
      <c r="C2443" s="385" t="s">
        <v>3947</v>
      </c>
      <c r="D2443" s="385" t="s">
        <v>88</v>
      </c>
      <c r="E2443" s="385"/>
      <c r="F2443" s="385"/>
      <c r="G2443" s="385"/>
      <c r="H2443" s="385">
        <v>2025</v>
      </c>
      <c r="I2443" s="386">
        <v>45678</v>
      </c>
      <c r="J2443" s="30" t="s">
        <v>5616</v>
      </c>
      <c r="K2443" s="385"/>
      <c r="L2443" s="385"/>
      <c r="M2443" s="385"/>
      <c r="N2443" s="385"/>
      <c r="O2443" s="385"/>
      <c r="P2443" s="385" t="str">
        <f>IFERROR(
    IF(
        OR(ISBLANK(I2443), ISBLANK(L2443)),
        "",
        MAX(
            1,
            IF(
                NETWORKDAYS(I2443, L2443, Holiday_Dates) &lt;= 0,
                1,
                NETWORKDAYS(I2443, L2443, Holiday_Dates) - IF(I2443 = L2443, 0, 1)
            )
        )
    ),
    ""
)</f>
        <v/>
      </c>
      <c r="Q2443" s="385" t="str">
        <f>IF(
    OR(ISBLANK(L2443), ISBLANK(M2443)),
    "",
    MAX(
        1,
        IF(
            NETWORKDAYS(L2443, M2443, Holiday_Dates) &lt;= 0,
            1,
            NETWORKDAYS(L2443, M2443, Holiday_Dates) - IF(L2443 = M2443, 0, 1)
        )
    )
)</f>
        <v/>
      </c>
      <c r="R2443" s="385" t="str">
        <f>IFERROR(
    IF(
        OR(ISBLANK(N2443), AND(ISBLANK(L2443), ISBLANK(M2443))),
        "",
        MAX(
            1,
            IF(
                NETWORKDAYS(IF(NOT(ISBLANK(M2443)), M2443, L2443), N2443, Holiday_Dates) &lt;= 0,
                1,
                NETWORKDAYS(IF(NOT(ISBLANK(M2443)), M2443, L2443), N2443, Holiday_Dates)
                - IF(IF(NOT(ISBLANK(M2443)), M2443, L2443) = N2443, 0, 1)
            )
        )
    ),
    ""
)</f>
        <v/>
      </c>
      <c r="S2443" s="385" t="str">
        <f>IFERROR(
    IF(
        OR(ISBLANK(N2443), ISBLANK(O2443)),
        "",
        MAX(
            1,
            IF(
                NETWORKDAYS(N2443, O2443, Holiday_Dates) &lt;= 0,
                1,
                NETWORKDAYS(N2443, O2443, Holiday_Dates) - IF(N2443 = O2443, 0, 1)
            )
        )
    ),
    ""
)</f>
        <v/>
      </c>
      <c r="T2443" s="385"/>
      <c r="U2443" s="385" t="s">
        <v>4</v>
      </c>
      <c r="V2443" s="385" t="s">
        <v>101</v>
      </c>
      <c r="W2443" s="385" t="s">
        <v>1436</v>
      </c>
      <c r="X2443" s="1"/>
    </row>
    <row r="2444" spans="1:24">
      <c r="A2444" s="385" t="s">
        <v>51</v>
      </c>
      <c r="B2444" s="385" t="s">
        <v>352</v>
      </c>
      <c r="C2444" s="385" t="s">
        <v>3609</v>
      </c>
      <c r="D2444" s="385" t="s">
        <v>88</v>
      </c>
      <c r="E2444" s="385" t="s">
        <v>32</v>
      </c>
      <c r="F2444" s="385"/>
      <c r="G2444" s="385" t="s">
        <v>133</v>
      </c>
      <c r="H2444" s="385"/>
      <c r="I2444" s="385"/>
      <c r="J2444" s="30"/>
      <c r="K2444" s="385"/>
      <c r="L2444" s="385"/>
      <c r="M2444" s="385"/>
      <c r="N2444" s="385"/>
      <c r="O2444" s="385"/>
      <c r="P2444" s="385" t="str">
        <f>IFERROR(
    IF(
        OR(ISBLANK(I2444), ISBLANK(L2444)),
        "",
        MAX(
            1,
            IF(
                NETWORKDAYS(I2444, L2444, Holiday_Dates) &lt;= 0,
                1,
                NETWORKDAYS(I2444, L2444, Holiday_Dates) - IF(I2444 = L2444, 0, 1)
            )
        )
    ),
    ""
)</f>
        <v/>
      </c>
      <c r="Q2444" s="385" t="str">
        <f>IF(
    OR(ISBLANK(L2444), ISBLANK(M2444)),
    "",
    MAX(
        1,
        IF(
            NETWORKDAYS(L2444, M2444, Holiday_Dates) &lt;= 0,
            1,
            NETWORKDAYS(L2444, M2444, Holiday_Dates) - IF(L2444 = M2444, 0, 1)
        )
    )
)</f>
        <v/>
      </c>
      <c r="R2444" s="385" t="str">
        <f>IFERROR(
    IF(
        OR(ISBLANK(N2444), AND(ISBLANK(L2444), ISBLANK(M2444))),
        "",
        MAX(
            1,
            IF(
                NETWORKDAYS(IF(NOT(ISBLANK(M2444)), M2444, L2444), N2444, Holiday_Dates) &lt;= 0,
                1,
                NETWORKDAYS(IF(NOT(ISBLANK(M2444)), M2444, L2444), N2444, Holiday_Dates)
                - IF(IF(NOT(ISBLANK(M2444)), M2444, L2444) = N2444, 0, 1)
            )
        )
    ),
    ""
)</f>
        <v/>
      </c>
      <c r="S2444" s="385" t="str">
        <f>IFERROR(
    IF(
        OR(ISBLANK(N2444), ISBLANK(O2444)),
        "",
        MAX(
            1,
            IF(
                NETWORKDAYS(N2444, O2444, Holiday_Dates) &lt;= 0,
                1,
                NETWORKDAYS(N2444, O2444, Holiday_Dates) - IF(N2444 = O2444, 0, 1)
            )
        )
    ),
    ""
)</f>
        <v/>
      </c>
      <c r="T2444" s="385"/>
      <c r="U2444" s="385"/>
      <c r="V2444" s="385"/>
      <c r="W2444" s="385" t="s">
        <v>4710</v>
      </c>
      <c r="X2444" s="1"/>
    </row>
    <row r="2445" spans="1:24">
      <c r="A2445" s="385" t="s">
        <v>52</v>
      </c>
      <c r="B2445" s="385" t="s">
        <v>460</v>
      </c>
      <c r="C2445" s="385" t="s">
        <v>1046</v>
      </c>
      <c r="D2445" s="385" t="s">
        <v>88</v>
      </c>
      <c r="E2445" s="385"/>
      <c r="F2445" s="385"/>
      <c r="G2445" s="385"/>
      <c r="H2445" s="385">
        <v>2025</v>
      </c>
      <c r="I2445" s="386">
        <v>45842</v>
      </c>
      <c r="J2445" s="30" t="s">
        <v>5617</v>
      </c>
      <c r="K2445" s="385"/>
      <c r="L2445" s="385"/>
      <c r="M2445" s="385"/>
      <c r="N2445" s="385"/>
      <c r="O2445" s="385"/>
      <c r="P2445" s="385" t="str">
        <f>IFERROR(
    IF(
        OR(ISBLANK(I2445), ISBLANK(L2445)),
        "",
        MAX(
            1,
            IF(
                NETWORKDAYS(I2445, L2445, Holiday_Dates) &lt;= 0,
                1,
                NETWORKDAYS(I2445, L2445, Holiday_Dates) - IF(I2445 = L2445, 0, 1)
            )
        )
    ),
    ""
)</f>
        <v/>
      </c>
      <c r="Q2445" s="385" t="str">
        <f>IF(
    OR(ISBLANK(L2445), ISBLANK(M2445)),
    "",
    MAX(
        1,
        IF(
            NETWORKDAYS(L2445, M2445, Holiday_Dates) &lt;= 0,
            1,
            NETWORKDAYS(L2445, M2445, Holiday_Dates) - IF(L2445 = M2445, 0, 1)
        )
    )
)</f>
        <v/>
      </c>
      <c r="R2445" s="385" t="str">
        <f>IFERROR(
    IF(
        OR(ISBLANK(N2445), AND(ISBLANK(L2445), ISBLANK(M2445))),
        "",
        MAX(
            1,
            IF(
                NETWORKDAYS(IF(NOT(ISBLANK(M2445)), M2445, L2445), N2445, Holiday_Dates) &lt;= 0,
                1,
                NETWORKDAYS(IF(NOT(ISBLANK(M2445)), M2445, L2445), N2445, Holiday_Dates)
                - IF(IF(NOT(ISBLANK(M2445)), M2445, L2445) = N2445, 0, 1)
            )
        )
    ),
    ""
)</f>
        <v/>
      </c>
      <c r="S2445" s="385" t="str">
        <f>IFERROR(
    IF(
        OR(ISBLANK(N2445), ISBLANK(O2445)),
        "",
        MAX(
            1,
            IF(
                NETWORKDAYS(N2445, O2445, Holiday_Dates) &lt;= 0,
                1,
                NETWORKDAYS(N2445, O2445, Holiday_Dates) - IF(N2445 = O2445, 0, 1)
            )
        )
    ),
    ""
)</f>
        <v/>
      </c>
      <c r="T2445" s="385"/>
      <c r="U2445" s="385" t="s">
        <v>672</v>
      </c>
      <c r="V2445" s="385" t="s">
        <v>101</v>
      </c>
      <c r="W2445" s="385" t="s">
        <v>1436</v>
      </c>
      <c r="X2445" s="1"/>
    </row>
    <row r="2446" spans="1:24">
      <c r="A2446" s="385" t="s">
        <v>52</v>
      </c>
      <c r="B2446" s="385" t="s">
        <v>460</v>
      </c>
      <c r="C2446" s="385" t="s">
        <v>3949</v>
      </c>
      <c r="D2446" s="385" t="s">
        <v>88</v>
      </c>
      <c r="E2446" s="385"/>
      <c r="F2446" s="385"/>
      <c r="G2446" s="385"/>
      <c r="H2446" s="385">
        <v>2025</v>
      </c>
      <c r="I2446" s="386">
        <v>45841</v>
      </c>
      <c r="J2446" s="30" t="s">
        <v>5618</v>
      </c>
      <c r="K2446" s="385"/>
      <c r="L2446" s="385"/>
      <c r="M2446" s="385"/>
      <c r="N2446" s="385"/>
      <c r="O2446" s="385"/>
      <c r="P2446" s="385" t="str">
        <f>IFERROR(
    IF(
        OR(ISBLANK(I2446), ISBLANK(L2446)),
        "",
        MAX(
            1,
            IF(
                NETWORKDAYS(I2446, L2446, Holiday_Dates) &lt;= 0,
                1,
                NETWORKDAYS(I2446, L2446, Holiday_Dates) - IF(I2446 = L2446, 0, 1)
            )
        )
    ),
    ""
)</f>
        <v/>
      </c>
      <c r="Q2446" s="385" t="str">
        <f>IF(
    OR(ISBLANK(L2446), ISBLANK(M2446)),
    "",
    MAX(
        1,
        IF(
            NETWORKDAYS(L2446, M2446, Holiday_Dates) &lt;= 0,
            1,
            NETWORKDAYS(L2446, M2446, Holiday_Dates) - IF(L2446 = M2446, 0, 1)
        )
    )
)</f>
        <v/>
      </c>
      <c r="R2446" s="385" t="str">
        <f>IFERROR(
    IF(
        OR(ISBLANK(N2446), AND(ISBLANK(L2446), ISBLANK(M2446))),
        "",
        MAX(
            1,
            IF(
                NETWORKDAYS(IF(NOT(ISBLANK(M2446)), M2446, L2446), N2446, Holiday_Dates) &lt;= 0,
                1,
                NETWORKDAYS(IF(NOT(ISBLANK(M2446)), M2446, L2446), N2446, Holiday_Dates)
                - IF(IF(NOT(ISBLANK(M2446)), M2446, L2446) = N2446, 0, 1)
            )
        )
    ),
    ""
)</f>
        <v/>
      </c>
      <c r="S2446" s="385" t="str">
        <f>IFERROR(
    IF(
        OR(ISBLANK(N2446), ISBLANK(O2446)),
        "",
        MAX(
            1,
            IF(
                NETWORKDAYS(N2446, O2446, Holiday_Dates) &lt;= 0,
                1,
                NETWORKDAYS(N2446, O2446, Holiday_Dates) - IF(N2446 = O2446, 0, 1)
            )
        )
    ),
    ""
)</f>
        <v/>
      </c>
      <c r="T2446" s="385"/>
      <c r="U2446" s="385" t="s">
        <v>672</v>
      </c>
      <c r="V2446" s="385" t="s">
        <v>101</v>
      </c>
      <c r="W2446" s="385" t="s">
        <v>1436</v>
      </c>
      <c r="X2446" s="1"/>
    </row>
    <row r="2447" spans="1:24">
      <c r="A2447" s="385" t="s">
        <v>52</v>
      </c>
      <c r="B2447" s="385" t="s">
        <v>460</v>
      </c>
      <c r="C2447" s="385" t="s">
        <v>660</v>
      </c>
      <c r="D2447" s="385" t="s">
        <v>88</v>
      </c>
      <c r="E2447" s="385"/>
      <c r="F2447" s="385"/>
      <c r="G2447" s="385"/>
      <c r="H2447" s="385">
        <v>2024</v>
      </c>
      <c r="I2447" s="386">
        <v>45483</v>
      </c>
      <c r="J2447" s="30"/>
      <c r="K2447" s="385"/>
      <c r="L2447" s="385"/>
      <c r="M2447" s="385"/>
      <c r="N2447" s="385"/>
      <c r="O2447" s="385"/>
      <c r="P2447" s="385" t="str">
        <f>IFERROR(
    IF(
        OR(ISBLANK(I2447), ISBLANK(L2447)),
        "",
        MAX(
            1,
            IF(
                NETWORKDAYS(I2447, L2447, Holiday_Dates) &lt;= 0,
                1,
                NETWORKDAYS(I2447, L2447, Holiday_Dates) - IF(I2447 = L2447, 0, 1)
            )
        )
    ),
    ""
)</f>
        <v/>
      </c>
      <c r="Q2447" s="385" t="str">
        <f>IF(
    OR(ISBLANK(L2447), ISBLANK(M2447)),
    "",
    MAX(
        1,
        IF(
            NETWORKDAYS(L2447, M2447, Holiday_Dates) &lt;= 0,
            1,
            NETWORKDAYS(L2447, M2447, Holiday_Dates) - IF(L2447 = M2447, 0, 1)
        )
    )
)</f>
        <v/>
      </c>
      <c r="R2447" s="385" t="str">
        <f>IFERROR(
    IF(
        OR(ISBLANK(N2447), AND(ISBLANK(L2447), ISBLANK(M2447))),
        "",
        MAX(
            1,
            IF(
                NETWORKDAYS(IF(NOT(ISBLANK(M2447)), M2447, L2447), N2447, Holiday_Dates) &lt;= 0,
                1,
                NETWORKDAYS(IF(NOT(ISBLANK(M2447)), M2447, L2447), N2447, Holiday_Dates)
                - IF(IF(NOT(ISBLANK(M2447)), M2447, L2447) = N2447, 0, 1)
            )
        )
    ),
    ""
)</f>
        <v/>
      </c>
      <c r="S2447" s="385" t="str">
        <f>IFERROR(
    IF(
        OR(ISBLANK(N2447), ISBLANK(O2447)),
        "",
        MAX(
            1,
            IF(
                NETWORKDAYS(N2447, O2447, Holiday_Dates) &lt;= 0,
                1,
                NETWORKDAYS(N2447, O2447, Holiday_Dates) - IF(N2447 = O2447, 0, 1)
            )
        )
    ),
    ""
)</f>
        <v/>
      </c>
      <c r="T2447" s="385"/>
      <c r="U2447" s="385" t="s">
        <v>672</v>
      </c>
      <c r="V2447" s="385"/>
      <c r="W2447" s="385" t="s">
        <v>1436</v>
      </c>
      <c r="X2447" s="1"/>
    </row>
    <row r="2448" spans="1:24">
      <c r="A2448" s="385" t="s">
        <v>52</v>
      </c>
      <c r="B2448" s="385" t="s">
        <v>460</v>
      </c>
      <c r="C2448" s="385" t="s">
        <v>3952</v>
      </c>
      <c r="D2448" s="385" t="s">
        <v>88</v>
      </c>
      <c r="E2448" s="385"/>
      <c r="F2448" s="385"/>
      <c r="G2448" s="385"/>
      <c r="H2448" s="385">
        <v>2025</v>
      </c>
      <c r="I2448" s="386">
        <v>45896</v>
      </c>
      <c r="J2448" s="30" t="s">
        <v>5619</v>
      </c>
      <c r="K2448" s="385"/>
      <c r="L2448" s="385"/>
      <c r="M2448" s="385"/>
      <c r="N2448" s="385"/>
      <c r="O2448" s="385"/>
      <c r="P2448" s="385" t="str">
        <f>IFERROR(
    IF(
        OR(ISBLANK(I2448), ISBLANK(L2448)),
        "",
        MAX(
            1,
            IF(
                NETWORKDAYS(I2448, L2448, Holiday_Dates) &lt;= 0,
                1,
                NETWORKDAYS(I2448, L2448, Holiday_Dates) - IF(I2448 = L2448, 0, 1)
            )
        )
    ),
    ""
)</f>
        <v/>
      </c>
      <c r="Q2448" s="385" t="str">
        <f>IF(
    OR(ISBLANK(L2448), ISBLANK(M2448)),
    "",
    MAX(
        1,
        IF(
            NETWORKDAYS(L2448, M2448, Holiday_Dates) &lt;= 0,
            1,
            NETWORKDAYS(L2448, M2448, Holiday_Dates) - IF(L2448 = M2448, 0, 1)
        )
    )
)</f>
        <v/>
      </c>
      <c r="R2448" s="385" t="str">
        <f>IFERROR(
    IF(
        OR(ISBLANK(N2448), AND(ISBLANK(L2448), ISBLANK(M2448))),
        "",
        MAX(
            1,
            IF(
                NETWORKDAYS(IF(NOT(ISBLANK(M2448)), M2448, L2448), N2448, Holiday_Dates) &lt;= 0,
                1,
                NETWORKDAYS(IF(NOT(ISBLANK(M2448)), M2448, L2448), N2448, Holiday_Dates)
                - IF(IF(NOT(ISBLANK(M2448)), M2448, L2448) = N2448, 0, 1)
            )
        )
    ),
    ""
)</f>
        <v/>
      </c>
      <c r="S2448" s="385" t="str">
        <f>IFERROR(
    IF(
        OR(ISBLANK(N2448), ISBLANK(O2448)),
        "",
        MAX(
            1,
            IF(
                NETWORKDAYS(N2448, O2448, Holiday_Dates) &lt;= 0,
                1,
                NETWORKDAYS(N2448, O2448, Holiday_Dates) - IF(N2448 = O2448, 0, 1)
            )
        )
    ),
    ""
)</f>
        <v/>
      </c>
      <c r="T2448" s="385"/>
      <c r="U2448" s="385" t="s">
        <v>672</v>
      </c>
      <c r="V2448" s="385" t="s">
        <v>1676</v>
      </c>
      <c r="W2448" s="385" t="s">
        <v>1436</v>
      </c>
      <c r="X2448" s="1"/>
    </row>
    <row r="2449" spans="1:24">
      <c r="A2449" s="385" t="s">
        <v>52</v>
      </c>
      <c r="B2449" s="385" t="s">
        <v>460</v>
      </c>
      <c r="C2449" s="385" t="s">
        <v>3386</v>
      </c>
      <c r="D2449" s="385" t="s">
        <v>88</v>
      </c>
      <c r="E2449" s="385"/>
      <c r="F2449" s="385"/>
      <c r="G2449" s="385"/>
      <c r="H2449" s="385">
        <v>2024</v>
      </c>
      <c r="I2449" s="386">
        <v>45449</v>
      </c>
      <c r="J2449" s="30"/>
      <c r="K2449" s="385"/>
      <c r="L2449" s="385"/>
      <c r="M2449" s="385"/>
      <c r="N2449" s="385"/>
      <c r="O2449" s="385"/>
      <c r="P2449" s="385" t="str">
        <f>IFERROR(
    IF(
        OR(ISBLANK(I2449), ISBLANK(L2449)),
        "",
        MAX(
            1,
            IF(
                NETWORKDAYS(I2449, L2449, Holiday_Dates) &lt;= 0,
                1,
                NETWORKDAYS(I2449, L2449, Holiday_Dates) - IF(I2449 = L2449, 0, 1)
            )
        )
    ),
    ""
)</f>
        <v/>
      </c>
      <c r="Q2449" s="385" t="str">
        <f>IF(
    OR(ISBLANK(L2449), ISBLANK(M2449)),
    "",
    MAX(
        1,
        IF(
            NETWORKDAYS(L2449, M2449, Holiday_Dates) &lt;= 0,
            1,
            NETWORKDAYS(L2449, M2449, Holiday_Dates) - IF(L2449 = M2449, 0, 1)
        )
    )
)</f>
        <v/>
      </c>
      <c r="R2449" s="385" t="str">
        <f>IFERROR(
    IF(
        OR(ISBLANK(N2449), AND(ISBLANK(L2449), ISBLANK(M2449))),
        "",
        MAX(
            1,
            IF(
                NETWORKDAYS(IF(NOT(ISBLANK(M2449)), M2449, L2449), N2449, Holiday_Dates) &lt;= 0,
                1,
                NETWORKDAYS(IF(NOT(ISBLANK(M2449)), M2449, L2449), N2449, Holiday_Dates)
                - IF(IF(NOT(ISBLANK(M2449)), M2449, L2449) = N2449, 0, 1)
            )
        )
    ),
    ""
)</f>
        <v/>
      </c>
      <c r="S2449" s="385" t="str">
        <f>IFERROR(
    IF(
        OR(ISBLANK(N2449), ISBLANK(O2449)),
        "",
        MAX(
            1,
            IF(
                NETWORKDAYS(N2449, O2449, Holiday_Dates) &lt;= 0,
                1,
                NETWORKDAYS(N2449, O2449, Holiday_Dates) - IF(N2449 = O2449, 0, 1)
            )
        )
    ),
    ""
)</f>
        <v/>
      </c>
      <c r="T2449" s="385"/>
      <c r="U2449" s="385" t="s">
        <v>672</v>
      </c>
      <c r="V2449" s="385"/>
      <c r="W2449" s="385" t="s">
        <v>1436</v>
      </c>
      <c r="X2449" s="1"/>
    </row>
    <row r="2450" spans="1:24">
      <c r="A2450" s="385" t="s">
        <v>52</v>
      </c>
      <c r="B2450" s="385" t="s">
        <v>460</v>
      </c>
      <c r="C2450" s="385" t="s">
        <v>3954</v>
      </c>
      <c r="D2450" s="385" t="s">
        <v>88</v>
      </c>
      <c r="E2450" s="385"/>
      <c r="F2450" s="385"/>
      <c r="G2450" s="385"/>
      <c r="H2450" s="385">
        <v>2024</v>
      </c>
      <c r="I2450" s="386">
        <v>45608</v>
      </c>
      <c r="J2450" s="30"/>
      <c r="K2450" s="385"/>
      <c r="L2450" s="385"/>
      <c r="M2450" s="385"/>
      <c r="N2450" s="385"/>
      <c r="O2450" s="385"/>
      <c r="P2450" s="385" t="str">
        <f>IFERROR(
    IF(
        OR(ISBLANK(I2450), ISBLANK(L2450)),
        "",
        MAX(
            1,
            IF(
                NETWORKDAYS(I2450, L2450, Holiday_Dates) &lt;= 0,
                1,
                NETWORKDAYS(I2450, L2450, Holiday_Dates) - IF(I2450 = L2450, 0, 1)
            )
        )
    ),
    ""
)</f>
        <v/>
      </c>
      <c r="Q2450" s="385" t="str">
        <f>IF(
    OR(ISBLANK(L2450), ISBLANK(M2450)),
    "",
    MAX(
        1,
        IF(
            NETWORKDAYS(L2450, M2450, Holiday_Dates) &lt;= 0,
            1,
            NETWORKDAYS(L2450, M2450, Holiday_Dates) - IF(L2450 = M2450, 0, 1)
        )
    )
)</f>
        <v/>
      </c>
      <c r="R2450" s="385" t="str">
        <f>IFERROR(
    IF(
        OR(ISBLANK(N2450), AND(ISBLANK(L2450), ISBLANK(M2450))),
        "",
        MAX(
            1,
            IF(
                NETWORKDAYS(IF(NOT(ISBLANK(M2450)), M2450, L2450), N2450, Holiday_Dates) &lt;= 0,
                1,
                NETWORKDAYS(IF(NOT(ISBLANK(M2450)), M2450, L2450), N2450, Holiday_Dates)
                - IF(IF(NOT(ISBLANK(M2450)), M2450, L2450) = N2450, 0, 1)
            )
        )
    ),
    ""
)</f>
        <v/>
      </c>
      <c r="S2450" s="385" t="str">
        <f>IFERROR(
    IF(
        OR(ISBLANK(N2450), ISBLANK(O2450)),
        "",
        MAX(
            1,
            IF(
                NETWORKDAYS(N2450, O2450, Holiday_Dates) &lt;= 0,
                1,
                NETWORKDAYS(N2450, O2450, Holiday_Dates) - IF(N2450 = O2450, 0, 1)
            )
        )
    ),
    ""
)</f>
        <v/>
      </c>
      <c r="T2450" s="385"/>
      <c r="U2450" s="385" t="s">
        <v>672</v>
      </c>
      <c r="V2450" s="385" t="s">
        <v>108</v>
      </c>
      <c r="W2450" s="385" t="s">
        <v>1436</v>
      </c>
      <c r="X2450" s="1"/>
    </row>
    <row r="2451" spans="1:24">
      <c r="A2451" s="385" t="s">
        <v>51</v>
      </c>
      <c r="B2451" s="385" t="s">
        <v>1377</v>
      </c>
      <c r="C2451" s="385" t="s">
        <v>3822</v>
      </c>
      <c r="D2451" s="385" t="s">
        <v>88</v>
      </c>
      <c r="E2451" s="385" t="s">
        <v>33</v>
      </c>
      <c r="F2451" s="385"/>
      <c r="G2451" s="385" t="s">
        <v>239</v>
      </c>
      <c r="H2451" s="385"/>
      <c r="I2451" s="385"/>
      <c r="J2451" s="30"/>
      <c r="K2451" s="385"/>
      <c r="L2451" s="385"/>
      <c r="M2451" s="385"/>
      <c r="N2451" s="385"/>
      <c r="O2451" s="385"/>
      <c r="P2451" s="385" t="str">
        <f>IFERROR(
    IF(
        OR(ISBLANK(I2451), ISBLANK(L2451)),
        "",
        MAX(
            1,
            IF(
                NETWORKDAYS(I2451, L2451, Holiday_Dates) &lt;= 0,
                1,
                NETWORKDAYS(I2451, L2451, Holiday_Dates) - IF(I2451 = L2451, 0, 1)
            )
        )
    ),
    ""
)</f>
        <v/>
      </c>
      <c r="Q2451" s="385" t="str">
        <f>IF(
    OR(ISBLANK(L2451), ISBLANK(M2451)),
    "",
    MAX(
        1,
        IF(
            NETWORKDAYS(L2451, M2451, Holiday_Dates) &lt;= 0,
            1,
            NETWORKDAYS(L2451, M2451, Holiday_Dates) - IF(L2451 = M2451, 0, 1)
        )
    )
)</f>
        <v/>
      </c>
      <c r="R2451" s="385" t="str">
        <f>IFERROR(
    IF(
        OR(ISBLANK(N2451), AND(ISBLANK(L2451), ISBLANK(M2451))),
        "",
        MAX(
            1,
            IF(
                NETWORKDAYS(IF(NOT(ISBLANK(M2451)), M2451, L2451), N2451, Holiday_Dates) &lt;= 0,
                1,
                NETWORKDAYS(IF(NOT(ISBLANK(M2451)), M2451, L2451), N2451, Holiday_Dates)
                - IF(IF(NOT(ISBLANK(M2451)), M2451, L2451) = N2451, 0, 1)
            )
        )
    ),
    ""
)</f>
        <v/>
      </c>
      <c r="S2451" s="385" t="str">
        <f>IFERROR(
    IF(
        OR(ISBLANK(N2451), ISBLANK(O2451)),
        "",
        MAX(
            1,
            IF(
                NETWORKDAYS(N2451, O2451, Holiday_Dates) &lt;= 0,
                1,
                NETWORKDAYS(N2451, O2451, Holiday_Dates) - IF(N2451 = O2451, 0, 1)
            )
        )
    ),
    ""
)</f>
        <v/>
      </c>
      <c r="T2451" s="385"/>
      <c r="U2451" s="385"/>
      <c r="V2451" s="385"/>
      <c r="W2451" s="385" t="s">
        <v>4710</v>
      </c>
      <c r="X2451" s="1"/>
    </row>
    <row r="2452" spans="1:24">
      <c r="A2452" s="385" t="s">
        <v>52</v>
      </c>
      <c r="B2452" s="385" t="s">
        <v>460</v>
      </c>
      <c r="C2452" s="385" t="s">
        <v>3957</v>
      </c>
      <c r="D2452" s="385" t="s">
        <v>88</v>
      </c>
      <c r="E2452" s="385"/>
      <c r="F2452" s="385"/>
      <c r="G2452" s="385"/>
      <c r="H2452" s="385">
        <v>2024</v>
      </c>
      <c r="I2452" s="386">
        <v>45387</v>
      </c>
      <c r="J2452" s="30"/>
      <c r="K2452" s="385"/>
      <c r="L2452" s="385"/>
      <c r="M2452" s="385"/>
      <c r="N2452" s="385"/>
      <c r="O2452" s="385"/>
      <c r="P2452" s="385" t="str">
        <f>IFERROR(
    IF(
        OR(ISBLANK(I2452), ISBLANK(L2452)),
        "",
        MAX(
            1,
            IF(
                NETWORKDAYS(I2452, L2452, Holiday_Dates) &lt;= 0,
                1,
                NETWORKDAYS(I2452, L2452, Holiday_Dates) - IF(I2452 = L2452, 0, 1)
            )
        )
    ),
    ""
)</f>
        <v/>
      </c>
      <c r="Q2452" s="385" t="str">
        <f>IF(
    OR(ISBLANK(L2452), ISBLANK(M2452)),
    "",
    MAX(
        1,
        IF(
            NETWORKDAYS(L2452, M2452, Holiday_Dates) &lt;= 0,
            1,
            NETWORKDAYS(L2452, M2452, Holiday_Dates) - IF(L2452 = M2452, 0, 1)
        )
    )
)</f>
        <v/>
      </c>
      <c r="R2452" s="385" t="str">
        <f>IFERROR(
    IF(
        OR(ISBLANK(N2452), AND(ISBLANK(L2452), ISBLANK(M2452))),
        "",
        MAX(
            1,
            IF(
                NETWORKDAYS(IF(NOT(ISBLANK(M2452)), M2452, L2452), N2452, Holiday_Dates) &lt;= 0,
                1,
                NETWORKDAYS(IF(NOT(ISBLANK(M2452)), M2452, L2452), N2452, Holiday_Dates)
                - IF(IF(NOT(ISBLANK(M2452)), M2452, L2452) = N2452, 0, 1)
            )
        )
    ),
    ""
)</f>
        <v/>
      </c>
      <c r="S2452" s="385" t="str">
        <f>IFERROR(
    IF(
        OR(ISBLANK(N2452), ISBLANK(O2452)),
        "",
        MAX(
            1,
            IF(
                NETWORKDAYS(N2452, O2452, Holiday_Dates) &lt;= 0,
                1,
                NETWORKDAYS(N2452, O2452, Holiday_Dates) - IF(N2452 = O2452, 0, 1)
            )
        )
    ),
    ""
)</f>
        <v/>
      </c>
      <c r="T2452" s="385"/>
      <c r="U2452" s="385" t="s">
        <v>672</v>
      </c>
      <c r="V2452" s="385"/>
      <c r="W2452" s="385" t="s">
        <v>1436</v>
      </c>
      <c r="X2452" s="1"/>
    </row>
    <row r="2453" spans="1:24">
      <c r="A2453" s="385" t="s">
        <v>51</v>
      </c>
      <c r="B2453" s="385" t="s">
        <v>1377</v>
      </c>
      <c r="C2453" s="385" t="s">
        <v>2823</v>
      </c>
      <c r="D2453" s="385" t="s">
        <v>88</v>
      </c>
      <c r="E2453" s="385" t="s">
        <v>33</v>
      </c>
      <c r="F2453" s="385"/>
      <c r="G2453" s="385" t="s">
        <v>239</v>
      </c>
      <c r="H2453" s="385"/>
      <c r="I2453" s="385"/>
      <c r="J2453" s="30"/>
      <c r="K2453" s="385"/>
      <c r="L2453" s="385"/>
      <c r="M2453" s="385"/>
      <c r="N2453" s="385"/>
      <c r="O2453" s="385"/>
      <c r="P2453" s="385" t="str">
        <f>IFERROR(
    IF(
        OR(ISBLANK(I2453), ISBLANK(L2453)),
        "",
        MAX(
            1,
            IF(
                NETWORKDAYS(I2453, L2453, Holiday_Dates) &lt;= 0,
                1,
                NETWORKDAYS(I2453, L2453, Holiday_Dates) - IF(I2453 = L2453, 0, 1)
            )
        )
    ),
    ""
)</f>
        <v/>
      </c>
      <c r="Q2453" s="385" t="str">
        <f>IF(
    OR(ISBLANK(L2453), ISBLANK(M2453)),
    "",
    MAX(
        1,
        IF(
            NETWORKDAYS(L2453, M2453, Holiday_Dates) &lt;= 0,
            1,
            NETWORKDAYS(L2453, M2453, Holiday_Dates) - IF(L2453 = M2453, 0, 1)
        )
    )
)</f>
        <v/>
      </c>
      <c r="R2453" s="385" t="str">
        <f>IFERROR(
    IF(
        OR(ISBLANK(N2453), AND(ISBLANK(L2453), ISBLANK(M2453))),
        "",
        MAX(
            1,
            IF(
                NETWORKDAYS(IF(NOT(ISBLANK(M2453)), M2453, L2453), N2453, Holiday_Dates) &lt;= 0,
                1,
                NETWORKDAYS(IF(NOT(ISBLANK(M2453)), M2453, L2453), N2453, Holiday_Dates)
                - IF(IF(NOT(ISBLANK(M2453)), M2453, L2453) = N2453, 0, 1)
            )
        )
    ),
    ""
)</f>
        <v/>
      </c>
      <c r="S2453" s="385" t="str">
        <f>IFERROR(
    IF(
        OR(ISBLANK(N2453), ISBLANK(O2453)),
        "",
        MAX(
            1,
            IF(
                NETWORKDAYS(N2453, O2453, Holiday_Dates) &lt;= 0,
                1,
                NETWORKDAYS(N2453, O2453, Holiday_Dates) - IF(N2453 = O2453, 0, 1)
            )
        )
    ),
    ""
)</f>
        <v/>
      </c>
      <c r="T2453" s="385"/>
      <c r="U2453" s="385"/>
      <c r="V2453" s="385"/>
      <c r="W2453" s="385" t="s">
        <v>4710</v>
      </c>
      <c r="X2453" s="1"/>
    </row>
    <row r="2454" spans="1:24">
      <c r="A2454" s="385" t="s">
        <v>51</v>
      </c>
      <c r="B2454" s="385" t="s">
        <v>1377</v>
      </c>
      <c r="C2454" s="385" t="s">
        <v>3834</v>
      </c>
      <c r="D2454" s="385" t="s">
        <v>88</v>
      </c>
      <c r="E2454" s="385" t="s">
        <v>33</v>
      </c>
      <c r="F2454" s="385"/>
      <c r="G2454" s="385" t="s">
        <v>239</v>
      </c>
      <c r="H2454" s="385"/>
      <c r="I2454" s="385"/>
      <c r="J2454" s="30"/>
      <c r="K2454" s="385"/>
      <c r="L2454" s="385"/>
      <c r="M2454" s="385"/>
      <c r="N2454" s="385"/>
      <c r="O2454" s="385"/>
      <c r="P2454" s="385" t="str">
        <f>IFERROR(
    IF(
        OR(ISBLANK(I2454), ISBLANK(L2454)),
        "",
        MAX(
            1,
            IF(
                NETWORKDAYS(I2454, L2454, Holiday_Dates) &lt;= 0,
                1,
                NETWORKDAYS(I2454, L2454, Holiday_Dates) - IF(I2454 = L2454, 0, 1)
            )
        )
    ),
    ""
)</f>
        <v/>
      </c>
      <c r="Q2454" s="385" t="str">
        <f>IF(
    OR(ISBLANK(L2454), ISBLANK(M2454)),
    "",
    MAX(
        1,
        IF(
            NETWORKDAYS(L2454, M2454, Holiday_Dates) &lt;= 0,
            1,
            NETWORKDAYS(L2454, M2454, Holiday_Dates) - IF(L2454 = M2454, 0, 1)
        )
    )
)</f>
        <v/>
      </c>
      <c r="R2454" s="385" t="str">
        <f>IFERROR(
    IF(
        OR(ISBLANK(N2454), AND(ISBLANK(L2454), ISBLANK(M2454))),
        "",
        MAX(
            1,
            IF(
                NETWORKDAYS(IF(NOT(ISBLANK(M2454)), M2454, L2454), N2454, Holiday_Dates) &lt;= 0,
                1,
                NETWORKDAYS(IF(NOT(ISBLANK(M2454)), M2454, L2454), N2454, Holiday_Dates)
                - IF(IF(NOT(ISBLANK(M2454)), M2454, L2454) = N2454, 0, 1)
            )
        )
    ),
    ""
)</f>
        <v/>
      </c>
      <c r="S2454" s="385" t="str">
        <f>IFERROR(
    IF(
        OR(ISBLANK(N2454), ISBLANK(O2454)),
        "",
        MAX(
            1,
            IF(
                NETWORKDAYS(N2454, O2454, Holiday_Dates) &lt;= 0,
                1,
                NETWORKDAYS(N2454, O2454, Holiday_Dates) - IF(N2454 = O2454, 0, 1)
            )
        )
    ),
    ""
)</f>
        <v/>
      </c>
      <c r="T2454" s="385"/>
      <c r="U2454" s="385"/>
      <c r="V2454" s="385"/>
      <c r="W2454" s="385" t="s">
        <v>4710</v>
      </c>
      <c r="X2454" s="1"/>
    </row>
    <row r="2455" spans="1:24">
      <c r="A2455" s="385" t="s">
        <v>52</v>
      </c>
      <c r="B2455" s="385" t="s">
        <v>460</v>
      </c>
      <c r="C2455" s="385" t="s">
        <v>3960</v>
      </c>
      <c r="D2455" s="385" t="s">
        <v>88</v>
      </c>
      <c r="E2455" s="385"/>
      <c r="F2455" s="385"/>
      <c r="G2455" s="385"/>
      <c r="H2455" s="385">
        <v>2025</v>
      </c>
      <c r="I2455" s="386">
        <v>45729</v>
      </c>
      <c r="J2455" s="30" t="s">
        <v>5620</v>
      </c>
      <c r="K2455" s="385"/>
      <c r="L2455" s="385"/>
      <c r="M2455" s="385"/>
      <c r="N2455" s="385"/>
      <c r="O2455" s="385"/>
      <c r="P2455" s="385" t="str">
        <f>IFERROR(
    IF(
        OR(ISBLANK(I2455), ISBLANK(L2455)),
        "",
        MAX(
            1,
            IF(
                NETWORKDAYS(I2455, L2455, Holiday_Dates) &lt;= 0,
                1,
                NETWORKDAYS(I2455, L2455, Holiday_Dates) - IF(I2455 = L2455, 0, 1)
            )
        )
    ),
    ""
)</f>
        <v/>
      </c>
      <c r="Q2455" s="385" t="str">
        <f>IF(
    OR(ISBLANK(L2455), ISBLANK(M2455)),
    "",
    MAX(
        1,
        IF(
            NETWORKDAYS(L2455, M2455, Holiday_Dates) &lt;= 0,
            1,
            NETWORKDAYS(L2455, M2455, Holiday_Dates) - IF(L2455 = M2455, 0, 1)
        )
    )
)</f>
        <v/>
      </c>
      <c r="R2455" s="385" t="str">
        <f>IFERROR(
    IF(
        OR(ISBLANK(N2455), AND(ISBLANK(L2455), ISBLANK(M2455))),
        "",
        MAX(
            1,
            IF(
                NETWORKDAYS(IF(NOT(ISBLANK(M2455)), M2455, L2455), N2455, Holiday_Dates) &lt;= 0,
                1,
                NETWORKDAYS(IF(NOT(ISBLANK(M2455)), M2455, L2455), N2455, Holiday_Dates)
                - IF(IF(NOT(ISBLANK(M2455)), M2455, L2455) = N2455, 0, 1)
            )
        )
    ),
    ""
)</f>
        <v/>
      </c>
      <c r="S2455" s="385" t="str">
        <f>IFERROR(
    IF(
        OR(ISBLANK(N2455), ISBLANK(O2455)),
        "",
        MAX(
            1,
            IF(
                NETWORKDAYS(N2455, O2455, Holiday_Dates) &lt;= 0,
                1,
                NETWORKDAYS(N2455, O2455, Holiday_Dates) - IF(N2455 = O2455, 0, 1)
            )
        )
    ),
    ""
)</f>
        <v/>
      </c>
      <c r="T2455" s="385"/>
      <c r="U2455" s="385" t="s">
        <v>672</v>
      </c>
      <c r="V2455" s="385" t="s">
        <v>101</v>
      </c>
      <c r="W2455" s="385" t="s">
        <v>1436</v>
      </c>
      <c r="X2455" s="1"/>
    </row>
    <row r="2456" spans="1:24">
      <c r="A2456" s="385" t="s">
        <v>51</v>
      </c>
      <c r="B2456" s="385" t="s">
        <v>1377</v>
      </c>
      <c r="C2456" s="385" t="s">
        <v>2342</v>
      </c>
      <c r="D2456" s="385" t="s">
        <v>88</v>
      </c>
      <c r="E2456" s="385" t="s">
        <v>33</v>
      </c>
      <c r="F2456" s="385"/>
      <c r="G2456" s="385" t="s">
        <v>239</v>
      </c>
      <c r="H2456" s="385"/>
      <c r="I2456" s="385"/>
      <c r="J2456" s="30"/>
      <c r="K2456" s="385"/>
      <c r="L2456" s="385"/>
      <c r="M2456" s="385"/>
      <c r="N2456" s="385"/>
      <c r="O2456" s="385"/>
      <c r="P2456" s="385" t="str">
        <f>IFERROR(
    IF(
        OR(ISBLANK(I2456), ISBLANK(L2456)),
        "",
        MAX(
            1,
            IF(
                NETWORKDAYS(I2456, L2456, Holiday_Dates) &lt;= 0,
                1,
                NETWORKDAYS(I2456, L2456, Holiday_Dates) - IF(I2456 = L2456, 0, 1)
            )
        )
    ),
    ""
)</f>
        <v/>
      </c>
      <c r="Q2456" s="385" t="str">
        <f>IF(
    OR(ISBLANK(L2456), ISBLANK(M2456)),
    "",
    MAX(
        1,
        IF(
            NETWORKDAYS(L2456, M2456, Holiday_Dates) &lt;= 0,
            1,
            NETWORKDAYS(L2456, M2456, Holiday_Dates) - IF(L2456 = M2456, 0, 1)
        )
    )
)</f>
        <v/>
      </c>
      <c r="R2456" s="385" t="str">
        <f>IFERROR(
    IF(
        OR(ISBLANK(N2456), AND(ISBLANK(L2456), ISBLANK(M2456))),
        "",
        MAX(
            1,
            IF(
                NETWORKDAYS(IF(NOT(ISBLANK(M2456)), M2456, L2456), N2456, Holiday_Dates) &lt;= 0,
                1,
                NETWORKDAYS(IF(NOT(ISBLANK(M2456)), M2456, L2456), N2456, Holiday_Dates)
                - IF(IF(NOT(ISBLANK(M2456)), M2456, L2456) = N2456, 0, 1)
            )
        )
    ),
    ""
)</f>
        <v/>
      </c>
      <c r="S2456" s="385" t="str">
        <f>IFERROR(
    IF(
        OR(ISBLANK(N2456), ISBLANK(O2456)),
        "",
        MAX(
            1,
            IF(
                NETWORKDAYS(N2456, O2456, Holiday_Dates) &lt;= 0,
                1,
                NETWORKDAYS(N2456, O2456, Holiday_Dates) - IF(N2456 = O2456, 0, 1)
            )
        )
    ),
    ""
)</f>
        <v/>
      </c>
      <c r="T2456" s="385"/>
      <c r="U2456" s="385"/>
      <c r="V2456" s="385"/>
      <c r="W2456" s="385" t="s">
        <v>4710</v>
      </c>
      <c r="X2456" s="1"/>
    </row>
    <row r="2457" spans="1:24">
      <c r="A2457" s="385" t="s">
        <v>52</v>
      </c>
      <c r="B2457" s="385" t="s">
        <v>460</v>
      </c>
      <c r="C2457" s="385" t="s">
        <v>1656</v>
      </c>
      <c r="D2457" s="385" t="s">
        <v>88</v>
      </c>
      <c r="E2457" s="385"/>
      <c r="F2457" s="385"/>
      <c r="G2457" s="385"/>
      <c r="H2457" s="385">
        <v>2025</v>
      </c>
      <c r="I2457" s="386">
        <v>45842</v>
      </c>
      <c r="J2457" s="30" t="s">
        <v>5621</v>
      </c>
      <c r="K2457" s="385"/>
      <c r="L2457" s="385"/>
      <c r="M2457" s="385"/>
      <c r="N2457" s="385"/>
      <c r="O2457" s="385"/>
      <c r="P2457" s="385" t="str">
        <f>IFERROR(
    IF(
        OR(ISBLANK(I2457), ISBLANK(L2457)),
        "",
        MAX(
            1,
            IF(
                NETWORKDAYS(I2457, L2457, Holiday_Dates) &lt;= 0,
                1,
                NETWORKDAYS(I2457, L2457, Holiday_Dates) - IF(I2457 = L2457, 0, 1)
            )
        )
    ),
    ""
)</f>
        <v/>
      </c>
      <c r="Q2457" s="385" t="str">
        <f>IF(
    OR(ISBLANK(L2457), ISBLANK(M2457)),
    "",
    MAX(
        1,
        IF(
            NETWORKDAYS(L2457, M2457, Holiday_Dates) &lt;= 0,
            1,
            NETWORKDAYS(L2457, M2457, Holiday_Dates) - IF(L2457 = M2457, 0, 1)
        )
    )
)</f>
        <v/>
      </c>
      <c r="R2457" s="385" t="str">
        <f>IFERROR(
    IF(
        OR(ISBLANK(N2457), AND(ISBLANK(L2457), ISBLANK(M2457))),
        "",
        MAX(
            1,
            IF(
                NETWORKDAYS(IF(NOT(ISBLANK(M2457)), M2457, L2457), N2457, Holiday_Dates) &lt;= 0,
                1,
                NETWORKDAYS(IF(NOT(ISBLANK(M2457)), M2457, L2457), N2457, Holiday_Dates)
                - IF(IF(NOT(ISBLANK(M2457)), M2457, L2457) = N2457, 0, 1)
            )
        )
    ),
    ""
)</f>
        <v/>
      </c>
      <c r="S2457" s="385" t="str">
        <f>IFERROR(
    IF(
        OR(ISBLANK(N2457), ISBLANK(O2457)),
        "",
        MAX(
            1,
            IF(
                NETWORKDAYS(N2457, O2457, Holiday_Dates) &lt;= 0,
                1,
                NETWORKDAYS(N2457, O2457, Holiday_Dates) - IF(N2457 = O2457, 0, 1)
            )
        )
    ),
    ""
)</f>
        <v/>
      </c>
      <c r="T2457" s="385"/>
      <c r="U2457" s="385" t="s">
        <v>672</v>
      </c>
      <c r="V2457" s="385" t="s">
        <v>101</v>
      </c>
      <c r="W2457" s="385" t="s">
        <v>1436</v>
      </c>
      <c r="X2457" s="1"/>
    </row>
    <row r="2458" spans="1:24">
      <c r="A2458" s="385" t="s">
        <v>52</v>
      </c>
      <c r="B2458" s="385" t="s">
        <v>460</v>
      </c>
      <c r="C2458" s="385" t="s">
        <v>539</v>
      </c>
      <c r="D2458" s="385" t="s">
        <v>88</v>
      </c>
      <c r="E2458" s="385"/>
      <c r="F2458" s="385"/>
      <c r="G2458" s="385"/>
      <c r="H2458" s="385">
        <v>2024</v>
      </c>
      <c r="I2458" s="386">
        <v>45387</v>
      </c>
      <c r="J2458" s="30"/>
      <c r="K2458" s="385"/>
      <c r="L2458" s="385"/>
      <c r="M2458" s="385"/>
      <c r="N2458" s="385"/>
      <c r="O2458" s="385"/>
      <c r="P2458" s="385" t="str">
        <f>IFERROR(
    IF(
        OR(ISBLANK(I2458), ISBLANK(L2458)),
        "",
        MAX(
            1,
            IF(
                NETWORKDAYS(I2458, L2458, Holiday_Dates) &lt;= 0,
                1,
                NETWORKDAYS(I2458, L2458, Holiday_Dates) - IF(I2458 = L2458, 0, 1)
            )
        )
    ),
    ""
)</f>
        <v/>
      </c>
      <c r="Q2458" s="385" t="str">
        <f>IF(
    OR(ISBLANK(L2458), ISBLANK(M2458)),
    "",
    MAX(
        1,
        IF(
            NETWORKDAYS(L2458, M2458, Holiday_Dates) &lt;= 0,
            1,
            NETWORKDAYS(L2458, M2458, Holiday_Dates) - IF(L2458 = M2458, 0, 1)
        )
    )
)</f>
        <v/>
      </c>
      <c r="R2458" s="385" t="str">
        <f>IFERROR(
    IF(
        OR(ISBLANK(N2458), AND(ISBLANK(L2458), ISBLANK(M2458))),
        "",
        MAX(
            1,
            IF(
                NETWORKDAYS(IF(NOT(ISBLANK(M2458)), M2458, L2458), N2458, Holiday_Dates) &lt;= 0,
                1,
                NETWORKDAYS(IF(NOT(ISBLANK(M2458)), M2458, L2458), N2458, Holiday_Dates)
                - IF(IF(NOT(ISBLANK(M2458)), M2458, L2458) = N2458, 0, 1)
            )
        )
    ),
    ""
)</f>
        <v/>
      </c>
      <c r="S2458" s="385" t="str">
        <f>IFERROR(
    IF(
        OR(ISBLANK(N2458), ISBLANK(O2458)),
        "",
        MAX(
            1,
            IF(
                NETWORKDAYS(N2458, O2458, Holiday_Dates) &lt;= 0,
                1,
                NETWORKDAYS(N2458, O2458, Holiday_Dates) - IF(N2458 = O2458, 0, 1)
            )
        )
    ),
    ""
)</f>
        <v/>
      </c>
      <c r="T2458" s="385"/>
      <c r="U2458" s="385" t="s">
        <v>672</v>
      </c>
      <c r="V2458" s="385"/>
      <c r="W2458" s="385" t="s">
        <v>1436</v>
      </c>
      <c r="X2458" s="1"/>
    </row>
    <row r="2459" spans="1:24">
      <c r="A2459" s="385" t="s">
        <v>52</v>
      </c>
      <c r="B2459" s="385" t="s">
        <v>460</v>
      </c>
      <c r="C2459" s="385" t="s">
        <v>3962</v>
      </c>
      <c r="D2459" s="385" t="s">
        <v>88</v>
      </c>
      <c r="E2459" s="385"/>
      <c r="F2459" s="385"/>
      <c r="G2459" s="385"/>
      <c r="H2459" s="385">
        <v>2025</v>
      </c>
      <c r="I2459" s="386">
        <v>45678</v>
      </c>
      <c r="J2459" s="30" t="s">
        <v>5622</v>
      </c>
      <c r="K2459" s="385"/>
      <c r="L2459" s="385"/>
      <c r="M2459" s="385"/>
      <c r="N2459" s="385"/>
      <c r="O2459" s="385"/>
      <c r="P2459" s="385" t="str">
        <f>IFERROR(
    IF(
        OR(ISBLANK(I2459), ISBLANK(L2459)),
        "",
        MAX(
            1,
            IF(
                NETWORKDAYS(I2459, L2459, Holiday_Dates) &lt;= 0,
                1,
                NETWORKDAYS(I2459, L2459, Holiday_Dates) - IF(I2459 = L2459, 0, 1)
            )
        )
    ),
    ""
)</f>
        <v/>
      </c>
      <c r="Q2459" s="385" t="str">
        <f>IF(
    OR(ISBLANK(L2459), ISBLANK(M2459)),
    "",
    MAX(
        1,
        IF(
            NETWORKDAYS(L2459, M2459, Holiday_Dates) &lt;= 0,
            1,
            NETWORKDAYS(L2459, M2459, Holiday_Dates) - IF(L2459 = M2459, 0, 1)
        )
    )
)</f>
        <v/>
      </c>
      <c r="R2459" s="385" t="str">
        <f>IFERROR(
    IF(
        OR(ISBLANK(N2459), AND(ISBLANK(L2459), ISBLANK(M2459))),
        "",
        MAX(
            1,
            IF(
                NETWORKDAYS(IF(NOT(ISBLANK(M2459)), M2459, L2459), N2459, Holiday_Dates) &lt;= 0,
                1,
                NETWORKDAYS(IF(NOT(ISBLANK(M2459)), M2459, L2459), N2459, Holiday_Dates)
                - IF(IF(NOT(ISBLANK(M2459)), M2459, L2459) = N2459, 0, 1)
            )
        )
    ),
    ""
)</f>
        <v/>
      </c>
      <c r="S2459" s="385" t="str">
        <f>IFERROR(
    IF(
        OR(ISBLANK(N2459), ISBLANK(O2459)),
        "",
        MAX(
            1,
            IF(
                NETWORKDAYS(N2459, O2459, Holiday_Dates) &lt;= 0,
                1,
                NETWORKDAYS(N2459, O2459, Holiday_Dates) - IF(N2459 = O2459, 0, 1)
            )
        )
    ),
    ""
)</f>
        <v/>
      </c>
      <c r="T2459" s="385"/>
      <c r="U2459" s="385" t="s">
        <v>672</v>
      </c>
      <c r="V2459" s="385" t="s">
        <v>101</v>
      </c>
      <c r="W2459" s="385" t="s">
        <v>1436</v>
      </c>
      <c r="X2459" s="1"/>
    </row>
    <row r="2460" spans="1:24">
      <c r="A2460" s="385" t="s">
        <v>51</v>
      </c>
      <c r="B2460" s="385" t="s">
        <v>1377</v>
      </c>
      <c r="C2460" s="385" t="s">
        <v>550</v>
      </c>
      <c r="D2460" s="385" t="s">
        <v>88</v>
      </c>
      <c r="E2460" s="385" t="s">
        <v>33</v>
      </c>
      <c r="F2460" s="385"/>
      <c r="G2460" s="385" t="s">
        <v>239</v>
      </c>
      <c r="H2460" s="385"/>
      <c r="I2460" s="385"/>
      <c r="J2460" s="30"/>
      <c r="K2460" s="385"/>
      <c r="L2460" s="385"/>
      <c r="M2460" s="385"/>
      <c r="N2460" s="385"/>
      <c r="O2460" s="385"/>
      <c r="P2460" s="385" t="str">
        <f>IFERROR(
    IF(
        OR(ISBLANK(I2460), ISBLANK(L2460)),
        "",
        MAX(
            1,
            IF(
                NETWORKDAYS(I2460, L2460, Holiday_Dates) &lt;= 0,
                1,
                NETWORKDAYS(I2460, L2460, Holiday_Dates) - IF(I2460 = L2460, 0, 1)
            )
        )
    ),
    ""
)</f>
        <v/>
      </c>
      <c r="Q2460" s="385" t="str">
        <f>IF(
    OR(ISBLANK(L2460), ISBLANK(M2460)),
    "",
    MAX(
        1,
        IF(
            NETWORKDAYS(L2460, M2460, Holiday_Dates) &lt;= 0,
            1,
            NETWORKDAYS(L2460, M2460, Holiday_Dates) - IF(L2460 = M2460, 0, 1)
        )
    )
)</f>
        <v/>
      </c>
      <c r="R2460" s="385" t="str">
        <f>IFERROR(
    IF(
        OR(ISBLANK(N2460), AND(ISBLANK(L2460), ISBLANK(M2460))),
        "",
        MAX(
            1,
            IF(
                NETWORKDAYS(IF(NOT(ISBLANK(M2460)), M2460, L2460), N2460, Holiday_Dates) &lt;= 0,
                1,
                NETWORKDAYS(IF(NOT(ISBLANK(M2460)), M2460, L2460), N2460, Holiday_Dates)
                - IF(IF(NOT(ISBLANK(M2460)), M2460, L2460) = N2460, 0, 1)
            )
        )
    ),
    ""
)</f>
        <v/>
      </c>
      <c r="S2460" s="385" t="str">
        <f>IFERROR(
    IF(
        OR(ISBLANK(N2460), ISBLANK(O2460)),
        "",
        MAX(
            1,
            IF(
                NETWORKDAYS(N2460, O2460, Holiday_Dates) &lt;= 0,
                1,
                NETWORKDAYS(N2460, O2460, Holiday_Dates) - IF(N2460 = O2460, 0, 1)
            )
        )
    ),
    ""
)</f>
        <v/>
      </c>
      <c r="T2460" s="385"/>
      <c r="U2460" s="385"/>
      <c r="V2460" s="385"/>
      <c r="W2460" s="385" t="s">
        <v>4710</v>
      </c>
      <c r="X2460" s="1"/>
    </row>
    <row r="2461" spans="1:24">
      <c r="A2461" s="385" t="s">
        <v>51</v>
      </c>
      <c r="B2461" s="385" t="s">
        <v>1377</v>
      </c>
      <c r="C2461" s="385" t="s">
        <v>717</v>
      </c>
      <c r="D2461" s="385" t="s">
        <v>88</v>
      </c>
      <c r="E2461" s="385" t="s">
        <v>33</v>
      </c>
      <c r="F2461" s="385"/>
      <c r="G2461" s="385" t="s">
        <v>239</v>
      </c>
      <c r="H2461" s="385"/>
      <c r="I2461" s="385"/>
      <c r="J2461" s="30"/>
      <c r="K2461" s="385"/>
      <c r="L2461" s="385"/>
      <c r="M2461" s="385"/>
      <c r="N2461" s="385"/>
      <c r="O2461" s="385"/>
      <c r="P2461" s="385" t="str">
        <f>IFERROR(
    IF(
        OR(ISBLANK(I2461), ISBLANK(L2461)),
        "",
        MAX(
            1,
            IF(
                NETWORKDAYS(I2461, L2461, Holiday_Dates) &lt;= 0,
                1,
                NETWORKDAYS(I2461, L2461, Holiday_Dates) - IF(I2461 = L2461, 0, 1)
            )
        )
    ),
    ""
)</f>
        <v/>
      </c>
      <c r="Q2461" s="385" t="str">
        <f>IF(
    OR(ISBLANK(L2461), ISBLANK(M2461)),
    "",
    MAX(
        1,
        IF(
            NETWORKDAYS(L2461, M2461, Holiday_Dates) &lt;= 0,
            1,
            NETWORKDAYS(L2461, M2461, Holiday_Dates) - IF(L2461 = M2461, 0, 1)
        )
    )
)</f>
        <v/>
      </c>
      <c r="R2461" s="385" t="str">
        <f>IFERROR(
    IF(
        OR(ISBLANK(N2461), AND(ISBLANK(L2461), ISBLANK(M2461))),
        "",
        MAX(
            1,
            IF(
                NETWORKDAYS(IF(NOT(ISBLANK(M2461)), M2461, L2461), N2461, Holiday_Dates) &lt;= 0,
                1,
                NETWORKDAYS(IF(NOT(ISBLANK(M2461)), M2461, L2461), N2461, Holiday_Dates)
                - IF(IF(NOT(ISBLANK(M2461)), M2461, L2461) = N2461, 0, 1)
            )
        )
    ),
    ""
)</f>
        <v/>
      </c>
      <c r="S2461" s="385" t="str">
        <f>IFERROR(
    IF(
        OR(ISBLANK(N2461), ISBLANK(O2461)),
        "",
        MAX(
            1,
            IF(
                NETWORKDAYS(N2461, O2461, Holiday_Dates) &lt;= 0,
                1,
                NETWORKDAYS(N2461, O2461, Holiday_Dates) - IF(N2461 = O2461, 0, 1)
            )
        )
    ),
    ""
)</f>
        <v/>
      </c>
      <c r="T2461" s="385"/>
      <c r="U2461" s="385"/>
      <c r="V2461" s="385"/>
      <c r="W2461" s="385" t="s">
        <v>4710</v>
      </c>
      <c r="X2461" s="1"/>
    </row>
    <row r="2462" spans="1:24">
      <c r="A2462" s="385" t="s">
        <v>52</v>
      </c>
      <c r="B2462" s="385" t="s">
        <v>460</v>
      </c>
      <c r="C2462" s="385" t="s">
        <v>3964</v>
      </c>
      <c r="D2462" s="385" t="s">
        <v>88</v>
      </c>
      <c r="E2462" s="385"/>
      <c r="F2462" s="385"/>
      <c r="G2462" s="385"/>
      <c r="H2462" s="385">
        <v>2025</v>
      </c>
      <c r="I2462" s="386">
        <v>45896</v>
      </c>
      <c r="J2462" s="30" t="s">
        <v>5623</v>
      </c>
      <c r="K2462" s="385"/>
      <c r="L2462" s="385"/>
      <c r="M2462" s="385"/>
      <c r="N2462" s="385"/>
      <c r="O2462" s="385"/>
      <c r="P2462" s="385" t="str">
        <f>IFERROR(
    IF(
        OR(ISBLANK(I2462), ISBLANK(L2462)),
        "",
        MAX(
            1,
            IF(
                NETWORKDAYS(I2462, L2462, Holiday_Dates) &lt;= 0,
                1,
                NETWORKDAYS(I2462, L2462, Holiday_Dates) - IF(I2462 = L2462, 0, 1)
            )
        )
    ),
    ""
)</f>
        <v/>
      </c>
      <c r="Q2462" s="385" t="str">
        <f>IF(
    OR(ISBLANK(L2462), ISBLANK(M2462)),
    "",
    MAX(
        1,
        IF(
            NETWORKDAYS(L2462, M2462, Holiday_Dates) &lt;= 0,
            1,
            NETWORKDAYS(L2462, M2462, Holiday_Dates) - IF(L2462 = M2462, 0, 1)
        )
    )
)</f>
        <v/>
      </c>
      <c r="R2462" s="385" t="str">
        <f>IFERROR(
    IF(
        OR(ISBLANK(N2462), AND(ISBLANK(L2462), ISBLANK(M2462))),
        "",
        MAX(
            1,
            IF(
                NETWORKDAYS(IF(NOT(ISBLANK(M2462)), M2462, L2462), N2462, Holiday_Dates) &lt;= 0,
                1,
                NETWORKDAYS(IF(NOT(ISBLANK(M2462)), M2462, L2462), N2462, Holiday_Dates)
                - IF(IF(NOT(ISBLANK(M2462)), M2462, L2462) = N2462, 0, 1)
            )
        )
    ),
    ""
)</f>
        <v/>
      </c>
      <c r="S2462" s="385" t="str">
        <f>IFERROR(
    IF(
        OR(ISBLANK(N2462), ISBLANK(O2462)),
        "",
        MAX(
            1,
            IF(
                NETWORKDAYS(N2462, O2462, Holiday_Dates) &lt;= 0,
                1,
                NETWORKDAYS(N2462, O2462, Holiday_Dates) - IF(N2462 = O2462, 0, 1)
            )
        )
    ),
    ""
)</f>
        <v/>
      </c>
      <c r="T2462" s="385"/>
      <c r="U2462" s="385" t="s">
        <v>672</v>
      </c>
      <c r="V2462" s="385" t="s">
        <v>1676</v>
      </c>
      <c r="W2462" s="385" t="s">
        <v>1436</v>
      </c>
      <c r="X2462" s="1"/>
    </row>
    <row r="2463" spans="1:24">
      <c r="A2463" s="385" t="s">
        <v>52</v>
      </c>
      <c r="B2463" s="385" t="s">
        <v>250</v>
      </c>
      <c r="C2463" s="385" t="s">
        <v>3967</v>
      </c>
      <c r="D2463" s="385" t="s">
        <v>88</v>
      </c>
      <c r="E2463" s="385"/>
      <c r="F2463" s="385"/>
      <c r="G2463" s="385"/>
      <c r="H2463" s="385">
        <v>2024</v>
      </c>
      <c r="I2463" s="386">
        <v>45510</v>
      </c>
      <c r="J2463" s="30"/>
      <c r="K2463" s="385"/>
      <c r="L2463" s="385"/>
      <c r="M2463" s="385"/>
      <c r="N2463" s="385"/>
      <c r="O2463" s="385"/>
      <c r="P2463" s="385" t="str">
        <f>IFERROR(
    IF(
        OR(ISBLANK(I2463), ISBLANK(L2463)),
        "",
        MAX(
            1,
            IF(
                NETWORKDAYS(I2463, L2463, Holiday_Dates) &lt;= 0,
                1,
                NETWORKDAYS(I2463, L2463, Holiday_Dates) - IF(I2463 = L2463, 0, 1)
            )
        )
    ),
    ""
)</f>
        <v/>
      </c>
      <c r="Q2463" s="385" t="str">
        <f>IF(
    OR(ISBLANK(L2463), ISBLANK(M2463)),
    "",
    MAX(
        1,
        IF(
            NETWORKDAYS(L2463, M2463, Holiday_Dates) &lt;= 0,
            1,
            NETWORKDAYS(L2463, M2463, Holiday_Dates) - IF(L2463 = M2463, 0, 1)
        )
    )
)</f>
        <v/>
      </c>
      <c r="R2463" s="385" t="str">
        <f>IFERROR(
    IF(
        OR(ISBLANK(N2463), AND(ISBLANK(L2463), ISBLANK(M2463))),
        "",
        MAX(
            1,
            IF(
                NETWORKDAYS(IF(NOT(ISBLANK(M2463)), M2463, L2463), N2463, Holiday_Dates) &lt;= 0,
                1,
                NETWORKDAYS(IF(NOT(ISBLANK(M2463)), M2463, L2463), N2463, Holiday_Dates)
                - IF(IF(NOT(ISBLANK(M2463)), M2463, L2463) = N2463, 0, 1)
            )
        )
    ),
    ""
)</f>
        <v/>
      </c>
      <c r="S2463" s="385" t="str">
        <f>IFERROR(
    IF(
        OR(ISBLANK(N2463), ISBLANK(O2463)),
        "",
        MAX(
            1,
            IF(
                NETWORKDAYS(N2463, O2463, Holiday_Dates) &lt;= 0,
                1,
                NETWORKDAYS(N2463, O2463, Holiday_Dates) - IF(N2463 = O2463, 0, 1)
            )
        )
    ),
    ""
)</f>
        <v/>
      </c>
      <c r="T2463" s="385"/>
      <c r="U2463" s="385" t="s">
        <v>4</v>
      </c>
      <c r="V2463" s="385" t="s">
        <v>101</v>
      </c>
      <c r="W2463" s="385" t="s">
        <v>1436</v>
      </c>
      <c r="X2463" s="1"/>
    </row>
    <row r="2464" spans="1:24">
      <c r="A2464" s="385" t="s">
        <v>51</v>
      </c>
      <c r="B2464" s="385" t="s">
        <v>1377</v>
      </c>
      <c r="C2464" s="385" t="s">
        <v>881</v>
      </c>
      <c r="D2464" s="385" t="s">
        <v>88</v>
      </c>
      <c r="E2464" s="385" t="s">
        <v>33</v>
      </c>
      <c r="F2464" s="385"/>
      <c r="G2464" s="385" t="s">
        <v>239</v>
      </c>
      <c r="H2464" s="385"/>
      <c r="I2464" s="385"/>
      <c r="J2464" s="30"/>
      <c r="K2464" s="385"/>
      <c r="L2464" s="385"/>
      <c r="M2464" s="385"/>
      <c r="N2464" s="385"/>
      <c r="O2464" s="385"/>
      <c r="P2464" s="385" t="str">
        <f>IFERROR(
    IF(
        OR(ISBLANK(I2464), ISBLANK(L2464)),
        "",
        MAX(
            1,
            IF(
                NETWORKDAYS(I2464, L2464, Holiday_Dates) &lt;= 0,
                1,
                NETWORKDAYS(I2464, L2464, Holiday_Dates) - IF(I2464 = L2464, 0, 1)
            )
        )
    ),
    ""
)</f>
        <v/>
      </c>
      <c r="Q2464" s="385" t="str">
        <f>IF(
    OR(ISBLANK(L2464), ISBLANK(M2464)),
    "",
    MAX(
        1,
        IF(
            NETWORKDAYS(L2464, M2464, Holiday_Dates) &lt;= 0,
            1,
            NETWORKDAYS(L2464, M2464, Holiday_Dates) - IF(L2464 = M2464, 0, 1)
        )
    )
)</f>
        <v/>
      </c>
      <c r="R2464" s="385" t="str">
        <f>IFERROR(
    IF(
        OR(ISBLANK(N2464), AND(ISBLANK(L2464), ISBLANK(M2464))),
        "",
        MAX(
            1,
            IF(
                NETWORKDAYS(IF(NOT(ISBLANK(M2464)), M2464, L2464), N2464, Holiday_Dates) &lt;= 0,
                1,
                NETWORKDAYS(IF(NOT(ISBLANK(M2464)), M2464, L2464), N2464, Holiday_Dates)
                - IF(IF(NOT(ISBLANK(M2464)), M2464, L2464) = N2464, 0, 1)
            )
        )
    ),
    ""
)</f>
        <v/>
      </c>
      <c r="S2464" s="385" t="str">
        <f>IFERROR(
    IF(
        OR(ISBLANK(N2464), ISBLANK(O2464)),
        "",
        MAX(
            1,
            IF(
                NETWORKDAYS(N2464, O2464, Holiday_Dates) &lt;= 0,
                1,
                NETWORKDAYS(N2464, O2464, Holiday_Dates) - IF(N2464 = O2464, 0, 1)
            )
        )
    ),
    ""
)</f>
        <v/>
      </c>
      <c r="T2464" s="385"/>
      <c r="U2464" s="385"/>
      <c r="V2464" s="385"/>
      <c r="W2464" s="385" t="s">
        <v>4710</v>
      </c>
      <c r="X2464" s="1"/>
    </row>
    <row r="2465" spans="1:24">
      <c r="A2465" s="385" t="s">
        <v>52</v>
      </c>
      <c r="B2465" s="385" t="s">
        <v>250</v>
      </c>
      <c r="C2465" s="385" t="s">
        <v>3970</v>
      </c>
      <c r="D2465" s="385" t="s">
        <v>88</v>
      </c>
      <c r="E2465" s="385"/>
      <c r="F2465" s="385"/>
      <c r="G2465" s="385"/>
      <c r="H2465" s="385">
        <v>2025</v>
      </c>
      <c r="I2465" s="386">
        <v>45821</v>
      </c>
      <c r="J2465" s="30" t="s">
        <v>5624</v>
      </c>
      <c r="K2465" s="385"/>
      <c r="L2465" s="385"/>
      <c r="M2465" s="385"/>
      <c r="N2465" s="385"/>
      <c r="O2465" s="385"/>
      <c r="P2465" s="385" t="str">
        <f>IFERROR(
    IF(
        OR(ISBLANK(I2465), ISBLANK(L2465)),
        "",
        MAX(
            1,
            IF(
                NETWORKDAYS(I2465, L2465, Holiday_Dates) &lt;= 0,
                1,
                NETWORKDAYS(I2465, L2465, Holiday_Dates) - IF(I2465 = L2465, 0, 1)
            )
        )
    ),
    ""
)</f>
        <v/>
      </c>
      <c r="Q2465" s="385" t="str">
        <f>IF(
    OR(ISBLANK(L2465), ISBLANK(M2465)),
    "",
    MAX(
        1,
        IF(
            NETWORKDAYS(L2465, M2465, Holiday_Dates) &lt;= 0,
            1,
            NETWORKDAYS(L2465, M2465, Holiday_Dates) - IF(L2465 = M2465, 0, 1)
        )
    )
)</f>
        <v/>
      </c>
      <c r="R2465" s="385" t="str">
        <f>IFERROR(
    IF(
        OR(ISBLANK(N2465), AND(ISBLANK(L2465), ISBLANK(M2465))),
        "",
        MAX(
            1,
            IF(
                NETWORKDAYS(IF(NOT(ISBLANK(M2465)), M2465, L2465), N2465, Holiday_Dates) &lt;= 0,
                1,
                NETWORKDAYS(IF(NOT(ISBLANK(M2465)), M2465, L2465), N2465, Holiday_Dates)
                - IF(IF(NOT(ISBLANK(M2465)), M2465, L2465) = N2465, 0, 1)
            )
        )
    ),
    ""
)</f>
        <v/>
      </c>
      <c r="S2465" s="385" t="str">
        <f>IFERROR(
    IF(
        OR(ISBLANK(N2465), ISBLANK(O2465)),
        "",
        MAX(
            1,
            IF(
                NETWORKDAYS(N2465, O2465, Holiday_Dates) &lt;= 0,
                1,
                NETWORKDAYS(N2465, O2465, Holiday_Dates) - IF(N2465 = O2465, 0, 1)
            )
        )
    ),
    ""
)</f>
        <v/>
      </c>
      <c r="T2465" s="385"/>
      <c r="U2465" s="385" t="s">
        <v>4</v>
      </c>
      <c r="V2465" s="385" t="s">
        <v>101</v>
      </c>
      <c r="W2465" s="385" t="s">
        <v>1436</v>
      </c>
      <c r="X2465" s="1"/>
    </row>
    <row r="2466" spans="1:24">
      <c r="A2466" s="385" t="s">
        <v>51</v>
      </c>
      <c r="B2466" s="385" t="s">
        <v>1377</v>
      </c>
      <c r="C2466" s="385" t="s">
        <v>3377</v>
      </c>
      <c r="D2466" s="385" t="s">
        <v>88</v>
      </c>
      <c r="E2466" s="385" t="s">
        <v>33</v>
      </c>
      <c r="F2466" s="385"/>
      <c r="G2466" s="385" t="s">
        <v>239</v>
      </c>
      <c r="H2466" s="385"/>
      <c r="I2466" s="385"/>
      <c r="J2466" s="30"/>
      <c r="K2466" s="385"/>
      <c r="L2466" s="385"/>
      <c r="M2466" s="385"/>
      <c r="N2466" s="385"/>
      <c r="O2466" s="385"/>
      <c r="P2466" s="385" t="str">
        <f>IFERROR(
    IF(
        OR(ISBLANK(I2466), ISBLANK(L2466)),
        "",
        MAX(
            1,
            IF(
                NETWORKDAYS(I2466, L2466, Holiday_Dates) &lt;= 0,
                1,
                NETWORKDAYS(I2466, L2466, Holiday_Dates) - IF(I2466 = L2466, 0, 1)
            )
        )
    ),
    ""
)</f>
        <v/>
      </c>
      <c r="Q2466" s="385" t="str">
        <f>IF(
    OR(ISBLANK(L2466), ISBLANK(M2466)),
    "",
    MAX(
        1,
        IF(
            NETWORKDAYS(L2466, M2466, Holiday_Dates) &lt;= 0,
            1,
            NETWORKDAYS(L2466, M2466, Holiday_Dates) - IF(L2466 = M2466, 0, 1)
        )
    )
)</f>
        <v/>
      </c>
      <c r="R2466" s="385" t="str">
        <f>IFERROR(
    IF(
        OR(ISBLANK(N2466), AND(ISBLANK(L2466), ISBLANK(M2466))),
        "",
        MAX(
            1,
            IF(
                NETWORKDAYS(IF(NOT(ISBLANK(M2466)), M2466, L2466), N2466, Holiday_Dates) &lt;= 0,
                1,
                NETWORKDAYS(IF(NOT(ISBLANK(M2466)), M2466, L2466), N2466, Holiday_Dates)
                - IF(IF(NOT(ISBLANK(M2466)), M2466, L2466) = N2466, 0, 1)
            )
        )
    ),
    ""
)</f>
        <v/>
      </c>
      <c r="S2466" s="385" t="str">
        <f>IFERROR(
    IF(
        OR(ISBLANK(N2466), ISBLANK(O2466)),
        "",
        MAX(
            1,
            IF(
                NETWORKDAYS(N2466, O2466, Holiday_Dates) &lt;= 0,
                1,
                NETWORKDAYS(N2466, O2466, Holiday_Dates) - IF(N2466 = O2466, 0, 1)
            )
        )
    ),
    ""
)</f>
        <v/>
      </c>
      <c r="T2466" s="385"/>
      <c r="U2466" s="385"/>
      <c r="V2466" s="385"/>
      <c r="W2466" s="385" t="s">
        <v>4710</v>
      </c>
      <c r="X2466" s="1"/>
    </row>
    <row r="2467" spans="1:24">
      <c r="A2467" s="385" t="s">
        <v>52</v>
      </c>
      <c r="B2467" s="385" t="s">
        <v>250</v>
      </c>
      <c r="C2467" s="385" t="s">
        <v>3972</v>
      </c>
      <c r="D2467" s="385" t="s">
        <v>88</v>
      </c>
      <c r="E2467" s="385" t="s">
        <v>39</v>
      </c>
      <c r="F2467" s="385"/>
      <c r="G2467" s="385" t="s">
        <v>28</v>
      </c>
      <c r="H2467" s="385">
        <v>2024</v>
      </c>
      <c r="I2467" s="386">
        <v>45476</v>
      </c>
      <c r="J2467" s="30"/>
      <c r="K2467" s="385"/>
      <c r="L2467" s="385"/>
      <c r="M2467" s="385"/>
      <c r="N2467" s="385"/>
      <c r="O2467" s="385"/>
      <c r="P2467" s="385" t="str">
        <f>IFERROR(
    IF(
        OR(ISBLANK(I2467), ISBLANK(L2467)),
        "",
        MAX(
            1,
            IF(
                NETWORKDAYS(I2467, L2467, Holiday_Dates) &lt;= 0,
                1,
                NETWORKDAYS(I2467, L2467, Holiday_Dates) - IF(I2467 = L2467, 0, 1)
            )
        )
    ),
    ""
)</f>
        <v/>
      </c>
      <c r="Q2467" s="385" t="str">
        <f>IF(
    OR(ISBLANK(L2467), ISBLANK(M2467)),
    "",
    MAX(
        1,
        IF(
            NETWORKDAYS(L2467, M2467, Holiday_Dates) &lt;= 0,
            1,
            NETWORKDAYS(L2467, M2467, Holiday_Dates) - IF(L2467 = M2467, 0, 1)
        )
    )
)</f>
        <v/>
      </c>
      <c r="R2467" s="385" t="str">
        <f>IFERROR(
    IF(
        OR(ISBLANK(N2467), AND(ISBLANK(L2467), ISBLANK(M2467))),
        "",
        MAX(
            1,
            IF(
                NETWORKDAYS(IF(NOT(ISBLANK(M2467)), M2467, L2467), N2467, Holiday_Dates) &lt;= 0,
                1,
                NETWORKDAYS(IF(NOT(ISBLANK(M2467)), M2467, L2467), N2467, Holiday_Dates)
                - IF(IF(NOT(ISBLANK(M2467)), M2467, L2467) = N2467, 0, 1)
            )
        )
    ),
    ""
)</f>
        <v/>
      </c>
      <c r="S2467" s="385" t="str">
        <f>IFERROR(
    IF(
        OR(ISBLANK(N2467), ISBLANK(O2467)),
        "",
        MAX(
            1,
            IF(
                NETWORKDAYS(N2467, O2467, Holiday_Dates) &lt;= 0,
                1,
                NETWORKDAYS(N2467, O2467, Holiday_Dates) - IF(N2467 = O2467, 0, 1)
            )
        )
    ),
    ""
)</f>
        <v/>
      </c>
      <c r="T2467" s="385"/>
      <c r="U2467" s="385" t="s">
        <v>4</v>
      </c>
      <c r="V2467" s="385" t="s">
        <v>101</v>
      </c>
      <c r="W2467" s="385" t="s">
        <v>1436</v>
      </c>
      <c r="X2467" s="1"/>
    </row>
    <row r="2468" spans="1:24">
      <c r="A2468" s="385" t="s">
        <v>51</v>
      </c>
      <c r="B2468" s="385" t="s">
        <v>1377</v>
      </c>
      <c r="C2468" s="385" t="s">
        <v>2395</v>
      </c>
      <c r="D2468" s="385" t="s">
        <v>88</v>
      </c>
      <c r="E2468" s="385" t="s">
        <v>33</v>
      </c>
      <c r="F2468" s="385"/>
      <c r="G2468" s="385" t="s">
        <v>239</v>
      </c>
      <c r="H2468" s="385"/>
      <c r="I2468" s="385"/>
      <c r="J2468" s="30"/>
      <c r="K2468" s="385"/>
      <c r="L2468" s="385"/>
      <c r="M2468" s="385"/>
      <c r="N2468" s="385"/>
      <c r="O2468" s="385"/>
      <c r="P2468" s="385" t="str">
        <f>IFERROR(
    IF(
        OR(ISBLANK(I2468), ISBLANK(L2468)),
        "",
        MAX(
            1,
            IF(
                NETWORKDAYS(I2468, L2468, Holiday_Dates) &lt;= 0,
                1,
                NETWORKDAYS(I2468, L2468, Holiday_Dates) - IF(I2468 = L2468, 0, 1)
            )
        )
    ),
    ""
)</f>
        <v/>
      </c>
      <c r="Q2468" s="385" t="str">
        <f>IF(
    OR(ISBLANK(L2468), ISBLANK(M2468)),
    "",
    MAX(
        1,
        IF(
            NETWORKDAYS(L2468, M2468, Holiday_Dates) &lt;= 0,
            1,
            NETWORKDAYS(L2468, M2468, Holiday_Dates) - IF(L2468 = M2468, 0, 1)
        )
    )
)</f>
        <v/>
      </c>
      <c r="R2468" s="385" t="str">
        <f>IFERROR(
    IF(
        OR(ISBLANK(N2468), AND(ISBLANK(L2468), ISBLANK(M2468))),
        "",
        MAX(
            1,
            IF(
                NETWORKDAYS(IF(NOT(ISBLANK(M2468)), M2468, L2468), N2468, Holiday_Dates) &lt;= 0,
                1,
                NETWORKDAYS(IF(NOT(ISBLANK(M2468)), M2468, L2468), N2468, Holiday_Dates)
                - IF(IF(NOT(ISBLANK(M2468)), M2468, L2468) = N2468, 0, 1)
            )
        )
    ),
    ""
)</f>
        <v/>
      </c>
      <c r="S2468" s="385" t="str">
        <f>IFERROR(
    IF(
        OR(ISBLANK(N2468), ISBLANK(O2468)),
        "",
        MAX(
            1,
            IF(
                NETWORKDAYS(N2468, O2468, Holiday_Dates) &lt;= 0,
                1,
                NETWORKDAYS(N2468, O2468, Holiday_Dates) - IF(N2468 = O2468, 0, 1)
            )
        )
    ),
    ""
)</f>
        <v/>
      </c>
      <c r="T2468" s="385"/>
      <c r="U2468" s="385"/>
      <c r="V2468" s="385"/>
      <c r="W2468" s="385" t="s">
        <v>4710</v>
      </c>
      <c r="X2468" s="1"/>
    </row>
    <row r="2469" spans="1:24">
      <c r="A2469" s="385" t="s">
        <v>52</v>
      </c>
      <c r="B2469" s="385" t="s">
        <v>250</v>
      </c>
      <c r="C2469" s="385" t="s">
        <v>3975</v>
      </c>
      <c r="D2469" s="385" t="s">
        <v>88</v>
      </c>
      <c r="E2469" s="385" t="s">
        <v>39</v>
      </c>
      <c r="F2469" s="385"/>
      <c r="G2469" s="385" t="s">
        <v>28</v>
      </c>
      <c r="H2469" s="385">
        <v>2024</v>
      </c>
      <c r="I2469" s="386">
        <v>45476</v>
      </c>
      <c r="J2469" s="30"/>
      <c r="K2469" s="385"/>
      <c r="L2469" s="385"/>
      <c r="M2469" s="385"/>
      <c r="N2469" s="385"/>
      <c r="O2469" s="385"/>
      <c r="P2469" s="385" t="str">
        <f>IFERROR(
    IF(
        OR(ISBLANK(I2469), ISBLANK(L2469)),
        "",
        MAX(
            1,
            IF(
                NETWORKDAYS(I2469, L2469, Holiday_Dates) &lt;= 0,
                1,
                NETWORKDAYS(I2469, L2469, Holiday_Dates) - IF(I2469 = L2469, 0, 1)
            )
        )
    ),
    ""
)</f>
        <v/>
      </c>
      <c r="Q2469" s="385" t="str">
        <f>IF(
    OR(ISBLANK(L2469), ISBLANK(M2469)),
    "",
    MAX(
        1,
        IF(
            NETWORKDAYS(L2469, M2469, Holiday_Dates) &lt;= 0,
            1,
            NETWORKDAYS(L2469, M2469, Holiday_Dates) - IF(L2469 = M2469, 0, 1)
        )
    )
)</f>
        <v/>
      </c>
      <c r="R2469" s="385" t="str">
        <f>IFERROR(
    IF(
        OR(ISBLANK(N2469), AND(ISBLANK(L2469), ISBLANK(M2469))),
        "",
        MAX(
            1,
            IF(
                NETWORKDAYS(IF(NOT(ISBLANK(M2469)), M2469, L2469), N2469, Holiday_Dates) &lt;= 0,
                1,
                NETWORKDAYS(IF(NOT(ISBLANK(M2469)), M2469, L2469), N2469, Holiday_Dates)
                - IF(IF(NOT(ISBLANK(M2469)), M2469, L2469) = N2469, 0, 1)
            )
        )
    ),
    ""
)</f>
        <v/>
      </c>
      <c r="S2469" s="385" t="str">
        <f>IFERROR(
    IF(
        OR(ISBLANK(N2469), ISBLANK(O2469)),
        "",
        MAX(
            1,
            IF(
                NETWORKDAYS(N2469, O2469, Holiday_Dates) &lt;= 0,
                1,
                NETWORKDAYS(N2469, O2469, Holiday_Dates) - IF(N2469 = O2469, 0, 1)
            )
        )
    ),
    ""
)</f>
        <v/>
      </c>
      <c r="T2469" s="385"/>
      <c r="U2469" s="385" t="s">
        <v>4</v>
      </c>
      <c r="V2469" s="385" t="s">
        <v>101</v>
      </c>
      <c r="W2469" s="385" t="s">
        <v>1436</v>
      </c>
      <c r="X2469" s="1"/>
    </row>
    <row r="2470" spans="1:24">
      <c r="A2470" s="385" t="s">
        <v>51</v>
      </c>
      <c r="B2470" s="385" t="s">
        <v>1377</v>
      </c>
      <c r="C2470" s="385" t="s">
        <v>3838</v>
      </c>
      <c r="D2470" s="385" t="s">
        <v>88</v>
      </c>
      <c r="E2470" s="385" t="s">
        <v>33</v>
      </c>
      <c r="F2470" s="385"/>
      <c r="G2470" s="385" t="s">
        <v>239</v>
      </c>
      <c r="H2470" s="385"/>
      <c r="I2470" s="385"/>
      <c r="J2470" s="30"/>
      <c r="K2470" s="385"/>
      <c r="L2470" s="385"/>
      <c r="M2470" s="385"/>
      <c r="N2470" s="385"/>
      <c r="O2470" s="385"/>
      <c r="P2470" s="385" t="str">
        <f>IFERROR(
    IF(
        OR(ISBLANK(I2470), ISBLANK(L2470)),
        "",
        MAX(
            1,
            IF(
                NETWORKDAYS(I2470, L2470, Holiday_Dates) &lt;= 0,
                1,
                NETWORKDAYS(I2470, L2470, Holiday_Dates) - IF(I2470 = L2470, 0, 1)
            )
        )
    ),
    ""
)</f>
        <v/>
      </c>
      <c r="Q2470" s="385" t="str">
        <f>IF(
    OR(ISBLANK(L2470), ISBLANK(M2470)),
    "",
    MAX(
        1,
        IF(
            NETWORKDAYS(L2470, M2470, Holiday_Dates) &lt;= 0,
            1,
            NETWORKDAYS(L2470, M2470, Holiday_Dates) - IF(L2470 = M2470, 0, 1)
        )
    )
)</f>
        <v/>
      </c>
      <c r="R2470" s="385" t="str">
        <f>IFERROR(
    IF(
        OR(ISBLANK(N2470), AND(ISBLANK(L2470), ISBLANK(M2470))),
        "",
        MAX(
            1,
            IF(
                NETWORKDAYS(IF(NOT(ISBLANK(M2470)), M2470, L2470), N2470, Holiday_Dates) &lt;= 0,
                1,
                NETWORKDAYS(IF(NOT(ISBLANK(M2470)), M2470, L2470), N2470, Holiday_Dates)
                - IF(IF(NOT(ISBLANK(M2470)), M2470, L2470) = N2470, 0, 1)
            )
        )
    ),
    ""
)</f>
        <v/>
      </c>
      <c r="S2470" s="385" t="str">
        <f>IFERROR(
    IF(
        OR(ISBLANK(N2470), ISBLANK(O2470)),
        "",
        MAX(
            1,
            IF(
                NETWORKDAYS(N2470, O2470, Holiday_Dates) &lt;= 0,
                1,
                NETWORKDAYS(N2470, O2470, Holiday_Dates) - IF(N2470 = O2470, 0, 1)
            )
        )
    ),
    ""
)</f>
        <v/>
      </c>
      <c r="T2470" s="385"/>
      <c r="U2470" s="385"/>
      <c r="V2470" s="385"/>
      <c r="W2470" s="385" t="s">
        <v>4710</v>
      </c>
      <c r="X2470" s="1"/>
    </row>
    <row r="2471" spans="1:24">
      <c r="A2471" s="385" t="s">
        <v>51</v>
      </c>
      <c r="B2471" s="385" t="s">
        <v>354</v>
      </c>
      <c r="C2471" s="385" t="s">
        <v>3653</v>
      </c>
      <c r="D2471" s="385" t="s">
        <v>88</v>
      </c>
      <c r="E2471" s="385" t="s">
        <v>145</v>
      </c>
      <c r="F2471" s="385"/>
      <c r="G2471" s="385" t="s">
        <v>133</v>
      </c>
      <c r="H2471" s="385"/>
      <c r="I2471" s="385"/>
      <c r="J2471" s="30"/>
      <c r="K2471" s="385"/>
      <c r="L2471" s="385"/>
      <c r="M2471" s="385"/>
      <c r="N2471" s="385"/>
      <c r="O2471" s="385"/>
      <c r="P2471" s="385" t="str">
        <f>IFERROR(
    IF(
        OR(ISBLANK(I2471), ISBLANK(L2471)),
        "",
        MAX(
            1,
            IF(
                NETWORKDAYS(I2471, L2471, Holiday_Dates) &lt;= 0,
                1,
                NETWORKDAYS(I2471, L2471, Holiday_Dates) - IF(I2471 = L2471, 0, 1)
            )
        )
    ),
    ""
)</f>
        <v/>
      </c>
      <c r="Q2471" s="385" t="str">
        <f>IF(
    OR(ISBLANK(L2471), ISBLANK(M2471)),
    "",
    MAX(
        1,
        IF(
            NETWORKDAYS(L2471, M2471, Holiday_Dates) &lt;= 0,
            1,
            NETWORKDAYS(L2471, M2471, Holiday_Dates) - IF(L2471 = M2471, 0, 1)
        )
    )
)</f>
        <v/>
      </c>
      <c r="R2471" s="385" t="str">
        <f>IFERROR(
    IF(
        OR(ISBLANK(N2471), AND(ISBLANK(L2471), ISBLANK(M2471))),
        "",
        MAX(
            1,
            IF(
                NETWORKDAYS(IF(NOT(ISBLANK(M2471)), M2471, L2471), N2471, Holiday_Dates) &lt;= 0,
                1,
                NETWORKDAYS(IF(NOT(ISBLANK(M2471)), M2471, L2471), N2471, Holiday_Dates)
                - IF(IF(NOT(ISBLANK(M2471)), M2471, L2471) = N2471, 0, 1)
            )
        )
    ),
    ""
)</f>
        <v/>
      </c>
      <c r="S2471" s="385" t="str">
        <f>IFERROR(
    IF(
        OR(ISBLANK(N2471), ISBLANK(O2471)),
        "",
        MAX(
            1,
            IF(
                NETWORKDAYS(N2471, O2471, Holiday_Dates) &lt;= 0,
                1,
                NETWORKDAYS(N2471, O2471, Holiday_Dates) - IF(N2471 = O2471, 0, 1)
            )
        )
    ),
    ""
)</f>
        <v/>
      </c>
      <c r="T2471" s="385"/>
      <c r="U2471" s="385"/>
      <c r="V2471" s="385"/>
      <c r="W2471" s="385" t="s">
        <v>4710</v>
      </c>
      <c r="X2471" s="1"/>
    </row>
    <row r="2472" spans="1:24">
      <c r="A2472" s="385" t="s">
        <v>52</v>
      </c>
      <c r="B2472" s="385" t="s">
        <v>250</v>
      </c>
      <c r="C2472" s="385" t="s">
        <v>3979</v>
      </c>
      <c r="D2472" s="385" t="s">
        <v>88</v>
      </c>
      <c r="E2472" s="385"/>
      <c r="F2472" s="385"/>
      <c r="G2472" s="385"/>
      <c r="H2472" s="385">
        <v>2024</v>
      </c>
      <c r="I2472" s="386">
        <v>45576</v>
      </c>
      <c r="J2472" s="30"/>
      <c r="K2472" s="385"/>
      <c r="L2472" s="385"/>
      <c r="M2472" s="385"/>
      <c r="N2472" s="385"/>
      <c r="O2472" s="385"/>
      <c r="P2472" s="385" t="str">
        <f>IFERROR(
    IF(
        OR(ISBLANK(I2472), ISBLANK(L2472)),
        "",
        MAX(
            1,
            IF(
                NETWORKDAYS(I2472, L2472, Holiday_Dates) &lt;= 0,
                1,
                NETWORKDAYS(I2472, L2472, Holiday_Dates) - IF(I2472 = L2472, 0, 1)
            )
        )
    ),
    ""
)</f>
        <v/>
      </c>
      <c r="Q2472" s="385" t="str">
        <f>IF(
    OR(ISBLANK(L2472), ISBLANK(M2472)),
    "",
    MAX(
        1,
        IF(
            NETWORKDAYS(L2472, M2472, Holiday_Dates) &lt;= 0,
            1,
            NETWORKDAYS(L2472, M2472, Holiday_Dates) - IF(L2472 = M2472, 0, 1)
        )
    )
)</f>
        <v/>
      </c>
      <c r="R2472" s="385" t="str">
        <f>IFERROR(
    IF(
        OR(ISBLANK(N2472), AND(ISBLANK(L2472), ISBLANK(M2472))),
        "",
        MAX(
            1,
            IF(
                NETWORKDAYS(IF(NOT(ISBLANK(M2472)), M2472, L2472), N2472, Holiday_Dates) &lt;= 0,
                1,
                NETWORKDAYS(IF(NOT(ISBLANK(M2472)), M2472, L2472), N2472, Holiday_Dates)
                - IF(IF(NOT(ISBLANK(M2472)), M2472, L2472) = N2472, 0, 1)
            )
        )
    ),
    ""
)</f>
        <v/>
      </c>
      <c r="S2472" s="385" t="str">
        <f>IFERROR(
    IF(
        OR(ISBLANK(N2472), ISBLANK(O2472)),
        "",
        MAX(
            1,
            IF(
                NETWORKDAYS(N2472, O2472, Holiday_Dates) &lt;= 0,
                1,
                NETWORKDAYS(N2472, O2472, Holiday_Dates) - IF(N2472 = O2472, 0, 1)
            )
        )
    ),
    ""
)</f>
        <v/>
      </c>
      <c r="T2472" s="385"/>
      <c r="U2472" s="385" t="s">
        <v>4</v>
      </c>
      <c r="V2472" s="385" t="s">
        <v>101</v>
      </c>
      <c r="W2472" s="385" t="s">
        <v>1436</v>
      </c>
      <c r="X2472" s="1"/>
    </row>
    <row r="2473" spans="1:24">
      <c r="A2473" s="385" t="s">
        <v>52</v>
      </c>
      <c r="B2473" s="385" t="s">
        <v>250</v>
      </c>
      <c r="C2473" s="385" t="s">
        <v>4010</v>
      </c>
      <c r="D2473" s="385" t="s">
        <v>88</v>
      </c>
      <c r="E2473" s="385"/>
      <c r="F2473" s="385"/>
      <c r="G2473" s="385"/>
      <c r="H2473" s="385">
        <v>2025</v>
      </c>
      <c r="I2473" s="386">
        <v>45701</v>
      </c>
      <c r="J2473" s="30" t="s">
        <v>5625</v>
      </c>
      <c r="K2473" s="385"/>
      <c r="L2473" s="385"/>
      <c r="M2473" s="385"/>
      <c r="N2473" s="385"/>
      <c r="O2473" s="385"/>
      <c r="P2473" s="385" t="str">
        <f>IFERROR(
    IF(
        OR(ISBLANK(I2473), ISBLANK(L2473)),
        "",
        MAX(
            1,
            IF(
                NETWORKDAYS(I2473, L2473, Holiday_Dates) &lt;= 0,
                1,
                NETWORKDAYS(I2473, L2473, Holiday_Dates) - IF(I2473 = L2473, 0, 1)
            )
        )
    ),
    ""
)</f>
        <v/>
      </c>
      <c r="Q2473" s="385" t="str">
        <f>IF(
    OR(ISBLANK(L2473), ISBLANK(M2473)),
    "",
    MAX(
        1,
        IF(
            NETWORKDAYS(L2473, M2473, Holiday_Dates) &lt;= 0,
            1,
            NETWORKDAYS(L2473, M2473, Holiday_Dates) - IF(L2473 = M2473, 0, 1)
        )
    )
)</f>
        <v/>
      </c>
      <c r="R2473" s="385" t="str">
        <f>IFERROR(
    IF(
        OR(ISBLANK(N2473), AND(ISBLANK(L2473), ISBLANK(M2473))),
        "",
        MAX(
            1,
            IF(
                NETWORKDAYS(IF(NOT(ISBLANK(M2473)), M2473, L2473), N2473, Holiday_Dates) &lt;= 0,
                1,
                NETWORKDAYS(IF(NOT(ISBLANK(M2473)), M2473, L2473), N2473, Holiday_Dates)
                - IF(IF(NOT(ISBLANK(M2473)), M2473, L2473) = N2473, 0, 1)
            )
        )
    ),
    ""
)</f>
        <v/>
      </c>
      <c r="S2473" s="385" t="str">
        <f>IFERROR(
    IF(
        OR(ISBLANK(N2473), ISBLANK(O2473)),
        "",
        MAX(
            1,
            IF(
                NETWORKDAYS(N2473, O2473, Holiday_Dates) &lt;= 0,
                1,
                NETWORKDAYS(N2473, O2473, Holiday_Dates) - IF(N2473 = O2473, 0, 1)
            )
        )
    ),
    ""
)</f>
        <v/>
      </c>
      <c r="T2473" s="385"/>
      <c r="U2473" s="385" t="s">
        <v>4</v>
      </c>
      <c r="V2473" s="385" t="s">
        <v>101</v>
      </c>
      <c r="W2473" s="385" t="s">
        <v>1436</v>
      </c>
      <c r="X2473" s="1"/>
    </row>
    <row r="2474" spans="1:24">
      <c r="A2474" s="385" t="s">
        <v>51</v>
      </c>
      <c r="B2474" s="385" t="s">
        <v>354</v>
      </c>
      <c r="C2474" s="385" t="s">
        <v>653</v>
      </c>
      <c r="D2474" s="385" t="s">
        <v>88</v>
      </c>
      <c r="E2474" s="385" t="s">
        <v>145</v>
      </c>
      <c r="F2474" s="385"/>
      <c r="G2474" s="385" t="s">
        <v>133</v>
      </c>
      <c r="H2474" s="385"/>
      <c r="I2474" s="385"/>
      <c r="J2474" s="30"/>
      <c r="K2474" s="385"/>
      <c r="L2474" s="385"/>
      <c r="M2474" s="385"/>
      <c r="N2474" s="385"/>
      <c r="O2474" s="385"/>
      <c r="P2474" s="385" t="str">
        <f>IFERROR(
    IF(
        OR(ISBLANK(I2474), ISBLANK(L2474)),
        "",
        MAX(
            1,
            IF(
                NETWORKDAYS(I2474, L2474, Holiday_Dates) &lt;= 0,
                1,
                NETWORKDAYS(I2474, L2474, Holiday_Dates) - IF(I2474 = L2474, 0, 1)
            )
        )
    ),
    ""
)</f>
        <v/>
      </c>
      <c r="Q2474" s="385" t="str">
        <f>IF(
    OR(ISBLANK(L2474), ISBLANK(M2474)),
    "",
    MAX(
        1,
        IF(
            NETWORKDAYS(L2474, M2474, Holiday_Dates) &lt;= 0,
            1,
            NETWORKDAYS(L2474, M2474, Holiday_Dates) - IF(L2474 = M2474, 0, 1)
        )
    )
)</f>
        <v/>
      </c>
      <c r="R2474" s="385" t="str">
        <f>IFERROR(
    IF(
        OR(ISBLANK(N2474), AND(ISBLANK(L2474), ISBLANK(M2474))),
        "",
        MAX(
            1,
            IF(
                NETWORKDAYS(IF(NOT(ISBLANK(M2474)), M2474, L2474), N2474, Holiday_Dates) &lt;= 0,
                1,
                NETWORKDAYS(IF(NOT(ISBLANK(M2474)), M2474, L2474), N2474, Holiday_Dates)
                - IF(IF(NOT(ISBLANK(M2474)), M2474, L2474) = N2474, 0, 1)
            )
        )
    ),
    ""
)</f>
        <v/>
      </c>
      <c r="S2474" s="385" t="str">
        <f>IFERROR(
    IF(
        OR(ISBLANK(N2474), ISBLANK(O2474)),
        "",
        MAX(
            1,
            IF(
                NETWORKDAYS(N2474, O2474, Holiday_Dates) &lt;= 0,
                1,
                NETWORKDAYS(N2474, O2474, Holiday_Dates) - IF(N2474 = O2474, 0, 1)
            )
        )
    ),
    ""
)</f>
        <v/>
      </c>
      <c r="T2474" s="385"/>
      <c r="U2474" s="385"/>
      <c r="V2474" s="385"/>
      <c r="W2474" s="385" t="s">
        <v>4710</v>
      </c>
      <c r="X2474" s="1"/>
    </row>
    <row r="2475" spans="1:24">
      <c r="A2475" s="385" t="s">
        <v>51</v>
      </c>
      <c r="B2475" s="385" t="s">
        <v>532</v>
      </c>
      <c r="C2475" s="385" t="s">
        <v>3660</v>
      </c>
      <c r="D2475" s="385" t="s">
        <v>88</v>
      </c>
      <c r="E2475" s="385" t="s">
        <v>145</v>
      </c>
      <c r="F2475" s="385"/>
      <c r="G2475" s="385" t="s">
        <v>133</v>
      </c>
      <c r="H2475" s="385"/>
      <c r="I2475" s="385"/>
      <c r="J2475" s="30"/>
      <c r="K2475" s="385"/>
      <c r="L2475" s="385"/>
      <c r="M2475" s="385"/>
      <c r="N2475" s="385"/>
      <c r="O2475" s="385"/>
      <c r="P2475" s="385" t="str">
        <f>IFERROR(
    IF(
        OR(ISBLANK(I2475), ISBLANK(L2475)),
        "",
        MAX(
            1,
            IF(
                NETWORKDAYS(I2475, L2475, Holiday_Dates) &lt;= 0,
                1,
                NETWORKDAYS(I2475, L2475, Holiday_Dates) - IF(I2475 = L2475, 0, 1)
            )
        )
    ),
    ""
)</f>
        <v/>
      </c>
      <c r="Q2475" s="385" t="str">
        <f>IF(
    OR(ISBLANK(L2475), ISBLANK(M2475)),
    "",
    MAX(
        1,
        IF(
            NETWORKDAYS(L2475, M2475, Holiday_Dates) &lt;= 0,
            1,
            NETWORKDAYS(L2475, M2475, Holiday_Dates) - IF(L2475 = M2475, 0, 1)
        )
    )
)</f>
        <v/>
      </c>
      <c r="R2475" s="385" t="str">
        <f>IFERROR(
    IF(
        OR(ISBLANK(N2475), AND(ISBLANK(L2475), ISBLANK(M2475))),
        "",
        MAX(
            1,
            IF(
                NETWORKDAYS(IF(NOT(ISBLANK(M2475)), M2475, L2475), N2475, Holiday_Dates) &lt;= 0,
                1,
                NETWORKDAYS(IF(NOT(ISBLANK(M2475)), M2475, L2475), N2475, Holiday_Dates)
                - IF(IF(NOT(ISBLANK(M2475)), M2475, L2475) = N2475, 0, 1)
            )
        )
    ),
    ""
)</f>
        <v/>
      </c>
      <c r="S2475" s="385" t="str">
        <f>IFERROR(
    IF(
        OR(ISBLANK(N2475), ISBLANK(O2475)),
        "",
        MAX(
            1,
            IF(
                NETWORKDAYS(N2475, O2475, Holiday_Dates) &lt;= 0,
                1,
                NETWORKDAYS(N2475, O2475, Holiday_Dates) - IF(N2475 = O2475, 0, 1)
            )
        )
    ),
    ""
)</f>
        <v/>
      </c>
      <c r="T2475" s="385"/>
      <c r="U2475" s="385"/>
      <c r="V2475" s="385"/>
      <c r="W2475" s="385" t="s">
        <v>4710</v>
      </c>
      <c r="X2475" s="1"/>
    </row>
    <row r="2476" spans="1:24">
      <c r="A2476" s="385" t="s">
        <v>51</v>
      </c>
      <c r="B2476" s="385" t="s">
        <v>532</v>
      </c>
      <c r="C2476" s="385" t="s">
        <v>250</v>
      </c>
      <c r="D2476" s="385" t="s">
        <v>88</v>
      </c>
      <c r="E2476" s="385" t="s">
        <v>145</v>
      </c>
      <c r="F2476" s="385"/>
      <c r="G2476" s="385" t="s">
        <v>133</v>
      </c>
      <c r="H2476" s="385"/>
      <c r="I2476" s="385"/>
      <c r="J2476" s="30"/>
      <c r="K2476" s="385"/>
      <c r="L2476" s="385"/>
      <c r="M2476" s="385"/>
      <c r="N2476" s="385"/>
      <c r="O2476" s="385"/>
      <c r="P2476" s="385" t="str">
        <f>IFERROR(
    IF(
        OR(ISBLANK(I2476), ISBLANK(L2476)),
        "",
        MAX(
            1,
            IF(
                NETWORKDAYS(I2476, L2476, Holiday_Dates) &lt;= 0,
                1,
                NETWORKDAYS(I2476, L2476, Holiday_Dates) - IF(I2476 = L2476, 0, 1)
            )
        )
    ),
    ""
)</f>
        <v/>
      </c>
      <c r="Q2476" s="385" t="str">
        <f>IF(
    OR(ISBLANK(L2476), ISBLANK(M2476)),
    "",
    MAX(
        1,
        IF(
            NETWORKDAYS(L2476, M2476, Holiday_Dates) &lt;= 0,
            1,
            NETWORKDAYS(L2476, M2476, Holiday_Dates) - IF(L2476 = M2476, 0, 1)
        )
    )
)</f>
        <v/>
      </c>
      <c r="R2476" s="385" t="str">
        <f>IFERROR(
    IF(
        OR(ISBLANK(N2476), AND(ISBLANK(L2476), ISBLANK(M2476))),
        "",
        MAX(
            1,
            IF(
                NETWORKDAYS(IF(NOT(ISBLANK(M2476)), M2476, L2476), N2476, Holiday_Dates) &lt;= 0,
                1,
                NETWORKDAYS(IF(NOT(ISBLANK(M2476)), M2476, L2476), N2476, Holiday_Dates)
                - IF(IF(NOT(ISBLANK(M2476)), M2476, L2476) = N2476, 0, 1)
            )
        )
    ),
    ""
)</f>
        <v/>
      </c>
      <c r="S2476" s="385" t="str">
        <f>IFERROR(
    IF(
        OR(ISBLANK(N2476), ISBLANK(O2476)),
        "",
        MAX(
            1,
            IF(
                NETWORKDAYS(N2476, O2476, Holiday_Dates) &lt;= 0,
                1,
                NETWORKDAYS(N2476, O2476, Holiday_Dates) - IF(N2476 = O2476, 0, 1)
            )
        )
    ),
    ""
)</f>
        <v/>
      </c>
      <c r="T2476" s="385"/>
      <c r="U2476" s="385"/>
      <c r="V2476" s="385"/>
      <c r="W2476" s="385" t="s">
        <v>4710</v>
      </c>
      <c r="X2476" s="1"/>
    </row>
    <row r="2477" spans="1:24">
      <c r="A2477" s="385" t="s">
        <v>51</v>
      </c>
      <c r="B2477" s="385" t="s">
        <v>532</v>
      </c>
      <c r="C2477" s="385" t="s">
        <v>3663</v>
      </c>
      <c r="D2477" s="385" t="s">
        <v>88</v>
      </c>
      <c r="E2477" s="385" t="s">
        <v>145</v>
      </c>
      <c r="F2477" s="385"/>
      <c r="G2477" s="385" t="s">
        <v>133</v>
      </c>
      <c r="H2477" s="385"/>
      <c r="I2477" s="385"/>
      <c r="J2477" s="30"/>
      <c r="K2477" s="385"/>
      <c r="L2477" s="385"/>
      <c r="M2477" s="385"/>
      <c r="N2477" s="385"/>
      <c r="O2477" s="385"/>
      <c r="P2477" s="385" t="str">
        <f>IFERROR(
    IF(
        OR(ISBLANK(I2477), ISBLANK(L2477)),
        "",
        MAX(
            1,
            IF(
                NETWORKDAYS(I2477, L2477, Holiday_Dates) &lt;= 0,
                1,
                NETWORKDAYS(I2477, L2477, Holiday_Dates) - IF(I2477 = L2477, 0, 1)
            )
        )
    ),
    ""
)</f>
        <v/>
      </c>
      <c r="Q2477" s="385" t="str">
        <f>IF(
    OR(ISBLANK(L2477), ISBLANK(M2477)),
    "",
    MAX(
        1,
        IF(
            NETWORKDAYS(L2477, M2477, Holiday_Dates) &lt;= 0,
            1,
            NETWORKDAYS(L2477, M2477, Holiday_Dates) - IF(L2477 = M2477, 0, 1)
        )
    )
)</f>
        <v/>
      </c>
      <c r="R2477" s="385" t="str">
        <f>IFERROR(
    IF(
        OR(ISBLANK(N2477), AND(ISBLANK(L2477), ISBLANK(M2477))),
        "",
        MAX(
            1,
            IF(
                NETWORKDAYS(IF(NOT(ISBLANK(M2477)), M2477, L2477), N2477, Holiday_Dates) &lt;= 0,
                1,
                NETWORKDAYS(IF(NOT(ISBLANK(M2477)), M2477, L2477), N2477, Holiday_Dates)
                - IF(IF(NOT(ISBLANK(M2477)), M2477, L2477) = N2477, 0, 1)
            )
        )
    ),
    ""
)</f>
        <v/>
      </c>
      <c r="S2477" s="385" t="str">
        <f>IFERROR(
    IF(
        OR(ISBLANK(N2477), ISBLANK(O2477)),
        "",
        MAX(
            1,
            IF(
                NETWORKDAYS(N2477, O2477, Holiday_Dates) &lt;= 0,
                1,
                NETWORKDAYS(N2477, O2477, Holiday_Dates) - IF(N2477 = O2477, 0, 1)
            )
        )
    ),
    ""
)</f>
        <v/>
      </c>
      <c r="T2477" s="385"/>
      <c r="U2477" s="385"/>
      <c r="V2477" s="385"/>
      <c r="W2477" s="385" t="s">
        <v>4710</v>
      </c>
      <c r="X2477" s="1"/>
    </row>
    <row r="2478" spans="1:24">
      <c r="A2478" s="385" t="s">
        <v>52</v>
      </c>
      <c r="B2478" s="385" t="s">
        <v>250</v>
      </c>
      <c r="C2478" s="385" t="s">
        <v>3985</v>
      </c>
      <c r="D2478" s="385" t="s">
        <v>88</v>
      </c>
      <c r="E2478" s="385"/>
      <c r="F2478" s="385"/>
      <c r="G2478" s="385"/>
      <c r="H2478" s="385">
        <v>2024</v>
      </c>
      <c r="I2478" s="386">
        <v>45414</v>
      </c>
      <c r="J2478" s="30"/>
      <c r="K2478" s="385"/>
      <c r="L2478" s="385"/>
      <c r="M2478" s="385"/>
      <c r="N2478" s="385"/>
      <c r="O2478" s="385"/>
      <c r="P2478" s="385" t="str">
        <f>IFERROR(
    IF(
        OR(ISBLANK(I2478), ISBLANK(L2478)),
        "",
        MAX(
            1,
            IF(
                NETWORKDAYS(I2478, L2478, Holiday_Dates) &lt;= 0,
                1,
                NETWORKDAYS(I2478, L2478, Holiday_Dates) - IF(I2478 = L2478, 0, 1)
            )
        )
    ),
    ""
)</f>
        <v/>
      </c>
      <c r="Q2478" s="385" t="str">
        <f>IF(
    OR(ISBLANK(L2478), ISBLANK(M2478)),
    "",
    MAX(
        1,
        IF(
            NETWORKDAYS(L2478, M2478, Holiday_Dates) &lt;= 0,
            1,
            NETWORKDAYS(L2478, M2478, Holiday_Dates) - IF(L2478 = M2478, 0, 1)
        )
    )
)</f>
        <v/>
      </c>
      <c r="R2478" s="385" t="str">
        <f>IFERROR(
    IF(
        OR(ISBLANK(N2478), AND(ISBLANK(L2478), ISBLANK(M2478))),
        "",
        MAX(
            1,
            IF(
                NETWORKDAYS(IF(NOT(ISBLANK(M2478)), M2478, L2478), N2478, Holiday_Dates) &lt;= 0,
                1,
                NETWORKDAYS(IF(NOT(ISBLANK(M2478)), M2478, L2478), N2478, Holiday_Dates)
                - IF(IF(NOT(ISBLANK(M2478)), M2478, L2478) = N2478, 0, 1)
            )
        )
    ),
    ""
)</f>
        <v/>
      </c>
      <c r="S2478" s="385" t="str">
        <f>IFERROR(
    IF(
        OR(ISBLANK(N2478), ISBLANK(O2478)),
        "",
        MAX(
            1,
            IF(
                NETWORKDAYS(N2478, O2478, Holiday_Dates) &lt;= 0,
                1,
                NETWORKDAYS(N2478, O2478, Holiday_Dates) - IF(N2478 = O2478, 0, 1)
            )
        )
    ),
    ""
)</f>
        <v/>
      </c>
      <c r="T2478" s="385"/>
      <c r="U2478" s="385" t="s">
        <v>672</v>
      </c>
      <c r="V2478" s="385"/>
      <c r="W2478" s="385" t="s">
        <v>1436</v>
      </c>
      <c r="X2478" s="1"/>
    </row>
    <row r="2479" spans="1:24">
      <c r="A2479" s="385" t="s">
        <v>51</v>
      </c>
      <c r="B2479" s="385" t="s">
        <v>532</v>
      </c>
      <c r="C2479" s="385" t="s">
        <v>3622</v>
      </c>
      <c r="D2479" s="385" t="s">
        <v>88</v>
      </c>
      <c r="E2479" s="385" t="s">
        <v>145</v>
      </c>
      <c r="F2479" s="385"/>
      <c r="G2479" s="385" t="s">
        <v>133</v>
      </c>
      <c r="H2479" s="385"/>
      <c r="I2479" s="385"/>
      <c r="J2479" s="30"/>
      <c r="K2479" s="385"/>
      <c r="L2479" s="385"/>
      <c r="M2479" s="385"/>
      <c r="N2479" s="385"/>
      <c r="O2479" s="385"/>
      <c r="P2479" s="385" t="str">
        <f>IFERROR(
    IF(
        OR(ISBLANK(I2479), ISBLANK(L2479)),
        "",
        MAX(
            1,
            IF(
                NETWORKDAYS(I2479, L2479, Holiday_Dates) &lt;= 0,
                1,
                NETWORKDAYS(I2479, L2479, Holiday_Dates) - IF(I2479 = L2479, 0, 1)
            )
        )
    ),
    ""
)</f>
        <v/>
      </c>
      <c r="Q2479" s="385" t="str">
        <f>IF(
    OR(ISBLANK(L2479), ISBLANK(M2479)),
    "",
    MAX(
        1,
        IF(
            NETWORKDAYS(L2479, M2479, Holiday_Dates) &lt;= 0,
            1,
            NETWORKDAYS(L2479, M2479, Holiday_Dates) - IF(L2479 = M2479, 0, 1)
        )
    )
)</f>
        <v/>
      </c>
      <c r="R2479" s="385" t="str">
        <f>IFERROR(
    IF(
        OR(ISBLANK(N2479), AND(ISBLANK(L2479), ISBLANK(M2479))),
        "",
        MAX(
            1,
            IF(
                NETWORKDAYS(IF(NOT(ISBLANK(M2479)), M2479, L2479), N2479, Holiday_Dates) &lt;= 0,
                1,
                NETWORKDAYS(IF(NOT(ISBLANK(M2479)), M2479, L2479), N2479, Holiday_Dates)
                - IF(IF(NOT(ISBLANK(M2479)), M2479, L2479) = N2479, 0, 1)
            )
        )
    ),
    ""
)</f>
        <v/>
      </c>
      <c r="S2479" s="385" t="str">
        <f>IFERROR(
    IF(
        OR(ISBLANK(N2479), ISBLANK(O2479)),
        "",
        MAX(
            1,
            IF(
                NETWORKDAYS(N2479, O2479, Holiday_Dates) &lt;= 0,
                1,
                NETWORKDAYS(N2479, O2479, Holiday_Dates) - IF(N2479 = O2479, 0, 1)
            )
        )
    ),
    ""
)</f>
        <v/>
      </c>
      <c r="T2479" s="385"/>
      <c r="U2479" s="385"/>
      <c r="V2479" s="385"/>
      <c r="W2479" s="385" t="s">
        <v>4710</v>
      </c>
      <c r="X2479" s="1"/>
    </row>
    <row r="2480" spans="1:24">
      <c r="A2480" s="385" t="s">
        <v>51</v>
      </c>
      <c r="B2480" s="385" t="s">
        <v>532</v>
      </c>
      <c r="C2480" s="385" t="s">
        <v>3666</v>
      </c>
      <c r="D2480" s="385" t="s">
        <v>88</v>
      </c>
      <c r="E2480" s="385" t="s">
        <v>145</v>
      </c>
      <c r="F2480" s="385"/>
      <c r="G2480" s="385" t="s">
        <v>133</v>
      </c>
      <c r="H2480" s="385"/>
      <c r="I2480" s="385"/>
      <c r="J2480" s="30"/>
      <c r="K2480" s="385"/>
      <c r="L2480" s="385"/>
      <c r="M2480" s="385"/>
      <c r="N2480" s="385"/>
      <c r="O2480" s="385"/>
      <c r="P2480" s="385" t="str">
        <f>IFERROR(
    IF(
        OR(ISBLANK(I2480), ISBLANK(L2480)),
        "",
        MAX(
            1,
            IF(
                NETWORKDAYS(I2480, L2480, Holiday_Dates) &lt;= 0,
                1,
                NETWORKDAYS(I2480, L2480, Holiday_Dates) - IF(I2480 = L2480, 0, 1)
            )
        )
    ),
    ""
)</f>
        <v/>
      </c>
      <c r="Q2480" s="385" t="str">
        <f>IF(
    OR(ISBLANK(L2480), ISBLANK(M2480)),
    "",
    MAX(
        1,
        IF(
            NETWORKDAYS(L2480, M2480, Holiday_Dates) &lt;= 0,
            1,
            NETWORKDAYS(L2480, M2480, Holiday_Dates) - IF(L2480 = M2480, 0, 1)
        )
    )
)</f>
        <v/>
      </c>
      <c r="R2480" s="385" t="str">
        <f>IFERROR(
    IF(
        OR(ISBLANK(N2480), AND(ISBLANK(L2480), ISBLANK(M2480))),
        "",
        MAX(
            1,
            IF(
                NETWORKDAYS(IF(NOT(ISBLANK(M2480)), M2480, L2480), N2480, Holiday_Dates) &lt;= 0,
                1,
                NETWORKDAYS(IF(NOT(ISBLANK(M2480)), M2480, L2480), N2480, Holiday_Dates)
                - IF(IF(NOT(ISBLANK(M2480)), M2480, L2480) = N2480, 0, 1)
            )
        )
    ),
    ""
)</f>
        <v/>
      </c>
      <c r="S2480" s="385" t="str">
        <f>IFERROR(
    IF(
        OR(ISBLANK(N2480), ISBLANK(O2480)),
        "",
        MAX(
            1,
            IF(
                NETWORKDAYS(N2480, O2480, Holiday_Dates) &lt;= 0,
                1,
                NETWORKDAYS(N2480, O2480, Holiday_Dates) - IF(N2480 = O2480, 0, 1)
            )
        )
    ),
    ""
)</f>
        <v/>
      </c>
      <c r="T2480" s="385"/>
      <c r="U2480" s="385"/>
      <c r="V2480" s="385"/>
      <c r="W2480" s="385" t="s">
        <v>4710</v>
      </c>
      <c r="X2480" s="1"/>
    </row>
    <row r="2481" spans="1:24">
      <c r="A2481" s="385" t="s">
        <v>51</v>
      </c>
      <c r="B2481" s="385" t="s">
        <v>532</v>
      </c>
      <c r="C2481" s="385" t="s">
        <v>2342</v>
      </c>
      <c r="D2481" s="385" t="s">
        <v>88</v>
      </c>
      <c r="E2481" s="385" t="s">
        <v>145</v>
      </c>
      <c r="F2481" s="385"/>
      <c r="G2481" s="385" t="s">
        <v>133</v>
      </c>
      <c r="H2481" s="385"/>
      <c r="I2481" s="385"/>
      <c r="J2481" s="30"/>
      <c r="K2481" s="385"/>
      <c r="L2481" s="385"/>
      <c r="M2481" s="385"/>
      <c r="N2481" s="385"/>
      <c r="O2481" s="385"/>
      <c r="P2481" s="385" t="str">
        <f>IFERROR(
    IF(
        OR(ISBLANK(I2481), ISBLANK(L2481)),
        "",
        MAX(
            1,
            IF(
                NETWORKDAYS(I2481, L2481, Holiday_Dates) &lt;= 0,
                1,
                NETWORKDAYS(I2481, L2481, Holiday_Dates) - IF(I2481 = L2481, 0, 1)
            )
        )
    ),
    ""
)</f>
        <v/>
      </c>
      <c r="Q2481" s="385" t="str">
        <f>IF(
    OR(ISBLANK(L2481), ISBLANK(M2481)),
    "",
    MAX(
        1,
        IF(
            NETWORKDAYS(L2481, M2481, Holiday_Dates) &lt;= 0,
            1,
            NETWORKDAYS(L2481, M2481, Holiday_Dates) - IF(L2481 = M2481, 0, 1)
        )
    )
)</f>
        <v/>
      </c>
      <c r="R2481" s="385" t="str">
        <f>IFERROR(
    IF(
        OR(ISBLANK(N2481), AND(ISBLANK(L2481), ISBLANK(M2481))),
        "",
        MAX(
            1,
            IF(
                NETWORKDAYS(IF(NOT(ISBLANK(M2481)), M2481, L2481), N2481, Holiday_Dates) &lt;= 0,
                1,
                NETWORKDAYS(IF(NOT(ISBLANK(M2481)), M2481, L2481), N2481, Holiday_Dates)
                - IF(IF(NOT(ISBLANK(M2481)), M2481, L2481) = N2481, 0, 1)
            )
        )
    ),
    ""
)</f>
        <v/>
      </c>
      <c r="S2481" s="385" t="str">
        <f>IFERROR(
    IF(
        OR(ISBLANK(N2481), ISBLANK(O2481)),
        "",
        MAX(
            1,
            IF(
                NETWORKDAYS(N2481, O2481, Holiday_Dates) &lt;= 0,
                1,
                NETWORKDAYS(N2481, O2481, Holiday_Dates) - IF(N2481 = O2481, 0, 1)
            )
        )
    ),
    ""
)</f>
        <v/>
      </c>
      <c r="T2481" s="385"/>
      <c r="U2481" s="385"/>
      <c r="V2481" s="385"/>
      <c r="W2481" s="385" t="s">
        <v>4710</v>
      </c>
      <c r="X2481" s="1"/>
    </row>
    <row r="2482" spans="1:24">
      <c r="A2482" s="385" t="s">
        <v>51</v>
      </c>
      <c r="B2482" s="385" t="s">
        <v>532</v>
      </c>
      <c r="C2482" s="385" t="s">
        <v>714</v>
      </c>
      <c r="D2482" s="385" t="s">
        <v>88</v>
      </c>
      <c r="E2482" s="385" t="s">
        <v>145</v>
      </c>
      <c r="F2482" s="385"/>
      <c r="G2482" s="385" t="s">
        <v>133</v>
      </c>
      <c r="H2482" s="385"/>
      <c r="I2482" s="385"/>
      <c r="J2482" s="30"/>
      <c r="K2482" s="385"/>
      <c r="L2482" s="385"/>
      <c r="M2482" s="385"/>
      <c r="N2482" s="385"/>
      <c r="O2482" s="385"/>
      <c r="P2482" s="385" t="str">
        <f>IFERROR(
    IF(
        OR(ISBLANK(I2482), ISBLANK(L2482)),
        "",
        MAX(
            1,
            IF(
                NETWORKDAYS(I2482, L2482, Holiday_Dates) &lt;= 0,
                1,
                NETWORKDAYS(I2482, L2482, Holiday_Dates) - IF(I2482 = L2482, 0, 1)
            )
        )
    ),
    ""
)</f>
        <v/>
      </c>
      <c r="Q2482" s="385" t="str">
        <f>IF(
    OR(ISBLANK(L2482), ISBLANK(M2482)),
    "",
    MAX(
        1,
        IF(
            NETWORKDAYS(L2482, M2482, Holiday_Dates) &lt;= 0,
            1,
            NETWORKDAYS(L2482, M2482, Holiday_Dates) - IF(L2482 = M2482, 0, 1)
        )
    )
)</f>
        <v/>
      </c>
      <c r="R2482" s="385" t="str">
        <f>IFERROR(
    IF(
        OR(ISBLANK(N2482), AND(ISBLANK(L2482), ISBLANK(M2482))),
        "",
        MAX(
            1,
            IF(
                NETWORKDAYS(IF(NOT(ISBLANK(M2482)), M2482, L2482), N2482, Holiday_Dates) &lt;= 0,
                1,
                NETWORKDAYS(IF(NOT(ISBLANK(M2482)), M2482, L2482), N2482, Holiday_Dates)
                - IF(IF(NOT(ISBLANK(M2482)), M2482, L2482) = N2482, 0, 1)
            )
        )
    ),
    ""
)</f>
        <v/>
      </c>
      <c r="S2482" s="385" t="str">
        <f>IFERROR(
    IF(
        OR(ISBLANK(N2482), ISBLANK(O2482)),
        "",
        MAX(
            1,
            IF(
                NETWORKDAYS(N2482, O2482, Holiday_Dates) &lt;= 0,
                1,
                NETWORKDAYS(N2482, O2482, Holiday_Dates) - IF(N2482 = O2482, 0, 1)
            )
        )
    ),
    ""
)</f>
        <v/>
      </c>
      <c r="T2482" s="385"/>
      <c r="U2482" s="385"/>
      <c r="V2482" s="385"/>
      <c r="W2482" s="385" t="s">
        <v>4710</v>
      </c>
      <c r="X2482" s="1"/>
    </row>
    <row r="2483" spans="1:24">
      <c r="A2483" s="385" t="s">
        <v>52</v>
      </c>
      <c r="B2483" s="385" t="s">
        <v>250</v>
      </c>
      <c r="C2483" s="385" t="s">
        <v>3990</v>
      </c>
      <c r="D2483" s="385" t="s">
        <v>88</v>
      </c>
      <c r="E2483" s="385"/>
      <c r="F2483" s="385"/>
      <c r="G2483" s="385"/>
      <c r="H2483" s="385">
        <v>2024</v>
      </c>
      <c r="I2483" s="386">
        <v>45475</v>
      </c>
      <c r="J2483" s="30"/>
      <c r="K2483" s="385"/>
      <c r="L2483" s="385"/>
      <c r="M2483" s="385"/>
      <c r="N2483" s="385"/>
      <c r="O2483" s="385"/>
      <c r="P2483" s="385" t="str">
        <f>IFERROR(
    IF(
        OR(ISBLANK(I2483), ISBLANK(L2483)),
        "",
        MAX(
            1,
            IF(
                NETWORKDAYS(I2483, L2483, Holiday_Dates) &lt;= 0,
                1,
                NETWORKDAYS(I2483, L2483, Holiday_Dates) - IF(I2483 = L2483, 0, 1)
            )
        )
    ),
    ""
)</f>
        <v/>
      </c>
      <c r="Q2483" s="385" t="str">
        <f>IF(
    OR(ISBLANK(L2483), ISBLANK(M2483)),
    "",
    MAX(
        1,
        IF(
            NETWORKDAYS(L2483, M2483, Holiday_Dates) &lt;= 0,
            1,
            NETWORKDAYS(L2483, M2483, Holiday_Dates) - IF(L2483 = M2483, 0, 1)
        )
    )
)</f>
        <v/>
      </c>
      <c r="R2483" s="385" t="str">
        <f>IFERROR(
    IF(
        OR(ISBLANK(N2483), AND(ISBLANK(L2483), ISBLANK(M2483))),
        "",
        MAX(
            1,
            IF(
                NETWORKDAYS(IF(NOT(ISBLANK(M2483)), M2483, L2483), N2483, Holiday_Dates) &lt;= 0,
                1,
                NETWORKDAYS(IF(NOT(ISBLANK(M2483)), M2483, L2483), N2483, Holiday_Dates)
                - IF(IF(NOT(ISBLANK(M2483)), M2483, L2483) = N2483, 0, 1)
            )
        )
    ),
    ""
)</f>
        <v/>
      </c>
      <c r="S2483" s="385" t="str">
        <f>IFERROR(
    IF(
        OR(ISBLANK(N2483), ISBLANK(O2483)),
        "",
        MAX(
            1,
            IF(
                NETWORKDAYS(N2483, O2483, Holiday_Dates) &lt;= 0,
                1,
                NETWORKDAYS(N2483, O2483, Holiday_Dates) - IF(N2483 = O2483, 0, 1)
            )
        )
    ),
    ""
)</f>
        <v/>
      </c>
      <c r="T2483" s="385"/>
      <c r="U2483" s="385" t="s">
        <v>4</v>
      </c>
      <c r="V2483" s="385" t="s">
        <v>101</v>
      </c>
      <c r="W2483" s="385" t="s">
        <v>1436</v>
      </c>
      <c r="X2483" s="1"/>
    </row>
    <row r="2484" spans="1:24">
      <c r="A2484" s="385" t="s">
        <v>52</v>
      </c>
      <c r="B2484" s="385" t="s">
        <v>250</v>
      </c>
      <c r="C2484" s="385" t="s">
        <v>2342</v>
      </c>
      <c r="D2484" s="385" t="s">
        <v>88</v>
      </c>
      <c r="E2484" s="385"/>
      <c r="F2484" s="385"/>
      <c r="G2484" s="385"/>
      <c r="H2484" s="385">
        <v>2024</v>
      </c>
      <c r="I2484" s="386">
        <v>45541</v>
      </c>
      <c r="J2484" s="30"/>
      <c r="K2484" s="385"/>
      <c r="L2484" s="385"/>
      <c r="M2484" s="385"/>
      <c r="N2484" s="385"/>
      <c r="O2484" s="385"/>
      <c r="P2484" s="385" t="str">
        <f>IFERROR(
    IF(
        OR(ISBLANK(I2484), ISBLANK(L2484)),
        "",
        MAX(
            1,
            IF(
                NETWORKDAYS(I2484, L2484, Holiday_Dates) &lt;= 0,
                1,
                NETWORKDAYS(I2484, L2484, Holiday_Dates) - IF(I2484 = L2484, 0, 1)
            )
        )
    ),
    ""
)</f>
        <v/>
      </c>
      <c r="Q2484" s="385" t="str">
        <f>IF(
    OR(ISBLANK(L2484), ISBLANK(M2484)),
    "",
    MAX(
        1,
        IF(
            NETWORKDAYS(L2484, M2484, Holiday_Dates) &lt;= 0,
            1,
            NETWORKDAYS(L2484, M2484, Holiday_Dates) - IF(L2484 = M2484, 0, 1)
        )
    )
)</f>
        <v/>
      </c>
      <c r="R2484" s="385" t="str">
        <f>IFERROR(
    IF(
        OR(ISBLANK(N2484), AND(ISBLANK(L2484), ISBLANK(M2484))),
        "",
        MAX(
            1,
            IF(
                NETWORKDAYS(IF(NOT(ISBLANK(M2484)), M2484, L2484), N2484, Holiday_Dates) &lt;= 0,
                1,
                NETWORKDAYS(IF(NOT(ISBLANK(M2484)), M2484, L2484), N2484, Holiday_Dates)
                - IF(IF(NOT(ISBLANK(M2484)), M2484, L2484) = N2484, 0, 1)
            )
        )
    ),
    ""
)</f>
        <v/>
      </c>
      <c r="S2484" s="385" t="str">
        <f>IFERROR(
    IF(
        OR(ISBLANK(N2484), ISBLANK(O2484)),
        "",
        MAX(
            1,
            IF(
                NETWORKDAYS(N2484, O2484, Holiday_Dates) &lt;= 0,
                1,
                NETWORKDAYS(N2484, O2484, Holiday_Dates) - IF(N2484 = O2484, 0, 1)
            )
        )
    ),
    ""
)</f>
        <v/>
      </c>
      <c r="T2484" s="385"/>
      <c r="U2484" s="385" t="s">
        <v>4</v>
      </c>
      <c r="V2484" s="385" t="s">
        <v>101</v>
      </c>
      <c r="W2484" s="385" t="s">
        <v>1436</v>
      </c>
      <c r="X2484" s="1"/>
    </row>
    <row r="2485" spans="1:24">
      <c r="A2485" s="385" t="s">
        <v>52</v>
      </c>
      <c r="B2485" s="385" t="s">
        <v>250</v>
      </c>
      <c r="C2485" s="385" t="s">
        <v>714</v>
      </c>
      <c r="D2485" s="385" t="s">
        <v>88</v>
      </c>
      <c r="E2485" s="385"/>
      <c r="F2485" s="385"/>
      <c r="G2485" s="385"/>
      <c r="H2485" s="385">
        <v>2024</v>
      </c>
      <c r="I2485" s="386">
        <v>45604</v>
      </c>
      <c r="J2485" s="30"/>
      <c r="K2485" s="385"/>
      <c r="L2485" s="385"/>
      <c r="M2485" s="385"/>
      <c r="N2485" s="385"/>
      <c r="O2485" s="385"/>
      <c r="P2485" s="385" t="str">
        <f>IFERROR(
    IF(
        OR(ISBLANK(I2485), ISBLANK(L2485)),
        "",
        MAX(
            1,
            IF(
                NETWORKDAYS(I2485, L2485, Holiday_Dates) &lt;= 0,
                1,
                NETWORKDAYS(I2485, L2485, Holiday_Dates) - IF(I2485 = L2485, 0, 1)
            )
        )
    ),
    ""
)</f>
        <v/>
      </c>
      <c r="Q2485" s="385" t="str">
        <f>IF(
    OR(ISBLANK(L2485), ISBLANK(M2485)),
    "",
    MAX(
        1,
        IF(
            NETWORKDAYS(L2485, M2485, Holiday_Dates) &lt;= 0,
            1,
            NETWORKDAYS(L2485, M2485, Holiday_Dates) - IF(L2485 = M2485, 0, 1)
        )
    )
)</f>
        <v/>
      </c>
      <c r="R2485" s="385" t="str">
        <f>IFERROR(
    IF(
        OR(ISBLANK(N2485), AND(ISBLANK(L2485), ISBLANK(M2485))),
        "",
        MAX(
            1,
            IF(
                NETWORKDAYS(IF(NOT(ISBLANK(M2485)), M2485, L2485), N2485, Holiday_Dates) &lt;= 0,
                1,
                NETWORKDAYS(IF(NOT(ISBLANK(M2485)), M2485, L2485), N2485, Holiday_Dates)
                - IF(IF(NOT(ISBLANK(M2485)), M2485, L2485) = N2485, 0, 1)
            )
        )
    ),
    ""
)</f>
        <v/>
      </c>
      <c r="S2485" s="385" t="str">
        <f>IFERROR(
    IF(
        OR(ISBLANK(N2485), ISBLANK(O2485)),
        "",
        MAX(
            1,
            IF(
                NETWORKDAYS(N2485, O2485, Holiday_Dates) &lt;= 0,
                1,
                NETWORKDAYS(N2485, O2485, Holiday_Dates) - IF(N2485 = O2485, 0, 1)
            )
        )
    ),
    ""
)</f>
        <v/>
      </c>
      <c r="T2485" s="385"/>
      <c r="U2485" s="385" t="s">
        <v>4</v>
      </c>
      <c r="V2485" s="385" t="s">
        <v>101</v>
      </c>
      <c r="W2485" s="385" t="s">
        <v>1436</v>
      </c>
      <c r="X2485" s="1"/>
    </row>
    <row r="2486" spans="1:24">
      <c r="A2486" s="385" t="s">
        <v>51</v>
      </c>
      <c r="B2486" s="385" t="s">
        <v>532</v>
      </c>
      <c r="C2486" s="385" t="s">
        <v>2276</v>
      </c>
      <c r="D2486" s="385" t="s">
        <v>88</v>
      </c>
      <c r="E2486" s="385" t="s">
        <v>145</v>
      </c>
      <c r="F2486" s="385"/>
      <c r="G2486" s="385" t="s">
        <v>133</v>
      </c>
      <c r="H2486" s="385"/>
      <c r="I2486" s="385"/>
      <c r="J2486" s="30"/>
      <c r="K2486" s="385"/>
      <c r="L2486" s="385"/>
      <c r="M2486" s="385"/>
      <c r="N2486" s="385"/>
      <c r="O2486" s="385"/>
      <c r="P2486" s="385" t="str">
        <f>IFERROR(
    IF(
        OR(ISBLANK(I2486), ISBLANK(L2486)),
        "",
        MAX(
            1,
            IF(
                NETWORKDAYS(I2486, L2486, Holiday_Dates) &lt;= 0,
                1,
                NETWORKDAYS(I2486, L2486, Holiday_Dates) - IF(I2486 = L2486, 0, 1)
            )
        )
    ),
    ""
)</f>
        <v/>
      </c>
      <c r="Q2486" s="385" t="str">
        <f>IF(
    OR(ISBLANK(L2486), ISBLANK(M2486)),
    "",
    MAX(
        1,
        IF(
            NETWORKDAYS(L2486, M2486, Holiday_Dates) &lt;= 0,
            1,
            NETWORKDAYS(L2486, M2486, Holiday_Dates) - IF(L2486 = M2486, 0, 1)
        )
    )
)</f>
        <v/>
      </c>
      <c r="R2486" s="385" t="str">
        <f>IFERROR(
    IF(
        OR(ISBLANK(N2486), AND(ISBLANK(L2486), ISBLANK(M2486))),
        "",
        MAX(
            1,
            IF(
                NETWORKDAYS(IF(NOT(ISBLANK(M2486)), M2486, L2486), N2486, Holiday_Dates) &lt;= 0,
                1,
                NETWORKDAYS(IF(NOT(ISBLANK(M2486)), M2486, L2486), N2486, Holiday_Dates)
                - IF(IF(NOT(ISBLANK(M2486)), M2486, L2486) = N2486, 0, 1)
            )
        )
    ),
    ""
)</f>
        <v/>
      </c>
      <c r="S2486" s="385" t="str">
        <f>IFERROR(
    IF(
        OR(ISBLANK(N2486), ISBLANK(O2486)),
        "",
        MAX(
            1,
            IF(
                NETWORKDAYS(N2486, O2486, Holiday_Dates) &lt;= 0,
                1,
                NETWORKDAYS(N2486, O2486, Holiday_Dates) - IF(N2486 = O2486, 0, 1)
            )
        )
    ),
    ""
)</f>
        <v/>
      </c>
      <c r="T2486" s="385"/>
      <c r="U2486" s="385"/>
      <c r="V2486" s="385"/>
      <c r="W2486" s="385" t="s">
        <v>4710</v>
      </c>
      <c r="X2486" s="1"/>
    </row>
    <row r="2487" spans="1:24">
      <c r="A2487" s="385" t="s">
        <v>52</v>
      </c>
      <c r="B2487" s="385" t="s">
        <v>250</v>
      </c>
      <c r="C2487" s="385" t="s">
        <v>2276</v>
      </c>
      <c r="D2487" s="385" t="s">
        <v>88</v>
      </c>
      <c r="E2487" s="385"/>
      <c r="F2487" s="385"/>
      <c r="G2487" s="385"/>
      <c r="H2487" s="385">
        <v>2024</v>
      </c>
      <c r="I2487" s="386">
        <v>45414</v>
      </c>
      <c r="J2487" s="30"/>
      <c r="K2487" s="385"/>
      <c r="L2487" s="385"/>
      <c r="M2487" s="385"/>
      <c r="N2487" s="385"/>
      <c r="O2487" s="385"/>
      <c r="P2487" s="385" t="str">
        <f>IFERROR(
    IF(
        OR(ISBLANK(I2487), ISBLANK(L2487)),
        "",
        MAX(
            1,
            IF(
                NETWORKDAYS(I2487, L2487, Holiday_Dates) &lt;= 0,
                1,
                NETWORKDAYS(I2487, L2487, Holiday_Dates) - IF(I2487 = L2487, 0, 1)
            )
        )
    ),
    ""
)</f>
        <v/>
      </c>
      <c r="Q2487" s="385" t="str">
        <f>IF(
    OR(ISBLANK(L2487), ISBLANK(M2487)),
    "",
    MAX(
        1,
        IF(
            NETWORKDAYS(L2487, M2487, Holiday_Dates) &lt;= 0,
            1,
            NETWORKDAYS(L2487, M2487, Holiday_Dates) - IF(L2487 = M2487, 0, 1)
        )
    )
)</f>
        <v/>
      </c>
      <c r="R2487" s="385" t="str">
        <f>IFERROR(
    IF(
        OR(ISBLANK(N2487), AND(ISBLANK(L2487), ISBLANK(M2487))),
        "",
        MAX(
            1,
            IF(
                NETWORKDAYS(IF(NOT(ISBLANK(M2487)), M2487, L2487), N2487, Holiday_Dates) &lt;= 0,
                1,
                NETWORKDAYS(IF(NOT(ISBLANK(M2487)), M2487, L2487), N2487, Holiday_Dates)
                - IF(IF(NOT(ISBLANK(M2487)), M2487, L2487) = N2487, 0, 1)
            )
        )
    ),
    ""
)</f>
        <v/>
      </c>
      <c r="S2487" s="385" t="str">
        <f>IFERROR(
    IF(
        OR(ISBLANK(N2487), ISBLANK(O2487)),
        "",
        MAX(
            1,
            IF(
                NETWORKDAYS(N2487, O2487, Holiday_Dates) &lt;= 0,
                1,
                NETWORKDAYS(N2487, O2487, Holiday_Dates) - IF(N2487 = O2487, 0, 1)
            )
        )
    ),
    ""
)</f>
        <v/>
      </c>
      <c r="T2487" s="385"/>
      <c r="U2487" s="385" t="s">
        <v>672</v>
      </c>
      <c r="V2487" s="385"/>
      <c r="W2487" s="385" t="s">
        <v>1436</v>
      </c>
      <c r="X2487" s="1"/>
    </row>
    <row r="2488" spans="1:24">
      <c r="A2488" s="385" t="s">
        <v>51</v>
      </c>
      <c r="B2488" s="385" t="s">
        <v>532</v>
      </c>
      <c r="C2488" s="385" t="s">
        <v>3667</v>
      </c>
      <c r="D2488" s="385" t="s">
        <v>88</v>
      </c>
      <c r="E2488" s="385" t="s">
        <v>145</v>
      </c>
      <c r="F2488" s="385"/>
      <c r="G2488" s="385" t="s">
        <v>133</v>
      </c>
      <c r="H2488" s="385"/>
      <c r="I2488" s="385"/>
      <c r="J2488" s="30"/>
      <c r="K2488" s="385"/>
      <c r="L2488" s="385"/>
      <c r="M2488" s="385"/>
      <c r="N2488" s="385"/>
      <c r="O2488" s="385"/>
      <c r="P2488" s="385" t="str">
        <f>IFERROR(
    IF(
        OR(ISBLANK(I2488), ISBLANK(L2488)),
        "",
        MAX(
            1,
            IF(
                NETWORKDAYS(I2488, L2488, Holiday_Dates) &lt;= 0,
                1,
                NETWORKDAYS(I2488, L2488, Holiday_Dates) - IF(I2488 = L2488, 0, 1)
            )
        )
    ),
    ""
)</f>
        <v/>
      </c>
      <c r="Q2488" s="385" t="str">
        <f>IF(
    OR(ISBLANK(L2488), ISBLANK(M2488)),
    "",
    MAX(
        1,
        IF(
            NETWORKDAYS(L2488, M2488, Holiday_Dates) &lt;= 0,
            1,
            NETWORKDAYS(L2488, M2488, Holiday_Dates) - IF(L2488 = M2488, 0, 1)
        )
    )
)</f>
        <v/>
      </c>
      <c r="R2488" s="385" t="str">
        <f>IFERROR(
    IF(
        OR(ISBLANK(N2488), AND(ISBLANK(L2488), ISBLANK(M2488))),
        "",
        MAX(
            1,
            IF(
                NETWORKDAYS(IF(NOT(ISBLANK(M2488)), M2488, L2488), N2488, Holiday_Dates) &lt;= 0,
                1,
                NETWORKDAYS(IF(NOT(ISBLANK(M2488)), M2488, L2488), N2488, Holiday_Dates)
                - IF(IF(NOT(ISBLANK(M2488)), M2488, L2488) = N2488, 0, 1)
            )
        )
    ),
    ""
)</f>
        <v/>
      </c>
      <c r="S2488" s="385" t="str">
        <f>IFERROR(
    IF(
        OR(ISBLANK(N2488), ISBLANK(O2488)),
        "",
        MAX(
            1,
            IF(
                NETWORKDAYS(N2488, O2488, Holiday_Dates) &lt;= 0,
                1,
                NETWORKDAYS(N2488, O2488, Holiday_Dates) - IF(N2488 = O2488, 0, 1)
            )
        )
    ),
    ""
)</f>
        <v/>
      </c>
      <c r="T2488" s="385"/>
      <c r="U2488" s="385"/>
      <c r="V2488" s="385"/>
      <c r="W2488" s="385" t="s">
        <v>4710</v>
      </c>
      <c r="X2488" s="1"/>
    </row>
    <row r="2489" spans="1:24">
      <c r="A2489" s="385" t="s">
        <v>52</v>
      </c>
      <c r="B2489" s="385" t="s">
        <v>250</v>
      </c>
      <c r="C2489" s="385" t="s">
        <v>2278</v>
      </c>
      <c r="D2489" s="385" t="s">
        <v>88</v>
      </c>
      <c r="E2489" s="385"/>
      <c r="F2489" s="385"/>
      <c r="G2489" s="385"/>
      <c r="H2489" s="385">
        <v>2024</v>
      </c>
      <c r="I2489" s="386">
        <v>45510</v>
      </c>
      <c r="J2489" s="30"/>
      <c r="K2489" s="385"/>
      <c r="L2489" s="385"/>
      <c r="M2489" s="385"/>
      <c r="N2489" s="385"/>
      <c r="O2489" s="385"/>
      <c r="P2489" s="385" t="str">
        <f>IFERROR(
    IF(
        OR(ISBLANK(I2489), ISBLANK(L2489)),
        "",
        MAX(
            1,
            IF(
                NETWORKDAYS(I2489, L2489, Holiday_Dates) &lt;= 0,
                1,
                NETWORKDAYS(I2489, L2489, Holiday_Dates) - IF(I2489 = L2489, 0, 1)
            )
        )
    ),
    ""
)</f>
        <v/>
      </c>
      <c r="Q2489" s="385" t="str">
        <f>IF(
    OR(ISBLANK(L2489), ISBLANK(M2489)),
    "",
    MAX(
        1,
        IF(
            NETWORKDAYS(L2489, M2489, Holiday_Dates) &lt;= 0,
            1,
            NETWORKDAYS(L2489, M2489, Holiday_Dates) - IF(L2489 = M2489, 0, 1)
        )
    )
)</f>
        <v/>
      </c>
      <c r="R2489" s="385" t="str">
        <f>IFERROR(
    IF(
        OR(ISBLANK(N2489), AND(ISBLANK(L2489), ISBLANK(M2489))),
        "",
        MAX(
            1,
            IF(
                NETWORKDAYS(IF(NOT(ISBLANK(M2489)), M2489, L2489), N2489, Holiday_Dates) &lt;= 0,
                1,
                NETWORKDAYS(IF(NOT(ISBLANK(M2489)), M2489, L2489), N2489, Holiday_Dates)
                - IF(IF(NOT(ISBLANK(M2489)), M2489, L2489) = N2489, 0, 1)
            )
        )
    ),
    ""
)</f>
        <v/>
      </c>
      <c r="S2489" s="385" t="str">
        <f>IFERROR(
    IF(
        OR(ISBLANK(N2489), ISBLANK(O2489)),
        "",
        MAX(
            1,
            IF(
                NETWORKDAYS(N2489, O2489, Holiday_Dates) &lt;= 0,
                1,
                NETWORKDAYS(N2489, O2489, Holiday_Dates) - IF(N2489 = O2489, 0, 1)
            )
        )
    ),
    ""
)</f>
        <v/>
      </c>
      <c r="T2489" s="385"/>
      <c r="U2489" s="385" t="s">
        <v>4</v>
      </c>
      <c r="V2489" s="385" t="s">
        <v>101</v>
      </c>
      <c r="W2489" s="385" t="s">
        <v>1436</v>
      </c>
      <c r="X2489" s="1"/>
    </row>
    <row r="2490" spans="1:24">
      <c r="A2490" s="385" t="s">
        <v>52</v>
      </c>
      <c r="B2490" s="385" t="s">
        <v>250</v>
      </c>
      <c r="C2490" s="385" t="s">
        <v>764</v>
      </c>
      <c r="D2490" s="385" t="s">
        <v>88</v>
      </c>
      <c r="E2490" s="385"/>
      <c r="F2490" s="385"/>
      <c r="G2490" s="385"/>
      <c r="H2490" s="385">
        <v>2024</v>
      </c>
      <c r="I2490" s="386">
        <v>45576</v>
      </c>
      <c r="J2490" s="30"/>
      <c r="K2490" s="385"/>
      <c r="L2490" s="385"/>
      <c r="M2490" s="385"/>
      <c r="N2490" s="385"/>
      <c r="O2490" s="385"/>
      <c r="P2490" s="385" t="str">
        <f>IFERROR(
    IF(
        OR(ISBLANK(I2490), ISBLANK(L2490)),
        "",
        MAX(
            1,
            IF(
                NETWORKDAYS(I2490, L2490, Holiday_Dates) &lt;= 0,
                1,
                NETWORKDAYS(I2490, L2490, Holiday_Dates) - IF(I2490 = L2490, 0, 1)
            )
        )
    ),
    ""
)</f>
        <v/>
      </c>
      <c r="Q2490" s="385" t="str">
        <f>IF(
    OR(ISBLANK(L2490), ISBLANK(M2490)),
    "",
    MAX(
        1,
        IF(
            NETWORKDAYS(L2490, M2490, Holiday_Dates) &lt;= 0,
            1,
            NETWORKDAYS(L2490, M2490, Holiday_Dates) - IF(L2490 = M2490, 0, 1)
        )
    )
)</f>
        <v/>
      </c>
      <c r="R2490" s="385" t="str">
        <f>IFERROR(
    IF(
        OR(ISBLANK(N2490), AND(ISBLANK(L2490), ISBLANK(M2490))),
        "",
        MAX(
            1,
            IF(
                NETWORKDAYS(IF(NOT(ISBLANK(M2490)), M2490, L2490), N2490, Holiday_Dates) &lt;= 0,
                1,
                NETWORKDAYS(IF(NOT(ISBLANK(M2490)), M2490, L2490), N2490, Holiday_Dates)
                - IF(IF(NOT(ISBLANK(M2490)), M2490, L2490) = N2490, 0, 1)
            )
        )
    ),
    ""
)</f>
        <v/>
      </c>
      <c r="S2490" s="385" t="str">
        <f>IFERROR(
    IF(
        OR(ISBLANK(N2490), ISBLANK(O2490)),
        "",
        MAX(
            1,
            IF(
                NETWORKDAYS(N2490, O2490, Holiday_Dates) &lt;= 0,
                1,
                NETWORKDAYS(N2490, O2490, Holiday_Dates) - IF(N2490 = O2490, 0, 1)
            )
        )
    ),
    ""
)</f>
        <v/>
      </c>
      <c r="T2490" s="385"/>
      <c r="U2490" s="385" t="s">
        <v>4</v>
      </c>
      <c r="V2490" s="385" t="s">
        <v>101</v>
      </c>
      <c r="W2490" s="385" t="s">
        <v>1436</v>
      </c>
      <c r="X2490" s="1"/>
    </row>
    <row r="2491" spans="1:24">
      <c r="A2491" s="385" t="s">
        <v>51</v>
      </c>
      <c r="B2491" s="385" t="s">
        <v>532</v>
      </c>
      <c r="C2491" s="385" t="s">
        <v>554</v>
      </c>
      <c r="D2491" s="385" t="s">
        <v>88</v>
      </c>
      <c r="E2491" s="385" t="s">
        <v>145</v>
      </c>
      <c r="F2491" s="385"/>
      <c r="G2491" s="385" t="s">
        <v>133</v>
      </c>
      <c r="H2491" s="385"/>
      <c r="I2491" s="385"/>
      <c r="J2491" s="30"/>
      <c r="K2491" s="385"/>
      <c r="L2491" s="385"/>
      <c r="M2491" s="385"/>
      <c r="N2491" s="385"/>
      <c r="O2491" s="385"/>
      <c r="P2491" s="385" t="str">
        <f>IFERROR(
    IF(
        OR(ISBLANK(I2491), ISBLANK(L2491)),
        "",
        MAX(
            1,
            IF(
                NETWORKDAYS(I2491, L2491, Holiday_Dates) &lt;= 0,
                1,
                NETWORKDAYS(I2491, L2491, Holiday_Dates) - IF(I2491 = L2491, 0, 1)
            )
        )
    ),
    ""
)</f>
        <v/>
      </c>
      <c r="Q2491" s="385" t="str">
        <f>IF(
    OR(ISBLANK(L2491), ISBLANK(M2491)),
    "",
    MAX(
        1,
        IF(
            NETWORKDAYS(L2491, M2491, Holiday_Dates) &lt;= 0,
            1,
            NETWORKDAYS(L2491, M2491, Holiday_Dates) - IF(L2491 = M2491, 0, 1)
        )
    )
)</f>
        <v/>
      </c>
      <c r="R2491" s="385" t="str">
        <f>IFERROR(
    IF(
        OR(ISBLANK(N2491), AND(ISBLANK(L2491), ISBLANK(M2491))),
        "",
        MAX(
            1,
            IF(
                NETWORKDAYS(IF(NOT(ISBLANK(M2491)), M2491, L2491), N2491, Holiday_Dates) &lt;= 0,
                1,
                NETWORKDAYS(IF(NOT(ISBLANK(M2491)), M2491, L2491), N2491, Holiday_Dates)
                - IF(IF(NOT(ISBLANK(M2491)), M2491, L2491) = N2491, 0, 1)
            )
        )
    ),
    ""
)</f>
        <v/>
      </c>
      <c r="S2491" s="385" t="str">
        <f>IFERROR(
    IF(
        OR(ISBLANK(N2491), ISBLANK(O2491)),
        "",
        MAX(
            1,
            IF(
                NETWORKDAYS(N2491, O2491, Holiday_Dates) &lt;= 0,
                1,
                NETWORKDAYS(N2491, O2491, Holiday_Dates) - IF(N2491 = O2491, 0, 1)
            )
        )
    ),
    ""
)</f>
        <v/>
      </c>
      <c r="T2491" s="385"/>
      <c r="U2491" s="385"/>
      <c r="V2491" s="385"/>
      <c r="W2491" s="385" t="s">
        <v>4710</v>
      </c>
      <c r="X2491" s="1"/>
    </row>
    <row r="2492" spans="1:24">
      <c r="A2492" s="385" t="s">
        <v>51</v>
      </c>
      <c r="B2492" s="385" t="s">
        <v>532</v>
      </c>
      <c r="C2492" s="385" t="s">
        <v>3684</v>
      </c>
      <c r="D2492" s="385" t="s">
        <v>88</v>
      </c>
      <c r="E2492" s="385" t="s">
        <v>145</v>
      </c>
      <c r="F2492" s="385"/>
      <c r="G2492" s="385" t="s">
        <v>133</v>
      </c>
      <c r="H2492" s="385"/>
      <c r="I2492" s="385"/>
      <c r="J2492" s="30"/>
      <c r="K2492" s="385"/>
      <c r="L2492" s="385"/>
      <c r="M2492" s="385"/>
      <c r="N2492" s="385"/>
      <c r="O2492" s="385"/>
      <c r="P2492" s="385" t="str">
        <f>IFERROR(
    IF(
        OR(ISBLANK(I2492), ISBLANK(L2492)),
        "",
        MAX(
            1,
            IF(
                NETWORKDAYS(I2492, L2492, Holiday_Dates) &lt;= 0,
                1,
                NETWORKDAYS(I2492, L2492, Holiday_Dates) - IF(I2492 = L2492, 0, 1)
            )
        )
    ),
    ""
)</f>
        <v/>
      </c>
      <c r="Q2492" s="385" t="str">
        <f>IF(
    OR(ISBLANK(L2492), ISBLANK(M2492)),
    "",
    MAX(
        1,
        IF(
            NETWORKDAYS(L2492, M2492, Holiday_Dates) &lt;= 0,
            1,
            NETWORKDAYS(L2492, M2492, Holiday_Dates) - IF(L2492 = M2492, 0, 1)
        )
    )
)</f>
        <v/>
      </c>
      <c r="R2492" s="385" t="str">
        <f>IFERROR(
    IF(
        OR(ISBLANK(N2492), AND(ISBLANK(L2492), ISBLANK(M2492))),
        "",
        MAX(
            1,
            IF(
                NETWORKDAYS(IF(NOT(ISBLANK(M2492)), M2492, L2492), N2492, Holiday_Dates) &lt;= 0,
                1,
                NETWORKDAYS(IF(NOT(ISBLANK(M2492)), M2492, L2492), N2492, Holiday_Dates)
                - IF(IF(NOT(ISBLANK(M2492)), M2492, L2492) = N2492, 0, 1)
            )
        )
    ),
    ""
)</f>
        <v/>
      </c>
      <c r="S2492" s="385" t="str">
        <f>IFERROR(
    IF(
        OR(ISBLANK(N2492), ISBLANK(O2492)),
        "",
        MAX(
            1,
            IF(
                NETWORKDAYS(N2492, O2492, Holiday_Dates) &lt;= 0,
                1,
                NETWORKDAYS(N2492, O2492, Holiday_Dates) - IF(N2492 = O2492, 0, 1)
            )
        )
    ),
    ""
)</f>
        <v/>
      </c>
      <c r="T2492" s="385"/>
      <c r="U2492" s="385"/>
      <c r="V2492" s="385"/>
      <c r="W2492" s="385" t="s">
        <v>4710</v>
      </c>
      <c r="X2492" s="1"/>
    </row>
    <row r="2493" spans="1:24">
      <c r="A2493" s="385" t="s">
        <v>51</v>
      </c>
      <c r="B2493" s="385" t="s">
        <v>532</v>
      </c>
      <c r="C2493" s="385" t="s">
        <v>380</v>
      </c>
      <c r="D2493" s="385" t="s">
        <v>88</v>
      </c>
      <c r="E2493" s="385" t="s">
        <v>145</v>
      </c>
      <c r="F2493" s="385"/>
      <c r="G2493" s="385" t="s">
        <v>133</v>
      </c>
      <c r="H2493" s="385"/>
      <c r="I2493" s="385"/>
      <c r="J2493" s="30"/>
      <c r="K2493" s="385"/>
      <c r="L2493" s="385"/>
      <c r="M2493" s="385"/>
      <c r="N2493" s="385"/>
      <c r="O2493" s="385"/>
      <c r="P2493" s="385" t="str">
        <f>IFERROR(
    IF(
        OR(ISBLANK(I2493), ISBLANK(L2493)),
        "",
        MAX(
            1,
            IF(
                NETWORKDAYS(I2493, L2493, Holiday_Dates) &lt;= 0,
                1,
                NETWORKDAYS(I2493, L2493, Holiday_Dates) - IF(I2493 = L2493, 0, 1)
            )
        )
    ),
    ""
)</f>
        <v/>
      </c>
      <c r="Q2493" s="385" t="str">
        <f>IF(
    OR(ISBLANK(L2493), ISBLANK(M2493)),
    "",
    MAX(
        1,
        IF(
            NETWORKDAYS(L2493, M2493, Holiday_Dates) &lt;= 0,
            1,
            NETWORKDAYS(L2493, M2493, Holiday_Dates) - IF(L2493 = M2493, 0, 1)
        )
    )
)</f>
        <v/>
      </c>
      <c r="R2493" s="385" t="str">
        <f>IFERROR(
    IF(
        OR(ISBLANK(N2493), AND(ISBLANK(L2493), ISBLANK(M2493))),
        "",
        MAX(
            1,
            IF(
                NETWORKDAYS(IF(NOT(ISBLANK(M2493)), M2493, L2493), N2493, Holiday_Dates) &lt;= 0,
                1,
                NETWORKDAYS(IF(NOT(ISBLANK(M2493)), M2493, L2493), N2493, Holiday_Dates)
                - IF(IF(NOT(ISBLANK(M2493)), M2493, L2493) = N2493, 0, 1)
            )
        )
    ),
    ""
)</f>
        <v/>
      </c>
      <c r="S2493" s="385" t="str">
        <f>IFERROR(
    IF(
        OR(ISBLANK(N2493), ISBLANK(O2493)),
        "",
        MAX(
            1,
            IF(
                NETWORKDAYS(N2493, O2493, Holiday_Dates) &lt;= 0,
                1,
                NETWORKDAYS(N2493, O2493, Holiday_Dates) - IF(N2493 = O2493, 0, 1)
            )
        )
    ),
    ""
)</f>
        <v/>
      </c>
      <c r="T2493" s="385"/>
      <c r="U2493" s="385"/>
      <c r="V2493" s="385"/>
      <c r="W2493" s="385" t="s">
        <v>4710</v>
      </c>
      <c r="X2493" s="1"/>
    </row>
    <row r="2494" spans="1:24">
      <c r="A2494" s="385" t="s">
        <v>51</v>
      </c>
      <c r="B2494" s="385" t="s">
        <v>532</v>
      </c>
      <c r="C2494" s="385" t="s">
        <v>539</v>
      </c>
      <c r="D2494" s="385" t="s">
        <v>88</v>
      </c>
      <c r="E2494" s="385" t="s">
        <v>145</v>
      </c>
      <c r="F2494" s="385"/>
      <c r="G2494" s="385" t="s">
        <v>133</v>
      </c>
      <c r="H2494" s="385"/>
      <c r="I2494" s="385"/>
      <c r="J2494" s="30"/>
      <c r="K2494" s="385"/>
      <c r="L2494" s="385"/>
      <c r="M2494" s="385"/>
      <c r="N2494" s="385"/>
      <c r="O2494" s="385"/>
      <c r="P2494" s="385" t="str">
        <f>IFERROR(
    IF(
        OR(ISBLANK(I2494), ISBLANK(L2494)),
        "",
        MAX(
            1,
            IF(
                NETWORKDAYS(I2494, L2494, Holiday_Dates) &lt;= 0,
                1,
                NETWORKDAYS(I2494, L2494, Holiday_Dates) - IF(I2494 = L2494, 0, 1)
            )
        )
    ),
    ""
)</f>
        <v/>
      </c>
      <c r="Q2494" s="385" t="str">
        <f>IF(
    OR(ISBLANK(L2494), ISBLANK(M2494)),
    "",
    MAX(
        1,
        IF(
            NETWORKDAYS(L2494, M2494, Holiday_Dates) &lt;= 0,
            1,
            NETWORKDAYS(L2494, M2494, Holiday_Dates) - IF(L2494 = M2494, 0, 1)
        )
    )
)</f>
        <v/>
      </c>
      <c r="R2494" s="385" t="str">
        <f>IFERROR(
    IF(
        OR(ISBLANK(N2494), AND(ISBLANK(L2494), ISBLANK(M2494))),
        "",
        MAX(
            1,
            IF(
                NETWORKDAYS(IF(NOT(ISBLANK(M2494)), M2494, L2494), N2494, Holiday_Dates) &lt;= 0,
                1,
                NETWORKDAYS(IF(NOT(ISBLANK(M2494)), M2494, L2494), N2494, Holiday_Dates)
                - IF(IF(NOT(ISBLANK(M2494)), M2494, L2494) = N2494, 0, 1)
            )
        )
    ),
    ""
)</f>
        <v/>
      </c>
      <c r="S2494" s="385" t="str">
        <f>IFERROR(
    IF(
        OR(ISBLANK(N2494), ISBLANK(O2494)),
        "",
        MAX(
            1,
            IF(
                NETWORKDAYS(N2494, O2494, Holiday_Dates) &lt;= 0,
                1,
                NETWORKDAYS(N2494, O2494, Holiday_Dates) - IF(N2494 = O2494, 0, 1)
            )
        )
    ),
    ""
)</f>
        <v/>
      </c>
      <c r="T2494" s="385"/>
      <c r="U2494" s="385"/>
      <c r="V2494" s="385"/>
      <c r="W2494" s="385" t="s">
        <v>4710</v>
      </c>
      <c r="X2494" s="1"/>
    </row>
    <row r="2495" spans="1:24">
      <c r="A2495" s="385" t="s">
        <v>52</v>
      </c>
      <c r="B2495" s="385" t="s">
        <v>250</v>
      </c>
      <c r="C2495" s="385" t="s">
        <v>554</v>
      </c>
      <c r="D2495" s="385" t="s">
        <v>88</v>
      </c>
      <c r="E2495" s="385"/>
      <c r="F2495" s="385"/>
      <c r="G2495" s="385"/>
      <c r="H2495" s="385">
        <v>2024</v>
      </c>
      <c r="I2495" s="386">
        <v>45454</v>
      </c>
      <c r="J2495" s="30"/>
      <c r="K2495" s="385"/>
      <c r="L2495" s="385"/>
      <c r="M2495" s="385"/>
      <c r="N2495" s="385"/>
      <c r="O2495" s="385"/>
      <c r="P2495" s="385" t="str">
        <f>IFERROR(
    IF(
        OR(ISBLANK(I2495), ISBLANK(L2495)),
        "",
        MAX(
            1,
            IF(
                NETWORKDAYS(I2495, L2495, Holiday_Dates) &lt;= 0,
                1,
                NETWORKDAYS(I2495, L2495, Holiday_Dates) - IF(I2495 = L2495, 0, 1)
            )
        )
    ),
    ""
)</f>
        <v/>
      </c>
      <c r="Q2495" s="385" t="str">
        <f>IF(
    OR(ISBLANK(L2495), ISBLANK(M2495)),
    "",
    MAX(
        1,
        IF(
            NETWORKDAYS(L2495, M2495, Holiday_Dates) &lt;= 0,
            1,
            NETWORKDAYS(L2495, M2495, Holiday_Dates) - IF(L2495 = M2495, 0, 1)
        )
    )
)</f>
        <v/>
      </c>
      <c r="R2495" s="385" t="str">
        <f>IFERROR(
    IF(
        OR(ISBLANK(N2495), AND(ISBLANK(L2495), ISBLANK(M2495))),
        "",
        MAX(
            1,
            IF(
                NETWORKDAYS(IF(NOT(ISBLANK(M2495)), M2495, L2495), N2495, Holiday_Dates) &lt;= 0,
                1,
                NETWORKDAYS(IF(NOT(ISBLANK(M2495)), M2495, L2495), N2495, Holiday_Dates)
                - IF(IF(NOT(ISBLANK(M2495)), M2495, L2495) = N2495, 0, 1)
            )
        )
    ),
    ""
)</f>
        <v/>
      </c>
      <c r="S2495" s="385" t="str">
        <f>IFERROR(
    IF(
        OR(ISBLANK(N2495), ISBLANK(O2495)),
        "",
        MAX(
            1,
            IF(
                NETWORKDAYS(N2495, O2495, Holiday_Dates) &lt;= 0,
                1,
                NETWORKDAYS(N2495, O2495, Holiday_Dates) - IF(N2495 = O2495, 0, 1)
            )
        )
    ),
    ""
)</f>
        <v/>
      </c>
      <c r="T2495" s="385"/>
      <c r="U2495" s="385" t="s">
        <v>4</v>
      </c>
      <c r="V2495" s="385" t="s">
        <v>101</v>
      </c>
      <c r="W2495" s="385" t="s">
        <v>1436</v>
      </c>
      <c r="X2495" s="1"/>
    </row>
    <row r="2496" spans="1:24">
      <c r="A2496" s="385" t="s">
        <v>52</v>
      </c>
      <c r="B2496" s="385" t="s">
        <v>250</v>
      </c>
      <c r="C2496" s="385" t="s">
        <v>380</v>
      </c>
      <c r="D2496" s="385" t="s">
        <v>88</v>
      </c>
      <c r="E2496" s="385"/>
      <c r="F2496" s="385"/>
      <c r="G2496" s="385"/>
      <c r="H2496" s="385">
        <v>2024</v>
      </c>
      <c r="I2496" s="386">
        <v>45496</v>
      </c>
      <c r="J2496" s="30"/>
      <c r="K2496" s="385"/>
      <c r="L2496" s="385"/>
      <c r="M2496" s="385"/>
      <c r="N2496" s="385"/>
      <c r="O2496" s="385"/>
      <c r="P2496" s="385" t="str">
        <f>IFERROR(
    IF(
        OR(ISBLANK(I2496), ISBLANK(L2496)),
        "",
        MAX(
            1,
            IF(
                NETWORKDAYS(I2496, L2496, Holiday_Dates) &lt;= 0,
                1,
                NETWORKDAYS(I2496, L2496, Holiday_Dates) - IF(I2496 = L2496, 0, 1)
            )
        )
    ),
    ""
)</f>
        <v/>
      </c>
      <c r="Q2496" s="385" t="str">
        <f>IF(
    OR(ISBLANK(L2496), ISBLANK(M2496)),
    "",
    MAX(
        1,
        IF(
            NETWORKDAYS(L2496, M2496, Holiday_Dates) &lt;= 0,
            1,
            NETWORKDAYS(L2496, M2496, Holiday_Dates) - IF(L2496 = M2496, 0, 1)
        )
    )
)</f>
        <v/>
      </c>
      <c r="R2496" s="385" t="str">
        <f>IFERROR(
    IF(
        OR(ISBLANK(N2496), AND(ISBLANK(L2496), ISBLANK(M2496))),
        "",
        MAX(
            1,
            IF(
                NETWORKDAYS(IF(NOT(ISBLANK(M2496)), M2496, L2496), N2496, Holiday_Dates) &lt;= 0,
                1,
                NETWORKDAYS(IF(NOT(ISBLANK(M2496)), M2496, L2496), N2496, Holiday_Dates)
                - IF(IF(NOT(ISBLANK(M2496)), M2496, L2496) = N2496, 0, 1)
            )
        )
    ),
    ""
)</f>
        <v/>
      </c>
      <c r="S2496" s="385" t="str">
        <f>IFERROR(
    IF(
        OR(ISBLANK(N2496), ISBLANK(O2496)),
        "",
        MAX(
            1,
            IF(
                NETWORKDAYS(N2496, O2496, Holiday_Dates) &lt;= 0,
                1,
                NETWORKDAYS(N2496, O2496, Holiday_Dates) - IF(N2496 = O2496, 0, 1)
            )
        )
    ),
    ""
)</f>
        <v/>
      </c>
      <c r="T2496" s="385"/>
      <c r="U2496" s="385" t="s">
        <v>4</v>
      </c>
      <c r="V2496" s="385" t="s">
        <v>101</v>
      </c>
      <c r="W2496" s="385" t="s">
        <v>1436</v>
      </c>
      <c r="X2496" s="1"/>
    </row>
    <row r="2497" spans="1:24">
      <c r="A2497" s="385" t="s">
        <v>52</v>
      </c>
      <c r="B2497" s="385" t="s">
        <v>250</v>
      </c>
      <c r="C2497" s="385" t="s">
        <v>2345</v>
      </c>
      <c r="D2497" s="385" t="s">
        <v>88</v>
      </c>
      <c r="E2497" s="385"/>
      <c r="F2497" s="385"/>
      <c r="G2497" s="385"/>
      <c r="H2497" s="385">
        <v>2024</v>
      </c>
      <c r="I2497" s="386">
        <v>45454</v>
      </c>
      <c r="J2497" s="30"/>
      <c r="K2497" s="385"/>
      <c r="L2497" s="385"/>
      <c r="M2497" s="385"/>
      <c r="N2497" s="385"/>
      <c r="O2497" s="385"/>
      <c r="P2497" s="385" t="str">
        <f>IFERROR(
    IF(
        OR(ISBLANK(I2497), ISBLANK(L2497)),
        "",
        MAX(
            1,
            IF(
                NETWORKDAYS(I2497, L2497, Holiday_Dates) &lt;= 0,
                1,
                NETWORKDAYS(I2497, L2497, Holiday_Dates) - IF(I2497 = L2497, 0, 1)
            )
        )
    ),
    ""
)</f>
        <v/>
      </c>
      <c r="Q2497" s="385" t="str">
        <f>IF(
    OR(ISBLANK(L2497), ISBLANK(M2497)),
    "",
    MAX(
        1,
        IF(
            NETWORKDAYS(L2497, M2497, Holiday_Dates) &lt;= 0,
            1,
            NETWORKDAYS(L2497, M2497, Holiday_Dates) - IF(L2497 = M2497, 0, 1)
        )
    )
)</f>
        <v/>
      </c>
      <c r="R2497" s="385" t="str">
        <f>IFERROR(
    IF(
        OR(ISBLANK(N2497), AND(ISBLANK(L2497), ISBLANK(M2497))),
        "",
        MAX(
            1,
            IF(
                NETWORKDAYS(IF(NOT(ISBLANK(M2497)), M2497, L2497), N2497, Holiday_Dates) &lt;= 0,
                1,
                NETWORKDAYS(IF(NOT(ISBLANK(M2497)), M2497, L2497), N2497, Holiday_Dates)
                - IF(IF(NOT(ISBLANK(M2497)), M2497, L2497) = N2497, 0, 1)
            )
        )
    ),
    ""
)</f>
        <v/>
      </c>
      <c r="S2497" s="385" t="str">
        <f>IFERROR(
    IF(
        OR(ISBLANK(N2497), ISBLANK(O2497)),
        "",
        MAX(
            1,
            IF(
                NETWORKDAYS(N2497, O2497, Holiday_Dates) &lt;= 0,
                1,
                NETWORKDAYS(N2497, O2497, Holiday_Dates) - IF(N2497 = O2497, 0, 1)
            )
        )
    ),
    ""
)</f>
        <v/>
      </c>
      <c r="T2497" s="385"/>
      <c r="U2497" s="385" t="s">
        <v>4</v>
      </c>
      <c r="V2497" s="385" t="s">
        <v>101</v>
      </c>
      <c r="W2497" s="385" t="s">
        <v>1436</v>
      </c>
      <c r="X2497" s="1"/>
    </row>
    <row r="2498" spans="1:24">
      <c r="A2498" s="385" t="s">
        <v>52</v>
      </c>
      <c r="B2498" s="385" t="s">
        <v>250</v>
      </c>
      <c r="C2498" s="385" t="s">
        <v>539</v>
      </c>
      <c r="D2498" s="385" t="s">
        <v>88</v>
      </c>
      <c r="E2498" s="385"/>
      <c r="F2498" s="385"/>
      <c r="G2498" s="385"/>
      <c r="H2498" s="385">
        <v>2024</v>
      </c>
      <c r="I2498" s="386">
        <v>45496</v>
      </c>
      <c r="J2498" s="30"/>
      <c r="K2498" s="385"/>
      <c r="L2498" s="385"/>
      <c r="M2498" s="385"/>
      <c r="N2498" s="385"/>
      <c r="O2498" s="385"/>
      <c r="P2498" s="385" t="str">
        <f>IFERROR(
    IF(
        OR(ISBLANK(I2498), ISBLANK(L2498)),
        "",
        MAX(
            1,
            IF(
                NETWORKDAYS(I2498, L2498, Holiday_Dates) &lt;= 0,
                1,
                NETWORKDAYS(I2498, L2498, Holiday_Dates) - IF(I2498 = L2498, 0, 1)
            )
        )
    ),
    ""
)</f>
        <v/>
      </c>
      <c r="Q2498" s="385" t="str">
        <f>IF(
    OR(ISBLANK(L2498), ISBLANK(M2498)),
    "",
    MAX(
        1,
        IF(
            NETWORKDAYS(L2498, M2498, Holiday_Dates) &lt;= 0,
            1,
            NETWORKDAYS(L2498, M2498, Holiday_Dates) - IF(L2498 = M2498, 0, 1)
        )
    )
)</f>
        <v/>
      </c>
      <c r="R2498" s="385" t="str">
        <f>IFERROR(
    IF(
        OR(ISBLANK(N2498), AND(ISBLANK(L2498), ISBLANK(M2498))),
        "",
        MAX(
            1,
            IF(
                NETWORKDAYS(IF(NOT(ISBLANK(M2498)), M2498, L2498), N2498, Holiday_Dates) &lt;= 0,
                1,
                NETWORKDAYS(IF(NOT(ISBLANK(M2498)), M2498, L2498), N2498, Holiday_Dates)
                - IF(IF(NOT(ISBLANK(M2498)), M2498, L2498) = N2498, 0, 1)
            )
        )
    ),
    ""
)</f>
        <v/>
      </c>
      <c r="S2498" s="385" t="str">
        <f>IFERROR(
    IF(
        OR(ISBLANK(N2498), ISBLANK(O2498)),
        "",
        MAX(
            1,
            IF(
                NETWORKDAYS(N2498, O2498, Holiday_Dates) &lt;= 0,
                1,
                NETWORKDAYS(N2498, O2498, Holiday_Dates) - IF(N2498 = O2498, 0, 1)
            )
        )
    ),
    ""
)</f>
        <v/>
      </c>
      <c r="T2498" s="385"/>
      <c r="U2498" s="385" t="s">
        <v>4</v>
      </c>
      <c r="V2498" s="385" t="s">
        <v>101</v>
      </c>
      <c r="W2498" s="385" t="s">
        <v>1436</v>
      </c>
      <c r="X2498" s="1"/>
    </row>
    <row r="2499" spans="1:24">
      <c r="A2499" s="385" t="s">
        <v>52</v>
      </c>
      <c r="B2499" s="385" t="s">
        <v>250</v>
      </c>
      <c r="C2499" s="385" t="s">
        <v>524</v>
      </c>
      <c r="D2499" s="385" t="s">
        <v>88</v>
      </c>
      <c r="E2499" s="385"/>
      <c r="F2499" s="385"/>
      <c r="G2499" s="385"/>
      <c r="H2499" s="385">
        <v>2024</v>
      </c>
      <c r="I2499" s="386">
        <v>45510</v>
      </c>
      <c r="J2499" s="30"/>
      <c r="K2499" s="385"/>
      <c r="L2499" s="385"/>
      <c r="M2499" s="385"/>
      <c r="N2499" s="385"/>
      <c r="O2499" s="385"/>
      <c r="P2499" s="385" t="str">
        <f>IFERROR(
    IF(
        OR(ISBLANK(I2499), ISBLANK(L2499)),
        "",
        MAX(
            1,
            IF(
                NETWORKDAYS(I2499, L2499, Holiday_Dates) &lt;= 0,
                1,
                NETWORKDAYS(I2499, L2499, Holiday_Dates) - IF(I2499 = L2499, 0, 1)
            )
        )
    ),
    ""
)</f>
        <v/>
      </c>
      <c r="Q2499" s="385" t="str">
        <f>IF(
    OR(ISBLANK(L2499), ISBLANK(M2499)),
    "",
    MAX(
        1,
        IF(
            NETWORKDAYS(L2499, M2499, Holiday_Dates) &lt;= 0,
            1,
            NETWORKDAYS(L2499, M2499, Holiday_Dates) - IF(L2499 = M2499, 0, 1)
        )
    )
)</f>
        <v/>
      </c>
      <c r="R2499" s="385" t="str">
        <f>IFERROR(
    IF(
        OR(ISBLANK(N2499), AND(ISBLANK(L2499), ISBLANK(M2499))),
        "",
        MAX(
            1,
            IF(
                NETWORKDAYS(IF(NOT(ISBLANK(M2499)), M2499, L2499), N2499, Holiday_Dates) &lt;= 0,
                1,
                NETWORKDAYS(IF(NOT(ISBLANK(M2499)), M2499, L2499), N2499, Holiday_Dates)
                - IF(IF(NOT(ISBLANK(M2499)), M2499, L2499) = N2499, 0, 1)
            )
        )
    ),
    ""
)</f>
        <v/>
      </c>
      <c r="S2499" s="385" t="str">
        <f>IFERROR(
    IF(
        OR(ISBLANK(N2499), ISBLANK(O2499)),
        "",
        MAX(
            1,
            IF(
                NETWORKDAYS(N2499, O2499, Holiday_Dates) &lt;= 0,
                1,
                NETWORKDAYS(N2499, O2499, Holiday_Dates) - IF(N2499 = O2499, 0, 1)
            )
        )
    ),
    ""
)</f>
        <v/>
      </c>
      <c r="T2499" s="385"/>
      <c r="U2499" s="385" t="s">
        <v>4</v>
      </c>
      <c r="V2499" s="385" t="s">
        <v>101</v>
      </c>
      <c r="W2499" s="385" t="s">
        <v>1436</v>
      </c>
      <c r="X2499" s="1"/>
    </row>
    <row r="2500" spans="1:24">
      <c r="A2500" s="385" t="s">
        <v>52</v>
      </c>
      <c r="B2500" s="385" t="s">
        <v>250</v>
      </c>
      <c r="C2500" s="385" t="s">
        <v>1020</v>
      </c>
      <c r="D2500" s="385" t="s">
        <v>88</v>
      </c>
      <c r="E2500" s="385"/>
      <c r="F2500" s="385"/>
      <c r="G2500" s="385"/>
      <c r="H2500" s="385">
        <v>2024</v>
      </c>
      <c r="I2500" s="386">
        <v>45576</v>
      </c>
      <c r="J2500" s="30"/>
      <c r="K2500" s="385"/>
      <c r="L2500" s="385"/>
      <c r="M2500" s="385"/>
      <c r="N2500" s="385"/>
      <c r="O2500" s="385"/>
      <c r="P2500" s="385" t="str">
        <f>IFERROR(
    IF(
        OR(ISBLANK(I2500), ISBLANK(L2500)),
        "",
        MAX(
            1,
            IF(
                NETWORKDAYS(I2500, L2500, Holiday_Dates) &lt;= 0,
                1,
                NETWORKDAYS(I2500, L2500, Holiday_Dates) - IF(I2500 = L2500, 0, 1)
            )
        )
    ),
    ""
)</f>
        <v/>
      </c>
      <c r="Q2500" s="385" t="str">
        <f>IF(
    OR(ISBLANK(L2500), ISBLANK(M2500)),
    "",
    MAX(
        1,
        IF(
            NETWORKDAYS(L2500, M2500, Holiday_Dates) &lt;= 0,
            1,
            NETWORKDAYS(L2500, M2500, Holiday_Dates) - IF(L2500 = M2500, 0, 1)
        )
    )
)</f>
        <v/>
      </c>
      <c r="R2500" s="385" t="str">
        <f>IFERROR(
    IF(
        OR(ISBLANK(N2500), AND(ISBLANK(L2500), ISBLANK(M2500))),
        "",
        MAX(
            1,
            IF(
                NETWORKDAYS(IF(NOT(ISBLANK(M2500)), M2500, L2500), N2500, Holiday_Dates) &lt;= 0,
                1,
                NETWORKDAYS(IF(NOT(ISBLANK(M2500)), M2500, L2500), N2500, Holiday_Dates)
                - IF(IF(NOT(ISBLANK(M2500)), M2500, L2500) = N2500, 0, 1)
            )
        )
    ),
    ""
)</f>
        <v/>
      </c>
      <c r="S2500" s="385" t="str">
        <f>IFERROR(
    IF(
        OR(ISBLANK(N2500), ISBLANK(O2500)),
        "",
        MAX(
            1,
            IF(
                NETWORKDAYS(N2500, O2500, Holiday_Dates) &lt;= 0,
                1,
                NETWORKDAYS(N2500, O2500, Holiday_Dates) - IF(N2500 = O2500, 0, 1)
            )
        )
    ),
    ""
)</f>
        <v/>
      </c>
      <c r="T2500" s="385"/>
      <c r="U2500" s="385" t="s">
        <v>4</v>
      </c>
      <c r="V2500" s="385" t="s">
        <v>101</v>
      </c>
      <c r="W2500" s="385" t="s">
        <v>1436</v>
      </c>
      <c r="X2500" s="1"/>
    </row>
    <row r="2501" spans="1:24">
      <c r="A2501" s="385" t="s">
        <v>51</v>
      </c>
      <c r="B2501" s="385" t="s">
        <v>532</v>
      </c>
      <c r="C2501" s="385" t="s">
        <v>2236</v>
      </c>
      <c r="D2501" s="385" t="s">
        <v>88</v>
      </c>
      <c r="E2501" s="385" t="s">
        <v>145</v>
      </c>
      <c r="F2501" s="385"/>
      <c r="G2501" s="385" t="s">
        <v>133</v>
      </c>
      <c r="H2501" s="385"/>
      <c r="I2501" s="385"/>
      <c r="J2501" s="30"/>
      <c r="K2501" s="385"/>
      <c r="L2501" s="385"/>
      <c r="M2501" s="385"/>
      <c r="N2501" s="385"/>
      <c r="O2501" s="385"/>
      <c r="P2501" s="385" t="str">
        <f>IFERROR(
    IF(
        OR(ISBLANK(I2501), ISBLANK(L2501)),
        "",
        MAX(
            1,
            IF(
                NETWORKDAYS(I2501, L2501, Holiday_Dates) &lt;= 0,
                1,
                NETWORKDAYS(I2501, L2501, Holiday_Dates) - IF(I2501 = L2501, 0, 1)
            )
        )
    ),
    ""
)</f>
        <v/>
      </c>
      <c r="Q2501" s="385" t="str">
        <f>IF(
    OR(ISBLANK(L2501), ISBLANK(M2501)),
    "",
    MAX(
        1,
        IF(
            NETWORKDAYS(L2501, M2501, Holiday_Dates) &lt;= 0,
            1,
            NETWORKDAYS(L2501, M2501, Holiday_Dates) - IF(L2501 = M2501, 0, 1)
        )
    )
)</f>
        <v/>
      </c>
      <c r="R2501" s="385" t="str">
        <f>IFERROR(
    IF(
        OR(ISBLANK(N2501), AND(ISBLANK(L2501), ISBLANK(M2501))),
        "",
        MAX(
            1,
            IF(
                NETWORKDAYS(IF(NOT(ISBLANK(M2501)), M2501, L2501), N2501, Holiday_Dates) &lt;= 0,
                1,
                NETWORKDAYS(IF(NOT(ISBLANK(M2501)), M2501, L2501), N2501, Holiday_Dates)
                - IF(IF(NOT(ISBLANK(M2501)), M2501, L2501) = N2501, 0, 1)
            )
        )
    ),
    ""
)</f>
        <v/>
      </c>
      <c r="S2501" s="385" t="str">
        <f>IFERROR(
    IF(
        OR(ISBLANK(N2501), ISBLANK(O2501)),
        "",
        MAX(
            1,
            IF(
                NETWORKDAYS(N2501, O2501, Holiday_Dates) &lt;= 0,
                1,
                NETWORKDAYS(N2501, O2501, Holiday_Dates) - IF(N2501 = O2501, 0, 1)
            )
        )
    ),
    ""
)</f>
        <v/>
      </c>
      <c r="T2501" s="385"/>
      <c r="U2501" s="385"/>
      <c r="V2501" s="385"/>
      <c r="W2501" s="385" t="s">
        <v>4710</v>
      </c>
      <c r="X2501" s="1"/>
    </row>
    <row r="2502" spans="1:24">
      <c r="A2502" s="385" t="s">
        <v>52</v>
      </c>
      <c r="B2502" s="385" t="s">
        <v>250</v>
      </c>
      <c r="C2502" s="385" t="s">
        <v>1879</v>
      </c>
      <c r="D2502" s="385" t="s">
        <v>88</v>
      </c>
      <c r="E2502" s="385"/>
      <c r="F2502" s="385"/>
      <c r="G2502" s="385"/>
      <c r="H2502" s="385">
        <v>2025</v>
      </c>
      <c r="I2502" s="386">
        <v>45825</v>
      </c>
      <c r="J2502" s="30" t="s">
        <v>5626</v>
      </c>
      <c r="K2502" s="385"/>
      <c r="L2502" s="385"/>
      <c r="M2502" s="385"/>
      <c r="N2502" s="385"/>
      <c r="O2502" s="385"/>
      <c r="P2502" s="385" t="str">
        <f>IFERROR(
    IF(
        OR(ISBLANK(I2502), ISBLANK(L2502)),
        "",
        MAX(
            1,
            IF(
                NETWORKDAYS(I2502, L2502, Holiday_Dates) &lt;= 0,
                1,
                NETWORKDAYS(I2502, L2502, Holiday_Dates) - IF(I2502 = L2502, 0, 1)
            )
        )
    ),
    ""
)</f>
        <v/>
      </c>
      <c r="Q2502" s="385" t="str">
        <f>IF(
    OR(ISBLANK(L2502), ISBLANK(M2502)),
    "",
    MAX(
        1,
        IF(
            NETWORKDAYS(L2502, M2502, Holiday_Dates) &lt;= 0,
            1,
            NETWORKDAYS(L2502, M2502, Holiday_Dates) - IF(L2502 = M2502, 0, 1)
        )
    )
)</f>
        <v/>
      </c>
      <c r="R2502" s="385" t="str">
        <f>IFERROR(
    IF(
        OR(ISBLANK(N2502), AND(ISBLANK(L2502), ISBLANK(M2502))),
        "",
        MAX(
            1,
            IF(
                NETWORKDAYS(IF(NOT(ISBLANK(M2502)), M2502, L2502), N2502, Holiday_Dates) &lt;= 0,
                1,
                NETWORKDAYS(IF(NOT(ISBLANK(M2502)), M2502, L2502), N2502, Holiday_Dates)
                - IF(IF(NOT(ISBLANK(M2502)), M2502, L2502) = N2502, 0, 1)
            )
        )
    ),
    ""
)</f>
        <v/>
      </c>
      <c r="S2502" s="385" t="str">
        <f>IFERROR(
    IF(
        OR(ISBLANK(N2502), ISBLANK(O2502)),
        "",
        MAX(
            1,
            IF(
                NETWORKDAYS(N2502, O2502, Holiday_Dates) &lt;= 0,
                1,
                NETWORKDAYS(N2502, O2502, Holiday_Dates) - IF(N2502 = O2502, 0, 1)
            )
        )
    ),
    ""
)</f>
        <v/>
      </c>
      <c r="T2502" s="385"/>
      <c r="U2502" s="385" t="s">
        <v>4</v>
      </c>
      <c r="V2502" s="385" t="s">
        <v>101</v>
      </c>
      <c r="W2502" s="385" t="s">
        <v>1436</v>
      </c>
      <c r="X2502" s="1"/>
    </row>
    <row r="2503" spans="1:24">
      <c r="A2503" s="385" t="s">
        <v>52</v>
      </c>
      <c r="B2503" s="385" t="s">
        <v>250</v>
      </c>
      <c r="C2503" s="385" t="s">
        <v>2347</v>
      </c>
      <c r="D2503" s="385" t="s">
        <v>88</v>
      </c>
      <c r="E2503" s="385"/>
      <c r="F2503" s="385"/>
      <c r="G2503" s="385"/>
      <c r="H2503" s="385">
        <v>2024</v>
      </c>
      <c r="I2503" s="386">
        <v>45476</v>
      </c>
      <c r="J2503" s="30"/>
      <c r="K2503" s="385"/>
      <c r="L2503" s="385"/>
      <c r="M2503" s="385"/>
      <c r="N2503" s="385"/>
      <c r="O2503" s="385"/>
      <c r="P2503" s="385" t="str">
        <f>IFERROR(
    IF(
        OR(ISBLANK(I2503), ISBLANK(L2503)),
        "",
        MAX(
            1,
            IF(
                NETWORKDAYS(I2503, L2503, Holiday_Dates) &lt;= 0,
                1,
                NETWORKDAYS(I2503, L2503, Holiday_Dates) - IF(I2503 = L2503, 0, 1)
            )
        )
    ),
    ""
)</f>
        <v/>
      </c>
      <c r="Q2503" s="385" t="str">
        <f>IF(
    OR(ISBLANK(L2503), ISBLANK(M2503)),
    "",
    MAX(
        1,
        IF(
            NETWORKDAYS(L2503, M2503, Holiday_Dates) &lt;= 0,
            1,
            NETWORKDAYS(L2503, M2503, Holiday_Dates) - IF(L2503 = M2503, 0, 1)
        )
    )
)</f>
        <v/>
      </c>
      <c r="R2503" s="385" t="str">
        <f>IFERROR(
    IF(
        OR(ISBLANK(N2503), AND(ISBLANK(L2503), ISBLANK(M2503))),
        "",
        MAX(
            1,
            IF(
                NETWORKDAYS(IF(NOT(ISBLANK(M2503)), M2503, L2503), N2503, Holiday_Dates) &lt;= 0,
                1,
                NETWORKDAYS(IF(NOT(ISBLANK(M2503)), M2503, L2503), N2503, Holiday_Dates)
                - IF(IF(NOT(ISBLANK(M2503)), M2503, L2503) = N2503, 0, 1)
            )
        )
    ),
    ""
)</f>
        <v/>
      </c>
      <c r="S2503" s="385" t="str">
        <f>IFERROR(
    IF(
        OR(ISBLANK(N2503), ISBLANK(O2503)),
        "",
        MAX(
            1,
            IF(
                NETWORKDAYS(N2503, O2503, Holiday_Dates) &lt;= 0,
                1,
                NETWORKDAYS(N2503, O2503, Holiday_Dates) - IF(N2503 = O2503, 0, 1)
            )
        )
    ),
    ""
)</f>
        <v/>
      </c>
      <c r="T2503" s="385"/>
      <c r="U2503" s="385" t="s">
        <v>4</v>
      </c>
      <c r="V2503" s="385" t="s">
        <v>101</v>
      </c>
      <c r="W2503" s="385" t="s">
        <v>1436</v>
      </c>
      <c r="X2503" s="1"/>
    </row>
    <row r="2504" spans="1:24">
      <c r="A2504" s="385" t="s">
        <v>52</v>
      </c>
      <c r="B2504" s="385" t="s">
        <v>250</v>
      </c>
      <c r="C2504" s="385" t="s">
        <v>4005</v>
      </c>
      <c r="D2504" s="385" t="s">
        <v>88</v>
      </c>
      <c r="E2504" s="385"/>
      <c r="F2504" s="385"/>
      <c r="G2504" s="385"/>
      <c r="H2504" s="385">
        <v>2025</v>
      </c>
      <c r="I2504" s="386">
        <v>45701</v>
      </c>
      <c r="J2504" s="30" t="s">
        <v>5627</v>
      </c>
      <c r="K2504" s="385"/>
      <c r="L2504" s="385"/>
      <c r="M2504" s="385"/>
      <c r="N2504" s="385"/>
      <c r="O2504" s="385"/>
      <c r="P2504" s="385" t="str">
        <f>IFERROR(
    IF(
        OR(ISBLANK(I2504), ISBLANK(L2504)),
        "",
        MAX(
            1,
            IF(
                NETWORKDAYS(I2504, L2504, Holiday_Dates) &lt;= 0,
                1,
                NETWORKDAYS(I2504, L2504, Holiday_Dates) - IF(I2504 = L2504, 0, 1)
            )
        )
    ),
    ""
)</f>
        <v/>
      </c>
      <c r="Q2504" s="385" t="str">
        <f>IF(
    OR(ISBLANK(L2504), ISBLANK(M2504)),
    "",
    MAX(
        1,
        IF(
            NETWORKDAYS(L2504, M2504, Holiday_Dates) &lt;= 0,
            1,
            NETWORKDAYS(L2504, M2504, Holiday_Dates) - IF(L2504 = M2504, 0, 1)
        )
    )
)</f>
        <v/>
      </c>
      <c r="R2504" s="385" t="str">
        <f>IFERROR(
    IF(
        OR(ISBLANK(N2504), AND(ISBLANK(L2504), ISBLANK(M2504))),
        "",
        MAX(
            1,
            IF(
                NETWORKDAYS(IF(NOT(ISBLANK(M2504)), M2504, L2504), N2504, Holiday_Dates) &lt;= 0,
                1,
                NETWORKDAYS(IF(NOT(ISBLANK(M2504)), M2504, L2504), N2504, Holiday_Dates)
                - IF(IF(NOT(ISBLANK(M2504)), M2504, L2504) = N2504, 0, 1)
            )
        )
    ),
    ""
)</f>
        <v/>
      </c>
      <c r="S2504" s="385" t="str">
        <f>IFERROR(
    IF(
        OR(ISBLANK(N2504), ISBLANK(O2504)),
        "",
        MAX(
            1,
            IF(
                NETWORKDAYS(N2504, O2504, Holiday_Dates) &lt;= 0,
                1,
                NETWORKDAYS(N2504, O2504, Holiday_Dates) - IF(N2504 = O2504, 0, 1)
            )
        )
    ),
    ""
)</f>
        <v/>
      </c>
      <c r="T2504" s="385"/>
      <c r="U2504" s="385" t="s">
        <v>4</v>
      </c>
      <c r="V2504" s="385" t="s">
        <v>101</v>
      </c>
      <c r="W2504" s="385" t="s">
        <v>1436</v>
      </c>
      <c r="X2504" s="1"/>
    </row>
    <row r="2505" spans="1:24">
      <c r="A2505" s="385" t="s">
        <v>52</v>
      </c>
      <c r="B2505" s="385" t="s">
        <v>250</v>
      </c>
      <c r="C2505" s="385" t="s">
        <v>4006</v>
      </c>
      <c r="D2505" s="385" t="s">
        <v>88</v>
      </c>
      <c r="E2505" s="385"/>
      <c r="F2505" s="385"/>
      <c r="G2505" s="385"/>
      <c r="H2505" s="385">
        <v>2025</v>
      </c>
      <c r="I2505" s="386">
        <v>45701</v>
      </c>
      <c r="J2505" s="30" t="s">
        <v>5628</v>
      </c>
      <c r="K2505" s="385"/>
      <c r="L2505" s="385"/>
      <c r="M2505" s="385"/>
      <c r="N2505" s="385"/>
      <c r="O2505" s="385"/>
      <c r="P2505" s="385" t="str">
        <f>IFERROR(
    IF(
        OR(ISBLANK(I2505), ISBLANK(L2505)),
        "",
        MAX(
            1,
            IF(
                NETWORKDAYS(I2505, L2505, Holiday_Dates) &lt;= 0,
                1,
                NETWORKDAYS(I2505, L2505, Holiday_Dates) - IF(I2505 = L2505, 0, 1)
            )
        )
    ),
    ""
)</f>
        <v/>
      </c>
      <c r="Q2505" s="385" t="str">
        <f>IF(
    OR(ISBLANK(L2505), ISBLANK(M2505)),
    "",
    MAX(
        1,
        IF(
            NETWORKDAYS(L2505, M2505, Holiday_Dates) &lt;= 0,
            1,
            NETWORKDAYS(L2505, M2505, Holiday_Dates) - IF(L2505 = M2505, 0, 1)
        )
    )
)</f>
        <v/>
      </c>
      <c r="R2505" s="385" t="str">
        <f>IFERROR(
    IF(
        OR(ISBLANK(N2505), AND(ISBLANK(L2505), ISBLANK(M2505))),
        "",
        MAX(
            1,
            IF(
                NETWORKDAYS(IF(NOT(ISBLANK(M2505)), M2505, L2505), N2505, Holiday_Dates) &lt;= 0,
                1,
                NETWORKDAYS(IF(NOT(ISBLANK(M2505)), M2505, L2505), N2505, Holiday_Dates)
                - IF(IF(NOT(ISBLANK(M2505)), M2505, L2505) = N2505, 0, 1)
            )
        )
    ),
    ""
)</f>
        <v/>
      </c>
      <c r="S2505" s="385" t="str">
        <f>IFERROR(
    IF(
        OR(ISBLANK(N2505), ISBLANK(O2505)),
        "",
        MAX(
            1,
            IF(
                NETWORKDAYS(N2505, O2505, Holiday_Dates) &lt;= 0,
                1,
                NETWORKDAYS(N2505, O2505, Holiday_Dates) - IF(N2505 = O2505, 0, 1)
            )
        )
    ),
    ""
)</f>
        <v/>
      </c>
      <c r="T2505" s="385"/>
      <c r="U2505" s="385" t="s">
        <v>4</v>
      </c>
      <c r="V2505" s="385" t="s">
        <v>101</v>
      </c>
      <c r="W2505" s="385" t="s">
        <v>1436</v>
      </c>
      <c r="X2505" s="1"/>
    </row>
    <row r="2506" spans="1:24">
      <c r="A2506" s="385" t="s">
        <v>51</v>
      </c>
      <c r="B2506" s="385" t="s">
        <v>532</v>
      </c>
      <c r="C2506" s="385" t="s">
        <v>3690</v>
      </c>
      <c r="D2506" s="385" t="s">
        <v>88</v>
      </c>
      <c r="E2506" s="385" t="s">
        <v>145</v>
      </c>
      <c r="F2506" s="385"/>
      <c r="G2506" s="385" t="s">
        <v>133</v>
      </c>
      <c r="H2506" s="385"/>
      <c r="I2506" s="385"/>
      <c r="J2506" s="30"/>
      <c r="K2506" s="385"/>
      <c r="L2506" s="385"/>
      <c r="M2506" s="385"/>
      <c r="N2506" s="385"/>
      <c r="O2506" s="385"/>
      <c r="P2506" s="385" t="str">
        <f>IFERROR(
    IF(
        OR(ISBLANK(I2506), ISBLANK(L2506)),
        "",
        MAX(
            1,
            IF(
                NETWORKDAYS(I2506, L2506, Holiday_Dates) &lt;= 0,
                1,
                NETWORKDAYS(I2506, L2506, Holiday_Dates) - IF(I2506 = L2506, 0, 1)
            )
        )
    ),
    ""
)</f>
        <v/>
      </c>
      <c r="Q2506" s="385" t="str">
        <f>IF(
    OR(ISBLANK(L2506), ISBLANK(M2506)),
    "",
    MAX(
        1,
        IF(
            NETWORKDAYS(L2506, M2506, Holiday_Dates) &lt;= 0,
            1,
            NETWORKDAYS(L2506, M2506, Holiday_Dates) - IF(L2506 = M2506, 0, 1)
        )
    )
)</f>
        <v/>
      </c>
      <c r="R2506" s="385" t="str">
        <f>IFERROR(
    IF(
        OR(ISBLANK(N2506), AND(ISBLANK(L2506), ISBLANK(M2506))),
        "",
        MAX(
            1,
            IF(
                NETWORKDAYS(IF(NOT(ISBLANK(M2506)), M2506, L2506), N2506, Holiday_Dates) &lt;= 0,
                1,
                NETWORKDAYS(IF(NOT(ISBLANK(M2506)), M2506, L2506), N2506, Holiday_Dates)
                - IF(IF(NOT(ISBLANK(M2506)), M2506, L2506) = N2506, 0, 1)
            )
        )
    ),
    ""
)</f>
        <v/>
      </c>
      <c r="S2506" s="385" t="str">
        <f>IFERROR(
    IF(
        OR(ISBLANK(N2506), ISBLANK(O2506)),
        "",
        MAX(
            1,
            IF(
                NETWORKDAYS(N2506, O2506, Holiday_Dates) &lt;= 0,
                1,
                NETWORKDAYS(N2506, O2506, Holiday_Dates) - IF(N2506 = O2506, 0, 1)
            )
        )
    ),
    ""
)</f>
        <v/>
      </c>
      <c r="T2506" s="385"/>
      <c r="U2506" s="385"/>
      <c r="V2506" s="385"/>
      <c r="W2506" s="385" t="s">
        <v>4710</v>
      </c>
      <c r="X2506" s="1"/>
    </row>
    <row r="2507" spans="1:24">
      <c r="A2507" s="385" t="s">
        <v>52</v>
      </c>
      <c r="B2507" s="385" t="s">
        <v>250</v>
      </c>
      <c r="C2507" s="385" t="s">
        <v>4008</v>
      </c>
      <c r="D2507" s="385" t="s">
        <v>88</v>
      </c>
      <c r="E2507" s="385"/>
      <c r="F2507" s="385"/>
      <c r="G2507" s="385"/>
      <c r="H2507" s="385">
        <v>2024</v>
      </c>
      <c r="I2507" s="386">
        <v>45541</v>
      </c>
      <c r="J2507" s="30"/>
      <c r="K2507" s="385"/>
      <c r="L2507" s="385"/>
      <c r="M2507" s="385"/>
      <c r="N2507" s="385"/>
      <c r="O2507" s="385"/>
      <c r="P2507" s="385" t="str">
        <f>IFERROR(
    IF(
        OR(ISBLANK(I2507), ISBLANK(L2507)),
        "",
        MAX(
            1,
            IF(
                NETWORKDAYS(I2507, L2507, Holiday_Dates) &lt;= 0,
                1,
                NETWORKDAYS(I2507, L2507, Holiday_Dates) - IF(I2507 = L2507, 0, 1)
            )
        )
    ),
    ""
)</f>
        <v/>
      </c>
      <c r="Q2507" s="385" t="str">
        <f>IF(
    OR(ISBLANK(L2507), ISBLANK(M2507)),
    "",
    MAX(
        1,
        IF(
            NETWORKDAYS(L2507, M2507, Holiday_Dates) &lt;= 0,
            1,
            NETWORKDAYS(L2507, M2507, Holiday_Dates) - IF(L2507 = M2507, 0, 1)
        )
    )
)</f>
        <v/>
      </c>
      <c r="R2507" s="385" t="str">
        <f>IFERROR(
    IF(
        OR(ISBLANK(N2507), AND(ISBLANK(L2507), ISBLANK(M2507))),
        "",
        MAX(
            1,
            IF(
                NETWORKDAYS(IF(NOT(ISBLANK(M2507)), M2507, L2507), N2507, Holiday_Dates) &lt;= 0,
                1,
                NETWORKDAYS(IF(NOT(ISBLANK(M2507)), M2507, L2507), N2507, Holiday_Dates)
                - IF(IF(NOT(ISBLANK(M2507)), M2507, L2507) = N2507, 0, 1)
            )
        )
    ),
    ""
)</f>
        <v/>
      </c>
      <c r="S2507" s="385" t="str">
        <f>IFERROR(
    IF(
        OR(ISBLANK(N2507), ISBLANK(O2507)),
        "",
        MAX(
            1,
            IF(
                NETWORKDAYS(N2507, O2507, Holiday_Dates) &lt;= 0,
                1,
                NETWORKDAYS(N2507, O2507, Holiday_Dates) - IF(N2507 = O2507, 0, 1)
            )
        )
    ),
    ""
)</f>
        <v/>
      </c>
      <c r="T2507" s="385"/>
      <c r="U2507" s="385" t="s">
        <v>4</v>
      </c>
      <c r="V2507" s="385" t="s">
        <v>108</v>
      </c>
      <c r="W2507" s="385" t="s">
        <v>1436</v>
      </c>
      <c r="X2507" s="1"/>
    </row>
    <row r="2508" spans="1:24">
      <c r="A2508" s="385" t="s">
        <v>51</v>
      </c>
      <c r="B2508" s="385" t="s">
        <v>534</v>
      </c>
      <c r="C2508" s="385" t="s">
        <v>610</v>
      </c>
      <c r="D2508" s="385" t="s">
        <v>88</v>
      </c>
      <c r="E2508" s="385" t="s">
        <v>32</v>
      </c>
      <c r="F2508" s="385"/>
      <c r="G2508" s="385" t="s">
        <v>133</v>
      </c>
      <c r="H2508" s="385"/>
      <c r="I2508" s="385"/>
      <c r="J2508" s="30"/>
      <c r="K2508" s="385"/>
      <c r="L2508" s="385"/>
      <c r="M2508" s="385"/>
      <c r="N2508" s="385"/>
      <c r="O2508" s="385"/>
      <c r="P2508" s="385" t="str">
        <f>IFERROR(
    IF(
        OR(ISBLANK(I2508), ISBLANK(L2508)),
        "",
        MAX(
            1,
            IF(
                NETWORKDAYS(I2508, L2508, Holiday_Dates) &lt;= 0,
                1,
                NETWORKDAYS(I2508, L2508, Holiday_Dates) - IF(I2508 = L2508, 0, 1)
            )
        )
    ),
    ""
)</f>
        <v/>
      </c>
      <c r="Q2508" s="385" t="str">
        <f>IF(
    OR(ISBLANK(L2508), ISBLANK(M2508)),
    "",
    MAX(
        1,
        IF(
            NETWORKDAYS(L2508, M2508, Holiday_Dates) &lt;= 0,
            1,
            NETWORKDAYS(L2508, M2508, Holiday_Dates) - IF(L2508 = M2508, 0, 1)
        )
    )
)</f>
        <v/>
      </c>
      <c r="R2508" s="385" t="str">
        <f>IFERROR(
    IF(
        OR(ISBLANK(N2508), AND(ISBLANK(L2508), ISBLANK(M2508))),
        "",
        MAX(
            1,
            IF(
                NETWORKDAYS(IF(NOT(ISBLANK(M2508)), M2508, L2508), N2508, Holiday_Dates) &lt;= 0,
                1,
                NETWORKDAYS(IF(NOT(ISBLANK(M2508)), M2508, L2508), N2508, Holiday_Dates)
                - IF(IF(NOT(ISBLANK(M2508)), M2508, L2508) = N2508, 0, 1)
            )
        )
    ),
    ""
)</f>
        <v/>
      </c>
      <c r="S2508" s="385" t="str">
        <f>IFERROR(
    IF(
        OR(ISBLANK(N2508), ISBLANK(O2508)),
        "",
        MAX(
            1,
            IF(
                NETWORKDAYS(N2508, O2508, Holiday_Dates) &lt;= 0,
                1,
                NETWORKDAYS(N2508, O2508, Holiday_Dates) - IF(N2508 = O2508, 0, 1)
            )
        )
    ),
    ""
)</f>
        <v/>
      </c>
      <c r="T2508" s="385"/>
      <c r="U2508" s="385"/>
      <c r="V2508" s="385"/>
      <c r="W2508" s="385" t="s">
        <v>4710</v>
      </c>
      <c r="X2508" s="1"/>
    </row>
    <row r="2509" spans="1:24">
      <c r="A2509" s="385" t="s">
        <v>52</v>
      </c>
      <c r="B2509" s="385" t="s">
        <v>463</v>
      </c>
      <c r="C2509" s="385" t="s">
        <v>4012</v>
      </c>
      <c r="D2509" s="385" t="s">
        <v>89</v>
      </c>
      <c r="E2509" s="385"/>
      <c r="F2509" s="385"/>
      <c r="G2509" s="385"/>
      <c r="H2509" s="385">
        <v>2024</v>
      </c>
      <c r="I2509" s="386">
        <v>45482</v>
      </c>
      <c r="J2509" s="30"/>
      <c r="K2509" s="385"/>
      <c r="L2509" s="385"/>
      <c r="M2509" s="385"/>
      <c r="N2509" s="385"/>
      <c r="O2509" s="385"/>
      <c r="P2509" s="385" t="str">
        <f>IFERROR(
    IF(
        OR(ISBLANK(I2509), ISBLANK(L2509)),
        "",
        MAX(
            1,
            IF(
                NETWORKDAYS(I2509, L2509, Holiday_Dates) &lt;= 0,
                1,
                NETWORKDAYS(I2509, L2509, Holiday_Dates) - IF(I2509 = L2509, 0, 1)
            )
        )
    ),
    ""
)</f>
        <v/>
      </c>
      <c r="Q2509" s="385" t="str">
        <f>IF(
    OR(ISBLANK(L2509), ISBLANK(M2509)),
    "",
    MAX(
        1,
        IF(
            NETWORKDAYS(L2509, M2509, Holiday_Dates) &lt;= 0,
            1,
            NETWORKDAYS(L2509, M2509, Holiday_Dates) - IF(L2509 = M2509, 0, 1)
        )
    )
)</f>
        <v/>
      </c>
      <c r="R2509" s="385" t="str">
        <f>IFERROR(
    IF(
        OR(ISBLANK(N2509), AND(ISBLANK(L2509), ISBLANK(M2509))),
        "",
        MAX(
            1,
            IF(
                NETWORKDAYS(IF(NOT(ISBLANK(M2509)), M2509, L2509), N2509, Holiday_Dates) &lt;= 0,
                1,
                NETWORKDAYS(IF(NOT(ISBLANK(M2509)), M2509, L2509), N2509, Holiday_Dates)
                - IF(IF(NOT(ISBLANK(M2509)), M2509, L2509) = N2509, 0, 1)
            )
        )
    ),
    ""
)</f>
        <v/>
      </c>
      <c r="S2509" s="385" t="str">
        <f>IFERROR(
    IF(
        OR(ISBLANK(N2509), ISBLANK(O2509)),
        "",
        MAX(
            1,
            IF(
                NETWORKDAYS(N2509, O2509, Holiday_Dates) &lt;= 0,
                1,
                NETWORKDAYS(N2509, O2509, Holiday_Dates) - IF(N2509 = O2509, 0, 1)
            )
        )
    ),
    ""
)</f>
        <v/>
      </c>
      <c r="T2509" s="385"/>
      <c r="U2509" s="385" t="s">
        <v>4</v>
      </c>
      <c r="V2509" s="385" t="s">
        <v>101</v>
      </c>
      <c r="W2509" s="385" t="s">
        <v>1436</v>
      </c>
      <c r="X2509" s="1"/>
    </row>
    <row r="2510" spans="1:24">
      <c r="A2510" s="385" t="s">
        <v>52</v>
      </c>
      <c r="B2510" s="385" t="s">
        <v>463</v>
      </c>
      <c r="C2510" s="385" t="s">
        <v>4014</v>
      </c>
      <c r="D2510" s="385" t="s">
        <v>89</v>
      </c>
      <c r="E2510" s="385"/>
      <c r="F2510" s="385"/>
      <c r="G2510" s="385"/>
      <c r="H2510" s="385">
        <v>2025</v>
      </c>
      <c r="I2510" s="386">
        <v>45701</v>
      </c>
      <c r="J2510" s="30" t="s">
        <v>5629</v>
      </c>
      <c r="K2510" s="385"/>
      <c r="L2510" s="385"/>
      <c r="M2510" s="385"/>
      <c r="N2510" s="385"/>
      <c r="O2510" s="385"/>
      <c r="P2510" s="385" t="str">
        <f>IFERROR(
    IF(
        OR(ISBLANK(I2510), ISBLANK(L2510)),
        "",
        MAX(
            1,
            IF(
                NETWORKDAYS(I2510, L2510, Holiday_Dates) &lt;= 0,
                1,
                NETWORKDAYS(I2510, L2510, Holiday_Dates) - IF(I2510 = L2510, 0, 1)
            )
        )
    ),
    ""
)</f>
        <v/>
      </c>
      <c r="Q2510" s="385" t="str">
        <f>IF(
    OR(ISBLANK(L2510), ISBLANK(M2510)),
    "",
    MAX(
        1,
        IF(
            NETWORKDAYS(L2510, M2510, Holiday_Dates) &lt;= 0,
            1,
            NETWORKDAYS(L2510, M2510, Holiday_Dates) - IF(L2510 = M2510, 0, 1)
        )
    )
)</f>
        <v/>
      </c>
      <c r="R2510" s="385" t="str">
        <f>IFERROR(
    IF(
        OR(ISBLANK(N2510), AND(ISBLANK(L2510), ISBLANK(M2510))),
        "",
        MAX(
            1,
            IF(
                NETWORKDAYS(IF(NOT(ISBLANK(M2510)), M2510, L2510), N2510, Holiday_Dates) &lt;= 0,
                1,
                NETWORKDAYS(IF(NOT(ISBLANK(M2510)), M2510, L2510), N2510, Holiday_Dates)
                - IF(IF(NOT(ISBLANK(M2510)), M2510, L2510) = N2510, 0, 1)
            )
        )
    ),
    ""
)</f>
        <v/>
      </c>
      <c r="S2510" s="385" t="str">
        <f>IFERROR(
    IF(
        OR(ISBLANK(N2510), ISBLANK(O2510)),
        "",
        MAX(
            1,
            IF(
                NETWORKDAYS(N2510, O2510, Holiday_Dates) &lt;= 0,
                1,
                NETWORKDAYS(N2510, O2510, Holiday_Dates) - IF(N2510 = O2510, 0, 1)
            )
        )
    ),
    ""
)</f>
        <v/>
      </c>
      <c r="T2510" s="385"/>
      <c r="U2510" s="385" t="s">
        <v>672</v>
      </c>
      <c r="V2510" s="385" t="s">
        <v>101</v>
      </c>
      <c r="W2510" s="385" t="s">
        <v>1436</v>
      </c>
      <c r="X2510" s="1"/>
    </row>
    <row r="2511" spans="1:24">
      <c r="A2511" s="385" t="s">
        <v>52</v>
      </c>
      <c r="B2511" s="385" t="s">
        <v>463</v>
      </c>
      <c r="C2511" s="385" t="s">
        <v>4015</v>
      </c>
      <c r="D2511" s="385" t="s">
        <v>89</v>
      </c>
      <c r="E2511" s="385"/>
      <c r="F2511" s="385"/>
      <c r="G2511" s="385"/>
      <c r="H2511" s="385">
        <v>2025</v>
      </c>
      <c r="I2511" s="386">
        <v>45701</v>
      </c>
      <c r="J2511" s="30" t="s">
        <v>5630</v>
      </c>
      <c r="K2511" s="385"/>
      <c r="L2511" s="385"/>
      <c r="M2511" s="385"/>
      <c r="N2511" s="385"/>
      <c r="O2511" s="385"/>
      <c r="P2511" s="385" t="str">
        <f>IFERROR(
    IF(
        OR(ISBLANK(I2511), ISBLANK(L2511)),
        "",
        MAX(
            1,
            IF(
                NETWORKDAYS(I2511, L2511, Holiday_Dates) &lt;= 0,
                1,
                NETWORKDAYS(I2511, L2511, Holiday_Dates) - IF(I2511 = L2511, 0, 1)
            )
        )
    ),
    ""
)</f>
        <v/>
      </c>
      <c r="Q2511" s="385" t="str">
        <f>IF(
    OR(ISBLANK(L2511), ISBLANK(M2511)),
    "",
    MAX(
        1,
        IF(
            NETWORKDAYS(L2511, M2511, Holiday_Dates) &lt;= 0,
            1,
            NETWORKDAYS(L2511, M2511, Holiday_Dates) - IF(L2511 = M2511, 0, 1)
        )
    )
)</f>
        <v/>
      </c>
      <c r="R2511" s="385" t="str">
        <f>IFERROR(
    IF(
        OR(ISBLANK(N2511), AND(ISBLANK(L2511), ISBLANK(M2511))),
        "",
        MAX(
            1,
            IF(
                NETWORKDAYS(IF(NOT(ISBLANK(M2511)), M2511, L2511), N2511, Holiday_Dates) &lt;= 0,
                1,
                NETWORKDAYS(IF(NOT(ISBLANK(M2511)), M2511, L2511), N2511, Holiday_Dates)
                - IF(IF(NOT(ISBLANK(M2511)), M2511, L2511) = N2511, 0, 1)
            )
        )
    ),
    ""
)</f>
        <v/>
      </c>
      <c r="S2511" s="385" t="str">
        <f>IFERROR(
    IF(
        OR(ISBLANK(N2511), ISBLANK(O2511)),
        "",
        MAX(
            1,
            IF(
                NETWORKDAYS(N2511, O2511, Holiday_Dates) &lt;= 0,
                1,
                NETWORKDAYS(N2511, O2511, Holiday_Dates) - IF(N2511 = O2511, 0, 1)
            )
        )
    ),
    ""
)</f>
        <v/>
      </c>
      <c r="T2511" s="385"/>
      <c r="U2511" s="385" t="s">
        <v>672</v>
      </c>
      <c r="V2511" s="385" t="s">
        <v>101</v>
      </c>
      <c r="W2511" s="385" t="s">
        <v>1436</v>
      </c>
      <c r="X2511" s="1"/>
    </row>
    <row r="2512" spans="1:24">
      <c r="A2512" s="385" t="s">
        <v>51</v>
      </c>
      <c r="B2512" s="385" t="s">
        <v>534</v>
      </c>
      <c r="C2512" s="385" t="s">
        <v>380</v>
      </c>
      <c r="D2512" s="385" t="s">
        <v>88</v>
      </c>
      <c r="E2512" s="385" t="s">
        <v>32</v>
      </c>
      <c r="F2512" s="385"/>
      <c r="G2512" s="385" t="s">
        <v>133</v>
      </c>
      <c r="H2512" s="385"/>
      <c r="I2512" s="385"/>
      <c r="J2512" s="30"/>
      <c r="K2512" s="385"/>
      <c r="L2512" s="385"/>
      <c r="M2512" s="385"/>
      <c r="N2512" s="385"/>
      <c r="O2512" s="385"/>
      <c r="P2512" s="385" t="str">
        <f>IFERROR(
    IF(
        OR(ISBLANK(I2512), ISBLANK(L2512)),
        "",
        MAX(
            1,
            IF(
                NETWORKDAYS(I2512, L2512, Holiday_Dates) &lt;= 0,
                1,
                NETWORKDAYS(I2512, L2512, Holiday_Dates) - IF(I2512 = L2512, 0, 1)
            )
        )
    ),
    ""
)</f>
        <v/>
      </c>
      <c r="Q2512" s="385" t="str">
        <f>IF(
    OR(ISBLANK(L2512), ISBLANK(M2512)),
    "",
    MAX(
        1,
        IF(
            NETWORKDAYS(L2512, M2512, Holiday_Dates) &lt;= 0,
            1,
            NETWORKDAYS(L2512, M2512, Holiday_Dates) - IF(L2512 = M2512, 0, 1)
        )
    )
)</f>
        <v/>
      </c>
      <c r="R2512" s="385" t="str">
        <f>IFERROR(
    IF(
        OR(ISBLANK(N2512), AND(ISBLANK(L2512), ISBLANK(M2512))),
        "",
        MAX(
            1,
            IF(
                NETWORKDAYS(IF(NOT(ISBLANK(M2512)), M2512, L2512), N2512, Holiday_Dates) &lt;= 0,
                1,
                NETWORKDAYS(IF(NOT(ISBLANK(M2512)), M2512, L2512), N2512, Holiday_Dates)
                - IF(IF(NOT(ISBLANK(M2512)), M2512, L2512) = N2512, 0, 1)
            )
        )
    ),
    ""
)</f>
        <v/>
      </c>
      <c r="S2512" s="385" t="str">
        <f>IFERROR(
    IF(
        OR(ISBLANK(N2512), ISBLANK(O2512)),
        "",
        MAX(
            1,
            IF(
                NETWORKDAYS(N2512, O2512, Holiday_Dates) &lt;= 0,
                1,
                NETWORKDAYS(N2512, O2512, Holiday_Dates) - IF(N2512 = O2512, 0, 1)
            )
        )
    ),
    ""
)</f>
        <v/>
      </c>
      <c r="T2512" s="385"/>
      <c r="U2512" s="385"/>
      <c r="V2512" s="385"/>
      <c r="W2512" s="385" t="s">
        <v>4710</v>
      </c>
      <c r="X2512" s="1"/>
    </row>
    <row r="2513" spans="1:24">
      <c r="A2513" s="385" t="s">
        <v>51</v>
      </c>
      <c r="B2513" s="385" t="s">
        <v>534</v>
      </c>
      <c r="C2513" s="385" t="s">
        <v>2347</v>
      </c>
      <c r="D2513" s="385" t="s">
        <v>88</v>
      </c>
      <c r="E2513" s="385" t="s">
        <v>32</v>
      </c>
      <c r="F2513" s="385"/>
      <c r="G2513" s="385" t="s">
        <v>133</v>
      </c>
      <c r="H2513" s="385"/>
      <c r="I2513" s="385"/>
      <c r="J2513" s="30"/>
      <c r="K2513" s="385"/>
      <c r="L2513" s="385"/>
      <c r="M2513" s="385"/>
      <c r="N2513" s="385"/>
      <c r="O2513" s="385"/>
      <c r="P2513" s="385" t="str">
        <f>IFERROR(
    IF(
        OR(ISBLANK(I2513), ISBLANK(L2513)),
        "",
        MAX(
            1,
            IF(
                NETWORKDAYS(I2513, L2513, Holiday_Dates) &lt;= 0,
                1,
                NETWORKDAYS(I2513, L2513, Holiday_Dates) - IF(I2513 = L2513, 0, 1)
            )
        )
    ),
    ""
)</f>
        <v/>
      </c>
      <c r="Q2513" s="385" t="str">
        <f>IF(
    OR(ISBLANK(L2513), ISBLANK(M2513)),
    "",
    MAX(
        1,
        IF(
            NETWORKDAYS(L2513, M2513, Holiday_Dates) &lt;= 0,
            1,
            NETWORKDAYS(L2513, M2513, Holiday_Dates) - IF(L2513 = M2513, 0, 1)
        )
    )
)</f>
        <v/>
      </c>
      <c r="R2513" s="385" t="str">
        <f>IFERROR(
    IF(
        OR(ISBLANK(N2513), AND(ISBLANK(L2513), ISBLANK(M2513))),
        "",
        MAX(
            1,
            IF(
                NETWORKDAYS(IF(NOT(ISBLANK(M2513)), M2513, L2513), N2513, Holiday_Dates) &lt;= 0,
                1,
                NETWORKDAYS(IF(NOT(ISBLANK(M2513)), M2513, L2513), N2513, Holiday_Dates)
                - IF(IF(NOT(ISBLANK(M2513)), M2513, L2513) = N2513, 0, 1)
            )
        )
    ),
    ""
)</f>
        <v/>
      </c>
      <c r="S2513" s="385" t="str">
        <f>IFERROR(
    IF(
        OR(ISBLANK(N2513), ISBLANK(O2513)),
        "",
        MAX(
            1,
            IF(
                NETWORKDAYS(N2513, O2513, Holiday_Dates) &lt;= 0,
                1,
                NETWORKDAYS(N2513, O2513, Holiday_Dates) - IF(N2513 = O2513, 0, 1)
            )
        )
    ),
    ""
)</f>
        <v/>
      </c>
      <c r="T2513" s="385"/>
      <c r="U2513" s="385"/>
      <c r="V2513" s="385"/>
      <c r="W2513" s="385" t="s">
        <v>4710</v>
      </c>
      <c r="X2513" s="1"/>
    </row>
    <row r="2514" spans="1:24">
      <c r="A2514" s="385" t="s">
        <v>52</v>
      </c>
      <c r="B2514" s="385" t="s">
        <v>463</v>
      </c>
      <c r="C2514" s="385" t="s">
        <v>4018</v>
      </c>
      <c r="D2514" s="385" t="s">
        <v>89</v>
      </c>
      <c r="E2514" s="385"/>
      <c r="F2514" s="385"/>
      <c r="G2514" s="385"/>
      <c r="H2514" s="385">
        <v>2024</v>
      </c>
      <c r="I2514" s="386">
        <v>45573</v>
      </c>
      <c r="J2514" s="30"/>
      <c r="K2514" s="385"/>
      <c r="L2514" s="385"/>
      <c r="M2514" s="385"/>
      <c r="N2514" s="385"/>
      <c r="O2514" s="385"/>
      <c r="P2514" s="385" t="str">
        <f>IFERROR(
    IF(
        OR(ISBLANK(I2514), ISBLANK(L2514)),
        "",
        MAX(
            1,
            IF(
                NETWORKDAYS(I2514, L2514, Holiday_Dates) &lt;= 0,
                1,
                NETWORKDAYS(I2514, L2514, Holiday_Dates) - IF(I2514 = L2514, 0, 1)
            )
        )
    ),
    ""
)</f>
        <v/>
      </c>
      <c r="Q2514" s="385" t="str">
        <f>IF(
    OR(ISBLANK(L2514), ISBLANK(M2514)),
    "",
    MAX(
        1,
        IF(
            NETWORKDAYS(L2514, M2514, Holiday_Dates) &lt;= 0,
            1,
            NETWORKDAYS(L2514, M2514, Holiday_Dates) - IF(L2514 = M2514, 0, 1)
        )
    )
)</f>
        <v/>
      </c>
      <c r="R2514" s="385" t="str">
        <f>IFERROR(
    IF(
        OR(ISBLANK(N2514), AND(ISBLANK(L2514), ISBLANK(M2514))),
        "",
        MAX(
            1,
            IF(
                NETWORKDAYS(IF(NOT(ISBLANK(M2514)), M2514, L2514), N2514, Holiday_Dates) &lt;= 0,
                1,
                NETWORKDAYS(IF(NOT(ISBLANK(M2514)), M2514, L2514), N2514, Holiday_Dates)
                - IF(IF(NOT(ISBLANK(M2514)), M2514, L2514) = N2514, 0, 1)
            )
        )
    ),
    ""
)</f>
        <v/>
      </c>
      <c r="S2514" s="385" t="str">
        <f>IFERROR(
    IF(
        OR(ISBLANK(N2514), ISBLANK(O2514)),
        "",
        MAX(
            1,
            IF(
                NETWORKDAYS(N2514, O2514, Holiday_Dates) &lt;= 0,
                1,
                NETWORKDAYS(N2514, O2514, Holiday_Dates) - IF(N2514 = O2514, 0, 1)
            )
        )
    ),
    ""
)</f>
        <v/>
      </c>
      <c r="T2514" s="385"/>
      <c r="U2514" s="385" t="s">
        <v>672</v>
      </c>
      <c r="V2514" s="385" t="s">
        <v>101</v>
      </c>
      <c r="W2514" s="385" t="s">
        <v>1436</v>
      </c>
      <c r="X2514" s="1"/>
    </row>
    <row r="2515" spans="1:24">
      <c r="A2515" s="385" t="s">
        <v>52</v>
      </c>
      <c r="B2515" s="385" t="s">
        <v>463</v>
      </c>
      <c r="C2515" s="385" t="s">
        <v>4020</v>
      </c>
      <c r="D2515" s="385" t="s">
        <v>89</v>
      </c>
      <c r="E2515" s="385"/>
      <c r="F2515" s="385"/>
      <c r="G2515" s="385"/>
      <c r="H2515" s="385">
        <v>2024</v>
      </c>
      <c r="I2515" s="386">
        <v>45386</v>
      </c>
      <c r="J2515" s="30"/>
      <c r="K2515" s="385"/>
      <c r="L2515" s="385"/>
      <c r="M2515" s="385"/>
      <c r="N2515" s="385"/>
      <c r="O2515" s="385"/>
      <c r="P2515" s="385" t="str">
        <f>IFERROR(
    IF(
        OR(ISBLANK(I2515), ISBLANK(L2515)),
        "",
        MAX(
            1,
            IF(
                NETWORKDAYS(I2515, L2515, Holiday_Dates) &lt;= 0,
                1,
                NETWORKDAYS(I2515, L2515, Holiday_Dates) - IF(I2515 = L2515, 0, 1)
            )
        )
    ),
    ""
)</f>
        <v/>
      </c>
      <c r="Q2515" s="385" t="str">
        <f>IF(
    OR(ISBLANK(L2515), ISBLANK(M2515)),
    "",
    MAX(
        1,
        IF(
            NETWORKDAYS(L2515, M2515, Holiday_Dates) &lt;= 0,
            1,
            NETWORKDAYS(L2515, M2515, Holiday_Dates) - IF(L2515 = M2515, 0, 1)
        )
    )
)</f>
        <v/>
      </c>
      <c r="R2515" s="385" t="str">
        <f>IFERROR(
    IF(
        OR(ISBLANK(N2515), AND(ISBLANK(L2515), ISBLANK(M2515))),
        "",
        MAX(
            1,
            IF(
                NETWORKDAYS(IF(NOT(ISBLANK(M2515)), M2515, L2515), N2515, Holiday_Dates) &lt;= 0,
                1,
                NETWORKDAYS(IF(NOT(ISBLANK(M2515)), M2515, L2515), N2515, Holiday_Dates)
                - IF(IF(NOT(ISBLANK(M2515)), M2515, L2515) = N2515, 0, 1)
            )
        )
    ),
    ""
)</f>
        <v/>
      </c>
      <c r="S2515" s="385" t="str">
        <f>IFERROR(
    IF(
        OR(ISBLANK(N2515), ISBLANK(O2515)),
        "",
        MAX(
            1,
            IF(
                NETWORKDAYS(N2515, O2515, Holiday_Dates) &lt;= 0,
                1,
                NETWORKDAYS(N2515, O2515, Holiday_Dates) - IF(N2515 = O2515, 0, 1)
            )
        )
    ),
    ""
)</f>
        <v/>
      </c>
      <c r="T2515" s="385"/>
      <c r="U2515" s="385" t="s">
        <v>672</v>
      </c>
      <c r="V2515" s="385"/>
      <c r="W2515" s="385" t="s">
        <v>1436</v>
      </c>
      <c r="X2515" s="1"/>
    </row>
    <row r="2516" spans="1:24">
      <c r="A2516" s="385" t="s">
        <v>51</v>
      </c>
      <c r="B2516" s="385" t="s">
        <v>534</v>
      </c>
      <c r="C2516" s="385" t="s">
        <v>687</v>
      </c>
      <c r="D2516" s="385" t="s">
        <v>88</v>
      </c>
      <c r="E2516" s="385" t="s">
        <v>32</v>
      </c>
      <c r="F2516" s="385"/>
      <c r="G2516" s="385" t="s">
        <v>133</v>
      </c>
      <c r="H2516" s="385"/>
      <c r="I2516" s="385"/>
      <c r="J2516" s="30"/>
      <c r="K2516" s="385"/>
      <c r="L2516" s="385"/>
      <c r="M2516" s="385"/>
      <c r="N2516" s="385"/>
      <c r="O2516" s="385"/>
      <c r="P2516" s="385" t="str">
        <f>IFERROR(
    IF(
        OR(ISBLANK(I2516), ISBLANK(L2516)),
        "",
        MAX(
            1,
            IF(
                NETWORKDAYS(I2516, L2516, Holiday_Dates) &lt;= 0,
                1,
                NETWORKDAYS(I2516, L2516, Holiday_Dates) - IF(I2516 = L2516, 0, 1)
            )
        )
    ),
    ""
)</f>
        <v/>
      </c>
      <c r="Q2516" s="385" t="str">
        <f>IF(
    OR(ISBLANK(L2516), ISBLANK(M2516)),
    "",
    MAX(
        1,
        IF(
            NETWORKDAYS(L2516, M2516, Holiday_Dates) &lt;= 0,
            1,
            NETWORKDAYS(L2516, M2516, Holiday_Dates) - IF(L2516 = M2516, 0, 1)
        )
    )
)</f>
        <v/>
      </c>
      <c r="R2516" s="385" t="str">
        <f>IFERROR(
    IF(
        OR(ISBLANK(N2516), AND(ISBLANK(L2516), ISBLANK(M2516))),
        "",
        MAX(
            1,
            IF(
                NETWORKDAYS(IF(NOT(ISBLANK(M2516)), M2516, L2516), N2516, Holiday_Dates) &lt;= 0,
                1,
                NETWORKDAYS(IF(NOT(ISBLANK(M2516)), M2516, L2516), N2516, Holiday_Dates)
                - IF(IF(NOT(ISBLANK(M2516)), M2516, L2516) = N2516, 0, 1)
            )
        )
    ),
    ""
)</f>
        <v/>
      </c>
      <c r="S2516" s="385" t="str">
        <f>IFERROR(
    IF(
        OR(ISBLANK(N2516), ISBLANK(O2516)),
        "",
        MAX(
            1,
            IF(
                NETWORKDAYS(N2516, O2516, Holiday_Dates) &lt;= 0,
                1,
                NETWORKDAYS(N2516, O2516, Holiday_Dates) - IF(N2516 = O2516, 0, 1)
            )
        )
    ),
    ""
)</f>
        <v/>
      </c>
      <c r="T2516" s="385"/>
      <c r="U2516" s="385"/>
      <c r="V2516" s="385"/>
      <c r="W2516" s="385" t="s">
        <v>4710</v>
      </c>
      <c r="X2516" s="1"/>
    </row>
    <row r="2517" spans="1:24">
      <c r="A2517" s="385" t="s">
        <v>52</v>
      </c>
      <c r="B2517" s="385" t="s">
        <v>463</v>
      </c>
      <c r="C2517" s="385" t="s">
        <v>4023</v>
      </c>
      <c r="D2517" s="385" t="s">
        <v>89</v>
      </c>
      <c r="E2517" s="385"/>
      <c r="F2517" s="385"/>
      <c r="G2517" s="385"/>
      <c r="H2517" s="385">
        <v>2025</v>
      </c>
      <c r="I2517" s="386">
        <v>45755</v>
      </c>
      <c r="J2517" s="30" t="s">
        <v>5631</v>
      </c>
      <c r="K2517" s="385"/>
      <c r="L2517" s="385"/>
      <c r="M2517" s="385"/>
      <c r="N2517" s="385"/>
      <c r="O2517" s="385"/>
      <c r="P2517" s="385" t="str">
        <f>IFERROR(
    IF(
        OR(ISBLANK(I2517), ISBLANK(L2517)),
        "",
        MAX(
            1,
            IF(
                NETWORKDAYS(I2517, L2517, Holiday_Dates) &lt;= 0,
                1,
                NETWORKDAYS(I2517, L2517, Holiday_Dates) - IF(I2517 = L2517, 0, 1)
            )
        )
    ),
    ""
)</f>
        <v/>
      </c>
      <c r="Q2517" s="385" t="str">
        <f>IF(
    OR(ISBLANK(L2517), ISBLANK(M2517)),
    "",
    MAX(
        1,
        IF(
            NETWORKDAYS(L2517, M2517, Holiday_Dates) &lt;= 0,
            1,
            NETWORKDAYS(L2517, M2517, Holiday_Dates) - IF(L2517 = M2517, 0, 1)
        )
    )
)</f>
        <v/>
      </c>
      <c r="R2517" s="385" t="str">
        <f>IFERROR(
    IF(
        OR(ISBLANK(N2517), AND(ISBLANK(L2517), ISBLANK(M2517))),
        "",
        MAX(
            1,
            IF(
                NETWORKDAYS(IF(NOT(ISBLANK(M2517)), M2517, L2517), N2517, Holiday_Dates) &lt;= 0,
                1,
                NETWORKDAYS(IF(NOT(ISBLANK(M2517)), M2517, L2517), N2517, Holiday_Dates)
                - IF(IF(NOT(ISBLANK(M2517)), M2517, L2517) = N2517, 0, 1)
            )
        )
    ),
    ""
)</f>
        <v/>
      </c>
      <c r="S2517" s="385" t="str">
        <f>IFERROR(
    IF(
        OR(ISBLANK(N2517), ISBLANK(O2517)),
        "",
        MAX(
            1,
            IF(
                NETWORKDAYS(N2517, O2517, Holiday_Dates) &lt;= 0,
                1,
                NETWORKDAYS(N2517, O2517, Holiday_Dates) - IF(N2517 = O2517, 0, 1)
            )
        )
    ),
    ""
)</f>
        <v/>
      </c>
      <c r="T2517" s="385"/>
      <c r="U2517" s="385" t="s">
        <v>672</v>
      </c>
      <c r="V2517" s="385" t="s">
        <v>101</v>
      </c>
      <c r="W2517" s="385" t="s">
        <v>1436</v>
      </c>
      <c r="X2517" s="1"/>
    </row>
    <row r="2518" spans="1:24">
      <c r="A2518" s="385" t="s">
        <v>52</v>
      </c>
      <c r="B2518" s="385" t="s">
        <v>463</v>
      </c>
      <c r="C2518" s="385" t="s">
        <v>4024</v>
      </c>
      <c r="D2518" s="385" t="s">
        <v>89</v>
      </c>
      <c r="E2518" s="385"/>
      <c r="F2518" s="385"/>
      <c r="G2518" s="385"/>
      <c r="H2518" s="385">
        <v>2024</v>
      </c>
      <c r="I2518" s="386">
        <v>45552</v>
      </c>
      <c r="J2518" s="30"/>
      <c r="K2518" s="385"/>
      <c r="L2518" s="385"/>
      <c r="M2518" s="385"/>
      <c r="N2518" s="385"/>
      <c r="O2518" s="385"/>
      <c r="P2518" s="385" t="str">
        <f>IFERROR(
    IF(
        OR(ISBLANK(I2518), ISBLANK(L2518)),
        "",
        MAX(
            1,
            IF(
                NETWORKDAYS(I2518, L2518, Holiday_Dates) &lt;= 0,
                1,
                NETWORKDAYS(I2518, L2518, Holiday_Dates) - IF(I2518 = L2518, 0, 1)
            )
        )
    ),
    ""
)</f>
        <v/>
      </c>
      <c r="Q2518" s="385" t="str">
        <f>IF(
    OR(ISBLANK(L2518), ISBLANK(M2518)),
    "",
    MAX(
        1,
        IF(
            NETWORKDAYS(L2518, M2518, Holiday_Dates) &lt;= 0,
            1,
            NETWORKDAYS(L2518, M2518, Holiday_Dates) - IF(L2518 = M2518, 0, 1)
        )
    )
)</f>
        <v/>
      </c>
      <c r="R2518" s="385" t="str">
        <f>IFERROR(
    IF(
        OR(ISBLANK(N2518), AND(ISBLANK(L2518), ISBLANK(M2518))),
        "",
        MAX(
            1,
            IF(
                NETWORKDAYS(IF(NOT(ISBLANK(M2518)), M2518, L2518), N2518, Holiday_Dates) &lt;= 0,
                1,
                NETWORKDAYS(IF(NOT(ISBLANK(M2518)), M2518, L2518), N2518, Holiday_Dates)
                - IF(IF(NOT(ISBLANK(M2518)), M2518, L2518) = N2518, 0, 1)
            )
        )
    ),
    ""
)</f>
        <v/>
      </c>
      <c r="S2518" s="385" t="str">
        <f>IFERROR(
    IF(
        OR(ISBLANK(N2518), ISBLANK(O2518)),
        "",
        MAX(
            1,
            IF(
                NETWORKDAYS(N2518, O2518, Holiday_Dates) &lt;= 0,
                1,
                NETWORKDAYS(N2518, O2518, Holiday_Dates) - IF(N2518 = O2518, 0, 1)
            )
        )
    ),
    ""
)</f>
        <v/>
      </c>
      <c r="T2518" s="385"/>
      <c r="U2518" s="385" t="s">
        <v>672</v>
      </c>
      <c r="V2518" s="385" t="s">
        <v>101</v>
      </c>
      <c r="W2518" s="385" t="s">
        <v>1436</v>
      </c>
      <c r="X2518" s="1"/>
    </row>
    <row r="2519" spans="1:24">
      <c r="A2519" s="385" t="s">
        <v>52</v>
      </c>
      <c r="B2519" s="385" t="s">
        <v>463</v>
      </c>
      <c r="C2519" s="385" t="s">
        <v>4026</v>
      </c>
      <c r="D2519" s="385" t="s">
        <v>89</v>
      </c>
      <c r="E2519" s="385"/>
      <c r="F2519" s="385"/>
      <c r="G2519" s="385"/>
      <c r="H2519" s="385">
        <v>2024</v>
      </c>
      <c r="I2519" s="386">
        <v>45456</v>
      </c>
      <c r="J2519" s="30"/>
      <c r="K2519" s="385"/>
      <c r="L2519" s="385"/>
      <c r="M2519" s="385"/>
      <c r="N2519" s="385"/>
      <c r="O2519" s="385"/>
      <c r="P2519" s="385" t="str">
        <f>IFERROR(
    IF(
        OR(ISBLANK(I2519), ISBLANK(L2519)),
        "",
        MAX(
            1,
            IF(
                NETWORKDAYS(I2519, L2519, Holiday_Dates) &lt;= 0,
                1,
                NETWORKDAYS(I2519, L2519, Holiday_Dates) - IF(I2519 = L2519, 0, 1)
            )
        )
    ),
    ""
)</f>
        <v/>
      </c>
      <c r="Q2519" s="385" t="str">
        <f>IF(
    OR(ISBLANK(L2519), ISBLANK(M2519)),
    "",
    MAX(
        1,
        IF(
            NETWORKDAYS(L2519, M2519, Holiday_Dates) &lt;= 0,
            1,
            NETWORKDAYS(L2519, M2519, Holiday_Dates) - IF(L2519 = M2519, 0, 1)
        )
    )
)</f>
        <v/>
      </c>
      <c r="R2519" s="385" t="str">
        <f>IFERROR(
    IF(
        OR(ISBLANK(N2519), AND(ISBLANK(L2519), ISBLANK(M2519))),
        "",
        MAX(
            1,
            IF(
                NETWORKDAYS(IF(NOT(ISBLANK(M2519)), M2519, L2519), N2519, Holiday_Dates) &lt;= 0,
                1,
                NETWORKDAYS(IF(NOT(ISBLANK(M2519)), M2519, L2519), N2519, Holiday_Dates)
                - IF(IF(NOT(ISBLANK(M2519)), M2519, L2519) = N2519, 0, 1)
            )
        )
    ),
    ""
)</f>
        <v/>
      </c>
      <c r="S2519" s="385" t="str">
        <f>IFERROR(
    IF(
        OR(ISBLANK(N2519), ISBLANK(O2519)),
        "",
        MAX(
            1,
            IF(
                NETWORKDAYS(N2519, O2519, Holiday_Dates) &lt;= 0,
                1,
                NETWORKDAYS(N2519, O2519, Holiday_Dates) - IF(N2519 = O2519, 0, 1)
            )
        )
    ),
    ""
)</f>
        <v/>
      </c>
      <c r="T2519" s="385"/>
      <c r="U2519" s="385" t="s">
        <v>672</v>
      </c>
      <c r="V2519" s="385"/>
      <c r="W2519" s="385" t="s">
        <v>1436</v>
      </c>
      <c r="X2519" s="1"/>
    </row>
    <row r="2520" spans="1:24">
      <c r="A2520" s="385" t="s">
        <v>52</v>
      </c>
      <c r="B2520" s="385" t="s">
        <v>463</v>
      </c>
      <c r="C2520" s="385" t="s">
        <v>4028</v>
      </c>
      <c r="D2520" s="385" t="s">
        <v>89</v>
      </c>
      <c r="E2520" s="385"/>
      <c r="F2520" s="385"/>
      <c r="G2520" s="385"/>
      <c r="H2520" s="385">
        <v>2025</v>
      </c>
      <c r="I2520" s="386">
        <v>45793</v>
      </c>
      <c r="J2520" s="30" t="s">
        <v>5632</v>
      </c>
      <c r="K2520" s="385"/>
      <c r="L2520" s="385"/>
      <c r="M2520" s="385"/>
      <c r="N2520" s="385"/>
      <c r="O2520" s="385"/>
      <c r="P2520" s="385" t="str">
        <f>IFERROR(
    IF(
        OR(ISBLANK(I2520), ISBLANK(L2520)),
        "",
        MAX(
            1,
            IF(
                NETWORKDAYS(I2520, L2520, Holiday_Dates) &lt;= 0,
                1,
                NETWORKDAYS(I2520, L2520, Holiday_Dates) - IF(I2520 = L2520, 0, 1)
            )
        )
    ),
    ""
)</f>
        <v/>
      </c>
      <c r="Q2520" s="385" t="str">
        <f>IF(
    OR(ISBLANK(L2520), ISBLANK(M2520)),
    "",
    MAX(
        1,
        IF(
            NETWORKDAYS(L2520, M2520, Holiday_Dates) &lt;= 0,
            1,
            NETWORKDAYS(L2520, M2520, Holiday_Dates) - IF(L2520 = M2520, 0, 1)
        )
    )
)</f>
        <v/>
      </c>
      <c r="R2520" s="385" t="str">
        <f>IFERROR(
    IF(
        OR(ISBLANK(N2520), AND(ISBLANK(L2520), ISBLANK(M2520))),
        "",
        MAX(
            1,
            IF(
                NETWORKDAYS(IF(NOT(ISBLANK(M2520)), M2520, L2520), N2520, Holiday_Dates) &lt;= 0,
                1,
                NETWORKDAYS(IF(NOT(ISBLANK(M2520)), M2520, L2520), N2520, Holiday_Dates)
                - IF(IF(NOT(ISBLANK(M2520)), M2520, L2520) = N2520, 0, 1)
            )
        )
    ),
    ""
)</f>
        <v/>
      </c>
      <c r="S2520" s="385" t="str">
        <f>IFERROR(
    IF(
        OR(ISBLANK(N2520), ISBLANK(O2520)),
        "",
        MAX(
            1,
            IF(
                NETWORKDAYS(N2520, O2520, Holiday_Dates) &lt;= 0,
                1,
                NETWORKDAYS(N2520, O2520, Holiday_Dates) - IF(N2520 = O2520, 0, 1)
            )
        )
    ),
    ""
)</f>
        <v/>
      </c>
      <c r="T2520" s="385"/>
      <c r="U2520" s="385" t="s">
        <v>672</v>
      </c>
      <c r="V2520" s="385" t="s">
        <v>1676</v>
      </c>
      <c r="W2520" s="385" t="s">
        <v>1436</v>
      </c>
      <c r="X2520" s="1"/>
    </row>
    <row r="2521" spans="1:24">
      <c r="A2521" s="385" t="s">
        <v>51</v>
      </c>
      <c r="B2521" s="385" t="s">
        <v>534</v>
      </c>
      <c r="C2521" s="385" t="s">
        <v>3703</v>
      </c>
      <c r="D2521" s="385" t="s">
        <v>88</v>
      </c>
      <c r="E2521" s="385" t="s">
        <v>32</v>
      </c>
      <c r="F2521" s="385"/>
      <c r="G2521" s="385" t="s">
        <v>133</v>
      </c>
      <c r="H2521" s="385"/>
      <c r="I2521" s="385"/>
      <c r="J2521" s="30"/>
      <c r="K2521" s="385"/>
      <c r="L2521" s="385"/>
      <c r="M2521" s="385"/>
      <c r="N2521" s="385"/>
      <c r="O2521" s="385"/>
      <c r="P2521" s="385" t="str">
        <f>IFERROR(
    IF(
        OR(ISBLANK(I2521), ISBLANK(L2521)),
        "",
        MAX(
            1,
            IF(
                NETWORKDAYS(I2521, L2521, Holiday_Dates) &lt;= 0,
                1,
                NETWORKDAYS(I2521, L2521, Holiday_Dates) - IF(I2521 = L2521, 0, 1)
            )
        )
    ),
    ""
)</f>
        <v/>
      </c>
      <c r="Q2521" s="385" t="str">
        <f>IF(
    OR(ISBLANK(L2521), ISBLANK(M2521)),
    "",
    MAX(
        1,
        IF(
            NETWORKDAYS(L2521, M2521, Holiday_Dates) &lt;= 0,
            1,
            NETWORKDAYS(L2521, M2521, Holiday_Dates) - IF(L2521 = M2521, 0, 1)
        )
    )
)</f>
        <v/>
      </c>
      <c r="R2521" s="385" t="str">
        <f>IFERROR(
    IF(
        OR(ISBLANK(N2521), AND(ISBLANK(L2521), ISBLANK(M2521))),
        "",
        MAX(
            1,
            IF(
                NETWORKDAYS(IF(NOT(ISBLANK(M2521)), M2521, L2521), N2521, Holiday_Dates) &lt;= 0,
                1,
                NETWORKDAYS(IF(NOT(ISBLANK(M2521)), M2521, L2521), N2521, Holiday_Dates)
                - IF(IF(NOT(ISBLANK(M2521)), M2521, L2521) = N2521, 0, 1)
            )
        )
    ),
    ""
)</f>
        <v/>
      </c>
      <c r="S2521" s="385" t="str">
        <f>IFERROR(
    IF(
        OR(ISBLANK(N2521), ISBLANK(O2521)),
        "",
        MAX(
            1,
            IF(
                NETWORKDAYS(N2521, O2521, Holiday_Dates) &lt;= 0,
                1,
                NETWORKDAYS(N2521, O2521, Holiday_Dates) - IF(N2521 = O2521, 0, 1)
            )
        )
    ),
    ""
)</f>
        <v/>
      </c>
      <c r="T2521" s="385"/>
      <c r="U2521" s="385"/>
      <c r="V2521" s="385"/>
      <c r="W2521" s="385" t="s">
        <v>4710</v>
      </c>
      <c r="X2521" s="1"/>
    </row>
    <row r="2522" spans="1:24">
      <c r="A2522" s="385" t="s">
        <v>52</v>
      </c>
      <c r="B2522" s="385" t="s">
        <v>463</v>
      </c>
      <c r="C2522" s="385" t="s">
        <v>2932</v>
      </c>
      <c r="D2522" s="385" t="s">
        <v>89</v>
      </c>
      <c r="E2522" s="385"/>
      <c r="F2522" s="385"/>
      <c r="G2522" s="385"/>
      <c r="H2522" s="385">
        <v>2024</v>
      </c>
      <c r="I2522" s="386">
        <v>45568</v>
      </c>
      <c r="J2522" s="30"/>
      <c r="K2522" s="385"/>
      <c r="L2522" s="385"/>
      <c r="M2522" s="385"/>
      <c r="N2522" s="385"/>
      <c r="O2522" s="385"/>
      <c r="P2522" s="385" t="str">
        <f>IFERROR(
    IF(
        OR(ISBLANK(I2522), ISBLANK(L2522)),
        "",
        MAX(
            1,
            IF(
                NETWORKDAYS(I2522, L2522, Holiday_Dates) &lt;= 0,
                1,
                NETWORKDAYS(I2522, L2522, Holiday_Dates) - IF(I2522 = L2522, 0, 1)
            )
        )
    ),
    ""
)</f>
        <v/>
      </c>
      <c r="Q2522" s="385" t="str">
        <f>IF(
    OR(ISBLANK(L2522), ISBLANK(M2522)),
    "",
    MAX(
        1,
        IF(
            NETWORKDAYS(L2522, M2522, Holiday_Dates) &lt;= 0,
            1,
            NETWORKDAYS(L2522, M2522, Holiday_Dates) - IF(L2522 = M2522, 0, 1)
        )
    )
)</f>
        <v/>
      </c>
      <c r="R2522" s="385" t="str">
        <f>IFERROR(
    IF(
        OR(ISBLANK(N2522), AND(ISBLANK(L2522), ISBLANK(M2522))),
        "",
        MAX(
            1,
            IF(
                NETWORKDAYS(IF(NOT(ISBLANK(M2522)), M2522, L2522), N2522, Holiday_Dates) &lt;= 0,
                1,
                NETWORKDAYS(IF(NOT(ISBLANK(M2522)), M2522, L2522), N2522, Holiday_Dates)
                - IF(IF(NOT(ISBLANK(M2522)), M2522, L2522) = N2522, 0, 1)
            )
        )
    ),
    ""
)</f>
        <v/>
      </c>
      <c r="S2522" s="385" t="str">
        <f>IFERROR(
    IF(
        OR(ISBLANK(N2522), ISBLANK(O2522)),
        "",
        MAX(
            1,
            IF(
                NETWORKDAYS(N2522, O2522, Holiday_Dates) &lt;= 0,
                1,
                NETWORKDAYS(N2522, O2522, Holiday_Dates) - IF(N2522 = O2522, 0, 1)
            )
        )
    ),
    ""
)</f>
        <v/>
      </c>
      <c r="T2522" s="385"/>
      <c r="U2522" s="385" t="s">
        <v>4</v>
      </c>
      <c r="V2522" s="385" t="s">
        <v>101</v>
      </c>
      <c r="W2522" s="385" t="s">
        <v>1436</v>
      </c>
      <c r="X2522" s="1"/>
    </row>
    <row r="2523" spans="1:24">
      <c r="A2523" s="385" t="s">
        <v>51</v>
      </c>
      <c r="B2523" s="385" t="s">
        <v>534</v>
      </c>
      <c r="C2523" s="385" t="s">
        <v>3514</v>
      </c>
      <c r="D2523" s="385" t="s">
        <v>88</v>
      </c>
      <c r="E2523" s="385" t="s">
        <v>32</v>
      </c>
      <c r="F2523" s="385"/>
      <c r="G2523" s="385" t="s">
        <v>133</v>
      </c>
      <c r="H2523" s="385"/>
      <c r="I2523" s="385"/>
      <c r="J2523" s="30"/>
      <c r="K2523" s="385"/>
      <c r="L2523" s="385"/>
      <c r="M2523" s="385"/>
      <c r="N2523" s="385"/>
      <c r="O2523" s="385"/>
      <c r="P2523" s="385" t="str">
        <f>IFERROR(
    IF(
        OR(ISBLANK(I2523), ISBLANK(L2523)),
        "",
        MAX(
            1,
            IF(
                NETWORKDAYS(I2523, L2523, Holiday_Dates) &lt;= 0,
                1,
                NETWORKDAYS(I2523, L2523, Holiday_Dates) - IF(I2523 = L2523, 0, 1)
            )
        )
    ),
    ""
)</f>
        <v/>
      </c>
      <c r="Q2523" s="385" t="str">
        <f>IF(
    OR(ISBLANK(L2523), ISBLANK(M2523)),
    "",
    MAX(
        1,
        IF(
            NETWORKDAYS(L2523, M2523, Holiday_Dates) &lt;= 0,
            1,
            NETWORKDAYS(L2523, M2523, Holiday_Dates) - IF(L2523 = M2523, 0, 1)
        )
    )
)</f>
        <v/>
      </c>
      <c r="R2523" s="385" t="str">
        <f>IFERROR(
    IF(
        OR(ISBLANK(N2523), AND(ISBLANK(L2523), ISBLANK(M2523))),
        "",
        MAX(
            1,
            IF(
                NETWORKDAYS(IF(NOT(ISBLANK(M2523)), M2523, L2523), N2523, Holiday_Dates) &lt;= 0,
                1,
                NETWORKDAYS(IF(NOT(ISBLANK(M2523)), M2523, L2523), N2523, Holiday_Dates)
                - IF(IF(NOT(ISBLANK(M2523)), M2523, L2523) = N2523, 0, 1)
            )
        )
    ),
    ""
)</f>
        <v/>
      </c>
      <c r="S2523" s="385" t="str">
        <f>IFERROR(
    IF(
        OR(ISBLANK(N2523), ISBLANK(O2523)),
        "",
        MAX(
            1,
            IF(
                NETWORKDAYS(N2523, O2523, Holiday_Dates) &lt;= 0,
                1,
                NETWORKDAYS(N2523, O2523, Holiday_Dates) - IF(N2523 = O2523, 0, 1)
            )
        )
    ),
    ""
)</f>
        <v/>
      </c>
      <c r="T2523" s="385"/>
      <c r="U2523" s="385"/>
      <c r="V2523" s="385"/>
      <c r="W2523" s="385" t="s">
        <v>4710</v>
      </c>
      <c r="X2523" s="1"/>
    </row>
    <row r="2524" spans="1:24">
      <c r="A2524" s="385" t="s">
        <v>51</v>
      </c>
      <c r="B2524" s="385" t="s">
        <v>1080</v>
      </c>
      <c r="C2524" s="385" t="s">
        <v>3707</v>
      </c>
      <c r="D2524" s="385" t="s">
        <v>88</v>
      </c>
      <c r="E2524" s="385" t="s">
        <v>142</v>
      </c>
      <c r="F2524" s="385"/>
      <c r="G2524" s="385" t="s">
        <v>239</v>
      </c>
      <c r="H2524" s="385"/>
      <c r="I2524" s="385"/>
      <c r="J2524" s="30"/>
      <c r="K2524" s="385"/>
      <c r="L2524" s="385"/>
      <c r="M2524" s="385"/>
      <c r="N2524" s="385"/>
      <c r="O2524" s="385"/>
      <c r="P2524" s="385" t="str">
        <f>IFERROR(
    IF(
        OR(ISBLANK(I2524), ISBLANK(L2524)),
        "",
        MAX(
            1,
            IF(
                NETWORKDAYS(I2524, L2524, Holiday_Dates) &lt;= 0,
                1,
                NETWORKDAYS(I2524, L2524, Holiday_Dates) - IF(I2524 = L2524, 0, 1)
            )
        )
    ),
    ""
)</f>
        <v/>
      </c>
      <c r="Q2524" s="385" t="str">
        <f>IF(
    OR(ISBLANK(L2524), ISBLANK(M2524)),
    "",
    MAX(
        1,
        IF(
            NETWORKDAYS(L2524, M2524, Holiday_Dates) &lt;= 0,
            1,
            NETWORKDAYS(L2524, M2524, Holiday_Dates) - IF(L2524 = M2524, 0, 1)
        )
    )
)</f>
        <v/>
      </c>
      <c r="R2524" s="385" t="str">
        <f>IFERROR(
    IF(
        OR(ISBLANK(N2524), AND(ISBLANK(L2524), ISBLANK(M2524))),
        "",
        MAX(
            1,
            IF(
                NETWORKDAYS(IF(NOT(ISBLANK(M2524)), M2524, L2524), N2524, Holiday_Dates) &lt;= 0,
                1,
                NETWORKDAYS(IF(NOT(ISBLANK(M2524)), M2524, L2524), N2524, Holiday_Dates)
                - IF(IF(NOT(ISBLANK(M2524)), M2524, L2524) = N2524, 0, 1)
            )
        )
    ),
    ""
)</f>
        <v/>
      </c>
      <c r="S2524" s="385" t="str">
        <f>IFERROR(
    IF(
        OR(ISBLANK(N2524), ISBLANK(O2524)),
        "",
        MAX(
            1,
            IF(
                NETWORKDAYS(N2524, O2524, Holiday_Dates) &lt;= 0,
                1,
                NETWORKDAYS(N2524, O2524, Holiday_Dates) - IF(N2524 = O2524, 0, 1)
            )
        )
    ),
    ""
)</f>
        <v/>
      </c>
      <c r="T2524" s="385"/>
      <c r="U2524" s="385"/>
      <c r="V2524" s="385"/>
      <c r="W2524" s="385" t="s">
        <v>4710</v>
      </c>
      <c r="X2524" s="1"/>
    </row>
    <row r="2525" spans="1:24">
      <c r="A2525" s="385" t="s">
        <v>51</v>
      </c>
      <c r="B2525" s="385" t="s">
        <v>1080</v>
      </c>
      <c r="C2525" s="385" t="s">
        <v>2276</v>
      </c>
      <c r="D2525" s="385" t="s">
        <v>88</v>
      </c>
      <c r="E2525" s="385" t="s">
        <v>142</v>
      </c>
      <c r="F2525" s="385"/>
      <c r="G2525" s="385" t="s">
        <v>239</v>
      </c>
      <c r="H2525" s="385"/>
      <c r="I2525" s="385"/>
      <c r="J2525" s="30"/>
      <c r="K2525" s="385"/>
      <c r="L2525" s="385"/>
      <c r="M2525" s="385"/>
      <c r="N2525" s="385"/>
      <c r="O2525" s="385"/>
      <c r="P2525" s="385" t="str">
        <f>IFERROR(
    IF(
        OR(ISBLANK(I2525), ISBLANK(L2525)),
        "",
        MAX(
            1,
            IF(
                NETWORKDAYS(I2525, L2525, Holiday_Dates) &lt;= 0,
                1,
                NETWORKDAYS(I2525, L2525, Holiday_Dates) - IF(I2525 = L2525, 0, 1)
            )
        )
    ),
    ""
)</f>
        <v/>
      </c>
      <c r="Q2525" s="385" t="str">
        <f>IF(
    OR(ISBLANK(L2525), ISBLANK(M2525)),
    "",
    MAX(
        1,
        IF(
            NETWORKDAYS(L2525, M2525, Holiday_Dates) &lt;= 0,
            1,
            NETWORKDAYS(L2525, M2525, Holiday_Dates) - IF(L2525 = M2525, 0, 1)
        )
    )
)</f>
        <v/>
      </c>
      <c r="R2525" s="385" t="str">
        <f>IFERROR(
    IF(
        OR(ISBLANK(N2525), AND(ISBLANK(L2525), ISBLANK(M2525))),
        "",
        MAX(
            1,
            IF(
                NETWORKDAYS(IF(NOT(ISBLANK(M2525)), M2525, L2525), N2525, Holiday_Dates) &lt;= 0,
                1,
                NETWORKDAYS(IF(NOT(ISBLANK(M2525)), M2525, L2525), N2525, Holiday_Dates)
                - IF(IF(NOT(ISBLANK(M2525)), M2525, L2525) = N2525, 0, 1)
            )
        )
    ),
    ""
)</f>
        <v/>
      </c>
      <c r="S2525" s="385" t="str">
        <f>IFERROR(
    IF(
        OR(ISBLANK(N2525), ISBLANK(O2525)),
        "",
        MAX(
            1,
            IF(
                NETWORKDAYS(N2525, O2525, Holiday_Dates) &lt;= 0,
                1,
                NETWORKDAYS(N2525, O2525, Holiday_Dates) - IF(N2525 = O2525, 0, 1)
            )
        )
    ),
    ""
)</f>
        <v/>
      </c>
      <c r="T2525" s="385"/>
      <c r="U2525" s="385"/>
      <c r="V2525" s="385"/>
      <c r="W2525" s="385" t="s">
        <v>4710</v>
      </c>
      <c r="X2525" s="1"/>
    </row>
    <row r="2526" spans="1:24">
      <c r="A2526" s="385" t="s">
        <v>51</v>
      </c>
      <c r="B2526" s="385" t="s">
        <v>1080</v>
      </c>
      <c r="C2526" s="385" t="s">
        <v>764</v>
      </c>
      <c r="D2526" s="385" t="s">
        <v>88</v>
      </c>
      <c r="E2526" s="385" t="s">
        <v>142</v>
      </c>
      <c r="F2526" s="385"/>
      <c r="G2526" s="385" t="s">
        <v>239</v>
      </c>
      <c r="H2526" s="385"/>
      <c r="I2526" s="385"/>
      <c r="J2526" s="30"/>
      <c r="K2526" s="385"/>
      <c r="L2526" s="385"/>
      <c r="M2526" s="385"/>
      <c r="N2526" s="385"/>
      <c r="O2526" s="385"/>
      <c r="P2526" s="385" t="str">
        <f>IFERROR(
    IF(
        OR(ISBLANK(I2526), ISBLANK(L2526)),
        "",
        MAX(
            1,
            IF(
                NETWORKDAYS(I2526, L2526, Holiday_Dates) &lt;= 0,
                1,
                NETWORKDAYS(I2526, L2526, Holiday_Dates) - IF(I2526 = L2526, 0, 1)
            )
        )
    ),
    ""
)</f>
        <v/>
      </c>
      <c r="Q2526" s="385" t="str">
        <f>IF(
    OR(ISBLANK(L2526), ISBLANK(M2526)),
    "",
    MAX(
        1,
        IF(
            NETWORKDAYS(L2526, M2526, Holiday_Dates) &lt;= 0,
            1,
            NETWORKDAYS(L2526, M2526, Holiday_Dates) - IF(L2526 = M2526, 0, 1)
        )
    )
)</f>
        <v/>
      </c>
      <c r="R2526" s="385" t="str">
        <f>IFERROR(
    IF(
        OR(ISBLANK(N2526), AND(ISBLANK(L2526), ISBLANK(M2526))),
        "",
        MAX(
            1,
            IF(
                NETWORKDAYS(IF(NOT(ISBLANK(M2526)), M2526, L2526), N2526, Holiday_Dates) &lt;= 0,
                1,
                NETWORKDAYS(IF(NOT(ISBLANK(M2526)), M2526, L2526), N2526, Holiday_Dates)
                - IF(IF(NOT(ISBLANK(M2526)), M2526, L2526) = N2526, 0, 1)
            )
        )
    ),
    ""
)</f>
        <v/>
      </c>
      <c r="S2526" s="385" t="str">
        <f>IFERROR(
    IF(
        OR(ISBLANK(N2526), ISBLANK(O2526)),
        "",
        MAX(
            1,
            IF(
                NETWORKDAYS(N2526, O2526, Holiday_Dates) &lt;= 0,
                1,
                NETWORKDAYS(N2526, O2526, Holiday_Dates) - IF(N2526 = O2526, 0, 1)
            )
        )
    ),
    ""
)</f>
        <v/>
      </c>
      <c r="T2526" s="385"/>
      <c r="U2526" s="385"/>
      <c r="V2526" s="385"/>
      <c r="W2526" s="385" t="s">
        <v>4710</v>
      </c>
      <c r="X2526" s="1"/>
    </row>
    <row r="2527" spans="1:24">
      <c r="A2527" s="385" t="s">
        <v>51</v>
      </c>
      <c r="B2527" s="385" t="s">
        <v>1080</v>
      </c>
      <c r="C2527" s="385" t="s">
        <v>2234</v>
      </c>
      <c r="D2527" s="385" t="s">
        <v>88</v>
      </c>
      <c r="E2527" s="385" t="s">
        <v>142</v>
      </c>
      <c r="F2527" s="385"/>
      <c r="G2527" s="385" t="s">
        <v>239</v>
      </c>
      <c r="H2527" s="385"/>
      <c r="I2527" s="385"/>
      <c r="J2527" s="30"/>
      <c r="K2527" s="385"/>
      <c r="L2527" s="385"/>
      <c r="M2527" s="385"/>
      <c r="N2527" s="385"/>
      <c r="O2527" s="385"/>
      <c r="P2527" s="385" t="str">
        <f>IFERROR(
    IF(
        OR(ISBLANK(I2527), ISBLANK(L2527)),
        "",
        MAX(
            1,
            IF(
                NETWORKDAYS(I2527, L2527, Holiday_Dates) &lt;= 0,
                1,
                NETWORKDAYS(I2527, L2527, Holiday_Dates) - IF(I2527 = L2527, 0, 1)
            )
        )
    ),
    ""
)</f>
        <v/>
      </c>
      <c r="Q2527" s="385" t="str">
        <f>IF(
    OR(ISBLANK(L2527), ISBLANK(M2527)),
    "",
    MAX(
        1,
        IF(
            NETWORKDAYS(L2527, M2527, Holiday_Dates) &lt;= 0,
            1,
            NETWORKDAYS(L2527, M2527, Holiday_Dates) - IF(L2527 = M2527, 0, 1)
        )
    )
)</f>
        <v/>
      </c>
      <c r="R2527" s="385" t="str">
        <f>IFERROR(
    IF(
        OR(ISBLANK(N2527), AND(ISBLANK(L2527), ISBLANK(M2527))),
        "",
        MAX(
            1,
            IF(
                NETWORKDAYS(IF(NOT(ISBLANK(M2527)), M2527, L2527), N2527, Holiday_Dates) &lt;= 0,
                1,
                NETWORKDAYS(IF(NOT(ISBLANK(M2527)), M2527, L2527), N2527, Holiday_Dates)
                - IF(IF(NOT(ISBLANK(M2527)), M2527, L2527) = N2527, 0, 1)
            )
        )
    ),
    ""
)</f>
        <v/>
      </c>
      <c r="S2527" s="385" t="str">
        <f>IFERROR(
    IF(
        OR(ISBLANK(N2527), ISBLANK(O2527)),
        "",
        MAX(
            1,
            IF(
                NETWORKDAYS(N2527, O2527, Holiday_Dates) &lt;= 0,
                1,
                NETWORKDAYS(N2527, O2527, Holiday_Dates) - IF(N2527 = O2527, 0, 1)
            )
        )
    ),
    ""
)</f>
        <v/>
      </c>
      <c r="T2527" s="385"/>
      <c r="U2527" s="385"/>
      <c r="V2527" s="385"/>
      <c r="W2527" s="385" t="s">
        <v>4710</v>
      </c>
      <c r="X2527" s="1"/>
    </row>
    <row r="2528" spans="1:24">
      <c r="A2528" s="385" t="s">
        <v>52</v>
      </c>
      <c r="B2528" s="385" t="s">
        <v>463</v>
      </c>
      <c r="C2528" s="385" t="s">
        <v>4035</v>
      </c>
      <c r="D2528" s="385" t="s">
        <v>89</v>
      </c>
      <c r="E2528" s="385"/>
      <c r="F2528" s="385"/>
      <c r="G2528" s="385"/>
      <c r="H2528" s="385">
        <v>2025</v>
      </c>
      <c r="I2528" s="386">
        <v>45875</v>
      </c>
      <c r="J2528" s="30" t="s">
        <v>5633</v>
      </c>
      <c r="K2528" s="385"/>
      <c r="L2528" s="385"/>
      <c r="M2528" s="385"/>
      <c r="N2528" s="385"/>
      <c r="O2528" s="385"/>
      <c r="P2528" s="385" t="str">
        <f>IFERROR(
    IF(
        OR(ISBLANK(I2528), ISBLANK(L2528)),
        "",
        MAX(
            1,
            IF(
                NETWORKDAYS(I2528, L2528, Holiday_Dates) &lt;= 0,
                1,
                NETWORKDAYS(I2528, L2528, Holiday_Dates) - IF(I2528 = L2528, 0, 1)
            )
        )
    ),
    ""
)</f>
        <v/>
      </c>
      <c r="Q2528" s="385" t="str">
        <f>IF(
    OR(ISBLANK(L2528), ISBLANK(M2528)),
    "",
    MAX(
        1,
        IF(
            NETWORKDAYS(L2528, M2528, Holiday_Dates) &lt;= 0,
            1,
            NETWORKDAYS(L2528, M2528, Holiday_Dates) - IF(L2528 = M2528, 0, 1)
        )
    )
)</f>
        <v/>
      </c>
      <c r="R2528" s="385" t="str">
        <f>IFERROR(
    IF(
        OR(ISBLANK(N2528), AND(ISBLANK(L2528), ISBLANK(M2528))),
        "",
        MAX(
            1,
            IF(
                NETWORKDAYS(IF(NOT(ISBLANK(M2528)), M2528, L2528), N2528, Holiday_Dates) &lt;= 0,
                1,
                NETWORKDAYS(IF(NOT(ISBLANK(M2528)), M2528, L2528), N2528, Holiday_Dates)
                - IF(IF(NOT(ISBLANK(M2528)), M2528, L2528) = N2528, 0, 1)
            )
        )
    ),
    ""
)</f>
        <v/>
      </c>
      <c r="S2528" s="385" t="str">
        <f>IFERROR(
    IF(
        OR(ISBLANK(N2528), ISBLANK(O2528)),
        "",
        MAX(
            1,
            IF(
                NETWORKDAYS(N2528, O2528, Holiday_Dates) &lt;= 0,
                1,
                NETWORKDAYS(N2528, O2528, Holiday_Dates) - IF(N2528 = O2528, 0, 1)
            )
        )
    ),
    ""
)</f>
        <v/>
      </c>
      <c r="T2528" s="385"/>
      <c r="U2528" s="385" t="s">
        <v>4</v>
      </c>
      <c r="V2528" s="385" t="s">
        <v>101</v>
      </c>
      <c r="W2528" s="385" t="s">
        <v>1436</v>
      </c>
      <c r="X2528" s="1"/>
    </row>
    <row r="2529" spans="1:24">
      <c r="A2529" s="385" t="s">
        <v>51</v>
      </c>
      <c r="B2529" s="385" t="s">
        <v>1080</v>
      </c>
      <c r="C2529" s="385" t="s">
        <v>653</v>
      </c>
      <c r="D2529" s="385" t="s">
        <v>88</v>
      </c>
      <c r="E2529" s="385" t="s">
        <v>142</v>
      </c>
      <c r="F2529" s="385"/>
      <c r="G2529" s="385" t="s">
        <v>239</v>
      </c>
      <c r="H2529" s="385"/>
      <c r="I2529" s="385"/>
      <c r="J2529" s="30"/>
      <c r="K2529" s="385"/>
      <c r="L2529" s="385"/>
      <c r="M2529" s="385"/>
      <c r="N2529" s="385"/>
      <c r="O2529" s="385"/>
      <c r="P2529" s="385" t="str">
        <f>IFERROR(
    IF(
        OR(ISBLANK(I2529), ISBLANK(L2529)),
        "",
        MAX(
            1,
            IF(
                NETWORKDAYS(I2529, L2529, Holiday_Dates) &lt;= 0,
                1,
                NETWORKDAYS(I2529, L2529, Holiday_Dates) - IF(I2529 = L2529, 0, 1)
            )
        )
    ),
    ""
)</f>
        <v/>
      </c>
      <c r="Q2529" s="385" t="str">
        <f>IF(
    OR(ISBLANK(L2529), ISBLANK(M2529)),
    "",
    MAX(
        1,
        IF(
            NETWORKDAYS(L2529, M2529, Holiday_Dates) &lt;= 0,
            1,
            NETWORKDAYS(L2529, M2529, Holiday_Dates) - IF(L2529 = M2529, 0, 1)
        )
    )
)</f>
        <v/>
      </c>
      <c r="R2529" s="385" t="str">
        <f>IFERROR(
    IF(
        OR(ISBLANK(N2529), AND(ISBLANK(L2529), ISBLANK(M2529))),
        "",
        MAX(
            1,
            IF(
                NETWORKDAYS(IF(NOT(ISBLANK(M2529)), M2529, L2529), N2529, Holiday_Dates) &lt;= 0,
                1,
                NETWORKDAYS(IF(NOT(ISBLANK(M2529)), M2529, L2529), N2529, Holiday_Dates)
                - IF(IF(NOT(ISBLANK(M2529)), M2529, L2529) = N2529, 0, 1)
            )
        )
    ),
    ""
)</f>
        <v/>
      </c>
      <c r="S2529" s="385" t="str">
        <f>IFERROR(
    IF(
        OR(ISBLANK(N2529), ISBLANK(O2529)),
        "",
        MAX(
            1,
            IF(
                NETWORKDAYS(N2529, O2529, Holiday_Dates) &lt;= 0,
                1,
                NETWORKDAYS(N2529, O2529, Holiday_Dates) - IF(N2529 = O2529, 0, 1)
            )
        )
    ),
    ""
)</f>
        <v/>
      </c>
      <c r="T2529" s="385"/>
      <c r="U2529" s="385"/>
      <c r="V2529" s="385"/>
      <c r="W2529" s="385" t="s">
        <v>4710</v>
      </c>
      <c r="X2529" s="1"/>
    </row>
    <row r="2530" spans="1:24">
      <c r="A2530" s="385" t="s">
        <v>51</v>
      </c>
      <c r="B2530" s="385" t="s">
        <v>1080</v>
      </c>
      <c r="C2530" s="385" t="s">
        <v>3712</v>
      </c>
      <c r="D2530" s="385" t="s">
        <v>88</v>
      </c>
      <c r="E2530" s="385" t="s">
        <v>142</v>
      </c>
      <c r="F2530" s="385"/>
      <c r="G2530" s="385" t="s">
        <v>239</v>
      </c>
      <c r="H2530" s="385"/>
      <c r="I2530" s="385"/>
      <c r="J2530" s="30"/>
      <c r="K2530" s="385"/>
      <c r="L2530" s="385"/>
      <c r="M2530" s="385"/>
      <c r="N2530" s="385"/>
      <c r="O2530" s="385"/>
      <c r="P2530" s="385" t="str">
        <f>IFERROR(
    IF(
        OR(ISBLANK(I2530), ISBLANK(L2530)),
        "",
        MAX(
            1,
            IF(
                NETWORKDAYS(I2530, L2530, Holiday_Dates) &lt;= 0,
                1,
                NETWORKDAYS(I2530, L2530, Holiday_Dates) - IF(I2530 = L2530, 0, 1)
            )
        )
    ),
    ""
)</f>
        <v/>
      </c>
      <c r="Q2530" s="385" t="str">
        <f>IF(
    OR(ISBLANK(L2530), ISBLANK(M2530)),
    "",
    MAX(
        1,
        IF(
            NETWORKDAYS(L2530, M2530, Holiday_Dates) &lt;= 0,
            1,
            NETWORKDAYS(L2530, M2530, Holiday_Dates) - IF(L2530 = M2530, 0, 1)
        )
    )
)</f>
        <v/>
      </c>
      <c r="R2530" s="385" t="str">
        <f>IFERROR(
    IF(
        OR(ISBLANK(N2530), AND(ISBLANK(L2530), ISBLANK(M2530))),
        "",
        MAX(
            1,
            IF(
                NETWORKDAYS(IF(NOT(ISBLANK(M2530)), M2530, L2530), N2530, Holiday_Dates) &lt;= 0,
                1,
                NETWORKDAYS(IF(NOT(ISBLANK(M2530)), M2530, L2530), N2530, Holiday_Dates)
                - IF(IF(NOT(ISBLANK(M2530)), M2530, L2530) = N2530, 0, 1)
            )
        )
    ),
    ""
)</f>
        <v/>
      </c>
      <c r="S2530" s="385" t="str">
        <f>IFERROR(
    IF(
        OR(ISBLANK(N2530), ISBLANK(O2530)),
        "",
        MAX(
            1,
            IF(
                NETWORKDAYS(N2530, O2530, Holiday_Dates) &lt;= 0,
                1,
                NETWORKDAYS(N2530, O2530, Holiday_Dates) - IF(N2530 = O2530, 0, 1)
            )
        )
    ),
    ""
)</f>
        <v/>
      </c>
      <c r="T2530" s="385"/>
      <c r="U2530" s="385"/>
      <c r="V2530" s="385"/>
      <c r="W2530" s="385" t="s">
        <v>4710</v>
      </c>
      <c r="X2530" s="1"/>
    </row>
    <row r="2531" spans="1:24">
      <c r="A2531" s="385" t="s">
        <v>52</v>
      </c>
      <c r="B2531" s="385" t="s">
        <v>463</v>
      </c>
      <c r="C2531" s="385" t="s">
        <v>4038</v>
      </c>
      <c r="D2531" s="385" t="s">
        <v>89</v>
      </c>
      <c r="E2531" s="385"/>
      <c r="F2531" s="385"/>
      <c r="G2531" s="385"/>
      <c r="H2531" s="385">
        <v>2024</v>
      </c>
      <c r="I2531" s="386">
        <v>45544</v>
      </c>
      <c r="J2531" s="30"/>
      <c r="K2531" s="385"/>
      <c r="L2531" s="385"/>
      <c r="M2531" s="385"/>
      <c r="N2531" s="385"/>
      <c r="O2531" s="385"/>
      <c r="P2531" s="385" t="str">
        <f>IFERROR(
    IF(
        OR(ISBLANK(I2531), ISBLANK(L2531)),
        "",
        MAX(
            1,
            IF(
                NETWORKDAYS(I2531, L2531, Holiday_Dates) &lt;= 0,
                1,
                NETWORKDAYS(I2531, L2531, Holiday_Dates) - IF(I2531 = L2531, 0, 1)
            )
        )
    ),
    ""
)</f>
        <v/>
      </c>
      <c r="Q2531" s="385" t="str">
        <f>IF(
    OR(ISBLANK(L2531), ISBLANK(M2531)),
    "",
    MAX(
        1,
        IF(
            NETWORKDAYS(L2531, M2531, Holiday_Dates) &lt;= 0,
            1,
            NETWORKDAYS(L2531, M2531, Holiday_Dates) - IF(L2531 = M2531, 0, 1)
        )
    )
)</f>
        <v/>
      </c>
      <c r="R2531" s="385" t="str">
        <f>IFERROR(
    IF(
        OR(ISBLANK(N2531), AND(ISBLANK(L2531), ISBLANK(M2531))),
        "",
        MAX(
            1,
            IF(
                NETWORKDAYS(IF(NOT(ISBLANK(M2531)), M2531, L2531), N2531, Holiday_Dates) &lt;= 0,
                1,
                NETWORKDAYS(IF(NOT(ISBLANK(M2531)), M2531, L2531), N2531, Holiday_Dates)
                - IF(IF(NOT(ISBLANK(M2531)), M2531, L2531) = N2531, 0, 1)
            )
        )
    ),
    ""
)</f>
        <v/>
      </c>
      <c r="S2531" s="385" t="str">
        <f>IFERROR(
    IF(
        OR(ISBLANK(N2531), ISBLANK(O2531)),
        "",
        MAX(
            1,
            IF(
                NETWORKDAYS(N2531, O2531, Holiday_Dates) &lt;= 0,
                1,
                NETWORKDAYS(N2531, O2531, Holiday_Dates) - IF(N2531 = O2531, 0, 1)
            )
        )
    ),
    ""
)</f>
        <v/>
      </c>
      <c r="T2531" s="385"/>
      <c r="U2531" s="385" t="s">
        <v>672</v>
      </c>
      <c r="V2531" s="385" t="s">
        <v>101</v>
      </c>
      <c r="W2531" s="385" t="s">
        <v>1436</v>
      </c>
      <c r="X2531" s="1"/>
    </row>
    <row r="2532" spans="1:24">
      <c r="A2532" s="385" t="s">
        <v>51</v>
      </c>
      <c r="B2532" s="385" t="s">
        <v>1080</v>
      </c>
      <c r="C2532" s="385" t="s">
        <v>3714</v>
      </c>
      <c r="D2532" s="385" t="s">
        <v>88</v>
      </c>
      <c r="E2532" s="385" t="s">
        <v>142</v>
      </c>
      <c r="F2532" s="385"/>
      <c r="G2532" s="385" t="s">
        <v>239</v>
      </c>
      <c r="H2532" s="385"/>
      <c r="I2532" s="385"/>
      <c r="J2532" s="30"/>
      <c r="K2532" s="385"/>
      <c r="L2532" s="385"/>
      <c r="M2532" s="385"/>
      <c r="N2532" s="385"/>
      <c r="O2532" s="385"/>
      <c r="P2532" s="385" t="str">
        <f>IFERROR(
    IF(
        OR(ISBLANK(I2532), ISBLANK(L2532)),
        "",
        MAX(
            1,
            IF(
                NETWORKDAYS(I2532, L2532, Holiday_Dates) &lt;= 0,
                1,
                NETWORKDAYS(I2532, L2532, Holiday_Dates) - IF(I2532 = L2532, 0, 1)
            )
        )
    ),
    ""
)</f>
        <v/>
      </c>
      <c r="Q2532" s="385" t="str">
        <f>IF(
    OR(ISBLANK(L2532), ISBLANK(M2532)),
    "",
    MAX(
        1,
        IF(
            NETWORKDAYS(L2532, M2532, Holiday_Dates) &lt;= 0,
            1,
            NETWORKDAYS(L2532, M2532, Holiday_Dates) - IF(L2532 = M2532, 0, 1)
        )
    )
)</f>
        <v/>
      </c>
      <c r="R2532" s="385" t="str">
        <f>IFERROR(
    IF(
        OR(ISBLANK(N2532), AND(ISBLANK(L2532), ISBLANK(M2532))),
        "",
        MAX(
            1,
            IF(
                NETWORKDAYS(IF(NOT(ISBLANK(M2532)), M2532, L2532), N2532, Holiday_Dates) &lt;= 0,
                1,
                NETWORKDAYS(IF(NOT(ISBLANK(M2532)), M2532, L2532), N2532, Holiday_Dates)
                - IF(IF(NOT(ISBLANK(M2532)), M2532, L2532) = N2532, 0, 1)
            )
        )
    ),
    ""
)</f>
        <v/>
      </c>
      <c r="S2532" s="385" t="str">
        <f>IFERROR(
    IF(
        OR(ISBLANK(N2532), ISBLANK(O2532)),
        "",
        MAX(
            1,
            IF(
                NETWORKDAYS(N2532, O2532, Holiday_Dates) &lt;= 0,
                1,
                NETWORKDAYS(N2532, O2532, Holiday_Dates) - IF(N2532 = O2532, 0, 1)
            )
        )
    ),
    ""
)</f>
        <v/>
      </c>
      <c r="T2532" s="385"/>
      <c r="U2532" s="385"/>
      <c r="V2532" s="385"/>
      <c r="W2532" s="385" t="s">
        <v>4710</v>
      </c>
      <c r="X2532" s="1"/>
    </row>
    <row r="2533" spans="1:24">
      <c r="A2533" s="385" t="s">
        <v>52</v>
      </c>
      <c r="B2533" s="385" t="s">
        <v>463</v>
      </c>
      <c r="C2533" s="385" t="s">
        <v>4041</v>
      </c>
      <c r="D2533" s="385" t="s">
        <v>89</v>
      </c>
      <c r="E2533" s="385"/>
      <c r="F2533" s="385"/>
      <c r="G2533" s="385"/>
      <c r="H2533" s="385">
        <v>2025</v>
      </c>
      <c r="I2533" s="386">
        <v>45819</v>
      </c>
      <c r="J2533" s="30" t="s">
        <v>5634</v>
      </c>
      <c r="K2533" s="385"/>
      <c r="L2533" s="385"/>
      <c r="M2533" s="385"/>
      <c r="N2533" s="385"/>
      <c r="O2533" s="385"/>
      <c r="P2533" s="385" t="str">
        <f>IFERROR(
    IF(
        OR(ISBLANK(I2533), ISBLANK(L2533)),
        "",
        MAX(
            1,
            IF(
                NETWORKDAYS(I2533, L2533, Holiday_Dates) &lt;= 0,
                1,
                NETWORKDAYS(I2533, L2533, Holiday_Dates) - IF(I2533 = L2533, 0, 1)
            )
        )
    ),
    ""
)</f>
        <v/>
      </c>
      <c r="Q2533" s="385" t="str">
        <f>IF(
    OR(ISBLANK(L2533), ISBLANK(M2533)),
    "",
    MAX(
        1,
        IF(
            NETWORKDAYS(L2533, M2533, Holiday_Dates) &lt;= 0,
            1,
            NETWORKDAYS(L2533, M2533, Holiday_Dates) - IF(L2533 = M2533, 0, 1)
        )
    )
)</f>
        <v/>
      </c>
      <c r="R2533" s="385" t="str">
        <f>IFERROR(
    IF(
        OR(ISBLANK(N2533), AND(ISBLANK(L2533), ISBLANK(M2533))),
        "",
        MAX(
            1,
            IF(
                NETWORKDAYS(IF(NOT(ISBLANK(M2533)), M2533, L2533), N2533, Holiday_Dates) &lt;= 0,
                1,
                NETWORKDAYS(IF(NOT(ISBLANK(M2533)), M2533, L2533), N2533, Holiday_Dates)
                - IF(IF(NOT(ISBLANK(M2533)), M2533, L2533) = N2533, 0, 1)
            )
        )
    ),
    ""
)</f>
        <v/>
      </c>
      <c r="S2533" s="385" t="str">
        <f>IFERROR(
    IF(
        OR(ISBLANK(N2533), ISBLANK(O2533)),
        "",
        MAX(
            1,
            IF(
                NETWORKDAYS(N2533, O2533, Holiday_Dates) &lt;= 0,
                1,
                NETWORKDAYS(N2533, O2533, Holiday_Dates) - IF(N2533 = O2533, 0, 1)
            )
        )
    ),
    ""
)</f>
        <v/>
      </c>
      <c r="T2533" s="385"/>
      <c r="U2533" s="385" t="s">
        <v>672</v>
      </c>
      <c r="V2533" s="385" t="s">
        <v>101</v>
      </c>
      <c r="W2533" s="385" t="s">
        <v>1436</v>
      </c>
      <c r="X2533" s="1"/>
    </row>
    <row r="2534" spans="1:24">
      <c r="A2534" s="385" t="s">
        <v>52</v>
      </c>
      <c r="B2534" s="385" t="s">
        <v>463</v>
      </c>
      <c r="C2534" s="385" t="s">
        <v>4042</v>
      </c>
      <c r="D2534" s="385" t="s">
        <v>89</v>
      </c>
      <c r="E2534" s="385"/>
      <c r="F2534" s="385"/>
      <c r="G2534" s="385"/>
      <c r="H2534" s="385">
        <v>2024</v>
      </c>
      <c r="I2534" s="386">
        <v>45602</v>
      </c>
      <c r="J2534" s="30"/>
      <c r="K2534" s="385"/>
      <c r="L2534" s="385"/>
      <c r="M2534" s="385"/>
      <c r="N2534" s="385"/>
      <c r="O2534" s="385"/>
      <c r="P2534" s="385" t="str">
        <f>IFERROR(
    IF(
        OR(ISBLANK(I2534), ISBLANK(L2534)),
        "",
        MAX(
            1,
            IF(
                NETWORKDAYS(I2534, L2534, Holiday_Dates) &lt;= 0,
                1,
                NETWORKDAYS(I2534, L2534, Holiday_Dates) - IF(I2534 = L2534, 0, 1)
            )
        )
    ),
    ""
)</f>
        <v/>
      </c>
      <c r="Q2534" s="385" t="str">
        <f>IF(
    OR(ISBLANK(L2534), ISBLANK(M2534)),
    "",
    MAX(
        1,
        IF(
            NETWORKDAYS(L2534, M2534, Holiday_Dates) &lt;= 0,
            1,
            NETWORKDAYS(L2534, M2534, Holiday_Dates) - IF(L2534 = M2534, 0, 1)
        )
    )
)</f>
        <v/>
      </c>
      <c r="R2534" s="385" t="str">
        <f>IFERROR(
    IF(
        OR(ISBLANK(N2534), AND(ISBLANK(L2534), ISBLANK(M2534))),
        "",
        MAX(
            1,
            IF(
                NETWORKDAYS(IF(NOT(ISBLANK(M2534)), M2534, L2534), N2534, Holiday_Dates) &lt;= 0,
                1,
                NETWORKDAYS(IF(NOT(ISBLANK(M2534)), M2534, L2534), N2534, Holiday_Dates)
                - IF(IF(NOT(ISBLANK(M2534)), M2534, L2534) = N2534, 0, 1)
            )
        )
    ),
    ""
)</f>
        <v/>
      </c>
      <c r="S2534" s="385" t="str">
        <f>IFERROR(
    IF(
        OR(ISBLANK(N2534), ISBLANK(O2534)),
        "",
        MAX(
            1,
            IF(
                NETWORKDAYS(N2534, O2534, Holiday_Dates) &lt;= 0,
                1,
                NETWORKDAYS(N2534, O2534, Holiday_Dates) - IF(N2534 = O2534, 0, 1)
            )
        )
    ),
    ""
)</f>
        <v/>
      </c>
      <c r="T2534" s="385"/>
      <c r="U2534" s="385" t="s">
        <v>672</v>
      </c>
      <c r="V2534" s="385" t="s">
        <v>101</v>
      </c>
      <c r="W2534" s="385" t="s">
        <v>1436</v>
      </c>
      <c r="X2534" s="1"/>
    </row>
    <row r="2535" spans="1:24">
      <c r="A2535" s="385" t="s">
        <v>52</v>
      </c>
      <c r="B2535" s="385" t="s">
        <v>463</v>
      </c>
      <c r="C2535" s="385" t="s">
        <v>4044</v>
      </c>
      <c r="D2535" s="385" t="s">
        <v>89</v>
      </c>
      <c r="E2535" s="385"/>
      <c r="F2535" s="385"/>
      <c r="G2535" s="385"/>
      <c r="H2535" s="385">
        <v>2024</v>
      </c>
      <c r="I2535" s="386">
        <v>45386</v>
      </c>
      <c r="J2535" s="30"/>
      <c r="K2535" s="385"/>
      <c r="L2535" s="385"/>
      <c r="M2535" s="385"/>
      <c r="N2535" s="385"/>
      <c r="O2535" s="385"/>
      <c r="P2535" s="385" t="str">
        <f>IFERROR(
    IF(
        OR(ISBLANK(I2535), ISBLANK(L2535)),
        "",
        MAX(
            1,
            IF(
                NETWORKDAYS(I2535, L2535, Holiday_Dates) &lt;= 0,
                1,
                NETWORKDAYS(I2535, L2535, Holiday_Dates) - IF(I2535 = L2535, 0, 1)
            )
        )
    ),
    ""
)</f>
        <v/>
      </c>
      <c r="Q2535" s="385" t="str">
        <f>IF(
    OR(ISBLANK(L2535), ISBLANK(M2535)),
    "",
    MAX(
        1,
        IF(
            NETWORKDAYS(L2535, M2535, Holiday_Dates) &lt;= 0,
            1,
            NETWORKDAYS(L2535, M2535, Holiday_Dates) - IF(L2535 = M2535, 0, 1)
        )
    )
)</f>
        <v/>
      </c>
      <c r="R2535" s="385" t="str">
        <f>IFERROR(
    IF(
        OR(ISBLANK(N2535), AND(ISBLANK(L2535), ISBLANK(M2535))),
        "",
        MAX(
            1,
            IF(
                NETWORKDAYS(IF(NOT(ISBLANK(M2535)), M2535, L2535), N2535, Holiday_Dates) &lt;= 0,
                1,
                NETWORKDAYS(IF(NOT(ISBLANK(M2535)), M2535, L2535), N2535, Holiday_Dates)
                - IF(IF(NOT(ISBLANK(M2535)), M2535, L2535) = N2535, 0, 1)
            )
        )
    ),
    ""
)</f>
        <v/>
      </c>
      <c r="S2535" s="385" t="str">
        <f>IFERROR(
    IF(
        OR(ISBLANK(N2535), ISBLANK(O2535)),
        "",
        MAX(
            1,
            IF(
                NETWORKDAYS(N2535, O2535, Holiday_Dates) &lt;= 0,
                1,
                NETWORKDAYS(N2535, O2535, Holiday_Dates) - IF(N2535 = O2535, 0, 1)
            )
        )
    ),
    ""
)</f>
        <v/>
      </c>
      <c r="T2535" s="385"/>
      <c r="U2535" s="385" t="s">
        <v>672</v>
      </c>
      <c r="V2535" s="385"/>
      <c r="W2535" s="385" t="s">
        <v>1436</v>
      </c>
      <c r="X2535" s="1"/>
    </row>
    <row r="2536" spans="1:24">
      <c r="A2536" s="385" t="s">
        <v>51</v>
      </c>
      <c r="B2536" s="385" t="s">
        <v>535</v>
      </c>
      <c r="C2536" s="385" t="s">
        <v>3730</v>
      </c>
      <c r="D2536" s="385" t="s">
        <v>88</v>
      </c>
      <c r="E2536" s="385" t="s">
        <v>32</v>
      </c>
      <c r="F2536" s="385"/>
      <c r="G2536" s="385" t="s">
        <v>133</v>
      </c>
      <c r="H2536" s="385"/>
      <c r="I2536" s="385"/>
      <c r="J2536" s="30"/>
      <c r="K2536" s="385"/>
      <c r="L2536" s="385"/>
      <c r="M2536" s="385"/>
      <c r="N2536" s="385"/>
      <c r="O2536" s="385"/>
      <c r="P2536" s="385" t="str">
        <f>IFERROR(
    IF(
        OR(ISBLANK(I2536), ISBLANK(L2536)),
        "",
        MAX(
            1,
            IF(
                NETWORKDAYS(I2536, L2536, Holiday_Dates) &lt;= 0,
                1,
                NETWORKDAYS(I2536, L2536, Holiday_Dates) - IF(I2536 = L2536, 0, 1)
            )
        )
    ),
    ""
)</f>
        <v/>
      </c>
      <c r="Q2536" s="385" t="str">
        <f>IF(
    OR(ISBLANK(L2536), ISBLANK(M2536)),
    "",
    MAX(
        1,
        IF(
            NETWORKDAYS(L2536, M2536, Holiday_Dates) &lt;= 0,
            1,
            NETWORKDAYS(L2536, M2536, Holiday_Dates) - IF(L2536 = M2536, 0, 1)
        )
    )
)</f>
        <v/>
      </c>
      <c r="R2536" s="385" t="str">
        <f>IFERROR(
    IF(
        OR(ISBLANK(N2536), AND(ISBLANK(L2536), ISBLANK(M2536))),
        "",
        MAX(
            1,
            IF(
                NETWORKDAYS(IF(NOT(ISBLANK(M2536)), M2536, L2536), N2536, Holiday_Dates) &lt;= 0,
                1,
                NETWORKDAYS(IF(NOT(ISBLANK(M2536)), M2536, L2536), N2536, Holiday_Dates)
                - IF(IF(NOT(ISBLANK(M2536)), M2536, L2536) = N2536, 0, 1)
            )
        )
    ),
    ""
)</f>
        <v/>
      </c>
      <c r="S2536" s="385" t="str">
        <f>IFERROR(
    IF(
        OR(ISBLANK(N2536), ISBLANK(O2536)),
        "",
        MAX(
            1,
            IF(
                NETWORKDAYS(N2536, O2536, Holiday_Dates) &lt;= 0,
                1,
                NETWORKDAYS(N2536, O2536, Holiday_Dates) - IF(N2536 = O2536, 0, 1)
            )
        )
    ),
    ""
)</f>
        <v/>
      </c>
      <c r="T2536" s="385"/>
      <c r="U2536" s="385"/>
      <c r="V2536" s="385"/>
      <c r="W2536" s="385" t="s">
        <v>4710</v>
      </c>
      <c r="X2536" s="1"/>
    </row>
    <row r="2537" spans="1:24">
      <c r="A2537" s="385" t="s">
        <v>52</v>
      </c>
      <c r="B2537" s="385" t="s">
        <v>463</v>
      </c>
      <c r="C2537" s="385" t="s">
        <v>410</v>
      </c>
      <c r="D2537" s="385" t="s">
        <v>89</v>
      </c>
      <c r="E2537" s="385"/>
      <c r="F2537" s="385"/>
      <c r="G2537" s="385"/>
      <c r="H2537" s="385">
        <v>2025</v>
      </c>
      <c r="I2537" s="386">
        <v>45875</v>
      </c>
      <c r="J2537" s="30" t="s">
        <v>5635</v>
      </c>
      <c r="K2537" s="385"/>
      <c r="L2537" s="385"/>
      <c r="M2537" s="385"/>
      <c r="N2537" s="385"/>
      <c r="O2537" s="385"/>
      <c r="P2537" s="385" t="str">
        <f>IFERROR(
    IF(
        OR(ISBLANK(I2537), ISBLANK(L2537)),
        "",
        MAX(
            1,
            IF(
                NETWORKDAYS(I2537, L2537, Holiday_Dates) &lt;= 0,
                1,
                NETWORKDAYS(I2537, L2537, Holiday_Dates) - IF(I2537 = L2537, 0, 1)
            )
        )
    ),
    ""
)</f>
        <v/>
      </c>
      <c r="Q2537" s="385" t="str">
        <f>IF(
    OR(ISBLANK(L2537), ISBLANK(M2537)),
    "",
    MAX(
        1,
        IF(
            NETWORKDAYS(L2537, M2537, Holiday_Dates) &lt;= 0,
            1,
            NETWORKDAYS(L2537, M2537, Holiday_Dates) - IF(L2537 = M2537, 0, 1)
        )
    )
)</f>
        <v/>
      </c>
      <c r="R2537" s="385" t="str">
        <f>IFERROR(
    IF(
        OR(ISBLANK(N2537), AND(ISBLANK(L2537), ISBLANK(M2537))),
        "",
        MAX(
            1,
            IF(
                NETWORKDAYS(IF(NOT(ISBLANK(M2537)), M2537, L2537), N2537, Holiday_Dates) &lt;= 0,
                1,
                NETWORKDAYS(IF(NOT(ISBLANK(M2537)), M2537, L2537), N2537, Holiday_Dates)
                - IF(IF(NOT(ISBLANK(M2537)), M2537, L2537) = N2537, 0, 1)
            )
        )
    ),
    ""
)</f>
        <v/>
      </c>
      <c r="S2537" s="385" t="str">
        <f>IFERROR(
    IF(
        OR(ISBLANK(N2537), ISBLANK(O2537)),
        "",
        MAX(
            1,
            IF(
                NETWORKDAYS(N2537, O2537, Holiday_Dates) &lt;= 0,
                1,
                NETWORKDAYS(N2537, O2537, Holiday_Dates) - IF(N2537 = O2537, 0, 1)
            )
        )
    ),
    ""
)</f>
        <v/>
      </c>
      <c r="T2537" s="385"/>
      <c r="U2537" s="385" t="s">
        <v>672</v>
      </c>
      <c r="V2537" s="385" t="s">
        <v>101</v>
      </c>
      <c r="W2537" s="385" t="s">
        <v>1436</v>
      </c>
      <c r="X2537" s="1"/>
    </row>
    <row r="2538" spans="1:24">
      <c r="A2538" s="385" t="s">
        <v>51</v>
      </c>
      <c r="B2538" s="385" t="s">
        <v>535</v>
      </c>
      <c r="C2538" s="385" t="s">
        <v>3653</v>
      </c>
      <c r="D2538" s="385" t="s">
        <v>88</v>
      </c>
      <c r="E2538" s="385" t="s">
        <v>32</v>
      </c>
      <c r="F2538" s="385"/>
      <c r="G2538" s="385" t="s">
        <v>133</v>
      </c>
      <c r="H2538" s="385"/>
      <c r="I2538" s="385"/>
      <c r="J2538" s="533"/>
      <c r="K2538" s="385"/>
      <c r="L2538" s="385"/>
      <c r="M2538" s="385"/>
      <c r="N2538" s="385"/>
      <c r="O2538" s="385"/>
      <c r="P2538" s="385" t="str">
        <f>IFERROR(
    IF(
        OR(ISBLANK(I2538), ISBLANK(L2538)),
        "",
        MAX(
            1,
            IF(
                NETWORKDAYS(I2538, L2538, Holiday_Dates) &lt;= 0,
                1,
                NETWORKDAYS(I2538, L2538, Holiday_Dates) - IF(I2538 = L2538, 0, 1)
            )
        )
    ),
    ""
)</f>
        <v/>
      </c>
      <c r="Q2538" s="385" t="str">
        <f>IF(
    OR(ISBLANK(L2538), ISBLANK(M2538)),
    "",
    MAX(
        1,
        IF(
            NETWORKDAYS(L2538, M2538, Holiday_Dates) &lt;= 0,
            1,
            NETWORKDAYS(L2538, M2538, Holiday_Dates) - IF(L2538 = M2538, 0, 1)
        )
    )
)</f>
        <v/>
      </c>
      <c r="R2538" s="385" t="str">
        <f>IFERROR(
    IF(
        OR(ISBLANK(N2538), AND(ISBLANK(L2538), ISBLANK(M2538))),
        "",
        MAX(
            1,
            IF(
                NETWORKDAYS(IF(NOT(ISBLANK(M2538)), M2538, L2538), N2538, Holiday_Dates) &lt;= 0,
                1,
                NETWORKDAYS(IF(NOT(ISBLANK(M2538)), M2538, L2538), N2538, Holiday_Dates)
                - IF(IF(NOT(ISBLANK(M2538)), M2538, L2538) = N2538, 0, 1)
            )
        )
    ),
    ""
)</f>
        <v/>
      </c>
      <c r="S2538" s="385" t="str">
        <f>IFERROR(
    IF(
        OR(ISBLANK(N2538), ISBLANK(O2538)),
        "",
        MAX(
            1,
            IF(
                NETWORKDAYS(N2538, O2538, Holiday_Dates) &lt;= 0,
                1,
                NETWORKDAYS(N2538, O2538, Holiday_Dates) - IF(N2538 = O2538, 0, 1)
            )
        )
    ),
    ""
)</f>
        <v/>
      </c>
      <c r="T2538" s="385"/>
      <c r="U2538" s="385"/>
      <c r="V2538" s="385"/>
      <c r="W2538" s="385" t="s">
        <v>4710</v>
      </c>
      <c r="X2538" s="1"/>
    </row>
    <row r="2539" spans="1:24">
      <c r="A2539" s="385" t="s">
        <v>52</v>
      </c>
      <c r="B2539" s="385" t="s">
        <v>463</v>
      </c>
      <c r="C2539" s="385" t="s">
        <v>2691</v>
      </c>
      <c r="D2539" s="385" t="s">
        <v>89</v>
      </c>
      <c r="E2539" s="385"/>
      <c r="F2539" s="385"/>
      <c r="G2539" s="385"/>
      <c r="H2539" s="385">
        <v>2024</v>
      </c>
      <c r="I2539" s="386">
        <v>45386</v>
      </c>
      <c r="J2539" s="30"/>
      <c r="K2539" s="385"/>
      <c r="L2539" s="385"/>
      <c r="M2539" s="385"/>
      <c r="N2539" s="385"/>
      <c r="O2539" s="385"/>
      <c r="P2539" s="385" t="str">
        <f>IFERROR(
    IF(
        OR(ISBLANK(I2539), ISBLANK(L2539)),
        "",
        MAX(
            1,
            IF(
                NETWORKDAYS(I2539, L2539, Holiday_Dates) &lt;= 0,
                1,
                NETWORKDAYS(I2539, L2539, Holiday_Dates) - IF(I2539 = L2539, 0, 1)
            )
        )
    ),
    ""
)</f>
        <v/>
      </c>
      <c r="Q2539" s="385" t="str">
        <f>IF(
    OR(ISBLANK(L2539), ISBLANK(M2539)),
    "",
    MAX(
        1,
        IF(
            NETWORKDAYS(L2539, M2539, Holiday_Dates) &lt;= 0,
            1,
            NETWORKDAYS(L2539, M2539, Holiday_Dates) - IF(L2539 = M2539, 0, 1)
        )
    )
)</f>
        <v/>
      </c>
      <c r="R2539" s="385" t="str">
        <f>IFERROR(
    IF(
        OR(ISBLANK(N2539), AND(ISBLANK(L2539), ISBLANK(M2539))),
        "",
        MAX(
            1,
            IF(
                NETWORKDAYS(IF(NOT(ISBLANK(M2539)), M2539, L2539), N2539, Holiday_Dates) &lt;= 0,
                1,
                NETWORKDAYS(IF(NOT(ISBLANK(M2539)), M2539, L2539), N2539, Holiday_Dates)
                - IF(IF(NOT(ISBLANK(M2539)), M2539, L2539) = N2539, 0, 1)
            )
        )
    ),
    ""
)</f>
        <v/>
      </c>
      <c r="S2539" s="385" t="str">
        <f>IFERROR(
    IF(
        OR(ISBLANK(N2539), ISBLANK(O2539)),
        "",
        MAX(
            1,
            IF(
                NETWORKDAYS(N2539, O2539, Holiday_Dates) &lt;= 0,
                1,
                NETWORKDAYS(N2539, O2539, Holiday_Dates) - IF(N2539 = O2539, 0, 1)
            )
        )
    ),
    ""
)</f>
        <v/>
      </c>
      <c r="T2539" s="385"/>
      <c r="U2539" s="385" t="s">
        <v>672</v>
      </c>
      <c r="V2539" s="385"/>
      <c r="W2539" s="385" t="s">
        <v>1436</v>
      </c>
      <c r="X2539" s="1"/>
    </row>
    <row r="2540" spans="1:24">
      <c r="A2540" s="385" t="s">
        <v>52</v>
      </c>
      <c r="B2540" s="385" t="s">
        <v>463</v>
      </c>
      <c r="C2540" s="385" t="s">
        <v>2342</v>
      </c>
      <c r="D2540" s="385" t="s">
        <v>89</v>
      </c>
      <c r="E2540" s="385"/>
      <c r="F2540" s="385"/>
      <c r="G2540" s="385"/>
      <c r="H2540" s="385">
        <v>2024</v>
      </c>
      <c r="I2540" s="386">
        <v>45608</v>
      </c>
      <c r="J2540" s="30"/>
      <c r="K2540" s="385"/>
      <c r="L2540" s="385"/>
      <c r="M2540" s="385"/>
      <c r="N2540" s="385"/>
      <c r="O2540" s="385"/>
      <c r="P2540" s="385" t="str">
        <f>IFERROR(
    IF(
        OR(ISBLANK(I2540), ISBLANK(L2540)),
        "",
        MAX(
            1,
            IF(
                NETWORKDAYS(I2540, L2540, Holiday_Dates) &lt;= 0,
                1,
                NETWORKDAYS(I2540, L2540, Holiday_Dates) - IF(I2540 = L2540, 0, 1)
            )
        )
    ),
    ""
)</f>
        <v/>
      </c>
      <c r="Q2540" s="385" t="str">
        <f>IF(
    OR(ISBLANK(L2540), ISBLANK(M2540)),
    "",
    MAX(
        1,
        IF(
            NETWORKDAYS(L2540, M2540, Holiday_Dates) &lt;= 0,
            1,
            NETWORKDAYS(L2540, M2540, Holiday_Dates) - IF(L2540 = M2540, 0, 1)
        )
    )
)</f>
        <v/>
      </c>
      <c r="R2540" s="385" t="str">
        <f>IFERROR(
    IF(
        OR(ISBLANK(N2540), AND(ISBLANK(L2540), ISBLANK(M2540))),
        "",
        MAX(
            1,
            IF(
                NETWORKDAYS(IF(NOT(ISBLANK(M2540)), M2540, L2540), N2540, Holiday_Dates) &lt;= 0,
                1,
                NETWORKDAYS(IF(NOT(ISBLANK(M2540)), M2540, L2540), N2540, Holiday_Dates)
                - IF(IF(NOT(ISBLANK(M2540)), M2540, L2540) = N2540, 0, 1)
            )
        )
    ),
    ""
)</f>
        <v/>
      </c>
      <c r="S2540" s="385" t="str">
        <f>IFERROR(
    IF(
        OR(ISBLANK(N2540), ISBLANK(O2540)),
        "",
        MAX(
            1,
            IF(
                NETWORKDAYS(N2540, O2540, Holiday_Dates) &lt;= 0,
                1,
                NETWORKDAYS(N2540, O2540, Holiday_Dates) - IF(N2540 = O2540, 0, 1)
            )
        )
    ),
    ""
)</f>
        <v/>
      </c>
      <c r="T2540" s="385"/>
      <c r="U2540" s="385" t="s">
        <v>672</v>
      </c>
      <c r="V2540" s="385" t="s">
        <v>101</v>
      </c>
      <c r="W2540" s="385" t="s">
        <v>1436</v>
      </c>
      <c r="X2540" s="1"/>
    </row>
    <row r="2541" spans="1:24">
      <c r="A2541" s="385" t="s">
        <v>51</v>
      </c>
      <c r="B2541" s="385" t="s">
        <v>535</v>
      </c>
      <c r="C2541" s="385" t="s">
        <v>380</v>
      </c>
      <c r="D2541" s="385" t="s">
        <v>88</v>
      </c>
      <c r="E2541" s="385" t="s">
        <v>32</v>
      </c>
      <c r="F2541" s="385"/>
      <c r="G2541" s="385" t="s">
        <v>133</v>
      </c>
      <c r="H2541" s="385"/>
      <c r="I2541" s="385"/>
      <c r="J2541" s="30"/>
      <c r="K2541" s="385"/>
      <c r="L2541" s="385"/>
      <c r="M2541" s="385"/>
      <c r="N2541" s="385"/>
      <c r="O2541" s="385"/>
      <c r="P2541" s="385" t="str">
        <f>IFERROR(
    IF(
        OR(ISBLANK(I2541), ISBLANK(L2541)),
        "",
        MAX(
            1,
            IF(
                NETWORKDAYS(I2541, L2541, Holiday_Dates) &lt;= 0,
                1,
                NETWORKDAYS(I2541, L2541, Holiday_Dates) - IF(I2541 = L2541, 0, 1)
            )
        )
    ),
    ""
)</f>
        <v/>
      </c>
      <c r="Q2541" s="385" t="str">
        <f>IF(
    OR(ISBLANK(L2541), ISBLANK(M2541)),
    "",
    MAX(
        1,
        IF(
            NETWORKDAYS(L2541, M2541, Holiday_Dates) &lt;= 0,
            1,
            NETWORKDAYS(L2541, M2541, Holiday_Dates) - IF(L2541 = M2541, 0, 1)
        )
    )
)</f>
        <v/>
      </c>
      <c r="R2541" s="385" t="str">
        <f>IFERROR(
    IF(
        OR(ISBLANK(N2541), AND(ISBLANK(L2541), ISBLANK(M2541))),
        "",
        MAX(
            1,
            IF(
                NETWORKDAYS(IF(NOT(ISBLANK(M2541)), M2541, L2541), N2541, Holiday_Dates) &lt;= 0,
                1,
                NETWORKDAYS(IF(NOT(ISBLANK(M2541)), M2541, L2541), N2541, Holiday_Dates)
                - IF(IF(NOT(ISBLANK(M2541)), M2541, L2541) = N2541, 0, 1)
            )
        )
    ),
    ""
)</f>
        <v/>
      </c>
      <c r="S2541" s="385" t="str">
        <f>IFERROR(
    IF(
        OR(ISBLANK(N2541), ISBLANK(O2541)),
        "",
        MAX(
            1,
            IF(
                NETWORKDAYS(N2541, O2541, Holiday_Dates) &lt;= 0,
                1,
                NETWORKDAYS(N2541, O2541, Holiday_Dates) - IF(N2541 = O2541, 0, 1)
            )
        )
    ),
    ""
)</f>
        <v/>
      </c>
      <c r="T2541" s="385"/>
      <c r="U2541" s="385"/>
      <c r="V2541" s="385"/>
      <c r="W2541" s="385" t="s">
        <v>4710</v>
      </c>
      <c r="X2541" s="1"/>
    </row>
    <row r="2542" spans="1:24">
      <c r="A2542" s="385" t="s">
        <v>52</v>
      </c>
      <c r="B2542" s="385" t="s">
        <v>463</v>
      </c>
      <c r="C2542" s="385" t="s">
        <v>3850</v>
      </c>
      <c r="D2542" s="385" t="s">
        <v>89</v>
      </c>
      <c r="E2542" s="385"/>
      <c r="F2542" s="385"/>
      <c r="G2542" s="385"/>
      <c r="H2542" s="385">
        <v>2025</v>
      </c>
      <c r="I2542" s="386">
        <v>45848</v>
      </c>
      <c r="J2542" s="30" t="s">
        <v>5636</v>
      </c>
      <c r="K2542" s="385"/>
      <c r="L2542" s="385"/>
      <c r="M2542" s="385"/>
      <c r="N2542" s="385"/>
      <c r="O2542" s="385"/>
      <c r="P2542" s="385" t="str">
        <f>IFERROR(
    IF(
        OR(ISBLANK(I2542), ISBLANK(L2542)),
        "",
        MAX(
            1,
            IF(
                NETWORKDAYS(I2542, L2542, Holiday_Dates) &lt;= 0,
                1,
                NETWORKDAYS(I2542, L2542, Holiday_Dates) - IF(I2542 = L2542, 0, 1)
            )
        )
    ),
    ""
)</f>
        <v/>
      </c>
      <c r="Q2542" s="385" t="str">
        <f>IF(
    OR(ISBLANK(L2542), ISBLANK(M2542)),
    "",
    MAX(
        1,
        IF(
            NETWORKDAYS(L2542, M2542, Holiday_Dates) &lt;= 0,
            1,
            NETWORKDAYS(L2542, M2542, Holiday_Dates) - IF(L2542 = M2542, 0, 1)
        )
    )
)</f>
        <v/>
      </c>
      <c r="R2542" s="385" t="str">
        <f>IFERROR(
    IF(
        OR(ISBLANK(N2542), AND(ISBLANK(L2542), ISBLANK(M2542))),
        "",
        MAX(
            1,
            IF(
                NETWORKDAYS(IF(NOT(ISBLANK(M2542)), M2542, L2542), N2542, Holiday_Dates) &lt;= 0,
                1,
                NETWORKDAYS(IF(NOT(ISBLANK(M2542)), M2542, L2542), N2542, Holiday_Dates)
                - IF(IF(NOT(ISBLANK(M2542)), M2542, L2542) = N2542, 0, 1)
            )
        )
    ),
    ""
)</f>
        <v/>
      </c>
      <c r="S2542" s="385" t="str">
        <f>IFERROR(
    IF(
        OR(ISBLANK(N2542), ISBLANK(O2542)),
        "",
        MAX(
            1,
            IF(
                NETWORKDAYS(N2542, O2542, Holiday_Dates) &lt;= 0,
                1,
                NETWORKDAYS(N2542, O2542, Holiday_Dates) - IF(N2542 = O2542, 0, 1)
            )
        )
    ),
    ""
)</f>
        <v/>
      </c>
      <c r="T2542" s="385"/>
      <c r="U2542" s="385" t="s">
        <v>672</v>
      </c>
      <c r="V2542" s="385" t="s">
        <v>101</v>
      </c>
      <c r="W2542" s="385" t="s">
        <v>1436</v>
      </c>
      <c r="X2542" s="1"/>
    </row>
    <row r="2543" spans="1:24">
      <c r="A2543" s="385" t="s">
        <v>51</v>
      </c>
      <c r="B2543" s="385" t="s">
        <v>312</v>
      </c>
      <c r="C2543" s="385" t="s">
        <v>3753</v>
      </c>
      <c r="D2543" s="385" t="s">
        <v>88</v>
      </c>
      <c r="E2543" s="385" t="s">
        <v>142</v>
      </c>
      <c r="F2543" s="385"/>
      <c r="G2543" s="385" t="s">
        <v>239</v>
      </c>
      <c r="H2543" s="385"/>
      <c r="I2543" s="385"/>
      <c r="J2543" s="30"/>
      <c r="K2543" s="385"/>
      <c r="L2543" s="385"/>
      <c r="M2543" s="385"/>
      <c r="N2543" s="385"/>
      <c r="O2543" s="385"/>
      <c r="P2543" s="385" t="str">
        <f>IFERROR(
    IF(
        OR(ISBLANK(I2543), ISBLANK(L2543)),
        "",
        MAX(
            1,
            IF(
                NETWORKDAYS(I2543, L2543, Holiday_Dates) &lt;= 0,
                1,
                NETWORKDAYS(I2543, L2543, Holiday_Dates) - IF(I2543 = L2543, 0, 1)
            )
        )
    ),
    ""
)</f>
        <v/>
      </c>
      <c r="Q2543" s="385" t="str">
        <f>IF(
    OR(ISBLANK(L2543), ISBLANK(M2543)),
    "",
    MAX(
        1,
        IF(
            NETWORKDAYS(L2543, M2543, Holiday_Dates) &lt;= 0,
            1,
            NETWORKDAYS(L2543, M2543, Holiday_Dates) - IF(L2543 = M2543, 0, 1)
        )
    )
)</f>
        <v/>
      </c>
      <c r="R2543" s="385" t="str">
        <f>IFERROR(
    IF(
        OR(ISBLANK(N2543), AND(ISBLANK(L2543), ISBLANK(M2543))),
        "",
        MAX(
            1,
            IF(
                NETWORKDAYS(IF(NOT(ISBLANK(M2543)), M2543, L2543), N2543, Holiday_Dates) &lt;= 0,
                1,
                NETWORKDAYS(IF(NOT(ISBLANK(M2543)), M2543, L2543), N2543, Holiday_Dates)
                - IF(IF(NOT(ISBLANK(M2543)), M2543, L2543) = N2543, 0, 1)
            )
        )
    ),
    ""
)</f>
        <v/>
      </c>
      <c r="S2543" s="385" t="str">
        <f>IFERROR(
    IF(
        OR(ISBLANK(N2543), ISBLANK(O2543)),
        "",
        MAX(
            1,
            IF(
                NETWORKDAYS(N2543, O2543, Holiday_Dates) &lt;= 0,
                1,
                NETWORKDAYS(N2543, O2543, Holiday_Dates) - IF(N2543 = O2543, 0, 1)
            )
        )
    ),
    ""
)</f>
        <v/>
      </c>
      <c r="T2543" s="385"/>
      <c r="U2543" s="385"/>
      <c r="V2543" s="385"/>
      <c r="W2543" s="385" t="s">
        <v>4710</v>
      </c>
      <c r="X2543" s="1"/>
    </row>
    <row r="2544" spans="1:24">
      <c r="A2544" s="385" t="s">
        <v>52</v>
      </c>
      <c r="B2544" s="385" t="s">
        <v>463</v>
      </c>
      <c r="C2544" s="385" t="s">
        <v>1656</v>
      </c>
      <c r="D2544" s="385" t="s">
        <v>89</v>
      </c>
      <c r="E2544" s="385"/>
      <c r="F2544" s="385"/>
      <c r="G2544" s="385"/>
      <c r="H2544" s="385">
        <v>2025</v>
      </c>
      <c r="I2544" s="386">
        <v>45848</v>
      </c>
      <c r="J2544" s="30" t="s">
        <v>5637</v>
      </c>
      <c r="K2544" s="385"/>
      <c r="L2544" s="385"/>
      <c r="M2544" s="385"/>
      <c r="N2544" s="385"/>
      <c r="O2544" s="385"/>
      <c r="P2544" s="385" t="str">
        <f>IFERROR(
    IF(
        OR(ISBLANK(I2544), ISBLANK(L2544)),
        "",
        MAX(
            1,
            IF(
                NETWORKDAYS(I2544, L2544, Holiday_Dates) &lt;= 0,
                1,
                NETWORKDAYS(I2544, L2544, Holiday_Dates) - IF(I2544 = L2544, 0, 1)
            )
        )
    ),
    ""
)</f>
        <v/>
      </c>
      <c r="Q2544" s="385" t="str">
        <f>IF(
    OR(ISBLANK(L2544), ISBLANK(M2544)),
    "",
    MAX(
        1,
        IF(
            NETWORKDAYS(L2544, M2544, Holiday_Dates) &lt;= 0,
            1,
            NETWORKDAYS(L2544, M2544, Holiday_Dates) - IF(L2544 = M2544, 0, 1)
        )
    )
)</f>
        <v/>
      </c>
      <c r="R2544" s="385" t="str">
        <f>IFERROR(
    IF(
        OR(ISBLANK(N2544), AND(ISBLANK(L2544), ISBLANK(M2544))),
        "",
        MAX(
            1,
            IF(
                NETWORKDAYS(IF(NOT(ISBLANK(M2544)), M2544, L2544), N2544, Holiday_Dates) &lt;= 0,
                1,
                NETWORKDAYS(IF(NOT(ISBLANK(M2544)), M2544, L2544), N2544, Holiday_Dates)
                - IF(IF(NOT(ISBLANK(M2544)), M2544, L2544) = N2544, 0, 1)
            )
        )
    ),
    ""
)</f>
        <v/>
      </c>
      <c r="S2544" s="385" t="str">
        <f>IFERROR(
    IF(
        OR(ISBLANK(N2544), ISBLANK(O2544)),
        "",
        MAX(
            1,
            IF(
                NETWORKDAYS(N2544, O2544, Holiday_Dates) &lt;= 0,
                1,
                NETWORKDAYS(N2544, O2544, Holiday_Dates) - IF(N2544 = O2544, 0, 1)
            )
        )
    ),
    ""
)</f>
        <v/>
      </c>
      <c r="T2544" s="385"/>
      <c r="U2544" s="385" t="s">
        <v>672</v>
      </c>
      <c r="V2544" s="385" t="s">
        <v>101</v>
      </c>
      <c r="W2544" s="385" t="s">
        <v>1436</v>
      </c>
      <c r="X2544" s="1"/>
    </row>
    <row r="2545" spans="1:24">
      <c r="A2545" s="385" t="s">
        <v>52</v>
      </c>
      <c r="B2545" s="385" t="s">
        <v>463</v>
      </c>
      <c r="C2545" s="385" t="s">
        <v>1020</v>
      </c>
      <c r="D2545" s="385" t="s">
        <v>89</v>
      </c>
      <c r="E2545" s="385"/>
      <c r="F2545" s="385"/>
      <c r="G2545" s="385"/>
      <c r="H2545" s="385">
        <v>2025</v>
      </c>
      <c r="I2545" s="386">
        <v>45875</v>
      </c>
      <c r="J2545" s="30" t="s">
        <v>5638</v>
      </c>
      <c r="K2545" s="385"/>
      <c r="L2545" s="385"/>
      <c r="M2545" s="385"/>
      <c r="N2545" s="385"/>
      <c r="O2545" s="385"/>
      <c r="P2545" s="385" t="str">
        <f>IFERROR(
    IF(
        OR(ISBLANK(I2545), ISBLANK(L2545)),
        "",
        MAX(
            1,
            IF(
                NETWORKDAYS(I2545, L2545, Holiday_Dates) &lt;= 0,
                1,
                NETWORKDAYS(I2545, L2545, Holiday_Dates) - IF(I2545 = L2545, 0, 1)
            )
        )
    ),
    ""
)</f>
        <v/>
      </c>
      <c r="Q2545" s="385" t="str">
        <f>IF(
    OR(ISBLANK(L2545), ISBLANK(M2545)),
    "",
    MAX(
        1,
        IF(
            NETWORKDAYS(L2545, M2545, Holiday_Dates) &lt;= 0,
            1,
            NETWORKDAYS(L2545, M2545, Holiday_Dates) - IF(L2545 = M2545, 0, 1)
        )
    )
)</f>
        <v/>
      </c>
      <c r="R2545" s="385" t="str">
        <f>IFERROR(
    IF(
        OR(ISBLANK(N2545), AND(ISBLANK(L2545), ISBLANK(M2545))),
        "",
        MAX(
            1,
            IF(
                NETWORKDAYS(IF(NOT(ISBLANK(M2545)), M2545, L2545), N2545, Holiday_Dates) &lt;= 0,
                1,
                NETWORKDAYS(IF(NOT(ISBLANK(M2545)), M2545, L2545), N2545, Holiday_Dates)
                - IF(IF(NOT(ISBLANK(M2545)), M2545, L2545) = N2545, 0, 1)
            )
        )
    ),
    ""
)</f>
        <v/>
      </c>
      <c r="S2545" s="385" t="str">
        <f>IFERROR(
    IF(
        OR(ISBLANK(N2545), ISBLANK(O2545)),
        "",
        MAX(
            1,
            IF(
                NETWORKDAYS(N2545, O2545, Holiday_Dates) &lt;= 0,
                1,
                NETWORKDAYS(N2545, O2545, Holiday_Dates) - IF(N2545 = O2545, 0, 1)
            )
        )
    ),
    ""
)</f>
        <v/>
      </c>
      <c r="T2545" s="385"/>
      <c r="U2545" s="385" t="s">
        <v>672</v>
      </c>
      <c r="V2545" s="385" t="s">
        <v>101</v>
      </c>
      <c r="W2545" s="385" t="s">
        <v>1436</v>
      </c>
      <c r="X2545" s="1"/>
    </row>
    <row r="2546" spans="1:24">
      <c r="A2546" s="385" t="s">
        <v>52</v>
      </c>
      <c r="B2546" s="385" t="s">
        <v>463</v>
      </c>
      <c r="C2546" s="385" t="s">
        <v>4049</v>
      </c>
      <c r="D2546" s="385" t="s">
        <v>89</v>
      </c>
      <c r="E2546" s="385"/>
      <c r="F2546" s="385"/>
      <c r="G2546" s="385"/>
      <c r="H2546" s="385">
        <v>2024</v>
      </c>
      <c r="I2546" s="386">
        <v>45602</v>
      </c>
      <c r="J2546" s="30"/>
      <c r="K2546" s="385"/>
      <c r="L2546" s="385"/>
      <c r="M2546" s="385"/>
      <c r="N2546" s="385"/>
      <c r="O2546" s="385"/>
      <c r="P2546" s="385" t="str">
        <f>IFERROR(
    IF(
        OR(ISBLANK(I2546), ISBLANK(L2546)),
        "",
        MAX(
            1,
            IF(
                NETWORKDAYS(I2546, L2546, Holiday_Dates) &lt;= 0,
                1,
                NETWORKDAYS(I2546, L2546, Holiday_Dates) - IF(I2546 = L2546, 0, 1)
            )
        )
    ),
    ""
)</f>
        <v/>
      </c>
      <c r="Q2546" s="385" t="str">
        <f>IF(
    OR(ISBLANK(L2546), ISBLANK(M2546)),
    "",
    MAX(
        1,
        IF(
            NETWORKDAYS(L2546, M2546, Holiday_Dates) &lt;= 0,
            1,
            NETWORKDAYS(L2546, M2546, Holiday_Dates) - IF(L2546 = M2546, 0, 1)
        )
    )
)</f>
        <v/>
      </c>
      <c r="R2546" s="385" t="str">
        <f>IFERROR(
    IF(
        OR(ISBLANK(N2546), AND(ISBLANK(L2546), ISBLANK(M2546))),
        "",
        MAX(
            1,
            IF(
                NETWORKDAYS(IF(NOT(ISBLANK(M2546)), M2546, L2546), N2546, Holiday_Dates) &lt;= 0,
                1,
                NETWORKDAYS(IF(NOT(ISBLANK(M2546)), M2546, L2546), N2546, Holiday_Dates)
                - IF(IF(NOT(ISBLANK(M2546)), M2546, L2546) = N2546, 0, 1)
            )
        )
    ),
    ""
)</f>
        <v/>
      </c>
      <c r="S2546" s="385" t="str">
        <f>IFERROR(
    IF(
        OR(ISBLANK(N2546), ISBLANK(O2546)),
        "",
        MAX(
            1,
            IF(
                NETWORKDAYS(N2546, O2546, Holiday_Dates) &lt;= 0,
                1,
                NETWORKDAYS(N2546, O2546, Holiday_Dates) - IF(N2546 = O2546, 0, 1)
            )
        )
    ),
    ""
)</f>
        <v/>
      </c>
      <c r="T2546" s="385"/>
      <c r="U2546" s="385" t="s">
        <v>4</v>
      </c>
      <c r="V2546" s="385" t="s">
        <v>101</v>
      </c>
      <c r="W2546" s="385" t="s">
        <v>1436</v>
      </c>
      <c r="X2546" s="1"/>
    </row>
    <row r="2547" spans="1:24">
      <c r="A2547" s="385" t="s">
        <v>51</v>
      </c>
      <c r="B2547" s="385" t="s">
        <v>312</v>
      </c>
      <c r="C2547" s="385" t="s">
        <v>2345</v>
      </c>
      <c r="D2547" s="385" t="s">
        <v>88</v>
      </c>
      <c r="E2547" s="385" t="s">
        <v>142</v>
      </c>
      <c r="F2547" s="385"/>
      <c r="G2547" s="385" t="s">
        <v>239</v>
      </c>
      <c r="H2547" s="385"/>
      <c r="I2547" s="385"/>
      <c r="J2547" s="533"/>
      <c r="K2547" s="385"/>
      <c r="L2547" s="385"/>
      <c r="M2547" s="385"/>
      <c r="N2547" s="385"/>
      <c r="O2547" s="385"/>
      <c r="P2547" s="385" t="str">
        <f>IFERROR(
    IF(
        OR(ISBLANK(I2547), ISBLANK(L2547)),
        "",
        MAX(
            1,
            IF(
                NETWORKDAYS(I2547, L2547, Holiday_Dates) &lt;= 0,
                1,
                NETWORKDAYS(I2547, L2547, Holiday_Dates) - IF(I2547 = L2547, 0, 1)
            )
        )
    ),
    ""
)</f>
        <v/>
      </c>
      <c r="Q2547" s="385" t="str">
        <f>IF(
    OR(ISBLANK(L2547), ISBLANK(M2547)),
    "",
    MAX(
        1,
        IF(
            NETWORKDAYS(L2547, M2547, Holiday_Dates) &lt;= 0,
            1,
            NETWORKDAYS(L2547, M2547, Holiday_Dates) - IF(L2547 = M2547, 0, 1)
        )
    )
)</f>
        <v/>
      </c>
      <c r="R2547" s="385" t="str">
        <f>IFERROR(
    IF(
        OR(ISBLANK(N2547), AND(ISBLANK(L2547), ISBLANK(M2547))),
        "",
        MAX(
            1,
            IF(
                NETWORKDAYS(IF(NOT(ISBLANK(M2547)), M2547, L2547), N2547, Holiday_Dates) &lt;= 0,
                1,
                NETWORKDAYS(IF(NOT(ISBLANK(M2547)), M2547, L2547), N2547, Holiday_Dates)
                - IF(IF(NOT(ISBLANK(M2547)), M2547, L2547) = N2547, 0, 1)
            )
        )
    ),
    ""
)</f>
        <v/>
      </c>
      <c r="S2547" s="385" t="str">
        <f>IFERROR(
    IF(
        OR(ISBLANK(N2547), ISBLANK(O2547)),
        "",
        MAX(
            1,
            IF(
                NETWORKDAYS(N2547, O2547, Holiday_Dates) &lt;= 0,
                1,
                NETWORKDAYS(N2547, O2547, Holiday_Dates) - IF(N2547 = O2547, 0, 1)
            )
        )
    ),
    ""
)</f>
        <v/>
      </c>
      <c r="T2547" s="385"/>
      <c r="U2547" s="385"/>
      <c r="V2547" s="385"/>
      <c r="W2547" s="385" t="s">
        <v>4710</v>
      </c>
      <c r="X2547" s="1"/>
    </row>
    <row r="2548" spans="1:24">
      <c r="A2548" s="385" t="s">
        <v>52</v>
      </c>
      <c r="B2548" s="385" t="s">
        <v>463</v>
      </c>
      <c r="C2548" s="385" t="s">
        <v>4052</v>
      </c>
      <c r="D2548" s="385" t="s">
        <v>89</v>
      </c>
      <c r="E2548" s="385"/>
      <c r="F2548" s="385"/>
      <c r="G2548" s="385"/>
      <c r="H2548" s="385">
        <v>2024</v>
      </c>
      <c r="I2548" s="386">
        <v>45603</v>
      </c>
      <c r="J2548" s="30"/>
      <c r="K2548" s="385"/>
      <c r="L2548" s="385"/>
      <c r="M2548" s="385"/>
      <c r="N2548" s="385"/>
      <c r="O2548" s="385"/>
      <c r="P2548" s="385" t="str">
        <f>IFERROR(
    IF(
        OR(ISBLANK(I2548), ISBLANK(L2548)),
        "",
        MAX(
            1,
            IF(
                NETWORKDAYS(I2548, L2548, Holiday_Dates) &lt;= 0,
                1,
                NETWORKDAYS(I2548, L2548, Holiday_Dates) - IF(I2548 = L2548, 0, 1)
            )
        )
    ),
    ""
)</f>
        <v/>
      </c>
      <c r="Q2548" s="385" t="str">
        <f>IF(
    OR(ISBLANK(L2548), ISBLANK(M2548)),
    "",
    MAX(
        1,
        IF(
            NETWORKDAYS(L2548, M2548, Holiday_Dates) &lt;= 0,
            1,
            NETWORKDAYS(L2548, M2548, Holiday_Dates) - IF(L2548 = M2548, 0, 1)
        )
    )
)</f>
        <v/>
      </c>
      <c r="R2548" s="385" t="str">
        <f>IFERROR(
    IF(
        OR(ISBLANK(N2548), AND(ISBLANK(L2548), ISBLANK(M2548))),
        "",
        MAX(
            1,
            IF(
                NETWORKDAYS(IF(NOT(ISBLANK(M2548)), M2548, L2548), N2548, Holiday_Dates) &lt;= 0,
                1,
                NETWORKDAYS(IF(NOT(ISBLANK(M2548)), M2548, L2548), N2548, Holiday_Dates)
                - IF(IF(NOT(ISBLANK(M2548)), M2548, L2548) = N2548, 0, 1)
            )
        )
    ),
    ""
)</f>
        <v/>
      </c>
      <c r="S2548" s="385" t="str">
        <f>IFERROR(
    IF(
        OR(ISBLANK(N2548), ISBLANK(O2548)),
        "",
        MAX(
            1,
            IF(
                NETWORKDAYS(N2548, O2548, Holiday_Dates) &lt;= 0,
                1,
                NETWORKDAYS(N2548, O2548, Holiday_Dates) - IF(N2548 = O2548, 0, 1)
            )
        )
    ),
    ""
)</f>
        <v/>
      </c>
      <c r="T2548" s="385"/>
      <c r="U2548" s="385" t="s">
        <v>4</v>
      </c>
      <c r="V2548" s="385" t="s">
        <v>101</v>
      </c>
      <c r="W2548" s="385" t="s">
        <v>1436</v>
      </c>
      <c r="X2548" s="1"/>
    </row>
    <row r="2549" spans="1:24">
      <c r="A2549" s="385" t="s">
        <v>51</v>
      </c>
      <c r="B2549" s="385" t="s">
        <v>312</v>
      </c>
      <c r="C2549" s="385" t="s">
        <v>1879</v>
      </c>
      <c r="D2549" s="385" t="s">
        <v>88</v>
      </c>
      <c r="E2549" s="385" t="s">
        <v>142</v>
      </c>
      <c r="F2549" s="385"/>
      <c r="G2549" s="385" t="s">
        <v>239</v>
      </c>
      <c r="H2549" s="385"/>
      <c r="I2549" s="385"/>
      <c r="J2549" s="30"/>
      <c r="K2549" s="385"/>
      <c r="L2549" s="385"/>
      <c r="M2549" s="385"/>
      <c r="N2549" s="385"/>
      <c r="O2549" s="385"/>
      <c r="P2549" s="385" t="str">
        <f>IFERROR(
    IF(
        OR(ISBLANK(I2549), ISBLANK(L2549)),
        "",
        MAX(
            1,
            IF(
                NETWORKDAYS(I2549, L2549, Holiday_Dates) &lt;= 0,
                1,
                NETWORKDAYS(I2549, L2549, Holiday_Dates) - IF(I2549 = L2549, 0, 1)
            )
        )
    ),
    ""
)</f>
        <v/>
      </c>
      <c r="Q2549" s="385" t="str">
        <f>IF(
    OR(ISBLANK(L2549), ISBLANK(M2549)),
    "",
    MAX(
        1,
        IF(
            NETWORKDAYS(L2549, M2549, Holiday_Dates) &lt;= 0,
            1,
            NETWORKDAYS(L2549, M2549, Holiday_Dates) - IF(L2549 = M2549, 0, 1)
        )
    )
)</f>
        <v/>
      </c>
      <c r="R2549" s="385" t="str">
        <f>IFERROR(
    IF(
        OR(ISBLANK(N2549), AND(ISBLANK(L2549), ISBLANK(M2549))),
        "",
        MAX(
            1,
            IF(
                NETWORKDAYS(IF(NOT(ISBLANK(M2549)), M2549, L2549), N2549, Holiday_Dates) &lt;= 0,
                1,
                NETWORKDAYS(IF(NOT(ISBLANK(M2549)), M2549, L2549), N2549, Holiday_Dates)
                - IF(IF(NOT(ISBLANK(M2549)), M2549, L2549) = N2549, 0, 1)
            )
        )
    ),
    ""
)</f>
        <v/>
      </c>
      <c r="S2549" s="385" t="str">
        <f>IFERROR(
    IF(
        OR(ISBLANK(N2549), ISBLANK(O2549)),
        "",
        MAX(
            1,
            IF(
                NETWORKDAYS(N2549, O2549, Holiday_Dates) &lt;= 0,
                1,
                NETWORKDAYS(N2549, O2549, Holiday_Dates) - IF(N2549 = O2549, 0, 1)
            )
        )
    ),
    ""
)</f>
        <v/>
      </c>
      <c r="T2549" s="385"/>
      <c r="U2549" s="385"/>
      <c r="V2549" s="385"/>
      <c r="W2549" s="385" t="s">
        <v>4710</v>
      </c>
      <c r="X2549" s="1"/>
    </row>
    <row r="2550" spans="1:24">
      <c r="A2550" s="385" t="s">
        <v>51</v>
      </c>
      <c r="B2550" s="385" t="s">
        <v>537</v>
      </c>
      <c r="C2550" s="385" t="s">
        <v>3757</v>
      </c>
      <c r="D2550" s="385" t="s">
        <v>88</v>
      </c>
      <c r="E2550" s="385" t="s">
        <v>32</v>
      </c>
      <c r="F2550" s="385"/>
      <c r="G2550" s="385" t="s">
        <v>133</v>
      </c>
      <c r="H2550" s="385"/>
      <c r="I2550" s="385"/>
      <c r="J2550" s="30"/>
      <c r="K2550" s="385"/>
      <c r="L2550" s="385"/>
      <c r="M2550" s="385"/>
      <c r="N2550" s="385"/>
      <c r="O2550" s="385"/>
      <c r="P2550" s="385" t="str">
        <f>IFERROR(
    IF(
        OR(ISBLANK(I2550), ISBLANK(L2550)),
        "",
        MAX(
            1,
            IF(
                NETWORKDAYS(I2550, L2550, Holiday_Dates) &lt;= 0,
                1,
                NETWORKDAYS(I2550, L2550, Holiday_Dates) - IF(I2550 = L2550, 0, 1)
            )
        )
    ),
    ""
)</f>
        <v/>
      </c>
      <c r="Q2550" s="385" t="str">
        <f>IF(
    OR(ISBLANK(L2550), ISBLANK(M2550)),
    "",
    MAX(
        1,
        IF(
            NETWORKDAYS(L2550, M2550, Holiday_Dates) &lt;= 0,
            1,
            NETWORKDAYS(L2550, M2550, Holiday_Dates) - IF(L2550 = M2550, 0, 1)
        )
    )
)</f>
        <v/>
      </c>
      <c r="R2550" s="385" t="str">
        <f>IFERROR(
    IF(
        OR(ISBLANK(N2550), AND(ISBLANK(L2550), ISBLANK(M2550))),
        "",
        MAX(
            1,
            IF(
                NETWORKDAYS(IF(NOT(ISBLANK(M2550)), M2550, L2550), N2550, Holiday_Dates) &lt;= 0,
                1,
                NETWORKDAYS(IF(NOT(ISBLANK(M2550)), M2550, L2550), N2550, Holiday_Dates)
                - IF(IF(NOT(ISBLANK(M2550)), M2550, L2550) = N2550, 0, 1)
            )
        )
    ),
    ""
)</f>
        <v/>
      </c>
      <c r="S2550" s="385" t="str">
        <f>IFERROR(
    IF(
        OR(ISBLANK(N2550), ISBLANK(O2550)),
        "",
        MAX(
            1,
            IF(
                NETWORKDAYS(N2550, O2550, Holiday_Dates) &lt;= 0,
                1,
                NETWORKDAYS(N2550, O2550, Holiday_Dates) - IF(N2550 = O2550, 0, 1)
            )
        )
    ),
    ""
)</f>
        <v/>
      </c>
      <c r="T2550" s="385"/>
      <c r="U2550" s="385"/>
      <c r="V2550" s="385"/>
      <c r="W2550" s="385" t="s">
        <v>4710</v>
      </c>
      <c r="X2550" s="1"/>
    </row>
    <row r="2551" spans="1:24">
      <c r="A2551" s="385" t="s">
        <v>51</v>
      </c>
      <c r="B2551" s="385" t="s">
        <v>537</v>
      </c>
      <c r="C2551" s="385" t="s">
        <v>430</v>
      </c>
      <c r="D2551" s="385" t="s">
        <v>88</v>
      </c>
      <c r="E2551" s="385" t="s">
        <v>32</v>
      </c>
      <c r="F2551" s="385"/>
      <c r="G2551" s="385" t="s">
        <v>133</v>
      </c>
      <c r="H2551" s="385"/>
      <c r="I2551" s="385"/>
      <c r="J2551" s="30"/>
      <c r="K2551" s="385"/>
      <c r="L2551" s="385"/>
      <c r="M2551" s="385"/>
      <c r="N2551" s="385"/>
      <c r="O2551" s="385"/>
      <c r="P2551" s="385" t="str">
        <f>IFERROR(
    IF(
        OR(ISBLANK(I2551), ISBLANK(L2551)),
        "",
        MAX(
            1,
            IF(
                NETWORKDAYS(I2551, L2551, Holiday_Dates) &lt;= 0,
                1,
                NETWORKDAYS(I2551, L2551, Holiday_Dates) - IF(I2551 = L2551, 0, 1)
            )
        )
    ),
    ""
)</f>
        <v/>
      </c>
      <c r="Q2551" s="385" t="str">
        <f>IF(
    OR(ISBLANK(L2551), ISBLANK(M2551)),
    "",
    MAX(
        1,
        IF(
            NETWORKDAYS(L2551, M2551, Holiday_Dates) &lt;= 0,
            1,
            NETWORKDAYS(L2551, M2551, Holiday_Dates) - IF(L2551 = M2551, 0, 1)
        )
    )
)</f>
        <v/>
      </c>
      <c r="R2551" s="385" t="str">
        <f>IFERROR(
    IF(
        OR(ISBLANK(N2551), AND(ISBLANK(L2551), ISBLANK(M2551))),
        "",
        MAX(
            1,
            IF(
                NETWORKDAYS(IF(NOT(ISBLANK(M2551)), M2551, L2551), N2551, Holiday_Dates) &lt;= 0,
                1,
                NETWORKDAYS(IF(NOT(ISBLANK(M2551)), M2551, L2551), N2551, Holiday_Dates)
                - IF(IF(NOT(ISBLANK(M2551)), M2551, L2551) = N2551, 0, 1)
            )
        )
    ),
    ""
)</f>
        <v/>
      </c>
      <c r="S2551" s="385" t="str">
        <f>IFERROR(
    IF(
        OR(ISBLANK(N2551), ISBLANK(O2551)),
        "",
        MAX(
            1,
            IF(
                NETWORKDAYS(N2551, O2551, Holiday_Dates) &lt;= 0,
                1,
                NETWORKDAYS(N2551, O2551, Holiday_Dates) - IF(N2551 = O2551, 0, 1)
            )
        )
    ),
    ""
)</f>
        <v/>
      </c>
      <c r="T2551" s="385"/>
      <c r="U2551" s="385"/>
      <c r="V2551" s="385"/>
      <c r="W2551" s="385" t="s">
        <v>4710</v>
      </c>
      <c r="X2551" s="1"/>
    </row>
    <row r="2552" spans="1:24">
      <c r="A2552" s="385" t="s">
        <v>52</v>
      </c>
      <c r="B2552" s="385" t="s">
        <v>318</v>
      </c>
      <c r="C2552" s="385" t="s">
        <v>4056</v>
      </c>
      <c r="D2552" s="385" t="s">
        <v>88</v>
      </c>
      <c r="E2552" s="385"/>
      <c r="F2552" s="385"/>
      <c r="G2552" s="385"/>
      <c r="H2552" s="385">
        <v>2025</v>
      </c>
      <c r="I2552" s="386">
        <v>45749</v>
      </c>
      <c r="J2552" s="30" t="s">
        <v>5639</v>
      </c>
      <c r="K2552" s="385"/>
      <c r="L2552" s="385"/>
      <c r="M2552" s="385"/>
      <c r="N2552" s="385"/>
      <c r="O2552" s="385"/>
      <c r="P2552" s="385" t="str">
        <f>IFERROR(
    IF(
        OR(ISBLANK(I2552), ISBLANK(L2552)),
        "",
        MAX(
            1,
            IF(
                NETWORKDAYS(I2552, L2552, Holiday_Dates) &lt;= 0,
                1,
                NETWORKDAYS(I2552, L2552, Holiday_Dates) - IF(I2552 = L2552, 0, 1)
            )
        )
    ),
    ""
)</f>
        <v/>
      </c>
      <c r="Q2552" s="385" t="str">
        <f>IF(
    OR(ISBLANK(L2552), ISBLANK(M2552)),
    "",
    MAX(
        1,
        IF(
            NETWORKDAYS(L2552, M2552, Holiday_Dates) &lt;= 0,
            1,
            NETWORKDAYS(L2552, M2552, Holiday_Dates) - IF(L2552 = M2552, 0, 1)
        )
    )
)</f>
        <v/>
      </c>
      <c r="R2552" s="385" t="str">
        <f>IFERROR(
    IF(
        OR(ISBLANK(N2552), AND(ISBLANK(L2552), ISBLANK(M2552))),
        "",
        MAX(
            1,
            IF(
                NETWORKDAYS(IF(NOT(ISBLANK(M2552)), M2552, L2552), N2552, Holiday_Dates) &lt;= 0,
                1,
                NETWORKDAYS(IF(NOT(ISBLANK(M2552)), M2552, L2552), N2552, Holiday_Dates)
                - IF(IF(NOT(ISBLANK(M2552)), M2552, L2552) = N2552, 0, 1)
            )
        )
    ),
    ""
)</f>
        <v/>
      </c>
      <c r="S2552" s="385" t="str">
        <f>IFERROR(
    IF(
        OR(ISBLANK(N2552), ISBLANK(O2552)),
        "",
        MAX(
            1,
            IF(
                NETWORKDAYS(N2552, O2552, Holiday_Dates) &lt;= 0,
                1,
                NETWORKDAYS(N2552, O2552, Holiday_Dates) - IF(N2552 = O2552, 0, 1)
            )
        )
    ),
    ""
)</f>
        <v/>
      </c>
      <c r="T2552" s="385"/>
      <c r="U2552" s="385" t="s">
        <v>672</v>
      </c>
      <c r="V2552" s="385" t="s">
        <v>1676</v>
      </c>
      <c r="W2552" s="385" t="s">
        <v>1436</v>
      </c>
      <c r="X2552" s="1"/>
    </row>
    <row r="2553" spans="1:24">
      <c r="A2553" s="385" t="s">
        <v>52</v>
      </c>
      <c r="B2553" s="385" t="s">
        <v>318</v>
      </c>
      <c r="C2553" s="385" t="s">
        <v>730</v>
      </c>
      <c r="D2553" s="385" t="s">
        <v>88</v>
      </c>
      <c r="E2553" s="385"/>
      <c r="F2553" s="385"/>
      <c r="G2553" s="385"/>
      <c r="H2553" s="385">
        <v>2025</v>
      </c>
      <c r="I2553" s="386">
        <v>45877</v>
      </c>
      <c r="J2553" s="30" t="s">
        <v>5640</v>
      </c>
      <c r="K2553" s="385"/>
      <c r="L2553" s="385"/>
      <c r="M2553" s="385"/>
      <c r="N2553" s="385"/>
      <c r="O2553" s="385"/>
      <c r="P2553" s="385" t="str">
        <f>IFERROR(
    IF(
        OR(ISBLANK(I2553), ISBLANK(L2553)),
        "",
        MAX(
            1,
            IF(
                NETWORKDAYS(I2553, L2553, Holiday_Dates) &lt;= 0,
                1,
                NETWORKDAYS(I2553, L2553, Holiday_Dates) - IF(I2553 = L2553, 0, 1)
            )
        )
    ),
    ""
)</f>
        <v/>
      </c>
      <c r="Q2553" s="385" t="str">
        <f>IF(
    OR(ISBLANK(L2553), ISBLANK(M2553)),
    "",
    MAX(
        1,
        IF(
            NETWORKDAYS(L2553, M2553, Holiday_Dates) &lt;= 0,
            1,
            NETWORKDAYS(L2553, M2553, Holiday_Dates) - IF(L2553 = M2553, 0, 1)
        )
    )
)</f>
        <v/>
      </c>
      <c r="R2553" s="385" t="str">
        <f>IFERROR(
    IF(
        OR(ISBLANK(N2553), AND(ISBLANK(L2553), ISBLANK(M2553))),
        "",
        MAX(
            1,
            IF(
                NETWORKDAYS(IF(NOT(ISBLANK(M2553)), M2553, L2553), N2553, Holiday_Dates) &lt;= 0,
                1,
                NETWORKDAYS(IF(NOT(ISBLANK(M2553)), M2553, L2553), N2553, Holiday_Dates)
                - IF(IF(NOT(ISBLANK(M2553)), M2553, L2553) = N2553, 0, 1)
            )
        )
    ),
    ""
)</f>
        <v/>
      </c>
      <c r="S2553" s="385" t="str">
        <f>IFERROR(
    IF(
        OR(ISBLANK(N2553), ISBLANK(O2553)),
        "",
        MAX(
            1,
            IF(
                NETWORKDAYS(N2553, O2553, Holiday_Dates) &lt;= 0,
                1,
                NETWORKDAYS(N2553, O2553, Holiday_Dates) - IF(N2553 = O2553, 0, 1)
            )
        )
    ),
    ""
)</f>
        <v/>
      </c>
      <c r="T2553" s="385"/>
      <c r="U2553" s="385" t="s">
        <v>672</v>
      </c>
      <c r="V2553" s="385" t="s">
        <v>101</v>
      </c>
      <c r="W2553" s="385" t="s">
        <v>1436</v>
      </c>
      <c r="X2553" s="1"/>
    </row>
    <row r="2554" spans="1:24">
      <c r="A2554" s="385" t="s">
        <v>52</v>
      </c>
      <c r="B2554" s="385" t="s">
        <v>318</v>
      </c>
      <c r="C2554" s="385" t="s">
        <v>4058</v>
      </c>
      <c r="D2554" s="385" t="s">
        <v>88</v>
      </c>
      <c r="E2554" s="385"/>
      <c r="F2554" s="385"/>
      <c r="G2554" s="385"/>
      <c r="H2554" s="385">
        <v>2025</v>
      </c>
      <c r="I2554" s="386">
        <v>45749</v>
      </c>
      <c r="J2554" s="30" t="s">
        <v>5641</v>
      </c>
      <c r="K2554" s="385"/>
      <c r="L2554" s="385"/>
      <c r="M2554" s="385"/>
      <c r="N2554" s="385"/>
      <c r="O2554" s="385"/>
      <c r="P2554" s="385" t="str">
        <f>IFERROR(
    IF(
        OR(ISBLANK(I2554), ISBLANK(L2554)),
        "",
        MAX(
            1,
            IF(
                NETWORKDAYS(I2554, L2554, Holiday_Dates) &lt;= 0,
                1,
                NETWORKDAYS(I2554, L2554, Holiday_Dates) - IF(I2554 = L2554, 0, 1)
            )
        )
    ),
    ""
)</f>
        <v/>
      </c>
      <c r="Q2554" s="385" t="str">
        <f>IF(
    OR(ISBLANK(L2554), ISBLANK(M2554)),
    "",
    MAX(
        1,
        IF(
            NETWORKDAYS(L2554, M2554, Holiday_Dates) &lt;= 0,
            1,
            NETWORKDAYS(L2554, M2554, Holiday_Dates) - IF(L2554 = M2554, 0, 1)
        )
    )
)</f>
        <v/>
      </c>
      <c r="R2554" s="385" t="str">
        <f>IFERROR(
    IF(
        OR(ISBLANK(N2554), AND(ISBLANK(L2554), ISBLANK(M2554))),
        "",
        MAX(
            1,
            IF(
                NETWORKDAYS(IF(NOT(ISBLANK(M2554)), M2554, L2554), N2554, Holiday_Dates) &lt;= 0,
                1,
                NETWORKDAYS(IF(NOT(ISBLANK(M2554)), M2554, L2554), N2554, Holiday_Dates)
                - IF(IF(NOT(ISBLANK(M2554)), M2554, L2554) = N2554, 0, 1)
            )
        )
    ),
    ""
)</f>
        <v/>
      </c>
      <c r="S2554" s="385" t="str">
        <f>IFERROR(
    IF(
        OR(ISBLANK(N2554), ISBLANK(O2554)),
        "",
        MAX(
            1,
            IF(
                NETWORKDAYS(N2554, O2554, Holiday_Dates) &lt;= 0,
                1,
                NETWORKDAYS(N2554, O2554, Holiday_Dates) - IF(N2554 = O2554, 0, 1)
            )
        )
    ),
    ""
)</f>
        <v/>
      </c>
      <c r="T2554" s="385"/>
      <c r="U2554" s="385" t="s">
        <v>4616</v>
      </c>
      <c r="V2554" s="385" t="s">
        <v>4632</v>
      </c>
      <c r="W2554" s="385" t="s">
        <v>1436</v>
      </c>
      <c r="X2554" s="1"/>
    </row>
    <row r="2555" spans="1:24">
      <c r="A2555" s="385" t="s">
        <v>52</v>
      </c>
      <c r="B2555" s="385" t="s">
        <v>318</v>
      </c>
      <c r="C2555" s="385" t="s">
        <v>4059</v>
      </c>
      <c r="D2555" s="385" t="s">
        <v>88</v>
      </c>
      <c r="E2555" s="385"/>
      <c r="F2555" s="385"/>
      <c r="G2555" s="385"/>
      <c r="H2555" s="385">
        <v>2024</v>
      </c>
      <c r="I2555" s="386">
        <v>45602</v>
      </c>
      <c r="J2555" s="30"/>
      <c r="K2555" s="385"/>
      <c r="L2555" s="385"/>
      <c r="M2555" s="385"/>
      <c r="N2555" s="385"/>
      <c r="O2555" s="385"/>
      <c r="P2555" s="385" t="str">
        <f>IFERROR(
    IF(
        OR(ISBLANK(I2555), ISBLANK(L2555)),
        "",
        MAX(
            1,
            IF(
                NETWORKDAYS(I2555, L2555, Holiday_Dates) &lt;= 0,
                1,
                NETWORKDAYS(I2555, L2555, Holiday_Dates) - IF(I2555 = L2555, 0, 1)
            )
        )
    ),
    ""
)</f>
        <v/>
      </c>
      <c r="Q2555" s="385" t="str">
        <f>IF(
    OR(ISBLANK(L2555), ISBLANK(M2555)),
    "",
    MAX(
        1,
        IF(
            NETWORKDAYS(L2555, M2555, Holiday_Dates) &lt;= 0,
            1,
            NETWORKDAYS(L2555, M2555, Holiday_Dates) - IF(L2555 = M2555, 0, 1)
        )
    )
)</f>
        <v/>
      </c>
      <c r="R2555" s="385" t="str">
        <f>IFERROR(
    IF(
        OR(ISBLANK(N2555), AND(ISBLANK(L2555), ISBLANK(M2555))),
        "",
        MAX(
            1,
            IF(
                NETWORKDAYS(IF(NOT(ISBLANK(M2555)), M2555, L2555), N2555, Holiday_Dates) &lt;= 0,
                1,
                NETWORKDAYS(IF(NOT(ISBLANK(M2555)), M2555, L2555), N2555, Holiday_Dates)
                - IF(IF(NOT(ISBLANK(M2555)), M2555, L2555) = N2555, 0, 1)
            )
        )
    ),
    ""
)</f>
        <v/>
      </c>
      <c r="S2555" s="385" t="str">
        <f>IFERROR(
    IF(
        OR(ISBLANK(N2555), ISBLANK(O2555)),
        "",
        MAX(
            1,
            IF(
                NETWORKDAYS(N2555, O2555, Holiday_Dates) &lt;= 0,
                1,
                NETWORKDAYS(N2555, O2555, Holiday_Dates) - IF(N2555 = O2555, 0, 1)
            )
        )
    ),
    ""
)</f>
        <v/>
      </c>
      <c r="T2555" s="385"/>
      <c r="U2555" s="385" t="s">
        <v>672</v>
      </c>
      <c r="V2555" s="385" t="s">
        <v>101</v>
      </c>
      <c r="W2555" s="385" t="s">
        <v>1436</v>
      </c>
      <c r="X2555" s="1"/>
    </row>
    <row r="2556" spans="1:24">
      <c r="A2556" s="385" t="s">
        <v>52</v>
      </c>
      <c r="B2556" s="385" t="s">
        <v>318</v>
      </c>
      <c r="C2556" s="385" t="s">
        <v>4061</v>
      </c>
      <c r="D2556" s="385" t="s">
        <v>88</v>
      </c>
      <c r="E2556" s="385"/>
      <c r="F2556" s="385"/>
      <c r="G2556" s="385"/>
      <c r="H2556" s="385">
        <v>2025</v>
      </c>
      <c r="I2556" s="386">
        <v>45877</v>
      </c>
      <c r="J2556" s="30" t="s">
        <v>5642</v>
      </c>
      <c r="K2556" s="385"/>
      <c r="L2556" s="385"/>
      <c r="M2556" s="385"/>
      <c r="N2556" s="385"/>
      <c r="O2556" s="385"/>
      <c r="P2556" s="385" t="str">
        <f>IFERROR(
    IF(
        OR(ISBLANK(I2556), ISBLANK(L2556)),
        "",
        MAX(
            1,
            IF(
                NETWORKDAYS(I2556, L2556, Holiday_Dates) &lt;= 0,
                1,
                NETWORKDAYS(I2556, L2556, Holiday_Dates) - IF(I2556 = L2556, 0, 1)
            )
        )
    ),
    ""
)</f>
        <v/>
      </c>
      <c r="Q2556" s="385" t="str">
        <f>IF(
    OR(ISBLANK(L2556), ISBLANK(M2556)),
    "",
    MAX(
        1,
        IF(
            NETWORKDAYS(L2556, M2556, Holiday_Dates) &lt;= 0,
            1,
            NETWORKDAYS(L2556, M2556, Holiday_Dates) - IF(L2556 = M2556, 0, 1)
        )
    )
)</f>
        <v/>
      </c>
      <c r="R2556" s="385" t="str">
        <f>IFERROR(
    IF(
        OR(ISBLANK(N2556), AND(ISBLANK(L2556), ISBLANK(M2556))),
        "",
        MAX(
            1,
            IF(
                NETWORKDAYS(IF(NOT(ISBLANK(M2556)), M2556, L2556), N2556, Holiday_Dates) &lt;= 0,
                1,
                NETWORKDAYS(IF(NOT(ISBLANK(M2556)), M2556, L2556), N2556, Holiday_Dates)
                - IF(IF(NOT(ISBLANK(M2556)), M2556, L2556) = N2556, 0, 1)
            )
        )
    ),
    ""
)</f>
        <v/>
      </c>
      <c r="S2556" s="385" t="str">
        <f>IFERROR(
    IF(
        OR(ISBLANK(N2556), ISBLANK(O2556)),
        "",
        MAX(
            1,
            IF(
                NETWORKDAYS(N2556, O2556, Holiday_Dates) &lt;= 0,
                1,
                NETWORKDAYS(N2556, O2556, Holiday_Dates) - IF(N2556 = O2556, 0, 1)
            )
        )
    ),
    ""
)</f>
        <v/>
      </c>
      <c r="T2556" s="385"/>
      <c r="U2556" s="385" t="s">
        <v>672</v>
      </c>
      <c r="V2556" s="385" t="s">
        <v>1676</v>
      </c>
      <c r="W2556" s="385" t="s">
        <v>1436</v>
      </c>
      <c r="X2556" s="1"/>
    </row>
    <row r="2557" spans="1:24">
      <c r="A2557" s="385" t="s">
        <v>52</v>
      </c>
      <c r="B2557" s="385" t="s">
        <v>318</v>
      </c>
      <c r="C2557" s="385" t="s">
        <v>4062</v>
      </c>
      <c r="D2557" s="385" t="s">
        <v>88</v>
      </c>
      <c r="E2557" s="385"/>
      <c r="F2557" s="385"/>
      <c r="G2557" s="385"/>
      <c r="H2557" s="385">
        <v>2024</v>
      </c>
      <c r="I2557" s="386">
        <v>45568</v>
      </c>
      <c r="J2557" s="30"/>
      <c r="K2557" s="385"/>
      <c r="L2557" s="385"/>
      <c r="M2557" s="385"/>
      <c r="N2557" s="385"/>
      <c r="O2557" s="385"/>
      <c r="P2557" s="385" t="str">
        <f>IFERROR(
    IF(
        OR(ISBLANK(I2557), ISBLANK(L2557)),
        "",
        MAX(
            1,
            IF(
                NETWORKDAYS(I2557, L2557, Holiday_Dates) &lt;= 0,
                1,
                NETWORKDAYS(I2557, L2557, Holiday_Dates) - IF(I2557 = L2557, 0, 1)
            )
        )
    ),
    ""
)</f>
        <v/>
      </c>
      <c r="Q2557" s="385" t="str">
        <f>IF(
    OR(ISBLANK(L2557), ISBLANK(M2557)),
    "",
    MAX(
        1,
        IF(
            NETWORKDAYS(L2557, M2557, Holiday_Dates) &lt;= 0,
            1,
            NETWORKDAYS(L2557, M2557, Holiday_Dates) - IF(L2557 = M2557, 0, 1)
        )
    )
)</f>
        <v/>
      </c>
      <c r="R2557" s="385" t="str">
        <f>IFERROR(
    IF(
        OR(ISBLANK(N2557), AND(ISBLANK(L2557), ISBLANK(M2557))),
        "",
        MAX(
            1,
            IF(
                NETWORKDAYS(IF(NOT(ISBLANK(M2557)), M2557, L2557), N2557, Holiday_Dates) &lt;= 0,
                1,
                NETWORKDAYS(IF(NOT(ISBLANK(M2557)), M2557, L2557), N2557, Holiday_Dates)
                - IF(IF(NOT(ISBLANK(M2557)), M2557, L2557) = N2557, 0, 1)
            )
        )
    ),
    ""
)</f>
        <v/>
      </c>
      <c r="S2557" s="385" t="str">
        <f>IFERROR(
    IF(
        OR(ISBLANK(N2557), ISBLANK(O2557)),
        "",
        MAX(
            1,
            IF(
                NETWORKDAYS(N2557, O2557, Holiday_Dates) &lt;= 0,
                1,
                NETWORKDAYS(N2557, O2557, Holiday_Dates) - IF(N2557 = O2557, 0, 1)
            )
        )
    ),
    ""
)</f>
        <v/>
      </c>
      <c r="T2557" s="385"/>
      <c r="U2557" s="385" t="s">
        <v>4</v>
      </c>
      <c r="V2557" s="385" t="s">
        <v>101</v>
      </c>
      <c r="W2557" s="385" t="s">
        <v>1436</v>
      </c>
      <c r="X2557" s="1"/>
    </row>
    <row r="2558" spans="1:24">
      <c r="A2558" s="385" t="s">
        <v>52</v>
      </c>
      <c r="B2558" s="385" t="s">
        <v>318</v>
      </c>
      <c r="C2558" s="385" t="s">
        <v>4064</v>
      </c>
      <c r="D2558" s="385" t="s">
        <v>88</v>
      </c>
      <c r="E2558" s="385"/>
      <c r="F2558" s="385"/>
      <c r="G2558" s="385"/>
      <c r="H2558" s="385">
        <v>2025</v>
      </c>
      <c r="I2558" s="386">
        <v>45876</v>
      </c>
      <c r="J2558" s="30" t="s">
        <v>5643</v>
      </c>
      <c r="K2558" s="385"/>
      <c r="L2558" s="385"/>
      <c r="M2558" s="385"/>
      <c r="N2558" s="385"/>
      <c r="O2558" s="385"/>
      <c r="P2558" s="385" t="str">
        <f>IFERROR(
    IF(
        OR(ISBLANK(I2558), ISBLANK(L2558)),
        "",
        MAX(
            1,
            IF(
                NETWORKDAYS(I2558, L2558, Holiday_Dates) &lt;= 0,
                1,
                NETWORKDAYS(I2558, L2558, Holiday_Dates) - IF(I2558 = L2558, 0, 1)
            )
        )
    ),
    ""
)</f>
        <v/>
      </c>
      <c r="Q2558" s="385" t="str">
        <f>IF(
    OR(ISBLANK(L2558), ISBLANK(M2558)),
    "",
    MAX(
        1,
        IF(
            NETWORKDAYS(L2558, M2558, Holiday_Dates) &lt;= 0,
            1,
            NETWORKDAYS(L2558, M2558, Holiday_Dates) - IF(L2558 = M2558, 0, 1)
        )
    )
)</f>
        <v/>
      </c>
      <c r="R2558" s="385" t="str">
        <f>IFERROR(
    IF(
        OR(ISBLANK(N2558), AND(ISBLANK(L2558), ISBLANK(M2558))),
        "",
        MAX(
            1,
            IF(
                NETWORKDAYS(IF(NOT(ISBLANK(M2558)), M2558, L2558), N2558, Holiday_Dates) &lt;= 0,
                1,
                NETWORKDAYS(IF(NOT(ISBLANK(M2558)), M2558, L2558), N2558, Holiday_Dates)
                - IF(IF(NOT(ISBLANK(M2558)), M2558, L2558) = N2558, 0, 1)
            )
        )
    ),
    ""
)</f>
        <v/>
      </c>
      <c r="S2558" s="385" t="str">
        <f>IFERROR(
    IF(
        OR(ISBLANK(N2558), ISBLANK(O2558)),
        "",
        MAX(
            1,
            IF(
                NETWORKDAYS(N2558, O2558, Holiday_Dates) &lt;= 0,
                1,
                NETWORKDAYS(N2558, O2558, Holiday_Dates) - IF(N2558 = O2558, 0, 1)
            )
        )
    ),
    ""
)</f>
        <v/>
      </c>
      <c r="T2558" s="385"/>
      <c r="U2558" s="385" t="s">
        <v>672</v>
      </c>
      <c r="V2558" s="385" t="s">
        <v>1676</v>
      </c>
      <c r="W2558" s="385" t="s">
        <v>1436</v>
      </c>
      <c r="X2558" s="1"/>
    </row>
    <row r="2559" spans="1:24">
      <c r="A2559" s="385" t="s">
        <v>52</v>
      </c>
      <c r="B2559" s="385" t="s">
        <v>318</v>
      </c>
      <c r="C2559" s="385" t="s">
        <v>4065</v>
      </c>
      <c r="D2559" s="385" t="s">
        <v>88</v>
      </c>
      <c r="E2559" s="385"/>
      <c r="F2559" s="385"/>
      <c r="G2559" s="385"/>
      <c r="H2559" s="385">
        <v>2024</v>
      </c>
      <c r="I2559" s="386">
        <v>45545</v>
      </c>
      <c r="J2559" s="30"/>
      <c r="K2559" s="385"/>
      <c r="L2559" s="385"/>
      <c r="M2559" s="385"/>
      <c r="N2559" s="385"/>
      <c r="O2559" s="385"/>
      <c r="P2559" s="385" t="str">
        <f>IFERROR(
    IF(
        OR(ISBLANK(I2559), ISBLANK(L2559)),
        "",
        MAX(
            1,
            IF(
                NETWORKDAYS(I2559, L2559, Holiday_Dates) &lt;= 0,
                1,
                NETWORKDAYS(I2559, L2559, Holiday_Dates) - IF(I2559 = L2559, 0, 1)
            )
        )
    ),
    ""
)</f>
        <v/>
      </c>
      <c r="Q2559" s="385" t="str">
        <f>IF(
    OR(ISBLANK(L2559), ISBLANK(M2559)),
    "",
    MAX(
        1,
        IF(
            NETWORKDAYS(L2559, M2559, Holiday_Dates) &lt;= 0,
            1,
            NETWORKDAYS(L2559, M2559, Holiday_Dates) - IF(L2559 = M2559, 0, 1)
        )
    )
)</f>
        <v/>
      </c>
      <c r="R2559" s="385" t="str">
        <f>IFERROR(
    IF(
        OR(ISBLANK(N2559), AND(ISBLANK(L2559), ISBLANK(M2559))),
        "",
        MAX(
            1,
            IF(
                NETWORKDAYS(IF(NOT(ISBLANK(M2559)), M2559, L2559), N2559, Holiday_Dates) &lt;= 0,
                1,
                NETWORKDAYS(IF(NOT(ISBLANK(M2559)), M2559, L2559), N2559, Holiday_Dates)
                - IF(IF(NOT(ISBLANK(M2559)), M2559, L2559) = N2559, 0, 1)
            )
        )
    ),
    ""
)</f>
        <v/>
      </c>
      <c r="S2559" s="385" t="str">
        <f>IFERROR(
    IF(
        OR(ISBLANK(N2559), ISBLANK(O2559)),
        "",
        MAX(
            1,
            IF(
                NETWORKDAYS(N2559, O2559, Holiday_Dates) &lt;= 0,
                1,
                NETWORKDAYS(N2559, O2559, Holiday_Dates) - IF(N2559 = O2559, 0, 1)
            )
        )
    ),
    ""
)</f>
        <v/>
      </c>
      <c r="T2559" s="385"/>
      <c r="U2559" s="385" t="s">
        <v>4</v>
      </c>
      <c r="V2559" s="385" t="s">
        <v>101</v>
      </c>
      <c r="W2559" s="385" t="s">
        <v>1436</v>
      </c>
      <c r="X2559" s="1"/>
    </row>
    <row r="2560" spans="1:24">
      <c r="A2560" s="385" t="s">
        <v>52</v>
      </c>
      <c r="B2560" s="385" t="s">
        <v>318</v>
      </c>
      <c r="C2560" s="385" t="s">
        <v>2732</v>
      </c>
      <c r="D2560" s="385" t="s">
        <v>88</v>
      </c>
      <c r="E2560" s="385"/>
      <c r="F2560" s="385"/>
      <c r="G2560" s="385"/>
      <c r="H2560" s="385">
        <v>2025</v>
      </c>
      <c r="I2560" s="386">
        <v>45876</v>
      </c>
      <c r="J2560" s="30" t="s">
        <v>5644</v>
      </c>
      <c r="K2560" s="385"/>
      <c r="L2560" s="385"/>
      <c r="M2560" s="385"/>
      <c r="N2560" s="385"/>
      <c r="O2560" s="385"/>
      <c r="P2560" s="385" t="str">
        <f>IFERROR(
    IF(
        OR(ISBLANK(I2560), ISBLANK(L2560)),
        "",
        MAX(
            1,
            IF(
                NETWORKDAYS(I2560, L2560, Holiday_Dates) &lt;= 0,
                1,
                NETWORKDAYS(I2560, L2560, Holiday_Dates) - IF(I2560 = L2560, 0, 1)
            )
        )
    ),
    ""
)</f>
        <v/>
      </c>
      <c r="Q2560" s="385" t="str">
        <f>IF(
    OR(ISBLANK(L2560), ISBLANK(M2560)),
    "",
    MAX(
        1,
        IF(
            NETWORKDAYS(L2560, M2560, Holiday_Dates) &lt;= 0,
            1,
            NETWORKDAYS(L2560, M2560, Holiday_Dates) - IF(L2560 = M2560, 0, 1)
        )
    )
)</f>
        <v/>
      </c>
      <c r="R2560" s="385" t="str">
        <f>IFERROR(
    IF(
        OR(ISBLANK(N2560), AND(ISBLANK(L2560), ISBLANK(M2560))),
        "",
        MAX(
            1,
            IF(
                NETWORKDAYS(IF(NOT(ISBLANK(M2560)), M2560, L2560), N2560, Holiday_Dates) &lt;= 0,
                1,
                NETWORKDAYS(IF(NOT(ISBLANK(M2560)), M2560, L2560), N2560, Holiday_Dates)
                - IF(IF(NOT(ISBLANK(M2560)), M2560, L2560) = N2560, 0, 1)
            )
        )
    ),
    ""
)</f>
        <v/>
      </c>
      <c r="S2560" s="385" t="str">
        <f>IFERROR(
    IF(
        OR(ISBLANK(N2560), ISBLANK(O2560)),
        "",
        MAX(
            1,
            IF(
                NETWORKDAYS(N2560, O2560, Holiday_Dates) &lt;= 0,
                1,
                NETWORKDAYS(N2560, O2560, Holiday_Dates) - IF(N2560 = O2560, 0, 1)
            )
        )
    ),
    ""
)</f>
        <v/>
      </c>
      <c r="T2560" s="385"/>
      <c r="U2560" s="385" t="s">
        <v>672</v>
      </c>
      <c r="V2560" s="385" t="s">
        <v>101</v>
      </c>
      <c r="W2560" s="385" t="s">
        <v>1436</v>
      </c>
      <c r="X2560" s="1"/>
    </row>
    <row r="2561" spans="1:24">
      <c r="A2561" s="385" t="s">
        <v>52</v>
      </c>
      <c r="B2561" s="385" t="s">
        <v>318</v>
      </c>
      <c r="C2561" s="385" t="s">
        <v>946</v>
      </c>
      <c r="D2561" s="385" t="s">
        <v>88</v>
      </c>
      <c r="E2561" s="385"/>
      <c r="F2561" s="385"/>
      <c r="G2561" s="385"/>
      <c r="H2561" s="385">
        <v>2024</v>
      </c>
      <c r="I2561" s="386">
        <v>45456</v>
      </c>
      <c r="J2561" s="30"/>
      <c r="K2561" s="385"/>
      <c r="L2561" s="385"/>
      <c r="M2561" s="385"/>
      <c r="N2561" s="385"/>
      <c r="O2561" s="385"/>
      <c r="P2561" s="385" t="str">
        <f>IFERROR(
    IF(
        OR(ISBLANK(I2561), ISBLANK(L2561)),
        "",
        MAX(
            1,
            IF(
                NETWORKDAYS(I2561, L2561, Holiday_Dates) &lt;= 0,
                1,
                NETWORKDAYS(I2561, L2561, Holiday_Dates) - IF(I2561 = L2561, 0, 1)
            )
        )
    ),
    ""
)</f>
        <v/>
      </c>
      <c r="Q2561" s="385" t="str">
        <f>IF(
    OR(ISBLANK(L2561), ISBLANK(M2561)),
    "",
    MAX(
        1,
        IF(
            NETWORKDAYS(L2561, M2561, Holiday_Dates) &lt;= 0,
            1,
            NETWORKDAYS(L2561, M2561, Holiday_Dates) - IF(L2561 = M2561, 0, 1)
        )
    )
)</f>
        <v/>
      </c>
      <c r="R2561" s="385" t="str">
        <f>IFERROR(
    IF(
        OR(ISBLANK(N2561), AND(ISBLANK(L2561), ISBLANK(M2561))),
        "",
        MAX(
            1,
            IF(
                NETWORKDAYS(IF(NOT(ISBLANK(M2561)), M2561, L2561), N2561, Holiday_Dates) &lt;= 0,
                1,
                NETWORKDAYS(IF(NOT(ISBLANK(M2561)), M2561, L2561), N2561, Holiday_Dates)
                - IF(IF(NOT(ISBLANK(M2561)), M2561, L2561) = N2561, 0, 1)
            )
        )
    ),
    ""
)</f>
        <v/>
      </c>
      <c r="S2561" s="385" t="str">
        <f>IFERROR(
    IF(
        OR(ISBLANK(N2561), ISBLANK(O2561)),
        "",
        MAX(
            1,
            IF(
                NETWORKDAYS(N2561, O2561, Holiday_Dates) &lt;= 0,
                1,
                NETWORKDAYS(N2561, O2561, Holiday_Dates) - IF(N2561 = O2561, 0, 1)
            )
        )
    ),
    ""
)</f>
        <v/>
      </c>
      <c r="T2561" s="385"/>
      <c r="U2561" s="385" t="s">
        <v>672</v>
      </c>
      <c r="V2561" s="385"/>
      <c r="W2561" s="385" t="s">
        <v>1436</v>
      </c>
      <c r="X2561" s="1"/>
    </row>
    <row r="2562" spans="1:24">
      <c r="A2562" s="385" t="s">
        <v>52</v>
      </c>
      <c r="B2562" s="385" t="s">
        <v>318</v>
      </c>
      <c r="C2562" s="385" t="s">
        <v>4068</v>
      </c>
      <c r="D2562" s="385" t="s">
        <v>88</v>
      </c>
      <c r="E2562" s="385"/>
      <c r="F2562" s="385"/>
      <c r="G2562" s="385"/>
      <c r="H2562" s="385">
        <v>2025</v>
      </c>
      <c r="I2562" s="386">
        <v>45877</v>
      </c>
      <c r="J2562" s="30" t="s">
        <v>5645</v>
      </c>
      <c r="K2562" s="385"/>
      <c r="L2562" s="385"/>
      <c r="M2562" s="385"/>
      <c r="N2562" s="385"/>
      <c r="O2562" s="385"/>
      <c r="P2562" s="385" t="str">
        <f>IFERROR(
    IF(
        OR(ISBLANK(I2562), ISBLANK(L2562)),
        "",
        MAX(
            1,
            IF(
                NETWORKDAYS(I2562, L2562, Holiday_Dates) &lt;= 0,
                1,
                NETWORKDAYS(I2562, L2562, Holiday_Dates) - IF(I2562 = L2562, 0, 1)
            )
        )
    ),
    ""
)</f>
        <v/>
      </c>
      <c r="Q2562" s="385" t="str">
        <f>IF(
    OR(ISBLANK(L2562), ISBLANK(M2562)),
    "",
    MAX(
        1,
        IF(
            NETWORKDAYS(L2562, M2562, Holiday_Dates) &lt;= 0,
            1,
            NETWORKDAYS(L2562, M2562, Holiday_Dates) - IF(L2562 = M2562, 0, 1)
        )
    )
)</f>
        <v/>
      </c>
      <c r="R2562" s="385" t="str">
        <f>IFERROR(
    IF(
        OR(ISBLANK(N2562), AND(ISBLANK(L2562), ISBLANK(M2562))),
        "",
        MAX(
            1,
            IF(
                NETWORKDAYS(IF(NOT(ISBLANK(M2562)), M2562, L2562), N2562, Holiday_Dates) &lt;= 0,
                1,
                NETWORKDAYS(IF(NOT(ISBLANK(M2562)), M2562, L2562), N2562, Holiday_Dates)
                - IF(IF(NOT(ISBLANK(M2562)), M2562, L2562) = N2562, 0, 1)
            )
        )
    ),
    ""
)</f>
        <v/>
      </c>
      <c r="S2562" s="385" t="str">
        <f>IFERROR(
    IF(
        OR(ISBLANK(N2562), ISBLANK(O2562)),
        "",
        MAX(
            1,
            IF(
                NETWORKDAYS(N2562, O2562, Holiday_Dates) &lt;= 0,
                1,
                NETWORKDAYS(N2562, O2562, Holiday_Dates) - IF(N2562 = O2562, 0, 1)
            )
        )
    ),
    ""
)</f>
        <v/>
      </c>
      <c r="T2562" s="385"/>
      <c r="U2562" s="385" t="s">
        <v>672</v>
      </c>
      <c r="V2562" s="385" t="s">
        <v>1676</v>
      </c>
      <c r="W2562" s="385" t="s">
        <v>1436</v>
      </c>
      <c r="X2562" s="1"/>
    </row>
    <row r="2563" spans="1:24">
      <c r="A2563" s="385" t="s">
        <v>52</v>
      </c>
      <c r="B2563" s="385" t="s">
        <v>318</v>
      </c>
      <c r="C2563" s="385" t="s">
        <v>3425</v>
      </c>
      <c r="D2563" s="385" t="s">
        <v>88</v>
      </c>
      <c r="E2563" s="385"/>
      <c r="F2563" s="385"/>
      <c r="G2563" s="385"/>
      <c r="H2563" s="385">
        <v>2025</v>
      </c>
      <c r="I2563" s="386">
        <v>45876</v>
      </c>
      <c r="J2563" s="30" t="s">
        <v>5646</v>
      </c>
      <c r="K2563" s="385"/>
      <c r="L2563" s="385"/>
      <c r="M2563" s="385"/>
      <c r="N2563" s="385"/>
      <c r="O2563" s="385"/>
      <c r="P2563" s="385" t="str">
        <f>IFERROR(
    IF(
        OR(ISBLANK(I2563), ISBLANK(L2563)),
        "",
        MAX(
            1,
            IF(
                NETWORKDAYS(I2563, L2563, Holiday_Dates) &lt;= 0,
                1,
                NETWORKDAYS(I2563, L2563, Holiday_Dates) - IF(I2563 = L2563, 0, 1)
            )
        )
    ),
    ""
)</f>
        <v/>
      </c>
      <c r="Q2563" s="385" t="str">
        <f>IF(
    OR(ISBLANK(L2563), ISBLANK(M2563)),
    "",
    MAX(
        1,
        IF(
            NETWORKDAYS(L2563, M2563, Holiday_Dates) &lt;= 0,
            1,
            NETWORKDAYS(L2563, M2563, Holiday_Dates) - IF(L2563 = M2563, 0, 1)
        )
    )
)</f>
        <v/>
      </c>
      <c r="R2563" s="385" t="str">
        <f>IFERROR(
    IF(
        OR(ISBLANK(N2563), AND(ISBLANK(L2563), ISBLANK(M2563))),
        "",
        MAX(
            1,
            IF(
                NETWORKDAYS(IF(NOT(ISBLANK(M2563)), M2563, L2563), N2563, Holiday_Dates) &lt;= 0,
                1,
                NETWORKDAYS(IF(NOT(ISBLANK(M2563)), M2563, L2563), N2563, Holiday_Dates)
                - IF(IF(NOT(ISBLANK(M2563)), M2563, L2563) = N2563, 0, 1)
            )
        )
    ),
    ""
)</f>
        <v/>
      </c>
      <c r="S2563" s="385" t="str">
        <f>IFERROR(
    IF(
        OR(ISBLANK(N2563), ISBLANK(O2563)),
        "",
        MAX(
            1,
            IF(
                NETWORKDAYS(N2563, O2563, Holiday_Dates) &lt;= 0,
                1,
                NETWORKDAYS(N2563, O2563, Holiday_Dates) - IF(N2563 = O2563, 0, 1)
            )
        )
    ),
    ""
)</f>
        <v/>
      </c>
      <c r="T2563" s="385"/>
      <c r="U2563" s="385" t="s">
        <v>672</v>
      </c>
      <c r="V2563" s="385" t="s">
        <v>1676</v>
      </c>
      <c r="W2563" s="385" t="s">
        <v>1436</v>
      </c>
      <c r="X2563" s="1"/>
    </row>
    <row r="2564" spans="1:24">
      <c r="A2564" s="385" t="s">
        <v>52</v>
      </c>
      <c r="B2564" s="385" t="s">
        <v>318</v>
      </c>
      <c r="C2564" s="385" t="s">
        <v>4069</v>
      </c>
      <c r="D2564" s="385" t="s">
        <v>88</v>
      </c>
      <c r="E2564" s="385"/>
      <c r="F2564" s="385"/>
      <c r="G2564" s="385"/>
      <c r="H2564" s="385">
        <v>2024</v>
      </c>
      <c r="I2564" s="386">
        <v>45384</v>
      </c>
      <c r="J2564" s="30"/>
      <c r="K2564" s="385"/>
      <c r="L2564" s="385"/>
      <c r="M2564" s="385"/>
      <c r="N2564" s="385"/>
      <c r="O2564" s="385"/>
      <c r="P2564" s="385" t="str">
        <f>IFERROR(
    IF(
        OR(ISBLANK(I2564), ISBLANK(L2564)),
        "",
        MAX(
            1,
            IF(
                NETWORKDAYS(I2564, L2564, Holiday_Dates) &lt;= 0,
                1,
                NETWORKDAYS(I2564, L2564, Holiday_Dates) - IF(I2564 = L2564, 0, 1)
            )
        )
    ),
    ""
)</f>
        <v/>
      </c>
      <c r="Q2564" s="385" t="str">
        <f>IF(
    OR(ISBLANK(L2564), ISBLANK(M2564)),
    "",
    MAX(
        1,
        IF(
            NETWORKDAYS(L2564, M2564, Holiday_Dates) &lt;= 0,
            1,
            NETWORKDAYS(L2564, M2564, Holiday_Dates) - IF(L2564 = M2564, 0, 1)
        )
    )
)</f>
        <v/>
      </c>
      <c r="R2564" s="385" t="str">
        <f>IFERROR(
    IF(
        OR(ISBLANK(N2564), AND(ISBLANK(L2564), ISBLANK(M2564))),
        "",
        MAX(
            1,
            IF(
                NETWORKDAYS(IF(NOT(ISBLANK(M2564)), M2564, L2564), N2564, Holiday_Dates) &lt;= 0,
                1,
                NETWORKDAYS(IF(NOT(ISBLANK(M2564)), M2564, L2564), N2564, Holiday_Dates)
                - IF(IF(NOT(ISBLANK(M2564)), M2564, L2564) = N2564, 0, 1)
            )
        )
    ),
    ""
)</f>
        <v/>
      </c>
      <c r="S2564" s="385" t="str">
        <f>IFERROR(
    IF(
        OR(ISBLANK(N2564), ISBLANK(O2564)),
        "",
        MAX(
            1,
            IF(
                NETWORKDAYS(N2564, O2564, Holiday_Dates) &lt;= 0,
                1,
                NETWORKDAYS(N2564, O2564, Holiday_Dates) - IF(N2564 = O2564, 0, 1)
            )
        )
    ),
    ""
)</f>
        <v/>
      </c>
      <c r="T2564" s="385"/>
      <c r="U2564" s="385" t="s">
        <v>672</v>
      </c>
      <c r="V2564" s="385"/>
      <c r="W2564" s="385" t="s">
        <v>1436</v>
      </c>
      <c r="X2564" s="1"/>
    </row>
    <row r="2565" spans="1:24">
      <c r="A2565" s="385" t="s">
        <v>52</v>
      </c>
      <c r="B2565" s="385" t="s">
        <v>318</v>
      </c>
      <c r="C2565" s="385" t="s">
        <v>4071</v>
      </c>
      <c r="D2565" s="385" t="s">
        <v>88</v>
      </c>
      <c r="E2565" s="385"/>
      <c r="F2565" s="385"/>
      <c r="G2565" s="385"/>
      <c r="H2565" s="385">
        <v>2024</v>
      </c>
      <c r="I2565" s="386">
        <v>45419</v>
      </c>
      <c r="J2565" s="30"/>
      <c r="K2565" s="385"/>
      <c r="L2565" s="385"/>
      <c r="M2565" s="385"/>
      <c r="N2565" s="385"/>
      <c r="O2565" s="385"/>
      <c r="P2565" s="385" t="str">
        <f>IFERROR(
    IF(
        OR(ISBLANK(I2565), ISBLANK(L2565)),
        "",
        MAX(
            1,
            IF(
                NETWORKDAYS(I2565, L2565, Holiday_Dates) &lt;= 0,
                1,
                NETWORKDAYS(I2565, L2565, Holiday_Dates) - IF(I2565 = L2565, 0, 1)
            )
        )
    ),
    ""
)</f>
        <v/>
      </c>
      <c r="Q2565" s="385" t="str">
        <f>IF(
    OR(ISBLANK(L2565), ISBLANK(M2565)),
    "",
    MAX(
        1,
        IF(
            NETWORKDAYS(L2565, M2565, Holiday_Dates) &lt;= 0,
            1,
            NETWORKDAYS(L2565, M2565, Holiday_Dates) - IF(L2565 = M2565, 0, 1)
        )
    )
)</f>
        <v/>
      </c>
      <c r="R2565" s="385" t="str">
        <f>IFERROR(
    IF(
        OR(ISBLANK(N2565), AND(ISBLANK(L2565), ISBLANK(M2565))),
        "",
        MAX(
            1,
            IF(
                NETWORKDAYS(IF(NOT(ISBLANK(M2565)), M2565, L2565), N2565, Holiday_Dates) &lt;= 0,
                1,
                NETWORKDAYS(IF(NOT(ISBLANK(M2565)), M2565, L2565), N2565, Holiday_Dates)
                - IF(IF(NOT(ISBLANK(M2565)), M2565, L2565) = N2565, 0, 1)
            )
        )
    ),
    ""
)</f>
        <v/>
      </c>
      <c r="S2565" s="385" t="str">
        <f>IFERROR(
    IF(
        OR(ISBLANK(N2565), ISBLANK(O2565)),
        "",
        MAX(
            1,
            IF(
                NETWORKDAYS(N2565, O2565, Holiday_Dates) &lt;= 0,
                1,
                NETWORKDAYS(N2565, O2565, Holiday_Dates) - IF(N2565 = O2565, 0, 1)
            )
        )
    ),
    ""
)</f>
        <v/>
      </c>
      <c r="T2565" s="385"/>
      <c r="U2565" s="385" t="s">
        <v>672</v>
      </c>
      <c r="V2565" s="385"/>
      <c r="W2565" s="385" t="s">
        <v>1436</v>
      </c>
      <c r="X2565" s="1"/>
    </row>
    <row r="2566" spans="1:24">
      <c r="A2566" s="385" t="s">
        <v>52</v>
      </c>
      <c r="B2566" s="385" t="s">
        <v>318</v>
      </c>
      <c r="C2566" s="385" t="s">
        <v>4073</v>
      </c>
      <c r="D2566" s="385" t="s">
        <v>88</v>
      </c>
      <c r="E2566" s="385"/>
      <c r="F2566" s="385"/>
      <c r="G2566" s="385"/>
      <c r="H2566" s="385">
        <v>2024</v>
      </c>
      <c r="I2566" s="386">
        <v>45545</v>
      </c>
      <c r="J2566" s="30"/>
      <c r="K2566" s="385"/>
      <c r="L2566" s="385"/>
      <c r="M2566" s="385"/>
      <c r="N2566" s="385"/>
      <c r="O2566" s="385"/>
      <c r="P2566" s="385" t="str">
        <f>IFERROR(
    IF(
        OR(ISBLANK(I2566), ISBLANK(L2566)),
        "",
        MAX(
            1,
            IF(
                NETWORKDAYS(I2566, L2566, Holiday_Dates) &lt;= 0,
                1,
                NETWORKDAYS(I2566, L2566, Holiday_Dates) - IF(I2566 = L2566, 0, 1)
            )
        )
    ),
    ""
)</f>
        <v/>
      </c>
      <c r="Q2566" s="385" t="str">
        <f>IF(
    OR(ISBLANK(L2566), ISBLANK(M2566)),
    "",
    MAX(
        1,
        IF(
            NETWORKDAYS(L2566, M2566, Holiday_Dates) &lt;= 0,
            1,
            NETWORKDAYS(L2566, M2566, Holiday_Dates) - IF(L2566 = M2566, 0, 1)
        )
    )
)</f>
        <v/>
      </c>
      <c r="R2566" s="385" t="str">
        <f>IFERROR(
    IF(
        OR(ISBLANK(N2566), AND(ISBLANK(L2566), ISBLANK(M2566))),
        "",
        MAX(
            1,
            IF(
                NETWORKDAYS(IF(NOT(ISBLANK(M2566)), M2566, L2566), N2566, Holiday_Dates) &lt;= 0,
                1,
                NETWORKDAYS(IF(NOT(ISBLANK(M2566)), M2566, L2566), N2566, Holiday_Dates)
                - IF(IF(NOT(ISBLANK(M2566)), M2566, L2566) = N2566, 0, 1)
            )
        )
    ),
    ""
)</f>
        <v/>
      </c>
      <c r="S2566" s="385" t="str">
        <f>IFERROR(
    IF(
        OR(ISBLANK(N2566), ISBLANK(O2566)),
        "",
        MAX(
            1,
            IF(
                NETWORKDAYS(N2566, O2566, Holiday_Dates) &lt;= 0,
                1,
                NETWORKDAYS(N2566, O2566, Holiday_Dates) - IF(N2566 = O2566, 0, 1)
            )
        )
    ),
    ""
)</f>
        <v/>
      </c>
      <c r="T2566" s="385"/>
      <c r="U2566" s="385" t="s">
        <v>4</v>
      </c>
      <c r="V2566" s="385" t="s">
        <v>101</v>
      </c>
      <c r="W2566" s="385" t="s">
        <v>1436</v>
      </c>
      <c r="X2566" s="1"/>
    </row>
    <row r="2567" spans="1:24">
      <c r="A2567" s="385" t="s">
        <v>52</v>
      </c>
      <c r="B2567" s="385" t="s">
        <v>318</v>
      </c>
      <c r="C2567" s="385" t="s">
        <v>4075</v>
      </c>
      <c r="D2567" s="385" t="s">
        <v>88</v>
      </c>
      <c r="E2567" s="385"/>
      <c r="F2567" s="385"/>
      <c r="G2567" s="385"/>
      <c r="H2567" s="385">
        <v>2025</v>
      </c>
      <c r="I2567" s="386">
        <v>45910</v>
      </c>
      <c r="J2567" s="30" t="s">
        <v>5647</v>
      </c>
      <c r="K2567" s="385"/>
      <c r="L2567" s="385"/>
      <c r="M2567" s="385"/>
      <c r="N2567" s="385"/>
      <c r="O2567" s="385"/>
      <c r="P2567" s="385" t="str">
        <f>IFERROR(
    IF(
        OR(ISBLANK(I2567), ISBLANK(L2567)),
        "",
        MAX(
            1,
            IF(
                NETWORKDAYS(I2567, L2567, Holiday_Dates) &lt;= 0,
                1,
                NETWORKDAYS(I2567, L2567, Holiday_Dates) - IF(I2567 = L2567, 0, 1)
            )
        )
    ),
    ""
)</f>
        <v/>
      </c>
      <c r="Q2567" s="385" t="str">
        <f>IF(
    OR(ISBLANK(L2567), ISBLANK(M2567)),
    "",
    MAX(
        1,
        IF(
            NETWORKDAYS(L2567, M2567, Holiday_Dates) &lt;= 0,
            1,
            NETWORKDAYS(L2567, M2567, Holiday_Dates) - IF(L2567 = M2567, 0, 1)
        )
    )
)</f>
        <v/>
      </c>
      <c r="R2567" s="385" t="str">
        <f>IFERROR(
    IF(
        OR(ISBLANK(N2567), AND(ISBLANK(L2567), ISBLANK(M2567))),
        "",
        MAX(
            1,
            IF(
                NETWORKDAYS(IF(NOT(ISBLANK(M2567)), M2567, L2567), N2567, Holiday_Dates) &lt;= 0,
                1,
                NETWORKDAYS(IF(NOT(ISBLANK(M2567)), M2567, L2567), N2567, Holiday_Dates)
                - IF(IF(NOT(ISBLANK(M2567)), M2567, L2567) = N2567, 0, 1)
            )
        )
    ),
    ""
)</f>
        <v/>
      </c>
      <c r="S2567" s="385" t="str">
        <f>IFERROR(
    IF(
        OR(ISBLANK(N2567), ISBLANK(O2567)),
        "",
        MAX(
            1,
            IF(
                NETWORKDAYS(N2567, O2567, Holiday_Dates) &lt;= 0,
                1,
                NETWORKDAYS(N2567, O2567, Holiday_Dates) - IF(N2567 = O2567, 0, 1)
            )
        )
    ),
    ""
)</f>
        <v/>
      </c>
      <c r="T2567" s="385"/>
      <c r="U2567" s="385" t="s">
        <v>672</v>
      </c>
      <c r="V2567" s="385" t="s">
        <v>101</v>
      </c>
      <c r="W2567" s="385" t="s">
        <v>1436</v>
      </c>
      <c r="X2567" s="1"/>
    </row>
    <row r="2568" spans="1:24">
      <c r="A2568" s="385" t="s">
        <v>52</v>
      </c>
      <c r="B2568" s="385" t="s">
        <v>318</v>
      </c>
      <c r="C2568" s="385" t="s">
        <v>4076</v>
      </c>
      <c r="D2568" s="385" t="s">
        <v>88</v>
      </c>
      <c r="E2568" s="385"/>
      <c r="F2568" s="385"/>
      <c r="G2568" s="385"/>
      <c r="H2568" s="385">
        <v>2025</v>
      </c>
      <c r="I2568" s="386">
        <v>45909</v>
      </c>
      <c r="J2568" s="30" t="s">
        <v>5648</v>
      </c>
      <c r="K2568" s="385"/>
      <c r="L2568" s="385"/>
      <c r="M2568" s="385"/>
      <c r="N2568" s="385"/>
      <c r="O2568" s="385"/>
      <c r="P2568" s="385" t="str">
        <f>IFERROR(
    IF(
        OR(ISBLANK(I2568), ISBLANK(L2568)),
        "",
        MAX(
            1,
            IF(
                NETWORKDAYS(I2568, L2568, Holiday_Dates) &lt;= 0,
                1,
                NETWORKDAYS(I2568, L2568, Holiday_Dates) - IF(I2568 = L2568, 0, 1)
            )
        )
    ),
    ""
)</f>
        <v/>
      </c>
      <c r="Q2568" s="385" t="str">
        <f>IF(
    OR(ISBLANK(L2568), ISBLANK(M2568)),
    "",
    MAX(
        1,
        IF(
            NETWORKDAYS(L2568, M2568, Holiday_Dates) &lt;= 0,
            1,
            NETWORKDAYS(L2568, M2568, Holiday_Dates) - IF(L2568 = M2568, 0, 1)
        )
    )
)</f>
        <v/>
      </c>
      <c r="R2568" s="385" t="str">
        <f>IFERROR(
    IF(
        OR(ISBLANK(N2568), AND(ISBLANK(L2568), ISBLANK(M2568))),
        "",
        MAX(
            1,
            IF(
                NETWORKDAYS(IF(NOT(ISBLANK(M2568)), M2568, L2568), N2568, Holiday_Dates) &lt;= 0,
                1,
                NETWORKDAYS(IF(NOT(ISBLANK(M2568)), M2568, L2568), N2568, Holiday_Dates)
                - IF(IF(NOT(ISBLANK(M2568)), M2568, L2568) = N2568, 0, 1)
            )
        )
    ),
    ""
)</f>
        <v/>
      </c>
      <c r="S2568" s="385" t="str">
        <f>IFERROR(
    IF(
        OR(ISBLANK(N2568), ISBLANK(O2568)),
        "",
        MAX(
            1,
            IF(
                NETWORKDAYS(N2568, O2568, Holiday_Dates) &lt;= 0,
                1,
                NETWORKDAYS(N2568, O2568, Holiday_Dates) - IF(N2568 = O2568, 0, 1)
            )
        )
    ),
    ""
)</f>
        <v/>
      </c>
      <c r="T2568" s="385"/>
      <c r="U2568" s="385" t="s">
        <v>672</v>
      </c>
      <c r="V2568" s="385" t="s">
        <v>1676</v>
      </c>
      <c r="W2568" s="385" t="s">
        <v>1436</v>
      </c>
      <c r="X2568" s="1"/>
    </row>
    <row r="2569" spans="1:24">
      <c r="A2569" s="385" t="s">
        <v>52</v>
      </c>
      <c r="B2569" s="385" t="s">
        <v>318</v>
      </c>
      <c r="C2569" s="385" t="s">
        <v>444</v>
      </c>
      <c r="D2569" s="385" t="s">
        <v>88</v>
      </c>
      <c r="E2569" s="385"/>
      <c r="F2569" s="385"/>
      <c r="G2569" s="385"/>
      <c r="H2569" s="385">
        <v>2025</v>
      </c>
      <c r="I2569" s="386">
        <v>45909</v>
      </c>
      <c r="J2569" s="30" t="s">
        <v>5649</v>
      </c>
      <c r="K2569" s="385"/>
      <c r="L2569" s="385"/>
      <c r="M2569" s="385"/>
      <c r="N2569" s="385"/>
      <c r="O2569" s="385"/>
      <c r="P2569" s="385" t="str">
        <f>IFERROR(
    IF(
        OR(ISBLANK(I2569), ISBLANK(L2569)),
        "",
        MAX(
            1,
            IF(
                NETWORKDAYS(I2569, L2569, Holiday_Dates) &lt;= 0,
                1,
                NETWORKDAYS(I2569, L2569, Holiday_Dates) - IF(I2569 = L2569, 0, 1)
            )
        )
    ),
    ""
)</f>
        <v/>
      </c>
      <c r="Q2569" s="385" t="str">
        <f>IF(
    OR(ISBLANK(L2569), ISBLANK(M2569)),
    "",
    MAX(
        1,
        IF(
            NETWORKDAYS(L2569, M2569, Holiday_Dates) &lt;= 0,
            1,
            NETWORKDAYS(L2569, M2569, Holiday_Dates) - IF(L2569 = M2569, 0, 1)
        )
    )
)</f>
        <v/>
      </c>
      <c r="R2569" s="385" t="str">
        <f>IFERROR(
    IF(
        OR(ISBLANK(N2569), AND(ISBLANK(L2569), ISBLANK(M2569))),
        "",
        MAX(
            1,
            IF(
                NETWORKDAYS(IF(NOT(ISBLANK(M2569)), M2569, L2569), N2569, Holiday_Dates) &lt;= 0,
                1,
                NETWORKDAYS(IF(NOT(ISBLANK(M2569)), M2569, L2569), N2569, Holiday_Dates)
                - IF(IF(NOT(ISBLANK(M2569)), M2569, L2569) = N2569, 0, 1)
            )
        )
    ),
    ""
)</f>
        <v/>
      </c>
      <c r="S2569" s="385" t="str">
        <f>IFERROR(
    IF(
        OR(ISBLANK(N2569), ISBLANK(O2569)),
        "",
        MAX(
            1,
            IF(
                NETWORKDAYS(N2569, O2569, Holiday_Dates) &lt;= 0,
                1,
                NETWORKDAYS(N2569, O2569, Holiday_Dates) - IF(N2569 = O2569, 0, 1)
            )
        )
    ),
    ""
)</f>
        <v/>
      </c>
      <c r="T2569" s="385"/>
      <c r="U2569" s="385" t="s">
        <v>672</v>
      </c>
      <c r="V2569" s="385" t="s">
        <v>1676</v>
      </c>
      <c r="W2569" s="385" t="s">
        <v>1436</v>
      </c>
      <c r="X2569" s="1"/>
    </row>
    <row r="2570" spans="1:24">
      <c r="A2570" s="385" t="s">
        <v>52</v>
      </c>
      <c r="B2570" s="385" t="s">
        <v>318</v>
      </c>
      <c r="C2570" s="385" t="s">
        <v>1869</v>
      </c>
      <c r="D2570" s="385" t="s">
        <v>88</v>
      </c>
      <c r="E2570" s="385"/>
      <c r="F2570" s="385"/>
      <c r="G2570" s="385"/>
      <c r="H2570" s="385">
        <v>2025</v>
      </c>
      <c r="I2570" s="386">
        <v>45909</v>
      </c>
      <c r="J2570" s="30" t="s">
        <v>5650</v>
      </c>
      <c r="K2570" s="385"/>
      <c r="L2570" s="385"/>
      <c r="M2570" s="385"/>
      <c r="N2570" s="385"/>
      <c r="O2570" s="385"/>
      <c r="P2570" s="385" t="str">
        <f>IFERROR(
    IF(
        OR(ISBLANK(I2570), ISBLANK(L2570)),
        "",
        MAX(
            1,
            IF(
                NETWORKDAYS(I2570, L2570, Holiday_Dates) &lt;= 0,
                1,
                NETWORKDAYS(I2570, L2570, Holiday_Dates) - IF(I2570 = L2570, 0, 1)
            )
        )
    ),
    ""
)</f>
        <v/>
      </c>
      <c r="Q2570" s="385" t="str">
        <f>IF(
    OR(ISBLANK(L2570), ISBLANK(M2570)),
    "",
    MAX(
        1,
        IF(
            NETWORKDAYS(L2570, M2570, Holiday_Dates) &lt;= 0,
            1,
            NETWORKDAYS(L2570, M2570, Holiday_Dates) - IF(L2570 = M2570, 0, 1)
        )
    )
)</f>
        <v/>
      </c>
      <c r="R2570" s="385" t="str">
        <f>IFERROR(
    IF(
        OR(ISBLANK(N2570), AND(ISBLANK(L2570), ISBLANK(M2570))),
        "",
        MAX(
            1,
            IF(
                NETWORKDAYS(IF(NOT(ISBLANK(M2570)), M2570, L2570), N2570, Holiday_Dates) &lt;= 0,
                1,
                NETWORKDAYS(IF(NOT(ISBLANK(M2570)), M2570, L2570), N2570, Holiday_Dates)
                - IF(IF(NOT(ISBLANK(M2570)), M2570, L2570) = N2570, 0, 1)
            )
        )
    ),
    ""
)</f>
        <v/>
      </c>
      <c r="S2570" s="385" t="str">
        <f>IFERROR(
    IF(
        OR(ISBLANK(N2570), ISBLANK(O2570)),
        "",
        MAX(
            1,
            IF(
                NETWORKDAYS(N2570, O2570, Holiday_Dates) &lt;= 0,
                1,
                NETWORKDAYS(N2570, O2570, Holiday_Dates) - IF(N2570 = O2570, 0, 1)
            )
        )
    ),
    ""
)</f>
        <v/>
      </c>
      <c r="T2570" s="385"/>
      <c r="U2570" s="385" t="s">
        <v>672</v>
      </c>
      <c r="V2570" s="385" t="s">
        <v>1676</v>
      </c>
      <c r="W2570" s="385" t="s">
        <v>1436</v>
      </c>
      <c r="X2570" s="1"/>
    </row>
    <row r="2571" spans="1:24">
      <c r="A2571" s="385" t="s">
        <v>52</v>
      </c>
      <c r="B2571" s="385" t="s">
        <v>318</v>
      </c>
      <c r="C2571" s="385" t="s">
        <v>2181</v>
      </c>
      <c r="D2571" s="385" t="s">
        <v>88</v>
      </c>
      <c r="E2571" s="385"/>
      <c r="F2571" s="385"/>
      <c r="G2571" s="385"/>
      <c r="H2571" s="385">
        <v>2025</v>
      </c>
      <c r="I2571" s="386">
        <v>45909</v>
      </c>
      <c r="J2571" s="30" t="s">
        <v>5651</v>
      </c>
      <c r="K2571" s="385"/>
      <c r="L2571" s="385"/>
      <c r="M2571" s="385"/>
      <c r="N2571" s="385"/>
      <c r="O2571" s="385"/>
      <c r="P2571" s="385" t="str">
        <f>IFERROR(
    IF(
        OR(ISBLANK(I2571), ISBLANK(L2571)),
        "",
        MAX(
            1,
            IF(
                NETWORKDAYS(I2571, L2571, Holiday_Dates) &lt;= 0,
                1,
                NETWORKDAYS(I2571, L2571, Holiday_Dates) - IF(I2571 = L2571, 0, 1)
            )
        )
    ),
    ""
)</f>
        <v/>
      </c>
      <c r="Q2571" s="385" t="str">
        <f>IF(
    OR(ISBLANK(L2571), ISBLANK(M2571)),
    "",
    MAX(
        1,
        IF(
            NETWORKDAYS(L2571, M2571, Holiday_Dates) &lt;= 0,
            1,
            NETWORKDAYS(L2571, M2571, Holiday_Dates) - IF(L2571 = M2571, 0, 1)
        )
    )
)</f>
        <v/>
      </c>
      <c r="R2571" s="385" t="str">
        <f>IFERROR(
    IF(
        OR(ISBLANK(N2571), AND(ISBLANK(L2571), ISBLANK(M2571))),
        "",
        MAX(
            1,
            IF(
                NETWORKDAYS(IF(NOT(ISBLANK(M2571)), M2571, L2571), N2571, Holiday_Dates) &lt;= 0,
                1,
                NETWORKDAYS(IF(NOT(ISBLANK(M2571)), M2571, L2571), N2571, Holiday_Dates)
                - IF(IF(NOT(ISBLANK(M2571)), M2571, L2571) = N2571, 0, 1)
            )
        )
    ),
    ""
)</f>
        <v/>
      </c>
      <c r="S2571" s="385" t="str">
        <f>IFERROR(
    IF(
        OR(ISBLANK(N2571), ISBLANK(O2571)),
        "",
        MAX(
            1,
            IF(
                NETWORKDAYS(N2571, O2571, Holiday_Dates) &lt;= 0,
                1,
                NETWORKDAYS(N2571, O2571, Holiday_Dates) - IF(N2571 = O2571, 0, 1)
            )
        )
    ),
    ""
)</f>
        <v/>
      </c>
      <c r="T2571" s="385"/>
      <c r="U2571" s="385" t="s">
        <v>672</v>
      </c>
      <c r="V2571" s="385" t="s">
        <v>1676</v>
      </c>
      <c r="W2571" s="385" t="s">
        <v>1436</v>
      </c>
      <c r="X2571" s="1"/>
    </row>
    <row r="2572" spans="1:24">
      <c r="A2572" s="385" t="s">
        <v>52</v>
      </c>
      <c r="B2572" s="385" t="s">
        <v>318</v>
      </c>
      <c r="C2572" s="385" t="s">
        <v>690</v>
      </c>
      <c r="D2572" s="385" t="s">
        <v>88</v>
      </c>
      <c r="E2572" s="385"/>
      <c r="F2572" s="385"/>
      <c r="G2572" s="385"/>
      <c r="H2572" s="385">
        <v>2025</v>
      </c>
      <c r="I2572" s="386">
        <v>45910</v>
      </c>
      <c r="J2572" s="30" t="s">
        <v>5652</v>
      </c>
      <c r="K2572" s="385"/>
      <c r="L2572" s="385"/>
      <c r="M2572" s="385"/>
      <c r="N2572" s="385"/>
      <c r="O2572" s="385"/>
      <c r="P2572" s="385" t="str">
        <f>IFERROR(
    IF(
        OR(ISBLANK(I2572), ISBLANK(L2572)),
        "",
        MAX(
            1,
            IF(
                NETWORKDAYS(I2572, L2572, Holiday_Dates) &lt;= 0,
                1,
                NETWORKDAYS(I2572, L2572, Holiday_Dates) - IF(I2572 = L2572, 0, 1)
            )
        )
    ),
    ""
)</f>
        <v/>
      </c>
      <c r="Q2572" s="385" t="str">
        <f>IF(
    OR(ISBLANK(L2572), ISBLANK(M2572)),
    "",
    MAX(
        1,
        IF(
            NETWORKDAYS(L2572, M2572, Holiday_Dates) &lt;= 0,
            1,
            NETWORKDAYS(L2572, M2572, Holiday_Dates) - IF(L2572 = M2572, 0, 1)
        )
    )
)</f>
        <v/>
      </c>
      <c r="R2572" s="385" t="str">
        <f>IFERROR(
    IF(
        OR(ISBLANK(N2572), AND(ISBLANK(L2572), ISBLANK(M2572))),
        "",
        MAX(
            1,
            IF(
                NETWORKDAYS(IF(NOT(ISBLANK(M2572)), M2572, L2572), N2572, Holiday_Dates) &lt;= 0,
                1,
                NETWORKDAYS(IF(NOT(ISBLANK(M2572)), M2572, L2572), N2572, Holiday_Dates)
                - IF(IF(NOT(ISBLANK(M2572)), M2572, L2572) = N2572, 0, 1)
            )
        )
    ),
    ""
)</f>
        <v/>
      </c>
      <c r="S2572" s="385" t="str">
        <f>IFERROR(
    IF(
        OR(ISBLANK(N2572), ISBLANK(O2572)),
        "",
        MAX(
            1,
            IF(
                NETWORKDAYS(N2572, O2572, Holiday_Dates) &lt;= 0,
                1,
                NETWORKDAYS(N2572, O2572, Holiday_Dates) - IF(N2572 = O2572, 0, 1)
            )
        )
    ),
    ""
)</f>
        <v/>
      </c>
      <c r="T2572" s="385"/>
      <c r="U2572" s="385" t="s">
        <v>672</v>
      </c>
      <c r="V2572" s="385" t="s">
        <v>1676</v>
      </c>
      <c r="W2572" s="385" t="s">
        <v>1436</v>
      </c>
      <c r="X2572" s="1"/>
    </row>
    <row r="2573" spans="1:24">
      <c r="A2573" s="385" t="s">
        <v>52</v>
      </c>
      <c r="B2573" s="385" t="s">
        <v>420</v>
      </c>
      <c r="C2573" s="385" t="s">
        <v>4077</v>
      </c>
      <c r="D2573" s="385" t="s">
        <v>89</v>
      </c>
      <c r="E2573" s="385"/>
      <c r="F2573" s="385"/>
      <c r="G2573" s="385"/>
      <c r="H2573" s="385">
        <v>2025</v>
      </c>
      <c r="I2573" s="386">
        <v>45721</v>
      </c>
      <c r="J2573" s="30" t="s">
        <v>5653</v>
      </c>
      <c r="K2573" s="385"/>
      <c r="L2573" s="385"/>
      <c r="M2573" s="385"/>
      <c r="N2573" s="385"/>
      <c r="O2573" s="385"/>
      <c r="P2573" s="385" t="str">
        <f>IFERROR(
    IF(
        OR(ISBLANK(I2573), ISBLANK(L2573)),
        "",
        MAX(
            1,
            IF(
                NETWORKDAYS(I2573, L2573, Holiday_Dates) &lt;= 0,
                1,
                NETWORKDAYS(I2573, L2573, Holiday_Dates) - IF(I2573 = L2573, 0, 1)
            )
        )
    ),
    ""
)</f>
        <v/>
      </c>
      <c r="Q2573" s="385" t="str">
        <f>IF(
    OR(ISBLANK(L2573), ISBLANK(M2573)),
    "",
    MAX(
        1,
        IF(
            NETWORKDAYS(L2573, M2573, Holiday_Dates) &lt;= 0,
            1,
            NETWORKDAYS(L2573, M2573, Holiday_Dates) - IF(L2573 = M2573, 0, 1)
        )
    )
)</f>
        <v/>
      </c>
      <c r="R2573" s="385" t="str">
        <f>IFERROR(
    IF(
        OR(ISBLANK(N2573), AND(ISBLANK(L2573), ISBLANK(M2573))),
        "",
        MAX(
            1,
            IF(
                NETWORKDAYS(IF(NOT(ISBLANK(M2573)), M2573, L2573), N2573, Holiday_Dates) &lt;= 0,
                1,
                NETWORKDAYS(IF(NOT(ISBLANK(M2573)), M2573, L2573), N2573, Holiday_Dates)
                - IF(IF(NOT(ISBLANK(M2573)), M2573, L2573) = N2573, 0, 1)
            )
        )
    ),
    ""
)</f>
        <v/>
      </c>
      <c r="S2573" s="385" t="str">
        <f>IFERROR(
    IF(
        OR(ISBLANK(N2573), ISBLANK(O2573)),
        "",
        MAX(
            1,
            IF(
                NETWORKDAYS(N2573, O2573, Holiday_Dates) &lt;= 0,
                1,
                NETWORKDAYS(N2573, O2573, Holiday_Dates) - IF(N2573 = O2573, 0, 1)
            )
        )
    ),
    ""
)</f>
        <v/>
      </c>
      <c r="T2573" s="385"/>
      <c r="U2573" s="385" t="s">
        <v>4</v>
      </c>
      <c r="V2573" s="385" t="s">
        <v>101</v>
      </c>
      <c r="W2573" s="385" t="s">
        <v>1436</v>
      </c>
      <c r="X2573" s="1"/>
    </row>
    <row r="2574" spans="1:24">
      <c r="A2574" s="385" t="s">
        <v>51</v>
      </c>
      <c r="B2574" s="385" t="s">
        <v>537</v>
      </c>
      <c r="C2574" s="385" t="s">
        <v>3558</v>
      </c>
      <c r="D2574" s="385" t="s">
        <v>88</v>
      </c>
      <c r="E2574" s="385" t="s">
        <v>32</v>
      </c>
      <c r="F2574" s="385"/>
      <c r="G2574" s="385" t="s">
        <v>133</v>
      </c>
      <c r="H2574" s="385"/>
      <c r="I2574" s="385"/>
      <c r="J2574" s="30"/>
      <c r="K2574" s="385"/>
      <c r="L2574" s="385"/>
      <c r="M2574" s="385"/>
      <c r="N2574" s="385"/>
      <c r="O2574" s="385"/>
      <c r="P2574" s="385" t="str">
        <f>IFERROR(
    IF(
        OR(ISBLANK(I2574), ISBLANK(L2574)),
        "",
        MAX(
            1,
            IF(
                NETWORKDAYS(I2574, L2574, Holiday_Dates) &lt;= 0,
                1,
                NETWORKDAYS(I2574, L2574, Holiday_Dates) - IF(I2574 = L2574, 0, 1)
            )
        )
    ),
    ""
)</f>
        <v/>
      </c>
      <c r="Q2574" s="385" t="str">
        <f>IF(
    OR(ISBLANK(L2574), ISBLANK(M2574)),
    "",
    MAX(
        1,
        IF(
            NETWORKDAYS(L2574, M2574, Holiday_Dates) &lt;= 0,
            1,
            NETWORKDAYS(L2574, M2574, Holiday_Dates) - IF(L2574 = M2574, 0, 1)
        )
    )
)</f>
        <v/>
      </c>
      <c r="R2574" s="385" t="str">
        <f>IFERROR(
    IF(
        OR(ISBLANK(N2574), AND(ISBLANK(L2574), ISBLANK(M2574))),
        "",
        MAX(
            1,
            IF(
                NETWORKDAYS(IF(NOT(ISBLANK(M2574)), M2574, L2574), N2574, Holiday_Dates) &lt;= 0,
                1,
                NETWORKDAYS(IF(NOT(ISBLANK(M2574)), M2574, L2574), N2574, Holiday_Dates)
                - IF(IF(NOT(ISBLANK(M2574)), M2574, L2574) = N2574, 0, 1)
            )
        )
    ),
    ""
)</f>
        <v/>
      </c>
      <c r="S2574" s="385" t="str">
        <f>IFERROR(
    IF(
        OR(ISBLANK(N2574), ISBLANK(O2574)),
        "",
        MAX(
            1,
            IF(
                NETWORKDAYS(N2574, O2574, Holiday_Dates) &lt;= 0,
                1,
                NETWORKDAYS(N2574, O2574, Holiday_Dates) - IF(N2574 = O2574, 0, 1)
            )
        )
    ),
    ""
)</f>
        <v/>
      </c>
      <c r="T2574" s="385"/>
      <c r="U2574" s="385"/>
      <c r="V2574" s="385"/>
      <c r="W2574" s="385" t="s">
        <v>4710</v>
      </c>
      <c r="X2574" s="1"/>
    </row>
    <row r="2575" spans="1:24">
      <c r="A2575" s="385" t="s">
        <v>52</v>
      </c>
      <c r="B2575" s="385" t="s">
        <v>420</v>
      </c>
      <c r="C2575" s="385" t="s">
        <v>4079</v>
      </c>
      <c r="D2575" s="385" t="s">
        <v>89</v>
      </c>
      <c r="E2575" s="385"/>
      <c r="F2575" s="385"/>
      <c r="G2575" s="385"/>
      <c r="H2575" s="385">
        <v>2025</v>
      </c>
      <c r="I2575" s="386">
        <v>45940</v>
      </c>
      <c r="J2575" s="30" t="s">
        <v>5654</v>
      </c>
      <c r="K2575" s="385"/>
      <c r="L2575" s="385"/>
      <c r="M2575" s="385"/>
      <c r="N2575" s="385"/>
      <c r="O2575" s="385"/>
      <c r="P2575" s="385" t="str">
        <f>IFERROR(
    IF(
        OR(ISBLANK(I2575), ISBLANK(L2575)),
        "",
        MAX(
            1,
            IF(
                NETWORKDAYS(I2575, L2575, Holiday_Dates) &lt;= 0,
                1,
                NETWORKDAYS(I2575, L2575, Holiday_Dates) - IF(I2575 = L2575, 0, 1)
            )
        )
    ),
    ""
)</f>
        <v/>
      </c>
      <c r="Q2575" s="385" t="str">
        <f>IF(
    OR(ISBLANK(L2575), ISBLANK(M2575)),
    "",
    MAX(
        1,
        IF(
            NETWORKDAYS(L2575, M2575, Holiday_Dates) &lt;= 0,
            1,
            NETWORKDAYS(L2575, M2575, Holiday_Dates) - IF(L2575 = M2575, 0, 1)
        )
    )
)</f>
        <v/>
      </c>
      <c r="R2575" s="385" t="str">
        <f>IFERROR(
    IF(
        OR(ISBLANK(N2575), AND(ISBLANK(L2575), ISBLANK(M2575))),
        "",
        MAX(
            1,
            IF(
                NETWORKDAYS(IF(NOT(ISBLANK(M2575)), M2575, L2575), N2575, Holiday_Dates) &lt;= 0,
                1,
                NETWORKDAYS(IF(NOT(ISBLANK(M2575)), M2575, L2575), N2575, Holiday_Dates)
                - IF(IF(NOT(ISBLANK(M2575)), M2575, L2575) = N2575, 0, 1)
            )
        )
    ),
    ""
)</f>
        <v/>
      </c>
      <c r="S2575" s="385" t="str">
        <f>IFERROR(
    IF(
        OR(ISBLANK(N2575), ISBLANK(O2575)),
        "",
        MAX(
            1,
            IF(
                NETWORKDAYS(N2575, O2575, Holiday_Dates) &lt;= 0,
                1,
                NETWORKDAYS(N2575, O2575, Holiday_Dates) - IF(N2575 = O2575, 0, 1)
            )
        )
    ),
    ""
)</f>
        <v/>
      </c>
      <c r="T2575" s="385"/>
      <c r="U2575" s="385" t="s">
        <v>672</v>
      </c>
      <c r="V2575" s="385" t="s">
        <v>101</v>
      </c>
      <c r="W2575" s="385" t="s">
        <v>1436</v>
      </c>
      <c r="X2575" s="1"/>
    </row>
    <row r="2576" spans="1:24">
      <c r="A2576" s="385" t="s">
        <v>51</v>
      </c>
      <c r="B2576" s="385" t="s">
        <v>537</v>
      </c>
      <c r="C2576" s="385" t="s">
        <v>1557</v>
      </c>
      <c r="D2576" s="385" t="s">
        <v>88</v>
      </c>
      <c r="E2576" s="385" t="s">
        <v>32</v>
      </c>
      <c r="F2576" s="385"/>
      <c r="G2576" s="385" t="s">
        <v>133</v>
      </c>
      <c r="H2576" s="385"/>
      <c r="I2576" s="385"/>
      <c r="J2576" s="30"/>
      <c r="K2576" s="385"/>
      <c r="L2576" s="385"/>
      <c r="M2576" s="385"/>
      <c r="N2576" s="385"/>
      <c r="O2576" s="385"/>
      <c r="P2576" s="385" t="str">
        <f>IFERROR(
    IF(
        OR(ISBLANK(I2576), ISBLANK(L2576)),
        "",
        MAX(
            1,
            IF(
                NETWORKDAYS(I2576, L2576, Holiday_Dates) &lt;= 0,
                1,
                NETWORKDAYS(I2576, L2576, Holiday_Dates) - IF(I2576 = L2576, 0, 1)
            )
        )
    ),
    ""
)</f>
        <v/>
      </c>
      <c r="Q2576" s="385" t="str">
        <f>IF(
    OR(ISBLANK(L2576), ISBLANK(M2576)),
    "",
    MAX(
        1,
        IF(
            NETWORKDAYS(L2576, M2576, Holiday_Dates) &lt;= 0,
            1,
            NETWORKDAYS(L2576, M2576, Holiday_Dates) - IF(L2576 = M2576, 0, 1)
        )
    )
)</f>
        <v/>
      </c>
      <c r="R2576" s="385" t="str">
        <f>IFERROR(
    IF(
        OR(ISBLANK(N2576), AND(ISBLANK(L2576), ISBLANK(M2576))),
        "",
        MAX(
            1,
            IF(
                NETWORKDAYS(IF(NOT(ISBLANK(M2576)), M2576, L2576), N2576, Holiday_Dates) &lt;= 0,
                1,
                NETWORKDAYS(IF(NOT(ISBLANK(M2576)), M2576, L2576), N2576, Holiday_Dates)
                - IF(IF(NOT(ISBLANK(M2576)), M2576, L2576) = N2576, 0, 1)
            )
        )
    ),
    ""
)</f>
        <v/>
      </c>
      <c r="S2576" s="385" t="str">
        <f>IFERROR(
    IF(
        OR(ISBLANK(N2576), ISBLANK(O2576)),
        "",
        MAX(
            1,
            IF(
                NETWORKDAYS(N2576, O2576, Holiday_Dates) &lt;= 0,
                1,
                NETWORKDAYS(N2576, O2576, Holiday_Dates) - IF(N2576 = O2576, 0, 1)
            )
        )
    ),
    ""
)</f>
        <v/>
      </c>
      <c r="T2576" s="385"/>
      <c r="U2576" s="385"/>
      <c r="V2576" s="385"/>
      <c r="W2576" s="385" t="s">
        <v>4710</v>
      </c>
      <c r="X2576" s="1"/>
    </row>
    <row r="2577" spans="1:24">
      <c r="A2577" s="385" t="s">
        <v>52</v>
      </c>
      <c r="B2577" s="385" t="s">
        <v>420</v>
      </c>
      <c r="C2577" s="385" t="s">
        <v>4081</v>
      </c>
      <c r="D2577" s="385" t="s">
        <v>89</v>
      </c>
      <c r="E2577" s="385"/>
      <c r="F2577" s="385"/>
      <c r="G2577" s="385"/>
      <c r="H2577" s="385">
        <v>2024</v>
      </c>
      <c r="I2577" s="386">
        <v>45399</v>
      </c>
      <c r="J2577" s="30"/>
      <c r="K2577" s="385"/>
      <c r="L2577" s="385"/>
      <c r="M2577" s="385"/>
      <c r="N2577" s="385"/>
      <c r="O2577" s="385"/>
      <c r="P2577" s="385" t="str">
        <f>IFERROR(
    IF(
        OR(ISBLANK(I2577), ISBLANK(L2577)),
        "",
        MAX(
            1,
            IF(
                NETWORKDAYS(I2577, L2577, Holiday_Dates) &lt;= 0,
                1,
                NETWORKDAYS(I2577, L2577, Holiday_Dates) - IF(I2577 = L2577, 0, 1)
            )
        )
    ),
    ""
)</f>
        <v/>
      </c>
      <c r="Q2577" s="385" t="str">
        <f>IF(
    OR(ISBLANK(L2577), ISBLANK(M2577)),
    "",
    MAX(
        1,
        IF(
            NETWORKDAYS(L2577, M2577, Holiday_Dates) &lt;= 0,
            1,
            NETWORKDAYS(L2577, M2577, Holiday_Dates) - IF(L2577 = M2577, 0, 1)
        )
    )
)</f>
        <v/>
      </c>
      <c r="R2577" s="385" t="str">
        <f>IFERROR(
    IF(
        OR(ISBLANK(N2577), AND(ISBLANK(L2577), ISBLANK(M2577))),
        "",
        MAX(
            1,
            IF(
                NETWORKDAYS(IF(NOT(ISBLANK(M2577)), M2577, L2577), N2577, Holiday_Dates) &lt;= 0,
                1,
                NETWORKDAYS(IF(NOT(ISBLANK(M2577)), M2577, L2577), N2577, Holiday_Dates)
                - IF(IF(NOT(ISBLANK(M2577)), M2577, L2577) = N2577, 0, 1)
            )
        )
    ),
    ""
)</f>
        <v/>
      </c>
      <c r="S2577" s="385" t="str">
        <f>IFERROR(
    IF(
        OR(ISBLANK(N2577), ISBLANK(O2577)),
        "",
        MAX(
            1,
            IF(
                NETWORKDAYS(N2577, O2577, Holiday_Dates) &lt;= 0,
                1,
                NETWORKDAYS(N2577, O2577, Holiday_Dates) - IF(N2577 = O2577, 0, 1)
            )
        )
    ),
    ""
)</f>
        <v/>
      </c>
      <c r="T2577" s="385"/>
      <c r="U2577" s="385" t="s">
        <v>672</v>
      </c>
      <c r="V2577" s="385"/>
      <c r="W2577" s="385" t="s">
        <v>1436</v>
      </c>
      <c r="X2577" s="1"/>
    </row>
    <row r="2578" spans="1:24">
      <c r="A2578" s="385" t="s">
        <v>51</v>
      </c>
      <c r="B2578" s="385" t="s">
        <v>537</v>
      </c>
      <c r="C2578" s="385" t="s">
        <v>3759</v>
      </c>
      <c r="D2578" s="385" t="s">
        <v>88</v>
      </c>
      <c r="E2578" s="385" t="s">
        <v>32</v>
      </c>
      <c r="F2578" s="385"/>
      <c r="G2578" s="385" t="s">
        <v>133</v>
      </c>
      <c r="H2578" s="385"/>
      <c r="I2578" s="385"/>
      <c r="J2578" s="30"/>
      <c r="K2578" s="385"/>
      <c r="L2578" s="385"/>
      <c r="M2578" s="385"/>
      <c r="N2578" s="385"/>
      <c r="O2578" s="385"/>
      <c r="P2578" s="385" t="str">
        <f>IFERROR(
    IF(
        OR(ISBLANK(I2578), ISBLANK(L2578)),
        "",
        MAX(
            1,
            IF(
                NETWORKDAYS(I2578, L2578, Holiday_Dates) &lt;= 0,
                1,
                NETWORKDAYS(I2578, L2578, Holiday_Dates) - IF(I2578 = L2578, 0, 1)
            )
        )
    ),
    ""
)</f>
        <v/>
      </c>
      <c r="Q2578" s="385" t="str">
        <f>IF(
    OR(ISBLANK(L2578), ISBLANK(M2578)),
    "",
    MAX(
        1,
        IF(
            NETWORKDAYS(L2578, M2578, Holiday_Dates) &lt;= 0,
            1,
            NETWORKDAYS(L2578, M2578, Holiday_Dates) - IF(L2578 = M2578, 0, 1)
        )
    )
)</f>
        <v/>
      </c>
      <c r="R2578" s="385" t="str">
        <f>IFERROR(
    IF(
        OR(ISBLANK(N2578), AND(ISBLANK(L2578), ISBLANK(M2578))),
        "",
        MAX(
            1,
            IF(
                NETWORKDAYS(IF(NOT(ISBLANK(M2578)), M2578, L2578), N2578, Holiday_Dates) &lt;= 0,
                1,
                NETWORKDAYS(IF(NOT(ISBLANK(M2578)), M2578, L2578), N2578, Holiday_Dates)
                - IF(IF(NOT(ISBLANK(M2578)), M2578, L2578) = N2578, 0, 1)
            )
        )
    ),
    ""
)</f>
        <v/>
      </c>
      <c r="S2578" s="385" t="str">
        <f>IFERROR(
    IF(
        OR(ISBLANK(N2578), ISBLANK(O2578)),
        "",
        MAX(
            1,
            IF(
                NETWORKDAYS(N2578, O2578, Holiday_Dates) &lt;= 0,
                1,
                NETWORKDAYS(N2578, O2578, Holiday_Dates) - IF(N2578 = O2578, 0, 1)
            )
        )
    ),
    ""
)</f>
        <v/>
      </c>
      <c r="T2578" s="385"/>
      <c r="U2578" s="385"/>
      <c r="V2578" s="385"/>
      <c r="W2578" s="385" t="s">
        <v>4710</v>
      </c>
      <c r="X2578" s="1"/>
    </row>
    <row r="2579" spans="1:24">
      <c r="A2579" s="385" t="s">
        <v>51</v>
      </c>
      <c r="B2579" s="385" t="s">
        <v>537</v>
      </c>
      <c r="C2579" s="385" t="s">
        <v>2509</v>
      </c>
      <c r="D2579" s="385" t="s">
        <v>88</v>
      </c>
      <c r="E2579" s="385" t="s">
        <v>32</v>
      </c>
      <c r="F2579" s="385"/>
      <c r="G2579" s="385" t="s">
        <v>133</v>
      </c>
      <c r="H2579" s="385"/>
      <c r="I2579" s="385"/>
      <c r="J2579" s="30"/>
      <c r="K2579" s="385"/>
      <c r="L2579" s="385"/>
      <c r="M2579" s="385"/>
      <c r="N2579" s="385"/>
      <c r="O2579" s="385"/>
      <c r="P2579" s="385" t="str">
        <f>IFERROR(
    IF(
        OR(ISBLANK(I2579), ISBLANK(L2579)),
        "",
        MAX(
            1,
            IF(
                NETWORKDAYS(I2579, L2579, Holiday_Dates) &lt;= 0,
                1,
                NETWORKDAYS(I2579, L2579, Holiday_Dates) - IF(I2579 = L2579, 0, 1)
            )
        )
    ),
    ""
)</f>
        <v/>
      </c>
      <c r="Q2579" s="385" t="str">
        <f>IF(
    OR(ISBLANK(L2579), ISBLANK(M2579)),
    "",
    MAX(
        1,
        IF(
            NETWORKDAYS(L2579, M2579, Holiday_Dates) &lt;= 0,
            1,
            NETWORKDAYS(L2579, M2579, Holiday_Dates) - IF(L2579 = M2579, 0, 1)
        )
    )
)</f>
        <v/>
      </c>
      <c r="R2579" s="385" t="str">
        <f>IFERROR(
    IF(
        OR(ISBLANK(N2579), AND(ISBLANK(L2579), ISBLANK(M2579))),
        "",
        MAX(
            1,
            IF(
                NETWORKDAYS(IF(NOT(ISBLANK(M2579)), M2579, L2579), N2579, Holiday_Dates) &lt;= 0,
                1,
                NETWORKDAYS(IF(NOT(ISBLANK(M2579)), M2579, L2579), N2579, Holiday_Dates)
                - IF(IF(NOT(ISBLANK(M2579)), M2579, L2579) = N2579, 0, 1)
            )
        )
    ),
    ""
)</f>
        <v/>
      </c>
      <c r="S2579" s="385" t="str">
        <f>IFERROR(
    IF(
        OR(ISBLANK(N2579), ISBLANK(O2579)),
        "",
        MAX(
            1,
            IF(
                NETWORKDAYS(N2579, O2579, Holiday_Dates) &lt;= 0,
                1,
                NETWORKDAYS(N2579, O2579, Holiday_Dates) - IF(N2579 = O2579, 0, 1)
            )
        )
    ),
    ""
)</f>
        <v/>
      </c>
      <c r="T2579" s="385"/>
      <c r="U2579" s="385"/>
      <c r="V2579" s="385"/>
      <c r="W2579" s="385" t="s">
        <v>4710</v>
      </c>
      <c r="X2579" s="1"/>
    </row>
    <row r="2580" spans="1:24">
      <c r="A2580" s="385" t="s">
        <v>52</v>
      </c>
      <c r="B2580" s="385" t="s">
        <v>420</v>
      </c>
      <c r="C2580" s="385" t="s">
        <v>4085</v>
      </c>
      <c r="D2580" s="385" t="s">
        <v>89</v>
      </c>
      <c r="E2580" s="385"/>
      <c r="F2580" s="385"/>
      <c r="G2580" s="385"/>
      <c r="H2580" s="385">
        <v>2025</v>
      </c>
      <c r="I2580" s="386">
        <v>45721</v>
      </c>
      <c r="J2580" s="30" t="s">
        <v>5655</v>
      </c>
      <c r="K2580" s="385"/>
      <c r="L2580" s="385"/>
      <c r="M2580" s="385"/>
      <c r="N2580" s="385"/>
      <c r="O2580" s="385"/>
      <c r="P2580" s="385" t="str">
        <f>IFERROR(
    IF(
        OR(ISBLANK(I2580), ISBLANK(L2580)),
        "",
        MAX(
            1,
            IF(
                NETWORKDAYS(I2580, L2580, Holiday_Dates) &lt;= 0,
                1,
                NETWORKDAYS(I2580, L2580, Holiday_Dates) - IF(I2580 = L2580, 0, 1)
            )
        )
    ),
    ""
)</f>
        <v/>
      </c>
      <c r="Q2580" s="385" t="str">
        <f>IF(
    OR(ISBLANK(L2580), ISBLANK(M2580)),
    "",
    MAX(
        1,
        IF(
            NETWORKDAYS(L2580, M2580, Holiday_Dates) &lt;= 0,
            1,
            NETWORKDAYS(L2580, M2580, Holiday_Dates) - IF(L2580 = M2580, 0, 1)
        )
    )
)</f>
        <v/>
      </c>
      <c r="R2580" s="385" t="str">
        <f>IFERROR(
    IF(
        OR(ISBLANK(N2580), AND(ISBLANK(L2580), ISBLANK(M2580))),
        "",
        MAX(
            1,
            IF(
                NETWORKDAYS(IF(NOT(ISBLANK(M2580)), M2580, L2580), N2580, Holiday_Dates) &lt;= 0,
                1,
                NETWORKDAYS(IF(NOT(ISBLANK(M2580)), M2580, L2580), N2580, Holiday_Dates)
                - IF(IF(NOT(ISBLANK(M2580)), M2580, L2580) = N2580, 0, 1)
            )
        )
    ),
    ""
)</f>
        <v/>
      </c>
      <c r="S2580" s="385" t="str">
        <f>IFERROR(
    IF(
        OR(ISBLANK(N2580), ISBLANK(O2580)),
        "",
        MAX(
            1,
            IF(
                NETWORKDAYS(N2580, O2580, Holiday_Dates) &lt;= 0,
                1,
                NETWORKDAYS(N2580, O2580, Holiday_Dates) - IF(N2580 = O2580, 0, 1)
            )
        )
    ),
    ""
)</f>
        <v/>
      </c>
      <c r="T2580" s="385"/>
      <c r="U2580" s="385" t="s">
        <v>4</v>
      </c>
      <c r="V2580" s="385" t="s">
        <v>108</v>
      </c>
      <c r="W2580" s="385" t="s">
        <v>1436</v>
      </c>
      <c r="X2580" s="1"/>
    </row>
    <row r="2581" spans="1:24">
      <c r="A2581" s="385" t="s">
        <v>51</v>
      </c>
      <c r="B2581" s="385" t="s">
        <v>537</v>
      </c>
      <c r="C2581" s="385" t="s">
        <v>3767</v>
      </c>
      <c r="D2581" s="385" t="s">
        <v>88</v>
      </c>
      <c r="E2581" s="385" t="s">
        <v>32</v>
      </c>
      <c r="F2581" s="385"/>
      <c r="G2581" s="385" t="s">
        <v>133</v>
      </c>
      <c r="H2581" s="385"/>
      <c r="I2581" s="385"/>
      <c r="J2581" s="30"/>
      <c r="K2581" s="385"/>
      <c r="L2581" s="385"/>
      <c r="M2581" s="385"/>
      <c r="N2581" s="385"/>
      <c r="O2581" s="385"/>
      <c r="P2581" s="385" t="str">
        <f>IFERROR(
    IF(
        OR(ISBLANK(I2581), ISBLANK(L2581)),
        "",
        MAX(
            1,
            IF(
                NETWORKDAYS(I2581, L2581, Holiday_Dates) &lt;= 0,
                1,
                NETWORKDAYS(I2581, L2581, Holiday_Dates) - IF(I2581 = L2581, 0, 1)
            )
        )
    ),
    ""
)</f>
        <v/>
      </c>
      <c r="Q2581" s="385" t="str">
        <f>IF(
    OR(ISBLANK(L2581), ISBLANK(M2581)),
    "",
    MAX(
        1,
        IF(
            NETWORKDAYS(L2581, M2581, Holiday_Dates) &lt;= 0,
            1,
            NETWORKDAYS(L2581, M2581, Holiday_Dates) - IF(L2581 = M2581, 0, 1)
        )
    )
)</f>
        <v/>
      </c>
      <c r="R2581" s="385" t="str">
        <f>IFERROR(
    IF(
        OR(ISBLANK(N2581), AND(ISBLANK(L2581), ISBLANK(M2581))),
        "",
        MAX(
            1,
            IF(
                NETWORKDAYS(IF(NOT(ISBLANK(M2581)), M2581, L2581), N2581, Holiday_Dates) &lt;= 0,
                1,
                NETWORKDAYS(IF(NOT(ISBLANK(M2581)), M2581, L2581), N2581, Holiday_Dates)
                - IF(IF(NOT(ISBLANK(M2581)), M2581, L2581) = N2581, 0, 1)
            )
        )
    ),
    ""
)</f>
        <v/>
      </c>
      <c r="S2581" s="385" t="str">
        <f>IFERROR(
    IF(
        OR(ISBLANK(N2581), ISBLANK(O2581)),
        "",
        MAX(
            1,
            IF(
                NETWORKDAYS(N2581, O2581, Holiday_Dates) &lt;= 0,
                1,
                NETWORKDAYS(N2581, O2581, Holiday_Dates) - IF(N2581 = O2581, 0, 1)
            )
        )
    ),
    ""
)</f>
        <v/>
      </c>
      <c r="T2581" s="385"/>
      <c r="U2581" s="385"/>
      <c r="V2581" s="385"/>
      <c r="W2581" s="385" t="s">
        <v>4710</v>
      </c>
      <c r="X2581" s="1"/>
    </row>
    <row r="2582" spans="1:24">
      <c r="A2582" s="385" t="s">
        <v>51</v>
      </c>
      <c r="B2582" s="385" t="s">
        <v>537</v>
      </c>
      <c r="C2582" s="385" t="s">
        <v>3769</v>
      </c>
      <c r="D2582" s="385" t="s">
        <v>88</v>
      </c>
      <c r="E2582" s="385" t="s">
        <v>32</v>
      </c>
      <c r="F2582" s="385"/>
      <c r="G2582" s="385" t="s">
        <v>133</v>
      </c>
      <c r="H2582" s="385"/>
      <c r="I2582" s="385"/>
      <c r="J2582" s="30"/>
      <c r="K2582" s="385"/>
      <c r="L2582" s="385"/>
      <c r="M2582" s="385"/>
      <c r="N2582" s="385"/>
      <c r="O2582" s="385"/>
      <c r="P2582" s="385" t="str">
        <f>IFERROR(
    IF(
        OR(ISBLANK(I2582), ISBLANK(L2582)),
        "",
        MAX(
            1,
            IF(
                NETWORKDAYS(I2582, L2582, Holiday_Dates) &lt;= 0,
                1,
                NETWORKDAYS(I2582, L2582, Holiday_Dates) - IF(I2582 = L2582, 0, 1)
            )
        )
    ),
    ""
)</f>
        <v/>
      </c>
      <c r="Q2582" s="385" t="str">
        <f>IF(
    OR(ISBLANK(L2582), ISBLANK(M2582)),
    "",
    MAX(
        1,
        IF(
            NETWORKDAYS(L2582, M2582, Holiday_Dates) &lt;= 0,
            1,
            NETWORKDAYS(L2582, M2582, Holiday_Dates) - IF(L2582 = M2582, 0, 1)
        )
    )
)</f>
        <v/>
      </c>
      <c r="R2582" s="385" t="str">
        <f>IFERROR(
    IF(
        OR(ISBLANK(N2582), AND(ISBLANK(L2582), ISBLANK(M2582))),
        "",
        MAX(
            1,
            IF(
                NETWORKDAYS(IF(NOT(ISBLANK(M2582)), M2582, L2582), N2582, Holiday_Dates) &lt;= 0,
                1,
                NETWORKDAYS(IF(NOT(ISBLANK(M2582)), M2582, L2582), N2582, Holiday_Dates)
                - IF(IF(NOT(ISBLANK(M2582)), M2582, L2582) = N2582, 0, 1)
            )
        )
    ),
    ""
)</f>
        <v/>
      </c>
      <c r="S2582" s="385" t="str">
        <f>IFERROR(
    IF(
        OR(ISBLANK(N2582), ISBLANK(O2582)),
        "",
        MAX(
            1,
            IF(
                NETWORKDAYS(N2582, O2582, Holiday_Dates) &lt;= 0,
                1,
                NETWORKDAYS(N2582, O2582, Holiday_Dates) - IF(N2582 = O2582, 0, 1)
            )
        )
    ),
    ""
)</f>
        <v/>
      </c>
      <c r="T2582" s="385"/>
      <c r="U2582" s="385"/>
      <c r="V2582" s="385"/>
      <c r="W2582" s="385" t="s">
        <v>4710</v>
      </c>
      <c r="X2582" s="1"/>
    </row>
    <row r="2583" spans="1:24">
      <c r="A2583" s="385" t="s">
        <v>51</v>
      </c>
      <c r="B2583" s="385" t="s">
        <v>537</v>
      </c>
      <c r="C2583" s="385" t="s">
        <v>3770</v>
      </c>
      <c r="D2583" s="385" t="s">
        <v>88</v>
      </c>
      <c r="E2583" s="385" t="s">
        <v>32</v>
      </c>
      <c r="F2583" s="385"/>
      <c r="G2583" s="385" t="s">
        <v>133</v>
      </c>
      <c r="H2583" s="385"/>
      <c r="I2583" s="385"/>
      <c r="J2583" s="30"/>
      <c r="K2583" s="385"/>
      <c r="L2583" s="385"/>
      <c r="M2583" s="385"/>
      <c r="N2583" s="385"/>
      <c r="O2583" s="385"/>
      <c r="P2583" s="385" t="str">
        <f>IFERROR(
    IF(
        OR(ISBLANK(I2583), ISBLANK(L2583)),
        "",
        MAX(
            1,
            IF(
                NETWORKDAYS(I2583, L2583, Holiday_Dates) &lt;= 0,
                1,
                NETWORKDAYS(I2583, L2583, Holiday_Dates) - IF(I2583 = L2583, 0, 1)
            )
        )
    ),
    ""
)</f>
        <v/>
      </c>
      <c r="Q2583" s="385" t="str">
        <f>IF(
    OR(ISBLANK(L2583), ISBLANK(M2583)),
    "",
    MAX(
        1,
        IF(
            NETWORKDAYS(L2583, M2583, Holiday_Dates) &lt;= 0,
            1,
            NETWORKDAYS(L2583, M2583, Holiday_Dates) - IF(L2583 = M2583, 0, 1)
        )
    )
)</f>
        <v/>
      </c>
      <c r="R2583" s="385" t="str">
        <f>IFERROR(
    IF(
        OR(ISBLANK(N2583), AND(ISBLANK(L2583), ISBLANK(M2583))),
        "",
        MAX(
            1,
            IF(
                NETWORKDAYS(IF(NOT(ISBLANK(M2583)), M2583, L2583), N2583, Holiday_Dates) &lt;= 0,
                1,
                NETWORKDAYS(IF(NOT(ISBLANK(M2583)), M2583, L2583), N2583, Holiday_Dates)
                - IF(IF(NOT(ISBLANK(M2583)), M2583, L2583) = N2583, 0, 1)
            )
        )
    ),
    ""
)</f>
        <v/>
      </c>
      <c r="S2583" s="385" t="str">
        <f>IFERROR(
    IF(
        OR(ISBLANK(N2583), ISBLANK(O2583)),
        "",
        MAX(
            1,
            IF(
                NETWORKDAYS(N2583, O2583, Holiday_Dates) &lt;= 0,
                1,
                NETWORKDAYS(N2583, O2583, Holiday_Dates) - IF(N2583 = O2583, 0, 1)
            )
        )
    ),
    ""
)</f>
        <v/>
      </c>
      <c r="T2583" s="385"/>
      <c r="U2583" s="385"/>
      <c r="V2583" s="385"/>
      <c r="W2583" s="385" t="s">
        <v>4710</v>
      </c>
      <c r="X2583" s="1"/>
    </row>
    <row r="2584" spans="1:24">
      <c r="A2584" s="385" t="s">
        <v>52</v>
      </c>
      <c r="B2584" s="385" t="s">
        <v>420</v>
      </c>
      <c r="C2584" s="385" t="s">
        <v>4088</v>
      </c>
      <c r="D2584" s="385" t="s">
        <v>89</v>
      </c>
      <c r="E2584" s="385"/>
      <c r="F2584" s="385"/>
      <c r="G2584" s="385"/>
      <c r="H2584" s="385">
        <v>2025</v>
      </c>
      <c r="I2584" s="386">
        <v>45940</v>
      </c>
      <c r="J2584" s="30" t="s">
        <v>5656</v>
      </c>
      <c r="K2584" s="385"/>
      <c r="L2584" s="385"/>
      <c r="M2584" s="385"/>
      <c r="N2584" s="385"/>
      <c r="O2584" s="385"/>
      <c r="P2584" s="385" t="str">
        <f>IFERROR(
    IF(
        OR(ISBLANK(I2584), ISBLANK(L2584)),
        "",
        MAX(
            1,
            IF(
                NETWORKDAYS(I2584, L2584, Holiday_Dates) &lt;= 0,
                1,
                NETWORKDAYS(I2584, L2584, Holiday_Dates) - IF(I2584 = L2584, 0, 1)
            )
        )
    ),
    ""
)</f>
        <v/>
      </c>
      <c r="Q2584" s="385" t="str">
        <f>IF(
    OR(ISBLANK(L2584), ISBLANK(M2584)),
    "",
    MAX(
        1,
        IF(
            NETWORKDAYS(L2584, M2584, Holiday_Dates) &lt;= 0,
            1,
            NETWORKDAYS(L2584, M2584, Holiday_Dates) - IF(L2584 = M2584, 0, 1)
        )
    )
)</f>
        <v/>
      </c>
      <c r="R2584" s="385" t="str">
        <f>IFERROR(
    IF(
        OR(ISBLANK(N2584), AND(ISBLANK(L2584), ISBLANK(M2584))),
        "",
        MAX(
            1,
            IF(
                NETWORKDAYS(IF(NOT(ISBLANK(M2584)), M2584, L2584), N2584, Holiday_Dates) &lt;= 0,
                1,
                NETWORKDAYS(IF(NOT(ISBLANK(M2584)), M2584, L2584), N2584, Holiday_Dates)
                - IF(IF(NOT(ISBLANK(M2584)), M2584, L2584) = N2584, 0, 1)
            )
        )
    ),
    ""
)</f>
        <v/>
      </c>
      <c r="S2584" s="385" t="str">
        <f>IFERROR(
    IF(
        OR(ISBLANK(N2584), ISBLANK(O2584)),
        "",
        MAX(
            1,
            IF(
                NETWORKDAYS(N2584, O2584, Holiday_Dates) &lt;= 0,
                1,
                NETWORKDAYS(N2584, O2584, Holiday_Dates) - IF(N2584 = O2584, 0, 1)
            )
        )
    ),
    ""
)</f>
        <v/>
      </c>
      <c r="T2584" s="385"/>
      <c r="U2584" s="385" t="s">
        <v>672</v>
      </c>
      <c r="V2584" s="385" t="s">
        <v>101</v>
      </c>
      <c r="W2584" s="385" t="s">
        <v>1436</v>
      </c>
      <c r="X2584" s="1"/>
    </row>
    <row r="2585" spans="1:24">
      <c r="A2585" s="385" t="s">
        <v>51</v>
      </c>
      <c r="B2585" s="385" t="s">
        <v>537</v>
      </c>
      <c r="C2585" s="385" t="s">
        <v>3771</v>
      </c>
      <c r="D2585" s="385" t="s">
        <v>88</v>
      </c>
      <c r="E2585" s="385" t="s">
        <v>32</v>
      </c>
      <c r="F2585" s="385"/>
      <c r="G2585" s="385" t="s">
        <v>133</v>
      </c>
      <c r="H2585" s="385"/>
      <c r="I2585" s="385"/>
      <c r="J2585" s="30"/>
      <c r="K2585" s="385"/>
      <c r="L2585" s="385"/>
      <c r="M2585" s="385"/>
      <c r="N2585" s="385"/>
      <c r="O2585" s="385"/>
      <c r="P2585" s="385" t="str">
        <f>IFERROR(
    IF(
        OR(ISBLANK(I2585), ISBLANK(L2585)),
        "",
        MAX(
            1,
            IF(
                NETWORKDAYS(I2585, L2585, Holiday_Dates) &lt;= 0,
                1,
                NETWORKDAYS(I2585, L2585, Holiday_Dates) - IF(I2585 = L2585, 0, 1)
            )
        )
    ),
    ""
)</f>
        <v/>
      </c>
      <c r="Q2585" s="385" t="str">
        <f>IF(
    OR(ISBLANK(L2585), ISBLANK(M2585)),
    "",
    MAX(
        1,
        IF(
            NETWORKDAYS(L2585, M2585, Holiday_Dates) &lt;= 0,
            1,
            NETWORKDAYS(L2585, M2585, Holiday_Dates) - IF(L2585 = M2585, 0, 1)
        )
    )
)</f>
        <v/>
      </c>
      <c r="R2585" s="385" t="str">
        <f>IFERROR(
    IF(
        OR(ISBLANK(N2585), AND(ISBLANK(L2585), ISBLANK(M2585))),
        "",
        MAX(
            1,
            IF(
                NETWORKDAYS(IF(NOT(ISBLANK(M2585)), M2585, L2585), N2585, Holiday_Dates) &lt;= 0,
                1,
                NETWORKDAYS(IF(NOT(ISBLANK(M2585)), M2585, L2585), N2585, Holiday_Dates)
                - IF(IF(NOT(ISBLANK(M2585)), M2585, L2585) = N2585, 0, 1)
            )
        )
    ),
    ""
)</f>
        <v/>
      </c>
      <c r="S2585" s="385" t="str">
        <f>IFERROR(
    IF(
        OR(ISBLANK(N2585), ISBLANK(O2585)),
        "",
        MAX(
            1,
            IF(
                NETWORKDAYS(N2585, O2585, Holiday_Dates) &lt;= 0,
                1,
                NETWORKDAYS(N2585, O2585, Holiday_Dates) - IF(N2585 = O2585, 0, 1)
            )
        )
    ),
    ""
)</f>
        <v/>
      </c>
      <c r="T2585" s="385"/>
      <c r="U2585" s="385"/>
      <c r="V2585" s="385"/>
      <c r="W2585" s="385" t="s">
        <v>4710</v>
      </c>
      <c r="X2585" s="1"/>
    </row>
    <row r="2586" spans="1:24">
      <c r="A2586" s="385" t="s">
        <v>52</v>
      </c>
      <c r="B2586" s="385" t="s">
        <v>420</v>
      </c>
      <c r="C2586" s="385" t="s">
        <v>4090</v>
      </c>
      <c r="D2586" s="385" t="s">
        <v>89</v>
      </c>
      <c r="E2586" s="385"/>
      <c r="F2586" s="385"/>
      <c r="G2586" s="385"/>
      <c r="H2586" s="385">
        <v>2025</v>
      </c>
      <c r="I2586" s="386">
        <v>45940</v>
      </c>
      <c r="J2586" s="30" t="s">
        <v>5657</v>
      </c>
      <c r="K2586" s="385"/>
      <c r="L2586" s="385"/>
      <c r="M2586" s="385"/>
      <c r="N2586" s="385"/>
      <c r="O2586" s="385"/>
      <c r="P2586" s="385" t="str">
        <f>IFERROR(
    IF(
        OR(ISBLANK(I2586), ISBLANK(L2586)),
        "",
        MAX(
            1,
            IF(
                NETWORKDAYS(I2586, L2586, Holiday_Dates) &lt;= 0,
                1,
                NETWORKDAYS(I2586, L2586, Holiday_Dates) - IF(I2586 = L2586, 0, 1)
            )
        )
    ),
    ""
)</f>
        <v/>
      </c>
      <c r="Q2586" s="385" t="str">
        <f>IF(
    OR(ISBLANK(L2586), ISBLANK(M2586)),
    "",
    MAX(
        1,
        IF(
            NETWORKDAYS(L2586, M2586, Holiday_Dates) &lt;= 0,
            1,
            NETWORKDAYS(L2586, M2586, Holiday_Dates) - IF(L2586 = M2586, 0, 1)
        )
    )
)</f>
        <v/>
      </c>
      <c r="R2586" s="385" t="str">
        <f>IFERROR(
    IF(
        OR(ISBLANK(N2586), AND(ISBLANK(L2586), ISBLANK(M2586))),
        "",
        MAX(
            1,
            IF(
                NETWORKDAYS(IF(NOT(ISBLANK(M2586)), M2586, L2586), N2586, Holiday_Dates) &lt;= 0,
                1,
                NETWORKDAYS(IF(NOT(ISBLANK(M2586)), M2586, L2586), N2586, Holiday_Dates)
                - IF(IF(NOT(ISBLANK(M2586)), M2586, L2586) = N2586, 0, 1)
            )
        )
    ),
    ""
)</f>
        <v/>
      </c>
      <c r="S2586" s="385" t="str">
        <f>IFERROR(
    IF(
        OR(ISBLANK(N2586), ISBLANK(O2586)),
        "",
        MAX(
            1,
            IF(
                NETWORKDAYS(N2586, O2586, Holiday_Dates) &lt;= 0,
                1,
                NETWORKDAYS(N2586, O2586, Holiday_Dates) - IF(N2586 = O2586, 0, 1)
            )
        )
    ),
    ""
)</f>
        <v/>
      </c>
      <c r="T2586" s="385"/>
      <c r="U2586" s="385" t="s">
        <v>4</v>
      </c>
      <c r="V2586" s="385" t="s">
        <v>101</v>
      </c>
      <c r="W2586" s="385" t="s">
        <v>1436</v>
      </c>
      <c r="X2586" s="1"/>
    </row>
    <row r="2587" spans="1:24">
      <c r="A2587" s="385" t="s">
        <v>51</v>
      </c>
      <c r="B2587" s="385" t="s">
        <v>537</v>
      </c>
      <c r="C2587" s="385" t="s">
        <v>3772</v>
      </c>
      <c r="D2587" s="385" t="s">
        <v>88</v>
      </c>
      <c r="E2587" s="385" t="s">
        <v>32</v>
      </c>
      <c r="F2587" s="385"/>
      <c r="G2587" s="385" t="s">
        <v>133</v>
      </c>
      <c r="H2587" s="385"/>
      <c r="I2587" s="385"/>
      <c r="J2587" s="30"/>
      <c r="K2587" s="385"/>
      <c r="L2587" s="385"/>
      <c r="M2587" s="385"/>
      <c r="N2587" s="385"/>
      <c r="O2587" s="385"/>
      <c r="P2587" s="385" t="str">
        <f>IFERROR(
    IF(
        OR(ISBLANK(I2587), ISBLANK(L2587)),
        "",
        MAX(
            1,
            IF(
                NETWORKDAYS(I2587, L2587, Holiday_Dates) &lt;= 0,
                1,
                NETWORKDAYS(I2587, L2587, Holiday_Dates) - IF(I2587 = L2587, 0, 1)
            )
        )
    ),
    ""
)</f>
        <v/>
      </c>
      <c r="Q2587" s="385" t="str">
        <f>IF(
    OR(ISBLANK(L2587), ISBLANK(M2587)),
    "",
    MAX(
        1,
        IF(
            NETWORKDAYS(L2587, M2587, Holiday_Dates) &lt;= 0,
            1,
            NETWORKDAYS(L2587, M2587, Holiday_Dates) - IF(L2587 = M2587, 0, 1)
        )
    )
)</f>
        <v/>
      </c>
      <c r="R2587" s="385" t="str">
        <f>IFERROR(
    IF(
        OR(ISBLANK(N2587), AND(ISBLANK(L2587), ISBLANK(M2587))),
        "",
        MAX(
            1,
            IF(
                NETWORKDAYS(IF(NOT(ISBLANK(M2587)), M2587, L2587), N2587, Holiday_Dates) &lt;= 0,
                1,
                NETWORKDAYS(IF(NOT(ISBLANK(M2587)), M2587, L2587), N2587, Holiday_Dates)
                - IF(IF(NOT(ISBLANK(M2587)), M2587, L2587) = N2587, 0, 1)
            )
        )
    ),
    ""
)</f>
        <v/>
      </c>
      <c r="S2587" s="385" t="str">
        <f>IFERROR(
    IF(
        OR(ISBLANK(N2587), ISBLANK(O2587)),
        "",
        MAX(
            1,
            IF(
                NETWORKDAYS(N2587, O2587, Holiday_Dates) &lt;= 0,
                1,
                NETWORKDAYS(N2587, O2587, Holiday_Dates) - IF(N2587 = O2587, 0, 1)
            )
        )
    ),
    ""
)</f>
        <v/>
      </c>
      <c r="T2587" s="385"/>
      <c r="U2587" s="385"/>
      <c r="V2587" s="385"/>
      <c r="W2587" s="385" t="s">
        <v>4710</v>
      </c>
      <c r="X2587" s="1"/>
    </row>
    <row r="2588" spans="1:24">
      <c r="A2588" s="385" t="s">
        <v>52</v>
      </c>
      <c r="B2588" s="385" t="s">
        <v>420</v>
      </c>
      <c r="C2588" s="385" t="s">
        <v>4093</v>
      </c>
      <c r="D2588" s="385" t="s">
        <v>89</v>
      </c>
      <c r="E2588" s="385"/>
      <c r="F2588" s="385"/>
      <c r="G2588" s="385"/>
      <c r="H2588" s="385">
        <v>2025</v>
      </c>
      <c r="I2588" s="386">
        <v>45940</v>
      </c>
      <c r="J2588" s="30" t="s">
        <v>5658</v>
      </c>
      <c r="K2588" s="385"/>
      <c r="L2588" s="385"/>
      <c r="M2588" s="385"/>
      <c r="N2588" s="385"/>
      <c r="O2588" s="385"/>
      <c r="P2588" s="385" t="str">
        <f>IFERROR(
    IF(
        OR(ISBLANK(I2588), ISBLANK(L2588)),
        "",
        MAX(
            1,
            IF(
                NETWORKDAYS(I2588, L2588, Holiday_Dates) &lt;= 0,
                1,
                NETWORKDAYS(I2588, L2588, Holiday_Dates) - IF(I2588 = L2588, 0, 1)
            )
        )
    ),
    ""
)</f>
        <v/>
      </c>
      <c r="Q2588" s="385" t="str">
        <f>IF(
    OR(ISBLANK(L2588), ISBLANK(M2588)),
    "",
    MAX(
        1,
        IF(
            NETWORKDAYS(L2588, M2588, Holiday_Dates) &lt;= 0,
            1,
            NETWORKDAYS(L2588, M2588, Holiday_Dates) - IF(L2588 = M2588, 0, 1)
        )
    )
)</f>
        <v/>
      </c>
      <c r="R2588" s="385" t="str">
        <f>IFERROR(
    IF(
        OR(ISBLANK(N2588), AND(ISBLANK(L2588), ISBLANK(M2588))),
        "",
        MAX(
            1,
            IF(
                NETWORKDAYS(IF(NOT(ISBLANK(M2588)), M2588, L2588), N2588, Holiday_Dates) &lt;= 0,
                1,
                NETWORKDAYS(IF(NOT(ISBLANK(M2588)), M2588, L2588), N2588, Holiday_Dates)
                - IF(IF(NOT(ISBLANK(M2588)), M2588, L2588) = N2588, 0, 1)
            )
        )
    ),
    ""
)</f>
        <v/>
      </c>
      <c r="S2588" s="385" t="str">
        <f>IFERROR(
    IF(
        OR(ISBLANK(N2588), ISBLANK(O2588)),
        "",
        MAX(
            1,
            IF(
                NETWORKDAYS(N2588, O2588, Holiday_Dates) &lt;= 0,
                1,
                NETWORKDAYS(N2588, O2588, Holiday_Dates) - IF(N2588 = O2588, 0, 1)
            )
        )
    ),
    ""
)</f>
        <v/>
      </c>
      <c r="T2588" s="385"/>
      <c r="U2588" s="385" t="s">
        <v>672</v>
      </c>
      <c r="V2588" s="385" t="s">
        <v>101</v>
      </c>
      <c r="W2588" s="385" t="s">
        <v>1436</v>
      </c>
      <c r="X2588" s="1"/>
    </row>
    <row r="2589" spans="1:24">
      <c r="A2589" s="385" t="s">
        <v>52</v>
      </c>
      <c r="B2589" s="385" t="s">
        <v>420</v>
      </c>
      <c r="C2589" s="385" t="s">
        <v>4094</v>
      </c>
      <c r="D2589" s="385" t="s">
        <v>89</v>
      </c>
      <c r="E2589" s="385"/>
      <c r="F2589" s="385"/>
      <c r="G2589" s="385"/>
      <c r="H2589" s="385">
        <v>2025</v>
      </c>
      <c r="I2589" s="386">
        <v>45940</v>
      </c>
      <c r="J2589" s="30" t="s">
        <v>5659</v>
      </c>
      <c r="K2589" s="385"/>
      <c r="L2589" s="385"/>
      <c r="M2589" s="385"/>
      <c r="N2589" s="385"/>
      <c r="O2589" s="385"/>
      <c r="P2589" s="385" t="str">
        <f>IFERROR(
    IF(
        OR(ISBLANK(I2589), ISBLANK(L2589)),
        "",
        MAX(
            1,
            IF(
                NETWORKDAYS(I2589, L2589, Holiday_Dates) &lt;= 0,
                1,
                NETWORKDAYS(I2589, L2589, Holiday_Dates) - IF(I2589 = L2589, 0, 1)
            )
        )
    ),
    ""
)</f>
        <v/>
      </c>
      <c r="Q2589" s="385" t="str">
        <f>IF(
    OR(ISBLANK(L2589), ISBLANK(M2589)),
    "",
    MAX(
        1,
        IF(
            NETWORKDAYS(L2589, M2589, Holiday_Dates) &lt;= 0,
            1,
            NETWORKDAYS(L2589, M2589, Holiday_Dates) - IF(L2589 = M2589, 0, 1)
        )
    )
)</f>
        <v/>
      </c>
      <c r="R2589" s="385" t="str">
        <f>IFERROR(
    IF(
        OR(ISBLANK(N2589), AND(ISBLANK(L2589), ISBLANK(M2589))),
        "",
        MAX(
            1,
            IF(
                NETWORKDAYS(IF(NOT(ISBLANK(M2589)), M2589, L2589), N2589, Holiday_Dates) &lt;= 0,
                1,
                NETWORKDAYS(IF(NOT(ISBLANK(M2589)), M2589, L2589), N2589, Holiday_Dates)
                - IF(IF(NOT(ISBLANK(M2589)), M2589, L2589) = N2589, 0, 1)
            )
        )
    ),
    ""
)</f>
        <v/>
      </c>
      <c r="S2589" s="385" t="str">
        <f>IFERROR(
    IF(
        OR(ISBLANK(N2589), ISBLANK(O2589)),
        "",
        MAX(
            1,
            IF(
                NETWORKDAYS(N2589, O2589, Holiday_Dates) &lt;= 0,
                1,
                NETWORKDAYS(N2589, O2589, Holiday_Dates) - IF(N2589 = O2589, 0, 1)
            )
        )
    ),
    ""
)</f>
        <v/>
      </c>
      <c r="T2589" s="385"/>
      <c r="U2589" s="385" t="s">
        <v>672</v>
      </c>
      <c r="V2589" s="385" t="s">
        <v>101</v>
      </c>
      <c r="W2589" s="385" t="s">
        <v>1436</v>
      </c>
      <c r="X2589" s="1"/>
    </row>
    <row r="2590" spans="1:24">
      <c r="A2590" s="385" t="s">
        <v>52</v>
      </c>
      <c r="B2590" s="385" t="s">
        <v>420</v>
      </c>
      <c r="C2590" s="385" t="s">
        <v>1087</v>
      </c>
      <c r="D2590" s="385" t="s">
        <v>89</v>
      </c>
      <c r="E2590" s="385"/>
      <c r="F2590" s="385"/>
      <c r="G2590" s="385"/>
      <c r="H2590" s="385">
        <v>2025</v>
      </c>
      <c r="I2590" s="386">
        <v>45715</v>
      </c>
      <c r="J2590" s="30" t="s">
        <v>5660</v>
      </c>
      <c r="K2590" s="385"/>
      <c r="L2590" s="385"/>
      <c r="M2590" s="385"/>
      <c r="N2590" s="385"/>
      <c r="O2590" s="385"/>
      <c r="P2590" s="385" t="str">
        <f>IFERROR(
    IF(
        OR(ISBLANK(I2590), ISBLANK(L2590)),
        "",
        MAX(
            1,
            IF(
                NETWORKDAYS(I2590, L2590, Holiday_Dates) &lt;= 0,
                1,
                NETWORKDAYS(I2590, L2590, Holiday_Dates) - IF(I2590 = L2590, 0, 1)
            )
        )
    ),
    ""
)</f>
        <v/>
      </c>
      <c r="Q2590" s="385" t="str">
        <f>IF(
    OR(ISBLANK(L2590), ISBLANK(M2590)),
    "",
    MAX(
        1,
        IF(
            NETWORKDAYS(L2590, M2590, Holiday_Dates) &lt;= 0,
            1,
            NETWORKDAYS(L2590, M2590, Holiday_Dates) - IF(L2590 = M2590, 0, 1)
        )
    )
)</f>
        <v/>
      </c>
      <c r="R2590" s="385" t="str">
        <f>IFERROR(
    IF(
        OR(ISBLANK(N2590), AND(ISBLANK(L2590), ISBLANK(M2590))),
        "",
        MAX(
            1,
            IF(
                NETWORKDAYS(IF(NOT(ISBLANK(M2590)), M2590, L2590), N2590, Holiday_Dates) &lt;= 0,
                1,
                NETWORKDAYS(IF(NOT(ISBLANK(M2590)), M2590, L2590), N2590, Holiday_Dates)
                - IF(IF(NOT(ISBLANK(M2590)), M2590, L2590) = N2590, 0, 1)
            )
        )
    ),
    ""
)</f>
        <v/>
      </c>
      <c r="S2590" s="385" t="str">
        <f>IFERROR(
    IF(
        OR(ISBLANK(N2590), ISBLANK(O2590)),
        "",
        MAX(
            1,
            IF(
                NETWORKDAYS(N2590, O2590, Holiday_Dates) &lt;= 0,
                1,
                NETWORKDAYS(N2590, O2590, Holiday_Dates) - IF(N2590 = O2590, 0, 1)
            )
        )
    ),
    ""
)</f>
        <v/>
      </c>
      <c r="T2590" s="385"/>
      <c r="U2590" s="385" t="s">
        <v>4</v>
      </c>
      <c r="V2590" s="385" t="s">
        <v>101</v>
      </c>
      <c r="W2590" s="385" t="s">
        <v>1436</v>
      </c>
      <c r="X2590" s="1"/>
    </row>
    <row r="2591" spans="1:24">
      <c r="A2591" s="385" t="s">
        <v>52</v>
      </c>
      <c r="B2591" s="385" t="s">
        <v>420</v>
      </c>
      <c r="C2591" s="385" t="s">
        <v>3114</v>
      </c>
      <c r="D2591" s="385" t="s">
        <v>89</v>
      </c>
      <c r="E2591" s="385"/>
      <c r="F2591" s="385"/>
      <c r="G2591" s="385"/>
      <c r="H2591" s="385">
        <v>2025</v>
      </c>
      <c r="I2591" s="386">
        <v>45728</v>
      </c>
      <c r="J2591" s="30" t="s">
        <v>5661</v>
      </c>
      <c r="K2591" s="385"/>
      <c r="L2591" s="385"/>
      <c r="M2591" s="385"/>
      <c r="N2591" s="385"/>
      <c r="O2591" s="385"/>
      <c r="P2591" s="385" t="str">
        <f>IFERROR(
    IF(
        OR(ISBLANK(I2591), ISBLANK(L2591)),
        "",
        MAX(
            1,
            IF(
                NETWORKDAYS(I2591, L2591, Holiday_Dates) &lt;= 0,
                1,
                NETWORKDAYS(I2591, L2591, Holiday_Dates) - IF(I2591 = L2591, 0, 1)
            )
        )
    ),
    ""
)</f>
        <v/>
      </c>
      <c r="Q2591" s="385" t="str">
        <f>IF(
    OR(ISBLANK(L2591), ISBLANK(M2591)),
    "",
    MAX(
        1,
        IF(
            NETWORKDAYS(L2591, M2591, Holiday_Dates) &lt;= 0,
            1,
            NETWORKDAYS(L2591, M2591, Holiday_Dates) - IF(L2591 = M2591, 0, 1)
        )
    )
)</f>
        <v/>
      </c>
      <c r="R2591" s="385" t="str">
        <f>IFERROR(
    IF(
        OR(ISBLANK(N2591), AND(ISBLANK(L2591), ISBLANK(M2591))),
        "",
        MAX(
            1,
            IF(
                NETWORKDAYS(IF(NOT(ISBLANK(M2591)), M2591, L2591), N2591, Holiday_Dates) &lt;= 0,
                1,
                NETWORKDAYS(IF(NOT(ISBLANK(M2591)), M2591, L2591), N2591, Holiday_Dates)
                - IF(IF(NOT(ISBLANK(M2591)), M2591, L2591) = N2591, 0, 1)
            )
        )
    ),
    ""
)</f>
        <v/>
      </c>
      <c r="S2591" s="385" t="str">
        <f>IFERROR(
    IF(
        OR(ISBLANK(N2591), ISBLANK(O2591)),
        "",
        MAX(
            1,
            IF(
                NETWORKDAYS(N2591, O2591, Holiday_Dates) &lt;= 0,
                1,
                NETWORKDAYS(N2591, O2591, Holiday_Dates) - IF(N2591 = O2591, 0, 1)
            )
        )
    ),
    ""
)</f>
        <v/>
      </c>
      <c r="T2591" s="385"/>
      <c r="U2591" s="385" t="s">
        <v>4</v>
      </c>
      <c r="V2591" s="385" t="s">
        <v>101</v>
      </c>
      <c r="W2591" s="385" t="s">
        <v>1436</v>
      </c>
      <c r="X2591" s="1"/>
    </row>
    <row r="2592" spans="1:24">
      <c r="A2592" s="385" t="s">
        <v>52</v>
      </c>
      <c r="B2592" s="385" t="s">
        <v>420</v>
      </c>
      <c r="C2592" s="385" t="s">
        <v>4095</v>
      </c>
      <c r="D2592" s="385" t="s">
        <v>89</v>
      </c>
      <c r="E2592" s="385"/>
      <c r="F2592" s="385"/>
      <c r="G2592" s="385"/>
      <c r="H2592" s="385">
        <v>2024</v>
      </c>
      <c r="I2592" s="386">
        <v>45608</v>
      </c>
      <c r="J2592" s="30"/>
      <c r="K2592" s="385"/>
      <c r="L2592" s="385"/>
      <c r="M2592" s="385"/>
      <c r="N2592" s="385"/>
      <c r="O2592" s="385"/>
      <c r="P2592" s="385" t="str">
        <f>IFERROR(
    IF(
        OR(ISBLANK(I2592), ISBLANK(L2592)),
        "",
        MAX(
            1,
            IF(
                NETWORKDAYS(I2592, L2592, Holiday_Dates) &lt;= 0,
                1,
                NETWORKDAYS(I2592, L2592, Holiday_Dates) - IF(I2592 = L2592, 0, 1)
            )
        )
    ),
    ""
)</f>
        <v/>
      </c>
      <c r="Q2592" s="385" t="str">
        <f>IF(
    OR(ISBLANK(L2592), ISBLANK(M2592)),
    "",
    MAX(
        1,
        IF(
            NETWORKDAYS(L2592, M2592, Holiday_Dates) &lt;= 0,
            1,
            NETWORKDAYS(L2592, M2592, Holiday_Dates) - IF(L2592 = M2592, 0, 1)
        )
    )
)</f>
        <v/>
      </c>
      <c r="R2592" s="385" t="str">
        <f>IFERROR(
    IF(
        OR(ISBLANK(N2592), AND(ISBLANK(L2592), ISBLANK(M2592))),
        "",
        MAX(
            1,
            IF(
                NETWORKDAYS(IF(NOT(ISBLANK(M2592)), M2592, L2592), N2592, Holiday_Dates) &lt;= 0,
                1,
                NETWORKDAYS(IF(NOT(ISBLANK(M2592)), M2592, L2592), N2592, Holiday_Dates)
                - IF(IF(NOT(ISBLANK(M2592)), M2592, L2592) = N2592, 0, 1)
            )
        )
    ),
    ""
)</f>
        <v/>
      </c>
      <c r="S2592" s="385" t="str">
        <f>IFERROR(
    IF(
        OR(ISBLANK(N2592), ISBLANK(O2592)),
        "",
        MAX(
            1,
            IF(
                NETWORKDAYS(N2592, O2592, Holiday_Dates) &lt;= 0,
                1,
                NETWORKDAYS(N2592, O2592, Holiday_Dates) - IF(N2592 = O2592, 0, 1)
            )
        )
    ),
    ""
)</f>
        <v/>
      </c>
      <c r="T2592" s="385"/>
      <c r="U2592" s="385" t="s">
        <v>4</v>
      </c>
      <c r="V2592" s="385" t="s">
        <v>101</v>
      </c>
      <c r="W2592" s="385" t="s">
        <v>1436</v>
      </c>
      <c r="X2592" s="1"/>
    </row>
    <row r="2593" spans="1:24">
      <c r="A2593" s="385" t="s">
        <v>51</v>
      </c>
      <c r="B2593" s="385" t="s">
        <v>537</v>
      </c>
      <c r="C2593" s="385" t="s">
        <v>3773</v>
      </c>
      <c r="D2593" s="385" t="s">
        <v>88</v>
      </c>
      <c r="E2593" s="385" t="s">
        <v>32</v>
      </c>
      <c r="F2593" s="385"/>
      <c r="G2593" s="385" t="s">
        <v>133</v>
      </c>
      <c r="H2593" s="385"/>
      <c r="I2593" s="385"/>
      <c r="J2593" s="30"/>
      <c r="K2593" s="385"/>
      <c r="L2593" s="385"/>
      <c r="M2593" s="385"/>
      <c r="N2593" s="385"/>
      <c r="O2593" s="385"/>
      <c r="P2593" s="385" t="str">
        <f>IFERROR(
    IF(
        OR(ISBLANK(I2593), ISBLANK(L2593)),
        "",
        MAX(
            1,
            IF(
                NETWORKDAYS(I2593, L2593, Holiday_Dates) &lt;= 0,
                1,
                NETWORKDAYS(I2593, L2593, Holiday_Dates) - IF(I2593 = L2593, 0, 1)
            )
        )
    ),
    ""
)</f>
        <v/>
      </c>
      <c r="Q2593" s="385" t="str">
        <f>IF(
    OR(ISBLANK(L2593), ISBLANK(M2593)),
    "",
    MAX(
        1,
        IF(
            NETWORKDAYS(L2593, M2593, Holiday_Dates) &lt;= 0,
            1,
            NETWORKDAYS(L2593, M2593, Holiday_Dates) - IF(L2593 = M2593, 0, 1)
        )
    )
)</f>
        <v/>
      </c>
      <c r="R2593" s="385" t="str">
        <f>IFERROR(
    IF(
        OR(ISBLANK(N2593), AND(ISBLANK(L2593), ISBLANK(M2593))),
        "",
        MAX(
            1,
            IF(
                NETWORKDAYS(IF(NOT(ISBLANK(M2593)), M2593, L2593), N2593, Holiday_Dates) &lt;= 0,
                1,
                NETWORKDAYS(IF(NOT(ISBLANK(M2593)), M2593, L2593), N2593, Holiday_Dates)
                - IF(IF(NOT(ISBLANK(M2593)), M2593, L2593) = N2593, 0, 1)
            )
        )
    ),
    ""
)</f>
        <v/>
      </c>
      <c r="S2593" s="385" t="str">
        <f>IFERROR(
    IF(
        OR(ISBLANK(N2593), ISBLANK(O2593)),
        "",
        MAX(
            1,
            IF(
                NETWORKDAYS(N2593, O2593, Holiday_Dates) &lt;= 0,
                1,
                NETWORKDAYS(N2593, O2593, Holiday_Dates) - IF(N2593 = O2593, 0, 1)
            )
        )
    ),
    ""
)</f>
        <v/>
      </c>
      <c r="T2593" s="385"/>
      <c r="U2593" s="385"/>
      <c r="V2593" s="385"/>
      <c r="W2593" s="385" t="s">
        <v>4710</v>
      </c>
      <c r="X2593" s="1"/>
    </row>
    <row r="2594" spans="1:24">
      <c r="A2594" s="385" t="s">
        <v>51</v>
      </c>
      <c r="B2594" s="385" t="s">
        <v>537</v>
      </c>
      <c r="C2594" s="385" t="s">
        <v>714</v>
      </c>
      <c r="D2594" s="385" t="s">
        <v>88</v>
      </c>
      <c r="E2594" s="385" t="s">
        <v>32</v>
      </c>
      <c r="F2594" s="385"/>
      <c r="G2594" s="385" t="s">
        <v>133</v>
      </c>
      <c r="H2594" s="385"/>
      <c r="I2594" s="385"/>
      <c r="J2594" s="30"/>
      <c r="K2594" s="385"/>
      <c r="L2594" s="385"/>
      <c r="M2594" s="385"/>
      <c r="N2594" s="385"/>
      <c r="O2594" s="385"/>
      <c r="P2594" s="385" t="str">
        <f>IFERROR(
    IF(
        OR(ISBLANK(I2594), ISBLANK(L2594)),
        "",
        MAX(
            1,
            IF(
                NETWORKDAYS(I2594, L2594, Holiday_Dates) &lt;= 0,
                1,
                NETWORKDAYS(I2594, L2594, Holiday_Dates) - IF(I2594 = L2594, 0, 1)
            )
        )
    ),
    ""
)</f>
        <v/>
      </c>
      <c r="Q2594" s="385" t="str">
        <f>IF(
    OR(ISBLANK(L2594), ISBLANK(M2594)),
    "",
    MAX(
        1,
        IF(
            NETWORKDAYS(L2594, M2594, Holiday_Dates) &lt;= 0,
            1,
            NETWORKDAYS(L2594, M2594, Holiday_Dates) - IF(L2594 = M2594, 0, 1)
        )
    )
)</f>
        <v/>
      </c>
      <c r="R2594" s="385" t="str">
        <f>IFERROR(
    IF(
        OR(ISBLANK(N2594), AND(ISBLANK(L2594), ISBLANK(M2594))),
        "",
        MAX(
            1,
            IF(
                NETWORKDAYS(IF(NOT(ISBLANK(M2594)), M2594, L2594), N2594, Holiday_Dates) &lt;= 0,
                1,
                NETWORKDAYS(IF(NOT(ISBLANK(M2594)), M2594, L2594), N2594, Holiday_Dates)
                - IF(IF(NOT(ISBLANK(M2594)), M2594, L2594) = N2594, 0, 1)
            )
        )
    ),
    ""
)</f>
        <v/>
      </c>
      <c r="S2594" s="385" t="str">
        <f>IFERROR(
    IF(
        OR(ISBLANK(N2594), ISBLANK(O2594)),
        "",
        MAX(
            1,
            IF(
                NETWORKDAYS(N2594, O2594, Holiday_Dates) &lt;= 0,
                1,
                NETWORKDAYS(N2594, O2594, Holiday_Dates) - IF(N2594 = O2594, 0, 1)
            )
        )
    ),
    ""
)</f>
        <v/>
      </c>
      <c r="T2594" s="385"/>
      <c r="U2594" s="385"/>
      <c r="V2594" s="385"/>
      <c r="W2594" s="385" t="s">
        <v>4710</v>
      </c>
      <c r="X2594" s="1"/>
    </row>
    <row r="2595" spans="1:24">
      <c r="A2595" s="385" t="s">
        <v>51</v>
      </c>
      <c r="B2595" s="385" t="s">
        <v>537</v>
      </c>
      <c r="C2595" s="385" t="s">
        <v>1998</v>
      </c>
      <c r="D2595" s="385" t="s">
        <v>88</v>
      </c>
      <c r="E2595" s="385" t="s">
        <v>32</v>
      </c>
      <c r="F2595" s="385"/>
      <c r="G2595" s="385" t="s">
        <v>133</v>
      </c>
      <c r="H2595" s="385"/>
      <c r="I2595" s="385"/>
      <c r="J2595" s="30"/>
      <c r="K2595" s="385"/>
      <c r="L2595" s="385"/>
      <c r="M2595" s="385"/>
      <c r="N2595" s="385"/>
      <c r="O2595" s="385"/>
      <c r="P2595" s="385" t="str">
        <f>IFERROR(
    IF(
        OR(ISBLANK(I2595), ISBLANK(L2595)),
        "",
        MAX(
            1,
            IF(
                NETWORKDAYS(I2595, L2595, Holiday_Dates) &lt;= 0,
                1,
                NETWORKDAYS(I2595, L2595, Holiday_Dates) - IF(I2595 = L2595, 0, 1)
            )
        )
    ),
    ""
)</f>
        <v/>
      </c>
      <c r="Q2595" s="385" t="str">
        <f>IF(
    OR(ISBLANK(L2595), ISBLANK(M2595)),
    "",
    MAX(
        1,
        IF(
            NETWORKDAYS(L2595, M2595, Holiday_Dates) &lt;= 0,
            1,
            NETWORKDAYS(L2595, M2595, Holiday_Dates) - IF(L2595 = M2595, 0, 1)
        )
    )
)</f>
        <v/>
      </c>
      <c r="R2595" s="385" t="str">
        <f>IFERROR(
    IF(
        OR(ISBLANK(N2595), AND(ISBLANK(L2595), ISBLANK(M2595))),
        "",
        MAX(
            1,
            IF(
                NETWORKDAYS(IF(NOT(ISBLANK(M2595)), M2595, L2595), N2595, Holiday_Dates) &lt;= 0,
                1,
                NETWORKDAYS(IF(NOT(ISBLANK(M2595)), M2595, L2595), N2595, Holiday_Dates)
                - IF(IF(NOT(ISBLANK(M2595)), M2595, L2595) = N2595, 0, 1)
            )
        )
    ),
    ""
)</f>
        <v/>
      </c>
      <c r="S2595" s="385" t="str">
        <f>IFERROR(
    IF(
        OR(ISBLANK(N2595), ISBLANK(O2595)),
        "",
        MAX(
            1,
            IF(
                NETWORKDAYS(N2595, O2595, Holiday_Dates) &lt;= 0,
                1,
                NETWORKDAYS(N2595, O2595, Holiday_Dates) - IF(N2595 = O2595, 0, 1)
            )
        )
    ),
    ""
)</f>
        <v/>
      </c>
      <c r="T2595" s="385"/>
      <c r="U2595" s="385"/>
      <c r="V2595" s="385"/>
      <c r="W2595" s="385" t="s">
        <v>4710</v>
      </c>
      <c r="X2595" s="1"/>
    </row>
    <row r="2596" spans="1:24">
      <c r="A2596" s="385" t="s">
        <v>52</v>
      </c>
      <c r="B2596" s="385" t="s">
        <v>420</v>
      </c>
      <c r="C2596" s="385" t="s">
        <v>5662</v>
      </c>
      <c r="D2596" s="385" t="s">
        <v>89</v>
      </c>
      <c r="E2596" s="385"/>
      <c r="F2596" s="385"/>
      <c r="G2596" s="385"/>
      <c r="H2596" s="385">
        <v>2025</v>
      </c>
      <c r="I2596" s="386">
        <v>45940</v>
      </c>
      <c r="J2596" s="30" t="s">
        <v>5663</v>
      </c>
      <c r="K2596" s="385"/>
      <c r="L2596" s="385"/>
      <c r="M2596" s="385"/>
      <c r="N2596" s="385"/>
      <c r="O2596" s="385"/>
      <c r="P2596" s="385" t="str">
        <f>IFERROR(
    IF(
        OR(ISBLANK(I2596), ISBLANK(L2596)),
        "",
        MAX(
            1,
            IF(
                NETWORKDAYS(I2596, L2596, Holiday_Dates) &lt;= 0,
                1,
                NETWORKDAYS(I2596, L2596, Holiday_Dates) - IF(I2596 = L2596, 0, 1)
            )
        )
    ),
    ""
)</f>
        <v/>
      </c>
      <c r="Q2596" s="385" t="str">
        <f>IF(
    OR(ISBLANK(L2596), ISBLANK(M2596)),
    "",
    MAX(
        1,
        IF(
            NETWORKDAYS(L2596, M2596, Holiday_Dates) &lt;= 0,
            1,
            NETWORKDAYS(L2596, M2596, Holiday_Dates) - IF(L2596 = M2596, 0, 1)
        )
    )
)</f>
        <v/>
      </c>
      <c r="R2596" s="385" t="str">
        <f>IFERROR(
    IF(
        OR(ISBLANK(N2596), AND(ISBLANK(L2596), ISBLANK(M2596))),
        "",
        MAX(
            1,
            IF(
                NETWORKDAYS(IF(NOT(ISBLANK(M2596)), M2596, L2596), N2596, Holiday_Dates) &lt;= 0,
                1,
                NETWORKDAYS(IF(NOT(ISBLANK(M2596)), M2596, L2596), N2596, Holiday_Dates)
                - IF(IF(NOT(ISBLANK(M2596)), M2596, L2596) = N2596, 0, 1)
            )
        )
    ),
    ""
)</f>
        <v/>
      </c>
      <c r="S2596" s="385" t="str">
        <f>IFERROR(
    IF(
        OR(ISBLANK(N2596), ISBLANK(O2596)),
        "",
        MAX(
            1,
            IF(
                NETWORKDAYS(N2596, O2596, Holiday_Dates) &lt;= 0,
                1,
                NETWORKDAYS(N2596, O2596, Holiday_Dates) - IF(N2596 = O2596, 0, 1)
            )
        )
    ),
    ""
)</f>
        <v/>
      </c>
      <c r="T2596" s="385"/>
      <c r="U2596" s="385" t="s">
        <v>4</v>
      </c>
      <c r="V2596" s="385" t="s">
        <v>101</v>
      </c>
      <c r="W2596" s="385" t="s">
        <v>1436</v>
      </c>
      <c r="X2596" s="1"/>
    </row>
    <row r="2597" spans="1:24">
      <c r="A2597" s="385" t="s">
        <v>51</v>
      </c>
      <c r="B2597" s="385" t="s">
        <v>537</v>
      </c>
      <c r="C2597" s="385" t="s">
        <v>3774</v>
      </c>
      <c r="D2597" s="385" t="s">
        <v>88</v>
      </c>
      <c r="E2597" s="385" t="s">
        <v>32</v>
      </c>
      <c r="F2597" s="385"/>
      <c r="G2597" s="385" t="s">
        <v>133</v>
      </c>
      <c r="H2597" s="385"/>
      <c r="I2597" s="385"/>
      <c r="J2597" s="30"/>
      <c r="K2597" s="385"/>
      <c r="L2597" s="385"/>
      <c r="M2597" s="385"/>
      <c r="N2597" s="385"/>
      <c r="O2597" s="385"/>
      <c r="P2597" s="385" t="str">
        <f>IFERROR(
    IF(
        OR(ISBLANK(I2597), ISBLANK(L2597)),
        "",
        MAX(
            1,
            IF(
                NETWORKDAYS(I2597, L2597, Holiday_Dates) &lt;= 0,
                1,
                NETWORKDAYS(I2597, L2597, Holiday_Dates) - IF(I2597 = L2597, 0, 1)
            )
        )
    ),
    ""
)</f>
        <v/>
      </c>
      <c r="Q2597" s="385" t="str">
        <f>IF(
    OR(ISBLANK(L2597), ISBLANK(M2597)),
    "",
    MAX(
        1,
        IF(
            NETWORKDAYS(L2597, M2597, Holiday_Dates) &lt;= 0,
            1,
            NETWORKDAYS(L2597, M2597, Holiday_Dates) - IF(L2597 = M2597, 0, 1)
        )
    )
)</f>
        <v/>
      </c>
      <c r="R2597" s="385" t="str">
        <f>IFERROR(
    IF(
        OR(ISBLANK(N2597), AND(ISBLANK(L2597), ISBLANK(M2597))),
        "",
        MAX(
            1,
            IF(
                NETWORKDAYS(IF(NOT(ISBLANK(M2597)), M2597, L2597), N2597, Holiday_Dates) &lt;= 0,
                1,
                NETWORKDAYS(IF(NOT(ISBLANK(M2597)), M2597, L2597), N2597, Holiday_Dates)
                - IF(IF(NOT(ISBLANK(M2597)), M2597, L2597) = N2597, 0, 1)
            )
        )
    ),
    ""
)</f>
        <v/>
      </c>
      <c r="S2597" s="385" t="str">
        <f>IFERROR(
    IF(
        OR(ISBLANK(N2597), ISBLANK(O2597)),
        "",
        MAX(
            1,
            IF(
                NETWORKDAYS(N2597, O2597, Holiday_Dates) &lt;= 0,
                1,
                NETWORKDAYS(N2597, O2597, Holiday_Dates) - IF(N2597 = O2597, 0, 1)
            )
        )
    ),
    ""
)</f>
        <v/>
      </c>
      <c r="T2597" s="385"/>
      <c r="U2597" s="385"/>
      <c r="V2597" s="385"/>
      <c r="W2597" s="385" t="s">
        <v>4710</v>
      </c>
      <c r="X2597" s="1"/>
    </row>
    <row r="2598" spans="1:24">
      <c r="A2598" s="385" t="s">
        <v>52</v>
      </c>
      <c r="B2598" s="385" t="s">
        <v>324</v>
      </c>
      <c r="C2598" s="385" t="s">
        <v>4100</v>
      </c>
      <c r="D2598" s="385" t="s">
        <v>89</v>
      </c>
      <c r="E2598" s="385"/>
      <c r="F2598" s="385"/>
      <c r="G2598" s="385"/>
      <c r="H2598" s="385">
        <v>2025</v>
      </c>
      <c r="I2598" s="386">
        <v>45695</v>
      </c>
      <c r="J2598" s="30" t="s">
        <v>5664</v>
      </c>
      <c r="K2598" s="385"/>
      <c r="L2598" s="385"/>
      <c r="M2598" s="385"/>
      <c r="N2598" s="385"/>
      <c r="O2598" s="385"/>
      <c r="P2598" s="385" t="str">
        <f>IFERROR(
    IF(
        OR(ISBLANK(I2598), ISBLANK(L2598)),
        "",
        MAX(
            1,
            IF(
                NETWORKDAYS(I2598, L2598, Holiday_Dates) &lt;= 0,
                1,
                NETWORKDAYS(I2598, L2598, Holiday_Dates) - IF(I2598 = L2598, 0, 1)
            )
        )
    ),
    ""
)</f>
        <v/>
      </c>
      <c r="Q2598" s="385" t="str">
        <f>IF(
    OR(ISBLANK(L2598), ISBLANK(M2598)),
    "",
    MAX(
        1,
        IF(
            NETWORKDAYS(L2598, M2598, Holiday_Dates) &lt;= 0,
            1,
            NETWORKDAYS(L2598, M2598, Holiday_Dates) - IF(L2598 = M2598, 0, 1)
        )
    )
)</f>
        <v/>
      </c>
      <c r="R2598" s="385" t="str">
        <f>IFERROR(
    IF(
        OR(ISBLANK(N2598), AND(ISBLANK(L2598), ISBLANK(M2598))),
        "",
        MAX(
            1,
            IF(
                NETWORKDAYS(IF(NOT(ISBLANK(M2598)), M2598, L2598), N2598, Holiday_Dates) &lt;= 0,
                1,
                NETWORKDAYS(IF(NOT(ISBLANK(M2598)), M2598, L2598), N2598, Holiday_Dates)
                - IF(IF(NOT(ISBLANK(M2598)), M2598, L2598) = N2598, 0, 1)
            )
        )
    ),
    ""
)</f>
        <v/>
      </c>
      <c r="S2598" s="385" t="str">
        <f>IFERROR(
    IF(
        OR(ISBLANK(N2598), ISBLANK(O2598)),
        "",
        MAX(
            1,
            IF(
                NETWORKDAYS(N2598, O2598, Holiday_Dates) &lt;= 0,
                1,
                NETWORKDAYS(N2598, O2598, Holiday_Dates) - IF(N2598 = O2598, 0, 1)
            )
        )
    ),
    ""
)</f>
        <v/>
      </c>
      <c r="T2598" s="385"/>
      <c r="U2598" s="385" t="s">
        <v>4</v>
      </c>
      <c r="V2598" s="385" t="s">
        <v>101</v>
      </c>
      <c r="W2598" s="385" t="s">
        <v>1436</v>
      </c>
      <c r="X2598" s="1"/>
    </row>
    <row r="2599" spans="1:24">
      <c r="A2599" s="385" t="s">
        <v>51</v>
      </c>
      <c r="B2599" s="385" t="s">
        <v>537</v>
      </c>
      <c r="C2599" s="385" t="s">
        <v>3775</v>
      </c>
      <c r="D2599" s="385" t="s">
        <v>88</v>
      </c>
      <c r="E2599" s="385" t="s">
        <v>32</v>
      </c>
      <c r="F2599" s="385"/>
      <c r="G2599" s="385" t="s">
        <v>133</v>
      </c>
      <c r="H2599" s="385"/>
      <c r="I2599" s="385"/>
      <c r="J2599" s="30"/>
      <c r="K2599" s="385"/>
      <c r="L2599" s="385"/>
      <c r="M2599" s="385"/>
      <c r="N2599" s="385"/>
      <c r="O2599" s="385"/>
      <c r="P2599" s="385" t="str">
        <f>IFERROR(
    IF(
        OR(ISBLANK(I2599), ISBLANK(L2599)),
        "",
        MAX(
            1,
            IF(
                NETWORKDAYS(I2599, L2599, Holiday_Dates) &lt;= 0,
                1,
                NETWORKDAYS(I2599, L2599, Holiday_Dates) - IF(I2599 = L2599, 0, 1)
            )
        )
    ),
    ""
)</f>
        <v/>
      </c>
      <c r="Q2599" s="385" t="str">
        <f>IF(
    OR(ISBLANK(L2599), ISBLANK(M2599)),
    "",
    MAX(
        1,
        IF(
            NETWORKDAYS(L2599, M2599, Holiday_Dates) &lt;= 0,
            1,
            NETWORKDAYS(L2599, M2599, Holiday_Dates) - IF(L2599 = M2599, 0, 1)
        )
    )
)</f>
        <v/>
      </c>
      <c r="R2599" s="385" t="str">
        <f>IFERROR(
    IF(
        OR(ISBLANK(N2599), AND(ISBLANK(L2599), ISBLANK(M2599))),
        "",
        MAX(
            1,
            IF(
                NETWORKDAYS(IF(NOT(ISBLANK(M2599)), M2599, L2599), N2599, Holiday_Dates) &lt;= 0,
                1,
                NETWORKDAYS(IF(NOT(ISBLANK(M2599)), M2599, L2599), N2599, Holiday_Dates)
                - IF(IF(NOT(ISBLANK(M2599)), M2599, L2599) = N2599, 0, 1)
            )
        )
    ),
    ""
)</f>
        <v/>
      </c>
      <c r="S2599" s="385" t="str">
        <f>IFERROR(
    IF(
        OR(ISBLANK(N2599), ISBLANK(O2599)),
        "",
        MAX(
            1,
            IF(
                NETWORKDAYS(N2599, O2599, Holiday_Dates) &lt;= 0,
                1,
                NETWORKDAYS(N2599, O2599, Holiday_Dates) - IF(N2599 = O2599, 0, 1)
            )
        )
    ),
    ""
)</f>
        <v/>
      </c>
      <c r="T2599" s="385"/>
      <c r="U2599" s="385"/>
      <c r="V2599" s="385"/>
      <c r="W2599" s="385" t="s">
        <v>4710</v>
      </c>
      <c r="X2599" s="1"/>
    </row>
    <row r="2600" spans="1:24">
      <c r="A2600" s="385" t="s">
        <v>52</v>
      </c>
      <c r="B2600" s="385" t="s">
        <v>324</v>
      </c>
      <c r="C2600" s="385" t="s">
        <v>4102</v>
      </c>
      <c r="D2600" s="385" t="s">
        <v>89</v>
      </c>
      <c r="E2600" s="385"/>
      <c r="F2600" s="385"/>
      <c r="G2600" s="385"/>
      <c r="H2600" s="385">
        <v>2025</v>
      </c>
      <c r="I2600" s="386">
        <v>45939</v>
      </c>
      <c r="J2600" s="30" t="s">
        <v>5665</v>
      </c>
      <c r="K2600" s="385"/>
      <c r="L2600" s="385"/>
      <c r="M2600" s="385"/>
      <c r="N2600" s="385"/>
      <c r="O2600" s="385"/>
      <c r="P2600" s="385" t="str">
        <f>IFERROR(
    IF(
        OR(ISBLANK(I2600), ISBLANK(L2600)),
        "",
        MAX(
            1,
            IF(
                NETWORKDAYS(I2600, L2600, Holiday_Dates) &lt;= 0,
                1,
                NETWORKDAYS(I2600, L2600, Holiday_Dates) - IF(I2600 = L2600, 0, 1)
            )
        )
    ),
    ""
)</f>
        <v/>
      </c>
      <c r="Q2600" s="385" t="str">
        <f>IF(
    OR(ISBLANK(L2600), ISBLANK(M2600)),
    "",
    MAX(
        1,
        IF(
            NETWORKDAYS(L2600, M2600, Holiday_Dates) &lt;= 0,
            1,
            NETWORKDAYS(L2600, M2600, Holiday_Dates) - IF(L2600 = M2600, 0, 1)
        )
    )
)</f>
        <v/>
      </c>
      <c r="R2600" s="385" t="str">
        <f>IFERROR(
    IF(
        OR(ISBLANK(N2600), AND(ISBLANK(L2600), ISBLANK(M2600))),
        "",
        MAX(
            1,
            IF(
                NETWORKDAYS(IF(NOT(ISBLANK(M2600)), M2600, L2600), N2600, Holiday_Dates) &lt;= 0,
                1,
                NETWORKDAYS(IF(NOT(ISBLANK(M2600)), M2600, L2600), N2600, Holiday_Dates)
                - IF(IF(NOT(ISBLANK(M2600)), M2600, L2600) = N2600, 0, 1)
            )
        )
    ),
    ""
)</f>
        <v/>
      </c>
      <c r="S2600" s="385" t="str">
        <f>IFERROR(
    IF(
        OR(ISBLANK(N2600), ISBLANK(O2600)),
        "",
        MAX(
            1,
            IF(
                NETWORKDAYS(N2600, O2600, Holiday_Dates) &lt;= 0,
                1,
                NETWORKDAYS(N2600, O2600, Holiday_Dates) - IF(N2600 = O2600, 0, 1)
            )
        )
    ),
    ""
)</f>
        <v/>
      </c>
      <c r="T2600" s="385"/>
      <c r="U2600" s="385" t="s">
        <v>672</v>
      </c>
      <c r="V2600" s="385" t="s">
        <v>101</v>
      </c>
      <c r="W2600" s="385" t="s">
        <v>1436</v>
      </c>
      <c r="X2600" s="1"/>
    </row>
    <row r="2601" spans="1:24">
      <c r="A2601" s="385" t="s">
        <v>52</v>
      </c>
      <c r="B2601" s="385" t="s">
        <v>324</v>
      </c>
      <c r="C2601" s="385" t="s">
        <v>4103</v>
      </c>
      <c r="D2601" s="385" t="s">
        <v>89</v>
      </c>
      <c r="E2601" s="385"/>
      <c r="F2601" s="385"/>
      <c r="G2601" s="385"/>
      <c r="H2601" s="385">
        <v>2025</v>
      </c>
      <c r="I2601" s="386">
        <v>45939</v>
      </c>
      <c r="J2601" s="30" t="s">
        <v>5666</v>
      </c>
      <c r="K2601" s="385"/>
      <c r="L2601" s="385"/>
      <c r="M2601" s="385"/>
      <c r="N2601" s="385"/>
      <c r="O2601" s="385"/>
      <c r="P2601" s="385" t="str">
        <f>IFERROR(
    IF(
        OR(ISBLANK(I2601), ISBLANK(L2601)),
        "",
        MAX(
            1,
            IF(
                NETWORKDAYS(I2601, L2601, Holiday_Dates) &lt;= 0,
                1,
                NETWORKDAYS(I2601, L2601, Holiday_Dates) - IF(I2601 = L2601, 0, 1)
            )
        )
    ),
    ""
)</f>
        <v/>
      </c>
      <c r="Q2601" s="385" t="str">
        <f>IF(
    OR(ISBLANK(L2601), ISBLANK(M2601)),
    "",
    MAX(
        1,
        IF(
            NETWORKDAYS(L2601, M2601, Holiday_Dates) &lt;= 0,
            1,
            NETWORKDAYS(L2601, M2601, Holiday_Dates) - IF(L2601 = M2601, 0, 1)
        )
    )
)</f>
        <v/>
      </c>
      <c r="R2601" s="385" t="str">
        <f>IFERROR(
    IF(
        OR(ISBLANK(N2601), AND(ISBLANK(L2601), ISBLANK(M2601))),
        "",
        MAX(
            1,
            IF(
                NETWORKDAYS(IF(NOT(ISBLANK(M2601)), M2601, L2601), N2601, Holiday_Dates) &lt;= 0,
                1,
                NETWORKDAYS(IF(NOT(ISBLANK(M2601)), M2601, L2601), N2601, Holiday_Dates)
                - IF(IF(NOT(ISBLANK(M2601)), M2601, L2601) = N2601, 0, 1)
            )
        )
    ),
    ""
)</f>
        <v/>
      </c>
      <c r="S2601" s="385" t="str">
        <f>IFERROR(
    IF(
        OR(ISBLANK(N2601), ISBLANK(O2601)),
        "",
        MAX(
            1,
            IF(
                NETWORKDAYS(N2601, O2601, Holiday_Dates) &lt;= 0,
                1,
                NETWORKDAYS(N2601, O2601, Holiday_Dates) - IF(N2601 = O2601, 0, 1)
            )
        )
    ),
    ""
)</f>
        <v/>
      </c>
      <c r="T2601" s="385"/>
      <c r="U2601" s="385" t="s">
        <v>672</v>
      </c>
      <c r="V2601" s="385" t="s">
        <v>101</v>
      </c>
      <c r="W2601" s="385" t="s">
        <v>1436</v>
      </c>
      <c r="X2601" s="1"/>
    </row>
    <row r="2602" spans="1:24">
      <c r="A2602" s="385" t="s">
        <v>52</v>
      </c>
      <c r="B2602" s="385" t="s">
        <v>324</v>
      </c>
      <c r="C2602" s="385" t="s">
        <v>4104</v>
      </c>
      <c r="D2602" s="385" t="s">
        <v>89</v>
      </c>
      <c r="E2602" s="385"/>
      <c r="F2602" s="385"/>
      <c r="G2602" s="385"/>
      <c r="H2602" s="385">
        <v>2024</v>
      </c>
      <c r="I2602" s="386">
        <v>45384</v>
      </c>
      <c r="J2602" s="30"/>
      <c r="K2602" s="385"/>
      <c r="L2602" s="385"/>
      <c r="M2602" s="385"/>
      <c r="N2602" s="385"/>
      <c r="O2602" s="385"/>
      <c r="P2602" s="385" t="str">
        <f>IFERROR(
    IF(
        OR(ISBLANK(I2602), ISBLANK(L2602)),
        "",
        MAX(
            1,
            IF(
                NETWORKDAYS(I2602, L2602, Holiday_Dates) &lt;= 0,
                1,
                NETWORKDAYS(I2602, L2602, Holiday_Dates) - IF(I2602 = L2602, 0, 1)
            )
        )
    ),
    ""
)</f>
        <v/>
      </c>
      <c r="Q2602" s="385" t="str">
        <f>IF(
    OR(ISBLANK(L2602), ISBLANK(M2602)),
    "",
    MAX(
        1,
        IF(
            NETWORKDAYS(L2602, M2602, Holiday_Dates) &lt;= 0,
            1,
            NETWORKDAYS(L2602, M2602, Holiday_Dates) - IF(L2602 = M2602, 0, 1)
        )
    )
)</f>
        <v/>
      </c>
      <c r="R2602" s="385" t="str">
        <f>IFERROR(
    IF(
        OR(ISBLANK(N2602), AND(ISBLANK(L2602), ISBLANK(M2602))),
        "",
        MAX(
            1,
            IF(
                NETWORKDAYS(IF(NOT(ISBLANK(M2602)), M2602, L2602), N2602, Holiday_Dates) &lt;= 0,
                1,
                NETWORKDAYS(IF(NOT(ISBLANK(M2602)), M2602, L2602), N2602, Holiday_Dates)
                - IF(IF(NOT(ISBLANK(M2602)), M2602, L2602) = N2602, 0, 1)
            )
        )
    ),
    ""
)</f>
        <v/>
      </c>
      <c r="S2602" s="385" t="str">
        <f>IFERROR(
    IF(
        OR(ISBLANK(N2602), ISBLANK(O2602)),
        "",
        MAX(
            1,
            IF(
                NETWORKDAYS(N2602, O2602, Holiday_Dates) &lt;= 0,
                1,
                NETWORKDAYS(N2602, O2602, Holiday_Dates) - IF(N2602 = O2602, 0, 1)
            )
        )
    ),
    ""
)</f>
        <v/>
      </c>
      <c r="T2602" s="385"/>
      <c r="U2602" s="385" t="s">
        <v>672</v>
      </c>
      <c r="V2602" s="385"/>
      <c r="W2602" s="385" t="s">
        <v>1436</v>
      </c>
      <c r="X2602" s="1"/>
    </row>
    <row r="2603" spans="1:24">
      <c r="A2603" s="385" t="s">
        <v>52</v>
      </c>
      <c r="B2603" s="385" t="s">
        <v>324</v>
      </c>
      <c r="C2603" s="385" t="s">
        <v>4106</v>
      </c>
      <c r="D2603" s="385" t="s">
        <v>89</v>
      </c>
      <c r="E2603" s="385"/>
      <c r="F2603" s="385"/>
      <c r="G2603" s="385"/>
      <c r="H2603" s="385">
        <v>2025</v>
      </c>
      <c r="I2603" s="386">
        <v>45939</v>
      </c>
      <c r="J2603" s="30" t="s">
        <v>5667</v>
      </c>
      <c r="K2603" s="385"/>
      <c r="L2603" s="385"/>
      <c r="M2603" s="385"/>
      <c r="N2603" s="385"/>
      <c r="O2603" s="385"/>
      <c r="P2603" s="385" t="str">
        <f>IFERROR(
    IF(
        OR(ISBLANK(I2603), ISBLANK(L2603)),
        "",
        MAX(
            1,
            IF(
                NETWORKDAYS(I2603, L2603, Holiday_Dates) &lt;= 0,
                1,
                NETWORKDAYS(I2603, L2603, Holiday_Dates) - IF(I2603 = L2603, 0, 1)
            )
        )
    ),
    ""
)</f>
        <v/>
      </c>
      <c r="Q2603" s="385" t="str">
        <f>IF(
    OR(ISBLANK(L2603), ISBLANK(M2603)),
    "",
    MAX(
        1,
        IF(
            NETWORKDAYS(L2603, M2603, Holiday_Dates) &lt;= 0,
            1,
            NETWORKDAYS(L2603, M2603, Holiday_Dates) - IF(L2603 = M2603, 0, 1)
        )
    )
)</f>
        <v/>
      </c>
      <c r="R2603" s="385" t="str">
        <f>IFERROR(
    IF(
        OR(ISBLANK(N2603), AND(ISBLANK(L2603), ISBLANK(M2603))),
        "",
        MAX(
            1,
            IF(
                NETWORKDAYS(IF(NOT(ISBLANK(M2603)), M2603, L2603), N2603, Holiday_Dates) &lt;= 0,
                1,
                NETWORKDAYS(IF(NOT(ISBLANK(M2603)), M2603, L2603), N2603, Holiday_Dates)
                - IF(IF(NOT(ISBLANK(M2603)), M2603, L2603) = N2603, 0, 1)
            )
        )
    ),
    ""
)</f>
        <v/>
      </c>
      <c r="S2603" s="385" t="str">
        <f>IFERROR(
    IF(
        OR(ISBLANK(N2603), ISBLANK(O2603)),
        "",
        MAX(
            1,
            IF(
                NETWORKDAYS(N2603, O2603, Holiday_Dates) &lt;= 0,
                1,
                NETWORKDAYS(N2603, O2603, Holiday_Dates) - IF(N2603 = O2603, 0, 1)
            )
        )
    ),
    ""
)</f>
        <v/>
      </c>
      <c r="T2603" s="385"/>
      <c r="U2603" s="385" t="s">
        <v>672</v>
      </c>
      <c r="V2603" s="385" t="s">
        <v>101</v>
      </c>
      <c r="W2603" s="385" t="s">
        <v>1436</v>
      </c>
      <c r="X2603" s="1"/>
    </row>
    <row r="2604" spans="1:24">
      <c r="A2604" s="385" t="s">
        <v>51</v>
      </c>
      <c r="B2604" s="385" t="s">
        <v>537</v>
      </c>
      <c r="C2604" s="385" t="s">
        <v>764</v>
      </c>
      <c r="D2604" s="385" t="s">
        <v>88</v>
      </c>
      <c r="E2604" s="385" t="s">
        <v>32</v>
      </c>
      <c r="F2604" s="385"/>
      <c r="G2604" s="385" t="s">
        <v>133</v>
      </c>
      <c r="H2604" s="385"/>
      <c r="I2604" s="385"/>
      <c r="J2604" s="30"/>
      <c r="K2604" s="385"/>
      <c r="L2604" s="385"/>
      <c r="M2604" s="385"/>
      <c r="N2604" s="385"/>
      <c r="O2604" s="385"/>
      <c r="P2604" s="385" t="str">
        <f>IFERROR(
    IF(
        OR(ISBLANK(I2604), ISBLANK(L2604)),
        "",
        MAX(
            1,
            IF(
                NETWORKDAYS(I2604, L2604, Holiday_Dates) &lt;= 0,
                1,
                NETWORKDAYS(I2604, L2604, Holiday_Dates) - IF(I2604 = L2604, 0, 1)
            )
        )
    ),
    ""
)</f>
        <v/>
      </c>
      <c r="Q2604" s="385" t="str">
        <f>IF(
    OR(ISBLANK(L2604), ISBLANK(M2604)),
    "",
    MAX(
        1,
        IF(
            NETWORKDAYS(L2604, M2604, Holiday_Dates) &lt;= 0,
            1,
            NETWORKDAYS(L2604, M2604, Holiday_Dates) - IF(L2604 = M2604, 0, 1)
        )
    )
)</f>
        <v/>
      </c>
      <c r="R2604" s="385" t="str">
        <f>IFERROR(
    IF(
        OR(ISBLANK(N2604), AND(ISBLANK(L2604), ISBLANK(M2604))),
        "",
        MAX(
            1,
            IF(
                NETWORKDAYS(IF(NOT(ISBLANK(M2604)), M2604, L2604), N2604, Holiday_Dates) &lt;= 0,
                1,
                NETWORKDAYS(IF(NOT(ISBLANK(M2604)), M2604, L2604), N2604, Holiday_Dates)
                - IF(IF(NOT(ISBLANK(M2604)), M2604, L2604) = N2604, 0, 1)
            )
        )
    ),
    ""
)</f>
        <v/>
      </c>
      <c r="S2604" s="385" t="str">
        <f>IFERROR(
    IF(
        OR(ISBLANK(N2604), ISBLANK(O2604)),
        "",
        MAX(
            1,
            IF(
                NETWORKDAYS(N2604, O2604, Holiday_Dates) &lt;= 0,
                1,
                NETWORKDAYS(N2604, O2604, Holiday_Dates) - IF(N2604 = O2604, 0, 1)
            )
        )
    ),
    ""
)</f>
        <v/>
      </c>
      <c r="T2604" s="385"/>
      <c r="U2604" s="385"/>
      <c r="V2604" s="385"/>
      <c r="W2604" s="385" t="s">
        <v>4710</v>
      </c>
      <c r="X2604" s="1"/>
    </row>
    <row r="2605" spans="1:24">
      <c r="A2605" s="385" t="s">
        <v>52</v>
      </c>
      <c r="B2605" s="385" t="s">
        <v>324</v>
      </c>
      <c r="C2605" s="385" t="s">
        <v>4107</v>
      </c>
      <c r="D2605" s="385" t="s">
        <v>89</v>
      </c>
      <c r="E2605" s="385"/>
      <c r="F2605" s="385"/>
      <c r="G2605" s="385"/>
      <c r="H2605" s="385">
        <v>2024</v>
      </c>
      <c r="I2605" s="386">
        <v>45384</v>
      </c>
      <c r="J2605" s="30"/>
      <c r="K2605" s="385"/>
      <c r="L2605" s="385"/>
      <c r="M2605" s="385"/>
      <c r="N2605" s="385"/>
      <c r="O2605" s="385"/>
      <c r="P2605" s="385" t="str">
        <f>IFERROR(
    IF(
        OR(ISBLANK(I2605), ISBLANK(L2605)),
        "",
        MAX(
            1,
            IF(
                NETWORKDAYS(I2605, L2605, Holiday_Dates) &lt;= 0,
                1,
                NETWORKDAYS(I2605, L2605, Holiday_Dates) - IF(I2605 = L2605, 0, 1)
            )
        )
    ),
    ""
)</f>
        <v/>
      </c>
      <c r="Q2605" s="385" t="str">
        <f>IF(
    OR(ISBLANK(L2605), ISBLANK(M2605)),
    "",
    MAX(
        1,
        IF(
            NETWORKDAYS(L2605, M2605, Holiday_Dates) &lt;= 0,
            1,
            NETWORKDAYS(L2605, M2605, Holiday_Dates) - IF(L2605 = M2605, 0, 1)
        )
    )
)</f>
        <v/>
      </c>
      <c r="R2605" s="385" t="str">
        <f>IFERROR(
    IF(
        OR(ISBLANK(N2605), AND(ISBLANK(L2605), ISBLANK(M2605))),
        "",
        MAX(
            1,
            IF(
                NETWORKDAYS(IF(NOT(ISBLANK(M2605)), M2605, L2605), N2605, Holiday_Dates) &lt;= 0,
                1,
                NETWORKDAYS(IF(NOT(ISBLANK(M2605)), M2605, L2605), N2605, Holiday_Dates)
                - IF(IF(NOT(ISBLANK(M2605)), M2605, L2605) = N2605, 0, 1)
            )
        )
    ),
    ""
)</f>
        <v/>
      </c>
      <c r="S2605" s="385" t="str">
        <f>IFERROR(
    IF(
        OR(ISBLANK(N2605), ISBLANK(O2605)),
        "",
        MAX(
            1,
            IF(
                NETWORKDAYS(N2605, O2605, Holiday_Dates) &lt;= 0,
                1,
                NETWORKDAYS(N2605, O2605, Holiday_Dates) - IF(N2605 = O2605, 0, 1)
            )
        )
    ),
    ""
)</f>
        <v/>
      </c>
      <c r="T2605" s="385"/>
      <c r="U2605" s="385" t="s">
        <v>672</v>
      </c>
      <c r="V2605" s="385"/>
      <c r="W2605" s="385" t="s">
        <v>1436</v>
      </c>
      <c r="X2605" s="1"/>
    </row>
    <row r="2606" spans="1:24">
      <c r="A2606" s="385" t="s">
        <v>51</v>
      </c>
      <c r="B2606" s="385" t="s">
        <v>537</v>
      </c>
      <c r="C2606" s="385" t="s">
        <v>554</v>
      </c>
      <c r="D2606" s="385" t="s">
        <v>88</v>
      </c>
      <c r="E2606" s="385" t="s">
        <v>32</v>
      </c>
      <c r="F2606" s="385"/>
      <c r="G2606" s="385" t="s">
        <v>133</v>
      </c>
      <c r="H2606" s="385"/>
      <c r="I2606" s="385"/>
      <c r="J2606" s="30"/>
      <c r="K2606" s="385"/>
      <c r="L2606" s="385"/>
      <c r="M2606" s="385"/>
      <c r="N2606" s="385"/>
      <c r="O2606" s="385"/>
      <c r="P2606" s="385" t="str">
        <f>IFERROR(
    IF(
        OR(ISBLANK(I2606), ISBLANK(L2606)),
        "",
        MAX(
            1,
            IF(
                NETWORKDAYS(I2606, L2606, Holiday_Dates) &lt;= 0,
                1,
                NETWORKDAYS(I2606, L2606, Holiday_Dates) - IF(I2606 = L2606, 0, 1)
            )
        )
    ),
    ""
)</f>
        <v/>
      </c>
      <c r="Q2606" s="385" t="str">
        <f>IF(
    OR(ISBLANK(L2606), ISBLANK(M2606)),
    "",
    MAX(
        1,
        IF(
            NETWORKDAYS(L2606, M2606, Holiday_Dates) &lt;= 0,
            1,
            NETWORKDAYS(L2606, M2606, Holiday_Dates) - IF(L2606 = M2606, 0, 1)
        )
    )
)</f>
        <v/>
      </c>
      <c r="R2606" s="385" t="str">
        <f>IFERROR(
    IF(
        OR(ISBLANK(N2606), AND(ISBLANK(L2606), ISBLANK(M2606))),
        "",
        MAX(
            1,
            IF(
                NETWORKDAYS(IF(NOT(ISBLANK(M2606)), M2606, L2606), N2606, Holiday_Dates) &lt;= 0,
                1,
                NETWORKDAYS(IF(NOT(ISBLANK(M2606)), M2606, L2606), N2606, Holiday_Dates)
                - IF(IF(NOT(ISBLANK(M2606)), M2606, L2606) = N2606, 0, 1)
            )
        )
    ),
    ""
)</f>
        <v/>
      </c>
      <c r="S2606" s="385" t="str">
        <f>IFERROR(
    IF(
        OR(ISBLANK(N2606), ISBLANK(O2606)),
        "",
        MAX(
            1,
            IF(
                NETWORKDAYS(N2606, O2606, Holiday_Dates) &lt;= 0,
                1,
                NETWORKDAYS(N2606, O2606, Holiday_Dates) - IF(N2606 = O2606, 0, 1)
            )
        )
    ),
    ""
)</f>
        <v/>
      </c>
      <c r="T2606" s="385"/>
      <c r="U2606" s="385"/>
      <c r="V2606" s="385"/>
      <c r="W2606" s="385" t="s">
        <v>4710</v>
      </c>
      <c r="X2606" s="1"/>
    </row>
    <row r="2607" spans="1:24">
      <c r="A2607" s="385" t="s">
        <v>52</v>
      </c>
      <c r="B2607" s="385" t="s">
        <v>324</v>
      </c>
      <c r="C2607" s="385" t="s">
        <v>4110</v>
      </c>
      <c r="D2607" s="385" t="s">
        <v>89</v>
      </c>
      <c r="E2607" s="385"/>
      <c r="F2607" s="385"/>
      <c r="G2607" s="385"/>
      <c r="H2607" s="385">
        <v>2025</v>
      </c>
      <c r="I2607" s="386">
        <v>45939</v>
      </c>
      <c r="J2607" s="30" t="s">
        <v>5668</v>
      </c>
      <c r="K2607" s="385"/>
      <c r="L2607" s="385"/>
      <c r="M2607" s="385"/>
      <c r="N2607" s="385"/>
      <c r="O2607" s="385"/>
      <c r="P2607" s="385" t="str">
        <f>IFERROR(
    IF(
        OR(ISBLANK(I2607), ISBLANK(L2607)),
        "",
        MAX(
            1,
            IF(
                NETWORKDAYS(I2607, L2607, Holiday_Dates) &lt;= 0,
                1,
                NETWORKDAYS(I2607, L2607, Holiday_Dates) - IF(I2607 = L2607, 0, 1)
            )
        )
    ),
    ""
)</f>
        <v/>
      </c>
      <c r="Q2607" s="385" t="str">
        <f>IF(
    OR(ISBLANK(L2607), ISBLANK(M2607)),
    "",
    MAX(
        1,
        IF(
            NETWORKDAYS(L2607, M2607, Holiday_Dates) &lt;= 0,
            1,
            NETWORKDAYS(L2607, M2607, Holiday_Dates) - IF(L2607 = M2607, 0, 1)
        )
    )
)</f>
        <v/>
      </c>
      <c r="R2607" s="385" t="str">
        <f>IFERROR(
    IF(
        OR(ISBLANK(N2607), AND(ISBLANK(L2607), ISBLANK(M2607))),
        "",
        MAX(
            1,
            IF(
                NETWORKDAYS(IF(NOT(ISBLANK(M2607)), M2607, L2607), N2607, Holiday_Dates) &lt;= 0,
                1,
                NETWORKDAYS(IF(NOT(ISBLANK(M2607)), M2607, L2607), N2607, Holiday_Dates)
                - IF(IF(NOT(ISBLANK(M2607)), M2607, L2607) = N2607, 0, 1)
            )
        )
    ),
    ""
)</f>
        <v/>
      </c>
      <c r="S2607" s="385" t="str">
        <f>IFERROR(
    IF(
        OR(ISBLANK(N2607), ISBLANK(O2607)),
        "",
        MAX(
            1,
            IF(
                NETWORKDAYS(N2607, O2607, Holiday_Dates) &lt;= 0,
                1,
                NETWORKDAYS(N2607, O2607, Holiday_Dates) - IF(N2607 = O2607, 0, 1)
            )
        )
    ),
    ""
)</f>
        <v/>
      </c>
      <c r="T2607" s="385"/>
      <c r="U2607" s="385" t="s">
        <v>672</v>
      </c>
      <c r="V2607" s="385" t="s">
        <v>101</v>
      </c>
      <c r="W2607" s="385" t="s">
        <v>1436</v>
      </c>
      <c r="X2607" s="1"/>
    </row>
    <row r="2608" spans="1:24">
      <c r="A2608" s="385" t="s">
        <v>52</v>
      </c>
      <c r="B2608" s="385" t="s">
        <v>324</v>
      </c>
      <c r="C2608" s="385" t="s">
        <v>4111</v>
      </c>
      <c r="D2608" s="385" t="s">
        <v>89</v>
      </c>
      <c r="E2608" s="385"/>
      <c r="F2608" s="385"/>
      <c r="G2608" s="385"/>
      <c r="H2608" s="385">
        <v>2025</v>
      </c>
      <c r="I2608" s="386">
        <v>45917</v>
      </c>
      <c r="J2608" s="30" t="s">
        <v>5669</v>
      </c>
      <c r="K2608" s="385"/>
      <c r="L2608" s="385"/>
      <c r="M2608" s="385"/>
      <c r="N2608" s="385"/>
      <c r="O2608" s="385"/>
      <c r="P2608" s="385" t="str">
        <f>IFERROR(
    IF(
        OR(ISBLANK(I2608), ISBLANK(L2608)),
        "",
        MAX(
            1,
            IF(
                NETWORKDAYS(I2608, L2608, Holiday_Dates) &lt;= 0,
                1,
                NETWORKDAYS(I2608, L2608, Holiday_Dates) - IF(I2608 = L2608, 0, 1)
            )
        )
    ),
    ""
)</f>
        <v/>
      </c>
      <c r="Q2608" s="385" t="str">
        <f>IF(
    OR(ISBLANK(L2608), ISBLANK(M2608)),
    "",
    MAX(
        1,
        IF(
            NETWORKDAYS(L2608, M2608, Holiday_Dates) &lt;= 0,
            1,
            NETWORKDAYS(L2608, M2608, Holiday_Dates) - IF(L2608 = M2608, 0, 1)
        )
    )
)</f>
        <v/>
      </c>
      <c r="R2608" s="385" t="str">
        <f>IFERROR(
    IF(
        OR(ISBLANK(N2608), AND(ISBLANK(L2608), ISBLANK(M2608))),
        "",
        MAX(
            1,
            IF(
                NETWORKDAYS(IF(NOT(ISBLANK(M2608)), M2608, L2608), N2608, Holiday_Dates) &lt;= 0,
                1,
                NETWORKDAYS(IF(NOT(ISBLANK(M2608)), M2608, L2608), N2608, Holiday_Dates)
                - IF(IF(NOT(ISBLANK(M2608)), M2608, L2608) = N2608, 0, 1)
            )
        )
    ),
    ""
)</f>
        <v/>
      </c>
      <c r="S2608" s="385" t="str">
        <f>IFERROR(
    IF(
        OR(ISBLANK(N2608), ISBLANK(O2608)),
        "",
        MAX(
            1,
            IF(
                NETWORKDAYS(N2608, O2608, Holiday_Dates) &lt;= 0,
                1,
                NETWORKDAYS(N2608, O2608, Holiday_Dates) - IF(N2608 = O2608, 0, 1)
            )
        )
    ),
    ""
)</f>
        <v/>
      </c>
      <c r="T2608" s="385"/>
      <c r="U2608" s="385" t="s">
        <v>672</v>
      </c>
      <c r="V2608" s="385" t="s">
        <v>101</v>
      </c>
      <c r="W2608" s="385" t="s">
        <v>1436</v>
      </c>
      <c r="X2608" s="1"/>
    </row>
    <row r="2609" spans="1:24">
      <c r="A2609" s="385" t="s">
        <v>51</v>
      </c>
      <c r="B2609" s="385" t="s">
        <v>537</v>
      </c>
      <c r="C2609" s="385" t="s">
        <v>380</v>
      </c>
      <c r="D2609" s="385" t="s">
        <v>88</v>
      </c>
      <c r="E2609" s="385" t="s">
        <v>32</v>
      </c>
      <c r="F2609" s="385"/>
      <c r="G2609" s="385" t="s">
        <v>133</v>
      </c>
      <c r="H2609" s="385"/>
      <c r="I2609" s="385"/>
      <c r="J2609" s="30"/>
      <c r="K2609" s="385"/>
      <c r="L2609" s="385"/>
      <c r="M2609" s="385"/>
      <c r="N2609" s="385"/>
      <c r="O2609" s="385"/>
      <c r="P2609" s="385" t="str">
        <f>IFERROR(
    IF(
        OR(ISBLANK(I2609), ISBLANK(L2609)),
        "",
        MAX(
            1,
            IF(
                NETWORKDAYS(I2609, L2609, Holiday_Dates) &lt;= 0,
                1,
                NETWORKDAYS(I2609, L2609, Holiday_Dates) - IF(I2609 = L2609, 0, 1)
            )
        )
    ),
    ""
)</f>
        <v/>
      </c>
      <c r="Q2609" s="385" t="str">
        <f>IF(
    OR(ISBLANK(L2609), ISBLANK(M2609)),
    "",
    MAX(
        1,
        IF(
            NETWORKDAYS(L2609, M2609, Holiday_Dates) &lt;= 0,
            1,
            NETWORKDAYS(L2609, M2609, Holiday_Dates) - IF(L2609 = M2609, 0, 1)
        )
    )
)</f>
        <v/>
      </c>
      <c r="R2609" s="385" t="str">
        <f>IFERROR(
    IF(
        OR(ISBLANK(N2609), AND(ISBLANK(L2609), ISBLANK(M2609))),
        "",
        MAX(
            1,
            IF(
                NETWORKDAYS(IF(NOT(ISBLANK(M2609)), M2609, L2609), N2609, Holiday_Dates) &lt;= 0,
                1,
                NETWORKDAYS(IF(NOT(ISBLANK(M2609)), M2609, L2609), N2609, Holiday_Dates)
                - IF(IF(NOT(ISBLANK(M2609)), M2609, L2609) = N2609, 0, 1)
            )
        )
    ),
    ""
)</f>
        <v/>
      </c>
      <c r="S2609" s="385" t="str">
        <f>IFERROR(
    IF(
        OR(ISBLANK(N2609), ISBLANK(O2609)),
        "",
        MAX(
            1,
            IF(
                NETWORKDAYS(N2609, O2609, Holiday_Dates) &lt;= 0,
                1,
                NETWORKDAYS(N2609, O2609, Holiday_Dates) - IF(N2609 = O2609, 0, 1)
            )
        )
    ),
    ""
)</f>
        <v/>
      </c>
      <c r="T2609" s="385"/>
      <c r="U2609" s="385"/>
      <c r="V2609" s="385"/>
      <c r="W2609" s="385" t="s">
        <v>4710</v>
      </c>
      <c r="X2609" s="1"/>
    </row>
    <row r="2610" spans="1:24">
      <c r="A2610" s="385" t="s">
        <v>52</v>
      </c>
      <c r="B2610" s="385" t="s">
        <v>324</v>
      </c>
      <c r="C2610" s="385" t="s">
        <v>4113</v>
      </c>
      <c r="D2610" s="385" t="s">
        <v>89</v>
      </c>
      <c r="E2610" s="385"/>
      <c r="F2610" s="385"/>
      <c r="G2610" s="385"/>
      <c r="H2610" s="385">
        <v>2025</v>
      </c>
      <c r="I2610" s="386">
        <v>45730</v>
      </c>
      <c r="J2610" s="30" t="s">
        <v>5670</v>
      </c>
      <c r="K2610" s="385"/>
      <c r="L2610" s="385"/>
      <c r="M2610" s="385"/>
      <c r="N2610" s="385"/>
      <c r="O2610" s="385"/>
      <c r="P2610" s="385" t="str">
        <f>IFERROR(
    IF(
        OR(ISBLANK(I2610), ISBLANK(L2610)),
        "",
        MAX(
            1,
            IF(
                NETWORKDAYS(I2610, L2610, Holiday_Dates) &lt;= 0,
                1,
                NETWORKDAYS(I2610, L2610, Holiday_Dates) - IF(I2610 = L2610, 0, 1)
            )
        )
    ),
    ""
)</f>
        <v/>
      </c>
      <c r="Q2610" s="385" t="str">
        <f>IF(
    OR(ISBLANK(L2610), ISBLANK(M2610)),
    "",
    MAX(
        1,
        IF(
            NETWORKDAYS(L2610, M2610, Holiday_Dates) &lt;= 0,
            1,
            NETWORKDAYS(L2610, M2610, Holiday_Dates) - IF(L2610 = M2610, 0, 1)
        )
    )
)</f>
        <v/>
      </c>
      <c r="R2610" s="385" t="str">
        <f>IFERROR(
    IF(
        OR(ISBLANK(N2610), AND(ISBLANK(L2610), ISBLANK(M2610))),
        "",
        MAX(
            1,
            IF(
                NETWORKDAYS(IF(NOT(ISBLANK(M2610)), M2610, L2610), N2610, Holiday_Dates) &lt;= 0,
                1,
                NETWORKDAYS(IF(NOT(ISBLANK(M2610)), M2610, L2610), N2610, Holiday_Dates)
                - IF(IF(NOT(ISBLANK(M2610)), M2610, L2610) = N2610, 0, 1)
            )
        )
    ),
    ""
)</f>
        <v/>
      </c>
      <c r="S2610" s="385" t="str">
        <f>IFERROR(
    IF(
        OR(ISBLANK(N2610), ISBLANK(O2610)),
        "",
        MAX(
            1,
            IF(
                NETWORKDAYS(N2610, O2610, Holiday_Dates) &lt;= 0,
                1,
                NETWORKDAYS(N2610, O2610, Holiday_Dates) - IF(N2610 = O2610, 0, 1)
            )
        )
    ),
    ""
)</f>
        <v/>
      </c>
      <c r="T2610" s="385"/>
      <c r="U2610" s="385" t="s">
        <v>672</v>
      </c>
      <c r="V2610" s="385" t="s">
        <v>101</v>
      </c>
      <c r="W2610" s="385" t="s">
        <v>1436</v>
      </c>
      <c r="X2610" s="1"/>
    </row>
    <row r="2611" spans="1:24">
      <c r="A2611" s="385" t="s">
        <v>51</v>
      </c>
      <c r="B2611" s="385" t="s">
        <v>537</v>
      </c>
      <c r="C2611" s="385" t="s">
        <v>526</v>
      </c>
      <c r="D2611" s="385" t="s">
        <v>88</v>
      </c>
      <c r="E2611" s="385" t="s">
        <v>32</v>
      </c>
      <c r="F2611" s="385"/>
      <c r="G2611" s="385" t="s">
        <v>133</v>
      </c>
      <c r="H2611" s="385"/>
      <c r="I2611" s="385"/>
      <c r="J2611" s="30"/>
      <c r="K2611" s="385"/>
      <c r="L2611" s="385"/>
      <c r="M2611" s="385"/>
      <c r="N2611" s="385"/>
      <c r="O2611" s="385"/>
      <c r="P2611" s="385" t="str">
        <f>IFERROR(
    IF(
        OR(ISBLANK(I2611), ISBLANK(L2611)),
        "",
        MAX(
            1,
            IF(
                NETWORKDAYS(I2611, L2611, Holiday_Dates) &lt;= 0,
                1,
                NETWORKDAYS(I2611, L2611, Holiday_Dates) - IF(I2611 = L2611, 0, 1)
            )
        )
    ),
    ""
)</f>
        <v/>
      </c>
      <c r="Q2611" s="385" t="str">
        <f>IF(
    OR(ISBLANK(L2611), ISBLANK(M2611)),
    "",
    MAX(
        1,
        IF(
            NETWORKDAYS(L2611, M2611, Holiday_Dates) &lt;= 0,
            1,
            NETWORKDAYS(L2611, M2611, Holiday_Dates) - IF(L2611 = M2611, 0, 1)
        )
    )
)</f>
        <v/>
      </c>
      <c r="R2611" s="385" t="str">
        <f>IFERROR(
    IF(
        OR(ISBLANK(N2611), AND(ISBLANK(L2611), ISBLANK(M2611))),
        "",
        MAX(
            1,
            IF(
                NETWORKDAYS(IF(NOT(ISBLANK(M2611)), M2611, L2611), N2611, Holiday_Dates) &lt;= 0,
                1,
                NETWORKDAYS(IF(NOT(ISBLANK(M2611)), M2611, L2611), N2611, Holiday_Dates)
                - IF(IF(NOT(ISBLANK(M2611)), M2611, L2611) = N2611, 0, 1)
            )
        )
    ),
    ""
)</f>
        <v/>
      </c>
      <c r="S2611" s="385" t="str">
        <f>IFERROR(
    IF(
        OR(ISBLANK(N2611), ISBLANK(O2611)),
        "",
        MAX(
            1,
            IF(
                NETWORKDAYS(N2611, O2611, Holiday_Dates) &lt;= 0,
                1,
                NETWORKDAYS(N2611, O2611, Holiday_Dates) - IF(N2611 = O2611, 0, 1)
            )
        )
    ),
    ""
)</f>
        <v/>
      </c>
      <c r="T2611" s="385"/>
      <c r="U2611" s="385"/>
      <c r="V2611" s="385"/>
      <c r="W2611" s="385" t="s">
        <v>4710</v>
      </c>
      <c r="X2611" s="1"/>
    </row>
    <row r="2612" spans="1:24">
      <c r="A2612" s="385" t="s">
        <v>52</v>
      </c>
      <c r="B2612" s="385" t="s">
        <v>324</v>
      </c>
      <c r="C2612" s="385" t="s">
        <v>4115</v>
      </c>
      <c r="D2612" s="385" t="s">
        <v>89</v>
      </c>
      <c r="E2612" s="385"/>
      <c r="F2612" s="385"/>
      <c r="G2612" s="385"/>
      <c r="H2612" s="385">
        <v>2025</v>
      </c>
      <c r="I2612" s="386">
        <v>45727</v>
      </c>
      <c r="J2612" s="30" t="s">
        <v>5671</v>
      </c>
      <c r="K2612" s="385"/>
      <c r="L2612" s="385"/>
      <c r="M2612" s="385"/>
      <c r="N2612" s="385"/>
      <c r="O2612" s="385"/>
      <c r="P2612" s="385" t="str">
        <f>IFERROR(
    IF(
        OR(ISBLANK(I2612), ISBLANK(L2612)),
        "",
        MAX(
            1,
            IF(
                NETWORKDAYS(I2612, L2612, Holiday_Dates) &lt;= 0,
                1,
                NETWORKDAYS(I2612, L2612, Holiday_Dates) - IF(I2612 = L2612, 0, 1)
            )
        )
    ),
    ""
)</f>
        <v/>
      </c>
      <c r="Q2612" s="385" t="str">
        <f>IF(
    OR(ISBLANK(L2612), ISBLANK(M2612)),
    "",
    MAX(
        1,
        IF(
            NETWORKDAYS(L2612, M2612, Holiday_Dates) &lt;= 0,
            1,
            NETWORKDAYS(L2612, M2612, Holiday_Dates) - IF(L2612 = M2612, 0, 1)
        )
    )
)</f>
        <v/>
      </c>
      <c r="R2612" s="385" t="str">
        <f>IFERROR(
    IF(
        OR(ISBLANK(N2612), AND(ISBLANK(L2612), ISBLANK(M2612))),
        "",
        MAX(
            1,
            IF(
                NETWORKDAYS(IF(NOT(ISBLANK(M2612)), M2612, L2612), N2612, Holiday_Dates) &lt;= 0,
                1,
                NETWORKDAYS(IF(NOT(ISBLANK(M2612)), M2612, L2612), N2612, Holiday_Dates)
                - IF(IF(NOT(ISBLANK(M2612)), M2612, L2612) = N2612, 0, 1)
            )
        )
    ),
    ""
)</f>
        <v/>
      </c>
      <c r="S2612" s="385" t="str">
        <f>IFERROR(
    IF(
        OR(ISBLANK(N2612), ISBLANK(O2612)),
        "",
        MAX(
            1,
            IF(
                NETWORKDAYS(N2612, O2612, Holiday_Dates) &lt;= 0,
                1,
                NETWORKDAYS(N2612, O2612, Holiday_Dates) - IF(N2612 = O2612, 0, 1)
            )
        )
    ),
    ""
)</f>
        <v/>
      </c>
      <c r="T2612" s="385"/>
      <c r="U2612" s="385" t="s">
        <v>672</v>
      </c>
      <c r="V2612" s="385" t="s">
        <v>101</v>
      </c>
      <c r="W2612" s="385" t="s">
        <v>1436</v>
      </c>
      <c r="X2612" s="1"/>
    </row>
    <row r="2613" spans="1:24">
      <c r="A2613" s="385" t="s">
        <v>51</v>
      </c>
      <c r="B2613" s="385" t="s">
        <v>537</v>
      </c>
      <c r="C2613" s="385" t="s">
        <v>2347</v>
      </c>
      <c r="D2613" s="385" t="s">
        <v>88</v>
      </c>
      <c r="E2613" s="385" t="s">
        <v>32</v>
      </c>
      <c r="F2613" s="385"/>
      <c r="G2613" s="385" t="s">
        <v>133</v>
      </c>
      <c r="H2613" s="385"/>
      <c r="I2613" s="385"/>
      <c r="J2613" s="30"/>
      <c r="K2613" s="385"/>
      <c r="L2613" s="385"/>
      <c r="M2613" s="385"/>
      <c r="N2613" s="385"/>
      <c r="O2613" s="385"/>
      <c r="P2613" s="385" t="str">
        <f>IFERROR(
    IF(
        OR(ISBLANK(I2613), ISBLANK(L2613)),
        "",
        MAX(
            1,
            IF(
                NETWORKDAYS(I2613, L2613, Holiday_Dates) &lt;= 0,
                1,
                NETWORKDAYS(I2613, L2613, Holiday_Dates) - IF(I2613 = L2613, 0, 1)
            )
        )
    ),
    ""
)</f>
        <v/>
      </c>
      <c r="Q2613" s="385" t="str">
        <f>IF(
    OR(ISBLANK(L2613), ISBLANK(M2613)),
    "",
    MAX(
        1,
        IF(
            NETWORKDAYS(L2613, M2613, Holiday_Dates) &lt;= 0,
            1,
            NETWORKDAYS(L2613, M2613, Holiday_Dates) - IF(L2613 = M2613, 0, 1)
        )
    )
)</f>
        <v/>
      </c>
      <c r="R2613" s="385" t="str">
        <f>IFERROR(
    IF(
        OR(ISBLANK(N2613), AND(ISBLANK(L2613), ISBLANK(M2613))),
        "",
        MAX(
            1,
            IF(
                NETWORKDAYS(IF(NOT(ISBLANK(M2613)), M2613, L2613), N2613, Holiday_Dates) &lt;= 0,
                1,
                NETWORKDAYS(IF(NOT(ISBLANK(M2613)), M2613, L2613), N2613, Holiday_Dates)
                - IF(IF(NOT(ISBLANK(M2613)), M2613, L2613) = N2613, 0, 1)
            )
        )
    ),
    ""
)</f>
        <v/>
      </c>
      <c r="S2613" s="385" t="str">
        <f>IFERROR(
    IF(
        OR(ISBLANK(N2613), ISBLANK(O2613)),
        "",
        MAX(
            1,
            IF(
                NETWORKDAYS(N2613, O2613, Holiday_Dates) &lt;= 0,
                1,
                NETWORKDAYS(N2613, O2613, Holiday_Dates) - IF(N2613 = O2613, 0, 1)
            )
        )
    ),
    ""
)</f>
        <v/>
      </c>
      <c r="T2613" s="385"/>
      <c r="U2613" s="385"/>
      <c r="V2613" s="385"/>
      <c r="W2613" s="385" t="s">
        <v>4710</v>
      </c>
      <c r="X2613" s="1"/>
    </row>
    <row r="2614" spans="1:24">
      <c r="A2614" s="385" t="s">
        <v>52</v>
      </c>
      <c r="B2614" s="385" t="s">
        <v>324</v>
      </c>
      <c r="C2614" s="385" t="s">
        <v>3129</v>
      </c>
      <c r="D2614" s="385" t="s">
        <v>89</v>
      </c>
      <c r="E2614" s="385"/>
      <c r="F2614" s="385"/>
      <c r="G2614" s="385"/>
      <c r="H2614" s="385">
        <v>2025</v>
      </c>
      <c r="I2614" s="386">
        <v>45791</v>
      </c>
      <c r="J2614" s="30" t="s">
        <v>5672</v>
      </c>
      <c r="K2614" s="385"/>
      <c r="L2614" s="385"/>
      <c r="M2614" s="385"/>
      <c r="N2614" s="385"/>
      <c r="O2614" s="385"/>
      <c r="P2614" s="385" t="str">
        <f>IFERROR(
    IF(
        OR(ISBLANK(I2614), ISBLANK(L2614)),
        "",
        MAX(
            1,
            IF(
                NETWORKDAYS(I2614, L2614, Holiday_Dates) &lt;= 0,
                1,
                NETWORKDAYS(I2614, L2614, Holiday_Dates) - IF(I2614 = L2614, 0, 1)
            )
        )
    ),
    ""
)</f>
        <v/>
      </c>
      <c r="Q2614" s="385" t="str">
        <f>IF(
    OR(ISBLANK(L2614), ISBLANK(M2614)),
    "",
    MAX(
        1,
        IF(
            NETWORKDAYS(L2614, M2614, Holiday_Dates) &lt;= 0,
            1,
            NETWORKDAYS(L2614, M2614, Holiday_Dates) - IF(L2614 = M2614, 0, 1)
        )
    )
)</f>
        <v/>
      </c>
      <c r="R2614" s="385" t="str">
        <f>IFERROR(
    IF(
        OR(ISBLANK(N2614), AND(ISBLANK(L2614), ISBLANK(M2614))),
        "",
        MAX(
            1,
            IF(
                NETWORKDAYS(IF(NOT(ISBLANK(M2614)), M2614, L2614), N2614, Holiday_Dates) &lt;= 0,
                1,
                NETWORKDAYS(IF(NOT(ISBLANK(M2614)), M2614, L2614), N2614, Holiday_Dates)
                - IF(IF(NOT(ISBLANK(M2614)), M2614, L2614) = N2614, 0, 1)
            )
        )
    ),
    ""
)</f>
        <v/>
      </c>
      <c r="S2614" s="385" t="str">
        <f>IFERROR(
    IF(
        OR(ISBLANK(N2614), ISBLANK(O2614)),
        "",
        MAX(
            1,
            IF(
                NETWORKDAYS(N2614, O2614, Holiday_Dates) &lt;= 0,
                1,
                NETWORKDAYS(N2614, O2614, Holiday_Dates) - IF(N2614 = O2614, 0, 1)
            )
        )
    ),
    ""
)</f>
        <v/>
      </c>
      <c r="T2614" s="385"/>
      <c r="U2614" s="385" t="s">
        <v>672</v>
      </c>
      <c r="V2614" s="385" t="s">
        <v>1676</v>
      </c>
      <c r="W2614" s="385" t="s">
        <v>1436</v>
      </c>
      <c r="X2614" s="1"/>
    </row>
    <row r="2615" spans="1:24">
      <c r="A2615" s="385" t="s">
        <v>52</v>
      </c>
      <c r="B2615" s="385" t="s">
        <v>324</v>
      </c>
      <c r="C2615" s="385" t="s">
        <v>4117</v>
      </c>
      <c r="D2615" s="385" t="s">
        <v>89</v>
      </c>
      <c r="E2615" s="385"/>
      <c r="F2615" s="385"/>
      <c r="G2615" s="385"/>
      <c r="H2615" s="385">
        <v>2025</v>
      </c>
      <c r="I2615" s="386">
        <v>45791</v>
      </c>
      <c r="J2615" s="30" t="s">
        <v>5673</v>
      </c>
      <c r="K2615" s="385"/>
      <c r="L2615" s="385"/>
      <c r="M2615" s="385"/>
      <c r="N2615" s="385"/>
      <c r="O2615" s="385"/>
      <c r="P2615" s="385" t="str">
        <f>IFERROR(
    IF(
        OR(ISBLANK(I2615), ISBLANK(L2615)),
        "",
        MAX(
            1,
            IF(
                NETWORKDAYS(I2615, L2615, Holiday_Dates) &lt;= 0,
                1,
                NETWORKDAYS(I2615, L2615, Holiday_Dates) - IF(I2615 = L2615, 0, 1)
            )
        )
    ),
    ""
)</f>
        <v/>
      </c>
      <c r="Q2615" s="385" t="str">
        <f>IF(
    OR(ISBLANK(L2615), ISBLANK(M2615)),
    "",
    MAX(
        1,
        IF(
            NETWORKDAYS(L2615, M2615, Holiday_Dates) &lt;= 0,
            1,
            NETWORKDAYS(L2615, M2615, Holiday_Dates) - IF(L2615 = M2615, 0, 1)
        )
    )
)</f>
        <v/>
      </c>
      <c r="R2615" s="385" t="str">
        <f>IFERROR(
    IF(
        OR(ISBLANK(N2615), AND(ISBLANK(L2615), ISBLANK(M2615))),
        "",
        MAX(
            1,
            IF(
                NETWORKDAYS(IF(NOT(ISBLANK(M2615)), M2615, L2615), N2615, Holiday_Dates) &lt;= 0,
                1,
                NETWORKDAYS(IF(NOT(ISBLANK(M2615)), M2615, L2615), N2615, Holiday_Dates)
                - IF(IF(NOT(ISBLANK(M2615)), M2615, L2615) = N2615, 0, 1)
            )
        )
    ),
    ""
)</f>
        <v/>
      </c>
      <c r="S2615" s="385" t="str">
        <f>IFERROR(
    IF(
        OR(ISBLANK(N2615), ISBLANK(O2615)),
        "",
        MAX(
            1,
            IF(
                NETWORKDAYS(N2615, O2615, Holiday_Dates) &lt;= 0,
                1,
                NETWORKDAYS(N2615, O2615, Holiday_Dates) - IF(N2615 = O2615, 0, 1)
            )
        )
    ),
    ""
)</f>
        <v/>
      </c>
      <c r="T2615" s="385"/>
      <c r="U2615" s="385" t="s">
        <v>672</v>
      </c>
      <c r="V2615" s="385" t="s">
        <v>101</v>
      </c>
      <c r="W2615" s="385" t="s">
        <v>1436</v>
      </c>
      <c r="X2615" s="1"/>
    </row>
    <row r="2616" spans="1:24">
      <c r="A2616" s="385" t="s">
        <v>51</v>
      </c>
      <c r="B2616" s="385" t="s">
        <v>537</v>
      </c>
      <c r="C2616" s="385" t="s">
        <v>3777</v>
      </c>
      <c r="D2616" s="385" t="s">
        <v>88</v>
      </c>
      <c r="E2616" s="385" t="s">
        <v>32</v>
      </c>
      <c r="F2616" s="385"/>
      <c r="G2616" s="385" t="s">
        <v>133</v>
      </c>
      <c r="H2616" s="385"/>
      <c r="I2616" s="385"/>
      <c r="J2616" s="30"/>
      <c r="K2616" s="385"/>
      <c r="L2616" s="385"/>
      <c r="M2616" s="385"/>
      <c r="N2616" s="385"/>
      <c r="O2616" s="385"/>
      <c r="P2616" s="385" t="str">
        <f>IFERROR(
    IF(
        OR(ISBLANK(I2616), ISBLANK(L2616)),
        "",
        MAX(
            1,
            IF(
                NETWORKDAYS(I2616, L2616, Holiday_Dates) &lt;= 0,
                1,
                NETWORKDAYS(I2616, L2616, Holiday_Dates) - IF(I2616 = L2616, 0, 1)
            )
        )
    ),
    ""
)</f>
        <v/>
      </c>
      <c r="Q2616" s="385" t="str">
        <f>IF(
    OR(ISBLANK(L2616), ISBLANK(M2616)),
    "",
    MAX(
        1,
        IF(
            NETWORKDAYS(L2616, M2616, Holiday_Dates) &lt;= 0,
            1,
            NETWORKDAYS(L2616, M2616, Holiday_Dates) - IF(L2616 = M2616, 0, 1)
        )
    )
)</f>
        <v/>
      </c>
      <c r="R2616" s="385" t="str">
        <f>IFERROR(
    IF(
        OR(ISBLANK(N2616), AND(ISBLANK(L2616), ISBLANK(M2616))),
        "",
        MAX(
            1,
            IF(
                NETWORKDAYS(IF(NOT(ISBLANK(M2616)), M2616, L2616), N2616, Holiday_Dates) &lt;= 0,
                1,
                NETWORKDAYS(IF(NOT(ISBLANK(M2616)), M2616, L2616), N2616, Holiday_Dates)
                - IF(IF(NOT(ISBLANK(M2616)), M2616, L2616) = N2616, 0, 1)
            )
        )
    ),
    ""
)</f>
        <v/>
      </c>
      <c r="S2616" s="385" t="str">
        <f>IFERROR(
    IF(
        OR(ISBLANK(N2616), ISBLANK(O2616)),
        "",
        MAX(
            1,
            IF(
                NETWORKDAYS(N2616, O2616, Holiday_Dates) &lt;= 0,
                1,
                NETWORKDAYS(N2616, O2616, Holiday_Dates) - IF(N2616 = O2616, 0, 1)
            )
        )
    ),
    ""
)</f>
        <v/>
      </c>
      <c r="T2616" s="385"/>
      <c r="U2616" s="385"/>
      <c r="V2616" s="385"/>
      <c r="W2616" s="385" t="s">
        <v>4710</v>
      </c>
      <c r="X2616" s="1"/>
    </row>
    <row r="2617" spans="1:24">
      <c r="A2617" s="385" t="s">
        <v>52</v>
      </c>
      <c r="B2617" s="385" t="s">
        <v>324</v>
      </c>
      <c r="C2617" s="385" t="s">
        <v>4044</v>
      </c>
      <c r="D2617" s="385" t="s">
        <v>89</v>
      </c>
      <c r="E2617" s="385"/>
      <c r="F2617" s="385"/>
      <c r="G2617" s="385"/>
      <c r="H2617" s="385">
        <v>2025</v>
      </c>
      <c r="I2617" s="386">
        <v>45730</v>
      </c>
      <c r="J2617" s="30" t="s">
        <v>5674</v>
      </c>
      <c r="K2617" s="385"/>
      <c r="L2617" s="385"/>
      <c r="M2617" s="385"/>
      <c r="N2617" s="385"/>
      <c r="O2617" s="385"/>
      <c r="P2617" s="385" t="str">
        <f>IFERROR(
    IF(
        OR(ISBLANK(I2617), ISBLANK(L2617)),
        "",
        MAX(
            1,
            IF(
                NETWORKDAYS(I2617, L2617, Holiday_Dates) &lt;= 0,
                1,
                NETWORKDAYS(I2617, L2617, Holiday_Dates) - IF(I2617 = L2617, 0, 1)
            )
        )
    ),
    ""
)</f>
        <v/>
      </c>
      <c r="Q2617" s="385" t="str">
        <f>IF(
    OR(ISBLANK(L2617), ISBLANK(M2617)),
    "",
    MAX(
        1,
        IF(
            NETWORKDAYS(L2617, M2617, Holiday_Dates) &lt;= 0,
            1,
            NETWORKDAYS(L2617, M2617, Holiday_Dates) - IF(L2617 = M2617, 0, 1)
        )
    )
)</f>
        <v/>
      </c>
      <c r="R2617" s="385" t="str">
        <f>IFERROR(
    IF(
        OR(ISBLANK(N2617), AND(ISBLANK(L2617), ISBLANK(M2617))),
        "",
        MAX(
            1,
            IF(
                NETWORKDAYS(IF(NOT(ISBLANK(M2617)), M2617, L2617), N2617, Holiday_Dates) &lt;= 0,
                1,
                NETWORKDAYS(IF(NOT(ISBLANK(M2617)), M2617, L2617), N2617, Holiday_Dates)
                - IF(IF(NOT(ISBLANK(M2617)), M2617, L2617) = N2617, 0, 1)
            )
        )
    ),
    ""
)</f>
        <v/>
      </c>
      <c r="S2617" s="385" t="str">
        <f>IFERROR(
    IF(
        OR(ISBLANK(N2617), ISBLANK(O2617)),
        "",
        MAX(
            1,
            IF(
                NETWORKDAYS(N2617, O2617, Holiday_Dates) &lt;= 0,
                1,
                NETWORKDAYS(N2617, O2617, Holiday_Dates) - IF(N2617 = O2617, 0, 1)
            )
        )
    ),
    ""
)</f>
        <v/>
      </c>
      <c r="T2617" s="385"/>
      <c r="U2617" s="385" t="s">
        <v>672</v>
      </c>
      <c r="V2617" s="385" t="s">
        <v>101</v>
      </c>
      <c r="W2617" s="385" t="s">
        <v>1436</v>
      </c>
      <c r="X2617" s="1"/>
    </row>
    <row r="2618" spans="1:24">
      <c r="A2618" s="385" t="s">
        <v>52</v>
      </c>
      <c r="B2618" s="385" t="s">
        <v>324</v>
      </c>
      <c r="C2618" s="385" t="s">
        <v>4046</v>
      </c>
      <c r="D2618" s="385" t="s">
        <v>89</v>
      </c>
      <c r="E2618" s="385"/>
      <c r="F2618" s="385"/>
      <c r="G2618" s="385"/>
      <c r="H2618" s="385">
        <v>2025</v>
      </c>
      <c r="I2618" s="386">
        <v>45758</v>
      </c>
      <c r="J2618" s="30" t="s">
        <v>5675</v>
      </c>
      <c r="K2618" s="385"/>
      <c r="L2618" s="385"/>
      <c r="M2618" s="385"/>
      <c r="N2618" s="385"/>
      <c r="O2618" s="385"/>
      <c r="P2618" s="385" t="str">
        <f>IFERROR(
    IF(
        OR(ISBLANK(I2618), ISBLANK(L2618)),
        "",
        MAX(
            1,
            IF(
                NETWORKDAYS(I2618, L2618, Holiday_Dates) &lt;= 0,
                1,
                NETWORKDAYS(I2618, L2618, Holiday_Dates) - IF(I2618 = L2618, 0, 1)
            )
        )
    ),
    ""
)</f>
        <v/>
      </c>
      <c r="Q2618" s="385" t="str">
        <f>IF(
    OR(ISBLANK(L2618), ISBLANK(M2618)),
    "",
    MAX(
        1,
        IF(
            NETWORKDAYS(L2618, M2618, Holiday_Dates) &lt;= 0,
            1,
            NETWORKDAYS(L2618, M2618, Holiday_Dates) - IF(L2618 = M2618, 0, 1)
        )
    )
)</f>
        <v/>
      </c>
      <c r="R2618" s="385" t="str">
        <f>IFERROR(
    IF(
        OR(ISBLANK(N2618), AND(ISBLANK(L2618), ISBLANK(M2618))),
        "",
        MAX(
            1,
            IF(
                NETWORKDAYS(IF(NOT(ISBLANK(M2618)), M2618, L2618), N2618, Holiday_Dates) &lt;= 0,
                1,
                NETWORKDAYS(IF(NOT(ISBLANK(M2618)), M2618, L2618), N2618, Holiday_Dates)
                - IF(IF(NOT(ISBLANK(M2618)), M2618, L2618) = N2618, 0, 1)
            )
        )
    ),
    ""
)</f>
        <v/>
      </c>
      <c r="S2618" s="385" t="str">
        <f>IFERROR(
    IF(
        OR(ISBLANK(N2618), ISBLANK(O2618)),
        "",
        MAX(
            1,
            IF(
                NETWORKDAYS(N2618, O2618, Holiday_Dates) &lt;= 0,
                1,
                NETWORKDAYS(N2618, O2618, Holiday_Dates) - IF(N2618 = O2618, 0, 1)
            )
        )
    ),
    ""
)</f>
        <v/>
      </c>
      <c r="T2618" s="385"/>
      <c r="U2618" s="385" t="s">
        <v>672</v>
      </c>
      <c r="V2618" s="385" t="s">
        <v>101</v>
      </c>
      <c r="W2618" s="385" t="s">
        <v>1436</v>
      </c>
      <c r="X2618" s="1"/>
    </row>
    <row r="2619" spans="1:24">
      <c r="A2619" s="385" t="s">
        <v>52</v>
      </c>
      <c r="B2619" s="385" t="s">
        <v>324</v>
      </c>
      <c r="C2619" s="385" t="s">
        <v>4118</v>
      </c>
      <c r="D2619" s="385" t="s">
        <v>89</v>
      </c>
      <c r="E2619" s="385"/>
      <c r="F2619" s="385"/>
      <c r="G2619" s="385"/>
      <c r="H2619" s="385">
        <v>2025</v>
      </c>
      <c r="I2619" s="386">
        <v>45758</v>
      </c>
      <c r="J2619" s="30" t="s">
        <v>5676</v>
      </c>
      <c r="K2619" s="385"/>
      <c r="L2619" s="385"/>
      <c r="M2619" s="385"/>
      <c r="N2619" s="385"/>
      <c r="O2619" s="385"/>
      <c r="P2619" s="385" t="str">
        <f>IFERROR(
    IF(
        OR(ISBLANK(I2619), ISBLANK(L2619)),
        "",
        MAX(
            1,
            IF(
                NETWORKDAYS(I2619, L2619, Holiday_Dates) &lt;= 0,
                1,
                NETWORKDAYS(I2619, L2619, Holiday_Dates) - IF(I2619 = L2619, 0, 1)
            )
        )
    ),
    ""
)</f>
        <v/>
      </c>
      <c r="Q2619" s="385" t="str">
        <f>IF(
    OR(ISBLANK(L2619), ISBLANK(M2619)),
    "",
    MAX(
        1,
        IF(
            NETWORKDAYS(L2619, M2619, Holiday_Dates) &lt;= 0,
            1,
            NETWORKDAYS(L2619, M2619, Holiday_Dates) - IF(L2619 = M2619, 0, 1)
        )
    )
)</f>
        <v/>
      </c>
      <c r="R2619" s="385" t="str">
        <f>IFERROR(
    IF(
        OR(ISBLANK(N2619), AND(ISBLANK(L2619), ISBLANK(M2619))),
        "",
        MAX(
            1,
            IF(
                NETWORKDAYS(IF(NOT(ISBLANK(M2619)), M2619, L2619), N2619, Holiday_Dates) &lt;= 0,
                1,
                NETWORKDAYS(IF(NOT(ISBLANK(M2619)), M2619, L2619), N2619, Holiday_Dates)
                - IF(IF(NOT(ISBLANK(M2619)), M2619, L2619) = N2619, 0, 1)
            )
        )
    ),
    ""
)</f>
        <v/>
      </c>
      <c r="S2619" s="385" t="str">
        <f>IFERROR(
    IF(
        OR(ISBLANK(N2619), ISBLANK(O2619)),
        "",
        MAX(
            1,
            IF(
                NETWORKDAYS(N2619, O2619, Holiday_Dates) &lt;= 0,
                1,
                NETWORKDAYS(N2619, O2619, Holiday_Dates) - IF(N2619 = O2619, 0, 1)
            )
        )
    ),
    ""
)</f>
        <v/>
      </c>
      <c r="T2619" s="385"/>
      <c r="U2619" s="385" t="s">
        <v>4616</v>
      </c>
      <c r="V2619" s="385" t="s">
        <v>4632</v>
      </c>
      <c r="W2619" s="385" t="s">
        <v>1436</v>
      </c>
      <c r="X2619" s="1"/>
    </row>
    <row r="2620" spans="1:24">
      <c r="A2620" s="385" t="s">
        <v>52</v>
      </c>
      <c r="B2620" s="385" t="s">
        <v>324</v>
      </c>
      <c r="C2620" s="385" t="s">
        <v>444</v>
      </c>
      <c r="D2620" s="385" t="s">
        <v>89</v>
      </c>
      <c r="E2620" s="385"/>
      <c r="F2620" s="385"/>
      <c r="G2620" s="385"/>
      <c r="H2620" s="385">
        <v>2024</v>
      </c>
      <c r="I2620" s="386">
        <v>45567</v>
      </c>
      <c r="J2620" s="30"/>
      <c r="K2620" s="385"/>
      <c r="L2620" s="385"/>
      <c r="M2620" s="385"/>
      <c r="N2620" s="385"/>
      <c r="O2620" s="385"/>
      <c r="P2620" s="385" t="str">
        <f>IFERROR(
    IF(
        OR(ISBLANK(I2620), ISBLANK(L2620)),
        "",
        MAX(
            1,
            IF(
                NETWORKDAYS(I2620, L2620, Holiday_Dates) &lt;= 0,
                1,
                NETWORKDAYS(I2620, L2620, Holiday_Dates) - IF(I2620 = L2620, 0, 1)
            )
        )
    ),
    ""
)</f>
        <v/>
      </c>
      <c r="Q2620" s="385" t="str">
        <f>IF(
    OR(ISBLANK(L2620), ISBLANK(M2620)),
    "",
    MAX(
        1,
        IF(
            NETWORKDAYS(L2620, M2620, Holiday_Dates) &lt;= 0,
            1,
            NETWORKDAYS(L2620, M2620, Holiday_Dates) - IF(L2620 = M2620, 0, 1)
        )
    )
)</f>
        <v/>
      </c>
      <c r="R2620" s="385" t="str">
        <f>IFERROR(
    IF(
        OR(ISBLANK(N2620), AND(ISBLANK(L2620), ISBLANK(M2620))),
        "",
        MAX(
            1,
            IF(
                NETWORKDAYS(IF(NOT(ISBLANK(M2620)), M2620, L2620), N2620, Holiday_Dates) &lt;= 0,
                1,
                NETWORKDAYS(IF(NOT(ISBLANK(M2620)), M2620, L2620), N2620, Holiday_Dates)
                - IF(IF(NOT(ISBLANK(M2620)), M2620, L2620) = N2620, 0, 1)
            )
        )
    ),
    ""
)</f>
        <v/>
      </c>
      <c r="S2620" s="385" t="str">
        <f>IFERROR(
    IF(
        OR(ISBLANK(N2620), ISBLANK(O2620)),
        "",
        MAX(
            1,
            IF(
                NETWORKDAYS(N2620, O2620, Holiday_Dates) &lt;= 0,
                1,
                NETWORKDAYS(N2620, O2620, Holiday_Dates) - IF(N2620 = O2620, 0, 1)
            )
        )
    ),
    ""
)</f>
        <v/>
      </c>
      <c r="T2620" s="385"/>
      <c r="U2620" s="385" t="s">
        <v>672</v>
      </c>
      <c r="V2620" s="385" t="s">
        <v>101</v>
      </c>
      <c r="W2620" s="385" t="s">
        <v>1436</v>
      </c>
      <c r="X2620" s="1"/>
    </row>
    <row r="2621" spans="1:24">
      <c r="A2621" s="385" t="s">
        <v>51</v>
      </c>
      <c r="B2621" s="385" t="s">
        <v>537</v>
      </c>
      <c r="C2621" s="385" t="s">
        <v>1033</v>
      </c>
      <c r="D2621" s="385" t="s">
        <v>88</v>
      </c>
      <c r="E2621" s="385" t="s">
        <v>32</v>
      </c>
      <c r="F2621" s="385"/>
      <c r="G2621" s="385" t="s">
        <v>133</v>
      </c>
      <c r="H2621" s="385"/>
      <c r="I2621" s="385"/>
      <c r="J2621" s="30"/>
      <c r="K2621" s="385"/>
      <c r="L2621" s="385"/>
      <c r="M2621" s="385"/>
      <c r="N2621" s="385"/>
      <c r="O2621" s="385"/>
      <c r="P2621" s="385" t="str">
        <f>IFERROR(
    IF(
        OR(ISBLANK(I2621), ISBLANK(L2621)),
        "",
        MAX(
            1,
            IF(
                NETWORKDAYS(I2621, L2621, Holiday_Dates) &lt;= 0,
                1,
                NETWORKDAYS(I2621, L2621, Holiday_Dates) - IF(I2621 = L2621, 0, 1)
            )
        )
    ),
    ""
)</f>
        <v/>
      </c>
      <c r="Q2621" s="385" t="str">
        <f>IF(
    OR(ISBLANK(L2621), ISBLANK(M2621)),
    "",
    MAX(
        1,
        IF(
            NETWORKDAYS(L2621, M2621, Holiday_Dates) &lt;= 0,
            1,
            NETWORKDAYS(L2621, M2621, Holiday_Dates) - IF(L2621 = M2621, 0, 1)
        )
    )
)</f>
        <v/>
      </c>
      <c r="R2621" s="385" t="str">
        <f>IFERROR(
    IF(
        OR(ISBLANK(N2621), AND(ISBLANK(L2621), ISBLANK(M2621))),
        "",
        MAX(
            1,
            IF(
                NETWORKDAYS(IF(NOT(ISBLANK(M2621)), M2621, L2621), N2621, Holiday_Dates) &lt;= 0,
                1,
                NETWORKDAYS(IF(NOT(ISBLANK(M2621)), M2621, L2621), N2621, Holiday_Dates)
                - IF(IF(NOT(ISBLANK(M2621)), M2621, L2621) = N2621, 0, 1)
            )
        )
    ),
    ""
)</f>
        <v/>
      </c>
      <c r="S2621" s="385" t="str">
        <f>IFERROR(
    IF(
        OR(ISBLANK(N2621), ISBLANK(O2621)),
        "",
        MAX(
            1,
            IF(
                NETWORKDAYS(N2621, O2621, Holiday_Dates) &lt;= 0,
                1,
                NETWORKDAYS(N2621, O2621, Holiday_Dates) - IF(N2621 = O2621, 0, 1)
            )
        )
    ),
    ""
)</f>
        <v/>
      </c>
      <c r="T2621" s="385"/>
      <c r="U2621" s="385"/>
      <c r="V2621" s="385"/>
      <c r="W2621" s="385" t="s">
        <v>4710</v>
      </c>
      <c r="X2621" s="1"/>
    </row>
    <row r="2622" spans="1:24">
      <c r="A2622" s="385" t="s">
        <v>52</v>
      </c>
      <c r="B2622" s="385" t="s">
        <v>324</v>
      </c>
      <c r="C2622" s="385" t="s">
        <v>4121</v>
      </c>
      <c r="D2622" s="385" t="s">
        <v>89</v>
      </c>
      <c r="E2622" s="385"/>
      <c r="F2622" s="385"/>
      <c r="G2622" s="385"/>
      <c r="H2622" s="385">
        <v>2025</v>
      </c>
      <c r="I2622" s="386">
        <v>45884</v>
      </c>
      <c r="J2622" s="30" t="s">
        <v>5677</v>
      </c>
      <c r="K2622" s="385"/>
      <c r="L2622" s="385"/>
      <c r="M2622" s="385"/>
      <c r="N2622" s="385"/>
      <c r="O2622" s="385"/>
      <c r="P2622" s="385" t="str">
        <f>IFERROR(
    IF(
        OR(ISBLANK(I2622), ISBLANK(L2622)),
        "",
        MAX(
            1,
            IF(
                NETWORKDAYS(I2622, L2622, Holiday_Dates) &lt;= 0,
                1,
                NETWORKDAYS(I2622, L2622, Holiday_Dates) - IF(I2622 = L2622, 0, 1)
            )
        )
    ),
    ""
)</f>
        <v/>
      </c>
      <c r="Q2622" s="385" t="str">
        <f>IF(
    OR(ISBLANK(L2622), ISBLANK(M2622)),
    "",
    MAX(
        1,
        IF(
            NETWORKDAYS(L2622, M2622, Holiday_Dates) &lt;= 0,
            1,
            NETWORKDAYS(L2622, M2622, Holiday_Dates) - IF(L2622 = M2622, 0, 1)
        )
    )
)</f>
        <v/>
      </c>
      <c r="R2622" s="385" t="str">
        <f>IFERROR(
    IF(
        OR(ISBLANK(N2622), AND(ISBLANK(L2622), ISBLANK(M2622))),
        "",
        MAX(
            1,
            IF(
                NETWORKDAYS(IF(NOT(ISBLANK(M2622)), M2622, L2622), N2622, Holiday_Dates) &lt;= 0,
                1,
                NETWORKDAYS(IF(NOT(ISBLANK(M2622)), M2622, L2622), N2622, Holiday_Dates)
                - IF(IF(NOT(ISBLANK(M2622)), M2622, L2622) = N2622, 0, 1)
            )
        )
    ),
    ""
)</f>
        <v/>
      </c>
      <c r="S2622" s="385" t="str">
        <f>IFERROR(
    IF(
        OR(ISBLANK(N2622), ISBLANK(O2622)),
        "",
        MAX(
            1,
            IF(
                NETWORKDAYS(N2622, O2622, Holiday_Dates) &lt;= 0,
                1,
                NETWORKDAYS(N2622, O2622, Holiday_Dates) - IF(N2622 = O2622, 0, 1)
            )
        )
    ),
    ""
)</f>
        <v/>
      </c>
      <c r="T2622" s="385"/>
      <c r="U2622" s="385" t="s">
        <v>672</v>
      </c>
      <c r="V2622" s="385" t="s">
        <v>101</v>
      </c>
      <c r="W2622" s="385" t="s">
        <v>1436</v>
      </c>
      <c r="X2622" s="1"/>
    </row>
    <row r="2623" spans="1:24">
      <c r="A2623" s="385" t="s">
        <v>52</v>
      </c>
      <c r="B2623" s="385" t="s">
        <v>324</v>
      </c>
      <c r="C2623" s="385" t="s">
        <v>4122</v>
      </c>
      <c r="D2623" s="385" t="s">
        <v>89</v>
      </c>
      <c r="E2623" s="385"/>
      <c r="F2623" s="385"/>
      <c r="G2623" s="385"/>
      <c r="H2623" s="385">
        <v>2024</v>
      </c>
      <c r="I2623" s="386">
        <v>45567</v>
      </c>
      <c r="J2623" s="30"/>
      <c r="K2623" s="385"/>
      <c r="L2623" s="385"/>
      <c r="M2623" s="385"/>
      <c r="N2623" s="385"/>
      <c r="O2623" s="385"/>
      <c r="P2623" s="385" t="str">
        <f>IFERROR(
    IF(
        OR(ISBLANK(I2623), ISBLANK(L2623)),
        "",
        MAX(
            1,
            IF(
                NETWORKDAYS(I2623, L2623, Holiday_Dates) &lt;= 0,
                1,
                NETWORKDAYS(I2623, L2623, Holiday_Dates) - IF(I2623 = L2623, 0, 1)
            )
        )
    ),
    ""
)</f>
        <v/>
      </c>
      <c r="Q2623" s="385" t="str">
        <f>IF(
    OR(ISBLANK(L2623), ISBLANK(M2623)),
    "",
    MAX(
        1,
        IF(
            NETWORKDAYS(L2623, M2623, Holiday_Dates) &lt;= 0,
            1,
            NETWORKDAYS(L2623, M2623, Holiday_Dates) - IF(L2623 = M2623, 0, 1)
        )
    )
)</f>
        <v/>
      </c>
      <c r="R2623" s="385" t="str">
        <f>IFERROR(
    IF(
        OR(ISBLANK(N2623), AND(ISBLANK(L2623), ISBLANK(M2623))),
        "",
        MAX(
            1,
            IF(
                NETWORKDAYS(IF(NOT(ISBLANK(M2623)), M2623, L2623), N2623, Holiday_Dates) &lt;= 0,
                1,
                NETWORKDAYS(IF(NOT(ISBLANK(M2623)), M2623, L2623), N2623, Holiday_Dates)
                - IF(IF(NOT(ISBLANK(M2623)), M2623, L2623) = N2623, 0, 1)
            )
        )
    ),
    ""
)</f>
        <v/>
      </c>
      <c r="S2623" s="385" t="str">
        <f>IFERROR(
    IF(
        OR(ISBLANK(N2623), ISBLANK(O2623)),
        "",
        MAX(
            1,
            IF(
                NETWORKDAYS(N2623, O2623, Holiday_Dates) &lt;= 0,
                1,
                NETWORKDAYS(N2623, O2623, Holiday_Dates) - IF(N2623 = O2623, 0, 1)
            )
        )
    ),
    ""
)</f>
        <v/>
      </c>
      <c r="T2623" s="385"/>
      <c r="U2623" s="385" t="s">
        <v>4</v>
      </c>
      <c r="V2623" s="385" t="s">
        <v>101</v>
      </c>
      <c r="W2623" s="385" t="s">
        <v>1436</v>
      </c>
      <c r="X2623" s="1"/>
    </row>
    <row r="2624" spans="1:24">
      <c r="A2624" s="385" t="s">
        <v>52</v>
      </c>
      <c r="B2624" s="385" t="s">
        <v>324</v>
      </c>
      <c r="C2624" s="385" t="s">
        <v>881</v>
      </c>
      <c r="D2624" s="385" t="s">
        <v>89</v>
      </c>
      <c r="E2624" s="385"/>
      <c r="F2624" s="385"/>
      <c r="G2624" s="385"/>
      <c r="H2624" s="385">
        <v>2024</v>
      </c>
      <c r="I2624" s="386">
        <v>45567</v>
      </c>
      <c r="J2624" s="30"/>
      <c r="K2624" s="385"/>
      <c r="L2624" s="385"/>
      <c r="M2624" s="385"/>
      <c r="N2624" s="385"/>
      <c r="O2624" s="385"/>
      <c r="P2624" s="385" t="str">
        <f>IFERROR(
    IF(
        OR(ISBLANK(I2624), ISBLANK(L2624)),
        "",
        MAX(
            1,
            IF(
                NETWORKDAYS(I2624, L2624, Holiday_Dates) &lt;= 0,
                1,
                NETWORKDAYS(I2624, L2624, Holiday_Dates) - IF(I2624 = L2624, 0, 1)
            )
        )
    ),
    ""
)</f>
        <v/>
      </c>
      <c r="Q2624" s="385" t="str">
        <f>IF(
    OR(ISBLANK(L2624), ISBLANK(M2624)),
    "",
    MAX(
        1,
        IF(
            NETWORKDAYS(L2624, M2624, Holiday_Dates) &lt;= 0,
            1,
            NETWORKDAYS(L2624, M2624, Holiday_Dates) - IF(L2624 = M2624, 0, 1)
        )
    )
)</f>
        <v/>
      </c>
      <c r="R2624" s="385" t="str">
        <f>IFERROR(
    IF(
        OR(ISBLANK(N2624), AND(ISBLANK(L2624), ISBLANK(M2624))),
        "",
        MAX(
            1,
            IF(
                NETWORKDAYS(IF(NOT(ISBLANK(M2624)), M2624, L2624), N2624, Holiday_Dates) &lt;= 0,
                1,
                NETWORKDAYS(IF(NOT(ISBLANK(M2624)), M2624, L2624), N2624, Holiday_Dates)
                - IF(IF(NOT(ISBLANK(M2624)), M2624, L2624) = N2624, 0, 1)
            )
        )
    ),
    ""
)</f>
        <v/>
      </c>
      <c r="S2624" s="385" t="str">
        <f>IFERROR(
    IF(
        OR(ISBLANK(N2624), ISBLANK(O2624)),
        "",
        MAX(
            1,
            IF(
                NETWORKDAYS(N2624, O2624, Holiday_Dates) &lt;= 0,
                1,
                NETWORKDAYS(N2624, O2624, Holiday_Dates) - IF(N2624 = O2624, 0, 1)
            )
        )
    ),
    ""
)</f>
        <v/>
      </c>
      <c r="T2624" s="385"/>
      <c r="U2624" s="385" t="s">
        <v>4</v>
      </c>
      <c r="V2624" s="385" t="s">
        <v>101</v>
      </c>
      <c r="W2624" s="385" t="s">
        <v>1436</v>
      </c>
      <c r="X2624" s="1"/>
    </row>
    <row r="2625" spans="1:24">
      <c r="A2625" s="385" t="s">
        <v>51</v>
      </c>
      <c r="B2625" s="385" t="s">
        <v>537</v>
      </c>
      <c r="C2625" s="385" t="s">
        <v>3778</v>
      </c>
      <c r="D2625" s="385" t="s">
        <v>88</v>
      </c>
      <c r="E2625" s="385" t="s">
        <v>32</v>
      </c>
      <c r="F2625" s="385"/>
      <c r="G2625" s="385" t="s">
        <v>133</v>
      </c>
      <c r="H2625" s="385"/>
      <c r="I2625" s="385"/>
      <c r="J2625" s="30"/>
      <c r="K2625" s="385"/>
      <c r="L2625" s="385"/>
      <c r="M2625" s="385"/>
      <c r="N2625" s="385"/>
      <c r="O2625" s="385"/>
      <c r="P2625" s="385" t="str">
        <f>IFERROR(
    IF(
        OR(ISBLANK(I2625), ISBLANK(L2625)),
        "",
        MAX(
            1,
            IF(
                NETWORKDAYS(I2625, L2625, Holiday_Dates) &lt;= 0,
                1,
                NETWORKDAYS(I2625, L2625, Holiday_Dates) - IF(I2625 = L2625, 0, 1)
            )
        )
    ),
    ""
)</f>
        <v/>
      </c>
      <c r="Q2625" s="385" t="str">
        <f>IF(
    OR(ISBLANK(L2625), ISBLANK(M2625)),
    "",
    MAX(
        1,
        IF(
            NETWORKDAYS(L2625, M2625, Holiday_Dates) &lt;= 0,
            1,
            NETWORKDAYS(L2625, M2625, Holiday_Dates) - IF(L2625 = M2625, 0, 1)
        )
    )
)</f>
        <v/>
      </c>
      <c r="R2625" s="385" t="str">
        <f>IFERROR(
    IF(
        OR(ISBLANK(N2625), AND(ISBLANK(L2625), ISBLANK(M2625))),
        "",
        MAX(
            1,
            IF(
                NETWORKDAYS(IF(NOT(ISBLANK(M2625)), M2625, L2625), N2625, Holiday_Dates) &lt;= 0,
                1,
                NETWORKDAYS(IF(NOT(ISBLANK(M2625)), M2625, L2625), N2625, Holiday_Dates)
                - IF(IF(NOT(ISBLANK(M2625)), M2625, L2625) = N2625, 0, 1)
            )
        )
    ),
    ""
)</f>
        <v/>
      </c>
      <c r="S2625" s="385" t="str">
        <f>IFERROR(
    IF(
        OR(ISBLANK(N2625), ISBLANK(O2625)),
        "",
        MAX(
            1,
            IF(
                NETWORKDAYS(N2625, O2625, Holiday_Dates) &lt;= 0,
                1,
                NETWORKDAYS(N2625, O2625, Holiday_Dates) - IF(N2625 = O2625, 0, 1)
            )
        )
    ),
    ""
)</f>
        <v/>
      </c>
      <c r="T2625" s="385"/>
      <c r="U2625" s="385"/>
      <c r="V2625" s="385"/>
      <c r="W2625" s="385" t="s">
        <v>4710</v>
      </c>
      <c r="X2625" s="1"/>
    </row>
    <row r="2626" spans="1:24">
      <c r="A2626" s="385" t="s">
        <v>51</v>
      </c>
      <c r="B2626" s="385" t="s">
        <v>416</v>
      </c>
      <c r="C2626" s="385" t="s">
        <v>2647</v>
      </c>
      <c r="D2626" s="385" t="s">
        <v>88</v>
      </c>
      <c r="E2626" s="385" t="s">
        <v>33</v>
      </c>
      <c r="F2626" s="385"/>
      <c r="G2626" s="385" t="s">
        <v>239</v>
      </c>
      <c r="H2626" s="385"/>
      <c r="I2626" s="385"/>
      <c r="J2626" s="30"/>
      <c r="K2626" s="385"/>
      <c r="L2626" s="385"/>
      <c r="M2626" s="385"/>
      <c r="N2626" s="385"/>
      <c r="O2626" s="385"/>
      <c r="P2626" s="385" t="str">
        <f>IFERROR(
    IF(
        OR(ISBLANK(I2626), ISBLANK(L2626)),
        "",
        MAX(
            1,
            IF(
                NETWORKDAYS(I2626, L2626, Holiday_Dates) &lt;= 0,
                1,
                NETWORKDAYS(I2626, L2626, Holiday_Dates) - IF(I2626 = L2626, 0, 1)
            )
        )
    ),
    ""
)</f>
        <v/>
      </c>
      <c r="Q2626" s="385" t="str">
        <f>IF(
    OR(ISBLANK(L2626), ISBLANK(M2626)),
    "",
    MAX(
        1,
        IF(
            NETWORKDAYS(L2626, M2626, Holiday_Dates) &lt;= 0,
            1,
            NETWORKDAYS(L2626, M2626, Holiday_Dates) - IF(L2626 = M2626, 0, 1)
        )
    )
)</f>
        <v/>
      </c>
      <c r="R2626" s="385" t="str">
        <f>IFERROR(
    IF(
        OR(ISBLANK(N2626), AND(ISBLANK(L2626), ISBLANK(M2626))),
        "",
        MAX(
            1,
            IF(
                NETWORKDAYS(IF(NOT(ISBLANK(M2626)), M2626, L2626), N2626, Holiday_Dates) &lt;= 0,
                1,
                NETWORKDAYS(IF(NOT(ISBLANK(M2626)), M2626, L2626), N2626, Holiday_Dates)
                - IF(IF(NOT(ISBLANK(M2626)), M2626, L2626) = N2626, 0, 1)
            )
        )
    ),
    ""
)</f>
        <v/>
      </c>
      <c r="S2626" s="385" t="str">
        <f>IFERROR(
    IF(
        OR(ISBLANK(N2626), ISBLANK(O2626)),
        "",
        MAX(
            1,
            IF(
                NETWORKDAYS(N2626, O2626, Holiday_Dates) &lt;= 0,
                1,
                NETWORKDAYS(N2626, O2626, Holiday_Dates) - IF(N2626 = O2626, 0, 1)
            )
        )
    ),
    ""
)</f>
        <v/>
      </c>
      <c r="T2626" s="385"/>
      <c r="U2626" s="385"/>
      <c r="V2626" s="385"/>
      <c r="W2626" s="385" t="s">
        <v>4710</v>
      </c>
      <c r="X2626" s="1"/>
    </row>
    <row r="2627" spans="1:24">
      <c r="A2627" s="385" t="s">
        <v>52</v>
      </c>
      <c r="B2627" s="385" t="s">
        <v>324</v>
      </c>
      <c r="C2627" s="385" t="s">
        <v>4126</v>
      </c>
      <c r="D2627" s="385" t="s">
        <v>89</v>
      </c>
      <c r="E2627" s="385"/>
      <c r="F2627" s="385"/>
      <c r="G2627" s="385"/>
      <c r="H2627" s="385">
        <v>2024</v>
      </c>
      <c r="I2627" s="386">
        <v>45448</v>
      </c>
      <c r="J2627" s="30"/>
      <c r="K2627" s="385"/>
      <c r="L2627" s="385"/>
      <c r="M2627" s="385"/>
      <c r="N2627" s="385"/>
      <c r="O2627" s="385"/>
      <c r="P2627" s="385" t="str">
        <f>IFERROR(
    IF(
        OR(ISBLANK(I2627), ISBLANK(L2627)),
        "",
        MAX(
            1,
            IF(
                NETWORKDAYS(I2627, L2627, Holiday_Dates) &lt;= 0,
                1,
                NETWORKDAYS(I2627, L2627, Holiday_Dates) - IF(I2627 = L2627, 0, 1)
            )
        )
    ),
    ""
)</f>
        <v/>
      </c>
      <c r="Q2627" s="385" t="str">
        <f>IF(
    OR(ISBLANK(L2627), ISBLANK(M2627)),
    "",
    MAX(
        1,
        IF(
            NETWORKDAYS(L2627, M2627, Holiday_Dates) &lt;= 0,
            1,
            NETWORKDAYS(L2627, M2627, Holiday_Dates) - IF(L2627 = M2627, 0, 1)
        )
    )
)</f>
        <v/>
      </c>
      <c r="R2627" s="385" t="str">
        <f>IFERROR(
    IF(
        OR(ISBLANK(N2627), AND(ISBLANK(L2627), ISBLANK(M2627))),
        "",
        MAX(
            1,
            IF(
                NETWORKDAYS(IF(NOT(ISBLANK(M2627)), M2627, L2627), N2627, Holiday_Dates) &lt;= 0,
                1,
                NETWORKDAYS(IF(NOT(ISBLANK(M2627)), M2627, L2627), N2627, Holiday_Dates)
                - IF(IF(NOT(ISBLANK(M2627)), M2627, L2627) = N2627, 0, 1)
            )
        )
    ),
    ""
)</f>
        <v/>
      </c>
      <c r="S2627" s="385" t="str">
        <f>IFERROR(
    IF(
        OR(ISBLANK(N2627), ISBLANK(O2627)),
        "",
        MAX(
            1,
            IF(
                NETWORKDAYS(N2627, O2627, Holiday_Dates) &lt;= 0,
                1,
                NETWORKDAYS(N2627, O2627, Holiday_Dates) - IF(N2627 = O2627, 0, 1)
            )
        )
    ),
    ""
)</f>
        <v/>
      </c>
      <c r="T2627" s="385"/>
      <c r="U2627" s="385" t="s">
        <v>672</v>
      </c>
      <c r="V2627" s="385"/>
      <c r="W2627" s="385" t="s">
        <v>1436</v>
      </c>
      <c r="X2627" s="1"/>
    </row>
    <row r="2628" spans="1:24">
      <c r="A2628" s="385" t="s">
        <v>52</v>
      </c>
      <c r="B2628" s="385" t="s">
        <v>324</v>
      </c>
      <c r="C2628" s="385" t="s">
        <v>380</v>
      </c>
      <c r="D2628" s="385" t="s">
        <v>89</v>
      </c>
      <c r="E2628" s="385"/>
      <c r="F2628" s="385"/>
      <c r="G2628" s="385"/>
      <c r="H2628" s="385">
        <v>2025</v>
      </c>
      <c r="I2628" s="386">
        <v>45884</v>
      </c>
      <c r="J2628" s="30" t="s">
        <v>5678</v>
      </c>
      <c r="K2628" s="385"/>
      <c r="L2628" s="385"/>
      <c r="M2628" s="385"/>
      <c r="N2628" s="385"/>
      <c r="O2628" s="385"/>
      <c r="P2628" s="385" t="str">
        <f>IFERROR(
    IF(
        OR(ISBLANK(I2628), ISBLANK(L2628)),
        "",
        MAX(
            1,
            IF(
                NETWORKDAYS(I2628, L2628, Holiday_Dates) &lt;= 0,
                1,
                NETWORKDAYS(I2628, L2628, Holiday_Dates) - IF(I2628 = L2628, 0, 1)
            )
        )
    ),
    ""
)</f>
        <v/>
      </c>
      <c r="Q2628" s="385" t="str">
        <f>IF(
    OR(ISBLANK(L2628), ISBLANK(M2628)),
    "",
    MAX(
        1,
        IF(
            NETWORKDAYS(L2628, M2628, Holiday_Dates) &lt;= 0,
            1,
            NETWORKDAYS(L2628, M2628, Holiday_Dates) - IF(L2628 = M2628, 0, 1)
        )
    )
)</f>
        <v/>
      </c>
      <c r="R2628" s="385" t="str">
        <f>IFERROR(
    IF(
        OR(ISBLANK(N2628), AND(ISBLANK(L2628), ISBLANK(M2628))),
        "",
        MAX(
            1,
            IF(
                NETWORKDAYS(IF(NOT(ISBLANK(M2628)), M2628, L2628), N2628, Holiday_Dates) &lt;= 0,
                1,
                NETWORKDAYS(IF(NOT(ISBLANK(M2628)), M2628, L2628), N2628, Holiday_Dates)
                - IF(IF(NOT(ISBLANK(M2628)), M2628, L2628) = N2628, 0, 1)
            )
        )
    ),
    ""
)</f>
        <v/>
      </c>
      <c r="S2628" s="385" t="str">
        <f>IFERROR(
    IF(
        OR(ISBLANK(N2628), ISBLANK(O2628)),
        "",
        MAX(
            1,
            IF(
                NETWORKDAYS(N2628, O2628, Holiday_Dates) &lt;= 0,
                1,
                NETWORKDAYS(N2628, O2628, Holiday_Dates) - IF(N2628 = O2628, 0, 1)
            )
        )
    ),
    ""
)</f>
        <v/>
      </c>
      <c r="T2628" s="385"/>
      <c r="U2628" s="385" t="s">
        <v>672</v>
      </c>
      <c r="V2628" s="385" t="s">
        <v>1676</v>
      </c>
      <c r="W2628" s="385" t="s">
        <v>1436</v>
      </c>
      <c r="X2628" s="1"/>
    </row>
    <row r="2629" spans="1:24">
      <c r="A2629" s="385" t="s">
        <v>52</v>
      </c>
      <c r="B2629" s="385" t="s">
        <v>324</v>
      </c>
      <c r="C2629" s="385" t="s">
        <v>2345</v>
      </c>
      <c r="D2629" s="385" t="s">
        <v>89</v>
      </c>
      <c r="E2629" s="385"/>
      <c r="F2629" s="385"/>
      <c r="G2629" s="385"/>
      <c r="H2629" s="385">
        <v>2024</v>
      </c>
      <c r="I2629" s="386">
        <v>45567</v>
      </c>
      <c r="J2629" s="30"/>
      <c r="K2629" s="385"/>
      <c r="L2629" s="385"/>
      <c r="M2629" s="385"/>
      <c r="N2629" s="385"/>
      <c r="O2629" s="385"/>
      <c r="P2629" s="385" t="str">
        <f>IFERROR(
    IF(
        OR(ISBLANK(I2629), ISBLANK(L2629)),
        "",
        MAX(
            1,
            IF(
                NETWORKDAYS(I2629, L2629, Holiday_Dates) &lt;= 0,
                1,
                NETWORKDAYS(I2629, L2629, Holiday_Dates) - IF(I2629 = L2629, 0, 1)
            )
        )
    ),
    ""
)</f>
        <v/>
      </c>
      <c r="Q2629" s="385" t="str">
        <f>IF(
    OR(ISBLANK(L2629), ISBLANK(M2629)),
    "",
    MAX(
        1,
        IF(
            NETWORKDAYS(L2629, M2629, Holiday_Dates) &lt;= 0,
            1,
            NETWORKDAYS(L2629, M2629, Holiday_Dates) - IF(L2629 = M2629, 0, 1)
        )
    )
)</f>
        <v/>
      </c>
      <c r="R2629" s="385" t="str">
        <f>IFERROR(
    IF(
        OR(ISBLANK(N2629), AND(ISBLANK(L2629), ISBLANK(M2629))),
        "",
        MAX(
            1,
            IF(
                NETWORKDAYS(IF(NOT(ISBLANK(M2629)), M2629, L2629), N2629, Holiday_Dates) &lt;= 0,
                1,
                NETWORKDAYS(IF(NOT(ISBLANK(M2629)), M2629, L2629), N2629, Holiday_Dates)
                - IF(IF(NOT(ISBLANK(M2629)), M2629, L2629) = N2629, 0, 1)
            )
        )
    ),
    ""
)</f>
        <v/>
      </c>
      <c r="S2629" s="385" t="str">
        <f>IFERROR(
    IF(
        OR(ISBLANK(N2629), ISBLANK(O2629)),
        "",
        MAX(
            1,
            IF(
                NETWORKDAYS(N2629, O2629, Holiday_Dates) &lt;= 0,
                1,
                NETWORKDAYS(N2629, O2629, Holiday_Dates) - IF(N2629 = O2629, 0, 1)
            )
        )
    ),
    ""
)</f>
        <v/>
      </c>
      <c r="T2629" s="385"/>
      <c r="U2629" s="385" t="s">
        <v>4</v>
      </c>
      <c r="V2629" s="385" t="s">
        <v>101</v>
      </c>
      <c r="W2629" s="385" t="s">
        <v>1436</v>
      </c>
      <c r="X2629" s="1"/>
    </row>
    <row r="2630" spans="1:24">
      <c r="A2630" s="385" t="s">
        <v>51</v>
      </c>
      <c r="B2630" s="385" t="s">
        <v>416</v>
      </c>
      <c r="C2630" s="385" t="s">
        <v>3817</v>
      </c>
      <c r="D2630" s="385" t="s">
        <v>88</v>
      </c>
      <c r="E2630" s="385" t="s">
        <v>33</v>
      </c>
      <c r="F2630" s="385"/>
      <c r="G2630" s="385" t="s">
        <v>239</v>
      </c>
      <c r="H2630" s="385"/>
      <c r="I2630" s="385"/>
      <c r="J2630" s="30"/>
      <c r="K2630" s="385"/>
      <c r="L2630" s="385"/>
      <c r="M2630" s="385"/>
      <c r="N2630" s="385"/>
      <c r="O2630" s="385"/>
      <c r="P2630" s="385" t="str">
        <f>IFERROR(
    IF(
        OR(ISBLANK(I2630), ISBLANK(L2630)),
        "",
        MAX(
            1,
            IF(
                NETWORKDAYS(I2630, L2630, Holiday_Dates) &lt;= 0,
                1,
                NETWORKDAYS(I2630, L2630, Holiday_Dates) - IF(I2630 = L2630, 0, 1)
            )
        )
    ),
    ""
)</f>
        <v/>
      </c>
      <c r="Q2630" s="385" t="str">
        <f>IF(
    OR(ISBLANK(L2630), ISBLANK(M2630)),
    "",
    MAX(
        1,
        IF(
            NETWORKDAYS(L2630, M2630, Holiday_Dates) &lt;= 0,
            1,
            NETWORKDAYS(L2630, M2630, Holiday_Dates) - IF(L2630 = M2630, 0, 1)
        )
    )
)</f>
        <v/>
      </c>
      <c r="R2630" s="385" t="str">
        <f>IFERROR(
    IF(
        OR(ISBLANK(N2630), AND(ISBLANK(L2630), ISBLANK(M2630))),
        "",
        MAX(
            1,
            IF(
                NETWORKDAYS(IF(NOT(ISBLANK(M2630)), M2630, L2630), N2630, Holiday_Dates) &lt;= 0,
                1,
                NETWORKDAYS(IF(NOT(ISBLANK(M2630)), M2630, L2630), N2630, Holiday_Dates)
                - IF(IF(NOT(ISBLANK(M2630)), M2630, L2630) = N2630, 0, 1)
            )
        )
    ),
    ""
)</f>
        <v/>
      </c>
      <c r="S2630" s="385" t="str">
        <f>IFERROR(
    IF(
        OR(ISBLANK(N2630), ISBLANK(O2630)),
        "",
        MAX(
            1,
            IF(
                NETWORKDAYS(N2630, O2630, Holiday_Dates) &lt;= 0,
                1,
                NETWORKDAYS(N2630, O2630, Holiday_Dates) - IF(N2630 = O2630, 0, 1)
            )
        )
    ),
    ""
)</f>
        <v/>
      </c>
      <c r="T2630" s="385"/>
      <c r="U2630" s="385"/>
      <c r="V2630" s="385"/>
      <c r="W2630" s="385" t="s">
        <v>4710</v>
      </c>
      <c r="X2630" s="1"/>
    </row>
    <row r="2631" spans="1:24">
      <c r="A2631" s="385" t="s">
        <v>51</v>
      </c>
      <c r="B2631" s="385" t="s">
        <v>418</v>
      </c>
      <c r="C2631" s="385" t="s">
        <v>2342</v>
      </c>
      <c r="D2631" s="385" t="s">
        <v>88</v>
      </c>
      <c r="E2631" s="385" t="s">
        <v>142</v>
      </c>
      <c r="F2631" s="385"/>
      <c r="G2631" s="385" t="s">
        <v>239</v>
      </c>
      <c r="H2631" s="385"/>
      <c r="I2631" s="386"/>
      <c r="J2631" s="30"/>
      <c r="K2631" s="385"/>
      <c r="L2631" s="385"/>
      <c r="M2631" s="385"/>
      <c r="N2631" s="385"/>
      <c r="O2631" s="385"/>
      <c r="P2631" s="385" t="str">
        <f>IFERROR(
    IF(
        OR(ISBLANK(I2631), ISBLANK(L2631)),
        "",
        MAX(
            1,
            IF(
                NETWORKDAYS(I2631, L2631, Holiday_Dates) &lt;= 0,
                1,
                NETWORKDAYS(I2631, L2631, Holiday_Dates) - IF(I2631 = L2631, 0, 1)
            )
        )
    ),
    ""
)</f>
        <v/>
      </c>
      <c r="Q2631" s="385" t="str">
        <f>IF(
    OR(ISBLANK(L2631), ISBLANK(M2631)),
    "",
    MAX(
        1,
        IF(
            NETWORKDAYS(L2631, M2631, Holiday_Dates) &lt;= 0,
            1,
            NETWORKDAYS(L2631, M2631, Holiday_Dates) - IF(L2631 = M2631, 0, 1)
        )
    )
)</f>
        <v/>
      </c>
      <c r="R2631" s="385" t="str">
        <f>IFERROR(
    IF(
        OR(ISBLANK(N2631), AND(ISBLANK(L2631), ISBLANK(M2631))),
        "",
        MAX(
            1,
            IF(
                NETWORKDAYS(IF(NOT(ISBLANK(M2631)), M2631, L2631), N2631, Holiday_Dates) &lt;= 0,
                1,
                NETWORKDAYS(IF(NOT(ISBLANK(M2631)), M2631, L2631), N2631, Holiday_Dates)
                - IF(IF(NOT(ISBLANK(M2631)), M2631, L2631) = N2631, 0, 1)
            )
        )
    ),
    ""
)</f>
        <v/>
      </c>
      <c r="S2631" s="385" t="str">
        <f>IFERROR(
    IF(
        OR(ISBLANK(N2631), ISBLANK(O2631)),
        "",
        MAX(
            1,
            IF(
                NETWORKDAYS(N2631, O2631, Holiday_Dates) &lt;= 0,
                1,
                NETWORKDAYS(N2631, O2631, Holiday_Dates) - IF(N2631 = O2631, 0, 1)
            )
        )
    ),
    ""
)</f>
        <v/>
      </c>
      <c r="T2631" s="385"/>
      <c r="U2631" s="385"/>
      <c r="V2631" s="385"/>
      <c r="W2631" s="385" t="s">
        <v>4710</v>
      </c>
      <c r="X2631" s="1"/>
    </row>
    <row r="2632" spans="1:24">
      <c r="A2632" s="385" t="s">
        <v>52</v>
      </c>
      <c r="B2632" s="385" t="s">
        <v>324</v>
      </c>
      <c r="C2632" s="385" t="s">
        <v>4129</v>
      </c>
      <c r="D2632" s="385" t="s">
        <v>89</v>
      </c>
      <c r="E2632" s="385"/>
      <c r="F2632" s="385"/>
      <c r="G2632" s="385"/>
      <c r="H2632" s="385">
        <v>2025</v>
      </c>
      <c r="I2632" s="386">
        <v>45917</v>
      </c>
      <c r="J2632" s="30" t="s">
        <v>5679</v>
      </c>
      <c r="K2632" s="385"/>
      <c r="L2632" s="385"/>
      <c r="M2632" s="385"/>
      <c r="N2632" s="385"/>
      <c r="O2632" s="385"/>
      <c r="P2632" s="385" t="str">
        <f>IFERROR(
    IF(
        OR(ISBLANK(I2632), ISBLANK(L2632)),
        "",
        MAX(
            1,
            IF(
                NETWORKDAYS(I2632, L2632, Holiday_Dates) &lt;= 0,
                1,
                NETWORKDAYS(I2632, L2632, Holiday_Dates) - IF(I2632 = L2632, 0, 1)
            )
        )
    ),
    ""
)</f>
        <v/>
      </c>
      <c r="Q2632" s="385" t="str">
        <f>IF(
    OR(ISBLANK(L2632), ISBLANK(M2632)),
    "",
    MAX(
        1,
        IF(
            NETWORKDAYS(L2632, M2632, Holiday_Dates) &lt;= 0,
            1,
            NETWORKDAYS(L2632, M2632, Holiday_Dates) - IF(L2632 = M2632, 0, 1)
        )
    )
)</f>
        <v/>
      </c>
      <c r="R2632" s="385" t="str">
        <f>IFERROR(
    IF(
        OR(ISBLANK(N2632), AND(ISBLANK(L2632), ISBLANK(M2632))),
        "",
        MAX(
            1,
            IF(
                NETWORKDAYS(IF(NOT(ISBLANK(M2632)), M2632, L2632), N2632, Holiday_Dates) &lt;= 0,
                1,
                NETWORKDAYS(IF(NOT(ISBLANK(M2632)), M2632, L2632), N2632, Holiday_Dates)
                - IF(IF(NOT(ISBLANK(M2632)), M2632, L2632) = N2632, 0, 1)
            )
        )
    ),
    ""
)</f>
        <v/>
      </c>
      <c r="S2632" s="385" t="str">
        <f>IFERROR(
    IF(
        OR(ISBLANK(N2632), ISBLANK(O2632)),
        "",
        MAX(
            1,
            IF(
                NETWORKDAYS(N2632, O2632, Holiday_Dates) &lt;= 0,
                1,
                NETWORKDAYS(N2632, O2632, Holiday_Dates) - IF(N2632 = O2632, 0, 1)
            )
        )
    ),
    ""
)</f>
        <v/>
      </c>
      <c r="T2632" s="385"/>
      <c r="U2632" s="385" t="s">
        <v>672</v>
      </c>
      <c r="V2632" s="385" t="s">
        <v>101</v>
      </c>
      <c r="W2632" s="385" t="s">
        <v>1436</v>
      </c>
      <c r="X2632" s="1"/>
    </row>
    <row r="2633" spans="1:24">
      <c r="A2633" s="385" t="s">
        <v>51</v>
      </c>
      <c r="B2633" s="385" t="s">
        <v>418</v>
      </c>
      <c r="C2633" s="385" t="s">
        <v>520</v>
      </c>
      <c r="D2633" s="385" t="s">
        <v>88</v>
      </c>
      <c r="E2633" s="385" t="s">
        <v>142</v>
      </c>
      <c r="F2633" s="385"/>
      <c r="G2633" s="385" t="s">
        <v>239</v>
      </c>
      <c r="H2633" s="385"/>
      <c r="I2633" s="386"/>
      <c r="J2633" s="30"/>
      <c r="K2633" s="385"/>
      <c r="L2633" s="385"/>
      <c r="M2633" s="385"/>
      <c r="N2633" s="385"/>
      <c r="O2633" s="385"/>
      <c r="P2633" s="385" t="str">
        <f>IFERROR(
    IF(
        OR(ISBLANK(I2633), ISBLANK(L2633)),
        "",
        MAX(
            1,
            IF(
                NETWORKDAYS(I2633, L2633, Holiday_Dates) &lt;= 0,
                1,
                NETWORKDAYS(I2633, L2633, Holiday_Dates) - IF(I2633 = L2633, 0, 1)
            )
        )
    ),
    ""
)</f>
        <v/>
      </c>
      <c r="Q2633" s="385" t="str">
        <f>IF(
    OR(ISBLANK(L2633), ISBLANK(M2633)),
    "",
    MAX(
        1,
        IF(
            NETWORKDAYS(L2633, M2633, Holiday_Dates) &lt;= 0,
            1,
            NETWORKDAYS(L2633, M2633, Holiday_Dates) - IF(L2633 = M2633, 0, 1)
        )
    )
)</f>
        <v/>
      </c>
      <c r="R2633" s="385" t="str">
        <f>IFERROR(
    IF(
        OR(ISBLANK(N2633), AND(ISBLANK(L2633), ISBLANK(M2633))),
        "",
        MAX(
            1,
            IF(
                NETWORKDAYS(IF(NOT(ISBLANK(M2633)), M2633, L2633), N2633, Holiday_Dates) &lt;= 0,
                1,
                NETWORKDAYS(IF(NOT(ISBLANK(M2633)), M2633, L2633), N2633, Holiday_Dates)
                - IF(IF(NOT(ISBLANK(M2633)), M2633, L2633) = N2633, 0, 1)
            )
        )
    ),
    ""
)</f>
        <v/>
      </c>
      <c r="S2633" s="385" t="str">
        <f>IFERROR(
    IF(
        OR(ISBLANK(N2633), ISBLANK(O2633)),
        "",
        MAX(
            1,
            IF(
                NETWORKDAYS(N2633, O2633, Holiday_Dates) &lt;= 0,
                1,
                NETWORKDAYS(N2633, O2633, Holiday_Dates) - IF(N2633 = O2633, 0, 1)
            )
        )
    ),
    ""
)</f>
        <v/>
      </c>
      <c r="T2633" s="385"/>
      <c r="U2633" s="385"/>
      <c r="V2633" s="385"/>
      <c r="W2633" s="385" t="s">
        <v>4710</v>
      </c>
      <c r="X2633" s="1"/>
    </row>
    <row r="2634" spans="1:24">
      <c r="A2634" s="385" t="s">
        <v>52</v>
      </c>
      <c r="B2634" s="385" t="s">
        <v>424</v>
      </c>
      <c r="C2634" s="385" t="s">
        <v>4133</v>
      </c>
      <c r="D2634" s="385" t="s">
        <v>89</v>
      </c>
      <c r="E2634" s="385"/>
      <c r="F2634" s="385"/>
      <c r="G2634" s="385"/>
      <c r="H2634" s="385">
        <v>2025</v>
      </c>
      <c r="I2634" s="386">
        <v>45693</v>
      </c>
      <c r="J2634" s="30" t="s">
        <v>5680</v>
      </c>
      <c r="K2634" s="385"/>
      <c r="L2634" s="385"/>
      <c r="M2634" s="385"/>
      <c r="N2634" s="385"/>
      <c r="O2634" s="385"/>
      <c r="P2634" s="385" t="str">
        <f>IFERROR(
    IF(
        OR(ISBLANK(I2634), ISBLANK(L2634)),
        "",
        MAX(
            1,
            IF(
                NETWORKDAYS(I2634, L2634, Holiday_Dates) &lt;= 0,
                1,
                NETWORKDAYS(I2634, L2634, Holiday_Dates) - IF(I2634 = L2634, 0, 1)
            )
        )
    ),
    ""
)</f>
        <v/>
      </c>
      <c r="Q2634" s="385" t="str">
        <f>IF(
    OR(ISBLANK(L2634), ISBLANK(M2634)),
    "",
    MAX(
        1,
        IF(
            NETWORKDAYS(L2634, M2634, Holiday_Dates) &lt;= 0,
            1,
            NETWORKDAYS(L2634, M2634, Holiday_Dates) - IF(L2634 = M2634, 0, 1)
        )
    )
)</f>
        <v/>
      </c>
      <c r="R2634" s="385" t="str">
        <f>IFERROR(
    IF(
        OR(ISBLANK(N2634), AND(ISBLANK(L2634), ISBLANK(M2634))),
        "",
        MAX(
            1,
            IF(
                NETWORKDAYS(IF(NOT(ISBLANK(M2634)), M2634, L2634), N2634, Holiday_Dates) &lt;= 0,
                1,
                NETWORKDAYS(IF(NOT(ISBLANK(M2634)), M2634, L2634), N2634, Holiday_Dates)
                - IF(IF(NOT(ISBLANK(M2634)), M2634, L2634) = N2634, 0, 1)
            )
        )
    ),
    ""
)</f>
        <v/>
      </c>
      <c r="S2634" s="385" t="str">
        <f>IFERROR(
    IF(
        OR(ISBLANK(N2634), ISBLANK(O2634)),
        "",
        MAX(
            1,
            IF(
                NETWORKDAYS(N2634, O2634, Holiday_Dates) &lt;= 0,
                1,
                NETWORKDAYS(N2634, O2634, Holiday_Dates) - IF(N2634 = O2634, 0, 1)
            )
        )
    ),
    ""
)</f>
        <v/>
      </c>
      <c r="T2634" s="385"/>
      <c r="U2634" s="385" t="s">
        <v>4</v>
      </c>
      <c r="V2634" s="385" t="s">
        <v>101</v>
      </c>
      <c r="W2634" s="385" t="s">
        <v>1436</v>
      </c>
      <c r="X2634" s="1"/>
    </row>
    <row r="2635" spans="1:24">
      <c r="A2635" s="385" t="s">
        <v>52</v>
      </c>
      <c r="B2635" s="385" t="s">
        <v>424</v>
      </c>
      <c r="C2635" s="385" t="s">
        <v>4134</v>
      </c>
      <c r="D2635" s="385" t="s">
        <v>89</v>
      </c>
      <c r="E2635" s="385"/>
      <c r="F2635" s="385"/>
      <c r="G2635" s="385"/>
      <c r="H2635" s="385">
        <v>2025</v>
      </c>
      <c r="I2635" s="386">
        <v>45693</v>
      </c>
      <c r="J2635" s="30" t="s">
        <v>5681</v>
      </c>
      <c r="K2635" s="385"/>
      <c r="L2635" s="385"/>
      <c r="M2635" s="385"/>
      <c r="N2635" s="385"/>
      <c r="O2635" s="385"/>
      <c r="P2635" s="385" t="str">
        <f>IFERROR(
    IF(
        OR(ISBLANK(I2635), ISBLANK(L2635)),
        "",
        MAX(
            1,
            IF(
                NETWORKDAYS(I2635, L2635, Holiday_Dates) &lt;= 0,
                1,
                NETWORKDAYS(I2635, L2635, Holiday_Dates) - IF(I2635 = L2635, 0, 1)
            )
        )
    ),
    ""
)</f>
        <v/>
      </c>
      <c r="Q2635" s="385" t="str">
        <f>IF(
    OR(ISBLANK(L2635), ISBLANK(M2635)),
    "",
    MAX(
        1,
        IF(
            NETWORKDAYS(L2635, M2635, Holiday_Dates) &lt;= 0,
            1,
            NETWORKDAYS(L2635, M2635, Holiday_Dates) - IF(L2635 = M2635, 0, 1)
        )
    )
)</f>
        <v/>
      </c>
      <c r="R2635" s="385" t="str">
        <f>IFERROR(
    IF(
        OR(ISBLANK(N2635), AND(ISBLANK(L2635), ISBLANK(M2635))),
        "",
        MAX(
            1,
            IF(
                NETWORKDAYS(IF(NOT(ISBLANK(M2635)), M2635, L2635), N2635, Holiday_Dates) &lt;= 0,
                1,
                NETWORKDAYS(IF(NOT(ISBLANK(M2635)), M2635, L2635), N2635, Holiday_Dates)
                - IF(IF(NOT(ISBLANK(M2635)), M2635, L2635) = N2635, 0, 1)
            )
        )
    ),
    ""
)</f>
        <v/>
      </c>
      <c r="S2635" s="385" t="str">
        <f>IFERROR(
    IF(
        OR(ISBLANK(N2635), ISBLANK(O2635)),
        "",
        MAX(
            1,
            IF(
                NETWORKDAYS(N2635, O2635, Holiday_Dates) &lt;= 0,
                1,
                NETWORKDAYS(N2635, O2635, Holiday_Dates) - IF(N2635 = O2635, 0, 1)
            )
        )
    ),
    ""
)</f>
        <v/>
      </c>
      <c r="T2635" s="385"/>
      <c r="U2635" s="385" t="s">
        <v>4</v>
      </c>
      <c r="V2635" s="385" t="s">
        <v>101</v>
      </c>
      <c r="W2635" s="385" t="s">
        <v>1436</v>
      </c>
      <c r="X2635" s="1"/>
    </row>
    <row r="2636" spans="1:24">
      <c r="A2636" s="385" t="s">
        <v>52</v>
      </c>
      <c r="B2636" s="385" t="s">
        <v>424</v>
      </c>
      <c r="C2636" s="385" t="s">
        <v>4135</v>
      </c>
      <c r="D2636" s="385" t="s">
        <v>89</v>
      </c>
      <c r="E2636" s="385"/>
      <c r="F2636" s="385"/>
      <c r="G2636" s="385"/>
      <c r="H2636" s="385">
        <v>2025</v>
      </c>
      <c r="I2636" s="386">
        <v>45693</v>
      </c>
      <c r="J2636" s="30" t="s">
        <v>5682</v>
      </c>
      <c r="K2636" s="385"/>
      <c r="L2636" s="385"/>
      <c r="M2636" s="385"/>
      <c r="N2636" s="385"/>
      <c r="O2636" s="385"/>
      <c r="P2636" s="385" t="str">
        <f>IFERROR(
    IF(
        OR(ISBLANK(I2636), ISBLANK(L2636)),
        "",
        MAX(
            1,
            IF(
                NETWORKDAYS(I2636, L2636, Holiday_Dates) &lt;= 0,
                1,
                NETWORKDAYS(I2636, L2636, Holiday_Dates) - IF(I2636 = L2636, 0, 1)
            )
        )
    ),
    ""
)</f>
        <v/>
      </c>
      <c r="Q2636" s="385" t="str">
        <f>IF(
    OR(ISBLANK(L2636), ISBLANK(M2636)),
    "",
    MAX(
        1,
        IF(
            NETWORKDAYS(L2636, M2636, Holiday_Dates) &lt;= 0,
            1,
            NETWORKDAYS(L2636, M2636, Holiday_Dates) - IF(L2636 = M2636, 0, 1)
        )
    )
)</f>
        <v/>
      </c>
      <c r="R2636" s="385" t="str">
        <f>IFERROR(
    IF(
        OR(ISBLANK(N2636), AND(ISBLANK(L2636), ISBLANK(M2636))),
        "",
        MAX(
            1,
            IF(
                NETWORKDAYS(IF(NOT(ISBLANK(M2636)), M2636, L2636), N2636, Holiday_Dates) &lt;= 0,
                1,
                NETWORKDAYS(IF(NOT(ISBLANK(M2636)), M2636, L2636), N2636, Holiday_Dates)
                - IF(IF(NOT(ISBLANK(M2636)), M2636, L2636) = N2636, 0, 1)
            )
        )
    ),
    ""
)</f>
        <v/>
      </c>
      <c r="S2636" s="385" t="str">
        <f>IFERROR(
    IF(
        OR(ISBLANK(N2636), ISBLANK(O2636)),
        "",
        MAX(
            1,
            IF(
                NETWORKDAYS(N2636, O2636, Holiday_Dates) &lt;= 0,
                1,
                NETWORKDAYS(N2636, O2636, Holiday_Dates) - IF(N2636 = O2636, 0, 1)
            )
        )
    ),
    ""
)</f>
        <v/>
      </c>
      <c r="T2636" s="385"/>
      <c r="U2636" s="385" t="s">
        <v>4</v>
      </c>
      <c r="V2636" s="385" t="s">
        <v>101</v>
      </c>
      <c r="W2636" s="385" t="s">
        <v>1436</v>
      </c>
      <c r="X2636" s="1"/>
    </row>
    <row r="2637" spans="1:24">
      <c r="A2637" s="385" t="s">
        <v>52</v>
      </c>
      <c r="B2637" s="385" t="s">
        <v>424</v>
      </c>
      <c r="C2637" s="385" t="s">
        <v>4136</v>
      </c>
      <c r="D2637" s="385" t="s">
        <v>89</v>
      </c>
      <c r="E2637" s="385"/>
      <c r="F2637" s="385"/>
      <c r="G2637" s="385"/>
      <c r="H2637" s="385">
        <v>2025</v>
      </c>
      <c r="I2637" s="386">
        <v>45693</v>
      </c>
      <c r="J2637" s="30" t="s">
        <v>5683</v>
      </c>
      <c r="K2637" s="385"/>
      <c r="L2637" s="385"/>
      <c r="M2637" s="385"/>
      <c r="N2637" s="385"/>
      <c r="O2637" s="385"/>
      <c r="P2637" s="385" t="str">
        <f>IFERROR(
    IF(
        OR(ISBLANK(I2637), ISBLANK(L2637)),
        "",
        MAX(
            1,
            IF(
                NETWORKDAYS(I2637, L2637, Holiday_Dates) &lt;= 0,
                1,
                NETWORKDAYS(I2637, L2637, Holiday_Dates) - IF(I2637 = L2637, 0, 1)
            )
        )
    ),
    ""
)</f>
        <v/>
      </c>
      <c r="Q2637" s="385" t="str">
        <f>IF(
    OR(ISBLANK(L2637), ISBLANK(M2637)),
    "",
    MAX(
        1,
        IF(
            NETWORKDAYS(L2637, M2637, Holiday_Dates) &lt;= 0,
            1,
            NETWORKDAYS(L2637, M2637, Holiday_Dates) - IF(L2637 = M2637, 0, 1)
        )
    )
)</f>
        <v/>
      </c>
      <c r="R2637" s="385" t="str">
        <f>IFERROR(
    IF(
        OR(ISBLANK(N2637), AND(ISBLANK(L2637), ISBLANK(M2637))),
        "",
        MAX(
            1,
            IF(
                NETWORKDAYS(IF(NOT(ISBLANK(M2637)), M2637, L2637), N2637, Holiday_Dates) &lt;= 0,
                1,
                NETWORKDAYS(IF(NOT(ISBLANK(M2637)), M2637, L2637), N2637, Holiday_Dates)
                - IF(IF(NOT(ISBLANK(M2637)), M2637, L2637) = N2637, 0, 1)
            )
        )
    ),
    ""
)</f>
        <v/>
      </c>
      <c r="S2637" s="385" t="str">
        <f>IFERROR(
    IF(
        OR(ISBLANK(N2637), ISBLANK(O2637)),
        "",
        MAX(
            1,
            IF(
                NETWORKDAYS(N2637, O2637, Holiday_Dates) &lt;= 0,
                1,
                NETWORKDAYS(N2637, O2637, Holiday_Dates) - IF(N2637 = O2637, 0, 1)
            )
        )
    ),
    ""
)</f>
        <v/>
      </c>
      <c r="T2637" s="385"/>
      <c r="U2637" s="385" t="s">
        <v>672</v>
      </c>
      <c r="V2637" s="385" t="s">
        <v>101</v>
      </c>
      <c r="W2637" s="385" t="s">
        <v>1436</v>
      </c>
      <c r="X2637" s="1"/>
    </row>
    <row r="2638" spans="1:24">
      <c r="A2638" s="385" t="s">
        <v>51</v>
      </c>
      <c r="B2638" s="385" t="s">
        <v>418</v>
      </c>
      <c r="C2638" s="385" t="s">
        <v>717</v>
      </c>
      <c r="D2638" s="385" t="s">
        <v>88</v>
      </c>
      <c r="E2638" s="385" t="s">
        <v>142</v>
      </c>
      <c r="F2638" s="385"/>
      <c r="G2638" s="385" t="s">
        <v>239</v>
      </c>
      <c r="H2638" s="385"/>
      <c r="I2638" s="386"/>
      <c r="J2638" s="30"/>
      <c r="K2638" s="385"/>
      <c r="L2638" s="385"/>
      <c r="M2638" s="385"/>
      <c r="N2638" s="385"/>
      <c r="O2638" s="385"/>
      <c r="P2638" s="385" t="str">
        <f>IFERROR(
    IF(
        OR(ISBLANK(I2638), ISBLANK(L2638)),
        "",
        MAX(
            1,
            IF(
                NETWORKDAYS(I2638, L2638, Holiday_Dates) &lt;= 0,
                1,
                NETWORKDAYS(I2638, L2638, Holiday_Dates) - IF(I2638 = L2638, 0, 1)
            )
        )
    ),
    ""
)</f>
        <v/>
      </c>
      <c r="Q2638" s="385" t="str">
        <f>IF(
    OR(ISBLANK(L2638), ISBLANK(M2638)),
    "",
    MAX(
        1,
        IF(
            NETWORKDAYS(L2638, M2638, Holiday_Dates) &lt;= 0,
            1,
            NETWORKDAYS(L2638, M2638, Holiday_Dates) - IF(L2638 = M2638, 0, 1)
        )
    )
)</f>
        <v/>
      </c>
      <c r="R2638" s="385" t="str">
        <f>IFERROR(
    IF(
        OR(ISBLANK(N2638), AND(ISBLANK(L2638), ISBLANK(M2638))),
        "",
        MAX(
            1,
            IF(
                NETWORKDAYS(IF(NOT(ISBLANK(M2638)), M2638, L2638), N2638, Holiday_Dates) &lt;= 0,
                1,
                NETWORKDAYS(IF(NOT(ISBLANK(M2638)), M2638, L2638), N2638, Holiday_Dates)
                - IF(IF(NOT(ISBLANK(M2638)), M2638, L2638) = N2638, 0, 1)
            )
        )
    ),
    ""
)</f>
        <v/>
      </c>
      <c r="S2638" s="385" t="str">
        <f>IFERROR(
    IF(
        OR(ISBLANK(N2638), ISBLANK(O2638)),
        "",
        MAX(
            1,
            IF(
                NETWORKDAYS(N2638, O2638, Holiday_Dates) &lt;= 0,
                1,
                NETWORKDAYS(N2638, O2638, Holiday_Dates) - IF(N2638 = O2638, 0, 1)
            )
        )
    ),
    ""
)</f>
        <v/>
      </c>
      <c r="T2638" s="385"/>
      <c r="U2638" s="385"/>
      <c r="V2638" s="385"/>
      <c r="W2638" s="385" t="s">
        <v>4710</v>
      </c>
      <c r="X2638" s="1"/>
    </row>
    <row r="2639" spans="1:24">
      <c r="A2639" s="385" t="s">
        <v>51</v>
      </c>
      <c r="B2639" s="385" t="s">
        <v>418</v>
      </c>
      <c r="C2639" s="385" t="s">
        <v>3468</v>
      </c>
      <c r="D2639" s="385" t="s">
        <v>88</v>
      </c>
      <c r="E2639" s="385" t="s">
        <v>142</v>
      </c>
      <c r="F2639" s="385"/>
      <c r="G2639" s="385" t="s">
        <v>239</v>
      </c>
      <c r="H2639" s="385"/>
      <c r="I2639" s="385"/>
      <c r="J2639" s="30"/>
      <c r="K2639" s="385"/>
      <c r="L2639" s="385"/>
      <c r="M2639" s="385"/>
      <c r="N2639" s="385"/>
      <c r="O2639" s="385"/>
      <c r="P2639" s="385" t="str">
        <f>IFERROR(
    IF(
        OR(ISBLANK(I2639), ISBLANK(L2639)),
        "",
        MAX(
            1,
            IF(
                NETWORKDAYS(I2639, L2639, Holiday_Dates) &lt;= 0,
                1,
                NETWORKDAYS(I2639, L2639, Holiday_Dates) - IF(I2639 = L2639, 0, 1)
            )
        )
    ),
    ""
)</f>
        <v/>
      </c>
      <c r="Q2639" s="385" t="str">
        <f>IF(
    OR(ISBLANK(L2639), ISBLANK(M2639)),
    "",
    MAX(
        1,
        IF(
            NETWORKDAYS(L2639, M2639, Holiday_Dates) &lt;= 0,
            1,
            NETWORKDAYS(L2639, M2639, Holiday_Dates) - IF(L2639 = M2639, 0, 1)
        )
    )
)</f>
        <v/>
      </c>
      <c r="R2639" s="385" t="str">
        <f>IFERROR(
    IF(
        OR(ISBLANK(N2639), AND(ISBLANK(L2639), ISBLANK(M2639))),
        "",
        MAX(
            1,
            IF(
                NETWORKDAYS(IF(NOT(ISBLANK(M2639)), M2639, L2639), N2639, Holiday_Dates) &lt;= 0,
                1,
                NETWORKDAYS(IF(NOT(ISBLANK(M2639)), M2639, L2639), N2639, Holiday_Dates)
                - IF(IF(NOT(ISBLANK(M2639)), M2639, L2639) = N2639, 0, 1)
            )
        )
    ),
    ""
)</f>
        <v/>
      </c>
      <c r="S2639" s="385" t="str">
        <f>IFERROR(
    IF(
        OR(ISBLANK(N2639), ISBLANK(O2639)),
        "",
        MAX(
            1,
            IF(
                NETWORKDAYS(N2639, O2639, Holiday_Dates) &lt;= 0,
                1,
                NETWORKDAYS(N2639, O2639, Holiday_Dates) - IF(N2639 = O2639, 0, 1)
            )
        )
    ),
    ""
)</f>
        <v/>
      </c>
      <c r="T2639" s="385"/>
      <c r="U2639" s="385"/>
      <c r="V2639" s="385"/>
      <c r="W2639" s="385" t="s">
        <v>4710</v>
      </c>
      <c r="X2639" s="1"/>
    </row>
    <row r="2640" spans="1:24">
      <c r="A2640" s="385" t="s">
        <v>51</v>
      </c>
      <c r="B2640" s="385" t="s">
        <v>418</v>
      </c>
      <c r="C2640" s="385" t="s">
        <v>3842</v>
      </c>
      <c r="D2640" s="385" t="s">
        <v>88</v>
      </c>
      <c r="E2640" s="385" t="s">
        <v>142</v>
      </c>
      <c r="F2640" s="385"/>
      <c r="G2640" s="385" t="s">
        <v>239</v>
      </c>
      <c r="H2640" s="385"/>
      <c r="I2640" s="385"/>
      <c r="J2640" s="30"/>
      <c r="K2640" s="385"/>
      <c r="L2640" s="385"/>
      <c r="M2640" s="385"/>
      <c r="N2640" s="385"/>
      <c r="O2640" s="385"/>
      <c r="P2640" s="385" t="str">
        <f>IFERROR(
    IF(
        OR(ISBLANK(I2640), ISBLANK(L2640)),
        "",
        MAX(
            1,
            IF(
                NETWORKDAYS(I2640, L2640, Holiday_Dates) &lt;= 0,
                1,
                NETWORKDAYS(I2640, L2640, Holiday_Dates) - IF(I2640 = L2640, 0, 1)
            )
        )
    ),
    ""
)</f>
        <v/>
      </c>
      <c r="Q2640" s="385" t="str">
        <f>IF(
    OR(ISBLANK(L2640), ISBLANK(M2640)),
    "",
    MAX(
        1,
        IF(
            NETWORKDAYS(L2640, M2640, Holiday_Dates) &lt;= 0,
            1,
            NETWORKDAYS(L2640, M2640, Holiday_Dates) - IF(L2640 = M2640, 0, 1)
        )
    )
)</f>
        <v/>
      </c>
      <c r="R2640" s="385" t="str">
        <f>IFERROR(
    IF(
        OR(ISBLANK(N2640), AND(ISBLANK(L2640), ISBLANK(M2640))),
        "",
        MAX(
            1,
            IF(
                NETWORKDAYS(IF(NOT(ISBLANK(M2640)), M2640, L2640), N2640, Holiday_Dates) &lt;= 0,
                1,
                NETWORKDAYS(IF(NOT(ISBLANK(M2640)), M2640, L2640), N2640, Holiday_Dates)
                - IF(IF(NOT(ISBLANK(M2640)), M2640, L2640) = N2640, 0, 1)
            )
        )
    ),
    ""
)</f>
        <v/>
      </c>
      <c r="S2640" s="385" t="str">
        <f>IFERROR(
    IF(
        OR(ISBLANK(N2640), ISBLANK(O2640)),
        "",
        MAX(
            1,
            IF(
                NETWORKDAYS(N2640, O2640, Holiday_Dates) &lt;= 0,
                1,
                NETWORKDAYS(N2640, O2640, Holiday_Dates) - IF(N2640 = O2640, 0, 1)
            )
        )
    ),
    ""
)</f>
        <v/>
      </c>
      <c r="T2640" s="385"/>
      <c r="U2640" s="385"/>
      <c r="V2640" s="385"/>
      <c r="W2640" s="385" t="s">
        <v>4710</v>
      </c>
      <c r="X2640" s="1"/>
    </row>
    <row r="2641" spans="1:24">
      <c r="A2641" s="385" t="s">
        <v>51</v>
      </c>
      <c r="B2641" s="385" t="s">
        <v>418</v>
      </c>
      <c r="C2641" s="385" t="s">
        <v>1879</v>
      </c>
      <c r="D2641" s="385" t="s">
        <v>88</v>
      </c>
      <c r="E2641" s="385" t="s">
        <v>142</v>
      </c>
      <c r="F2641" s="385"/>
      <c r="G2641" s="385" t="s">
        <v>239</v>
      </c>
      <c r="H2641" s="385"/>
      <c r="I2641" s="385"/>
      <c r="J2641" s="30"/>
      <c r="K2641" s="385"/>
      <c r="L2641" s="385"/>
      <c r="M2641" s="385"/>
      <c r="N2641" s="385"/>
      <c r="O2641" s="385"/>
      <c r="P2641" s="385" t="str">
        <f>IFERROR(
    IF(
        OR(ISBLANK(I2641), ISBLANK(L2641)),
        "",
        MAX(
            1,
            IF(
                NETWORKDAYS(I2641, L2641, Holiday_Dates) &lt;= 0,
                1,
                NETWORKDAYS(I2641, L2641, Holiday_Dates) - IF(I2641 = L2641, 0, 1)
            )
        )
    ),
    ""
)</f>
        <v/>
      </c>
      <c r="Q2641" s="385" t="str">
        <f>IF(
    OR(ISBLANK(L2641), ISBLANK(M2641)),
    "",
    MAX(
        1,
        IF(
            NETWORKDAYS(L2641, M2641, Holiday_Dates) &lt;= 0,
            1,
            NETWORKDAYS(L2641, M2641, Holiday_Dates) - IF(L2641 = M2641, 0, 1)
        )
    )
)</f>
        <v/>
      </c>
      <c r="R2641" s="385" t="str">
        <f>IFERROR(
    IF(
        OR(ISBLANK(N2641), AND(ISBLANK(L2641), ISBLANK(M2641))),
        "",
        MAX(
            1,
            IF(
                NETWORKDAYS(IF(NOT(ISBLANK(M2641)), M2641, L2641), N2641, Holiday_Dates) &lt;= 0,
                1,
                NETWORKDAYS(IF(NOT(ISBLANK(M2641)), M2641, L2641), N2641, Holiday_Dates)
                - IF(IF(NOT(ISBLANK(M2641)), M2641, L2641) = N2641, 0, 1)
            )
        )
    ),
    ""
)</f>
        <v/>
      </c>
      <c r="S2641" s="385" t="str">
        <f>IFERROR(
    IF(
        OR(ISBLANK(N2641), ISBLANK(O2641)),
        "",
        MAX(
            1,
            IF(
                NETWORKDAYS(N2641, O2641, Holiday_Dates) &lt;= 0,
                1,
                NETWORKDAYS(N2641, O2641, Holiday_Dates) - IF(N2641 = O2641, 0, 1)
            )
        )
    ),
    ""
)</f>
        <v/>
      </c>
      <c r="T2641" s="385"/>
      <c r="U2641" s="385"/>
      <c r="V2641" s="385"/>
      <c r="W2641" s="385" t="s">
        <v>4710</v>
      </c>
      <c r="X2641" s="1"/>
    </row>
    <row r="2642" spans="1:24">
      <c r="A2642" s="385" t="s">
        <v>51</v>
      </c>
      <c r="B2642" s="385" t="s">
        <v>450</v>
      </c>
      <c r="C2642" s="385" t="s">
        <v>2178</v>
      </c>
      <c r="D2642" s="385" t="s">
        <v>88</v>
      </c>
      <c r="E2642" s="385" t="s">
        <v>142</v>
      </c>
      <c r="F2642" s="385"/>
      <c r="G2642" s="385" t="s">
        <v>239</v>
      </c>
      <c r="H2642" s="385"/>
      <c r="I2642" s="385"/>
      <c r="J2642" s="30"/>
      <c r="K2642" s="385"/>
      <c r="L2642" s="385"/>
      <c r="M2642" s="385"/>
      <c r="N2642" s="385"/>
      <c r="O2642" s="385"/>
      <c r="P2642" s="385" t="str">
        <f>IFERROR(
    IF(
        OR(ISBLANK(I2642), ISBLANK(L2642)),
        "",
        MAX(
            1,
            IF(
                NETWORKDAYS(I2642, L2642, Holiday_Dates) &lt;= 0,
                1,
                NETWORKDAYS(I2642, L2642, Holiday_Dates) - IF(I2642 = L2642, 0, 1)
            )
        )
    ),
    ""
)</f>
        <v/>
      </c>
      <c r="Q2642" s="385" t="str">
        <f>IF(
    OR(ISBLANK(L2642), ISBLANK(M2642)),
    "",
    MAX(
        1,
        IF(
            NETWORKDAYS(L2642, M2642, Holiday_Dates) &lt;= 0,
            1,
            NETWORKDAYS(L2642, M2642, Holiday_Dates) - IF(L2642 = M2642, 0, 1)
        )
    )
)</f>
        <v/>
      </c>
      <c r="R2642" s="385" t="str">
        <f>IFERROR(
    IF(
        OR(ISBLANK(N2642), AND(ISBLANK(L2642), ISBLANK(M2642))),
        "",
        MAX(
            1,
            IF(
                NETWORKDAYS(IF(NOT(ISBLANK(M2642)), M2642, L2642), N2642, Holiday_Dates) &lt;= 0,
                1,
                NETWORKDAYS(IF(NOT(ISBLANK(M2642)), M2642, L2642), N2642, Holiday_Dates)
                - IF(IF(NOT(ISBLANK(M2642)), M2642, L2642) = N2642, 0, 1)
            )
        )
    ),
    ""
)</f>
        <v/>
      </c>
      <c r="S2642" s="385" t="str">
        <f>IFERROR(
    IF(
        OR(ISBLANK(N2642), ISBLANK(O2642)),
        "",
        MAX(
            1,
            IF(
                NETWORKDAYS(N2642, O2642, Holiday_Dates) &lt;= 0,
                1,
                NETWORKDAYS(N2642, O2642, Holiday_Dates) - IF(N2642 = O2642, 0, 1)
            )
        )
    ),
    ""
)</f>
        <v/>
      </c>
      <c r="T2642" s="385"/>
      <c r="U2642" s="385"/>
      <c r="V2642" s="385"/>
      <c r="W2642" s="385" t="s">
        <v>4710</v>
      </c>
      <c r="X2642" s="1"/>
    </row>
    <row r="2643" spans="1:24">
      <c r="A2643" s="385" t="s">
        <v>52</v>
      </c>
      <c r="B2643" s="385" t="s">
        <v>424</v>
      </c>
      <c r="C2643" s="385" t="s">
        <v>4141</v>
      </c>
      <c r="D2643" s="385" t="s">
        <v>89</v>
      </c>
      <c r="E2643" s="385"/>
      <c r="F2643" s="385"/>
      <c r="G2643" s="385"/>
      <c r="H2643" s="385">
        <v>2025</v>
      </c>
      <c r="I2643" s="386">
        <v>45882</v>
      </c>
      <c r="J2643" s="30" t="s">
        <v>5684</v>
      </c>
      <c r="K2643" s="385"/>
      <c r="L2643" s="385"/>
      <c r="M2643" s="385"/>
      <c r="N2643" s="385"/>
      <c r="O2643" s="385"/>
      <c r="P2643" s="385" t="str">
        <f>IFERROR(
    IF(
        OR(ISBLANK(I2643), ISBLANK(L2643)),
        "",
        MAX(
            1,
            IF(
                NETWORKDAYS(I2643, L2643, Holiday_Dates) &lt;= 0,
                1,
                NETWORKDAYS(I2643, L2643, Holiday_Dates) - IF(I2643 = L2643, 0, 1)
            )
        )
    ),
    ""
)</f>
        <v/>
      </c>
      <c r="Q2643" s="385" t="str">
        <f>IF(
    OR(ISBLANK(L2643), ISBLANK(M2643)),
    "",
    MAX(
        1,
        IF(
            NETWORKDAYS(L2643, M2643, Holiday_Dates) &lt;= 0,
            1,
            NETWORKDAYS(L2643, M2643, Holiday_Dates) - IF(L2643 = M2643, 0, 1)
        )
    )
)</f>
        <v/>
      </c>
      <c r="R2643" s="385" t="str">
        <f>IFERROR(
    IF(
        OR(ISBLANK(N2643), AND(ISBLANK(L2643), ISBLANK(M2643))),
        "",
        MAX(
            1,
            IF(
                NETWORKDAYS(IF(NOT(ISBLANK(M2643)), M2643, L2643), N2643, Holiday_Dates) &lt;= 0,
                1,
                NETWORKDAYS(IF(NOT(ISBLANK(M2643)), M2643, L2643), N2643, Holiday_Dates)
                - IF(IF(NOT(ISBLANK(M2643)), M2643, L2643) = N2643, 0, 1)
            )
        )
    ),
    ""
)</f>
        <v/>
      </c>
      <c r="S2643" s="385" t="str">
        <f>IFERROR(
    IF(
        OR(ISBLANK(N2643), ISBLANK(O2643)),
        "",
        MAX(
            1,
            IF(
                NETWORKDAYS(N2643, O2643, Holiday_Dates) &lt;= 0,
                1,
                NETWORKDAYS(N2643, O2643, Holiday_Dates) - IF(N2643 = O2643, 0, 1)
            )
        )
    ),
    ""
)</f>
        <v/>
      </c>
      <c r="T2643" s="385"/>
      <c r="U2643" s="385" t="s">
        <v>672</v>
      </c>
      <c r="V2643" s="385" t="s">
        <v>101</v>
      </c>
      <c r="W2643" s="385" t="s">
        <v>1436</v>
      </c>
      <c r="X2643" s="1"/>
    </row>
    <row r="2644" spans="1:24">
      <c r="A2644" s="385" t="s">
        <v>52</v>
      </c>
      <c r="B2644" s="385" t="s">
        <v>424</v>
      </c>
      <c r="C2644" s="385" t="s">
        <v>4142</v>
      </c>
      <c r="D2644" s="385" t="s">
        <v>89</v>
      </c>
      <c r="E2644" s="385"/>
      <c r="F2644" s="385"/>
      <c r="G2644" s="385"/>
      <c r="H2644" s="385">
        <v>2025</v>
      </c>
      <c r="I2644" s="386">
        <v>45944</v>
      </c>
      <c r="J2644" s="30" t="s">
        <v>5685</v>
      </c>
      <c r="K2644" s="385"/>
      <c r="L2644" s="385"/>
      <c r="M2644" s="385"/>
      <c r="N2644" s="385"/>
      <c r="O2644" s="385"/>
      <c r="P2644" s="385" t="str">
        <f>IFERROR(
    IF(
        OR(ISBLANK(I2644), ISBLANK(L2644)),
        "",
        MAX(
            1,
            IF(
                NETWORKDAYS(I2644, L2644, Holiday_Dates) &lt;= 0,
                1,
                NETWORKDAYS(I2644, L2644, Holiday_Dates) - IF(I2644 = L2644, 0, 1)
            )
        )
    ),
    ""
)</f>
        <v/>
      </c>
      <c r="Q2644" s="385" t="str">
        <f>IF(
    OR(ISBLANK(L2644), ISBLANK(M2644)),
    "",
    MAX(
        1,
        IF(
            NETWORKDAYS(L2644, M2644, Holiday_Dates) &lt;= 0,
            1,
            NETWORKDAYS(L2644, M2644, Holiday_Dates) - IF(L2644 = M2644, 0, 1)
        )
    )
)</f>
        <v/>
      </c>
      <c r="R2644" s="385" t="str">
        <f>IFERROR(
    IF(
        OR(ISBLANK(N2644), AND(ISBLANK(L2644), ISBLANK(M2644))),
        "",
        MAX(
            1,
            IF(
                NETWORKDAYS(IF(NOT(ISBLANK(M2644)), M2644, L2644), N2644, Holiday_Dates) &lt;= 0,
                1,
                NETWORKDAYS(IF(NOT(ISBLANK(M2644)), M2644, L2644), N2644, Holiday_Dates)
                - IF(IF(NOT(ISBLANK(M2644)), M2644, L2644) = N2644, 0, 1)
            )
        )
    ),
    ""
)</f>
        <v/>
      </c>
      <c r="S2644" s="385" t="str">
        <f>IFERROR(
    IF(
        OR(ISBLANK(N2644), ISBLANK(O2644)),
        "",
        MAX(
            1,
            IF(
                NETWORKDAYS(N2644, O2644, Holiday_Dates) &lt;= 0,
                1,
                NETWORKDAYS(N2644, O2644, Holiday_Dates) - IF(N2644 = O2644, 0, 1)
            )
        )
    ),
    ""
)</f>
        <v/>
      </c>
      <c r="T2644" s="385"/>
      <c r="U2644" s="385" t="s">
        <v>672</v>
      </c>
      <c r="V2644" s="385" t="s">
        <v>1676</v>
      </c>
      <c r="W2644" s="385" t="s">
        <v>1436</v>
      </c>
      <c r="X2644" s="1"/>
    </row>
    <row r="2645" spans="1:24">
      <c r="A2645" s="385" t="s">
        <v>52</v>
      </c>
      <c r="B2645" s="385" t="s">
        <v>424</v>
      </c>
      <c r="C2645" s="385" t="s">
        <v>4143</v>
      </c>
      <c r="D2645" s="385" t="s">
        <v>89</v>
      </c>
      <c r="E2645" s="385"/>
      <c r="F2645" s="385"/>
      <c r="G2645" s="385"/>
      <c r="H2645" s="385">
        <v>2025</v>
      </c>
      <c r="I2645" s="386">
        <v>45944</v>
      </c>
      <c r="J2645" s="30" t="s">
        <v>5686</v>
      </c>
      <c r="K2645" s="385"/>
      <c r="L2645" s="385"/>
      <c r="M2645" s="385"/>
      <c r="N2645" s="385"/>
      <c r="O2645" s="385"/>
      <c r="P2645" s="385" t="str">
        <f>IFERROR(
    IF(
        OR(ISBLANK(I2645), ISBLANK(L2645)),
        "",
        MAX(
            1,
            IF(
                NETWORKDAYS(I2645, L2645, Holiday_Dates) &lt;= 0,
                1,
                NETWORKDAYS(I2645, L2645, Holiday_Dates) - IF(I2645 = L2645, 0, 1)
            )
        )
    ),
    ""
)</f>
        <v/>
      </c>
      <c r="Q2645" s="385" t="str">
        <f>IF(
    OR(ISBLANK(L2645), ISBLANK(M2645)),
    "",
    MAX(
        1,
        IF(
            NETWORKDAYS(L2645, M2645, Holiday_Dates) &lt;= 0,
            1,
            NETWORKDAYS(L2645, M2645, Holiday_Dates) - IF(L2645 = M2645, 0, 1)
        )
    )
)</f>
        <v/>
      </c>
      <c r="R2645" s="385" t="str">
        <f>IFERROR(
    IF(
        OR(ISBLANK(N2645), AND(ISBLANK(L2645), ISBLANK(M2645))),
        "",
        MAX(
            1,
            IF(
                NETWORKDAYS(IF(NOT(ISBLANK(M2645)), M2645, L2645), N2645, Holiday_Dates) &lt;= 0,
                1,
                NETWORKDAYS(IF(NOT(ISBLANK(M2645)), M2645, L2645), N2645, Holiday_Dates)
                - IF(IF(NOT(ISBLANK(M2645)), M2645, L2645) = N2645, 0, 1)
            )
        )
    ),
    ""
)</f>
        <v/>
      </c>
      <c r="S2645" s="385" t="str">
        <f>IFERROR(
    IF(
        OR(ISBLANK(N2645), ISBLANK(O2645)),
        "",
        MAX(
            1,
            IF(
                NETWORKDAYS(N2645, O2645, Holiday_Dates) &lt;= 0,
                1,
                NETWORKDAYS(N2645, O2645, Holiday_Dates) - IF(N2645 = O2645, 0, 1)
            )
        )
    ),
    ""
)</f>
        <v/>
      </c>
      <c r="T2645" s="385"/>
      <c r="U2645" s="385" t="s">
        <v>672</v>
      </c>
      <c r="V2645" s="385" t="s">
        <v>101</v>
      </c>
      <c r="W2645" s="385" t="s">
        <v>1436</v>
      </c>
      <c r="X2645" s="1"/>
    </row>
    <row r="2646" spans="1:24">
      <c r="A2646" s="385" t="s">
        <v>52</v>
      </c>
      <c r="B2646" s="385" t="s">
        <v>424</v>
      </c>
      <c r="C2646" s="385" t="s">
        <v>4144</v>
      </c>
      <c r="D2646" s="385" t="s">
        <v>89</v>
      </c>
      <c r="E2646" s="385"/>
      <c r="F2646" s="385"/>
      <c r="G2646" s="385"/>
      <c r="H2646" s="385">
        <v>2025</v>
      </c>
      <c r="I2646" s="386">
        <v>45840</v>
      </c>
      <c r="J2646" s="30" t="s">
        <v>5687</v>
      </c>
      <c r="K2646" s="385"/>
      <c r="L2646" s="385"/>
      <c r="M2646" s="385"/>
      <c r="N2646" s="385"/>
      <c r="O2646" s="385"/>
      <c r="P2646" s="385" t="str">
        <f>IFERROR(
    IF(
        OR(ISBLANK(I2646), ISBLANK(L2646)),
        "",
        MAX(
            1,
            IF(
                NETWORKDAYS(I2646, L2646, Holiday_Dates) &lt;= 0,
                1,
                NETWORKDAYS(I2646, L2646, Holiday_Dates) - IF(I2646 = L2646, 0, 1)
            )
        )
    ),
    ""
)</f>
        <v/>
      </c>
      <c r="Q2646" s="385" t="str">
        <f>IF(
    OR(ISBLANK(L2646), ISBLANK(M2646)),
    "",
    MAX(
        1,
        IF(
            NETWORKDAYS(L2646, M2646, Holiday_Dates) &lt;= 0,
            1,
            NETWORKDAYS(L2646, M2646, Holiday_Dates) - IF(L2646 = M2646, 0, 1)
        )
    )
)</f>
        <v/>
      </c>
      <c r="R2646" s="385" t="str">
        <f>IFERROR(
    IF(
        OR(ISBLANK(N2646), AND(ISBLANK(L2646), ISBLANK(M2646))),
        "",
        MAX(
            1,
            IF(
                NETWORKDAYS(IF(NOT(ISBLANK(M2646)), M2646, L2646), N2646, Holiday_Dates) &lt;= 0,
                1,
                NETWORKDAYS(IF(NOT(ISBLANK(M2646)), M2646, L2646), N2646, Holiday_Dates)
                - IF(IF(NOT(ISBLANK(M2646)), M2646, L2646) = N2646, 0, 1)
            )
        )
    ),
    ""
)</f>
        <v/>
      </c>
      <c r="S2646" s="385" t="str">
        <f>IFERROR(
    IF(
        OR(ISBLANK(N2646), ISBLANK(O2646)),
        "",
        MAX(
            1,
            IF(
                NETWORKDAYS(N2646, O2646, Holiday_Dates) &lt;= 0,
                1,
                NETWORKDAYS(N2646, O2646, Holiday_Dates) - IF(N2646 = O2646, 0, 1)
            )
        )
    ),
    ""
)</f>
        <v/>
      </c>
      <c r="T2646" s="385"/>
      <c r="U2646" s="385" t="s">
        <v>672</v>
      </c>
      <c r="V2646" s="385" t="s">
        <v>101</v>
      </c>
      <c r="W2646" s="385" t="s">
        <v>1436</v>
      </c>
      <c r="X2646" s="1"/>
    </row>
    <row r="2647" spans="1:24">
      <c r="A2647" s="385" t="s">
        <v>52</v>
      </c>
      <c r="B2647" s="385" t="s">
        <v>424</v>
      </c>
      <c r="C2647" s="385" t="s">
        <v>4145</v>
      </c>
      <c r="D2647" s="385" t="s">
        <v>89</v>
      </c>
      <c r="E2647" s="385"/>
      <c r="F2647" s="385"/>
      <c r="G2647" s="385"/>
      <c r="H2647" s="385">
        <v>2025</v>
      </c>
      <c r="I2647" s="386">
        <v>45944</v>
      </c>
      <c r="J2647" s="30" t="s">
        <v>5688</v>
      </c>
      <c r="K2647" s="385"/>
      <c r="L2647" s="385"/>
      <c r="M2647" s="385"/>
      <c r="N2647" s="385"/>
      <c r="O2647" s="385"/>
      <c r="P2647" s="385" t="str">
        <f>IFERROR(
    IF(
        OR(ISBLANK(I2647), ISBLANK(L2647)),
        "",
        MAX(
            1,
            IF(
                NETWORKDAYS(I2647, L2647, Holiday_Dates) &lt;= 0,
                1,
                NETWORKDAYS(I2647, L2647, Holiday_Dates) - IF(I2647 = L2647, 0, 1)
            )
        )
    ),
    ""
)</f>
        <v/>
      </c>
      <c r="Q2647" s="385" t="str">
        <f>IF(
    OR(ISBLANK(L2647), ISBLANK(M2647)),
    "",
    MAX(
        1,
        IF(
            NETWORKDAYS(L2647, M2647, Holiday_Dates) &lt;= 0,
            1,
            NETWORKDAYS(L2647, M2647, Holiday_Dates) - IF(L2647 = M2647, 0, 1)
        )
    )
)</f>
        <v/>
      </c>
      <c r="R2647" s="385" t="str">
        <f>IFERROR(
    IF(
        OR(ISBLANK(N2647), AND(ISBLANK(L2647), ISBLANK(M2647))),
        "",
        MAX(
            1,
            IF(
                NETWORKDAYS(IF(NOT(ISBLANK(M2647)), M2647, L2647), N2647, Holiday_Dates) &lt;= 0,
                1,
                NETWORKDAYS(IF(NOT(ISBLANK(M2647)), M2647, L2647), N2647, Holiday_Dates)
                - IF(IF(NOT(ISBLANK(M2647)), M2647, L2647) = N2647, 0, 1)
            )
        )
    ),
    ""
)</f>
        <v/>
      </c>
      <c r="S2647" s="385" t="str">
        <f>IFERROR(
    IF(
        OR(ISBLANK(N2647), ISBLANK(O2647)),
        "",
        MAX(
            1,
            IF(
                NETWORKDAYS(N2647, O2647, Holiday_Dates) &lt;= 0,
                1,
                NETWORKDAYS(N2647, O2647, Holiday_Dates) - IF(N2647 = O2647, 0, 1)
            )
        )
    ),
    ""
)</f>
        <v/>
      </c>
      <c r="T2647" s="385"/>
      <c r="U2647" s="385" t="s">
        <v>672</v>
      </c>
      <c r="V2647" s="385" t="s">
        <v>1676</v>
      </c>
      <c r="W2647" s="385" t="s">
        <v>1436</v>
      </c>
      <c r="X2647" s="1"/>
    </row>
    <row r="2648" spans="1:24">
      <c r="A2648" s="385" t="s">
        <v>51</v>
      </c>
      <c r="B2648" s="385" t="s">
        <v>450</v>
      </c>
      <c r="C2648" s="385" t="s">
        <v>2345</v>
      </c>
      <c r="D2648" s="385" t="s">
        <v>88</v>
      </c>
      <c r="E2648" s="385" t="s">
        <v>142</v>
      </c>
      <c r="F2648" s="385"/>
      <c r="G2648" s="385" t="s">
        <v>239</v>
      </c>
      <c r="H2648" s="385"/>
      <c r="I2648" s="386"/>
      <c r="J2648" s="534"/>
      <c r="K2648" s="385"/>
      <c r="L2648" s="385"/>
      <c r="M2648" s="385"/>
      <c r="N2648" s="385"/>
      <c r="O2648" s="385"/>
      <c r="P2648" s="385" t="str">
        <f>IFERROR(
    IF(
        OR(ISBLANK(I2648), ISBLANK(L2648)),
        "",
        MAX(
            1,
            IF(
                NETWORKDAYS(I2648, L2648, Holiday_Dates) &lt;= 0,
                1,
                NETWORKDAYS(I2648, L2648, Holiday_Dates) - IF(I2648 = L2648, 0, 1)
            )
        )
    ),
    ""
)</f>
        <v/>
      </c>
      <c r="Q2648" s="385" t="str">
        <f>IF(
    OR(ISBLANK(L2648), ISBLANK(M2648)),
    "",
    MAX(
        1,
        IF(
            NETWORKDAYS(L2648, M2648, Holiday_Dates) &lt;= 0,
            1,
            NETWORKDAYS(L2648, M2648, Holiday_Dates) - IF(L2648 = M2648, 0, 1)
        )
    )
)</f>
        <v/>
      </c>
      <c r="R2648" s="385" t="str">
        <f>IFERROR(
    IF(
        OR(ISBLANK(N2648), AND(ISBLANK(L2648), ISBLANK(M2648))),
        "",
        MAX(
            1,
            IF(
                NETWORKDAYS(IF(NOT(ISBLANK(M2648)), M2648, L2648), N2648, Holiday_Dates) &lt;= 0,
                1,
                NETWORKDAYS(IF(NOT(ISBLANK(M2648)), M2648, L2648), N2648, Holiday_Dates)
                - IF(IF(NOT(ISBLANK(M2648)), M2648, L2648) = N2648, 0, 1)
            )
        )
    ),
    ""
)</f>
        <v/>
      </c>
      <c r="S2648" s="385" t="str">
        <f>IFERROR(
    IF(
        OR(ISBLANK(N2648), ISBLANK(O2648)),
        "",
        MAX(
            1,
            IF(
                NETWORKDAYS(N2648, O2648, Holiday_Dates) &lt;= 0,
                1,
                NETWORKDAYS(N2648, O2648, Holiday_Dates) - IF(N2648 = O2648, 0, 1)
            )
        )
    ),
    ""
)</f>
        <v/>
      </c>
      <c r="T2648" s="385"/>
      <c r="U2648" s="385"/>
      <c r="V2648" s="385"/>
      <c r="W2648" s="385" t="s">
        <v>4710</v>
      </c>
      <c r="X2648" s="1"/>
    </row>
    <row r="2649" spans="1:24">
      <c r="A2649" s="385" t="s">
        <v>52</v>
      </c>
      <c r="B2649" s="385" t="s">
        <v>424</v>
      </c>
      <c r="C2649" s="385" t="s">
        <v>4146</v>
      </c>
      <c r="D2649" s="385" t="s">
        <v>89</v>
      </c>
      <c r="E2649" s="385"/>
      <c r="F2649" s="385"/>
      <c r="G2649" s="385"/>
      <c r="H2649" s="385">
        <v>2025</v>
      </c>
      <c r="I2649" s="386">
        <v>45884</v>
      </c>
      <c r="J2649" s="30" t="s">
        <v>5689</v>
      </c>
      <c r="K2649" s="385"/>
      <c r="L2649" s="385"/>
      <c r="M2649" s="385"/>
      <c r="N2649" s="385"/>
      <c r="O2649" s="385"/>
      <c r="P2649" s="385" t="str">
        <f>IFERROR(
    IF(
        OR(ISBLANK(I2649), ISBLANK(L2649)),
        "",
        MAX(
            1,
            IF(
                NETWORKDAYS(I2649, L2649, Holiday_Dates) &lt;= 0,
                1,
                NETWORKDAYS(I2649, L2649, Holiday_Dates) - IF(I2649 = L2649, 0, 1)
            )
        )
    ),
    ""
)</f>
        <v/>
      </c>
      <c r="Q2649" s="385" t="str">
        <f>IF(
    OR(ISBLANK(L2649), ISBLANK(M2649)),
    "",
    MAX(
        1,
        IF(
            NETWORKDAYS(L2649, M2649, Holiday_Dates) &lt;= 0,
            1,
            NETWORKDAYS(L2649, M2649, Holiday_Dates) - IF(L2649 = M2649, 0, 1)
        )
    )
)</f>
        <v/>
      </c>
      <c r="R2649" s="385" t="str">
        <f>IFERROR(
    IF(
        OR(ISBLANK(N2649), AND(ISBLANK(L2649), ISBLANK(M2649))),
        "",
        MAX(
            1,
            IF(
                NETWORKDAYS(IF(NOT(ISBLANK(M2649)), M2649, L2649), N2649, Holiday_Dates) &lt;= 0,
                1,
                NETWORKDAYS(IF(NOT(ISBLANK(M2649)), M2649, L2649), N2649, Holiday_Dates)
                - IF(IF(NOT(ISBLANK(M2649)), M2649, L2649) = N2649, 0, 1)
            )
        )
    ),
    ""
)</f>
        <v/>
      </c>
      <c r="S2649" s="385" t="str">
        <f>IFERROR(
    IF(
        OR(ISBLANK(N2649), ISBLANK(O2649)),
        "",
        MAX(
            1,
            IF(
                NETWORKDAYS(N2649, O2649, Holiday_Dates) &lt;= 0,
                1,
                NETWORKDAYS(N2649, O2649, Holiday_Dates) - IF(N2649 = O2649, 0, 1)
            )
        )
    ),
    ""
)</f>
        <v/>
      </c>
      <c r="T2649" s="385"/>
      <c r="U2649" s="385" t="s">
        <v>672</v>
      </c>
      <c r="V2649" s="385" t="s">
        <v>1676</v>
      </c>
      <c r="W2649" s="385" t="s">
        <v>1436</v>
      </c>
      <c r="X2649" s="1"/>
    </row>
    <row r="2650" spans="1:24">
      <c r="A2650" s="385" t="s">
        <v>51</v>
      </c>
      <c r="B2650" s="385" t="s">
        <v>394</v>
      </c>
      <c r="C2650" s="385" t="s">
        <v>3864</v>
      </c>
      <c r="D2650" s="385" t="s">
        <v>88</v>
      </c>
      <c r="E2650" s="385" t="s">
        <v>145</v>
      </c>
      <c r="F2650" s="385"/>
      <c r="G2650" s="385" t="s">
        <v>133</v>
      </c>
      <c r="H2650" s="385"/>
      <c r="I2650" s="385"/>
      <c r="J2650" s="30"/>
      <c r="K2650" s="385"/>
      <c r="L2650" s="385"/>
      <c r="M2650" s="385"/>
      <c r="N2650" s="385"/>
      <c r="O2650" s="385"/>
      <c r="P2650" s="385" t="str">
        <f>IFERROR(
    IF(
        OR(ISBLANK(I2650), ISBLANK(L2650)),
        "",
        MAX(
            1,
            IF(
                NETWORKDAYS(I2650, L2650, Holiday_Dates) &lt;= 0,
                1,
                NETWORKDAYS(I2650, L2650, Holiday_Dates) - IF(I2650 = L2650, 0, 1)
            )
        )
    ),
    ""
)</f>
        <v/>
      </c>
      <c r="Q2650" s="385" t="str">
        <f>IF(
    OR(ISBLANK(L2650), ISBLANK(M2650)),
    "",
    MAX(
        1,
        IF(
            NETWORKDAYS(L2650, M2650, Holiday_Dates) &lt;= 0,
            1,
            NETWORKDAYS(L2650, M2650, Holiday_Dates) - IF(L2650 = M2650, 0, 1)
        )
    )
)</f>
        <v/>
      </c>
      <c r="R2650" s="385" t="str">
        <f>IFERROR(
    IF(
        OR(ISBLANK(N2650), AND(ISBLANK(L2650), ISBLANK(M2650))),
        "",
        MAX(
            1,
            IF(
                NETWORKDAYS(IF(NOT(ISBLANK(M2650)), M2650, L2650), N2650, Holiday_Dates) &lt;= 0,
                1,
                NETWORKDAYS(IF(NOT(ISBLANK(M2650)), M2650, L2650), N2650, Holiday_Dates)
                - IF(IF(NOT(ISBLANK(M2650)), M2650, L2650) = N2650, 0, 1)
            )
        )
    ),
    ""
)</f>
        <v/>
      </c>
      <c r="S2650" s="385" t="str">
        <f>IFERROR(
    IF(
        OR(ISBLANK(N2650), ISBLANK(O2650)),
        "",
        MAX(
            1,
            IF(
                NETWORKDAYS(N2650, O2650, Holiday_Dates) &lt;= 0,
                1,
                NETWORKDAYS(N2650, O2650, Holiday_Dates) - IF(N2650 = O2650, 0, 1)
            )
        )
    ),
    ""
)</f>
        <v/>
      </c>
      <c r="T2650" s="385"/>
      <c r="U2650" s="385"/>
      <c r="V2650" s="385"/>
      <c r="W2650" s="385" t="s">
        <v>4710</v>
      </c>
      <c r="X2650" s="1"/>
    </row>
    <row r="2651" spans="1:24">
      <c r="A2651" s="385" t="s">
        <v>51</v>
      </c>
      <c r="B2651" s="385" t="s">
        <v>394</v>
      </c>
      <c r="C2651" s="385" t="s">
        <v>3652</v>
      </c>
      <c r="D2651" s="385" t="s">
        <v>88</v>
      </c>
      <c r="E2651" s="385" t="s">
        <v>145</v>
      </c>
      <c r="F2651" s="385"/>
      <c r="G2651" s="385" t="s">
        <v>133</v>
      </c>
      <c r="H2651" s="385"/>
      <c r="I2651" s="385"/>
      <c r="J2651" s="30"/>
      <c r="K2651" s="385"/>
      <c r="L2651" s="385"/>
      <c r="M2651" s="385"/>
      <c r="N2651" s="385"/>
      <c r="O2651" s="385"/>
      <c r="P2651" s="385" t="str">
        <f>IFERROR(
    IF(
        OR(ISBLANK(I2651), ISBLANK(L2651)),
        "",
        MAX(
            1,
            IF(
                NETWORKDAYS(I2651, L2651, Holiday_Dates) &lt;= 0,
                1,
                NETWORKDAYS(I2651, L2651, Holiday_Dates) - IF(I2651 = L2651, 0, 1)
            )
        )
    ),
    ""
)</f>
        <v/>
      </c>
      <c r="Q2651" s="385" t="str">
        <f>IF(
    OR(ISBLANK(L2651), ISBLANK(M2651)),
    "",
    MAX(
        1,
        IF(
            NETWORKDAYS(L2651, M2651, Holiday_Dates) &lt;= 0,
            1,
            NETWORKDAYS(L2651, M2651, Holiday_Dates) - IF(L2651 = M2651, 0, 1)
        )
    )
)</f>
        <v/>
      </c>
      <c r="R2651" s="385" t="str">
        <f>IFERROR(
    IF(
        OR(ISBLANK(N2651), AND(ISBLANK(L2651), ISBLANK(M2651))),
        "",
        MAX(
            1,
            IF(
                NETWORKDAYS(IF(NOT(ISBLANK(M2651)), M2651, L2651), N2651, Holiday_Dates) &lt;= 0,
                1,
                NETWORKDAYS(IF(NOT(ISBLANK(M2651)), M2651, L2651), N2651, Holiday_Dates)
                - IF(IF(NOT(ISBLANK(M2651)), M2651, L2651) = N2651, 0, 1)
            )
        )
    ),
    ""
)</f>
        <v/>
      </c>
      <c r="S2651" s="385" t="str">
        <f>IFERROR(
    IF(
        OR(ISBLANK(N2651), ISBLANK(O2651)),
        "",
        MAX(
            1,
            IF(
                NETWORKDAYS(N2651, O2651, Holiday_Dates) &lt;= 0,
                1,
                NETWORKDAYS(N2651, O2651, Holiday_Dates) - IF(N2651 = O2651, 0, 1)
            )
        )
    ),
    ""
)</f>
        <v/>
      </c>
      <c r="T2651" s="385"/>
      <c r="U2651" s="385"/>
      <c r="V2651" s="385"/>
      <c r="W2651" s="385" t="s">
        <v>4710</v>
      </c>
      <c r="X2651" s="1"/>
    </row>
    <row r="2652" spans="1:24">
      <c r="A2652" s="385" t="s">
        <v>52</v>
      </c>
      <c r="B2652" s="385" t="s">
        <v>424</v>
      </c>
      <c r="C2652" s="385" t="s">
        <v>4149</v>
      </c>
      <c r="D2652" s="385" t="s">
        <v>89</v>
      </c>
      <c r="E2652" s="385"/>
      <c r="F2652" s="385"/>
      <c r="G2652" s="385"/>
      <c r="H2652" s="385">
        <v>2025</v>
      </c>
      <c r="I2652" s="386">
        <v>45882</v>
      </c>
      <c r="J2652" s="30" t="s">
        <v>5690</v>
      </c>
      <c r="K2652" s="385"/>
      <c r="L2652" s="385"/>
      <c r="M2652" s="385"/>
      <c r="N2652" s="385"/>
      <c r="O2652" s="385"/>
      <c r="P2652" s="385" t="str">
        <f>IFERROR(
    IF(
        OR(ISBLANK(I2652), ISBLANK(L2652)),
        "",
        MAX(
            1,
            IF(
                NETWORKDAYS(I2652, L2652, Holiday_Dates) &lt;= 0,
                1,
                NETWORKDAYS(I2652, L2652, Holiday_Dates) - IF(I2652 = L2652, 0, 1)
            )
        )
    ),
    ""
)</f>
        <v/>
      </c>
      <c r="Q2652" s="385" t="str">
        <f>IF(
    OR(ISBLANK(L2652), ISBLANK(M2652)),
    "",
    MAX(
        1,
        IF(
            NETWORKDAYS(L2652, M2652, Holiday_Dates) &lt;= 0,
            1,
            NETWORKDAYS(L2652, M2652, Holiday_Dates) - IF(L2652 = M2652, 0, 1)
        )
    )
)</f>
        <v/>
      </c>
      <c r="R2652" s="385" t="str">
        <f>IFERROR(
    IF(
        OR(ISBLANK(N2652), AND(ISBLANK(L2652), ISBLANK(M2652))),
        "",
        MAX(
            1,
            IF(
                NETWORKDAYS(IF(NOT(ISBLANK(M2652)), M2652, L2652), N2652, Holiday_Dates) &lt;= 0,
                1,
                NETWORKDAYS(IF(NOT(ISBLANK(M2652)), M2652, L2652), N2652, Holiday_Dates)
                - IF(IF(NOT(ISBLANK(M2652)), M2652, L2652) = N2652, 0, 1)
            )
        )
    ),
    ""
)</f>
        <v/>
      </c>
      <c r="S2652" s="385" t="str">
        <f>IFERROR(
    IF(
        OR(ISBLANK(N2652), ISBLANK(O2652)),
        "",
        MAX(
            1,
            IF(
                NETWORKDAYS(N2652, O2652, Holiday_Dates) &lt;= 0,
                1,
                NETWORKDAYS(N2652, O2652, Holiday_Dates) - IF(N2652 = O2652, 0, 1)
            )
        )
    ),
    ""
)</f>
        <v/>
      </c>
      <c r="T2652" s="385"/>
      <c r="U2652" s="385" t="s">
        <v>672</v>
      </c>
      <c r="V2652" s="385" t="s">
        <v>1676</v>
      </c>
      <c r="W2652" s="385" t="s">
        <v>1436</v>
      </c>
      <c r="X2652" s="1"/>
    </row>
    <row r="2653" spans="1:24">
      <c r="A2653" s="385" t="s">
        <v>51</v>
      </c>
      <c r="B2653" s="385" t="s">
        <v>1361</v>
      </c>
      <c r="C2653" s="385" t="s">
        <v>3850</v>
      </c>
      <c r="D2653" s="385" t="s">
        <v>88</v>
      </c>
      <c r="E2653" s="385" t="s">
        <v>32</v>
      </c>
      <c r="F2653" s="385"/>
      <c r="G2653" s="385" t="s">
        <v>133</v>
      </c>
      <c r="H2653" s="385"/>
      <c r="I2653" s="385"/>
      <c r="J2653" s="30"/>
      <c r="K2653" s="385"/>
      <c r="L2653" s="385"/>
      <c r="M2653" s="385"/>
      <c r="N2653" s="385"/>
      <c r="O2653" s="385"/>
      <c r="P2653" s="385" t="str">
        <f>IFERROR(
    IF(
        OR(ISBLANK(I2653), ISBLANK(L2653)),
        "",
        MAX(
            1,
            IF(
                NETWORKDAYS(I2653, L2653, Holiday_Dates) &lt;= 0,
                1,
                NETWORKDAYS(I2653, L2653, Holiday_Dates) - IF(I2653 = L2653, 0, 1)
            )
        )
    ),
    ""
)</f>
        <v/>
      </c>
      <c r="Q2653" s="385" t="str">
        <f>IF(
    OR(ISBLANK(L2653), ISBLANK(M2653)),
    "",
    MAX(
        1,
        IF(
            NETWORKDAYS(L2653, M2653, Holiday_Dates) &lt;= 0,
            1,
            NETWORKDAYS(L2653, M2653, Holiday_Dates) - IF(L2653 = M2653, 0, 1)
        )
    )
)</f>
        <v/>
      </c>
      <c r="R2653" s="385" t="str">
        <f>IFERROR(
    IF(
        OR(ISBLANK(N2653), AND(ISBLANK(L2653), ISBLANK(M2653))),
        "",
        MAX(
            1,
            IF(
                NETWORKDAYS(IF(NOT(ISBLANK(M2653)), M2653, L2653), N2653, Holiday_Dates) &lt;= 0,
                1,
                NETWORKDAYS(IF(NOT(ISBLANK(M2653)), M2653, L2653), N2653, Holiday_Dates)
                - IF(IF(NOT(ISBLANK(M2653)), M2653, L2653) = N2653, 0, 1)
            )
        )
    ),
    ""
)</f>
        <v/>
      </c>
      <c r="S2653" s="385" t="str">
        <f>IFERROR(
    IF(
        OR(ISBLANK(N2653), ISBLANK(O2653)),
        "",
        MAX(
            1,
            IF(
                NETWORKDAYS(N2653, O2653, Holiday_Dates) &lt;= 0,
                1,
                NETWORKDAYS(N2653, O2653, Holiday_Dates) - IF(N2653 = O2653, 0, 1)
            )
        )
    ),
    ""
)</f>
        <v/>
      </c>
      <c r="T2653" s="385"/>
      <c r="U2653" s="385"/>
      <c r="V2653" s="385"/>
      <c r="W2653" s="385" t="s">
        <v>4710</v>
      </c>
      <c r="X2653" s="1"/>
    </row>
    <row r="2654" spans="1:24">
      <c r="A2654" s="385" t="s">
        <v>52</v>
      </c>
      <c r="B2654" s="385" t="s">
        <v>424</v>
      </c>
      <c r="C2654" s="385" t="s">
        <v>4151</v>
      </c>
      <c r="D2654" s="385" t="s">
        <v>89</v>
      </c>
      <c r="E2654" s="385"/>
      <c r="F2654" s="385"/>
      <c r="G2654" s="385"/>
      <c r="H2654" s="385">
        <v>2025</v>
      </c>
      <c r="I2654" s="386">
        <v>45944</v>
      </c>
      <c r="J2654" s="30" t="s">
        <v>5691</v>
      </c>
      <c r="K2654" s="385"/>
      <c r="L2654" s="385"/>
      <c r="M2654" s="385"/>
      <c r="N2654" s="385"/>
      <c r="O2654" s="385"/>
      <c r="P2654" s="385" t="str">
        <f>IFERROR(
    IF(
        OR(ISBLANK(I2654), ISBLANK(L2654)),
        "",
        MAX(
            1,
            IF(
                NETWORKDAYS(I2654, L2654, Holiday_Dates) &lt;= 0,
                1,
                NETWORKDAYS(I2654, L2654, Holiday_Dates) - IF(I2654 = L2654, 0, 1)
            )
        )
    ),
    ""
)</f>
        <v/>
      </c>
      <c r="Q2654" s="385" t="str">
        <f>IF(
    OR(ISBLANK(L2654), ISBLANK(M2654)),
    "",
    MAX(
        1,
        IF(
            NETWORKDAYS(L2654, M2654, Holiday_Dates) &lt;= 0,
            1,
            NETWORKDAYS(L2654, M2654, Holiday_Dates) - IF(L2654 = M2654, 0, 1)
        )
    )
)</f>
        <v/>
      </c>
      <c r="R2654" s="385" t="str">
        <f>IFERROR(
    IF(
        OR(ISBLANK(N2654), AND(ISBLANK(L2654), ISBLANK(M2654))),
        "",
        MAX(
            1,
            IF(
                NETWORKDAYS(IF(NOT(ISBLANK(M2654)), M2654, L2654), N2654, Holiday_Dates) &lt;= 0,
                1,
                NETWORKDAYS(IF(NOT(ISBLANK(M2654)), M2654, L2654), N2654, Holiday_Dates)
                - IF(IF(NOT(ISBLANK(M2654)), M2654, L2654) = N2654, 0, 1)
            )
        )
    ),
    ""
)</f>
        <v/>
      </c>
      <c r="S2654" s="385" t="str">
        <f>IFERROR(
    IF(
        OR(ISBLANK(N2654), ISBLANK(O2654)),
        "",
        MAX(
            1,
            IF(
                NETWORKDAYS(N2654, O2654, Holiday_Dates) &lt;= 0,
                1,
                NETWORKDAYS(N2654, O2654, Holiday_Dates) - IF(N2654 = O2654, 0, 1)
            )
        )
    ),
    ""
)</f>
        <v/>
      </c>
      <c r="T2654" s="385"/>
      <c r="U2654" s="385" t="s">
        <v>672</v>
      </c>
      <c r="V2654" s="385" t="s">
        <v>1676</v>
      </c>
      <c r="W2654" s="385" t="s">
        <v>1436</v>
      </c>
      <c r="X2654" s="1"/>
    </row>
    <row r="2655" spans="1:24">
      <c r="A2655" s="385" t="s">
        <v>51</v>
      </c>
      <c r="B2655" s="385" t="s">
        <v>1361</v>
      </c>
      <c r="C2655" s="385" t="s">
        <v>520</v>
      </c>
      <c r="D2655" s="385" t="s">
        <v>88</v>
      </c>
      <c r="E2655" s="385" t="s">
        <v>32</v>
      </c>
      <c r="F2655" s="385"/>
      <c r="G2655" s="385" t="s">
        <v>133</v>
      </c>
      <c r="H2655" s="385"/>
      <c r="I2655" s="386"/>
      <c r="J2655" s="30"/>
      <c r="K2655" s="385"/>
      <c r="L2655" s="385"/>
      <c r="M2655" s="385"/>
      <c r="N2655" s="385"/>
      <c r="O2655" s="385"/>
      <c r="P2655" s="385" t="str">
        <f>IFERROR(
    IF(
        OR(ISBLANK(I2655), ISBLANK(L2655)),
        "",
        MAX(
            1,
            IF(
                NETWORKDAYS(I2655, L2655, Holiday_Dates) &lt;= 0,
                1,
                NETWORKDAYS(I2655, L2655, Holiday_Dates) - IF(I2655 = L2655, 0, 1)
            )
        )
    ),
    ""
)</f>
        <v/>
      </c>
      <c r="Q2655" s="385" t="str">
        <f>IF(
    OR(ISBLANK(L2655), ISBLANK(M2655)),
    "",
    MAX(
        1,
        IF(
            NETWORKDAYS(L2655, M2655, Holiday_Dates) &lt;= 0,
            1,
            NETWORKDAYS(L2655, M2655, Holiday_Dates) - IF(L2655 = M2655, 0, 1)
        )
    )
)</f>
        <v/>
      </c>
      <c r="R2655" s="385" t="str">
        <f>IFERROR(
    IF(
        OR(ISBLANK(N2655), AND(ISBLANK(L2655), ISBLANK(M2655))),
        "",
        MAX(
            1,
            IF(
                NETWORKDAYS(IF(NOT(ISBLANK(M2655)), M2655, L2655), N2655, Holiday_Dates) &lt;= 0,
                1,
                NETWORKDAYS(IF(NOT(ISBLANK(M2655)), M2655, L2655), N2655, Holiday_Dates)
                - IF(IF(NOT(ISBLANK(M2655)), M2655, L2655) = N2655, 0, 1)
            )
        )
    ),
    ""
)</f>
        <v/>
      </c>
      <c r="S2655" s="385" t="str">
        <f>IFERROR(
    IF(
        OR(ISBLANK(N2655), ISBLANK(O2655)),
        "",
        MAX(
            1,
            IF(
                NETWORKDAYS(N2655, O2655, Holiday_Dates) &lt;= 0,
                1,
                NETWORKDAYS(N2655, O2655, Holiday_Dates) - IF(N2655 = O2655, 0, 1)
            )
        )
    ),
    ""
)</f>
        <v/>
      </c>
      <c r="T2655" s="385"/>
      <c r="U2655" s="385"/>
      <c r="V2655" s="385"/>
      <c r="W2655" s="385" t="s">
        <v>4710</v>
      </c>
      <c r="X2655" s="1"/>
    </row>
    <row r="2656" spans="1:24">
      <c r="A2656" s="385" t="s">
        <v>52</v>
      </c>
      <c r="B2656" s="385" t="s">
        <v>424</v>
      </c>
      <c r="C2656" s="385" t="s">
        <v>4153</v>
      </c>
      <c r="D2656" s="385" t="s">
        <v>89</v>
      </c>
      <c r="E2656" s="385"/>
      <c r="F2656" s="385"/>
      <c r="G2656" s="385"/>
      <c r="H2656" s="385">
        <v>2025</v>
      </c>
      <c r="I2656" s="386">
        <v>45790</v>
      </c>
      <c r="J2656" s="30" t="s">
        <v>5692</v>
      </c>
      <c r="K2656" s="385"/>
      <c r="L2656" s="385"/>
      <c r="M2656" s="385"/>
      <c r="N2656" s="385"/>
      <c r="O2656" s="385"/>
      <c r="P2656" s="385" t="str">
        <f>IFERROR(
    IF(
        OR(ISBLANK(I2656), ISBLANK(L2656)),
        "",
        MAX(
            1,
            IF(
                NETWORKDAYS(I2656, L2656, Holiday_Dates) &lt;= 0,
                1,
                NETWORKDAYS(I2656, L2656, Holiday_Dates) - IF(I2656 = L2656, 0, 1)
            )
        )
    ),
    ""
)</f>
        <v/>
      </c>
      <c r="Q2656" s="385" t="str">
        <f>IF(
    OR(ISBLANK(L2656), ISBLANK(M2656)),
    "",
    MAX(
        1,
        IF(
            NETWORKDAYS(L2656, M2656, Holiday_Dates) &lt;= 0,
            1,
            NETWORKDAYS(L2656, M2656, Holiday_Dates) - IF(L2656 = M2656, 0, 1)
        )
    )
)</f>
        <v/>
      </c>
      <c r="R2656" s="385" t="str">
        <f>IFERROR(
    IF(
        OR(ISBLANK(N2656), AND(ISBLANK(L2656), ISBLANK(M2656))),
        "",
        MAX(
            1,
            IF(
                NETWORKDAYS(IF(NOT(ISBLANK(M2656)), M2656, L2656), N2656, Holiday_Dates) &lt;= 0,
                1,
                NETWORKDAYS(IF(NOT(ISBLANK(M2656)), M2656, L2656), N2656, Holiday_Dates)
                - IF(IF(NOT(ISBLANK(M2656)), M2656, L2656) = N2656, 0, 1)
            )
        )
    ),
    ""
)</f>
        <v/>
      </c>
      <c r="S2656" s="385" t="str">
        <f>IFERROR(
    IF(
        OR(ISBLANK(N2656), ISBLANK(O2656)),
        "",
        MAX(
            1,
            IF(
                NETWORKDAYS(N2656, O2656, Holiday_Dates) &lt;= 0,
                1,
                NETWORKDAYS(N2656, O2656, Holiday_Dates) - IF(N2656 = O2656, 0, 1)
            )
        )
    ),
    ""
)</f>
        <v/>
      </c>
      <c r="T2656" s="385"/>
      <c r="U2656" s="385" t="s">
        <v>672</v>
      </c>
      <c r="V2656" s="385" t="s">
        <v>1676</v>
      </c>
      <c r="W2656" s="385" t="s">
        <v>1436</v>
      </c>
      <c r="X2656" s="1"/>
    </row>
    <row r="2657" spans="1:24">
      <c r="A2657" s="385" t="s">
        <v>52</v>
      </c>
      <c r="B2657" s="385" t="s">
        <v>424</v>
      </c>
      <c r="C2657" s="385" t="s">
        <v>1087</v>
      </c>
      <c r="D2657" s="385" t="s">
        <v>89</v>
      </c>
      <c r="E2657" s="385"/>
      <c r="F2657" s="385"/>
      <c r="G2657" s="385"/>
      <c r="H2657" s="385">
        <v>2025</v>
      </c>
      <c r="I2657" s="386">
        <v>45790</v>
      </c>
      <c r="J2657" s="30" t="s">
        <v>5693</v>
      </c>
      <c r="K2657" s="385"/>
      <c r="L2657" s="385"/>
      <c r="M2657" s="385"/>
      <c r="N2657" s="385"/>
      <c r="O2657" s="385"/>
      <c r="P2657" s="385" t="str">
        <f>IFERROR(
    IF(
        OR(ISBLANK(I2657), ISBLANK(L2657)),
        "",
        MAX(
            1,
            IF(
                NETWORKDAYS(I2657, L2657, Holiday_Dates) &lt;= 0,
                1,
                NETWORKDAYS(I2657, L2657, Holiday_Dates) - IF(I2657 = L2657, 0, 1)
            )
        )
    ),
    ""
)</f>
        <v/>
      </c>
      <c r="Q2657" s="385" t="str">
        <f>IF(
    OR(ISBLANK(L2657), ISBLANK(M2657)),
    "",
    MAX(
        1,
        IF(
            NETWORKDAYS(L2657, M2657, Holiday_Dates) &lt;= 0,
            1,
            NETWORKDAYS(L2657, M2657, Holiday_Dates) - IF(L2657 = M2657, 0, 1)
        )
    )
)</f>
        <v/>
      </c>
      <c r="R2657" s="385" t="str">
        <f>IFERROR(
    IF(
        OR(ISBLANK(N2657), AND(ISBLANK(L2657), ISBLANK(M2657))),
        "",
        MAX(
            1,
            IF(
                NETWORKDAYS(IF(NOT(ISBLANK(M2657)), M2657, L2657), N2657, Holiday_Dates) &lt;= 0,
                1,
                NETWORKDAYS(IF(NOT(ISBLANK(M2657)), M2657, L2657), N2657, Holiday_Dates)
                - IF(IF(NOT(ISBLANK(M2657)), M2657, L2657) = N2657, 0, 1)
            )
        )
    ),
    ""
)</f>
        <v/>
      </c>
      <c r="S2657" s="385" t="str">
        <f>IFERROR(
    IF(
        OR(ISBLANK(N2657), ISBLANK(O2657)),
        "",
        MAX(
            1,
            IF(
                NETWORKDAYS(N2657, O2657, Holiday_Dates) &lt;= 0,
                1,
                NETWORKDAYS(N2657, O2657, Holiday_Dates) - IF(N2657 = O2657, 0, 1)
            )
        )
    ),
    ""
)</f>
        <v/>
      </c>
      <c r="T2657" s="385"/>
      <c r="U2657" s="385" t="s">
        <v>672</v>
      </c>
      <c r="V2657" s="385" t="s">
        <v>1676</v>
      </c>
      <c r="W2657" s="385" t="s">
        <v>1436</v>
      </c>
      <c r="X2657" s="1"/>
    </row>
    <row r="2658" spans="1:24">
      <c r="A2658" s="385" t="s">
        <v>52</v>
      </c>
      <c r="B2658" s="385" t="s">
        <v>424</v>
      </c>
      <c r="C2658" s="385" t="s">
        <v>3114</v>
      </c>
      <c r="D2658" s="385" t="s">
        <v>89</v>
      </c>
      <c r="E2658" s="385"/>
      <c r="F2658" s="385"/>
      <c r="G2658" s="385"/>
      <c r="H2658" s="385">
        <v>2025</v>
      </c>
      <c r="I2658" s="386">
        <v>45790</v>
      </c>
      <c r="J2658" s="30" t="s">
        <v>5694</v>
      </c>
      <c r="K2658" s="385"/>
      <c r="L2658" s="385"/>
      <c r="M2658" s="385"/>
      <c r="N2658" s="385"/>
      <c r="O2658" s="385"/>
      <c r="P2658" s="385" t="str">
        <f>IFERROR(
    IF(
        OR(ISBLANK(I2658), ISBLANK(L2658)),
        "",
        MAX(
            1,
            IF(
                NETWORKDAYS(I2658, L2658, Holiday_Dates) &lt;= 0,
                1,
                NETWORKDAYS(I2658, L2658, Holiday_Dates) - IF(I2658 = L2658, 0, 1)
            )
        )
    ),
    ""
)</f>
        <v/>
      </c>
      <c r="Q2658" s="385" t="str">
        <f>IF(
    OR(ISBLANK(L2658), ISBLANK(M2658)),
    "",
    MAX(
        1,
        IF(
            NETWORKDAYS(L2658, M2658, Holiday_Dates) &lt;= 0,
            1,
            NETWORKDAYS(L2658, M2658, Holiday_Dates) - IF(L2658 = M2658, 0, 1)
        )
    )
)</f>
        <v/>
      </c>
      <c r="R2658" s="385" t="str">
        <f>IFERROR(
    IF(
        OR(ISBLANK(N2658), AND(ISBLANK(L2658), ISBLANK(M2658))),
        "",
        MAX(
            1,
            IF(
                NETWORKDAYS(IF(NOT(ISBLANK(M2658)), M2658, L2658), N2658, Holiday_Dates) &lt;= 0,
                1,
                NETWORKDAYS(IF(NOT(ISBLANK(M2658)), M2658, L2658), N2658, Holiday_Dates)
                - IF(IF(NOT(ISBLANK(M2658)), M2658, L2658) = N2658, 0, 1)
            )
        )
    ),
    ""
)</f>
        <v/>
      </c>
      <c r="S2658" s="385" t="str">
        <f>IFERROR(
    IF(
        OR(ISBLANK(N2658), ISBLANK(O2658)),
        "",
        MAX(
            1,
            IF(
                NETWORKDAYS(N2658, O2658, Holiday_Dates) &lt;= 0,
                1,
                NETWORKDAYS(N2658, O2658, Holiday_Dates) - IF(N2658 = O2658, 0, 1)
            )
        )
    ),
    ""
)</f>
        <v/>
      </c>
      <c r="T2658" s="385"/>
      <c r="U2658" s="385" t="s">
        <v>4</v>
      </c>
      <c r="V2658" s="385" t="s">
        <v>101</v>
      </c>
      <c r="W2658" s="385" t="s">
        <v>1436</v>
      </c>
      <c r="X2658" s="1"/>
    </row>
    <row r="2659" spans="1:24">
      <c r="A2659" s="385" t="s">
        <v>52</v>
      </c>
      <c r="B2659" s="385" t="s">
        <v>424</v>
      </c>
      <c r="C2659" s="385" t="s">
        <v>3184</v>
      </c>
      <c r="D2659" s="385" t="s">
        <v>89</v>
      </c>
      <c r="E2659" s="385"/>
      <c r="F2659" s="385"/>
      <c r="G2659" s="385"/>
      <c r="H2659" s="385">
        <v>2025</v>
      </c>
      <c r="I2659" s="386">
        <v>45944</v>
      </c>
      <c r="J2659" s="30" t="s">
        <v>5695</v>
      </c>
      <c r="K2659" s="385"/>
      <c r="L2659" s="385"/>
      <c r="M2659" s="385"/>
      <c r="N2659" s="385"/>
      <c r="O2659" s="385"/>
      <c r="P2659" s="385" t="str">
        <f>IFERROR(
    IF(
        OR(ISBLANK(I2659), ISBLANK(L2659)),
        "",
        MAX(
            1,
            IF(
                NETWORKDAYS(I2659, L2659, Holiday_Dates) &lt;= 0,
                1,
                NETWORKDAYS(I2659, L2659, Holiday_Dates) - IF(I2659 = L2659, 0, 1)
            )
        )
    ),
    ""
)</f>
        <v/>
      </c>
      <c r="Q2659" s="385" t="str">
        <f>IF(
    OR(ISBLANK(L2659), ISBLANK(M2659)),
    "",
    MAX(
        1,
        IF(
            NETWORKDAYS(L2659, M2659, Holiday_Dates) &lt;= 0,
            1,
            NETWORKDAYS(L2659, M2659, Holiday_Dates) - IF(L2659 = M2659, 0, 1)
        )
    )
)</f>
        <v/>
      </c>
      <c r="R2659" s="385" t="str">
        <f>IFERROR(
    IF(
        OR(ISBLANK(N2659), AND(ISBLANK(L2659), ISBLANK(M2659))),
        "",
        MAX(
            1,
            IF(
                NETWORKDAYS(IF(NOT(ISBLANK(M2659)), M2659, L2659), N2659, Holiday_Dates) &lt;= 0,
                1,
                NETWORKDAYS(IF(NOT(ISBLANK(M2659)), M2659, L2659), N2659, Holiday_Dates)
                - IF(IF(NOT(ISBLANK(M2659)), M2659, L2659) = N2659, 0, 1)
            )
        )
    ),
    ""
)</f>
        <v/>
      </c>
      <c r="S2659" s="385" t="str">
        <f>IFERROR(
    IF(
        OR(ISBLANK(N2659), ISBLANK(O2659)),
        "",
        MAX(
            1,
            IF(
                NETWORKDAYS(N2659, O2659, Holiday_Dates) &lt;= 0,
                1,
                NETWORKDAYS(N2659, O2659, Holiday_Dates) - IF(N2659 = O2659, 0, 1)
            )
        )
    ),
    ""
)</f>
        <v/>
      </c>
      <c r="T2659" s="385"/>
      <c r="U2659" s="385" t="s">
        <v>672</v>
      </c>
      <c r="V2659" s="385" t="s">
        <v>1676</v>
      </c>
      <c r="W2659" s="385" t="s">
        <v>1436</v>
      </c>
      <c r="X2659" s="1"/>
    </row>
    <row r="2660" spans="1:24">
      <c r="A2660" s="385" t="s">
        <v>52</v>
      </c>
      <c r="B2660" s="385" t="s">
        <v>424</v>
      </c>
      <c r="C2660" s="385" t="s">
        <v>4154</v>
      </c>
      <c r="D2660" s="385" t="s">
        <v>89</v>
      </c>
      <c r="E2660" s="385"/>
      <c r="F2660" s="385"/>
      <c r="G2660" s="385"/>
      <c r="H2660" s="385">
        <v>2025</v>
      </c>
      <c r="I2660" s="386">
        <v>45825</v>
      </c>
      <c r="J2660" s="30" t="s">
        <v>5696</v>
      </c>
      <c r="K2660" s="385"/>
      <c r="L2660" s="385"/>
      <c r="M2660" s="385"/>
      <c r="N2660" s="385"/>
      <c r="O2660" s="385"/>
      <c r="P2660" s="385" t="str">
        <f>IFERROR(
    IF(
        OR(ISBLANK(I2660), ISBLANK(L2660)),
        "",
        MAX(
            1,
            IF(
                NETWORKDAYS(I2660, L2660, Holiday_Dates) &lt;= 0,
                1,
                NETWORKDAYS(I2660, L2660, Holiday_Dates) - IF(I2660 = L2660, 0, 1)
            )
        )
    ),
    ""
)</f>
        <v/>
      </c>
      <c r="Q2660" s="385" t="str">
        <f>IF(
    OR(ISBLANK(L2660), ISBLANK(M2660)),
    "",
    MAX(
        1,
        IF(
            NETWORKDAYS(L2660, M2660, Holiday_Dates) &lt;= 0,
            1,
            NETWORKDAYS(L2660, M2660, Holiday_Dates) - IF(L2660 = M2660, 0, 1)
        )
    )
)</f>
        <v/>
      </c>
      <c r="R2660" s="385" t="str">
        <f>IFERROR(
    IF(
        OR(ISBLANK(N2660), AND(ISBLANK(L2660), ISBLANK(M2660))),
        "",
        MAX(
            1,
            IF(
                NETWORKDAYS(IF(NOT(ISBLANK(M2660)), M2660, L2660), N2660, Holiday_Dates) &lt;= 0,
                1,
                NETWORKDAYS(IF(NOT(ISBLANK(M2660)), M2660, L2660), N2660, Holiday_Dates)
                - IF(IF(NOT(ISBLANK(M2660)), M2660, L2660) = N2660, 0, 1)
            )
        )
    ),
    ""
)</f>
        <v/>
      </c>
      <c r="S2660" s="385" t="str">
        <f>IFERROR(
    IF(
        OR(ISBLANK(N2660), ISBLANK(O2660)),
        "",
        MAX(
            1,
            IF(
                NETWORKDAYS(N2660, O2660, Holiday_Dates) &lt;= 0,
                1,
                NETWORKDAYS(N2660, O2660, Holiday_Dates) - IF(N2660 = O2660, 0, 1)
            )
        )
    ),
    ""
)</f>
        <v/>
      </c>
      <c r="T2660" s="385"/>
      <c r="U2660" s="385" t="s">
        <v>672</v>
      </c>
      <c r="V2660" s="385" t="s">
        <v>101</v>
      </c>
      <c r="W2660" s="385" t="s">
        <v>1436</v>
      </c>
      <c r="X2660" s="1"/>
    </row>
    <row r="2661" spans="1:24">
      <c r="A2661" s="385" t="s">
        <v>52</v>
      </c>
      <c r="B2661" s="385" t="s">
        <v>424</v>
      </c>
      <c r="C2661" s="385" t="s">
        <v>4155</v>
      </c>
      <c r="D2661" s="385" t="s">
        <v>89</v>
      </c>
      <c r="E2661" s="385"/>
      <c r="F2661" s="385"/>
      <c r="G2661" s="385"/>
      <c r="H2661" s="385">
        <v>2025</v>
      </c>
      <c r="I2661" s="386">
        <v>45825</v>
      </c>
      <c r="J2661" s="30" t="s">
        <v>5697</v>
      </c>
      <c r="K2661" s="385"/>
      <c r="L2661" s="385"/>
      <c r="M2661" s="385"/>
      <c r="N2661" s="385"/>
      <c r="O2661" s="385"/>
      <c r="P2661" s="385" t="str">
        <f>IFERROR(
    IF(
        OR(ISBLANK(I2661), ISBLANK(L2661)),
        "",
        MAX(
            1,
            IF(
                NETWORKDAYS(I2661, L2661, Holiday_Dates) &lt;= 0,
                1,
                NETWORKDAYS(I2661, L2661, Holiday_Dates) - IF(I2661 = L2661, 0, 1)
            )
        )
    ),
    ""
)</f>
        <v/>
      </c>
      <c r="Q2661" s="385" t="str">
        <f>IF(
    OR(ISBLANK(L2661), ISBLANK(M2661)),
    "",
    MAX(
        1,
        IF(
            NETWORKDAYS(L2661, M2661, Holiday_Dates) &lt;= 0,
            1,
            NETWORKDAYS(L2661, M2661, Holiday_Dates) - IF(L2661 = M2661, 0, 1)
        )
    )
)</f>
        <v/>
      </c>
      <c r="R2661" s="385" t="str">
        <f>IFERROR(
    IF(
        OR(ISBLANK(N2661), AND(ISBLANK(L2661), ISBLANK(M2661))),
        "",
        MAX(
            1,
            IF(
                NETWORKDAYS(IF(NOT(ISBLANK(M2661)), M2661, L2661), N2661, Holiday_Dates) &lt;= 0,
                1,
                NETWORKDAYS(IF(NOT(ISBLANK(M2661)), M2661, L2661), N2661, Holiday_Dates)
                - IF(IF(NOT(ISBLANK(M2661)), M2661, L2661) = N2661, 0, 1)
            )
        )
    ),
    ""
)</f>
        <v/>
      </c>
      <c r="S2661" s="385" t="str">
        <f>IFERROR(
    IF(
        OR(ISBLANK(N2661), ISBLANK(O2661)),
        "",
        MAX(
            1,
            IF(
                NETWORKDAYS(N2661, O2661, Holiday_Dates) &lt;= 0,
                1,
                NETWORKDAYS(N2661, O2661, Holiday_Dates) - IF(N2661 = O2661, 0, 1)
            )
        )
    ),
    ""
)</f>
        <v/>
      </c>
      <c r="T2661" s="385"/>
      <c r="U2661" s="385" t="s">
        <v>672</v>
      </c>
      <c r="V2661" s="385" t="s">
        <v>1676</v>
      </c>
      <c r="W2661" s="385" t="s">
        <v>1436</v>
      </c>
      <c r="X2661" s="1"/>
    </row>
    <row r="2662" spans="1:24">
      <c r="A2662" s="385" t="s">
        <v>51</v>
      </c>
      <c r="B2662" s="385" t="s">
        <v>1361</v>
      </c>
      <c r="C2662" s="385" t="s">
        <v>3851</v>
      </c>
      <c r="D2662" s="385" t="s">
        <v>88</v>
      </c>
      <c r="E2662" s="385" t="s">
        <v>32</v>
      </c>
      <c r="F2662" s="385"/>
      <c r="G2662" s="385" t="s">
        <v>133</v>
      </c>
      <c r="H2662" s="385"/>
      <c r="I2662" s="385"/>
      <c r="J2662" s="30"/>
      <c r="K2662" s="385"/>
      <c r="L2662" s="385"/>
      <c r="M2662" s="385"/>
      <c r="N2662" s="385"/>
      <c r="O2662" s="385"/>
      <c r="P2662" s="385" t="str">
        <f>IFERROR(
    IF(
        OR(ISBLANK(I2662), ISBLANK(L2662)),
        "",
        MAX(
            1,
            IF(
                NETWORKDAYS(I2662, L2662, Holiday_Dates) &lt;= 0,
                1,
                NETWORKDAYS(I2662, L2662, Holiday_Dates) - IF(I2662 = L2662, 0, 1)
            )
        )
    ),
    ""
)</f>
        <v/>
      </c>
      <c r="Q2662" s="385" t="str">
        <f>IF(
    OR(ISBLANK(L2662), ISBLANK(M2662)),
    "",
    MAX(
        1,
        IF(
            NETWORKDAYS(L2662, M2662, Holiday_Dates) &lt;= 0,
            1,
            NETWORKDAYS(L2662, M2662, Holiday_Dates) - IF(L2662 = M2662, 0, 1)
        )
    )
)</f>
        <v/>
      </c>
      <c r="R2662" s="385" t="str">
        <f>IFERROR(
    IF(
        OR(ISBLANK(N2662), AND(ISBLANK(L2662), ISBLANK(M2662))),
        "",
        MAX(
            1,
            IF(
                NETWORKDAYS(IF(NOT(ISBLANK(M2662)), M2662, L2662), N2662, Holiday_Dates) &lt;= 0,
                1,
                NETWORKDAYS(IF(NOT(ISBLANK(M2662)), M2662, L2662), N2662, Holiday_Dates)
                - IF(IF(NOT(ISBLANK(M2662)), M2662, L2662) = N2662, 0, 1)
            )
        )
    ),
    ""
)</f>
        <v/>
      </c>
      <c r="S2662" s="385" t="str">
        <f>IFERROR(
    IF(
        OR(ISBLANK(N2662), ISBLANK(O2662)),
        "",
        MAX(
            1,
            IF(
                NETWORKDAYS(N2662, O2662, Holiday_Dates) &lt;= 0,
                1,
                NETWORKDAYS(N2662, O2662, Holiday_Dates) - IF(N2662 = O2662, 0, 1)
            )
        )
    ),
    ""
)</f>
        <v/>
      </c>
      <c r="T2662" s="385"/>
      <c r="U2662" s="385"/>
      <c r="V2662" s="385"/>
      <c r="W2662" s="385" t="s">
        <v>4710</v>
      </c>
      <c r="X2662" s="1"/>
    </row>
    <row r="2663" spans="1:24">
      <c r="A2663" s="385" t="s">
        <v>52</v>
      </c>
      <c r="B2663" s="385" t="s">
        <v>424</v>
      </c>
      <c r="C2663" s="385" t="s">
        <v>520</v>
      </c>
      <c r="D2663" s="385" t="s">
        <v>89</v>
      </c>
      <c r="E2663" s="385"/>
      <c r="F2663" s="385"/>
      <c r="G2663" s="385"/>
      <c r="H2663" s="385">
        <v>2024</v>
      </c>
      <c r="I2663" s="386">
        <v>45545</v>
      </c>
      <c r="J2663" s="30"/>
      <c r="K2663" s="385"/>
      <c r="L2663" s="385"/>
      <c r="M2663" s="385"/>
      <c r="N2663" s="385"/>
      <c r="O2663" s="385"/>
      <c r="P2663" s="385" t="str">
        <f>IFERROR(
    IF(
        OR(ISBLANK(I2663), ISBLANK(L2663)),
        "",
        MAX(
            1,
            IF(
                NETWORKDAYS(I2663, L2663, Holiday_Dates) &lt;= 0,
                1,
                NETWORKDAYS(I2663, L2663, Holiday_Dates) - IF(I2663 = L2663, 0, 1)
            )
        )
    ),
    ""
)</f>
        <v/>
      </c>
      <c r="Q2663" s="385" t="str">
        <f>IF(
    OR(ISBLANK(L2663), ISBLANK(M2663)),
    "",
    MAX(
        1,
        IF(
            NETWORKDAYS(L2663, M2663, Holiday_Dates) &lt;= 0,
            1,
            NETWORKDAYS(L2663, M2663, Holiday_Dates) - IF(L2663 = M2663, 0, 1)
        )
    )
)</f>
        <v/>
      </c>
      <c r="R2663" s="385" t="str">
        <f>IFERROR(
    IF(
        OR(ISBLANK(N2663), AND(ISBLANK(L2663), ISBLANK(M2663))),
        "",
        MAX(
            1,
            IF(
                NETWORKDAYS(IF(NOT(ISBLANK(M2663)), M2663, L2663), N2663, Holiday_Dates) &lt;= 0,
                1,
                NETWORKDAYS(IF(NOT(ISBLANK(M2663)), M2663, L2663), N2663, Holiday_Dates)
                - IF(IF(NOT(ISBLANK(M2663)), M2663, L2663) = N2663, 0, 1)
            )
        )
    ),
    ""
)</f>
        <v/>
      </c>
      <c r="S2663" s="385" t="str">
        <f>IFERROR(
    IF(
        OR(ISBLANK(N2663), ISBLANK(O2663)),
        "",
        MAX(
            1,
            IF(
                NETWORKDAYS(N2663, O2663, Holiday_Dates) &lt;= 0,
                1,
                NETWORKDAYS(N2663, O2663, Holiday_Dates) - IF(N2663 = O2663, 0, 1)
            )
        )
    ),
    ""
)</f>
        <v/>
      </c>
      <c r="T2663" s="385"/>
      <c r="U2663" s="385" t="s">
        <v>672</v>
      </c>
      <c r="V2663" s="385" t="s">
        <v>101</v>
      </c>
      <c r="W2663" s="385" t="s">
        <v>1436</v>
      </c>
      <c r="X2663" s="1"/>
    </row>
    <row r="2664" spans="1:24">
      <c r="A2664" s="385" t="s">
        <v>51</v>
      </c>
      <c r="B2664" s="385" t="s">
        <v>1361</v>
      </c>
      <c r="C2664" s="385" t="s">
        <v>2347</v>
      </c>
      <c r="D2664" s="385" t="s">
        <v>88</v>
      </c>
      <c r="E2664" s="385" t="s">
        <v>32</v>
      </c>
      <c r="F2664" s="385"/>
      <c r="G2664" s="385" t="s">
        <v>133</v>
      </c>
      <c r="H2664" s="385"/>
      <c r="I2664" s="385"/>
      <c r="J2664" s="30"/>
      <c r="K2664" s="385"/>
      <c r="L2664" s="385"/>
      <c r="M2664" s="385"/>
      <c r="N2664" s="385"/>
      <c r="O2664" s="385"/>
      <c r="P2664" s="385" t="str">
        <f>IFERROR(
    IF(
        OR(ISBLANK(I2664), ISBLANK(L2664)),
        "",
        MAX(
            1,
            IF(
                NETWORKDAYS(I2664, L2664, Holiday_Dates) &lt;= 0,
                1,
                NETWORKDAYS(I2664, L2664, Holiday_Dates) - IF(I2664 = L2664, 0, 1)
            )
        )
    ),
    ""
)</f>
        <v/>
      </c>
      <c r="Q2664" s="385" t="str">
        <f>IF(
    OR(ISBLANK(L2664), ISBLANK(M2664)),
    "",
    MAX(
        1,
        IF(
            NETWORKDAYS(L2664, M2664, Holiday_Dates) &lt;= 0,
            1,
            NETWORKDAYS(L2664, M2664, Holiday_Dates) - IF(L2664 = M2664, 0, 1)
        )
    )
)</f>
        <v/>
      </c>
      <c r="R2664" s="385" t="str">
        <f>IFERROR(
    IF(
        OR(ISBLANK(N2664), AND(ISBLANK(L2664), ISBLANK(M2664))),
        "",
        MAX(
            1,
            IF(
                NETWORKDAYS(IF(NOT(ISBLANK(M2664)), M2664, L2664), N2664, Holiday_Dates) &lt;= 0,
                1,
                NETWORKDAYS(IF(NOT(ISBLANK(M2664)), M2664, L2664), N2664, Holiday_Dates)
                - IF(IF(NOT(ISBLANK(M2664)), M2664, L2664) = N2664, 0, 1)
            )
        )
    ),
    ""
)</f>
        <v/>
      </c>
      <c r="S2664" s="385" t="str">
        <f>IFERROR(
    IF(
        OR(ISBLANK(N2664), ISBLANK(O2664)),
        "",
        MAX(
            1,
            IF(
                NETWORKDAYS(N2664, O2664, Holiday_Dates) &lt;= 0,
                1,
                NETWORKDAYS(N2664, O2664, Holiday_Dates) - IF(N2664 = O2664, 0, 1)
            )
        )
    ),
    ""
)</f>
        <v/>
      </c>
      <c r="T2664" s="385"/>
      <c r="U2664" s="385"/>
      <c r="V2664" s="385"/>
      <c r="W2664" s="385" t="s">
        <v>4710</v>
      </c>
      <c r="X2664" s="1"/>
    </row>
    <row r="2665" spans="1:24">
      <c r="A2665" s="385" t="s">
        <v>52</v>
      </c>
      <c r="B2665" s="385" t="s">
        <v>424</v>
      </c>
      <c r="C2665" s="385" t="s">
        <v>2282</v>
      </c>
      <c r="D2665" s="385" t="s">
        <v>89</v>
      </c>
      <c r="E2665" s="385"/>
      <c r="F2665" s="385"/>
      <c r="G2665" s="385"/>
      <c r="H2665" s="385">
        <v>2024</v>
      </c>
      <c r="I2665" s="386">
        <v>45476</v>
      </c>
      <c r="J2665" s="30"/>
      <c r="K2665" s="385"/>
      <c r="L2665" s="385"/>
      <c r="M2665" s="385"/>
      <c r="N2665" s="385"/>
      <c r="O2665" s="385"/>
      <c r="P2665" s="385" t="str">
        <f>IFERROR(
    IF(
        OR(ISBLANK(I2665), ISBLANK(L2665)),
        "",
        MAX(
            1,
            IF(
                NETWORKDAYS(I2665, L2665, Holiday_Dates) &lt;= 0,
                1,
                NETWORKDAYS(I2665, L2665, Holiday_Dates) - IF(I2665 = L2665, 0, 1)
            )
        )
    ),
    ""
)</f>
        <v/>
      </c>
      <c r="Q2665" s="385" t="str">
        <f>IF(
    OR(ISBLANK(L2665), ISBLANK(M2665)),
    "",
    MAX(
        1,
        IF(
            NETWORKDAYS(L2665, M2665, Holiday_Dates) &lt;= 0,
            1,
            NETWORKDAYS(L2665, M2665, Holiday_Dates) - IF(L2665 = M2665, 0, 1)
        )
    )
)</f>
        <v/>
      </c>
      <c r="R2665" s="385" t="str">
        <f>IFERROR(
    IF(
        OR(ISBLANK(N2665), AND(ISBLANK(L2665), ISBLANK(M2665))),
        "",
        MAX(
            1,
            IF(
                NETWORKDAYS(IF(NOT(ISBLANK(M2665)), M2665, L2665), N2665, Holiday_Dates) &lt;= 0,
                1,
                NETWORKDAYS(IF(NOT(ISBLANK(M2665)), M2665, L2665), N2665, Holiday_Dates)
                - IF(IF(NOT(ISBLANK(M2665)), M2665, L2665) = N2665, 0, 1)
            )
        )
    ),
    ""
)</f>
        <v/>
      </c>
      <c r="S2665" s="385" t="str">
        <f>IFERROR(
    IF(
        OR(ISBLANK(N2665), ISBLANK(O2665)),
        "",
        MAX(
            1,
            IF(
                NETWORKDAYS(N2665, O2665, Holiday_Dates) &lt;= 0,
                1,
                NETWORKDAYS(N2665, O2665, Holiday_Dates) - IF(N2665 = O2665, 0, 1)
            )
        )
    ),
    ""
)</f>
        <v/>
      </c>
      <c r="T2665" s="385"/>
      <c r="U2665" s="385" t="s">
        <v>4</v>
      </c>
      <c r="V2665" s="385" t="s">
        <v>101</v>
      </c>
      <c r="W2665" s="385" t="s">
        <v>1436</v>
      </c>
      <c r="X2665" s="1"/>
    </row>
    <row r="2666" spans="1:24">
      <c r="A2666" s="385" t="s">
        <v>51</v>
      </c>
      <c r="B2666" s="385" t="s">
        <v>791</v>
      </c>
      <c r="C2666" s="385" t="s">
        <v>3854</v>
      </c>
      <c r="D2666" s="385" t="s">
        <v>88</v>
      </c>
      <c r="E2666" s="385" t="s">
        <v>145</v>
      </c>
      <c r="F2666" s="385"/>
      <c r="G2666" s="385" t="s">
        <v>133</v>
      </c>
      <c r="H2666" s="385"/>
      <c r="I2666" s="385"/>
      <c r="J2666" s="30"/>
      <c r="K2666" s="385"/>
      <c r="L2666" s="385"/>
      <c r="M2666" s="385"/>
      <c r="N2666" s="385"/>
      <c r="O2666" s="385"/>
      <c r="P2666" s="385" t="str">
        <f>IFERROR(
    IF(
        OR(ISBLANK(I2666), ISBLANK(L2666)),
        "",
        MAX(
            1,
            IF(
                NETWORKDAYS(I2666, L2666, Holiday_Dates) &lt;= 0,
                1,
                NETWORKDAYS(I2666, L2666, Holiday_Dates) - IF(I2666 = L2666, 0, 1)
            )
        )
    ),
    ""
)</f>
        <v/>
      </c>
      <c r="Q2666" s="385" t="str">
        <f>IF(
    OR(ISBLANK(L2666), ISBLANK(M2666)),
    "",
    MAX(
        1,
        IF(
            NETWORKDAYS(L2666, M2666, Holiday_Dates) &lt;= 0,
            1,
            NETWORKDAYS(L2666, M2666, Holiday_Dates) - IF(L2666 = M2666, 0, 1)
        )
    )
)</f>
        <v/>
      </c>
      <c r="R2666" s="385" t="str">
        <f>IFERROR(
    IF(
        OR(ISBLANK(N2666), AND(ISBLANK(L2666), ISBLANK(M2666))),
        "",
        MAX(
            1,
            IF(
                NETWORKDAYS(IF(NOT(ISBLANK(M2666)), M2666, L2666), N2666, Holiday_Dates) &lt;= 0,
                1,
                NETWORKDAYS(IF(NOT(ISBLANK(M2666)), M2666, L2666), N2666, Holiday_Dates)
                - IF(IF(NOT(ISBLANK(M2666)), M2666, L2666) = N2666, 0, 1)
            )
        )
    ),
    ""
)</f>
        <v/>
      </c>
      <c r="S2666" s="385" t="str">
        <f>IFERROR(
    IF(
        OR(ISBLANK(N2666), ISBLANK(O2666)),
        "",
        MAX(
            1,
            IF(
                NETWORKDAYS(N2666, O2666, Holiday_Dates) &lt;= 0,
                1,
                NETWORKDAYS(N2666, O2666, Holiday_Dates) - IF(N2666 = O2666, 0, 1)
            )
        )
    ),
    ""
)</f>
        <v/>
      </c>
      <c r="T2666" s="385"/>
      <c r="U2666" s="385"/>
      <c r="V2666" s="385"/>
      <c r="W2666" s="385" t="s">
        <v>4710</v>
      </c>
      <c r="X2666" s="1"/>
    </row>
    <row r="2667" spans="1:24">
      <c r="A2667" s="385" t="s">
        <v>51</v>
      </c>
      <c r="B2667" s="385" t="s">
        <v>791</v>
      </c>
      <c r="C2667" s="385" t="s">
        <v>3651</v>
      </c>
      <c r="D2667" s="385" t="s">
        <v>88</v>
      </c>
      <c r="E2667" s="385" t="s">
        <v>145</v>
      </c>
      <c r="F2667" s="385"/>
      <c r="G2667" s="385" t="s">
        <v>133</v>
      </c>
      <c r="H2667" s="385"/>
      <c r="I2667" s="385"/>
      <c r="J2667" s="30"/>
      <c r="K2667" s="385"/>
      <c r="L2667" s="385"/>
      <c r="M2667" s="385"/>
      <c r="N2667" s="385"/>
      <c r="O2667" s="385"/>
      <c r="P2667" s="385" t="str">
        <f>IFERROR(
    IF(
        OR(ISBLANK(I2667), ISBLANK(L2667)),
        "",
        MAX(
            1,
            IF(
                NETWORKDAYS(I2667, L2667, Holiday_Dates) &lt;= 0,
                1,
                NETWORKDAYS(I2667, L2667, Holiday_Dates) - IF(I2667 = L2667, 0, 1)
            )
        )
    ),
    ""
)</f>
        <v/>
      </c>
      <c r="Q2667" s="385" t="str">
        <f>IF(
    OR(ISBLANK(L2667), ISBLANK(M2667)),
    "",
    MAX(
        1,
        IF(
            NETWORKDAYS(L2667, M2667, Holiday_Dates) &lt;= 0,
            1,
            NETWORKDAYS(L2667, M2667, Holiday_Dates) - IF(L2667 = M2667, 0, 1)
        )
    )
)</f>
        <v/>
      </c>
      <c r="R2667" s="385" t="str">
        <f>IFERROR(
    IF(
        OR(ISBLANK(N2667), AND(ISBLANK(L2667), ISBLANK(M2667))),
        "",
        MAX(
            1,
            IF(
                NETWORKDAYS(IF(NOT(ISBLANK(M2667)), M2667, L2667), N2667, Holiday_Dates) &lt;= 0,
                1,
                NETWORKDAYS(IF(NOT(ISBLANK(M2667)), M2667, L2667), N2667, Holiday_Dates)
                - IF(IF(NOT(ISBLANK(M2667)), M2667, L2667) = N2667, 0, 1)
            )
        )
    ),
    ""
)</f>
        <v/>
      </c>
      <c r="S2667" s="385" t="str">
        <f>IFERROR(
    IF(
        OR(ISBLANK(N2667), ISBLANK(O2667)),
        "",
        MAX(
            1,
            IF(
                NETWORKDAYS(N2667, O2667, Holiday_Dates) &lt;= 0,
                1,
                NETWORKDAYS(N2667, O2667, Holiday_Dates) - IF(N2667 = O2667, 0, 1)
            )
        )
    ),
    ""
)</f>
        <v/>
      </c>
      <c r="T2667" s="385"/>
      <c r="U2667" s="385"/>
      <c r="V2667" s="385"/>
      <c r="W2667" s="385" t="s">
        <v>4710</v>
      </c>
      <c r="X2667" s="1"/>
    </row>
    <row r="2668" spans="1:24">
      <c r="A2668" s="385" t="s">
        <v>52</v>
      </c>
      <c r="B2668" s="385" t="s">
        <v>424</v>
      </c>
      <c r="C2668" s="385" t="s">
        <v>4161</v>
      </c>
      <c r="D2668" s="385" t="s">
        <v>89</v>
      </c>
      <c r="E2668" s="385"/>
      <c r="F2668" s="385"/>
      <c r="G2668" s="385"/>
      <c r="H2668" s="385">
        <v>2024</v>
      </c>
      <c r="I2668" s="386">
        <v>45476</v>
      </c>
      <c r="J2668" s="30"/>
      <c r="K2668" s="385"/>
      <c r="L2668" s="385"/>
      <c r="M2668" s="385"/>
      <c r="N2668" s="385"/>
      <c r="O2668" s="385"/>
      <c r="P2668" s="385" t="str">
        <f>IFERROR(
    IF(
        OR(ISBLANK(I2668), ISBLANK(L2668)),
        "",
        MAX(
            1,
            IF(
                NETWORKDAYS(I2668, L2668, Holiday_Dates) &lt;= 0,
                1,
                NETWORKDAYS(I2668, L2668, Holiday_Dates) - IF(I2668 = L2668, 0, 1)
            )
        )
    ),
    ""
)</f>
        <v/>
      </c>
      <c r="Q2668" s="385" t="str">
        <f>IF(
    OR(ISBLANK(L2668), ISBLANK(M2668)),
    "",
    MAX(
        1,
        IF(
            NETWORKDAYS(L2668, M2668, Holiday_Dates) &lt;= 0,
            1,
            NETWORKDAYS(L2668, M2668, Holiday_Dates) - IF(L2668 = M2668, 0, 1)
        )
    )
)</f>
        <v/>
      </c>
      <c r="R2668" s="385" t="str">
        <f>IFERROR(
    IF(
        OR(ISBLANK(N2668), AND(ISBLANK(L2668), ISBLANK(M2668))),
        "",
        MAX(
            1,
            IF(
                NETWORKDAYS(IF(NOT(ISBLANK(M2668)), M2668, L2668), N2668, Holiday_Dates) &lt;= 0,
                1,
                NETWORKDAYS(IF(NOT(ISBLANK(M2668)), M2668, L2668), N2668, Holiday_Dates)
                - IF(IF(NOT(ISBLANK(M2668)), M2668, L2668) = N2668, 0, 1)
            )
        )
    ),
    ""
)</f>
        <v/>
      </c>
      <c r="S2668" s="385" t="str">
        <f>IFERROR(
    IF(
        OR(ISBLANK(N2668), ISBLANK(O2668)),
        "",
        MAX(
            1,
            IF(
                NETWORKDAYS(N2668, O2668, Holiday_Dates) &lt;= 0,
                1,
                NETWORKDAYS(N2668, O2668, Holiday_Dates) - IF(N2668 = O2668, 0, 1)
            )
        )
    ),
    ""
)</f>
        <v/>
      </c>
      <c r="T2668" s="385"/>
      <c r="U2668" s="385" t="s">
        <v>4</v>
      </c>
      <c r="V2668" s="385" t="s">
        <v>101</v>
      </c>
      <c r="W2668" s="385" t="s">
        <v>1436</v>
      </c>
      <c r="X2668" s="1"/>
    </row>
    <row r="2669" spans="1:24">
      <c r="A2669" s="385" t="s">
        <v>52</v>
      </c>
      <c r="B2669" s="385" t="s">
        <v>454</v>
      </c>
      <c r="C2669" s="385" t="s">
        <v>2301</v>
      </c>
      <c r="D2669" s="385" t="s">
        <v>89</v>
      </c>
      <c r="E2669" s="385"/>
      <c r="F2669" s="385"/>
      <c r="G2669" s="385"/>
      <c r="H2669" s="385">
        <v>2024</v>
      </c>
      <c r="I2669" s="386">
        <v>45602</v>
      </c>
      <c r="J2669" s="30"/>
      <c r="K2669" s="385"/>
      <c r="L2669" s="385"/>
      <c r="M2669" s="385"/>
      <c r="N2669" s="385"/>
      <c r="O2669" s="385"/>
      <c r="P2669" s="385" t="str">
        <f>IFERROR(
    IF(
        OR(ISBLANK(I2669), ISBLANK(L2669)),
        "",
        MAX(
            1,
            IF(
                NETWORKDAYS(I2669, L2669, Holiday_Dates) &lt;= 0,
                1,
                NETWORKDAYS(I2669, L2669, Holiday_Dates) - IF(I2669 = L2669, 0, 1)
            )
        )
    ),
    ""
)</f>
        <v/>
      </c>
      <c r="Q2669" s="385" t="str">
        <f>IF(
    OR(ISBLANK(L2669), ISBLANK(M2669)),
    "",
    MAX(
        1,
        IF(
            NETWORKDAYS(L2669, M2669, Holiday_Dates) &lt;= 0,
            1,
            NETWORKDAYS(L2669, M2669, Holiday_Dates) - IF(L2669 = M2669, 0, 1)
        )
    )
)</f>
        <v/>
      </c>
      <c r="R2669" s="385" t="str">
        <f>IFERROR(
    IF(
        OR(ISBLANK(N2669), AND(ISBLANK(L2669), ISBLANK(M2669))),
        "",
        MAX(
            1,
            IF(
                NETWORKDAYS(IF(NOT(ISBLANK(M2669)), M2669, L2669), N2669, Holiday_Dates) &lt;= 0,
                1,
                NETWORKDAYS(IF(NOT(ISBLANK(M2669)), M2669, L2669), N2669, Holiday_Dates)
                - IF(IF(NOT(ISBLANK(M2669)), M2669, L2669) = N2669, 0, 1)
            )
        )
    ),
    ""
)</f>
        <v/>
      </c>
      <c r="S2669" s="385" t="str">
        <f>IFERROR(
    IF(
        OR(ISBLANK(N2669), ISBLANK(O2669)),
        "",
        MAX(
            1,
            IF(
                NETWORKDAYS(N2669, O2669, Holiday_Dates) &lt;= 0,
                1,
                NETWORKDAYS(N2669, O2669, Holiday_Dates) - IF(N2669 = O2669, 0, 1)
            )
        )
    ),
    ""
)</f>
        <v/>
      </c>
      <c r="T2669" s="385"/>
      <c r="U2669" s="385" t="s">
        <v>4</v>
      </c>
      <c r="V2669" s="385" t="s">
        <v>101</v>
      </c>
      <c r="W2669" s="385" t="s">
        <v>1436</v>
      </c>
      <c r="X2669" s="1"/>
    </row>
    <row r="2670" spans="1:24">
      <c r="A2670" s="385" t="s">
        <v>52</v>
      </c>
      <c r="B2670" s="385" t="s">
        <v>454</v>
      </c>
      <c r="C2670" s="385" t="s">
        <v>1557</v>
      </c>
      <c r="D2670" s="385" t="s">
        <v>89</v>
      </c>
      <c r="E2670" s="385"/>
      <c r="F2670" s="385"/>
      <c r="G2670" s="385"/>
      <c r="H2670" s="385">
        <v>2025</v>
      </c>
      <c r="I2670" s="386">
        <v>45721</v>
      </c>
      <c r="J2670" s="30" t="s">
        <v>5698</v>
      </c>
      <c r="K2670" s="385"/>
      <c r="L2670" s="385"/>
      <c r="M2670" s="385"/>
      <c r="N2670" s="385"/>
      <c r="O2670" s="385"/>
      <c r="P2670" s="385" t="str">
        <f>IFERROR(
    IF(
        OR(ISBLANK(I2670), ISBLANK(L2670)),
        "",
        MAX(
            1,
            IF(
                NETWORKDAYS(I2670, L2670, Holiday_Dates) &lt;= 0,
                1,
                NETWORKDAYS(I2670, L2670, Holiday_Dates) - IF(I2670 = L2670, 0, 1)
            )
        )
    ),
    ""
)</f>
        <v/>
      </c>
      <c r="Q2670" s="385" t="str">
        <f>IF(
    OR(ISBLANK(L2670), ISBLANK(M2670)),
    "",
    MAX(
        1,
        IF(
            NETWORKDAYS(L2670, M2670, Holiday_Dates) &lt;= 0,
            1,
            NETWORKDAYS(L2670, M2670, Holiday_Dates) - IF(L2670 = M2670, 0, 1)
        )
    )
)</f>
        <v/>
      </c>
      <c r="R2670" s="385" t="str">
        <f>IFERROR(
    IF(
        OR(ISBLANK(N2670), AND(ISBLANK(L2670), ISBLANK(M2670))),
        "",
        MAX(
            1,
            IF(
                NETWORKDAYS(IF(NOT(ISBLANK(M2670)), M2670, L2670), N2670, Holiday_Dates) &lt;= 0,
                1,
                NETWORKDAYS(IF(NOT(ISBLANK(M2670)), M2670, L2670), N2670, Holiday_Dates)
                - IF(IF(NOT(ISBLANK(M2670)), M2670, L2670) = N2670, 0, 1)
            )
        )
    ),
    ""
)</f>
        <v/>
      </c>
      <c r="S2670" s="385" t="str">
        <f>IFERROR(
    IF(
        OR(ISBLANK(N2670), ISBLANK(O2670)),
        "",
        MAX(
            1,
            IF(
                NETWORKDAYS(N2670, O2670, Holiday_Dates) &lt;= 0,
                1,
                NETWORKDAYS(N2670, O2670, Holiday_Dates) - IF(N2670 = O2670, 0, 1)
            )
        )
    ),
    ""
)</f>
        <v/>
      </c>
      <c r="T2670" s="385"/>
      <c r="U2670" s="385" t="s">
        <v>4</v>
      </c>
      <c r="V2670" s="385" t="s">
        <v>101</v>
      </c>
      <c r="W2670" s="385" t="s">
        <v>1436</v>
      </c>
      <c r="X2670" s="1"/>
    </row>
    <row r="2671" spans="1:24">
      <c r="A2671" s="385" t="s">
        <v>52</v>
      </c>
      <c r="B2671" s="385" t="s">
        <v>454</v>
      </c>
      <c r="C2671" s="385" t="s">
        <v>4164</v>
      </c>
      <c r="D2671" s="385" t="s">
        <v>89</v>
      </c>
      <c r="E2671" s="385"/>
      <c r="F2671" s="385"/>
      <c r="G2671" s="385"/>
      <c r="H2671" s="385">
        <v>2025</v>
      </c>
      <c r="I2671" s="386">
        <v>45721</v>
      </c>
      <c r="J2671" s="30" t="s">
        <v>5699</v>
      </c>
      <c r="K2671" s="385"/>
      <c r="L2671" s="385"/>
      <c r="M2671" s="385"/>
      <c r="N2671" s="385"/>
      <c r="O2671" s="385"/>
      <c r="P2671" s="385" t="str">
        <f>IFERROR(
    IF(
        OR(ISBLANK(I2671), ISBLANK(L2671)),
        "",
        MAX(
            1,
            IF(
                NETWORKDAYS(I2671, L2671, Holiday_Dates) &lt;= 0,
                1,
                NETWORKDAYS(I2671, L2671, Holiday_Dates) - IF(I2671 = L2671, 0, 1)
            )
        )
    ),
    ""
)</f>
        <v/>
      </c>
      <c r="Q2671" s="385" t="str">
        <f>IF(
    OR(ISBLANK(L2671), ISBLANK(M2671)),
    "",
    MAX(
        1,
        IF(
            NETWORKDAYS(L2671, M2671, Holiday_Dates) &lt;= 0,
            1,
            NETWORKDAYS(L2671, M2671, Holiday_Dates) - IF(L2671 = M2671, 0, 1)
        )
    )
)</f>
        <v/>
      </c>
      <c r="R2671" s="385" t="str">
        <f>IFERROR(
    IF(
        OR(ISBLANK(N2671), AND(ISBLANK(L2671), ISBLANK(M2671))),
        "",
        MAX(
            1,
            IF(
                NETWORKDAYS(IF(NOT(ISBLANK(M2671)), M2671, L2671), N2671, Holiday_Dates) &lt;= 0,
                1,
                NETWORKDAYS(IF(NOT(ISBLANK(M2671)), M2671, L2671), N2671, Holiday_Dates)
                - IF(IF(NOT(ISBLANK(M2671)), M2671, L2671) = N2671, 0, 1)
            )
        )
    ),
    ""
)</f>
        <v/>
      </c>
      <c r="S2671" s="385" t="str">
        <f>IFERROR(
    IF(
        OR(ISBLANK(N2671), ISBLANK(O2671)),
        "",
        MAX(
            1,
            IF(
                NETWORKDAYS(N2671, O2671, Holiday_Dates) &lt;= 0,
                1,
                NETWORKDAYS(N2671, O2671, Holiday_Dates) - IF(N2671 = O2671, 0, 1)
            )
        )
    ),
    ""
)</f>
        <v/>
      </c>
      <c r="T2671" s="385"/>
      <c r="U2671" s="385" t="s">
        <v>672</v>
      </c>
      <c r="V2671" s="385" t="s">
        <v>101</v>
      </c>
      <c r="W2671" s="385" t="s">
        <v>1436</v>
      </c>
      <c r="X2671" s="1"/>
    </row>
    <row r="2672" spans="1:24">
      <c r="A2672" s="385" t="s">
        <v>52</v>
      </c>
      <c r="B2672" s="385" t="s">
        <v>454</v>
      </c>
      <c r="C2672" s="385" t="s">
        <v>4165</v>
      </c>
      <c r="D2672" s="385" t="s">
        <v>89</v>
      </c>
      <c r="E2672" s="385"/>
      <c r="F2672" s="385"/>
      <c r="G2672" s="385"/>
      <c r="H2672" s="385">
        <v>2024</v>
      </c>
      <c r="I2672" s="386">
        <v>45419</v>
      </c>
      <c r="J2672" s="30"/>
      <c r="K2672" s="385"/>
      <c r="L2672" s="385"/>
      <c r="M2672" s="385"/>
      <c r="N2672" s="385"/>
      <c r="O2672" s="385"/>
      <c r="P2672" s="385" t="str">
        <f>IFERROR(
    IF(
        OR(ISBLANK(I2672), ISBLANK(L2672)),
        "",
        MAX(
            1,
            IF(
                NETWORKDAYS(I2672, L2672, Holiday_Dates) &lt;= 0,
                1,
                NETWORKDAYS(I2672, L2672, Holiday_Dates) - IF(I2672 = L2672, 0, 1)
            )
        )
    ),
    ""
)</f>
        <v/>
      </c>
      <c r="Q2672" s="385" t="str">
        <f>IF(
    OR(ISBLANK(L2672), ISBLANK(M2672)),
    "",
    MAX(
        1,
        IF(
            NETWORKDAYS(L2672, M2672, Holiday_Dates) &lt;= 0,
            1,
            NETWORKDAYS(L2672, M2672, Holiday_Dates) - IF(L2672 = M2672, 0, 1)
        )
    )
)</f>
        <v/>
      </c>
      <c r="R2672" s="385" t="str">
        <f>IFERROR(
    IF(
        OR(ISBLANK(N2672), AND(ISBLANK(L2672), ISBLANK(M2672))),
        "",
        MAX(
            1,
            IF(
                NETWORKDAYS(IF(NOT(ISBLANK(M2672)), M2672, L2672), N2672, Holiday_Dates) &lt;= 0,
                1,
                NETWORKDAYS(IF(NOT(ISBLANK(M2672)), M2672, L2672), N2672, Holiday_Dates)
                - IF(IF(NOT(ISBLANK(M2672)), M2672, L2672) = N2672, 0, 1)
            )
        )
    ),
    ""
)</f>
        <v/>
      </c>
      <c r="S2672" s="385" t="str">
        <f>IFERROR(
    IF(
        OR(ISBLANK(N2672), ISBLANK(O2672)),
        "",
        MAX(
            1,
            IF(
                NETWORKDAYS(N2672, O2672, Holiday_Dates) &lt;= 0,
                1,
                NETWORKDAYS(N2672, O2672, Holiday_Dates) - IF(N2672 = O2672, 0, 1)
            )
        )
    ),
    ""
)</f>
        <v/>
      </c>
      <c r="T2672" s="385"/>
      <c r="U2672" s="385" t="s">
        <v>672</v>
      </c>
      <c r="V2672" s="385"/>
      <c r="W2672" s="385" t="s">
        <v>1436</v>
      </c>
      <c r="X2672" s="1"/>
    </row>
    <row r="2673" spans="1:24">
      <c r="A2673" s="385" t="s">
        <v>52</v>
      </c>
      <c r="B2673" s="385" t="s">
        <v>454</v>
      </c>
      <c r="C2673" s="385" t="s">
        <v>3113</v>
      </c>
      <c r="D2673" s="385" t="s">
        <v>89</v>
      </c>
      <c r="E2673" s="385"/>
      <c r="F2673" s="385"/>
      <c r="G2673" s="385"/>
      <c r="H2673" s="385">
        <v>2025</v>
      </c>
      <c r="I2673" s="386">
        <v>45911</v>
      </c>
      <c r="J2673" s="30" t="s">
        <v>5700</v>
      </c>
      <c r="K2673" s="385"/>
      <c r="L2673" s="385"/>
      <c r="M2673" s="385"/>
      <c r="N2673" s="385"/>
      <c r="O2673" s="385"/>
      <c r="P2673" s="385" t="str">
        <f>IFERROR(
    IF(
        OR(ISBLANK(I2673), ISBLANK(L2673)),
        "",
        MAX(
            1,
            IF(
                NETWORKDAYS(I2673, L2673, Holiday_Dates) &lt;= 0,
                1,
                NETWORKDAYS(I2673, L2673, Holiday_Dates) - IF(I2673 = L2673, 0, 1)
            )
        )
    ),
    ""
)</f>
        <v/>
      </c>
      <c r="Q2673" s="385" t="str">
        <f>IF(
    OR(ISBLANK(L2673), ISBLANK(M2673)),
    "",
    MAX(
        1,
        IF(
            NETWORKDAYS(L2673, M2673, Holiday_Dates) &lt;= 0,
            1,
            NETWORKDAYS(L2673, M2673, Holiday_Dates) - IF(L2673 = M2673, 0, 1)
        )
    )
)</f>
        <v/>
      </c>
      <c r="R2673" s="385" t="str">
        <f>IFERROR(
    IF(
        OR(ISBLANK(N2673), AND(ISBLANK(L2673), ISBLANK(M2673))),
        "",
        MAX(
            1,
            IF(
                NETWORKDAYS(IF(NOT(ISBLANK(M2673)), M2673, L2673), N2673, Holiday_Dates) &lt;= 0,
                1,
                NETWORKDAYS(IF(NOT(ISBLANK(M2673)), M2673, L2673), N2673, Holiday_Dates)
                - IF(IF(NOT(ISBLANK(M2673)), M2673, L2673) = N2673, 0, 1)
            )
        )
    ),
    ""
)</f>
        <v/>
      </c>
      <c r="S2673" s="385" t="str">
        <f>IFERROR(
    IF(
        OR(ISBLANK(N2673), ISBLANK(O2673)),
        "",
        MAX(
            1,
            IF(
                NETWORKDAYS(N2673, O2673, Holiday_Dates) &lt;= 0,
                1,
                NETWORKDAYS(N2673, O2673, Holiday_Dates) - IF(N2673 = O2673, 0, 1)
            )
        )
    ),
    ""
)</f>
        <v/>
      </c>
      <c r="T2673" s="385"/>
      <c r="U2673" s="385" t="s">
        <v>672</v>
      </c>
      <c r="V2673" s="385" t="s">
        <v>1676</v>
      </c>
      <c r="W2673" s="385" t="s">
        <v>1436</v>
      </c>
      <c r="X2673" s="1"/>
    </row>
    <row r="2674" spans="1:24">
      <c r="A2674" s="385" t="s">
        <v>52</v>
      </c>
      <c r="B2674" s="385" t="s">
        <v>430</v>
      </c>
      <c r="C2674" s="385" t="s">
        <v>3865</v>
      </c>
      <c r="D2674" s="385" t="s">
        <v>89</v>
      </c>
      <c r="E2674" s="385" t="s">
        <v>38</v>
      </c>
      <c r="F2674" s="385"/>
      <c r="G2674" s="385" t="s">
        <v>28</v>
      </c>
      <c r="H2674" s="385"/>
      <c r="I2674" s="385"/>
      <c r="J2674" s="30"/>
      <c r="K2674" s="385"/>
      <c r="L2674" s="385"/>
      <c r="M2674" s="385"/>
      <c r="N2674" s="385"/>
      <c r="O2674" s="385"/>
      <c r="P2674" s="385" t="str">
        <f>IFERROR(
    IF(
        OR(ISBLANK(I2674), ISBLANK(L2674)),
        "",
        MAX(
            1,
            IF(
                NETWORKDAYS(I2674, L2674, Holiday_Dates) &lt;= 0,
                1,
                NETWORKDAYS(I2674, L2674, Holiday_Dates) - IF(I2674 = L2674, 0, 1)
            )
        )
    ),
    ""
)</f>
        <v/>
      </c>
      <c r="Q2674" s="385" t="str">
        <f>IF(
    OR(ISBLANK(L2674), ISBLANK(M2674)),
    "",
    MAX(
        1,
        IF(
            NETWORKDAYS(L2674, M2674, Holiday_Dates) &lt;= 0,
            1,
            NETWORKDAYS(L2674, M2674, Holiday_Dates) - IF(L2674 = M2674, 0, 1)
        )
    )
)</f>
        <v/>
      </c>
      <c r="R2674" s="385" t="str">
        <f>IFERROR(
    IF(
        OR(ISBLANK(N2674), AND(ISBLANK(L2674), ISBLANK(M2674))),
        "",
        MAX(
            1,
            IF(
                NETWORKDAYS(IF(NOT(ISBLANK(M2674)), M2674, L2674), N2674, Holiday_Dates) &lt;= 0,
                1,
                NETWORKDAYS(IF(NOT(ISBLANK(M2674)), M2674, L2674), N2674, Holiday_Dates)
                - IF(IF(NOT(ISBLANK(M2674)), M2674, L2674) = N2674, 0, 1)
            )
        )
    ),
    ""
)</f>
        <v/>
      </c>
      <c r="S2674" s="385" t="str">
        <f>IFERROR(
    IF(
        OR(ISBLANK(N2674), ISBLANK(O2674)),
        "",
        MAX(
            1,
            IF(
                NETWORKDAYS(N2674, O2674, Holiday_Dates) &lt;= 0,
                1,
                NETWORKDAYS(N2674, O2674, Holiday_Dates) - IF(N2674 = O2674, 0, 1)
            )
        )
    ),
    ""
)</f>
        <v/>
      </c>
      <c r="T2674" s="385"/>
      <c r="U2674" s="385"/>
      <c r="V2674" s="385"/>
      <c r="W2674" s="385" t="s">
        <v>4710</v>
      </c>
      <c r="X2674" s="1"/>
    </row>
    <row r="2675" spans="1:24">
      <c r="A2675" s="385" t="s">
        <v>52</v>
      </c>
      <c r="B2675" s="385" t="s">
        <v>430</v>
      </c>
      <c r="C2675" s="385" t="s">
        <v>730</v>
      </c>
      <c r="D2675" s="385" t="s">
        <v>89</v>
      </c>
      <c r="E2675" s="385" t="s">
        <v>38</v>
      </c>
      <c r="F2675" s="385"/>
      <c r="G2675" s="385" t="s">
        <v>28</v>
      </c>
      <c r="H2675" s="385"/>
      <c r="I2675" s="385"/>
      <c r="J2675" s="30"/>
      <c r="K2675" s="385"/>
      <c r="L2675" s="385"/>
      <c r="M2675" s="385"/>
      <c r="N2675" s="385"/>
      <c r="O2675" s="385"/>
      <c r="P2675" s="385" t="str">
        <f>IFERROR(
    IF(
        OR(ISBLANK(I2675), ISBLANK(L2675)),
        "",
        MAX(
            1,
            IF(
                NETWORKDAYS(I2675, L2675, Holiday_Dates) &lt;= 0,
                1,
                NETWORKDAYS(I2675, L2675, Holiday_Dates) - IF(I2675 = L2675, 0, 1)
            )
        )
    ),
    ""
)</f>
        <v/>
      </c>
      <c r="Q2675" s="385" t="str">
        <f>IF(
    OR(ISBLANK(L2675), ISBLANK(M2675)),
    "",
    MAX(
        1,
        IF(
            NETWORKDAYS(L2675, M2675, Holiday_Dates) &lt;= 0,
            1,
            NETWORKDAYS(L2675, M2675, Holiday_Dates) - IF(L2675 = M2675, 0, 1)
        )
    )
)</f>
        <v/>
      </c>
      <c r="R2675" s="385" t="str">
        <f>IFERROR(
    IF(
        OR(ISBLANK(N2675), AND(ISBLANK(L2675), ISBLANK(M2675))),
        "",
        MAX(
            1,
            IF(
                NETWORKDAYS(IF(NOT(ISBLANK(M2675)), M2675, L2675), N2675, Holiday_Dates) &lt;= 0,
                1,
                NETWORKDAYS(IF(NOT(ISBLANK(M2675)), M2675, L2675), N2675, Holiday_Dates)
                - IF(IF(NOT(ISBLANK(M2675)), M2675, L2675) = N2675, 0, 1)
            )
        )
    ),
    ""
)</f>
        <v/>
      </c>
      <c r="S2675" s="385" t="str">
        <f>IFERROR(
    IF(
        OR(ISBLANK(N2675), ISBLANK(O2675)),
        "",
        MAX(
            1,
            IF(
                NETWORKDAYS(N2675, O2675, Holiday_Dates) &lt;= 0,
                1,
                NETWORKDAYS(N2675, O2675, Holiday_Dates) - IF(N2675 = O2675, 0, 1)
            )
        )
    ),
    ""
)</f>
        <v/>
      </c>
      <c r="T2675" s="385"/>
      <c r="U2675" s="385"/>
      <c r="V2675" s="385"/>
      <c r="W2675" s="385" t="s">
        <v>4710</v>
      </c>
      <c r="X2675" s="1"/>
    </row>
    <row r="2676" spans="1:24">
      <c r="A2676" s="385" t="s">
        <v>52</v>
      </c>
      <c r="B2676" s="385" t="s">
        <v>454</v>
      </c>
      <c r="C2676" s="385" t="s">
        <v>4167</v>
      </c>
      <c r="D2676" s="385" t="s">
        <v>89</v>
      </c>
      <c r="E2676" s="385"/>
      <c r="F2676" s="385"/>
      <c r="G2676" s="385"/>
      <c r="H2676" s="385">
        <v>2025</v>
      </c>
      <c r="I2676" s="386">
        <v>45911</v>
      </c>
      <c r="J2676" s="30" t="s">
        <v>5701</v>
      </c>
      <c r="K2676" s="385"/>
      <c r="L2676" s="385"/>
      <c r="M2676" s="385"/>
      <c r="N2676" s="385"/>
      <c r="O2676" s="385"/>
      <c r="P2676" s="385" t="str">
        <f>IFERROR(
    IF(
        OR(ISBLANK(I2676), ISBLANK(L2676)),
        "",
        MAX(
            1,
            IF(
                NETWORKDAYS(I2676, L2676, Holiday_Dates) &lt;= 0,
                1,
                NETWORKDAYS(I2676, L2676, Holiday_Dates) - IF(I2676 = L2676, 0, 1)
            )
        )
    ),
    ""
)</f>
        <v/>
      </c>
      <c r="Q2676" s="385" t="str">
        <f>IF(
    OR(ISBLANK(L2676), ISBLANK(M2676)),
    "",
    MAX(
        1,
        IF(
            NETWORKDAYS(L2676, M2676, Holiday_Dates) &lt;= 0,
            1,
            NETWORKDAYS(L2676, M2676, Holiday_Dates) - IF(L2676 = M2676, 0, 1)
        )
    )
)</f>
        <v/>
      </c>
      <c r="R2676" s="385" t="str">
        <f>IFERROR(
    IF(
        OR(ISBLANK(N2676), AND(ISBLANK(L2676), ISBLANK(M2676))),
        "",
        MAX(
            1,
            IF(
                NETWORKDAYS(IF(NOT(ISBLANK(M2676)), M2676, L2676), N2676, Holiday_Dates) &lt;= 0,
                1,
                NETWORKDAYS(IF(NOT(ISBLANK(M2676)), M2676, L2676), N2676, Holiday_Dates)
                - IF(IF(NOT(ISBLANK(M2676)), M2676, L2676) = N2676, 0, 1)
            )
        )
    ),
    ""
)</f>
        <v/>
      </c>
      <c r="S2676" s="385" t="str">
        <f>IFERROR(
    IF(
        OR(ISBLANK(N2676), ISBLANK(O2676)),
        "",
        MAX(
            1,
            IF(
                NETWORKDAYS(N2676, O2676, Holiday_Dates) &lt;= 0,
                1,
                NETWORKDAYS(N2676, O2676, Holiday_Dates) - IF(N2676 = O2676, 0, 1)
            )
        )
    ),
    ""
)</f>
        <v/>
      </c>
      <c r="T2676" s="385"/>
      <c r="U2676" s="385" t="s">
        <v>672</v>
      </c>
      <c r="V2676" s="385" t="s">
        <v>1676</v>
      </c>
      <c r="W2676" s="385" t="s">
        <v>1436</v>
      </c>
      <c r="X2676" s="1"/>
    </row>
    <row r="2677" spans="1:24">
      <c r="A2677" s="385" t="s">
        <v>52</v>
      </c>
      <c r="B2677" s="385" t="s">
        <v>454</v>
      </c>
      <c r="C2677" s="385" t="s">
        <v>4168</v>
      </c>
      <c r="D2677" s="385" t="s">
        <v>89</v>
      </c>
      <c r="E2677" s="385"/>
      <c r="F2677" s="385"/>
      <c r="G2677" s="385"/>
      <c r="H2677" s="385">
        <v>2024</v>
      </c>
      <c r="I2677" s="386">
        <v>45540</v>
      </c>
      <c r="J2677" s="30"/>
      <c r="K2677" s="385"/>
      <c r="L2677" s="385"/>
      <c r="M2677" s="385"/>
      <c r="N2677" s="385"/>
      <c r="O2677" s="385"/>
      <c r="P2677" s="385" t="str">
        <f>IFERROR(
    IF(
        OR(ISBLANK(I2677), ISBLANK(L2677)),
        "",
        MAX(
            1,
            IF(
                NETWORKDAYS(I2677, L2677, Holiday_Dates) &lt;= 0,
                1,
                NETWORKDAYS(I2677, L2677, Holiday_Dates) - IF(I2677 = L2677, 0, 1)
            )
        )
    ),
    ""
)</f>
        <v/>
      </c>
      <c r="Q2677" s="385" t="str">
        <f>IF(
    OR(ISBLANK(L2677), ISBLANK(M2677)),
    "",
    MAX(
        1,
        IF(
            NETWORKDAYS(L2677, M2677, Holiday_Dates) &lt;= 0,
            1,
            NETWORKDAYS(L2677, M2677, Holiday_Dates) - IF(L2677 = M2677, 0, 1)
        )
    )
)</f>
        <v/>
      </c>
      <c r="R2677" s="385" t="str">
        <f>IFERROR(
    IF(
        OR(ISBLANK(N2677), AND(ISBLANK(L2677), ISBLANK(M2677))),
        "",
        MAX(
            1,
            IF(
                NETWORKDAYS(IF(NOT(ISBLANK(M2677)), M2677, L2677), N2677, Holiday_Dates) &lt;= 0,
                1,
                NETWORKDAYS(IF(NOT(ISBLANK(M2677)), M2677, L2677), N2677, Holiday_Dates)
                - IF(IF(NOT(ISBLANK(M2677)), M2677, L2677) = N2677, 0, 1)
            )
        )
    ),
    ""
)</f>
        <v/>
      </c>
      <c r="S2677" s="385" t="str">
        <f>IFERROR(
    IF(
        OR(ISBLANK(N2677), ISBLANK(O2677)),
        "",
        MAX(
            1,
            IF(
                NETWORKDAYS(N2677, O2677, Holiday_Dates) &lt;= 0,
                1,
                NETWORKDAYS(N2677, O2677, Holiday_Dates) - IF(N2677 = O2677, 0, 1)
            )
        )
    ),
    ""
)</f>
        <v/>
      </c>
      <c r="T2677" s="385"/>
      <c r="U2677" s="385" t="s">
        <v>4</v>
      </c>
      <c r="V2677" s="385" t="s">
        <v>101</v>
      </c>
      <c r="W2677" s="385" t="s">
        <v>1436</v>
      </c>
      <c r="X2677" s="1"/>
    </row>
    <row r="2678" spans="1:24">
      <c r="A2678" s="385" t="s">
        <v>52</v>
      </c>
      <c r="B2678" s="385" t="s">
        <v>454</v>
      </c>
      <c r="C2678" s="385" t="s">
        <v>4170</v>
      </c>
      <c r="D2678" s="385" t="s">
        <v>89</v>
      </c>
      <c r="E2678" s="385"/>
      <c r="F2678" s="385"/>
      <c r="G2678" s="385"/>
      <c r="H2678" s="385">
        <v>2024</v>
      </c>
      <c r="I2678" s="386">
        <v>45511</v>
      </c>
      <c r="J2678" s="30"/>
      <c r="K2678" s="385"/>
      <c r="L2678" s="385"/>
      <c r="M2678" s="385"/>
      <c r="N2678" s="385"/>
      <c r="O2678" s="385"/>
      <c r="P2678" s="385" t="str">
        <f>IFERROR(
    IF(
        OR(ISBLANK(I2678), ISBLANK(L2678)),
        "",
        MAX(
            1,
            IF(
                NETWORKDAYS(I2678, L2678, Holiday_Dates) &lt;= 0,
                1,
                NETWORKDAYS(I2678, L2678, Holiday_Dates) - IF(I2678 = L2678, 0, 1)
            )
        )
    ),
    ""
)</f>
        <v/>
      </c>
      <c r="Q2678" s="385" t="str">
        <f>IF(
    OR(ISBLANK(L2678), ISBLANK(M2678)),
    "",
    MAX(
        1,
        IF(
            NETWORKDAYS(L2678, M2678, Holiday_Dates) &lt;= 0,
            1,
            NETWORKDAYS(L2678, M2678, Holiday_Dates) - IF(L2678 = M2678, 0, 1)
        )
    )
)</f>
        <v/>
      </c>
      <c r="R2678" s="385" t="str">
        <f>IFERROR(
    IF(
        OR(ISBLANK(N2678), AND(ISBLANK(L2678), ISBLANK(M2678))),
        "",
        MAX(
            1,
            IF(
                NETWORKDAYS(IF(NOT(ISBLANK(M2678)), M2678, L2678), N2678, Holiday_Dates) &lt;= 0,
                1,
                NETWORKDAYS(IF(NOT(ISBLANK(M2678)), M2678, L2678), N2678, Holiday_Dates)
                - IF(IF(NOT(ISBLANK(M2678)), M2678, L2678) = N2678, 0, 1)
            )
        )
    ),
    ""
)</f>
        <v/>
      </c>
      <c r="S2678" s="385" t="str">
        <f>IFERROR(
    IF(
        OR(ISBLANK(N2678), ISBLANK(O2678)),
        "",
        MAX(
            1,
            IF(
                NETWORKDAYS(N2678, O2678, Holiday_Dates) &lt;= 0,
                1,
                NETWORKDAYS(N2678, O2678, Holiday_Dates) - IF(N2678 = O2678, 0, 1)
            )
        )
    ),
    ""
)</f>
        <v/>
      </c>
      <c r="T2678" s="385"/>
      <c r="U2678" s="385" t="s">
        <v>4</v>
      </c>
      <c r="V2678" s="385" t="s">
        <v>101</v>
      </c>
      <c r="W2678" s="385" t="s">
        <v>1436</v>
      </c>
      <c r="X2678" s="1"/>
    </row>
    <row r="2679" spans="1:24">
      <c r="A2679" s="385" t="s">
        <v>52</v>
      </c>
      <c r="B2679" s="385" t="s">
        <v>430</v>
      </c>
      <c r="C2679" s="385" t="s">
        <v>3408</v>
      </c>
      <c r="D2679" s="385" t="s">
        <v>89</v>
      </c>
      <c r="E2679" s="385" t="s">
        <v>38</v>
      </c>
      <c r="F2679" s="385"/>
      <c r="G2679" s="385" t="s">
        <v>28</v>
      </c>
      <c r="H2679" s="385"/>
      <c r="I2679" s="385"/>
      <c r="J2679" s="30"/>
      <c r="K2679" s="385"/>
      <c r="L2679" s="385"/>
      <c r="M2679" s="385"/>
      <c r="N2679" s="385"/>
      <c r="O2679" s="385"/>
      <c r="P2679" s="385" t="str">
        <f>IFERROR(
    IF(
        OR(ISBLANK(I2679), ISBLANK(L2679)),
        "",
        MAX(
            1,
            IF(
                NETWORKDAYS(I2679, L2679, Holiday_Dates) &lt;= 0,
                1,
                NETWORKDAYS(I2679, L2679, Holiday_Dates) - IF(I2679 = L2679, 0, 1)
            )
        )
    ),
    ""
)</f>
        <v/>
      </c>
      <c r="Q2679" s="385" t="str">
        <f>IF(
    OR(ISBLANK(L2679), ISBLANK(M2679)),
    "",
    MAX(
        1,
        IF(
            NETWORKDAYS(L2679, M2679, Holiday_Dates) &lt;= 0,
            1,
            NETWORKDAYS(L2679, M2679, Holiday_Dates) - IF(L2679 = M2679, 0, 1)
        )
    )
)</f>
        <v/>
      </c>
      <c r="R2679" s="385" t="str">
        <f>IFERROR(
    IF(
        OR(ISBLANK(N2679), AND(ISBLANK(L2679), ISBLANK(M2679))),
        "",
        MAX(
            1,
            IF(
                NETWORKDAYS(IF(NOT(ISBLANK(M2679)), M2679, L2679), N2679, Holiday_Dates) &lt;= 0,
                1,
                NETWORKDAYS(IF(NOT(ISBLANK(M2679)), M2679, L2679), N2679, Holiday_Dates)
                - IF(IF(NOT(ISBLANK(M2679)), M2679, L2679) = N2679, 0, 1)
            )
        )
    ),
    ""
)</f>
        <v/>
      </c>
      <c r="S2679" s="385" t="str">
        <f>IFERROR(
    IF(
        OR(ISBLANK(N2679), ISBLANK(O2679)),
        "",
        MAX(
            1,
            IF(
                NETWORKDAYS(N2679, O2679, Holiday_Dates) &lt;= 0,
                1,
                NETWORKDAYS(N2679, O2679, Holiday_Dates) - IF(N2679 = O2679, 0, 1)
            )
        )
    ),
    ""
)</f>
        <v/>
      </c>
      <c r="T2679" s="385"/>
      <c r="U2679" s="385"/>
      <c r="V2679" s="385"/>
      <c r="W2679" s="385" t="s">
        <v>4710</v>
      </c>
      <c r="X2679" s="1"/>
    </row>
    <row r="2680" spans="1:24">
      <c r="A2680" s="385" t="s">
        <v>52</v>
      </c>
      <c r="B2680" s="385" t="s">
        <v>454</v>
      </c>
      <c r="C2680" s="385" t="s">
        <v>4042</v>
      </c>
      <c r="D2680" s="385" t="s">
        <v>89</v>
      </c>
      <c r="E2680" s="385"/>
      <c r="F2680" s="385"/>
      <c r="G2680" s="385"/>
      <c r="H2680" s="385">
        <v>2025</v>
      </c>
      <c r="I2680" s="386">
        <v>45911</v>
      </c>
      <c r="J2680" s="30" t="s">
        <v>5702</v>
      </c>
      <c r="K2680" s="385"/>
      <c r="L2680" s="385"/>
      <c r="M2680" s="385"/>
      <c r="N2680" s="385"/>
      <c r="O2680" s="385"/>
      <c r="P2680" s="385" t="str">
        <f>IFERROR(
    IF(
        OR(ISBLANK(I2680), ISBLANK(L2680)),
        "",
        MAX(
            1,
            IF(
                NETWORKDAYS(I2680, L2680, Holiday_Dates) &lt;= 0,
                1,
                NETWORKDAYS(I2680, L2680, Holiday_Dates) - IF(I2680 = L2680, 0, 1)
            )
        )
    ),
    ""
)</f>
        <v/>
      </c>
      <c r="Q2680" s="385" t="str">
        <f>IF(
    OR(ISBLANK(L2680), ISBLANK(M2680)),
    "",
    MAX(
        1,
        IF(
            NETWORKDAYS(L2680, M2680, Holiday_Dates) &lt;= 0,
            1,
            NETWORKDAYS(L2680, M2680, Holiday_Dates) - IF(L2680 = M2680, 0, 1)
        )
    )
)</f>
        <v/>
      </c>
      <c r="R2680" s="385" t="str">
        <f>IFERROR(
    IF(
        OR(ISBLANK(N2680), AND(ISBLANK(L2680), ISBLANK(M2680))),
        "",
        MAX(
            1,
            IF(
                NETWORKDAYS(IF(NOT(ISBLANK(M2680)), M2680, L2680), N2680, Holiday_Dates) &lt;= 0,
                1,
                NETWORKDAYS(IF(NOT(ISBLANK(M2680)), M2680, L2680), N2680, Holiday_Dates)
                - IF(IF(NOT(ISBLANK(M2680)), M2680, L2680) = N2680, 0, 1)
            )
        )
    ),
    ""
)</f>
        <v/>
      </c>
      <c r="S2680" s="385" t="str">
        <f>IFERROR(
    IF(
        OR(ISBLANK(N2680), ISBLANK(O2680)),
        "",
        MAX(
            1,
            IF(
                NETWORKDAYS(N2680, O2680, Holiday_Dates) &lt;= 0,
                1,
                NETWORKDAYS(N2680, O2680, Holiday_Dates) - IF(N2680 = O2680, 0, 1)
            )
        )
    ),
    ""
)</f>
        <v/>
      </c>
      <c r="T2680" s="385"/>
      <c r="U2680" s="385" t="s">
        <v>672</v>
      </c>
      <c r="V2680" s="385" t="s">
        <v>1676</v>
      </c>
      <c r="W2680" s="385" t="s">
        <v>1436</v>
      </c>
      <c r="X2680" s="1"/>
    </row>
    <row r="2681" spans="1:24">
      <c r="A2681" s="385" t="s">
        <v>52</v>
      </c>
      <c r="B2681" s="385" t="s">
        <v>454</v>
      </c>
      <c r="C2681" s="385" t="s">
        <v>4044</v>
      </c>
      <c r="D2681" s="385" t="s">
        <v>89</v>
      </c>
      <c r="E2681" s="385"/>
      <c r="F2681" s="385"/>
      <c r="G2681" s="385"/>
      <c r="H2681" s="385">
        <v>2024</v>
      </c>
      <c r="I2681" s="386">
        <v>45461</v>
      </c>
      <c r="J2681" s="30"/>
      <c r="K2681" s="385"/>
      <c r="L2681" s="385"/>
      <c r="M2681" s="385"/>
      <c r="N2681" s="385"/>
      <c r="O2681" s="385"/>
      <c r="P2681" s="385" t="str">
        <f>IFERROR(
    IF(
        OR(ISBLANK(I2681), ISBLANK(L2681)),
        "",
        MAX(
            1,
            IF(
                NETWORKDAYS(I2681, L2681, Holiday_Dates) &lt;= 0,
                1,
                NETWORKDAYS(I2681, L2681, Holiday_Dates) - IF(I2681 = L2681, 0, 1)
            )
        )
    ),
    ""
)</f>
        <v/>
      </c>
      <c r="Q2681" s="385" t="str">
        <f>IF(
    OR(ISBLANK(L2681), ISBLANK(M2681)),
    "",
    MAX(
        1,
        IF(
            NETWORKDAYS(L2681, M2681, Holiday_Dates) &lt;= 0,
            1,
            NETWORKDAYS(L2681, M2681, Holiday_Dates) - IF(L2681 = M2681, 0, 1)
        )
    )
)</f>
        <v/>
      </c>
      <c r="R2681" s="385" t="str">
        <f>IFERROR(
    IF(
        OR(ISBLANK(N2681), AND(ISBLANK(L2681), ISBLANK(M2681))),
        "",
        MAX(
            1,
            IF(
                NETWORKDAYS(IF(NOT(ISBLANK(M2681)), M2681, L2681), N2681, Holiday_Dates) &lt;= 0,
                1,
                NETWORKDAYS(IF(NOT(ISBLANK(M2681)), M2681, L2681), N2681, Holiday_Dates)
                - IF(IF(NOT(ISBLANK(M2681)), M2681, L2681) = N2681, 0, 1)
            )
        )
    ),
    ""
)</f>
        <v/>
      </c>
      <c r="S2681" s="385" t="str">
        <f>IFERROR(
    IF(
        OR(ISBLANK(N2681), ISBLANK(O2681)),
        "",
        MAX(
            1,
            IF(
                NETWORKDAYS(N2681, O2681, Holiday_Dates) &lt;= 0,
                1,
                NETWORKDAYS(N2681, O2681, Holiday_Dates) - IF(N2681 = O2681, 0, 1)
            )
        )
    ),
    ""
)</f>
        <v/>
      </c>
      <c r="T2681" s="385"/>
      <c r="U2681" s="385" t="s">
        <v>672</v>
      </c>
      <c r="V2681" s="385"/>
      <c r="W2681" s="385" t="s">
        <v>1436</v>
      </c>
      <c r="X2681" s="1"/>
    </row>
    <row r="2682" spans="1:24">
      <c r="A2682" s="385" t="s">
        <v>52</v>
      </c>
      <c r="B2682" s="385" t="s">
        <v>454</v>
      </c>
      <c r="C2682" s="385" t="s">
        <v>4046</v>
      </c>
      <c r="D2682" s="385" t="s">
        <v>89</v>
      </c>
      <c r="E2682" s="385"/>
      <c r="F2682" s="385"/>
      <c r="G2682" s="385"/>
      <c r="H2682" s="385">
        <v>2025</v>
      </c>
      <c r="I2682" s="386">
        <v>45966</v>
      </c>
      <c r="J2682" s="30" t="s">
        <v>5703</v>
      </c>
      <c r="K2682" s="385"/>
      <c r="L2682" s="385"/>
      <c r="M2682" s="385"/>
      <c r="N2682" s="385"/>
      <c r="O2682" s="385"/>
      <c r="P2682" s="385" t="str">
        <f>IFERROR(
    IF(
        OR(ISBLANK(I2682), ISBLANK(L2682)),
        "",
        MAX(
            1,
            IF(
                NETWORKDAYS(I2682, L2682, Holiday_Dates) &lt;= 0,
                1,
                NETWORKDAYS(I2682, L2682, Holiday_Dates) - IF(I2682 = L2682, 0, 1)
            )
        )
    ),
    ""
)</f>
        <v/>
      </c>
      <c r="Q2682" s="385" t="str">
        <f>IF(
    OR(ISBLANK(L2682), ISBLANK(M2682)),
    "",
    MAX(
        1,
        IF(
            NETWORKDAYS(L2682, M2682, Holiday_Dates) &lt;= 0,
            1,
            NETWORKDAYS(L2682, M2682, Holiday_Dates) - IF(L2682 = M2682, 0, 1)
        )
    )
)</f>
        <v/>
      </c>
      <c r="R2682" s="385" t="str">
        <f>IFERROR(
    IF(
        OR(ISBLANK(N2682), AND(ISBLANK(L2682), ISBLANK(M2682))),
        "",
        MAX(
            1,
            IF(
                NETWORKDAYS(IF(NOT(ISBLANK(M2682)), M2682, L2682), N2682, Holiday_Dates) &lt;= 0,
                1,
                NETWORKDAYS(IF(NOT(ISBLANK(M2682)), M2682, L2682), N2682, Holiday_Dates)
                - IF(IF(NOT(ISBLANK(M2682)), M2682, L2682) = N2682, 0, 1)
            )
        )
    ),
    ""
)</f>
        <v/>
      </c>
      <c r="S2682" s="385" t="str">
        <f>IFERROR(
    IF(
        OR(ISBLANK(N2682), ISBLANK(O2682)),
        "",
        MAX(
            1,
            IF(
                NETWORKDAYS(N2682, O2682, Holiday_Dates) &lt;= 0,
                1,
                NETWORKDAYS(N2682, O2682, Holiday_Dates) - IF(N2682 = O2682, 0, 1)
            )
        )
    ),
    ""
)</f>
        <v/>
      </c>
      <c r="T2682" s="385"/>
      <c r="U2682" s="385" t="s">
        <v>672</v>
      </c>
      <c r="V2682" s="385" t="s">
        <v>101</v>
      </c>
      <c r="W2682" s="385" t="s">
        <v>1436</v>
      </c>
      <c r="X2682" s="1"/>
    </row>
    <row r="2683" spans="1:24">
      <c r="A2683" s="385" t="s">
        <v>52</v>
      </c>
      <c r="B2683" s="385" t="s">
        <v>454</v>
      </c>
      <c r="C2683" s="385" t="s">
        <v>4174</v>
      </c>
      <c r="D2683" s="385" t="s">
        <v>89</v>
      </c>
      <c r="E2683" s="385"/>
      <c r="F2683" s="385"/>
      <c r="G2683" s="385"/>
      <c r="H2683" s="385">
        <v>2024</v>
      </c>
      <c r="I2683" s="386">
        <v>45414</v>
      </c>
      <c r="J2683" s="30"/>
      <c r="K2683" s="385"/>
      <c r="L2683" s="385"/>
      <c r="M2683" s="385"/>
      <c r="N2683" s="385"/>
      <c r="O2683" s="385"/>
      <c r="P2683" s="385" t="str">
        <f>IFERROR(
    IF(
        OR(ISBLANK(I2683), ISBLANK(L2683)),
        "",
        MAX(
            1,
            IF(
                NETWORKDAYS(I2683, L2683, Holiday_Dates) &lt;= 0,
                1,
                NETWORKDAYS(I2683, L2683, Holiday_Dates) - IF(I2683 = L2683, 0, 1)
            )
        )
    ),
    ""
)</f>
        <v/>
      </c>
      <c r="Q2683" s="385" t="str">
        <f>IF(
    OR(ISBLANK(L2683), ISBLANK(M2683)),
    "",
    MAX(
        1,
        IF(
            NETWORKDAYS(L2683, M2683, Holiday_Dates) &lt;= 0,
            1,
            NETWORKDAYS(L2683, M2683, Holiday_Dates) - IF(L2683 = M2683, 0, 1)
        )
    )
)</f>
        <v/>
      </c>
      <c r="R2683" s="385" t="str">
        <f>IFERROR(
    IF(
        OR(ISBLANK(N2683), AND(ISBLANK(L2683), ISBLANK(M2683))),
        "",
        MAX(
            1,
            IF(
                NETWORKDAYS(IF(NOT(ISBLANK(M2683)), M2683, L2683), N2683, Holiday_Dates) &lt;= 0,
                1,
                NETWORKDAYS(IF(NOT(ISBLANK(M2683)), M2683, L2683), N2683, Holiday_Dates)
                - IF(IF(NOT(ISBLANK(M2683)), M2683, L2683) = N2683, 0, 1)
            )
        )
    ),
    ""
)</f>
        <v/>
      </c>
      <c r="S2683" s="385" t="str">
        <f>IFERROR(
    IF(
        OR(ISBLANK(N2683), ISBLANK(O2683)),
        "",
        MAX(
            1,
            IF(
                NETWORKDAYS(N2683, O2683, Holiday_Dates) &lt;= 0,
                1,
                NETWORKDAYS(N2683, O2683, Holiday_Dates) - IF(N2683 = O2683, 0, 1)
            )
        )
    ),
    ""
)</f>
        <v/>
      </c>
      <c r="T2683" s="385"/>
      <c r="U2683" s="385" t="s">
        <v>672</v>
      </c>
      <c r="V2683" s="385"/>
      <c r="W2683" s="385" t="s">
        <v>1436</v>
      </c>
      <c r="X2683" s="1"/>
    </row>
    <row r="2684" spans="1:24">
      <c r="A2684" s="385" t="s">
        <v>52</v>
      </c>
      <c r="B2684" s="385" t="s">
        <v>454</v>
      </c>
      <c r="C2684" s="385" t="s">
        <v>4051</v>
      </c>
      <c r="D2684" s="385" t="s">
        <v>89</v>
      </c>
      <c r="E2684" s="385"/>
      <c r="F2684" s="385"/>
      <c r="G2684" s="385"/>
      <c r="H2684" s="385">
        <v>2024</v>
      </c>
      <c r="I2684" s="386">
        <v>45540</v>
      </c>
      <c r="J2684" s="30"/>
      <c r="K2684" s="385"/>
      <c r="L2684" s="385"/>
      <c r="M2684" s="385"/>
      <c r="N2684" s="385"/>
      <c r="O2684" s="385"/>
      <c r="P2684" s="385" t="str">
        <f>IFERROR(
    IF(
        OR(ISBLANK(I2684), ISBLANK(L2684)),
        "",
        MAX(
            1,
            IF(
                NETWORKDAYS(I2684, L2684, Holiday_Dates) &lt;= 0,
                1,
                NETWORKDAYS(I2684, L2684, Holiday_Dates) - IF(I2684 = L2684, 0, 1)
            )
        )
    ),
    ""
)</f>
        <v/>
      </c>
      <c r="Q2684" s="385" t="str">
        <f>IF(
    OR(ISBLANK(L2684), ISBLANK(M2684)),
    "",
    MAX(
        1,
        IF(
            NETWORKDAYS(L2684, M2684, Holiday_Dates) &lt;= 0,
            1,
            NETWORKDAYS(L2684, M2684, Holiday_Dates) - IF(L2684 = M2684, 0, 1)
        )
    )
)</f>
        <v/>
      </c>
      <c r="R2684" s="385" t="str">
        <f>IFERROR(
    IF(
        OR(ISBLANK(N2684), AND(ISBLANK(L2684), ISBLANK(M2684))),
        "",
        MAX(
            1,
            IF(
                NETWORKDAYS(IF(NOT(ISBLANK(M2684)), M2684, L2684), N2684, Holiday_Dates) &lt;= 0,
                1,
                NETWORKDAYS(IF(NOT(ISBLANK(M2684)), M2684, L2684), N2684, Holiday_Dates)
                - IF(IF(NOT(ISBLANK(M2684)), M2684, L2684) = N2684, 0, 1)
            )
        )
    ),
    ""
)</f>
        <v/>
      </c>
      <c r="S2684" s="385" t="str">
        <f>IFERROR(
    IF(
        OR(ISBLANK(N2684), ISBLANK(O2684)),
        "",
        MAX(
            1,
            IF(
                NETWORKDAYS(N2684, O2684, Holiday_Dates) &lt;= 0,
                1,
                NETWORKDAYS(N2684, O2684, Holiday_Dates) - IF(N2684 = O2684, 0, 1)
            )
        )
    ),
    ""
)</f>
        <v/>
      </c>
      <c r="T2684" s="385"/>
      <c r="U2684" s="385" t="s">
        <v>4</v>
      </c>
      <c r="V2684" s="385" t="s">
        <v>101</v>
      </c>
      <c r="W2684" s="385" t="s">
        <v>1436</v>
      </c>
      <c r="X2684" s="1"/>
    </row>
    <row r="2685" spans="1:24">
      <c r="A2685" s="385" t="s">
        <v>52</v>
      </c>
      <c r="B2685" s="385" t="s">
        <v>466</v>
      </c>
      <c r="C2685" s="385" t="s">
        <v>4177</v>
      </c>
      <c r="D2685" s="385" t="s">
        <v>89</v>
      </c>
      <c r="E2685" s="385"/>
      <c r="F2685" s="385"/>
      <c r="G2685" s="385"/>
      <c r="H2685" s="385">
        <v>2024</v>
      </c>
      <c r="I2685" s="386">
        <v>45546</v>
      </c>
      <c r="J2685" s="30"/>
      <c r="K2685" s="385"/>
      <c r="L2685" s="385"/>
      <c r="M2685" s="385"/>
      <c r="N2685" s="385"/>
      <c r="O2685" s="385"/>
      <c r="P2685" s="385" t="str">
        <f>IFERROR(
    IF(
        OR(ISBLANK(I2685), ISBLANK(L2685)),
        "",
        MAX(
            1,
            IF(
                NETWORKDAYS(I2685, L2685, Holiday_Dates) &lt;= 0,
                1,
                NETWORKDAYS(I2685, L2685, Holiday_Dates) - IF(I2685 = L2685, 0, 1)
            )
        )
    ),
    ""
)</f>
        <v/>
      </c>
      <c r="Q2685" s="385" t="str">
        <f>IF(
    OR(ISBLANK(L2685), ISBLANK(M2685)),
    "",
    MAX(
        1,
        IF(
            NETWORKDAYS(L2685, M2685, Holiday_Dates) &lt;= 0,
            1,
            NETWORKDAYS(L2685, M2685, Holiday_Dates) - IF(L2685 = M2685, 0, 1)
        )
    )
)</f>
        <v/>
      </c>
      <c r="R2685" s="385" t="str">
        <f>IFERROR(
    IF(
        OR(ISBLANK(N2685), AND(ISBLANK(L2685), ISBLANK(M2685))),
        "",
        MAX(
            1,
            IF(
                NETWORKDAYS(IF(NOT(ISBLANK(M2685)), M2685, L2685), N2685, Holiday_Dates) &lt;= 0,
                1,
                NETWORKDAYS(IF(NOT(ISBLANK(M2685)), M2685, L2685), N2685, Holiday_Dates)
                - IF(IF(NOT(ISBLANK(M2685)), M2685, L2685) = N2685, 0, 1)
            )
        )
    ),
    ""
)</f>
        <v/>
      </c>
      <c r="S2685" s="385" t="str">
        <f>IFERROR(
    IF(
        OR(ISBLANK(N2685), ISBLANK(O2685)),
        "",
        MAX(
            1,
            IF(
                NETWORKDAYS(N2685, O2685, Holiday_Dates) &lt;= 0,
                1,
                NETWORKDAYS(N2685, O2685, Holiday_Dates) - IF(N2685 = O2685, 0, 1)
            )
        )
    ),
    ""
)</f>
        <v/>
      </c>
      <c r="T2685" s="385"/>
      <c r="U2685" s="385" t="s">
        <v>672</v>
      </c>
      <c r="V2685" s="385" t="s">
        <v>101</v>
      </c>
      <c r="W2685" s="385" t="s">
        <v>1436</v>
      </c>
      <c r="X2685" s="1"/>
    </row>
    <row r="2686" spans="1:24">
      <c r="A2686" s="385" t="s">
        <v>52</v>
      </c>
      <c r="B2686" s="385" t="s">
        <v>430</v>
      </c>
      <c r="C2686" s="385" t="s">
        <v>444</v>
      </c>
      <c r="D2686" s="385" t="s">
        <v>89</v>
      </c>
      <c r="E2686" s="385" t="s">
        <v>38</v>
      </c>
      <c r="F2686" s="385"/>
      <c r="G2686" s="385" t="s">
        <v>28</v>
      </c>
      <c r="H2686" s="385"/>
      <c r="I2686" s="385"/>
      <c r="J2686" s="30"/>
      <c r="K2686" s="385"/>
      <c r="L2686" s="385"/>
      <c r="M2686" s="385"/>
      <c r="N2686" s="385"/>
      <c r="O2686" s="385"/>
      <c r="P2686" s="385" t="str">
        <f>IFERROR(
    IF(
        OR(ISBLANK(I2686), ISBLANK(L2686)),
        "",
        MAX(
            1,
            IF(
                NETWORKDAYS(I2686, L2686, Holiday_Dates) &lt;= 0,
                1,
                NETWORKDAYS(I2686, L2686, Holiday_Dates) - IF(I2686 = L2686, 0, 1)
            )
        )
    ),
    ""
)</f>
        <v/>
      </c>
      <c r="Q2686" s="385" t="str">
        <f>IF(
    OR(ISBLANK(L2686), ISBLANK(M2686)),
    "",
    MAX(
        1,
        IF(
            NETWORKDAYS(L2686, M2686, Holiday_Dates) &lt;= 0,
            1,
            NETWORKDAYS(L2686, M2686, Holiday_Dates) - IF(L2686 = M2686, 0, 1)
        )
    )
)</f>
        <v/>
      </c>
      <c r="R2686" s="385" t="str">
        <f>IFERROR(
    IF(
        OR(ISBLANK(N2686), AND(ISBLANK(L2686), ISBLANK(M2686))),
        "",
        MAX(
            1,
            IF(
                NETWORKDAYS(IF(NOT(ISBLANK(M2686)), M2686, L2686), N2686, Holiday_Dates) &lt;= 0,
                1,
                NETWORKDAYS(IF(NOT(ISBLANK(M2686)), M2686, L2686), N2686, Holiday_Dates)
                - IF(IF(NOT(ISBLANK(M2686)), M2686, L2686) = N2686, 0, 1)
            )
        )
    ),
    ""
)</f>
        <v/>
      </c>
      <c r="S2686" s="385" t="str">
        <f>IFERROR(
    IF(
        OR(ISBLANK(N2686), ISBLANK(O2686)),
        "",
        MAX(
            1,
            IF(
                NETWORKDAYS(N2686, O2686, Holiday_Dates) &lt;= 0,
                1,
                NETWORKDAYS(N2686, O2686, Holiday_Dates) - IF(N2686 = O2686, 0, 1)
            )
        )
    ),
    ""
)</f>
        <v/>
      </c>
      <c r="T2686" s="385"/>
      <c r="U2686" s="385"/>
      <c r="V2686" s="385"/>
      <c r="W2686" s="385" t="s">
        <v>4710</v>
      </c>
      <c r="X2686" s="1"/>
    </row>
    <row r="2687" spans="1:24">
      <c r="A2687" s="385" t="s">
        <v>52</v>
      </c>
      <c r="B2687" s="385" t="s">
        <v>466</v>
      </c>
      <c r="C2687" s="385" t="s">
        <v>4180</v>
      </c>
      <c r="D2687" s="385" t="s">
        <v>89</v>
      </c>
      <c r="E2687" s="385"/>
      <c r="F2687" s="385"/>
      <c r="G2687" s="385"/>
      <c r="H2687" s="385">
        <v>2025</v>
      </c>
      <c r="I2687" s="386">
        <v>45800</v>
      </c>
      <c r="J2687" s="30" t="s">
        <v>5704</v>
      </c>
      <c r="K2687" s="385"/>
      <c r="L2687" s="385"/>
      <c r="M2687" s="385"/>
      <c r="N2687" s="385"/>
      <c r="O2687" s="385"/>
      <c r="P2687" s="385" t="str">
        <f>IFERROR(
    IF(
        OR(ISBLANK(I2687), ISBLANK(L2687)),
        "",
        MAX(
            1,
            IF(
                NETWORKDAYS(I2687, L2687, Holiday_Dates) &lt;= 0,
                1,
                NETWORKDAYS(I2687, L2687, Holiday_Dates) - IF(I2687 = L2687, 0, 1)
            )
        )
    ),
    ""
)</f>
        <v/>
      </c>
      <c r="Q2687" s="385" t="str">
        <f>IF(
    OR(ISBLANK(L2687), ISBLANK(M2687)),
    "",
    MAX(
        1,
        IF(
            NETWORKDAYS(L2687, M2687, Holiday_Dates) &lt;= 0,
            1,
            NETWORKDAYS(L2687, M2687, Holiday_Dates) - IF(L2687 = M2687, 0, 1)
        )
    )
)</f>
        <v/>
      </c>
      <c r="R2687" s="385" t="str">
        <f>IFERROR(
    IF(
        OR(ISBLANK(N2687), AND(ISBLANK(L2687), ISBLANK(M2687))),
        "",
        MAX(
            1,
            IF(
                NETWORKDAYS(IF(NOT(ISBLANK(M2687)), M2687, L2687), N2687, Holiday_Dates) &lt;= 0,
                1,
                NETWORKDAYS(IF(NOT(ISBLANK(M2687)), M2687, L2687), N2687, Holiday_Dates)
                - IF(IF(NOT(ISBLANK(M2687)), M2687, L2687) = N2687, 0, 1)
            )
        )
    ),
    ""
)</f>
        <v/>
      </c>
      <c r="S2687" s="385" t="str">
        <f>IFERROR(
    IF(
        OR(ISBLANK(N2687), ISBLANK(O2687)),
        "",
        MAX(
            1,
            IF(
                NETWORKDAYS(N2687, O2687, Holiday_Dates) &lt;= 0,
                1,
                NETWORKDAYS(N2687, O2687, Holiday_Dates) - IF(N2687 = O2687, 0, 1)
            )
        )
    ),
    ""
)</f>
        <v/>
      </c>
      <c r="T2687" s="385"/>
      <c r="U2687" s="385" t="s">
        <v>672</v>
      </c>
      <c r="V2687" s="385" t="s">
        <v>101</v>
      </c>
      <c r="W2687" s="385" t="s">
        <v>1436</v>
      </c>
      <c r="X2687" s="1"/>
    </row>
    <row r="2688" spans="1:24">
      <c r="A2688" s="385" t="s">
        <v>52</v>
      </c>
      <c r="B2688" s="385" t="s">
        <v>466</v>
      </c>
      <c r="C2688" s="385" t="s">
        <v>4181</v>
      </c>
      <c r="D2688" s="385" t="s">
        <v>89</v>
      </c>
      <c r="E2688" s="385"/>
      <c r="F2688" s="385"/>
      <c r="G2688" s="385"/>
      <c r="H2688" s="385">
        <v>2025</v>
      </c>
      <c r="I2688" s="386">
        <v>45678</v>
      </c>
      <c r="J2688" s="30" t="s">
        <v>5705</v>
      </c>
      <c r="K2688" s="385"/>
      <c r="L2688" s="385"/>
      <c r="M2688" s="385"/>
      <c r="N2688" s="385"/>
      <c r="O2688" s="385"/>
      <c r="P2688" s="385" t="str">
        <f>IFERROR(
    IF(
        OR(ISBLANK(I2688), ISBLANK(L2688)),
        "",
        MAX(
            1,
            IF(
                NETWORKDAYS(I2688, L2688, Holiday_Dates) &lt;= 0,
                1,
                NETWORKDAYS(I2688, L2688, Holiday_Dates) - IF(I2688 = L2688, 0, 1)
            )
        )
    ),
    ""
)</f>
        <v/>
      </c>
      <c r="Q2688" s="385" t="str">
        <f>IF(
    OR(ISBLANK(L2688), ISBLANK(M2688)),
    "",
    MAX(
        1,
        IF(
            NETWORKDAYS(L2688, M2688, Holiday_Dates) &lt;= 0,
            1,
            NETWORKDAYS(L2688, M2688, Holiday_Dates) - IF(L2688 = M2688, 0, 1)
        )
    )
)</f>
        <v/>
      </c>
      <c r="R2688" s="385" t="str">
        <f>IFERROR(
    IF(
        OR(ISBLANK(N2688), AND(ISBLANK(L2688), ISBLANK(M2688))),
        "",
        MAX(
            1,
            IF(
                NETWORKDAYS(IF(NOT(ISBLANK(M2688)), M2688, L2688), N2688, Holiday_Dates) &lt;= 0,
                1,
                NETWORKDAYS(IF(NOT(ISBLANK(M2688)), M2688, L2688), N2688, Holiday_Dates)
                - IF(IF(NOT(ISBLANK(M2688)), M2688, L2688) = N2688, 0, 1)
            )
        )
    ),
    ""
)</f>
        <v/>
      </c>
      <c r="S2688" s="385" t="str">
        <f>IFERROR(
    IF(
        OR(ISBLANK(N2688), ISBLANK(O2688)),
        "",
        MAX(
            1,
            IF(
                NETWORKDAYS(N2688, O2688, Holiday_Dates) &lt;= 0,
                1,
                NETWORKDAYS(N2688, O2688, Holiday_Dates) - IF(N2688 = O2688, 0, 1)
            )
        )
    ),
    ""
)</f>
        <v/>
      </c>
      <c r="T2688" s="385"/>
      <c r="U2688" s="385" t="s">
        <v>4</v>
      </c>
      <c r="V2688" s="385" t="s">
        <v>101</v>
      </c>
      <c r="W2688" s="385" t="s">
        <v>1436</v>
      </c>
      <c r="X2688" s="1"/>
    </row>
    <row r="2689" spans="1:24">
      <c r="A2689" s="385" t="s">
        <v>52</v>
      </c>
      <c r="B2689" s="385" t="s">
        <v>466</v>
      </c>
      <c r="C2689" s="385" t="s">
        <v>3157</v>
      </c>
      <c r="D2689" s="385" t="s">
        <v>89</v>
      </c>
      <c r="E2689" s="385"/>
      <c r="F2689" s="385"/>
      <c r="G2689" s="385"/>
      <c r="H2689" s="385">
        <v>2024</v>
      </c>
      <c r="I2689" s="386">
        <v>45568</v>
      </c>
      <c r="J2689" s="30"/>
      <c r="K2689" s="385"/>
      <c r="L2689" s="385"/>
      <c r="M2689" s="385"/>
      <c r="N2689" s="385"/>
      <c r="O2689" s="385"/>
      <c r="P2689" s="385" t="str">
        <f>IFERROR(
    IF(
        OR(ISBLANK(I2689), ISBLANK(L2689)),
        "",
        MAX(
            1,
            IF(
                NETWORKDAYS(I2689, L2689, Holiday_Dates) &lt;= 0,
                1,
                NETWORKDAYS(I2689, L2689, Holiday_Dates) - IF(I2689 = L2689, 0, 1)
            )
        )
    ),
    ""
)</f>
        <v/>
      </c>
      <c r="Q2689" s="385" t="str">
        <f>IF(
    OR(ISBLANK(L2689), ISBLANK(M2689)),
    "",
    MAX(
        1,
        IF(
            NETWORKDAYS(L2689, M2689, Holiday_Dates) &lt;= 0,
            1,
            NETWORKDAYS(L2689, M2689, Holiday_Dates) - IF(L2689 = M2689, 0, 1)
        )
    )
)</f>
        <v/>
      </c>
      <c r="R2689" s="385" t="str">
        <f>IFERROR(
    IF(
        OR(ISBLANK(N2689), AND(ISBLANK(L2689), ISBLANK(M2689))),
        "",
        MAX(
            1,
            IF(
                NETWORKDAYS(IF(NOT(ISBLANK(M2689)), M2689, L2689), N2689, Holiday_Dates) &lt;= 0,
                1,
                NETWORKDAYS(IF(NOT(ISBLANK(M2689)), M2689, L2689), N2689, Holiday_Dates)
                - IF(IF(NOT(ISBLANK(M2689)), M2689, L2689) = N2689, 0, 1)
            )
        )
    ),
    ""
)</f>
        <v/>
      </c>
      <c r="S2689" s="385" t="str">
        <f>IFERROR(
    IF(
        OR(ISBLANK(N2689), ISBLANK(O2689)),
        "",
        MAX(
            1,
            IF(
                NETWORKDAYS(N2689, O2689, Holiday_Dates) &lt;= 0,
                1,
                NETWORKDAYS(N2689, O2689, Holiday_Dates) - IF(N2689 = O2689, 0, 1)
            )
        )
    ),
    ""
)</f>
        <v/>
      </c>
      <c r="T2689" s="385"/>
      <c r="U2689" s="385" t="s">
        <v>672</v>
      </c>
      <c r="V2689" s="385" t="s">
        <v>101</v>
      </c>
      <c r="W2689" s="385" t="s">
        <v>1436</v>
      </c>
      <c r="X2689" s="1"/>
    </row>
    <row r="2690" spans="1:24">
      <c r="A2690" s="385" t="s">
        <v>52</v>
      </c>
      <c r="B2690" s="385" t="s">
        <v>466</v>
      </c>
      <c r="C2690" s="385" t="s">
        <v>1091</v>
      </c>
      <c r="D2690" s="385" t="s">
        <v>89</v>
      </c>
      <c r="E2690" s="385"/>
      <c r="F2690" s="385"/>
      <c r="G2690" s="385"/>
      <c r="H2690" s="385">
        <v>2025</v>
      </c>
      <c r="I2690" s="386">
        <v>45800</v>
      </c>
      <c r="J2690" s="30" t="s">
        <v>5706</v>
      </c>
      <c r="K2690" s="385"/>
      <c r="L2690" s="385"/>
      <c r="M2690" s="385"/>
      <c r="N2690" s="385"/>
      <c r="O2690" s="385"/>
      <c r="P2690" s="385" t="str">
        <f>IFERROR(
    IF(
        OR(ISBLANK(I2690), ISBLANK(L2690)),
        "",
        MAX(
            1,
            IF(
                NETWORKDAYS(I2690, L2690, Holiday_Dates) &lt;= 0,
                1,
                NETWORKDAYS(I2690, L2690, Holiday_Dates) - IF(I2690 = L2690, 0, 1)
            )
        )
    ),
    ""
)</f>
        <v/>
      </c>
      <c r="Q2690" s="385" t="str">
        <f>IF(
    OR(ISBLANK(L2690), ISBLANK(M2690)),
    "",
    MAX(
        1,
        IF(
            NETWORKDAYS(L2690, M2690, Holiday_Dates) &lt;= 0,
            1,
            NETWORKDAYS(L2690, M2690, Holiday_Dates) - IF(L2690 = M2690, 0, 1)
        )
    )
)</f>
        <v/>
      </c>
      <c r="R2690" s="385" t="str">
        <f>IFERROR(
    IF(
        OR(ISBLANK(N2690), AND(ISBLANK(L2690), ISBLANK(M2690))),
        "",
        MAX(
            1,
            IF(
                NETWORKDAYS(IF(NOT(ISBLANK(M2690)), M2690, L2690), N2690, Holiday_Dates) &lt;= 0,
                1,
                NETWORKDAYS(IF(NOT(ISBLANK(M2690)), M2690, L2690), N2690, Holiday_Dates)
                - IF(IF(NOT(ISBLANK(M2690)), M2690, L2690) = N2690, 0, 1)
            )
        )
    ),
    ""
)</f>
        <v/>
      </c>
      <c r="S2690" s="385" t="str">
        <f>IFERROR(
    IF(
        OR(ISBLANK(N2690), ISBLANK(O2690)),
        "",
        MAX(
            1,
            IF(
                NETWORKDAYS(N2690, O2690, Holiday_Dates) &lt;= 0,
                1,
                NETWORKDAYS(N2690, O2690, Holiday_Dates) - IF(N2690 = O2690, 0, 1)
            )
        )
    ),
    ""
)</f>
        <v/>
      </c>
      <c r="T2690" s="385"/>
      <c r="U2690" s="385" t="s">
        <v>672</v>
      </c>
      <c r="V2690" s="385" t="s">
        <v>101</v>
      </c>
      <c r="W2690" s="385" t="s">
        <v>1436</v>
      </c>
      <c r="X2690" s="1"/>
    </row>
    <row r="2691" spans="1:24">
      <c r="A2691" s="385" t="s">
        <v>52</v>
      </c>
      <c r="B2691" s="385" t="s">
        <v>466</v>
      </c>
      <c r="C2691" s="385" t="s">
        <v>764</v>
      </c>
      <c r="D2691" s="385" t="s">
        <v>89</v>
      </c>
      <c r="E2691" s="385"/>
      <c r="F2691" s="385"/>
      <c r="G2691" s="385"/>
      <c r="H2691" s="385">
        <v>2025</v>
      </c>
      <c r="I2691" s="386">
        <v>45897</v>
      </c>
      <c r="J2691" s="30" t="s">
        <v>5707</v>
      </c>
      <c r="K2691" s="385"/>
      <c r="L2691" s="385"/>
      <c r="M2691" s="385"/>
      <c r="N2691" s="385"/>
      <c r="O2691" s="385"/>
      <c r="P2691" s="385" t="str">
        <f>IFERROR(
    IF(
        OR(ISBLANK(I2691), ISBLANK(L2691)),
        "",
        MAX(
            1,
            IF(
                NETWORKDAYS(I2691, L2691, Holiday_Dates) &lt;= 0,
                1,
                NETWORKDAYS(I2691, L2691, Holiday_Dates) - IF(I2691 = L2691, 0, 1)
            )
        )
    ),
    ""
)</f>
        <v/>
      </c>
      <c r="Q2691" s="385" t="str">
        <f>IF(
    OR(ISBLANK(L2691), ISBLANK(M2691)),
    "",
    MAX(
        1,
        IF(
            NETWORKDAYS(L2691, M2691, Holiday_Dates) &lt;= 0,
            1,
            NETWORKDAYS(L2691, M2691, Holiday_Dates) - IF(L2691 = M2691, 0, 1)
        )
    )
)</f>
        <v/>
      </c>
      <c r="R2691" s="385" t="str">
        <f>IFERROR(
    IF(
        OR(ISBLANK(N2691), AND(ISBLANK(L2691), ISBLANK(M2691))),
        "",
        MAX(
            1,
            IF(
                NETWORKDAYS(IF(NOT(ISBLANK(M2691)), M2691, L2691), N2691, Holiday_Dates) &lt;= 0,
                1,
                NETWORKDAYS(IF(NOT(ISBLANK(M2691)), M2691, L2691), N2691, Holiday_Dates)
                - IF(IF(NOT(ISBLANK(M2691)), M2691, L2691) = N2691, 0, 1)
            )
        )
    ),
    ""
)</f>
        <v/>
      </c>
      <c r="S2691" s="385" t="str">
        <f>IFERROR(
    IF(
        OR(ISBLANK(N2691), ISBLANK(O2691)),
        "",
        MAX(
            1,
            IF(
                NETWORKDAYS(N2691, O2691, Holiday_Dates) &lt;= 0,
                1,
                NETWORKDAYS(N2691, O2691, Holiday_Dates) - IF(N2691 = O2691, 0, 1)
            )
        )
    ),
    ""
)</f>
        <v/>
      </c>
      <c r="T2691" s="385"/>
      <c r="U2691" s="385" t="s">
        <v>672</v>
      </c>
      <c r="V2691" s="385" t="s">
        <v>101</v>
      </c>
      <c r="W2691" s="385" t="s">
        <v>1436</v>
      </c>
      <c r="X2691" s="1"/>
    </row>
    <row r="2692" spans="1:24">
      <c r="A2692" s="385" t="s">
        <v>52</v>
      </c>
      <c r="B2692" s="385" t="s">
        <v>466</v>
      </c>
      <c r="C2692" s="385" t="s">
        <v>4183</v>
      </c>
      <c r="D2692" s="385" t="s">
        <v>89</v>
      </c>
      <c r="E2692" s="385"/>
      <c r="F2692" s="385"/>
      <c r="G2692" s="385"/>
      <c r="H2692" s="385">
        <v>2025</v>
      </c>
      <c r="I2692" s="386">
        <v>45897</v>
      </c>
      <c r="J2692" s="30" t="s">
        <v>5708</v>
      </c>
      <c r="K2692" s="385"/>
      <c r="L2692" s="385"/>
      <c r="M2692" s="385"/>
      <c r="N2692" s="385"/>
      <c r="O2692" s="385"/>
      <c r="P2692" s="385" t="str">
        <f>IFERROR(
    IF(
        OR(ISBLANK(I2692), ISBLANK(L2692)),
        "",
        MAX(
            1,
            IF(
                NETWORKDAYS(I2692, L2692, Holiday_Dates) &lt;= 0,
                1,
                NETWORKDAYS(I2692, L2692, Holiday_Dates) - IF(I2692 = L2692, 0, 1)
            )
        )
    ),
    ""
)</f>
        <v/>
      </c>
      <c r="Q2692" s="385" t="str">
        <f>IF(
    OR(ISBLANK(L2692), ISBLANK(M2692)),
    "",
    MAX(
        1,
        IF(
            NETWORKDAYS(L2692, M2692, Holiday_Dates) &lt;= 0,
            1,
            NETWORKDAYS(L2692, M2692, Holiday_Dates) - IF(L2692 = M2692, 0, 1)
        )
    )
)</f>
        <v/>
      </c>
      <c r="R2692" s="385" t="str">
        <f>IFERROR(
    IF(
        OR(ISBLANK(N2692), AND(ISBLANK(L2692), ISBLANK(M2692))),
        "",
        MAX(
            1,
            IF(
                NETWORKDAYS(IF(NOT(ISBLANK(M2692)), M2692, L2692), N2692, Holiday_Dates) &lt;= 0,
                1,
                NETWORKDAYS(IF(NOT(ISBLANK(M2692)), M2692, L2692), N2692, Holiday_Dates)
                - IF(IF(NOT(ISBLANK(M2692)), M2692, L2692) = N2692, 0, 1)
            )
        )
    ),
    ""
)</f>
        <v/>
      </c>
      <c r="S2692" s="385" t="str">
        <f>IFERROR(
    IF(
        OR(ISBLANK(N2692), ISBLANK(O2692)),
        "",
        MAX(
            1,
            IF(
                NETWORKDAYS(N2692, O2692, Holiday_Dates) &lt;= 0,
                1,
                NETWORKDAYS(N2692, O2692, Holiday_Dates) - IF(N2692 = O2692, 0, 1)
            )
        )
    ),
    ""
)</f>
        <v/>
      </c>
      <c r="T2692" s="385"/>
      <c r="U2692" s="385" t="s">
        <v>672</v>
      </c>
      <c r="V2692" s="385" t="s">
        <v>101</v>
      </c>
      <c r="W2692" s="385" t="s">
        <v>1436</v>
      </c>
      <c r="X2692" s="1"/>
    </row>
    <row r="2693" spans="1:24">
      <c r="A2693" s="385" t="s">
        <v>52</v>
      </c>
      <c r="B2693" s="385" t="s">
        <v>466</v>
      </c>
      <c r="C2693" s="385" t="s">
        <v>4184</v>
      </c>
      <c r="D2693" s="385" t="s">
        <v>89</v>
      </c>
      <c r="E2693" s="385"/>
      <c r="F2693" s="385"/>
      <c r="G2693" s="385"/>
      <c r="H2693" s="385">
        <v>2024</v>
      </c>
      <c r="I2693" s="386">
        <v>45568</v>
      </c>
      <c r="J2693" s="30"/>
      <c r="K2693" s="385"/>
      <c r="L2693" s="385"/>
      <c r="M2693" s="385"/>
      <c r="N2693" s="385"/>
      <c r="O2693" s="385"/>
      <c r="P2693" s="385" t="str">
        <f>IFERROR(
    IF(
        OR(ISBLANK(I2693), ISBLANK(L2693)),
        "",
        MAX(
            1,
            IF(
                NETWORKDAYS(I2693, L2693, Holiday_Dates) &lt;= 0,
                1,
                NETWORKDAYS(I2693, L2693, Holiday_Dates) - IF(I2693 = L2693, 0, 1)
            )
        )
    ),
    ""
)</f>
        <v/>
      </c>
      <c r="Q2693" s="385" t="str">
        <f>IF(
    OR(ISBLANK(L2693), ISBLANK(M2693)),
    "",
    MAX(
        1,
        IF(
            NETWORKDAYS(L2693, M2693, Holiday_Dates) &lt;= 0,
            1,
            NETWORKDAYS(L2693, M2693, Holiday_Dates) - IF(L2693 = M2693, 0, 1)
        )
    )
)</f>
        <v/>
      </c>
      <c r="R2693" s="385" t="str">
        <f>IFERROR(
    IF(
        OR(ISBLANK(N2693), AND(ISBLANK(L2693), ISBLANK(M2693))),
        "",
        MAX(
            1,
            IF(
                NETWORKDAYS(IF(NOT(ISBLANK(M2693)), M2693, L2693), N2693, Holiday_Dates) &lt;= 0,
                1,
                NETWORKDAYS(IF(NOT(ISBLANK(M2693)), M2693, L2693), N2693, Holiday_Dates)
                - IF(IF(NOT(ISBLANK(M2693)), M2693, L2693) = N2693, 0, 1)
            )
        )
    ),
    ""
)</f>
        <v/>
      </c>
      <c r="S2693" s="385" t="str">
        <f>IFERROR(
    IF(
        OR(ISBLANK(N2693), ISBLANK(O2693)),
        "",
        MAX(
            1,
            IF(
                NETWORKDAYS(N2693, O2693, Holiday_Dates) &lt;= 0,
                1,
                NETWORKDAYS(N2693, O2693, Holiday_Dates) - IF(N2693 = O2693, 0, 1)
            )
        )
    ),
    ""
)</f>
        <v/>
      </c>
      <c r="T2693" s="385"/>
      <c r="U2693" s="385" t="s">
        <v>4</v>
      </c>
      <c r="V2693" s="385" t="s">
        <v>101</v>
      </c>
      <c r="W2693" s="385" t="s">
        <v>1436</v>
      </c>
      <c r="X2693" s="1"/>
    </row>
    <row r="2694" spans="1:24">
      <c r="A2694" s="385" t="s">
        <v>52</v>
      </c>
      <c r="B2694" s="385" t="s">
        <v>542</v>
      </c>
      <c r="C2694" s="385" t="s">
        <v>1058</v>
      </c>
      <c r="D2694" s="385" t="s">
        <v>89</v>
      </c>
      <c r="E2694" s="385"/>
      <c r="F2694" s="385"/>
      <c r="G2694" s="385"/>
      <c r="H2694" s="385">
        <v>2024</v>
      </c>
      <c r="I2694" s="386">
        <v>45575</v>
      </c>
      <c r="J2694" s="30"/>
      <c r="K2694" s="385"/>
      <c r="L2694" s="385"/>
      <c r="M2694" s="385"/>
      <c r="N2694" s="385"/>
      <c r="O2694" s="385"/>
      <c r="P2694" s="385" t="str">
        <f>IFERROR(
    IF(
        OR(ISBLANK(I2694), ISBLANK(L2694)),
        "",
        MAX(
            1,
            IF(
                NETWORKDAYS(I2694, L2694, Holiday_Dates) &lt;= 0,
                1,
                NETWORKDAYS(I2694, L2694, Holiday_Dates) - IF(I2694 = L2694, 0, 1)
            )
        )
    ),
    ""
)</f>
        <v/>
      </c>
      <c r="Q2694" s="385" t="str">
        <f>IF(
    OR(ISBLANK(L2694), ISBLANK(M2694)),
    "",
    MAX(
        1,
        IF(
            NETWORKDAYS(L2694, M2694, Holiday_Dates) &lt;= 0,
            1,
            NETWORKDAYS(L2694, M2694, Holiday_Dates) - IF(L2694 = M2694, 0, 1)
        )
    )
)</f>
        <v/>
      </c>
      <c r="R2694" s="385" t="str">
        <f>IFERROR(
    IF(
        OR(ISBLANK(N2694), AND(ISBLANK(L2694), ISBLANK(M2694))),
        "",
        MAX(
            1,
            IF(
                NETWORKDAYS(IF(NOT(ISBLANK(M2694)), M2694, L2694), N2694, Holiday_Dates) &lt;= 0,
                1,
                NETWORKDAYS(IF(NOT(ISBLANK(M2694)), M2694, L2694), N2694, Holiday_Dates)
                - IF(IF(NOT(ISBLANK(M2694)), M2694, L2694) = N2694, 0, 1)
            )
        )
    ),
    ""
)</f>
        <v/>
      </c>
      <c r="S2694" s="385" t="str">
        <f>IFERROR(
    IF(
        OR(ISBLANK(N2694), ISBLANK(O2694)),
        "",
        MAX(
            1,
            IF(
                NETWORKDAYS(N2694, O2694, Holiday_Dates) &lt;= 0,
                1,
                NETWORKDAYS(N2694, O2694, Holiday_Dates) - IF(N2694 = O2694, 0, 1)
            )
        )
    ),
    ""
)</f>
        <v/>
      </c>
      <c r="T2694" s="385"/>
      <c r="U2694" s="385" t="s">
        <v>4</v>
      </c>
      <c r="V2694" s="385" t="s">
        <v>101</v>
      </c>
      <c r="W2694" s="385" t="s">
        <v>1436</v>
      </c>
      <c r="X2694" s="1"/>
    </row>
    <row r="2695" spans="1:24">
      <c r="A2695" s="385" t="s">
        <v>52</v>
      </c>
      <c r="B2695" s="385" t="s">
        <v>542</v>
      </c>
      <c r="C2695" s="385" t="s">
        <v>366</v>
      </c>
      <c r="D2695" s="385" t="s">
        <v>89</v>
      </c>
      <c r="E2695" s="385"/>
      <c r="F2695" s="385"/>
      <c r="G2695" s="385"/>
      <c r="H2695" s="385">
        <v>2025</v>
      </c>
      <c r="I2695" s="386">
        <v>45833</v>
      </c>
      <c r="J2695" s="30" t="s">
        <v>5709</v>
      </c>
      <c r="K2695" s="385"/>
      <c r="L2695" s="385"/>
      <c r="M2695" s="385"/>
      <c r="N2695" s="385"/>
      <c r="O2695" s="385"/>
      <c r="P2695" s="385" t="str">
        <f>IFERROR(
    IF(
        OR(ISBLANK(I2695), ISBLANK(L2695)),
        "",
        MAX(
            1,
            IF(
                NETWORKDAYS(I2695, L2695, Holiday_Dates) &lt;= 0,
                1,
                NETWORKDAYS(I2695, L2695, Holiday_Dates) - IF(I2695 = L2695, 0, 1)
            )
        )
    ),
    ""
)</f>
        <v/>
      </c>
      <c r="Q2695" s="385" t="str">
        <f>IF(
    OR(ISBLANK(L2695), ISBLANK(M2695)),
    "",
    MAX(
        1,
        IF(
            NETWORKDAYS(L2695, M2695, Holiday_Dates) &lt;= 0,
            1,
            NETWORKDAYS(L2695, M2695, Holiday_Dates) - IF(L2695 = M2695, 0, 1)
        )
    )
)</f>
        <v/>
      </c>
      <c r="R2695" s="385" t="str">
        <f>IFERROR(
    IF(
        OR(ISBLANK(N2695), AND(ISBLANK(L2695), ISBLANK(M2695))),
        "",
        MAX(
            1,
            IF(
                NETWORKDAYS(IF(NOT(ISBLANK(M2695)), M2695, L2695), N2695, Holiday_Dates) &lt;= 0,
                1,
                NETWORKDAYS(IF(NOT(ISBLANK(M2695)), M2695, L2695), N2695, Holiday_Dates)
                - IF(IF(NOT(ISBLANK(M2695)), M2695, L2695) = N2695, 0, 1)
            )
        )
    ),
    ""
)</f>
        <v/>
      </c>
      <c r="S2695" s="385" t="str">
        <f>IFERROR(
    IF(
        OR(ISBLANK(N2695), ISBLANK(O2695)),
        "",
        MAX(
            1,
            IF(
                NETWORKDAYS(N2695, O2695, Holiday_Dates) &lt;= 0,
                1,
                NETWORKDAYS(N2695, O2695, Holiday_Dates) - IF(N2695 = O2695, 0, 1)
            )
        )
    ),
    ""
)</f>
        <v/>
      </c>
      <c r="T2695" s="385"/>
      <c r="U2695" s="385" t="s">
        <v>672</v>
      </c>
      <c r="V2695" s="385" t="s">
        <v>101</v>
      </c>
      <c r="W2695" s="385" t="s">
        <v>1436</v>
      </c>
      <c r="X2695" s="1"/>
    </row>
    <row r="2696" spans="1:24">
      <c r="A2696" s="385" t="s">
        <v>52</v>
      </c>
      <c r="B2696" s="385" t="s">
        <v>542</v>
      </c>
      <c r="C2696" s="385" t="s">
        <v>4187</v>
      </c>
      <c r="D2696" s="385" t="s">
        <v>89</v>
      </c>
      <c r="E2696" s="385"/>
      <c r="F2696" s="385"/>
      <c r="G2696" s="385"/>
      <c r="H2696" s="385">
        <v>2024</v>
      </c>
      <c r="I2696" s="386">
        <v>45399</v>
      </c>
      <c r="J2696" s="30"/>
      <c r="K2696" s="385"/>
      <c r="L2696" s="385"/>
      <c r="M2696" s="385"/>
      <c r="N2696" s="385"/>
      <c r="O2696" s="385"/>
      <c r="P2696" s="385" t="str">
        <f>IFERROR(
    IF(
        OR(ISBLANK(I2696), ISBLANK(L2696)),
        "",
        MAX(
            1,
            IF(
                NETWORKDAYS(I2696, L2696, Holiday_Dates) &lt;= 0,
                1,
                NETWORKDAYS(I2696, L2696, Holiday_Dates) - IF(I2696 = L2696, 0, 1)
            )
        )
    ),
    ""
)</f>
        <v/>
      </c>
      <c r="Q2696" s="385" t="str">
        <f>IF(
    OR(ISBLANK(L2696), ISBLANK(M2696)),
    "",
    MAX(
        1,
        IF(
            NETWORKDAYS(L2696, M2696, Holiday_Dates) &lt;= 0,
            1,
            NETWORKDAYS(L2696, M2696, Holiday_Dates) - IF(L2696 = M2696, 0, 1)
        )
    )
)</f>
        <v/>
      </c>
      <c r="R2696" s="385" t="str">
        <f>IFERROR(
    IF(
        OR(ISBLANK(N2696), AND(ISBLANK(L2696), ISBLANK(M2696))),
        "",
        MAX(
            1,
            IF(
                NETWORKDAYS(IF(NOT(ISBLANK(M2696)), M2696, L2696), N2696, Holiday_Dates) &lt;= 0,
                1,
                NETWORKDAYS(IF(NOT(ISBLANK(M2696)), M2696, L2696), N2696, Holiday_Dates)
                - IF(IF(NOT(ISBLANK(M2696)), M2696, L2696) = N2696, 0, 1)
            )
        )
    ),
    ""
)</f>
        <v/>
      </c>
      <c r="S2696" s="385" t="str">
        <f>IFERROR(
    IF(
        OR(ISBLANK(N2696), ISBLANK(O2696)),
        "",
        MAX(
            1,
            IF(
                NETWORKDAYS(N2696, O2696, Holiday_Dates) &lt;= 0,
                1,
                NETWORKDAYS(N2696, O2696, Holiday_Dates) - IF(N2696 = O2696, 0, 1)
            )
        )
    ),
    ""
)</f>
        <v/>
      </c>
      <c r="T2696" s="385"/>
      <c r="U2696" s="385" t="s">
        <v>672</v>
      </c>
      <c r="V2696" s="385"/>
      <c r="W2696" s="385" t="s">
        <v>1436</v>
      </c>
      <c r="X2696" s="1"/>
    </row>
    <row r="2697" spans="1:24">
      <c r="A2697" s="385" t="s">
        <v>52</v>
      </c>
      <c r="B2697" s="385" t="s">
        <v>542</v>
      </c>
      <c r="C2697" s="385" t="s">
        <v>4189</v>
      </c>
      <c r="D2697" s="385" t="s">
        <v>89</v>
      </c>
      <c r="E2697" s="385"/>
      <c r="F2697" s="385"/>
      <c r="G2697" s="385"/>
      <c r="H2697" s="385">
        <v>2024</v>
      </c>
      <c r="I2697" s="386">
        <v>45602</v>
      </c>
      <c r="J2697" s="30"/>
      <c r="K2697" s="385"/>
      <c r="L2697" s="385"/>
      <c r="M2697" s="385"/>
      <c r="N2697" s="385"/>
      <c r="O2697" s="385"/>
      <c r="P2697" s="385" t="str">
        <f>IFERROR(
    IF(
        OR(ISBLANK(I2697), ISBLANK(L2697)),
        "",
        MAX(
            1,
            IF(
                NETWORKDAYS(I2697, L2697, Holiday_Dates) &lt;= 0,
                1,
                NETWORKDAYS(I2697, L2697, Holiday_Dates) - IF(I2697 = L2697, 0, 1)
            )
        )
    ),
    ""
)</f>
        <v/>
      </c>
      <c r="Q2697" s="385" t="str">
        <f>IF(
    OR(ISBLANK(L2697), ISBLANK(M2697)),
    "",
    MAX(
        1,
        IF(
            NETWORKDAYS(L2697, M2697, Holiday_Dates) &lt;= 0,
            1,
            NETWORKDAYS(L2697, M2697, Holiday_Dates) - IF(L2697 = M2697, 0, 1)
        )
    )
)</f>
        <v/>
      </c>
      <c r="R2697" s="385" t="str">
        <f>IFERROR(
    IF(
        OR(ISBLANK(N2697), AND(ISBLANK(L2697), ISBLANK(M2697))),
        "",
        MAX(
            1,
            IF(
                NETWORKDAYS(IF(NOT(ISBLANK(M2697)), M2697, L2697), N2697, Holiday_Dates) &lt;= 0,
                1,
                NETWORKDAYS(IF(NOT(ISBLANK(M2697)), M2697, L2697), N2697, Holiday_Dates)
                - IF(IF(NOT(ISBLANK(M2697)), M2697, L2697) = N2697, 0, 1)
            )
        )
    ),
    ""
)</f>
        <v/>
      </c>
      <c r="S2697" s="385" t="str">
        <f>IFERROR(
    IF(
        OR(ISBLANK(N2697), ISBLANK(O2697)),
        "",
        MAX(
            1,
            IF(
                NETWORKDAYS(N2697, O2697, Holiday_Dates) &lt;= 0,
                1,
                NETWORKDAYS(N2697, O2697, Holiday_Dates) - IF(N2697 = O2697, 0, 1)
            )
        )
    ),
    ""
)</f>
        <v/>
      </c>
      <c r="T2697" s="385"/>
      <c r="U2697" s="385" t="s">
        <v>672</v>
      </c>
      <c r="V2697" s="385" t="s">
        <v>101</v>
      </c>
      <c r="W2697" s="385" t="s">
        <v>1436</v>
      </c>
      <c r="X2697" s="1"/>
    </row>
    <row r="2698" spans="1:24">
      <c r="A2698" s="385" t="s">
        <v>52</v>
      </c>
      <c r="B2698" s="385" t="s">
        <v>542</v>
      </c>
      <c r="C2698" s="385" t="s">
        <v>4191</v>
      </c>
      <c r="D2698" s="385" t="s">
        <v>89</v>
      </c>
      <c r="E2698" s="385"/>
      <c r="F2698" s="385"/>
      <c r="G2698" s="385"/>
      <c r="H2698" s="385">
        <v>2025</v>
      </c>
      <c r="I2698" s="386">
        <v>45965</v>
      </c>
      <c r="J2698" s="30" t="s">
        <v>5710</v>
      </c>
      <c r="K2698" s="385"/>
      <c r="L2698" s="385"/>
      <c r="M2698" s="385"/>
      <c r="N2698" s="385"/>
      <c r="O2698" s="385"/>
      <c r="P2698" s="385" t="str">
        <f>IFERROR(
    IF(
        OR(ISBLANK(I2698), ISBLANK(L2698)),
        "",
        MAX(
            1,
            IF(
                NETWORKDAYS(I2698, L2698, Holiday_Dates) &lt;= 0,
                1,
                NETWORKDAYS(I2698, L2698, Holiday_Dates) - IF(I2698 = L2698, 0, 1)
            )
        )
    ),
    ""
)</f>
        <v/>
      </c>
      <c r="Q2698" s="385" t="str">
        <f>IF(
    OR(ISBLANK(L2698), ISBLANK(M2698)),
    "",
    MAX(
        1,
        IF(
            NETWORKDAYS(L2698, M2698, Holiday_Dates) &lt;= 0,
            1,
            NETWORKDAYS(L2698, M2698, Holiday_Dates) - IF(L2698 = M2698, 0, 1)
        )
    )
)</f>
        <v/>
      </c>
      <c r="R2698" s="385" t="str">
        <f>IFERROR(
    IF(
        OR(ISBLANK(N2698), AND(ISBLANK(L2698), ISBLANK(M2698))),
        "",
        MAX(
            1,
            IF(
                NETWORKDAYS(IF(NOT(ISBLANK(M2698)), M2698, L2698), N2698, Holiday_Dates) &lt;= 0,
                1,
                NETWORKDAYS(IF(NOT(ISBLANK(M2698)), M2698, L2698), N2698, Holiday_Dates)
                - IF(IF(NOT(ISBLANK(M2698)), M2698, L2698) = N2698, 0, 1)
            )
        )
    ),
    ""
)</f>
        <v/>
      </c>
      <c r="S2698" s="385" t="str">
        <f>IFERROR(
    IF(
        OR(ISBLANK(N2698), ISBLANK(O2698)),
        "",
        MAX(
            1,
            IF(
                NETWORKDAYS(N2698, O2698, Holiday_Dates) &lt;= 0,
                1,
                NETWORKDAYS(N2698, O2698, Holiday_Dates) - IF(N2698 = O2698, 0, 1)
            )
        )
    ),
    ""
)</f>
        <v/>
      </c>
      <c r="T2698" s="385"/>
      <c r="U2698" s="385" t="s">
        <v>672</v>
      </c>
      <c r="V2698" s="385" t="s">
        <v>101</v>
      </c>
      <c r="W2698" s="385" t="s">
        <v>1436</v>
      </c>
      <c r="X2698" s="1"/>
    </row>
    <row r="2699" spans="1:24">
      <c r="A2699" s="385" t="s">
        <v>52</v>
      </c>
      <c r="B2699" s="385" t="s">
        <v>542</v>
      </c>
      <c r="C2699" s="385" t="s">
        <v>4192</v>
      </c>
      <c r="D2699" s="385" t="s">
        <v>89</v>
      </c>
      <c r="E2699" s="385"/>
      <c r="F2699" s="385"/>
      <c r="G2699" s="385"/>
      <c r="H2699" s="385">
        <v>2025</v>
      </c>
      <c r="I2699" s="386">
        <v>45889</v>
      </c>
      <c r="J2699" s="30" t="s">
        <v>5711</v>
      </c>
      <c r="K2699" s="385"/>
      <c r="L2699" s="385"/>
      <c r="M2699" s="385"/>
      <c r="N2699" s="385"/>
      <c r="O2699" s="385"/>
      <c r="P2699" s="385" t="str">
        <f>IFERROR(
    IF(
        OR(ISBLANK(I2699), ISBLANK(L2699)),
        "",
        MAX(
            1,
            IF(
                NETWORKDAYS(I2699, L2699, Holiday_Dates) &lt;= 0,
                1,
                NETWORKDAYS(I2699, L2699, Holiday_Dates) - IF(I2699 = L2699, 0, 1)
            )
        )
    ),
    ""
)</f>
        <v/>
      </c>
      <c r="Q2699" s="385" t="str">
        <f>IF(
    OR(ISBLANK(L2699), ISBLANK(M2699)),
    "",
    MAX(
        1,
        IF(
            NETWORKDAYS(L2699, M2699, Holiday_Dates) &lt;= 0,
            1,
            NETWORKDAYS(L2699, M2699, Holiday_Dates) - IF(L2699 = M2699, 0, 1)
        )
    )
)</f>
        <v/>
      </c>
      <c r="R2699" s="385" t="str">
        <f>IFERROR(
    IF(
        OR(ISBLANK(N2699), AND(ISBLANK(L2699), ISBLANK(M2699))),
        "",
        MAX(
            1,
            IF(
                NETWORKDAYS(IF(NOT(ISBLANK(M2699)), M2699, L2699), N2699, Holiday_Dates) &lt;= 0,
                1,
                NETWORKDAYS(IF(NOT(ISBLANK(M2699)), M2699, L2699), N2699, Holiday_Dates)
                - IF(IF(NOT(ISBLANK(M2699)), M2699, L2699) = N2699, 0, 1)
            )
        )
    ),
    ""
)</f>
        <v/>
      </c>
      <c r="S2699" s="385" t="str">
        <f>IFERROR(
    IF(
        OR(ISBLANK(N2699), ISBLANK(O2699)),
        "",
        MAX(
            1,
            IF(
                NETWORKDAYS(N2699, O2699, Holiday_Dates) &lt;= 0,
                1,
                NETWORKDAYS(N2699, O2699, Holiday_Dates) - IF(N2699 = O2699, 0, 1)
            )
        )
    ),
    ""
)</f>
        <v/>
      </c>
      <c r="T2699" s="385"/>
      <c r="U2699" s="385" t="s">
        <v>672</v>
      </c>
      <c r="V2699" s="385" t="s">
        <v>101</v>
      </c>
      <c r="W2699" s="385" t="s">
        <v>1436</v>
      </c>
      <c r="X2699" s="1"/>
    </row>
    <row r="2700" spans="1:24">
      <c r="A2700" s="385" t="s">
        <v>52</v>
      </c>
      <c r="B2700" s="385" t="s">
        <v>542</v>
      </c>
      <c r="C2700" s="385" t="s">
        <v>4193</v>
      </c>
      <c r="D2700" s="385" t="s">
        <v>89</v>
      </c>
      <c r="E2700" s="385"/>
      <c r="F2700" s="385"/>
      <c r="G2700" s="385"/>
      <c r="H2700" s="385">
        <v>2025</v>
      </c>
      <c r="I2700" s="386">
        <v>45889</v>
      </c>
      <c r="J2700" s="30" t="s">
        <v>5712</v>
      </c>
      <c r="K2700" s="385"/>
      <c r="L2700" s="385"/>
      <c r="M2700" s="385"/>
      <c r="N2700" s="385"/>
      <c r="O2700" s="385"/>
      <c r="P2700" s="385" t="str">
        <f>IFERROR(
    IF(
        OR(ISBLANK(I2700), ISBLANK(L2700)),
        "",
        MAX(
            1,
            IF(
                NETWORKDAYS(I2700, L2700, Holiday_Dates) &lt;= 0,
                1,
                NETWORKDAYS(I2700, L2700, Holiday_Dates) - IF(I2700 = L2700, 0, 1)
            )
        )
    ),
    ""
)</f>
        <v/>
      </c>
      <c r="Q2700" s="385" t="str">
        <f>IF(
    OR(ISBLANK(L2700), ISBLANK(M2700)),
    "",
    MAX(
        1,
        IF(
            NETWORKDAYS(L2700, M2700, Holiday_Dates) &lt;= 0,
            1,
            NETWORKDAYS(L2700, M2700, Holiday_Dates) - IF(L2700 = M2700, 0, 1)
        )
    )
)</f>
        <v/>
      </c>
      <c r="R2700" s="385" t="str">
        <f>IFERROR(
    IF(
        OR(ISBLANK(N2700), AND(ISBLANK(L2700), ISBLANK(M2700))),
        "",
        MAX(
            1,
            IF(
                NETWORKDAYS(IF(NOT(ISBLANK(M2700)), M2700, L2700), N2700, Holiday_Dates) &lt;= 0,
                1,
                NETWORKDAYS(IF(NOT(ISBLANK(M2700)), M2700, L2700), N2700, Holiday_Dates)
                - IF(IF(NOT(ISBLANK(M2700)), M2700, L2700) = N2700, 0, 1)
            )
        )
    ),
    ""
)</f>
        <v/>
      </c>
      <c r="S2700" s="385" t="str">
        <f>IFERROR(
    IF(
        OR(ISBLANK(N2700), ISBLANK(O2700)),
        "",
        MAX(
            1,
            IF(
                NETWORKDAYS(N2700, O2700, Holiday_Dates) &lt;= 0,
                1,
                NETWORKDAYS(N2700, O2700, Holiday_Dates) - IF(N2700 = O2700, 0, 1)
            )
        )
    ),
    ""
)</f>
        <v/>
      </c>
      <c r="T2700" s="385"/>
      <c r="U2700" s="385" t="s">
        <v>672</v>
      </c>
      <c r="V2700" s="385" t="s">
        <v>101</v>
      </c>
      <c r="W2700" s="385" t="s">
        <v>1436</v>
      </c>
      <c r="X2700" s="1"/>
    </row>
    <row r="2701" spans="1:24">
      <c r="A2701" s="385" t="s">
        <v>52</v>
      </c>
      <c r="B2701" s="385" t="s">
        <v>542</v>
      </c>
      <c r="C2701" s="385" t="s">
        <v>3453</v>
      </c>
      <c r="D2701" s="385" t="s">
        <v>89</v>
      </c>
      <c r="E2701" s="385"/>
      <c r="F2701" s="385"/>
      <c r="G2701" s="385"/>
      <c r="H2701" s="385">
        <v>2024</v>
      </c>
      <c r="I2701" s="386">
        <v>45415</v>
      </c>
      <c r="J2701" s="30"/>
      <c r="K2701" s="385"/>
      <c r="L2701" s="385"/>
      <c r="M2701" s="385"/>
      <c r="N2701" s="385"/>
      <c r="O2701" s="385"/>
      <c r="P2701" s="385" t="str">
        <f>IFERROR(
    IF(
        OR(ISBLANK(I2701), ISBLANK(L2701)),
        "",
        MAX(
            1,
            IF(
                NETWORKDAYS(I2701, L2701, Holiday_Dates) &lt;= 0,
                1,
                NETWORKDAYS(I2701, L2701, Holiday_Dates) - IF(I2701 = L2701, 0, 1)
            )
        )
    ),
    ""
)</f>
        <v/>
      </c>
      <c r="Q2701" s="385" t="str">
        <f>IF(
    OR(ISBLANK(L2701), ISBLANK(M2701)),
    "",
    MAX(
        1,
        IF(
            NETWORKDAYS(L2701, M2701, Holiday_Dates) &lt;= 0,
            1,
            NETWORKDAYS(L2701, M2701, Holiday_Dates) - IF(L2701 = M2701, 0, 1)
        )
    )
)</f>
        <v/>
      </c>
      <c r="R2701" s="385" t="str">
        <f>IFERROR(
    IF(
        OR(ISBLANK(N2701), AND(ISBLANK(L2701), ISBLANK(M2701))),
        "",
        MAX(
            1,
            IF(
                NETWORKDAYS(IF(NOT(ISBLANK(M2701)), M2701, L2701), N2701, Holiday_Dates) &lt;= 0,
                1,
                NETWORKDAYS(IF(NOT(ISBLANK(M2701)), M2701, L2701), N2701, Holiday_Dates)
                - IF(IF(NOT(ISBLANK(M2701)), M2701, L2701) = N2701, 0, 1)
            )
        )
    ),
    ""
)</f>
        <v/>
      </c>
      <c r="S2701" s="385" t="str">
        <f>IFERROR(
    IF(
        OR(ISBLANK(N2701), ISBLANK(O2701)),
        "",
        MAX(
            1,
            IF(
                NETWORKDAYS(N2701, O2701, Holiday_Dates) &lt;= 0,
                1,
                NETWORKDAYS(N2701, O2701, Holiday_Dates) - IF(N2701 = O2701, 0, 1)
            )
        )
    ),
    ""
)</f>
        <v/>
      </c>
      <c r="T2701" s="385"/>
      <c r="U2701" s="385" t="s">
        <v>672</v>
      </c>
      <c r="V2701" s="385"/>
      <c r="W2701" s="385" t="s">
        <v>1436</v>
      </c>
      <c r="X2701" s="1"/>
    </row>
    <row r="2702" spans="1:24">
      <c r="A2702" s="385" t="s">
        <v>52</v>
      </c>
      <c r="B2702" s="385" t="s">
        <v>542</v>
      </c>
      <c r="C2702" s="385" t="s">
        <v>4195</v>
      </c>
      <c r="D2702" s="385" t="s">
        <v>89</v>
      </c>
      <c r="E2702" s="385"/>
      <c r="F2702" s="385"/>
      <c r="G2702" s="385"/>
      <c r="H2702" s="385">
        <v>2024</v>
      </c>
      <c r="I2702" s="386">
        <v>45540</v>
      </c>
      <c r="J2702" s="30"/>
      <c r="K2702" s="385"/>
      <c r="L2702" s="385"/>
      <c r="M2702" s="385"/>
      <c r="N2702" s="385"/>
      <c r="O2702" s="385"/>
      <c r="P2702" s="385" t="str">
        <f>IFERROR(
    IF(
        OR(ISBLANK(I2702), ISBLANK(L2702)),
        "",
        MAX(
            1,
            IF(
                NETWORKDAYS(I2702, L2702, Holiday_Dates) &lt;= 0,
                1,
                NETWORKDAYS(I2702, L2702, Holiday_Dates) - IF(I2702 = L2702, 0, 1)
            )
        )
    ),
    ""
)</f>
        <v/>
      </c>
      <c r="Q2702" s="385" t="str">
        <f>IF(
    OR(ISBLANK(L2702), ISBLANK(M2702)),
    "",
    MAX(
        1,
        IF(
            NETWORKDAYS(L2702, M2702, Holiday_Dates) &lt;= 0,
            1,
            NETWORKDAYS(L2702, M2702, Holiday_Dates) - IF(L2702 = M2702, 0, 1)
        )
    )
)</f>
        <v/>
      </c>
      <c r="R2702" s="385" t="str">
        <f>IFERROR(
    IF(
        OR(ISBLANK(N2702), AND(ISBLANK(L2702), ISBLANK(M2702))),
        "",
        MAX(
            1,
            IF(
                NETWORKDAYS(IF(NOT(ISBLANK(M2702)), M2702, L2702), N2702, Holiday_Dates) &lt;= 0,
                1,
                NETWORKDAYS(IF(NOT(ISBLANK(M2702)), M2702, L2702), N2702, Holiday_Dates)
                - IF(IF(NOT(ISBLANK(M2702)), M2702, L2702) = N2702, 0, 1)
            )
        )
    ),
    ""
)</f>
        <v/>
      </c>
      <c r="S2702" s="385" t="str">
        <f>IFERROR(
    IF(
        OR(ISBLANK(N2702), ISBLANK(O2702)),
        "",
        MAX(
            1,
            IF(
                NETWORKDAYS(N2702, O2702, Holiday_Dates) &lt;= 0,
                1,
                NETWORKDAYS(N2702, O2702, Holiday_Dates) - IF(N2702 = O2702, 0, 1)
            )
        )
    ),
    ""
)</f>
        <v/>
      </c>
      <c r="T2702" s="385"/>
      <c r="U2702" s="385" t="s">
        <v>4</v>
      </c>
      <c r="V2702" s="385" t="s">
        <v>101</v>
      </c>
      <c r="W2702" s="385" t="s">
        <v>1436</v>
      </c>
      <c r="X2702" s="1"/>
    </row>
    <row r="2703" spans="1:24">
      <c r="A2703" s="385" t="s">
        <v>52</v>
      </c>
      <c r="B2703" s="385" t="s">
        <v>542</v>
      </c>
      <c r="C2703" s="385" t="s">
        <v>4197</v>
      </c>
      <c r="D2703" s="385" t="s">
        <v>89</v>
      </c>
      <c r="E2703" s="385"/>
      <c r="F2703" s="385"/>
      <c r="G2703" s="385"/>
      <c r="H2703" s="385">
        <v>2025</v>
      </c>
      <c r="I2703" s="386">
        <v>45965</v>
      </c>
      <c r="J2703" s="30" t="s">
        <v>5713</v>
      </c>
      <c r="K2703" s="385"/>
      <c r="L2703" s="385"/>
      <c r="M2703" s="385"/>
      <c r="N2703" s="385"/>
      <c r="O2703" s="385"/>
      <c r="P2703" s="385" t="str">
        <f>IFERROR(
    IF(
        OR(ISBLANK(I2703), ISBLANK(L2703)),
        "",
        MAX(
            1,
            IF(
                NETWORKDAYS(I2703, L2703, Holiday_Dates) &lt;= 0,
                1,
                NETWORKDAYS(I2703, L2703, Holiday_Dates) - IF(I2703 = L2703, 0, 1)
            )
        )
    ),
    ""
)</f>
        <v/>
      </c>
      <c r="Q2703" s="385" t="str">
        <f>IF(
    OR(ISBLANK(L2703), ISBLANK(M2703)),
    "",
    MAX(
        1,
        IF(
            NETWORKDAYS(L2703, M2703, Holiday_Dates) &lt;= 0,
            1,
            NETWORKDAYS(L2703, M2703, Holiday_Dates) - IF(L2703 = M2703, 0, 1)
        )
    )
)</f>
        <v/>
      </c>
      <c r="R2703" s="385" t="str">
        <f>IFERROR(
    IF(
        OR(ISBLANK(N2703), AND(ISBLANK(L2703), ISBLANK(M2703))),
        "",
        MAX(
            1,
            IF(
                NETWORKDAYS(IF(NOT(ISBLANK(M2703)), M2703, L2703), N2703, Holiday_Dates) &lt;= 0,
                1,
                NETWORKDAYS(IF(NOT(ISBLANK(M2703)), M2703, L2703), N2703, Holiday_Dates)
                - IF(IF(NOT(ISBLANK(M2703)), M2703, L2703) = N2703, 0, 1)
            )
        )
    ),
    ""
)</f>
        <v/>
      </c>
      <c r="S2703" s="385" t="str">
        <f>IFERROR(
    IF(
        OR(ISBLANK(N2703), ISBLANK(O2703)),
        "",
        MAX(
            1,
            IF(
                NETWORKDAYS(N2703, O2703, Holiday_Dates) &lt;= 0,
                1,
                NETWORKDAYS(N2703, O2703, Holiday_Dates) - IF(N2703 = O2703, 0, 1)
            )
        )
    ),
    ""
)</f>
        <v/>
      </c>
      <c r="T2703" s="385"/>
      <c r="U2703" s="385" t="s">
        <v>672</v>
      </c>
      <c r="V2703" s="385" t="s">
        <v>101</v>
      </c>
      <c r="W2703" s="385" t="s">
        <v>1436</v>
      </c>
      <c r="X2703" s="1"/>
    </row>
    <row r="2704" spans="1:24">
      <c r="A2704" s="385" t="s">
        <v>52</v>
      </c>
      <c r="B2704" s="385" t="s">
        <v>542</v>
      </c>
      <c r="C2704" s="385" t="s">
        <v>1087</v>
      </c>
      <c r="D2704" s="385" t="s">
        <v>89</v>
      </c>
      <c r="E2704" s="385"/>
      <c r="F2704" s="385"/>
      <c r="G2704" s="385"/>
      <c r="H2704" s="385">
        <v>2024</v>
      </c>
      <c r="I2704" s="386">
        <v>45545</v>
      </c>
      <c r="J2704" s="30"/>
      <c r="K2704" s="385"/>
      <c r="L2704" s="385"/>
      <c r="M2704" s="385"/>
      <c r="N2704" s="385"/>
      <c r="O2704" s="385"/>
      <c r="P2704" s="385" t="str">
        <f>IFERROR(
    IF(
        OR(ISBLANK(I2704), ISBLANK(L2704)),
        "",
        MAX(
            1,
            IF(
                NETWORKDAYS(I2704, L2704, Holiday_Dates) &lt;= 0,
                1,
                NETWORKDAYS(I2704, L2704, Holiday_Dates) - IF(I2704 = L2704, 0, 1)
            )
        )
    ),
    ""
)</f>
        <v/>
      </c>
      <c r="Q2704" s="385" t="str">
        <f>IF(
    OR(ISBLANK(L2704), ISBLANK(M2704)),
    "",
    MAX(
        1,
        IF(
            NETWORKDAYS(L2704, M2704, Holiday_Dates) &lt;= 0,
            1,
            NETWORKDAYS(L2704, M2704, Holiday_Dates) - IF(L2704 = M2704, 0, 1)
        )
    )
)</f>
        <v/>
      </c>
      <c r="R2704" s="385" t="str">
        <f>IFERROR(
    IF(
        OR(ISBLANK(N2704), AND(ISBLANK(L2704), ISBLANK(M2704))),
        "",
        MAX(
            1,
            IF(
                NETWORKDAYS(IF(NOT(ISBLANK(M2704)), M2704, L2704), N2704, Holiday_Dates) &lt;= 0,
                1,
                NETWORKDAYS(IF(NOT(ISBLANK(M2704)), M2704, L2704), N2704, Holiday_Dates)
                - IF(IF(NOT(ISBLANK(M2704)), M2704, L2704) = N2704, 0, 1)
            )
        )
    ),
    ""
)</f>
        <v/>
      </c>
      <c r="S2704" s="385" t="str">
        <f>IFERROR(
    IF(
        OR(ISBLANK(N2704), ISBLANK(O2704)),
        "",
        MAX(
            1,
            IF(
                NETWORKDAYS(N2704, O2704, Holiday_Dates) &lt;= 0,
                1,
                NETWORKDAYS(N2704, O2704, Holiday_Dates) - IF(N2704 = O2704, 0, 1)
            )
        )
    ),
    ""
)</f>
        <v/>
      </c>
      <c r="T2704" s="385"/>
      <c r="U2704" s="385" t="s">
        <v>672</v>
      </c>
      <c r="V2704" s="385" t="s">
        <v>101</v>
      </c>
      <c r="W2704" s="385" t="s">
        <v>1436</v>
      </c>
      <c r="X2704" s="1"/>
    </row>
    <row r="2705" spans="1:24">
      <c r="A2705" s="385" t="s">
        <v>52</v>
      </c>
      <c r="B2705" s="385" t="s">
        <v>542</v>
      </c>
      <c r="C2705" s="385" t="s">
        <v>3114</v>
      </c>
      <c r="D2705" s="385" t="s">
        <v>89</v>
      </c>
      <c r="E2705" s="385"/>
      <c r="F2705" s="385"/>
      <c r="G2705" s="385"/>
      <c r="H2705" s="385">
        <v>2024</v>
      </c>
      <c r="I2705" s="386">
        <v>45545</v>
      </c>
      <c r="J2705" s="30"/>
      <c r="K2705" s="385"/>
      <c r="L2705" s="385"/>
      <c r="M2705" s="385"/>
      <c r="N2705" s="385"/>
      <c r="O2705" s="385"/>
      <c r="P2705" s="385" t="str">
        <f>IFERROR(
    IF(
        OR(ISBLANK(I2705), ISBLANK(L2705)),
        "",
        MAX(
            1,
            IF(
                NETWORKDAYS(I2705, L2705, Holiday_Dates) &lt;= 0,
                1,
                NETWORKDAYS(I2705, L2705, Holiday_Dates) - IF(I2705 = L2705, 0, 1)
            )
        )
    ),
    ""
)</f>
        <v/>
      </c>
      <c r="Q2705" s="385" t="str">
        <f>IF(
    OR(ISBLANK(L2705), ISBLANK(M2705)),
    "",
    MAX(
        1,
        IF(
            NETWORKDAYS(L2705, M2705, Holiday_Dates) &lt;= 0,
            1,
            NETWORKDAYS(L2705, M2705, Holiday_Dates) - IF(L2705 = M2705, 0, 1)
        )
    )
)</f>
        <v/>
      </c>
      <c r="R2705" s="385" t="str">
        <f>IFERROR(
    IF(
        OR(ISBLANK(N2705), AND(ISBLANK(L2705), ISBLANK(M2705))),
        "",
        MAX(
            1,
            IF(
                NETWORKDAYS(IF(NOT(ISBLANK(M2705)), M2705, L2705), N2705, Holiday_Dates) &lt;= 0,
                1,
                NETWORKDAYS(IF(NOT(ISBLANK(M2705)), M2705, L2705), N2705, Holiday_Dates)
                - IF(IF(NOT(ISBLANK(M2705)), M2705, L2705) = N2705, 0, 1)
            )
        )
    ),
    ""
)</f>
        <v/>
      </c>
      <c r="S2705" s="385" t="str">
        <f>IFERROR(
    IF(
        OR(ISBLANK(N2705), ISBLANK(O2705)),
        "",
        MAX(
            1,
            IF(
                NETWORKDAYS(N2705, O2705, Holiday_Dates) &lt;= 0,
                1,
                NETWORKDAYS(N2705, O2705, Holiday_Dates) - IF(N2705 = O2705, 0, 1)
            )
        )
    ),
    ""
)</f>
        <v/>
      </c>
      <c r="T2705" s="385"/>
      <c r="U2705" s="385" t="s">
        <v>672</v>
      </c>
      <c r="V2705" s="385" t="s">
        <v>101</v>
      </c>
      <c r="W2705" s="385" t="s">
        <v>1436</v>
      </c>
      <c r="X2705" s="1"/>
    </row>
    <row r="2706" spans="1:24">
      <c r="A2706" s="385" t="s">
        <v>52</v>
      </c>
      <c r="B2706" s="385" t="s">
        <v>430</v>
      </c>
      <c r="C2706" s="385" t="s">
        <v>3869</v>
      </c>
      <c r="D2706" s="385" t="s">
        <v>89</v>
      </c>
      <c r="E2706" s="385" t="s">
        <v>38</v>
      </c>
      <c r="F2706" s="385"/>
      <c r="G2706" s="385" t="s">
        <v>28</v>
      </c>
      <c r="H2706" s="385"/>
      <c r="I2706" s="385"/>
      <c r="J2706" s="30"/>
      <c r="K2706" s="385"/>
      <c r="L2706" s="385"/>
      <c r="M2706" s="385"/>
      <c r="N2706" s="385"/>
      <c r="O2706" s="385"/>
      <c r="P2706" s="385" t="str">
        <f>IFERROR(
    IF(
        OR(ISBLANK(I2706), ISBLANK(L2706)),
        "",
        MAX(
            1,
            IF(
                NETWORKDAYS(I2706, L2706, Holiday_Dates) &lt;= 0,
                1,
                NETWORKDAYS(I2706, L2706, Holiday_Dates) - IF(I2706 = L2706, 0, 1)
            )
        )
    ),
    ""
)</f>
        <v/>
      </c>
      <c r="Q2706" s="385" t="str">
        <f>IF(
    OR(ISBLANK(L2706), ISBLANK(M2706)),
    "",
    MAX(
        1,
        IF(
            NETWORKDAYS(L2706, M2706, Holiday_Dates) &lt;= 0,
            1,
            NETWORKDAYS(L2706, M2706, Holiday_Dates) - IF(L2706 = M2706, 0, 1)
        )
    )
)</f>
        <v/>
      </c>
      <c r="R2706" s="385" t="str">
        <f>IFERROR(
    IF(
        OR(ISBLANK(N2706), AND(ISBLANK(L2706), ISBLANK(M2706))),
        "",
        MAX(
            1,
            IF(
                NETWORKDAYS(IF(NOT(ISBLANK(M2706)), M2706, L2706), N2706, Holiday_Dates) &lt;= 0,
                1,
                NETWORKDAYS(IF(NOT(ISBLANK(M2706)), M2706, L2706), N2706, Holiday_Dates)
                - IF(IF(NOT(ISBLANK(M2706)), M2706, L2706) = N2706, 0, 1)
            )
        )
    ),
    ""
)</f>
        <v/>
      </c>
      <c r="S2706" s="385" t="str">
        <f>IFERROR(
    IF(
        OR(ISBLANK(N2706), ISBLANK(O2706)),
        "",
        MAX(
            1,
            IF(
                NETWORKDAYS(N2706, O2706, Holiday_Dates) &lt;= 0,
                1,
                NETWORKDAYS(N2706, O2706, Holiday_Dates) - IF(N2706 = O2706, 0, 1)
            )
        )
    ),
    ""
)</f>
        <v/>
      </c>
      <c r="T2706" s="385"/>
      <c r="U2706" s="385"/>
      <c r="V2706" s="385"/>
      <c r="W2706" s="385" t="s">
        <v>4710</v>
      </c>
      <c r="X2706" s="1"/>
    </row>
    <row r="2707" spans="1:24">
      <c r="A2707" s="385" t="s">
        <v>52</v>
      </c>
      <c r="B2707" s="385" t="s">
        <v>427</v>
      </c>
      <c r="C2707" s="385" t="s">
        <v>4300</v>
      </c>
      <c r="D2707" s="385" t="s">
        <v>89</v>
      </c>
      <c r="E2707" s="385"/>
      <c r="F2707" s="385"/>
      <c r="G2707" s="385"/>
      <c r="H2707" s="385">
        <v>2025</v>
      </c>
      <c r="I2707" s="386">
        <v>45679</v>
      </c>
      <c r="J2707" s="30" t="s">
        <v>5714</v>
      </c>
      <c r="K2707" s="385"/>
      <c r="L2707" s="385"/>
      <c r="M2707" s="385"/>
      <c r="N2707" s="385"/>
      <c r="O2707" s="385"/>
      <c r="P2707" s="385" t="str">
        <f>IFERROR(
    IF(
        OR(ISBLANK(I2707), ISBLANK(L2707)),
        "",
        MAX(
            1,
            IF(
                NETWORKDAYS(I2707, L2707, Holiday_Dates) &lt;= 0,
                1,
                NETWORKDAYS(I2707, L2707, Holiday_Dates) - IF(I2707 = L2707, 0, 1)
            )
        )
    ),
    ""
)</f>
        <v/>
      </c>
      <c r="Q2707" s="385" t="str">
        <f>IF(
    OR(ISBLANK(L2707), ISBLANK(M2707)),
    "",
    MAX(
        1,
        IF(
            NETWORKDAYS(L2707, M2707, Holiday_Dates) &lt;= 0,
            1,
            NETWORKDAYS(L2707, M2707, Holiday_Dates) - IF(L2707 = M2707, 0, 1)
        )
    )
)</f>
        <v/>
      </c>
      <c r="R2707" s="385" t="str">
        <f>IFERROR(
    IF(
        OR(ISBLANK(N2707), AND(ISBLANK(L2707), ISBLANK(M2707))),
        "",
        MAX(
            1,
            IF(
                NETWORKDAYS(IF(NOT(ISBLANK(M2707)), M2707, L2707), N2707, Holiday_Dates) &lt;= 0,
                1,
                NETWORKDAYS(IF(NOT(ISBLANK(M2707)), M2707, L2707), N2707, Holiday_Dates)
                - IF(IF(NOT(ISBLANK(M2707)), M2707, L2707) = N2707, 0, 1)
            )
        )
    ),
    ""
)</f>
        <v/>
      </c>
      <c r="S2707" s="385" t="str">
        <f>IFERROR(
    IF(
        OR(ISBLANK(N2707), ISBLANK(O2707)),
        "",
        MAX(
            1,
            IF(
                NETWORKDAYS(N2707, O2707, Holiday_Dates) &lt;= 0,
                1,
                NETWORKDAYS(N2707, O2707, Holiday_Dates) - IF(N2707 = O2707, 0, 1)
            )
        )
    ),
    ""
)</f>
        <v/>
      </c>
      <c r="T2707" s="385"/>
      <c r="U2707" s="385" t="s">
        <v>672</v>
      </c>
      <c r="V2707" s="385" t="s">
        <v>101</v>
      </c>
      <c r="W2707" s="385" t="s">
        <v>1436</v>
      </c>
      <c r="X2707" s="1"/>
    </row>
    <row r="2708" spans="1:24">
      <c r="A2708" s="385" t="s">
        <v>52</v>
      </c>
      <c r="B2708" s="385" t="s">
        <v>427</v>
      </c>
      <c r="C2708" s="385" t="s">
        <v>422</v>
      </c>
      <c r="D2708" s="385" t="s">
        <v>89</v>
      </c>
      <c r="E2708" s="385"/>
      <c r="F2708" s="385"/>
      <c r="G2708" s="385"/>
      <c r="H2708" s="385">
        <v>2024</v>
      </c>
      <c r="I2708" s="386">
        <v>45421</v>
      </c>
      <c r="J2708" s="30"/>
      <c r="K2708" s="385"/>
      <c r="L2708" s="385"/>
      <c r="M2708" s="385"/>
      <c r="N2708" s="385"/>
      <c r="O2708" s="385"/>
      <c r="P2708" s="385" t="str">
        <f>IFERROR(
    IF(
        OR(ISBLANK(I2708), ISBLANK(L2708)),
        "",
        MAX(
            1,
            IF(
                NETWORKDAYS(I2708, L2708, Holiday_Dates) &lt;= 0,
                1,
                NETWORKDAYS(I2708, L2708, Holiday_Dates) - IF(I2708 = L2708, 0, 1)
            )
        )
    ),
    ""
)</f>
        <v/>
      </c>
      <c r="Q2708" s="385" t="str">
        <f>IF(
    OR(ISBLANK(L2708), ISBLANK(M2708)),
    "",
    MAX(
        1,
        IF(
            NETWORKDAYS(L2708, M2708, Holiday_Dates) &lt;= 0,
            1,
            NETWORKDAYS(L2708, M2708, Holiday_Dates) - IF(L2708 = M2708, 0, 1)
        )
    )
)</f>
        <v/>
      </c>
      <c r="R2708" s="385" t="str">
        <f>IFERROR(
    IF(
        OR(ISBLANK(N2708), AND(ISBLANK(L2708), ISBLANK(M2708))),
        "",
        MAX(
            1,
            IF(
                NETWORKDAYS(IF(NOT(ISBLANK(M2708)), M2708, L2708), N2708, Holiday_Dates) &lt;= 0,
                1,
                NETWORKDAYS(IF(NOT(ISBLANK(M2708)), M2708, L2708), N2708, Holiday_Dates)
                - IF(IF(NOT(ISBLANK(M2708)), M2708, L2708) = N2708, 0, 1)
            )
        )
    ),
    ""
)</f>
        <v/>
      </c>
      <c r="S2708" s="385" t="str">
        <f>IFERROR(
    IF(
        OR(ISBLANK(N2708), ISBLANK(O2708)),
        "",
        MAX(
            1,
            IF(
                NETWORKDAYS(N2708, O2708, Holiday_Dates) &lt;= 0,
                1,
                NETWORKDAYS(N2708, O2708, Holiday_Dates) - IF(N2708 = O2708, 0, 1)
            )
        )
    ),
    ""
)</f>
        <v/>
      </c>
      <c r="T2708" s="385"/>
      <c r="U2708" s="385" t="s">
        <v>672</v>
      </c>
      <c r="V2708" s="385"/>
      <c r="W2708" s="385" t="s">
        <v>1436</v>
      </c>
      <c r="X2708" s="1"/>
    </row>
    <row r="2709" spans="1:24">
      <c r="A2709" s="385" t="s">
        <v>52</v>
      </c>
      <c r="B2709" s="385" t="s">
        <v>427</v>
      </c>
      <c r="C2709" s="385" t="s">
        <v>3171</v>
      </c>
      <c r="D2709" s="385" t="s">
        <v>89</v>
      </c>
      <c r="E2709" s="385"/>
      <c r="F2709" s="385"/>
      <c r="G2709" s="385"/>
      <c r="H2709" s="385">
        <v>2024</v>
      </c>
      <c r="I2709" s="386">
        <v>45603</v>
      </c>
      <c r="J2709" s="30"/>
      <c r="K2709" s="385"/>
      <c r="L2709" s="385"/>
      <c r="M2709" s="385"/>
      <c r="N2709" s="385"/>
      <c r="O2709" s="385"/>
      <c r="P2709" s="385" t="str">
        <f>IFERROR(
    IF(
        OR(ISBLANK(I2709), ISBLANK(L2709)),
        "",
        MAX(
            1,
            IF(
                NETWORKDAYS(I2709, L2709, Holiday_Dates) &lt;= 0,
                1,
                NETWORKDAYS(I2709, L2709, Holiday_Dates) - IF(I2709 = L2709, 0, 1)
            )
        )
    ),
    ""
)</f>
        <v/>
      </c>
      <c r="Q2709" s="385" t="str">
        <f>IF(
    OR(ISBLANK(L2709), ISBLANK(M2709)),
    "",
    MAX(
        1,
        IF(
            NETWORKDAYS(L2709, M2709, Holiday_Dates) &lt;= 0,
            1,
            NETWORKDAYS(L2709, M2709, Holiday_Dates) - IF(L2709 = M2709, 0, 1)
        )
    )
)</f>
        <v/>
      </c>
      <c r="R2709" s="385" t="str">
        <f>IFERROR(
    IF(
        OR(ISBLANK(N2709), AND(ISBLANK(L2709), ISBLANK(M2709))),
        "",
        MAX(
            1,
            IF(
                NETWORKDAYS(IF(NOT(ISBLANK(M2709)), M2709, L2709), N2709, Holiday_Dates) &lt;= 0,
                1,
                NETWORKDAYS(IF(NOT(ISBLANK(M2709)), M2709, L2709), N2709, Holiday_Dates)
                - IF(IF(NOT(ISBLANK(M2709)), M2709, L2709) = N2709, 0, 1)
            )
        )
    ),
    ""
)</f>
        <v/>
      </c>
      <c r="S2709" s="385" t="str">
        <f>IFERROR(
    IF(
        OR(ISBLANK(N2709), ISBLANK(O2709)),
        "",
        MAX(
            1,
            IF(
                NETWORKDAYS(N2709, O2709, Holiday_Dates) &lt;= 0,
                1,
                NETWORKDAYS(N2709, O2709, Holiday_Dates) - IF(N2709 = O2709, 0, 1)
            )
        )
    ),
    ""
)</f>
        <v/>
      </c>
      <c r="T2709" s="385"/>
      <c r="U2709" s="385" t="s">
        <v>672</v>
      </c>
      <c r="V2709" s="385" t="s">
        <v>101</v>
      </c>
      <c r="W2709" s="385" t="s">
        <v>1436</v>
      </c>
      <c r="X2709" s="1"/>
    </row>
    <row r="2710" spans="1:24">
      <c r="A2710" s="385" t="s">
        <v>52</v>
      </c>
      <c r="B2710" s="385" t="s">
        <v>427</v>
      </c>
      <c r="C2710" s="385" t="s">
        <v>789</v>
      </c>
      <c r="D2710" s="385" t="s">
        <v>89</v>
      </c>
      <c r="E2710" s="385"/>
      <c r="F2710" s="385"/>
      <c r="G2710" s="385"/>
      <c r="H2710" s="385">
        <v>2024</v>
      </c>
      <c r="I2710" s="386">
        <v>45603</v>
      </c>
      <c r="J2710" s="30"/>
      <c r="K2710" s="385"/>
      <c r="L2710" s="385"/>
      <c r="M2710" s="385"/>
      <c r="N2710" s="385"/>
      <c r="O2710" s="385"/>
      <c r="P2710" s="385" t="str">
        <f>IFERROR(
    IF(
        OR(ISBLANK(I2710), ISBLANK(L2710)),
        "",
        MAX(
            1,
            IF(
                NETWORKDAYS(I2710, L2710, Holiday_Dates) &lt;= 0,
                1,
                NETWORKDAYS(I2710, L2710, Holiday_Dates) - IF(I2710 = L2710, 0, 1)
            )
        )
    ),
    ""
)</f>
        <v/>
      </c>
      <c r="Q2710" s="385" t="str">
        <f>IF(
    OR(ISBLANK(L2710), ISBLANK(M2710)),
    "",
    MAX(
        1,
        IF(
            NETWORKDAYS(L2710, M2710, Holiday_Dates) &lt;= 0,
            1,
            NETWORKDAYS(L2710, M2710, Holiday_Dates) - IF(L2710 = M2710, 0, 1)
        )
    )
)</f>
        <v/>
      </c>
      <c r="R2710" s="385" t="str">
        <f>IFERROR(
    IF(
        OR(ISBLANK(N2710), AND(ISBLANK(L2710), ISBLANK(M2710))),
        "",
        MAX(
            1,
            IF(
                NETWORKDAYS(IF(NOT(ISBLANK(M2710)), M2710, L2710), N2710, Holiday_Dates) &lt;= 0,
                1,
                NETWORKDAYS(IF(NOT(ISBLANK(M2710)), M2710, L2710), N2710, Holiday_Dates)
                - IF(IF(NOT(ISBLANK(M2710)), M2710, L2710) = N2710, 0, 1)
            )
        )
    ),
    ""
)</f>
        <v/>
      </c>
      <c r="S2710" s="385" t="str">
        <f>IFERROR(
    IF(
        OR(ISBLANK(N2710), ISBLANK(O2710)),
        "",
        MAX(
            1,
            IF(
                NETWORKDAYS(N2710, O2710, Holiday_Dates) &lt;= 0,
                1,
                NETWORKDAYS(N2710, O2710, Holiday_Dates) - IF(N2710 = O2710, 0, 1)
            )
        )
    ),
    ""
)</f>
        <v/>
      </c>
      <c r="T2710" s="385"/>
      <c r="U2710" s="385" t="s">
        <v>4</v>
      </c>
      <c r="V2710" s="385" t="s">
        <v>101</v>
      </c>
      <c r="W2710" s="385" t="s">
        <v>1436</v>
      </c>
      <c r="X2710" s="1"/>
    </row>
    <row r="2711" spans="1:24">
      <c r="A2711" s="385" t="s">
        <v>52</v>
      </c>
      <c r="B2711" s="385" t="s">
        <v>427</v>
      </c>
      <c r="C2711" s="385" t="s">
        <v>4304</v>
      </c>
      <c r="D2711" s="385" t="s">
        <v>89</v>
      </c>
      <c r="E2711" s="385"/>
      <c r="F2711" s="385"/>
      <c r="G2711" s="385"/>
      <c r="H2711" s="385">
        <v>2025</v>
      </c>
      <c r="I2711" s="386">
        <v>45826</v>
      </c>
      <c r="J2711" s="30" t="s">
        <v>5715</v>
      </c>
      <c r="K2711" s="385"/>
      <c r="L2711" s="385"/>
      <c r="M2711" s="385"/>
      <c r="N2711" s="385"/>
      <c r="O2711" s="385"/>
      <c r="P2711" s="385" t="str">
        <f>IFERROR(
    IF(
        OR(ISBLANK(I2711), ISBLANK(L2711)),
        "",
        MAX(
            1,
            IF(
                NETWORKDAYS(I2711, L2711, Holiday_Dates) &lt;= 0,
                1,
                NETWORKDAYS(I2711, L2711, Holiday_Dates) - IF(I2711 = L2711, 0, 1)
            )
        )
    ),
    ""
)</f>
        <v/>
      </c>
      <c r="Q2711" s="385" t="str">
        <f>IF(
    OR(ISBLANK(L2711), ISBLANK(M2711)),
    "",
    MAX(
        1,
        IF(
            NETWORKDAYS(L2711, M2711, Holiday_Dates) &lt;= 0,
            1,
            NETWORKDAYS(L2711, M2711, Holiday_Dates) - IF(L2711 = M2711, 0, 1)
        )
    )
)</f>
        <v/>
      </c>
      <c r="R2711" s="385" t="str">
        <f>IFERROR(
    IF(
        OR(ISBLANK(N2711), AND(ISBLANK(L2711), ISBLANK(M2711))),
        "",
        MAX(
            1,
            IF(
                NETWORKDAYS(IF(NOT(ISBLANK(M2711)), M2711, L2711), N2711, Holiday_Dates) &lt;= 0,
                1,
                NETWORKDAYS(IF(NOT(ISBLANK(M2711)), M2711, L2711), N2711, Holiday_Dates)
                - IF(IF(NOT(ISBLANK(M2711)), M2711, L2711) = N2711, 0, 1)
            )
        )
    ),
    ""
)</f>
        <v/>
      </c>
      <c r="S2711" s="385" t="str">
        <f>IFERROR(
    IF(
        OR(ISBLANK(N2711), ISBLANK(O2711)),
        "",
        MAX(
            1,
            IF(
                NETWORKDAYS(N2711, O2711, Holiday_Dates) &lt;= 0,
                1,
                NETWORKDAYS(N2711, O2711, Holiday_Dates) - IF(N2711 = O2711, 0, 1)
            )
        )
    ),
    ""
)</f>
        <v/>
      </c>
      <c r="T2711" s="385"/>
      <c r="U2711" s="385" t="s">
        <v>672</v>
      </c>
      <c r="V2711" s="385" t="s">
        <v>1676</v>
      </c>
      <c r="W2711" s="385" t="s">
        <v>1436</v>
      </c>
      <c r="X2711" s="1"/>
    </row>
    <row r="2712" spans="1:24">
      <c r="A2712" s="385" t="s">
        <v>52</v>
      </c>
      <c r="B2712" s="385" t="s">
        <v>430</v>
      </c>
      <c r="C2712" s="385" t="s">
        <v>3870</v>
      </c>
      <c r="D2712" s="385" t="s">
        <v>89</v>
      </c>
      <c r="E2712" s="385" t="s">
        <v>38</v>
      </c>
      <c r="F2712" s="385"/>
      <c r="G2712" s="385" t="s">
        <v>28</v>
      </c>
      <c r="H2712" s="385"/>
      <c r="I2712" s="385"/>
      <c r="J2712" s="30"/>
      <c r="K2712" s="385"/>
      <c r="L2712" s="385"/>
      <c r="M2712" s="385"/>
      <c r="N2712" s="385"/>
      <c r="O2712" s="385"/>
      <c r="P2712" s="385" t="str">
        <f>IFERROR(
    IF(
        OR(ISBLANK(I2712), ISBLANK(L2712)),
        "",
        MAX(
            1,
            IF(
                NETWORKDAYS(I2712, L2712, Holiday_Dates) &lt;= 0,
                1,
                NETWORKDAYS(I2712, L2712, Holiday_Dates) - IF(I2712 = L2712, 0, 1)
            )
        )
    ),
    ""
)</f>
        <v/>
      </c>
      <c r="Q2712" s="385" t="str">
        <f>IF(
    OR(ISBLANK(L2712), ISBLANK(M2712)),
    "",
    MAX(
        1,
        IF(
            NETWORKDAYS(L2712, M2712, Holiday_Dates) &lt;= 0,
            1,
            NETWORKDAYS(L2712, M2712, Holiday_Dates) - IF(L2712 = M2712, 0, 1)
        )
    )
)</f>
        <v/>
      </c>
      <c r="R2712" s="385" t="str">
        <f>IFERROR(
    IF(
        OR(ISBLANK(N2712), AND(ISBLANK(L2712), ISBLANK(M2712))),
        "",
        MAX(
            1,
            IF(
                NETWORKDAYS(IF(NOT(ISBLANK(M2712)), M2712, L2712), N2712, Holiday_Dates) &lt;= 0,
                1,
                NETWORKDAYS(IF(NOT(ISBLANK(M2712)), M2712, L2712), N2712, Holiday_Dates)
                - IF(IF(NOT(ISBLANK(M2712)), M2712, L2712) = N2712, 0, 1)
            )
        )
    ),
    ""
)</f>
        <v/>
      </c>
      <c r="S2712" s="385" t="str">
        <f>IFERROR(
    IF(
        OR(ISBLANK(N2712), ISBLANK(O2712)),
        "",
        MAX(
            1,
            IF(
                NETWORKDAYS(N2712, O2712, Holiday_Dates) &lt;= 0,
                1,
                NETWORKDAYS(N2712, O2712, Holiday_Dates) - IF(N2712 = O2712, 0, 1)
            )
        )
    ),
    ""
)</f>
        <v/>
      </c>
      <c r="T2712" s="385"/>
      <c r="U2712" s="385"/>
      <c r="V2712" s="385"/>
      <c r="W2712" s="385" t="s">
        <v>4710</v>
      </c>
      <c r="X2712" s="1"/>
    </row>
    <row r="2713" spans="1:24">
      <c r="A2713" s="385" t="s">
        <v>52</v>
      </c>
      <c r="B2713" s="385" t="s">
        <v>427</v>
      </c>
      <c r="C2713" s="385" t="s">
        <v>4306</v>
      </c>
      <c r="D2713" s="385" t="s">
        <v>89</v>
      </c>
      <c r="E2713" s="385"/>
      <c r="F2713" s="385"/>
      <c r="G2713" s="385"/>
      <c r="H2713" s="385">
        <v>2024</v>
      </c>
      <c r="I2713" s="386">
        <v>45540</v>
      </c>
      <c r="J2713" s="30"/>
      <c r="K2713" s="385"/>
      <c r="L2713" s="385"/>
      <c r="M2713" s="385"/>
      <c r="N2713" s="385"/>
      <c r="O2713" s="385"/>
      <c r="P2713" s="385" t="str">
        <f>IFERROR(
    IF(
        OR(ISBLANK(I2713), ISBLANK(L2713)),
        "",
        MAX(
            1,
            IF(
                NETWORKDAYS(I2713, L2713, Holiday_Dates) &lt;= 0,
                1,
                NETWORKDAYS(I2713, L2713, Holiday_Dates) - IF(I2713 = L2713, 0, 1)
            )
        )
    ),
    ""
)</f>
        <v/>
      </c>
      <c r="Q2713" s="385" t="str">
        <f>IF(
    OR(ISBLANK(L2713), ISBLANK(M2713)),
    "",
    MAX(
        1,
        IF(
            NETWORKDAYS(L2713, M2713, Holiday_Dates) &lt;= 0,
            1,
            NETWORKDAYS(L2713, M2713, Holiday_Dates) - IF(L2713 = M2713, 0, 1)
        )
    )
)</f>
        <v/>
      </c>
      <c r="R2713" s="385" t="str">
        <f>IFERROR(
    IF(
        OR(ISBLANK(N2713), AND(ISBLANK(L2713), ISBLANK(M2713))),
        "",
        MAX(
            1,
            IF(
                NETWORKDAYS(IF(NOT(ISBLANK(M2713)), M2713, L2713), N2713, Holiday_Dates) &lt;= 0,
                1,
                NETWORKDAYS(IF(NOT(ISBLANK(M2713)), M2713, L2713), N2713, Holiday_Dates)
                - IF(IF(NOT(ISBLANK(M2713)), M2713, L2713) = N2713, 0, 1)
            )
        )
    ),
    ""
)</f>
        <v/>
      </c>
      <c r="S2713" s="385" t="str">
        <f>IFERROR(
    IF(
        OR(ISBLANK(N2713), ISBLANK(O2713)),
        "",
        MAX(
            1,
            IF(
                NETWORKDAYS(N2713, O2713, Holiday_Dates) &lt;= 0,
                1,
                NETWORKDAYS(N2713, O2713, Holiday_Dates) - IF(N2713 = O2713, 0, 1)
            )
        )
    ),
    ""
)</f>
        <v/>
      </c>
      <c r="T2713" s="385"/>
      <c r="U2713" s="385" t="s">
        <v>672</v>
      </c>
      <c r="V2713" s="385" t="s">
        <v>1676</v>
      </c>
      <c r="W2713" s="385" t="s">
        <v>1436</v>
      </c>
      <c r="X2713" s="1"/>
    </row>
    <row r="2714" spans="1:24">
      <c r="A2714" s="385" t="s">
        <v>52</v>
      </c>
      <c r="B2714" s="385" t="s">
        <v>430</v>
      </c>
      <c r="C2714" s="385" t="s">
        <v>3875</v>
      </c>
      <c r="D2714" s="385" t="s">
        <v>89</v>
      </c>
      <c r="E2714" s="385" t="s">
        <v>38</v>
      </c>
      <c r="F2714" s="385"/>
      <c r="G2714" s="385" t="s">
        <v>28</v>
      </c>
      <c r="H2714" s="385"/>
      <c r="I2714" s="385"/>
      <c r="J2714" s="30"/>
      <c r="K2714" s="385"/>
      <c r="L2714" s="385"/>
      <c r="M2714" s="385"/>
      <c r="N2714" s="385"/>
      <c r="O2714" s="385"/>
      <c r="P2714" s="385" t="str">
        <f>IFERROR(
    IF(
        OR(ISBLANK(I2714), ISBLANK(L2714)),
        "",
        MAX(
            1,
            IF(
                NETWORKDAYS(I2714, L2714, Holiday_Dates) &lt;= 0,
                1,
                NETWORKDAYS(I2714, L2714, Holiday_Dates) - IF(I2714 = L2714, 0, 1)
            )
        )
    ),
    ""
)</f>
        <v/>
      </c>
      <c r="Q2714" s="385" t="str">
        <f>IF(
    OR(ISBLANK(L2714), ISBLANK(M2714)),
    "",
    MAX(
        1,
        IF(
            NETWORKDAYS(L2714, M2714, Holiday_Dates) &lt;= 0,
            1,
            NETWORKDAYS(L2714, M2714, Holiday_Dates) - IF(L2714 = M2714, 0, 1)
        )
    )
)</f>
        <v/>
      </c>
      <c r="R2714" s="385" t="str">
        <f>IFERROR(
    IF(
        OR(ISBLANK(N2714), AND(ISBLANK(L2714), ISBLANK(M2714))),
        "",
        MAX(
            1,
            IF(
                NETWORKDAYS(IF(NOT(ISBLANK(M2714)), M2714, L2714), N2714, Holiday_Dates) &lt;= 0,
                1,
                NETWORKDAYS(IF(NOT(ISBLANK(M2714)), M2714, L2714), N2714, Holiday_Dates)
                - IF(IF(NOT(ISBLANK(M2714)), M2714, L2714) = N2714, 0, 1)
            )
        )
    ),
    ""
)</f>
        <v/>
      </c>
      <c r="S2714" s="385" t="str">
        <f>IFERROR(
    IF(
        OR(ISBLANK(N2714), ISBLANK(O2714)),
        "",
        MAX(
            1,
            IF(
                NETWORKDAYS(N2714, O2714, Holiday_Dates) &lt;= 0,
                1,
                NETWORKDAYS(N2714, O2714, Holiday_Dates) - IF(N2714 = O2714, 0, 1)
            )
        )
    ),
    ""
)</f>
        <v/>
      </c>
      <c r="T2714" s="385"/>
      <c r="U2714" s="385"/>
      <c r="V2714" s="385"/>
      <c r="W2714" s="385" t="s">
        <v>4710</v>
      </c>
      <c r="X2714" s="1"/>
    </row>
    <row r="2715" spans="1:24">
      <c r="A2715" s="385" t="s">
        <v>52</v>
      </c>
      <c r="B2715" s="385" t="s">
        <v>366</v>
      </c>
      <c r="C2715" s="385" t="s">
        <v>881</v>
      </c>
      <c r="D2715" s="385" t="s">
        <v>88</v>
      </c>
      <c r="E2715" s="385" t="s">
        <v>39</v>
      </c>
      <c r="F2715" s="385"/>
      <c r="G2715" s="385" t="s">
        <v>28</v>
      </c>
      <c r="H2715" s="385"/>
      <c r="I2715" s="385"/>
      <c r="J2715" s="30"/>
      <c r="K2715" s="385"/>
      <c r="L2715" s="385"/>
      <c r="M2715" s="385"/>
      <c r="N2715" s="385"/>
      <c r="O2715" s="385"/>
      <c r="P2715" s="385" t="str">
        <f>IFERROR(
    IF(
        OR(ISBLANK(I2715), ISBLANK(L2715)),
        "",
        MAX(
            1,
            IF(
                NETWORKDAYS(I2715, L2715, Holiday_Dates) &lt;= 0,
                1,
                NETWORKDAYS(I2715, L2715, Holiday_Dates) - IF(I2715 = L2715, 0, 1)
            )
        )
    ),
    ""
)</f>
        <v/>
      </c>
      <c r="Q2715" s="385" t="str">
        <f>IF(
    OR(ISBLANK(L2715), ISBLANK(M2715)),
    "",
    MAX(
        1,
        IF(
            NETWORKDAYS(L2715, M2715, Holiday_Dates) &lt;= 0,
            1,
            NETWORKDAYS(L2715, M2715, Holiday_Dates) - IF(L2715 = M2715, 0, 1)
        )
    )
)</f>
        <v/>
      </c>
      <c r="R2715" s="385" t="str">
        <f>IFERROR(
    IF(
        OR(ISBLANK(N2715), AND(ISBLANK(L2715), ISBLANK(M2715))),
        "",
        MAX(
            1,
            IF(
                NETWORKDAYS(IF(NOT(ISBLANK(M2715)), M2715, L2715), N2715, Holiday_Dates) &lt;= 0,
                1,
                NETWORKDAYS(IF(NOT(ISBLANK(M2715)), M2715, L2715), N2715, Holiday_Dates)
                - IF(IF(NOT(ISBLANK(M2715)), M2715, L2715) = N2715, 0, 1)
            )
        )
    ),
    ""
)</f>
        <v/>
      </c>
      <c r="S2715" s="385" t="str">
        <f>IFERROR(
    IF(
        OR(ISBLANK(N2715), ISBLANK(O2715)),
        "",
        MAX(
            1,
            IF(
                NETWORKDAYS(N2715, O2715, Holiday_Dates) &lt;= 0,
                1,
                NETWORKDAYS(N2715, O2715, Holiday_Dates) - IF(N2715 = O2715, 0, 1)
            )
        )
    ),
    ""
)</f>
        <v/>
      </c>
      <c r="T2715" s="385"/>
      <c r="U2715" s="385"/>
      <c r="V2715" s="385"/>
      <c r="W2715" s="385" t="s">
        <v>4710</v>
      </c>
      <c r="X2715" s="1"/>
    </row>
    <row r="2716" spans="1:24">
      <c r="A2716" s="385" t="s">
        <v>52</v>
      </c>
      <c r="B2716" s="385" t="s">
        <v>427</v>
      </c>
      <c r="C2716" s="385" t="s">
        <v>4310</v>
      </c>
      <c r="D2716" s="385" t="s">
        <v>89</v>
      </c>
      <c r="E2716" s="385"/>
      <c r="F2716" s="385"/>
      <c r="G2716" s="385"/>
      <c r="H2716" s="385">
        <v>2025</v>
      </c>
      <c r="I2716" s="386">
        <v>45679</v>
      </c>
      <c r="J2716" s="30" t="s">
        <v>5716</v>
      </c>
      <c r="K2716" s="385"/>
      <c r="L2716" s="385"/>
      <c r="M2716" s="385"/>
      <c r="N2716" s="385"/>
      <c r="O2716" s="385"/>
      <c r="P2716" s="385" t="str">
        <f>IFERROR(
    IF(
        OR(ISBLANK(I2716), ISBLANK(L2716)),
        "",
        MAX(
            1,
            IF(
                NETWORKDAYS(I2716, L2716, Holiday_Dates) &lt;= 0,
                1,
                NETWORKDAYS(I2716, L2716, Holiday_Dates) - IF(I2716 = L2716, 0, 1)
            )
        )
    ),
    ""
)</f>
        <v/>
      </c>
      <c r="Q2716" s="385" t="str">
        <f>IF(
    OR(ISBLANK(L2716), ISBLANK(M2716)),
    "",
    MAX(
        1,
        IF(
            NETWORKDAYS(L2716, M2716, Holiday_Dates) &lt;= 0,
            1,
            NETWORKDAYS(L2716, M2716, Holiday_Dates) - IF(L2716 = M2716, 0, 1)
        )
    )
)</f>
        <v/>
      </c>
      <c r="R2716" s="385" t="str">
        <f>IFERROR(
    IF(
        OR(ISBLANK(N2716), AND(ISBLANK(L2716), ISBLANK(M2716))),
        "",
        MAX(
            1,
            IF(
                NETWORKDAYS(IF(NOT(ISBLANK(M2716)), M2716, L2716), N2716, Holiday_Dates) &lt;= 0,
                1,
                NETWORKDAYS(IF(NOT(ISBLANK(M2716)), M2716, L2716), N2716, Holiday_Dates)
                - IF(IF(NOT(ISBLANK(M2716)), M2716, L2716) = N2716, 0, 1)
            )
        )
    ),
    ""
)</f>
        <v/>
      </c>
      <c r="S2716" s="385" t="str">
        <f>IFERROR(
    IF(
        OR(ISBLANK(N2716), ISBLANK(O2716)),
        "",
        MAX(
            1,
            IF(
                NETWORKDAYS(N2716, O2716, Holiday_Dates) &lt;= 0,
                1,
                NETWORKDAYS(N2716, O2716, Holiday_Dates) - IF(N2716 = O2716, 0, 1)
            )
        )
    ),
    ""
)</f>
        <v/>
      </c>
      <c r="T2716" s="385"/>
      <c r="U2716" s="385" t="s">
        <v>672</v>
      </c>
      <c r="V2716" s="385" t="s">
        <v>108</v>
      </c>
      <c r="W2716" s="385" t="s">
        <v>1436</v>
      </c>
      <c r="X2716" s="1"/>
    </row>
    <row r="2717" spans="1:24">
      <c r="A2717" s="385" t="s">
        <v>52</v>
      </c>
      <c r="B2717" s="385" t="s">
        <v>366</v>
      </c>
      <c r="C2717" s="385" t="s">
        <v>378</v>
      </c>
      <c r="D2717" s="385" t="s">
        <v>88</v>
      </c>
      <c r="E2717" s="385" t="s">
        <v>39</v>
      </c>
      <c r="F2717" s="385"/>
      <c r="G2717" s="385" t="s">
        <v>28</v>
      </c>
      <c r="H2717" s="385"/>
      <c r="I2717" s="385"/>
      <c r="J2717" s="30"/>
      <c r="K2717" s="385"/>
      <c r="L2717" s="385"/>
      <c r="M2717" s="385"/>
      <c r="N2717" s="385"/>
      <c r="O2717" s="385"/>
      <c r="P2717" s="385" t="str">
        <f>IFERROR(
    IF(
        OR(ISBLANK(I2717), ISBLANK(L2717)),
        "",
        MAX(
            1,
            IF(
                NETWORKDAYS(I2717, L2717, Holiday_Dates) &lt;= 0,
                1,
                NETWORKDAYS(I2717, L2717, Holiday_Dates) - IF(I2717 = L2717, 0, 1)
            )
        )
    ),
    ""
)</f>
        <v/>
      </c>
      <c r="Q2717" s="385" t="str">
        <f>IF(
    OR(ISBLANK(L2717), ISBLANK(M2717)),
    "",
    MAX(
        1,
        IF(
            NETWORKDAYS(L2717, M2717, Holiday_Dates) &lt;= 0,
            1,
            NETWORKDAYS(L2717, M2717, Holiday_Dates) - IF(L2717 = M2717, 0, 1)
        )
    )
)</f>
        <v/>
      </c>
      <c r="R2717" s="385" t="str">
        <f>IFERROR(
    IF(
        OR(ISBLANK(N2717), AND(ISBLANK(L2717), ISBLANK(M2717))),
        "",
        MAX(
            1,
            IF(
                NETWORKDAYS(IF(NOT(ISBLANK(M2717)), M2717, L2717), N2717, Holiday_Dates) &lt;= 0,
                1,
                NETWORKDAYS(IF(NOT(ISBLANK(M2717)), M2717, L2717), N2717, Holiday_Dates)
                - IF(IF(NOT(ISBLANK(M2717)), M2717, L2717) = N2717, 0, 1)
            )
        )
    ),
    ""
)</f>
        <v/>
      </c>
      <c r="S2717" s="385" t="str">
        <f>IFERROR(
    IF(
        OR(ISBLANK(N2717), ISBLANK(O2717)),
        "",
        MAX(
            1,
            IF(
                NETWORKDAYS(N2717, O2717, Holiday_Dates) &lt;= 0,
                1,
                NETWORKDAYS(N2717, O2717, Holiday_Dates) - IF(N2717 = O2717, 0, 1)
            )
        )
    ),
    ""
)</f>
        <v/>
      </c>
      <c r="T2717" s="385"/>
      <c r="U2717" s="385"/>
      <c r="V2717" s="385"/>
      <c r="W2717" s="385" t="s">
        <v>4710</v>
      </c>
      <c r="X2717" s="1"/>
    </row>
    <row r="2718" spans="1:24">
      <c r="A2718" s="385" t="s">
        <v>52</v>
      </c>
      <c r="B2718" s="385" t="s">
        <v>366</v>
      </c>
      <c r="C2718" s="385" t="s">
        <v>653</v>
      </c>
      <c r="D2718" s="385" t="s">
        <v>88</v>
      </c>
      <c r="E2718" s="385" t="s">
        <v>39</v>
      </c>
      <c r="F2718" s="385"/>
      <c r="G2718" s="385" t="s">
        <v>28</v>
      </c>
      <c r="H2718" s="385"/>
      <c r="I2718" s="385"/>
      <c r="J2718" s="30"/>
      <c r="K2718" s="385"/>
      <c r="L2718" s="385"/>
      <c r="M2718" s="385"/>
      <c r="N2718" s="385"/>
      <c r="O2718" s="385"/>
      <c r="P2718" s="385" t="str">
        <f>IFERROR(
    IF(
        OR(ISBLANK(I2718), ISBLANK(L2718)),
        "",
        MAX(
            1,
            IF(
                NETWORKDAYS(I2718, L2718, Holiday_Dates) &lt;= 0,
                1,
                NETWORKDAYS(I2718, L2718, Holiday_Dates) - IF(I2718 = L2718, 0, 1)
            )
        )
    ),
    ""
)</f>
        <v/>
      </c>
      <c r="Q2718" s="385" t="str">
        <f>IF(
    OR(ISBLANK(L2718), ISBLANK(M2718)),
    "",
    MAX(
        1,
        IF(
            NETWORKDAYS(L2718, M2718, Holiday_Dates) &lt;= 0,
            1,
            NETWORKDAYS(L2718, M2718, Holiday_Dates) - IF(L2718 = M2718, 0, 1)
        )
    )
)</f>
        <v/>
      </c>
      <c r="R2718" s="385" t="str">
        <f>IFERROR(
    IF(
        OR(ISBLANK(N2718), AND(ISBLANK(L2718), ISBLANK(M2718))),
        "",
        MAX(
            1,
            IF(
                NETWORKDAYS(IF(NOT(ISBLANK(M2718)), M2718, L2718), N2718, Holiday_Dates) &lt;= 0,
                1,
                NETWORKDAYS(IF(NOT(ISBLANK(M2718)), M2718, L2718), N2718, Holiday_Dates)
                - IF(IF(NOT(ISBLANK(M2718)), M2718, L2718) = N2718, 0, 1)
            )
        )
    ),
    ""
)</f>
        <v/>
      </c>
      <c r="S2718" s="385" t="str">
        <f>IFERROR(
    IF(
        OR(ISBLANK(N2718), ISBLANK(O2718)),
        "",
        MAX(
            1,
            IF(
                NETWORKDAYS(N2718, O2718, Holiday_Dates) &lt;= 0,
                1,
                NETWORKDAYS(N2718, O2718, Holiday_Dates) - IF(N2718 = O2718, 0, 1)
            )
        )
    ),
    ""
)</f>
        <v/>
      </c>
      <c r="T2718" s="385"/>
      <c r="U2718" s="385"/>
      <c r="V2718" s="385"/>
      <c r="W2718" s="385" t="s">
        <v>4710</v>
      </c>
      <c r="X2718" s="1"/>
    </row>
    <row r="2719" spans="1:24">
      <c r="A2719" s="385" t="s">
        <v>52</v>
      </c>
      <c r="B2719" s="385" t="s">
        <v>357</v>
      </c>
      <c r="C2719" s="385" t="s">
        <v>4200</v>
      </c>
      <c r="D2719" s="385" t="s">
        <v>89</v>
      </c>
      <c r="E2719" s="385"/>
      <c r="F2719" s="385"/>
      <c r="G2719" s="385"/>
      <c r="H2719" s="385">
        <v>2025</v>
      </c>
      <c r="I2719" s="386">
        <v>45911</v>
      </c>
      <c r="J2719" s="30" t="s">
        <v>5717</v>
      </c>
      <c r="K2719" s="385"/>
      <c r="L2719" s="385"/>
      <c r="M2719" s="385"/>
      <c r="N2719" s="385"/>
      <c r="O2719" s="385"/>
      <c r="P2719" s="385" t="str">
        <f>IFERROR(
    IF(
        OR(ISBLANK(I2719), ISBLANK(L2719)),
        "",
        MAX(
            1,
            IF(
                NETWORKDAYS(I2719, L2719, Holiday_Dates) &lt;= 0,
                1,
                NETWORKDAYS(I2719, L2719, Holiday_Dates) - IF(I2719 = L2719, 0, 1)
            )
        )
    ),
    ""
)</f>
        <v/>
      </c>
      <c r="Q2719" s="385" t="str">
        <f>IF(
    OR(ISBLANK(L2719), ISBLANK(M2719)),
    "",
    MAX(
        1,
        IF(
            NETWORKDAYS(L2719, M2719, Holiday_Dates) &lt;= 0,
            1,
            NETWORKDAYS(L2719, M2719, Holiday_Dates) - IF(L2719 = M2719, 0, 1)
        )
    )
)</f>
        <v/>
      </c>
      <c r="R2719" s="385" t="str">
        <f>IFERROR(
    IF(
        OR(ISBLANK(N2719), AND(ISBLANK(L2719), ISBLANK(M2719))),
        "",
        MAX(
            1,
            IF(
                NETWORKDAYS(IF(NOT(ISBLANK(M2719)), M2719, L2719), N2719, Holiday_Dates) &lt;= 0,
                1,
                NETWORKDAYS(IF(NOT(ISBLANK(M2719)), M2719, L2719), N2719, Holiday_Dates)
                - IF(IF(NOT(ISBLANK(M2719)), M2719, L2719) = N2719, 0, 1)
            )
        )
    ),
    ""
)</f>
        <v/>
      </c>
      <c r="S2719" s="385" t="str">
        <f>IFERROR(
    IF(
        OR(ISBLANK(N2719), ISBLANK(O2719)),
        "",
        MAX(
            1,
            IF(
                NETWORKDAYS(N2719, O2719, Holiday_Dates) &lt;= 0,
                1,
                NETWORKDAYS(N2719, O2719, Holiday_Dates) - IF(N2719 = O2719, 0, 1)
            )
        )
    ),
    ""
)</f>
        <v/>
      </c>
      <c r="T2719" s="385"/>
      <c r="U2719" s="385" t="s">
        <v>672</v>
      </c>
      <c r="V2719" s="385" t="s">
        <v>101</v>
      </c>
      <c r="W2719" s="385" t="s">
        <v>1436</v>
      </c>
      <c r="X2719" s="1"/>
    </row>
    <row r="2720" spans="1:24">
      <c r="A2720" s="385" t="s">
        <v>52</v>
      </c>
      <c r="B2720" s="385" t="s">
        <v>357</v>
      </c>
      <c r="C2720" s="385" t="s">
        <v>1025</v>
      </c>
      <c r="D2720" s="385" t="s">
        <v>89</v>
      </c>
      <c r="E2720" s="385"/>
      <c r="F2720" s="385"/>
      <c r="G2720" s="385"/>
      <c r="H2720" s="385">
        <v>2025</v>
      </c>
      <c r="I2720" s="386">
        <v>45680</v>
      </c>
      <c r="J2720" s="30" t="s">
        <v>5718</v>
      </c>
      <c r="K2720" s="385"/>
      <c r="L2720" s="385"/>
      <c r="M2720" s="385"/>
      <c r="N2720" s="385"/>
      <c r="O2720" s="385"/>
      <c r="P2720" s="385" t="str">
        <f>IFERROR(
    IF(
        OR(ISBLANK(I2720), ISBLANK(L2720)),
        "",
        MAX(
            1,
            IF(
                NETWORKDAYS(I2720, L2720, Holiday_Dates) &lt;= 0,
                1,
                NETWORKDAYS(I2720, L2720, Holiday_Dates) - IF(I2720 = L2720, 0, 1)
            )
        )
    ),
    ""
)</f>
        <v/>
      </c>
      <c r="Q2720" s="385" t="str">
        <f>IF(
    OR(ISBLANK(L2720), ISBLANK(M2720)),
    "",
    MAX(
        1,
        IF(
            NETWORKDAYS(L2720, M2720, Holiday_Dates) &lt;= 0,
            1,
            NETWORKDAYS(L2720, M2720, Holiday_Dates) - IF(L2720 = M2720, 0, 1)
        )
    )
)</f>
        <v/>
      </c>
      <c r="R2720" s="385" t="str">
        <f>IFERROR(
    IF(
        OR(ISBLANK(N2720), AND(ISBLANK(L2720), ISBLANK(M2720))),
        "",
        MAX(
            1,
            IF(
                NETWORKDAYS(IF(NOT(ISBLANK(M2720)), M2720, L2720), N2720, Holiday_Dates) &lt;= 0,
                1,
                NETWORKDAYS(IF(NOT(ISBLANK(M2720)), M2720, L2720), N2720, Holiday_Dates)
                - IF(IF(NOT(ISBLANK(M2720)), M2720, L2720) = N2720, 0, 1)
            )
        )
    ),
    ""
)</f>
        <v/>
      </c>
      <c r="S2720" s="385" t="str">
        <f>IFERROR(
    IF(
        OR(ISBLANK(N2720), ISBLANK(O2720)),
        "",
        MAX(
            1,
            IF(
                NETWORKDAYS(N2720, O2720, Holiday_Dates) &lt;= 0,
                1,
                NETWORKDAYS(N2720, O2720, Holiday_Dates) - IF(N2720 = O2720, 0, 1)
            )
        )
    ),
    ""
)</f>
        <v/>
      </c>
      <c r="T2720" s="385"/>
      <c r="U2720" s="385" t="s">
        <v>672</v>
      </c>
      <c r="V2720" s="385" t="s">
        <v>101</v>
      </c>
      <c r="W2720" s="385" t="s">
        <v>1436</v>
      </c>
      <c r="X2720" s="1"/>
    </row>
    <row r="2721" spans="1:24">
      <c r="A2721" s="385" t="s">
        <v>52</v>
      </c>
      <c r="B2721" s="385" t="s">
        <v>357</v>
      </c>
      <c r="C2721" s="385" t="s">
        <v>4201</v>
      </c>
      <c r="D2721" s="385" t="s">
        <v>89</v>
      </c>
      <c r="E2721" s="385"/>
      <c r="F2721" s="385"/>
      <c r="G2721" s="385"/>
      <c r="H2721" s="385">
        <v>2025</v>
      </c>
      <c r="I2721" s="386">
        <v>45912</v>
      </c>
      <c r="J2721" s="30" t="s">
        <v>5719</v>
      </c>
      <c r="K2721" s="385"/>
      <c r="L2721" s="385"/>
      <c r="M2721" s="385"/>
      <c r="N2721" s="385"/>
      <c r="O2721" s="385"/>
      <c r="P2721" s="385" t="str">
        <f>IFERROR(
    IF(
        OR(ISBLANK(I2721), ISBLANK(L2721)),
        "",
        MAX(
            1,
            IF(
                NETWORKDAYS(I2721, L2721, Holiday_Dates) &lt;= 0,
                1,
                NETWORKDAYS(I2721, L2721, Holiday_Dates) - IF(I2721 = L2721, 0, 1)
            )
        )
    ),
    ""
)</f>
        <v/>
      </c>
      <c r="Q2721" s="385" t="str">
        <f>IF(
    OR(ISBLANK(L2721), ISBLANK(M2721)),
    "",
    MAX(
        1,
        IF(
            NETWORKDAYS(L2721, M2721, Holiday_Dates) &lt;= 0,
            1,
            NETWORKDAYS(L2721, M2721, Holiday_Dates) - IF(L2721 = M2721, 0, 1)
        )
    )
)</f>
        <v/>
      </c>
      <c r="R2721" s="385" t="str">
        <f>IFERROR(
    IF(
        OR(ISBLANK(N2721), AND(ISBLANK(L2721), ISBLANK(M2721))),
        "",
        MAX(
            1,
            IF(
                NETWORKDAYS(IF(NOT(ISBLANK(M2721)), M2721, L2721), N2721, Holiday_Dates) &lt;= 0,
                1,
                NETWORKDAYS(IF(NOT(ISBLANK(M2721)), M2721, L2721), N2721, Holiday_Dates)
                - IF(IF(NOT(ISBLANK(M2721)), M2721, L2721) = N2721, 0, 1)
            )
        )
    ),
    ""
)</f>
        <v/>
      </c>
      <c r="S2721" s="385" t="str">
        <f>IFERROR(
    IF(
        OR(ISBLANK(N2721), ISBLANK(O2721)),
        "",
        MAX(
            1,
            IF(
                NETWORKDAYS(N2721, O2721, Holiday_Dates) &lt;= 0,
                1,
                NETWORKDAYS(N2721, O2721, Holiday_Dates) - IF(N2721 = O2721, 0, 1)
            )
        )
    ),
    ""
)</f>
        <v/>
      </c>
      <c r="T2721" s="385"/>
      <c r="U2721" s="385" t="s">
        <v>672</v>
      </c>
      <c r="V2721" s="385" t="s">
        <v>1676</v>
      </c>
      <c r="W2721" s="385" t="s">
        <v>1436</v>
      </c>
      <c r="X2721" s="1"/>
    </row>
    <row r="2722" spans="1:24">
      <c r="A2722" s="385" t="s">
        <v>52</v>
      </c>
      <c r="B2722" s="385" t="s">
        <v>357</v>
      </c>
      <c r="C2722" s="385" t="s">
        <v>3176</v>
      </c>
      <c r="D2722" s="385" t="s">
        <v>89</v>
      </c>
      <c r="E2722" s="385"/>
      <c r="F2722" s="385"/>
      <c r="G2722" s="385"/>
      <c r="H2722" s="385">
        <v>2024</v>
      </c>
      <c r="I2722" s="386">
        <v>45421</v>
      </c>
      <c r="J2722" s="30"/>
      <c r="K2722" s="385"/>
      <c r="L2722" s="385"/>
      <c r="M2722" s="385"/>
      <c r="N2722" s="385"/>
      <c r="O2722" s="385"/>
      <c r="P2722" s="385" t="str">
        <f>IFERROR(
    IF(
        OR(ISBLANK(I2722), ISBLANK(L2722)),
        "",
        MAX(
            1,
            IF(
                NETWORKDAYS(I2722, L2722, Holiday_Dates) &lt;= 0,
                1,
                NETWORKDAYS(I2722, L2722, Holiday_Dates) - IF(I2722 = L2722, 0, 1)
            )
        )
    ),
    ""
)</f>
        <v/>
      </c>
      <c r="Q2722" s="385" t="str">
        <f>IF(
    OR(ISBLANK(L2722), ISBLANK(M2722)),
    "",
    MAX(
        1,
        IF(
            NETWORKDAYS(L2722, M2722, Holiday_Dates) &lt;= 0,
            1,
            NETWORKDAYS(L2722, M2722, Holiday_Dates) - IF(L2722 = M2722, 0, 1)
        )
    )
)</f>
        <v/>
      </c>
      <c r="R2722" s="385" t="str">
        <f>IFERROR(
    IF(
        OR(ISBLANK(N2722), AND(ISBLANK(L2722), ISBLANK(M2722))),
        "",
        MAX(
            1,
            IF(
                NETWORKDAYS(IF(NOT(ISBLANK(M2722)), M2722, L2722), N2722, Holiday_Dates) &lt;= 0,
                1,
                NETWORKDAYS(IF(NOT(ISBLANK(M2722)), M2722, L2722), N2722, Holiday_Dates)
                - IF(IF(NOT(ISBLANK(M2722)), M2722, L2722) = N2722, 0, 1)
            )
        )
    ),
    ""
)</f>
        <v/>
      </c>
      <c r="S2722" s="385" t="str">
        <f>IFERROR(
    IF(
        OR(ISBLANK(N2722), ISBLANK(O2722)),
        "",
        MAX(
            1,
            IF(
                NETWORKDAYS(N2722, O2722, Holiday_Dates) &lt;= 0,
                1,
                NETWORKDAYS(N2722, O2722, Holiday_Dates) - IF(N2722 = O2722, 0, 1)
            )
        )
    ),
    ""
)</f>
        <v/>
      </c>
      <c r="T2722" s="385"/>
      <c r="U2722" s="385" t="s">
        <v>672</v>
      </c>
      <c r="V2722" s="385"/>
      <c r="W2722" s="385" t="s">
        <v>1436</v>
      </c>
      <c r="X2722" s="1"/>
    </row>
    <row r="2723" spans="1:24">
      <c r="A2723" s="385" t="s">
        <v>52</v>
      </c>
      <c r="B2723" s="385" t="s">
        <v>357</v>
      </c>
      <c r="C2723" s="385" t="s">
        <v>4203</v>
      </c>
      <c r="D2723" s="385" t="s">
        <v>89</v>
      </c>
      <c r="E2723" s="385"/>
      <c r="F2723" s="385"/>
      <c r="G2723" s="385"/>
      <c r="H2723" s="385">
        <v>2025</v>
      </c>
      <c r="I2723" s="386">
        <v>45912</v>
      </c>
      <c r="J2723" s="30" t="s">
        <v>5720</v>
      </c>
      <c r="K2723" s="385"/>
      <c r="L2723" s="385"/>
      <c r="M2723" s="385"/>
      <c r="N2723" s="385"/>
      <c r="O2723" s="385"/>
      <c r="P2723" s="385" t="str">
        <f>IFERROR(
    IF(
        OR(ISBLANK(I2723), ISBLANK(L2723)),
        "",
        MAX(
            1,
            IF(
                NETWORKDAYS(I2723, L2723, Holiday_Dates) &lt;= 0,
                1,
                NETWORKDAYS(I2723, L2723, Holiday_Dates) - IF(I2723 = L2723, 0, 1)
            )
        )
    ),
    ""
)</f>
        <v/>
      </c>
      <c r="Q2723" s="385" t="str">
        <f>IF(
    OR(ISBLANK(L2723), ISBLANK(M2723)),
    "",
    MAX(
        1,
        IF(
            NETWORKDAYS(L2723, M2723, Holiday_Dates) &lt;= 0,
            1,
            NETWORKDAYS(L2723, M2723, Holiday_Dates) - IF(L2723 = M2723, 0, 1)
        )
    )
)</f>
        <v/>
      </c>
      <c r="R2723" s="385" t="str">
        <f>IFERROR(
    IF(
        OR(ISBLANK(N2723), AND(ISBLANK(L2723), ISBLANK(M2723))),
        "",
        MAX(
            1,
            IF(
                NETWORKDAYS(IF(NOT(ISBLANK(M2723)), M2723, L2723), N2723, Holiday_Dates) &lt;= 0,
                1,
                NETWORKDAYS(IF(NOT(ISBLANK(M2723)), M2723, L2723), N2723, Holiday_Dates)
                - IF(IF(NOT(ISBLANK(M2723)), M2723, L2723) = N2723, 0, 1)
            )
        )
    ),
    ""
)</f>
        <v/>
      </c>
      <c r="S2723" s="385" t="str">
        <f>IFERROR(
    IF(
        OR(ISBLANK(N2723), ISBLANK(O2723)),
        "",
        MAX(
            1,
            IF(
                NETWORKDAYS(N2723, O2723, Holiday_Dates) &lt;= 0,
                1,
                NETWORKDAYS(N2723, O2723, Holiday_Dates) - IF(N2723 = O2723, 0, 1)
            )
        )
    ),
    ""
)</f>
        <v/>
      </c>
      <c r="T2723" s="385"/>
      <c r="U2723" s="385" t="s">
        <v>672</v>
      </c>
      <c r="V2723" s="385" t="s">
        <v>101</v>
      </c>
      <c r="W2723" s="385" t="s">
        <v>1436</v>
      </c>
      <c r="X2723" s="1"/>
    </row>
    <row r="2724" spans="1:24">
      <c r="A2724" s="385" t="s">
        <v>52</v>
      </c>
      <c r="B2724" s="385" t="s">
        <v>357</v>
      </c>
      <c r="C2724" s="385" t="s">
        <v>4204</v>
      </c>
      <c r="D2724" s="385" t="s">
        <v>89</v>
      </c>
      <c r="E2724" s="385"/>
      <c r="F2724" s="385"/>
      <c r="G2724" s="385"/>
      <c r="H2724" s="385">
        <v>2025</v>
      </c>
      <c r="I2724" s="386">
        <v>45925</v>
      </c>
      <c r="J2724" s="30" t="s">
        <v>5721</v>
      </c>
      <c r="K2724" s="385"/>
      <c r="L2724" s="385"/>
      <c r="M2724" s="385"/>
      <c r="N2724" s="385"/>
      <c r="O2724" s="385"/>
      <c r="P2724" s="385" t="str">
        <f>IFERROR(
    IF(
        OR(ISBLANK(I2724), ISBLANK(L2724)),
        "",
        MAX(
            1,
            IF(
                NETWORKDAYS(I2724, L2724, Holiday_Dates) &lt;= 0,
                1,
                NETWORKDAYS(I2724, L2724, Holiday_Dates) - IF(I2724 = L2724, 0, 1)
            )
        )
    ),
    ""
)</f>
        <v/>
      </c>
      <c r="Q2724" s="385" t="str">
        <f>IF(
    OR(ISBLANK(L2724), ISBLANK(M2724)),
    "",
    MAX(
        1,
        IF(
            NETWORKDAYS(L2724, M2724, Holiday_Dates) &lt;= 0,
            1,
            NETWORKDAYS(L2724, M2724, Holiday_Dates) - IF(L2724 = M2724, 0, 1)
        )
    )
)</f>
        <v/>
      </c>
      <c r="R2724" s="385" t="str">
        <f>IFERROR(
    IF(
        OR(ISBLANK(N2724), AND(ISBLANK(L2724), ISBLANK(M2724))),
        "",
        MAX(
            1,
            IF(
                NETWORKDAYS(IF(NOT(ISBLANK(M2724)), M2724, L2724), N2724, Holiday_Dates) &lt;= 0,
                1,
                NETWORKDAYS(IF(NOT(ISBLANK(M2724)), M2724, L2724), N2724, Holiday_Dates)
                - IF(IF(NOT(ISBLANK(M2724)), M2724, L2724) = N2724, 0, 1)
            )
        )
    ),
    ""
)</f>
        <v/>
      </c>
      <c r="S2724" s="385" t="str">
        <f>IFERROR(
    IF(
        OR(ISBLANK(N2724), ISBLANK(O2724)),
        "",
        MAX(
            1,
            IF(
                NETWORKDAYS(N2724, O2724, Holiday_Dates) &lt;= 0,
                1,
                NETWORKDAYS(N2724, O2724, Holiday_Dates) - IF(N2724 = O2724, 0, 1)
            )
        )
    ),
    ""
)</f>
        <v/>
      </c>
      <c r="T2724" s="385"/>
      <c r="U2724" s="385" t="s">
        <v>672</v>
      </c>
      <c r="V2724" s="385" t="s">
        <v>101</v>
      </c>
      <c r="W2724" s="385" t="s">
        <v>1436</v>
      </c>
      <c r="X2724" s="1"/>
    </row>
    <row r="2725" spans="1:24">
      <c r="A2725" s="385" t="s">
        <v>52</v>
      </c>
      <c r="B2725" s="385" t="s">
        <v>357</v>
      </c>
      <c r="C2725" s="385" t="s">
        <v>926</v>
      </c>
      <c r="D2725" s="385" t="s">
        <v>89</v>
      </c>
      <c r="E2725" s="385"/>
      <c r="F2725" s="385"/>
      <c r="G2725" s="385"/>
      <c r="H2725" s="385">
        <v>2025</v>
      </c>
      <c r="I2725" s="386">
        <v>45701</v>
      </c>
      <c r="J2725" s="30" t="s">
        <v>5722</v>
      </c>
      <c r="K2725" s="385"/>
      <c r="L2725" s="385"/>
      <c r="M2725" s="385"/>
      <c r="N2725" s="385"/>
      <c r="O2725" s="385"/>
      <c r="P2725" s="385" t="str">
        <f>IFERROR(
    IF(
        OR(ISBLANK(I2725), ISBLANK(L2725)),
        "",
        MAX(
            1,
            IF(
                NETWORKDAYS(I2725, L2725, Holiday_Dates) &lt;= 0,
                1,
                NETWORKDAYS(I2725, L2725, Holiday_Dates) - IF(I2725 = L2725, 0, 1)
            )
        )
    ),
    ""
)</f>
        <v/>
      </c>
      <c r="Q2725" s="385" t="str">
        <f>IF(
    OR(ISBLANK(L2725), ISBLANK(M2725)),
    "",
    MAX(
        1,
        IF(
            NETWORKDAYS(L2725, M2725, Holiday_Dates) &lt;= 0,
            1,
            NETWORKDAYS(L2725, M2725, Holiday_Dates) - IF(L2725 = M2725, 0, 1)
        )
    )
)</f>
        <v/>
      </c>
      <c r="R2725" s="385" t="str">
        <f>IFERROR(
    IF(
        OR(ISBLANK(N2725), AND(ISBLANK(L2725), ISBLANK(M2725))),
        "",
        MAX(
            1,
            IF(
                NETWORKDAYS(IF(NOT(ISBLANK(M2725)), M2725, L2725), N2725, Holiday_Dates) &lt;= 0,
                1,
                NETWORKDAYS(IF(NOT(ISBLANK(M2725)), M2725, L2725), N2725, Holiday_Dates)
                - IF(IF(NOT(ISBLANK(M2725)), M2725, L2725) = N2725, 0, 1)
            )
        )
    ),
    ""
)</f>
        <v/>
      </c>
      <c r="S2725" s="385" t="str">
        <f>IFERROR(
    IF(
        OR(ISBLANK(N2725), ISBLANK(O2725)),
        "",
        MAX(
            1,
            IF(
                NETWORKDAYS(N2725, O2725, Holiday_Dates) &lt;= 0,
                1,
                NETWORKDAYS(N2725, O2725, Holiday_Dates) - IF(N2725 = O2725, 0, 1)
            )
        )
    ),
    ""
)</f>
        <v/>
      </c>
      <c r="T2725" s="385"/>
      <c r="U2725" s="385" t="s">
        <v>4</v>
      </c>
      <c r="V2725" s="385" t="s">
        <v>101</v>
      </c>
      <c r="W2725" s="385" t="s">
        <v>1436</v>
      </c>
      <c r="X2725" s="1"/>
    </row>
    <row r="2726" spans="1:24">
      <c r="A2726" s="385" t="s">
        <v>52</v>
      </c>
      <c r="B2726" s="385" t="s">
        <v>357</v>
      </c>
      <c r="C2726" s="385" t="s">
        <v>4205</v>
      </c>
      <c r="D2726" s="385" t="s">
        <v>89</v>
      </c>
      <c r="E2726" s="385"/>
      <c r="F2726" s="385"/>
      <c r="G2726" s="385"/>
      <c r="H2726" s="385">
        <v>2025</v>
      </c>
      <c r="I2726" s="386">
        <v>45925</v>
      </c>
      <c r="J2726" s="30" t="s">
        <v>5723</v>
      </c>
      <c r="K2726" s="385"/>
      <c r="L2726" s="385"/>
      <c r="M2726" s="385"/>
      <c r="N2726" s="385"/>
      <c r="O2726" s="385"/>
      <c r="P2726" s="385" t="str">
        <f>IFERROR(
    IF(
        OR(ISBLANK(I2726), ISBLANK(L2726)),
        "",
        MAX(
            1,
            IF(
                NETWORKDAYS(I2726, L2726, Holiday_Dates) &lt;= 0,
                1,
                NETWORKDAYS(I2726, L2726, Holiday_Dates) - IF(I2726 = L2726, 0, 1)
            )
        )
    ),
    ""
)</f>
        <v/>
      </c>
      <c r="Q2726" s="385" t="str">
        <f>IF(
    OR(ISBLANK(L2726), ISBLANK(M2726)),
    "",
    MAX(
        1,
        IF(
            NETWORKDAYS(L2726, M2726, Holiday_Dates) &lt;= 0,
            1,
            NETWORKDAYS(L2726, M2726, Holiday_Dates) - IF(L2726 = M2726, 0, 1)
        )
    )
)</f>
        <v/>
      </c>
      <c r="R2726" s="385" t="str">
        <f>IFERROR(
    IF(
        OR(ISBLANK(N2726), AND(ISBLANK(L2726), ISBLANK(M2726))),
        "",
        MAX(
            1,
            IF(
                NETWORKDAYS(IF(NOT(ISBLANK(M2726)), M2726, L2726), N2726, Holiday_Dates) &lt;= 0,
                1,
                NETWORKDAYS(IF(NOT(ISBLANK(M2726)), M2726, L2726), N2726, Holiday_Dates)
                - IF(IF(NOT(ISBLANK(M2726)), M2726, L2726) = N2726, 0, 1)
            )
        )
    ),
    ""
)</f>
        <v/>
      </c>
      <c r="S2726" s="385" t="str">
        <f>IFERROR(
    IF(
        OR(ISBLANK(N2726), ISBLANK(O2726)),
        "",
        MAX(
            1,
            IF(
                NETWORKDAYS(N2726, O2726, Holiday_Dates) &lt;= 0,
                1,
                NETWORKDAYS(N2726, O2726, Holiday_Dates) - IF(N2726 = O2726, 0, 1)
            )
        )
    ),
    ""
)</f>
        <v/>
      </c>
      <c r="T2726" s="385"/>
      <c r="U2726" s="385" t="s">
        <v>672</v>
      </c>
      <c r="V2726" s="385" t="s">
        <v>101</v>
      </c>
      <c r="W2726" s="385" t="s">
        <v>1436</v>
      </c>
      <c r="X2726" s="1"/>
    </row>
    <row r="2727" spans="1:24">
      <c r="A2727" s="385" t="s">
        <v>52</v>
      </c>
      <c r="B2727" s="385" t="s">
        <v>366</v>
      </c>
      <c r="C2727" s="385" t="s">
        <v>3881</v>
      </c>
      <c r="D2727" s="385" t="s">
        <v>88</v>
      </c>
      <c r="E2727" s="385" t="s">
        <v>39</v>
      </c>
      <c r="F2727" s="385"/>
      <c r="G2727" s="385" t="s">
        <v>28</v>
      </c>
      <c r="H2727" s="385"/>
      <c r="I2727" s="385"/>
      <c r="J2727" s="30"/>
      <c r="K2727" s="385"/>
      <c r="L2727" s="385"/>
      <c r="M2727" s="385"/>
      <c r="N2727" s="385"/>
      <c r="O2727" s="385"/>
      <c r="P2727" s="385" t="str">
        <f>IFERROR(
    IF(
        OR(ISBLANK(I2727), ISBLANK(L2727)),
        "",
        MAX(
            1,
            IF(
                NETWORKDAYS(I2727, L2727, Holiday_Dates) &lt;= 0,
                1,
                NETWORKDAYS(I2727, L2727, Holiday_Dates) - IF(I2727 = L2727, 0, 1)
            )
        )
    ),
    ""
)</f>
        <v/>
      </c>
      <c r="Q2727" s="385" t="str">
        <f>IF(
    OR(ISBLANK(L2727), ISBLANK(M2727)),
    "",
    MAX(
        1,
        IF(
            NETWORKDAYS(L2727, M2727, Holiday_Dates) &lt;= 0,
            1,
            NETWORKDAYS(L2727, M2727, Holiday_Dates) - IF(L2727 = M2727, 0, 1)
        )
    )
)</f>
        <v/>
      </c>
      <c r="R2727" s="385" t="str">
        <f>IFERROR(
    IF(
        OR(ISBLANK(N2727), AND(ISBLANK(L2727), ISBLANK(M2727))),
        "",
        MAX(
            1,
            IF(
                NETWORKDAYS(IF(NOT(ISBLANK(M2727)), M2727, L2727), N2727, Holiday_Dates) &lt;= 0,
                1,
                NETWORKDAYS(IF(NOT(ISBLANK(M2727)), M2727, L2727), N2727, Holiday_Dates)
                - IF(IF(NOT(ISBLANK(M2727)), M2727, L2727) = N2727, 0, 1)
            )
        )
    ),
    ""
)</f>
        <v/>
      </c>
      <c r="S2727" s="385" t="str">
        <f>IFERROR(
    IF(
        OR(ISBLANK(N2727), ISBLANK(O2727)),
        "",
        MAX(
            1,
            IF(
                NETWORKDAYS(N2727, O2727, Holiday_Dates) &lt;= 0,
                1,
                NETWORKDAYS(N2727, O2727, Holiday_Dates) - IF(N2727 = O2727, 0, 1)
            )
        )
    ),
    ""
)</f>
        <v/>
      </c>
      <c r="T2727" s="385"/>
      <c r="U2727" s="385"/>
      <c r="V2727" s="385"/>
      <c r="W2727" s="385" t="s">
        <v>4710</v>
      </c>
      <c r="X2727" s="1"/>
    </row>
    <row r="2728" spans="1:24">
      <c r="A2728" s="385" t="s">
        <v>52</v>
      </c>
      <c r="B2728" s="385" t="s">
        <v>368</v>
      </c>
      <c r="C2728" s="385" t="s">
        <v>3917</v>
      </c>
      <c r="D2728" s="385" t="s">
        <v>89</v>
      </c>
      <c r="E2728" s="385" t="s">
        <v>38</v>
      </c>
      <c r="F2728" s="385"/>
      <c r="G2728" s="385" t="s">
        <v>28</v>
      </c>
      <c r="H2728" s="385"/>
      <c r="I2728" s="386"/>
      <c r="J2728" s="30"/>
      <c r="K2728" s="385"/>
      <c r="L2728" s="385"/>
      <c r="M2728" s="385"/>
      <c r="N2728" s="385"/>
      <c r="O2728" s="385"/>
      <c r="P2728" s="385" t="str">
        <f>IFERROR(
    IF(
        OR(ISBLANK(I2728), ISBLANK(L2728)),
        "",
        MAX(
            1,
            IF(
                NETWORKDAYS(I2728, L2728, Holiday_Dates) &lt;= 0,
                1,
                NETWORKDAYS(I2728, L2728, Holiday_Dates) - IF(I2728 = L2728, 0, 1)
            )
        )
    ),
    ""
)</f>
        <v/>
      </c>
      <c r="Q2728" s="385" t="str">
        <f>IF(
    OR(ISBLANK(L2728), ISBLANK(M2728)),
    "",
    MAX(
        1,
        IF(
            NETWORKDAYS(L2728, M2728, Holiday_Dates) &lt;= 0,
            1,
            NETWORKDAYS(L2728, M2728, Holiday_Dates) - IF(L2728 = M2728, 0, 1)
        )
    )
)</f>
        <v/>
      </c>
      <c r="R2728" s="385" t="str">
        <f>IFERROR(
    IF(
        OR(ISBLANK(N2728), AND(ISBLANK(L2728), ISBLANK(M2728))),
        "",
        MAX(
            1,
            IF(
                NETWORKDAYS(IF(NOT(ISBLANK(M2728)), M2728, L2728), N2728, Holiday_Dates) &lt;= 0,
                1,
                NETWORKDAYS(IF(NOT(ISBLANK(M2728)), M2728, L2728), N2728, Holiday_Dates)
                - IF(IF(NOT(ISBLANK(M2728)), M2728, L2728) = N2728, 0, 1)
            )
        )
    ),
    ""
)</f>
        <v/>
      </c>
      <c r="S2728" s="385" t="str">
        <f>IFERROR(
    IF(
        OR(ISBLANK(N2728), ISBLANK(O2728)),
        "",
        MAX(
            1,
            IF(
                NETWORKDAYS(N2728, O2728, Holiday_Dates) &lt;= 0,
                1,
                NETWORKDAYS(N2728, O2728, Holiday_Dates) - IF(N2728 = O2728, 0, 1)
            )
        )
    ),
    ""
)</f>
        <v/>
      </c>
      <c r="T2728" s="385"/>
      <c r="U2728" s="385"/>
      <c r="V2728" s="385"/>
      <c r="W2728" s="385" t="s">
        <v>4710</v>
      </c>
      <c r="X2728" s="1"/>
    </row>
    <row r="2729" spans="1:24">
      <c r="A2729" s="385" t="s">
        <v>52</v>
      </c>
      <c r="B2729" s="385" t="s">
        <v>357</v>
      </c>
      <c r="C2729" s="385" t="s">
        <v>4206</v>
      </c>
      <c r="D2729" s="385" t="s">
        <v>89</v>
      </c>
      <c r="E2729" s="385"/>
      <c r="F2729" s="385"/>
      <c r="G2729" s="385"/>
      <c r="H2729" s="385">
        <v>2025</v>
      </c>
      <c r="I2729" s="386">
        <v>45925</v>
      </c>
      <c r="J2729" s="30" t="s">
        <v>5724</v>
      </c>
      <c r="K2729" s="385"/>
      <c r="L2729" s="385"/>
      <c r="M2729" s="385"/>
      <c r="N2729" s="385"/>
      <c r="O2729" s="385"/>
      <c r="P2729" s="385" t="str">
        <f>IFERROR(
    IF(
        OR(ISBLANK(I2729), ISBLANK(L2729)),
        "",
        MAX(
            1,
            IF(
                NETWORKDAYS(I2729, L2729, Holiday_Dates) &lt;= 0,
                1,
                NETWORKDAYS(I2729, L2729, Holiday_Dates) - IF(I2729 = L2729, 0, 1)
            )
        )
    ),
    ""
)</f>
        <v/>
      </c>
      <c r="Q2729" s="385" t="str">
        <f>IF(
    OR(ISBLANK(L2729), ISBLANK(M2729)),
    "",
    MAX(
        1,
        IF(
            NETWORKDAYS(L2729, M2729, Holiday_Dates) &lt;= 0,
            1,
            NETWORKDAYS(L2729, M2729, Holiday_Dates) - IF(L2729 = M2729, 0, 1)
        )
    )
)</f>
        <v/>
      </c>
      <c r="R2729" s="385" t="str">
        <f>IFERROR(
    IF(
        OR(ISBLANK(N2729), AND(ISBLANK(L2729), ISBLANK(M2729))),
        "",
        MAX(
            1,
            IF(
                NETWORKDAYS(IF(NOT(ISBLANK(M2729)), M2729, L2729), N2729, Holiday_Dates) &lt;= 0,
                1,
                NETWORKDAYS(IF(NOT(ISBLANK(M2729)), M2729, L2729), N2729, Holiday_Dates)
                - IF(IF(NOT(ISBLANK(M2729)), M2729, L2729) = N2729, 0, 1)
            )
        )
    ),
    ""
)</f>
        <v/>
      </c>
      <c r="S2729" s="385" t="str">
        <f>IFERROR(
    IF(
        OR(ISBLANK(N2729), ISBLANK(O2729)),
        "",
        MAX(
            1,
            IF(
                NETWORKDAYS(N2729, O2729, Holiday_Dates) &lt;= 0,
                1,
                NETWORKDAYS(N2729, O2729, Holiday_Dates) - IF(N2729 = O2729, 0, 1)
            )
        )
    ),
    ""
)</f>
        <v/>
      </c>
      <c r="T2729" s="385"/>
      <c r="U2729" s="385" t="s">
        <v>672</v>
      </c>
      <c r="V2729" s="385" t="s">
        <v>101</v>
      </c>
      <c r="W2729" s="385" t="s">
        <v>1436</v>
      </c>
      <c r="X2729" s="1"/>
    </row>
    <row r="2730" spans="1:24">
      <c r="A2730" s="385" t="s">
        <v>52</v>
      </c>
      <c r="B2730" s="385" t="s">
        <v>368</v>
      </c>
      <c r="C2730" s="385" t="s">
        <v>3923</v>
      </c>
      <c r="D2730" s="385" t="s">
        <v>89</v>
      </c>
      <c r="E2730" s="385" t="s">
        <v>38</v>
      </c>
      <c r="F2730" s="385"/>
      <c r="G2730" s="385" t="s">
        <v>28</v>
      </c>
      <c r="H2730" s="385"/>
      <c r="I2730" s="385"/>
      <c r="J2730" s="30"/>
      <c r="K2730" s="385"/>
      <c r="L2730" s="385"/>
      <c r="M2730" s="385"/>
      <c r="N2730" s="385"/>
      <c r="O2730" s="385"/>
      <c r="P2730" s="385" t="str">
        <f>IFERROR(
    IF(
        OR(ISBLANK(I2730), ISBLANK(L2730)),
        "",
        MAX(
            1,
            IF(
                NETWORKDAYS(I2730, L2730, Holiday_Dates) &lt;= 0,
                1,
                NETWORKDAYS(I2730, L2730, Holiday_Dates) - IF(I2730 = L2730, 0, 1)
            )
        )
    ),
    ""
)</f>
        <v/>
      </c>
      <c r="Q2730" s="385" t="str">
        <f>IF(
    OR(ISBLANK(L2730), ISBLANK(M2730)),
    "",
    MAX(
        1,
        IF(
            NETWORKDAYS(L2730, M2730, Holiday_Dates) &lt;= 0,
            1,
            NETWORKDAYS(L2730, M2730, Holiday_Dates) - IF(L2730 = M2730, 0, 1)
        )
    )
)</f>
        <v/>
      </c>
      <c r="R2730" s="385" t="str">
        <f>IFERROR(
    IF(
        OR(ISBLANK(N2730), AND(ISBLANK(L2730), ISBLANK(M2730))),
        "",
        MAX(
            1,
            IF(
                NETWORKDAYS(IF(NOT(ISBLANK(M2730)), M2730, L2730), N2730, Holiday_Dates) &lt;= 0,
                1,
                NETWORKDAYS(IF(NOT(ISBLANK(M2730)), M2730, L2730), N2730, Holiday_Dates)
                - IF(IF(NOT(ISBLANK(M2730)), M2730, L2730) = N2730, 0, 1)
            )
        )
    ),
    ""
)</f>
        <v/>
      </c>
      <c r="S2730" s="385" t="str">
        <f>IFERROR(
    IF(
        OR(ISBLANK(N2730), ISBLANK(O2730)),
        "",
        MAX(
            1,
            IF(
                NETWORKDAYS(N2730, O2730, Holiday_Dates) &lt;= 0,
                1,
                NETWORKDAYS(N2730, O2730, Holiday_Dates) - IF(N2730 = O2730, 0, 1)
            )
        )
    ),
    ""
)</f>
        <v/>
      </c>
      <c r="T2730" s="385"/>
      <c r="U2730" s="385"/>
      <c r="V2730" s="385"/>
      <c r="W2730" s="385" t="s">
        <v>4710</v>
      </c>
      <c r="X2730" s="1"/>
    </row>
    <row r="2731" spans="1:24">
      <c r="A2731" s="385" t="s">
        <v>52</v>
      </c>
      <c r="B2731" s="385" t="s">
        <v>368</v>
      </c>
      <c r="C2731" s="385" t="s">
        <v>3927</v>
      </c>
      <c r="D2731" s="385" t="s">
        <v>89</v>
      </c>
      <c r="E2731" s="385" t="s">
        <v>38</v>
      </c>
      <c r="F2731" s="385"/>
      <c r="G2731" s="385" t="s">
        <v>28</v>
      </c>
      <c r="H2731" s="385"/>
      <c r="I2731" s="385"/>
      <c r="J2731" s="30"/>
      <c r="K2731" s="385"/>
      <c r="L2731" s="385"/>
      <c r="M2731" s="385"/>
      <c r="N2731" s="385"/>
      <c r="O2731" s="385"/>
      <c r="P2731" s="385" t="str">
        <f>IFERROR(
    IF(
        OR(ISBLANK(I2731), ISBLANK(L2731)),
        "",
        MAX(
            1,
            IF(
                NETWORKDAYS(I2731, L2731, Holiday_Dates) &lt;= 0,
                1,
                NETWORKDAYS(I2731, L2731, Holiday_Dates) - IF(I2731 = L2731, 0, 1)
            )
        )
    ),
    ""
)</f>
        <v/>
      </c>
      <c r="Q2731" s="385" t="str">
        <f>IF(
    OR(ISBLANK(L2731), ISBLANK(M2731)),
    "",
    MAX(
        1,
        IF(
            NETWORKDAYS(L2731, M2731, Holiday_Dates) &lt;= 0,
            1,
            NETWORKDAYS(L2731, M2731, Holiday_Dates) - IF(L2731 = M2731, 0, 1)
        )
    )
)</f>
        <v/>
      </c>
      <c r="R2731" s="385" t="str">
        <f>IFERROR(
    IF(
        OR(ISBLANK(N2731), AND(ISBLANK(L2731), ISBLANK(M2731))),
        "",
        MAX(
            1,
            IF(
                NETWORKDAYS(IF(NOT(ISBLANK(M2731)), M2731, L2731), N2731, Holiday_Dates) &lt;= 0,
                1,
                NETWORKDAYS(IF(NOT(ISBLANK(M2731)), M2731, L2731), N2731, Holiday_Dates)
                - IF(IF(NOT(ISBLANK(M2731)), M2731, L2731) = N2731, 0, 1)
            )
        )
    ),
    ""
)</f>
        <v/>
      </c>
      <c r="S2731" s="385" t="str">
        <f>IFERROR(
    IF(
        OR(ISBLANK(N2731), ISBLANK(O2731)),
        "",
        MAX(
            1,
            IF(
                NETWORKDAYS(N2731, O2731, Holiday_Dates) &lt;= 0,
                1,
                NETWORKDAYS(N2731, O2731, Holiday_Dates) - IF(N2731 = O2731, 0, 1)
            )
        )
    ),
    ""
)</f>
        <v/>
      </c>
      <c r="T2731" s="385"/>
      <c r="U2731" s="385"/>
      <c r="V2731" s="385"/>
      <c r="W2731" s="385" t="s">
        <v>4710</v>
      </c>
      <c r="X2731" s="1"/>
    </row>
    <row r="2732" spans="1:24">
      <c r="A2732" s="385" t="s">
        <v>52</v>
      </c>
      <c r="B2732" s="385" t="s">
        <v>368</v>
      </c>
      <c r="C2732" s="385" t="s">
        <v>520</v>
      </c>
      <c r="D2732" s="385" t="s">
        <v>89</v>
      </c>
      <c r="E2732" s="385" t="s">
        <v>38</v>
      </c>
      <c r="F2732" s="385"/>
      <c r="G2732" s="385" t="s">
        <v>28</v>
      </c>
      <c r="H2732" s="385"/>
      <c r="I2732" s="385"/>
      <c r="J2732" s="30"/>
      <c r="K2732" s="385"/>
      <c r="L2732" s="385"/>
      <c r="M2732" s="385"/>
      <c r="N2732" s="385"/>
      <c r="O2732" s="385"/>
      <c r="P2732" s="385" t="str">
        <f>IFERROR(
    IF(
        OR(ISBLANK(I2732), ISBLANK(L2732)),
        "",
        MAX(
            1,
            IF(
                NETWORKDAYS(I2732, L2732, Holiday_Dates) &lt;= 0,
                1,
                NETWORKDAYS(I2732, L2732, Holiday_Dates) - IF(I2732 = L2732, 0, 1)
            )
        )
    ),
    ""
)</f>
        <v/>
      </c>
      <c r="Q2732" s="385" t="str">
        <f>IF(
    OR(ISBLANK(L2732), ISBLANK(M2732)),
    "",
    MAX(
        1,
        IF(
            NETWORKDAYS(L2732, M2732, Holiday_Dates) &lt;= 0,
            1,
            NETWORKDAYS(L2732, M2732, Holiday_Dates) - IF(L2732 = M2732, 0, 1)
        )
    )
)</f>
        <v/>
      </c>
      <c r="R2732" s="385" t="str">
        <f>IFERROR(
    IF(
        OR(ISBLANK(N2732), AND(ISBLANK(L2732), ISBLANK(M2732))),
        "",
        MAX(
            1,
            IF(
                NETWORKDAYS(IF(NOT(ISBLANK(M2732)), M2732, L2732), N2732, Holiday_Dates) &lt;= 0,
                1,
                NETWORKDAYS(IF(NOT(ISBLANK(M2732)), M2732, L2732), N2732, Holiday_Dates)
                - IF(IF(NOT(ISBLANK(M2732)), M2732, L2732) = N2732, 0, 1)
            )
        )
    ),
    ""
)</f>
        <v/>
      </c>
      <c r="S2732" s="385" t="str">
        <f>IFERROR(
    IF(
        OR(ISBLANK(N2732), ISBLANK(O2732)),
        "",
        MAX(
            1,
            IF(
                NETWORKDAYS(N2732, O2732, Holiday_Dates) &lt;= 0,
                1,
                NETWORKDAYS(N2732, O2732, Holiday_Dates) - IF(N2732 = O2732, 0, 1)
            )
        )
    ),
    ""
)</f>
        <v/>
      </c>
      <c r="T2732" s="385"/>
      <c r="U2732" s="385"/>
      <c r="V2732" s="385"/>
      <c r="W2732" s="385" t="s">
        <v>4710</v>
      </c>
      <c r="X2732" s="1"/>
    </row>
    <row r="2733" spans="1:24">
      <c r="A2733" s="385" t="s">
        <v>52</v>
      </c>
      <c r="B2733" s="385" t="s">
        <v>250</v>
      </c>
      <c r="C2733" s="385" t="s">
        <v>3981</v>
      </c>
      <c r="D2733" s="385" t="s">
        <v>88</v>
      </c>
      <c r="E2733" s="385" t="s">
        <v>39</v>
      </c>
      <c r="F2733" s="385"/>
      <c r="G2733" s="385" t="s">
        <v>28</v>
      </c>
      <c r="H2733" s="385"/>
      <c r="I2733" s="385"/>
      <c r="J2733" s="30"/>
      <c r="K2733" s="385"/>
      <c r="L2733" s="385"/>
      <c r="M2733" s="385"/>
      <c r="N2733" s="385"/>
      <c r="O2733" s="385"/>
      <c r="P2733" s="385" t="str">
        <f>IFERROR(
    IF(
        OR(ISBLANK(I2733), ISBLANK(L2733)),
        "",
        MAX(
            1,
            IF(
                NETWORKDAYS(I2733, L2733, Holiday_Dates) &lt;= 0,
                1,
                NETWORKDAYS(I2733, L2733, Holiday_Dates) - IF(I2733 = L2733, 0, 1)
            )
        )
    ),
    ""
)</f>
        <v/>
      </c>
      <c r="Q2733" s="385" t="str">
        <f>IF(
    OR(ISBLANK(L2733), ISBLANK(M2733)),
    "",
    MAX(
        1,
        IF(
            NETWORKDAYS(L2733, M2733, Holiday_Dates) &lt;= 0,
            1,
            NETWORKDAYS(L2733, M2733, Holiday_Dates) - IF(L2733 = M2733, 0, 1)
        )
    )
)</f>
        <v/>
      </c>
      <c r="R2733" s="385" t="str">
        <f>IFERROR(
    IF(
        OR(ISBLANK(N2733), AND(ISBLANK(L2733), ISBLANK(M2733))),
        "",
        MAX(
            1,
            IF(
                NETWORKDAYS(IF(NOT(ISBLANK(M2733)), M2733, L2733), N2733, Holiday_Dates) &lt;= 0,
                1,
                NETWORKDAYS(IF(NOT(ISBLANK(M2733)), M2733, L2733), N2733, Holiday_Dates)
                - IF(IF(NOT(ISBLANK(M2733)), M2733, L2733) = N2733, 0, 1)
            )
        )
    ),
    ""
)</f>
        <v/>
      </c>
      <c r="S2733" s="385" t="str">
        <f>IFERROR(
    IF(
        OR(ISBLANK(N2733), ISBLANK(O2733)),
        "",
        MAX(
            1,
            IF(
                NETWORKDAYS(N2733, O2733, Holiday_Dates) &lt;= 0,
                1,
                NETWORKDAYS(N2733, O2733, Holiday_Dates) - IF(N2733 = O2733, 0, 1)
            )
        )
    ),
    ""
)</f>
        <v/>
      </c>
      <c r="T2733" s="385"/>
      <c r="U2733" s="385"/>
      <c r="V2733" s="385"/>
      <c r="W2733" s="385" t="s">
        <v>4710</v>
      </c>
      <c r="X2733" s="1"/>
    </row>
    <row r="2734" spans="1:24">
      <c r="A2734" s="385" t="s">
        <v>52</v>
      </c>
      <c r="B2734" s="385" t="s">
        <v>4207</v>
      </c>
      <c r="C2734" s="385" t="s">
        <v>4208</v>
      </c>
      <c r="D2734" s="385" t="s">
        <v>89</v>
      </c>
      <c r="E2734" s="385"/>
      <c r="F2734" s="385"/>
      <c r="G2734" s="385"/>
      <c r="H2734" s="385">
        <v>2024</v>
      </c>
      <c r="I2734" s="386">
        <v>45545</v>
      </c>
      <c r="J2734" s="30"/>
      <c r="K2734" s="385"/>
      <c r="L2734" s="385"/>
      <c r="M2734" s="385"/>
      <c r="N2734" s="385"/>
      <c r="O2734" s="385"/>
      <c r="P2734" s="385" t="str">
        <f>IFERROR(
    IF(
        OR(ISBLANK(I2734), ISBLANK(L2734)),
        "",
        MAX(
            1,
            IF(
                NETWORKDAYS(I2734, L2734, Holiday_Dates) &lt;= 0,
                1,
                NETWORKDAYS(I2734, L2734, Holiday_Dates) - IF(I2734 = L2734, 0, 1)
            )
        )
    ),
    ""
)</f>
        <v/>
      </c>
      <c r="Q2734" s="385" t="str">
        <f>IF(
    OR(ISBLANK(L2734), ISBLANK(M2734)),
    "",
    MAX(
        1,
        IF(
            NETWORKDAYS(L2734, M2734, Holiday_Dates) &lt;= 0,
            1,
            NETWORKDAYS(L2734, M2734, Holiday_Dates) - IF(L2734 = M2734, 0, 1)
        )
    )
)</f>
        <v/>
      </c>
      <c r="R2734" s="385" t="str">
        <f>IFERROR(
    IF(
        OR(ISBLANK(N2734), AND(ISBLANK(L2734), ISBLANK(M2734))),
        "",
        MAX(
            1,
            IF(
                NETWORKDAYS(IF(NOT(ISBLANK(M2734)), M2734, L2734), N2734, Holiday_Dates) &lt;= 0,
                1,
                NETWORKDAYS(IF(NOT(ISBLANK(M2734)), M2734, L2734), N2734, Holiday_Dates)
                - IF(IF(NOT(ISBLANK(M2734)), M2734, L2734) = N2734, 0, 1)
            )
        )
    ),
    ""
)</f>
        <v/>
      </c>
      <c r="S2734" s="385" t="str">
        <f>IFERROR(
    IF(
        OR(ISBLANK(N2734), ISBLANK(O2734)),
        "",
        MAX(
            1,
            IF(
                NETWORKDAYS(N2734, O2734, Holiday_Dates) &lt;= 0,
                1,
                NETWORKDAYS(N2734, O2734, Holiday_Dates) - IF(N2734 = O2734, 0, 1)
            )
        )
    ),
    ""
)</f>
        <v/>
      </c>
      <c r="T2734" s="385"/>
      <c r="U2734" s="385" t="s">
        <v>672</v>
      </c>
      <c r="V2734" s="385" t="s">
        <v>101</v>
      </c>
      <c r="W2734" s="385" t="s">
        <v>1436</v>
      </c>
      <c r="X2734" s="1"/>
    </row>
    <row r="2735" spans="1:24">
      <c r="A2735" s="385" t="s">
        <v>52</v>
      </c>
      <c r="B2735" s="385" t="s">
        <v>250</v>
      </c>
      <c r="C2735" s="385" t="s">
        <v>3850</v>
      </c>
      <c r="D2735" s="385" t="s">
        <v>88</v>
      </c>
      <c r="E2735" s="385" t="s">
        <v>39</v>
      </c>
      <c r="F2735" s="385"/>
      <c r="G2735" s="385" t="s">
        <v>28</v>
      </c>
      <c r="H2735" s="385"/>
      <c r="I2735" s="385"/>
      <c r="J2735" s="30"/>
      <c r="K2735" s="385"/>
      <c r="L2735" s="385"/>
      <c r="M2735" s="385"/>
      <c r="N2735" s="385"/>
      <c r="O2735" s="385"/>
      <c r="P2735" s="385" t="str">
        <f>IFERROR(
    IF(
        OR(ISBLANK(I2735), ISBLANK(L2735)),
        "",
        MAX(
            1,
            IF(
                NETWORKDAYS(I2735, L2735, Holiday_Dates) &lt;= 0,
                1,
                NETWORKDAYS(I2735, L2735, Holiday_Dates) - IF(I2735 = L2735, 0, 1)
            )
        )
    ),
    ""
)</f>
        <v/>
      </c>
      <c r="Q2735" s="385" t="str">
        <f>IF(
    OR(ISBLANK(L2735), ISBLANK(M2735)),
    "",
    MAX(
        1,
        IF(
            NETWORKDAYS(L2735, M2735, Holiday_Dates) &lt;= 0,
            1,
            NETWORKDAYS(L2735, M2735, Holiday_Dates) - IF(L2735 = M2735, 0, 1)
        )
    )
)</f>
        <v/>
      </c>
      <c r="R2735" s="385" t="str">
        <f>IFERROR(
    IF(
        OR(ISBLANK(N2735), AND(ISBLANK(L2735), ISBLANK(M2735))),
        "",
        MAX(
            1,
            IF(
                NETWORKDAYS(IF(NOT(ISBLANK(M2735)), M2735, L2735), N2735, Holiday_Dates) &lt;= 0,
                1,
                NETWORKDAYS(IF(NOT(ISBLANK(M2735)), M2735, L2735), N2735, Holiday_Dates)
                - IF(IF(NOT(ISBLANK(M2735)), M2735, L2735) = N2735, 0, 1)
            )
        )
    ),
    ""
)</f>
        <v/>
      </c>
      <c r="S2735" s="385" t="str">
        <f>IFERROR(
    IF(
        OR(ISBLANK(N2735), ISBLANK(O2735)),
        "",
        MAX(
            1,
            IF(
                NETWORKDAYS(N2735, O2735, Holiday_Dates) &lt;= 0,
                1,
                NETWORKDAYS(N2735, O2735, Holiday_Dates) - IF(N2735 = O2735, 0, 1)
            )
        )
    ),
    ""
)</f>
        <v/>
      </c>
      <c r="T2735" s="385"/>
      <c r="U2735" s="385"/>
      <c r="V2735" s="385"/>
      <c r="W2735" s="385" t="s">
        <v>4710</v>
      </c>
      <c r="X2735" s="1"/>
    </row>
    <row r="2736" spans="1:24">
      <c r="A2736" s="385" t="s">
        <v>52</v>
      </c>
      <c r="B2736" s="385" t="s">
        <v>4207</v>
      </c>
      <c r="C2736" s="385" t="s">
        <v>4211</v>
      </c>
      <c r="D2736" s="385" t="s">
        <v>89</v>
      </c>
      <c r="E2736" s="385"/>
      <c r="F2736" s="385"/>
      <c r="G2736" s="385"/>
      <c r="H2736" s="385">
        <v>2025</v>
      </c>
      <c r="I2736" s="386">
        <v>45699</v>
      </c>
      <c r="J2736" s="30" t="s">
        <v>5725</v>
      </c>
      <c r="K2736" s="385"/>
      <c r="L2736" s="385"/>
      <c r="M2736" s="385"/>
      <c r="N2736" s="385"/>
      <c r="O2736" s="385"/>
      <c r="P2736" s="385" t="str">
        <f>IFERROR(
    IF(
        OR(ISBLANK(I2736), ISBLANK(L2736)),
        "",
        MAX(
            1,
            IF(
                NETWORKDAYS(I2736, L2736, Holiday_Dates) &lt;= 0,
                1,
                NETWORKDAYS(I2736, L2736, Holiday_Dates) - IF(I2736 = L2736, 0, 1)
            )
        )
    ),
    ""
)</f>
        <v/>
      </c>
      <c r="Q2736" s="385" t="str">
        <f>IF(
    OR(ISBLANK(L2736), ISBLANK(M2736)),
    "",
    MAX(
        1,
        IF(
            NETWORKDAYS(L2736, M2736, Holiday_Dates) &lt;= 0,
            1,
            NETWORKDAYS(L2736, M2736, Holiday_Dates) - IF(L2736 = M2736, 0, 1)
        )
    )
)</f>
        <v/>
      </c>
      <c r="R2736" s="385" t="str">
        <f>IFERROR(
    IF(
        OR(ISBLANK(N2736), AND(ISBLANK(L2736), ISBLANK(M2736))),
        "",
        MAX(
            1,
            IF(
                NETWORKDAYS(IF(NOT(ISBLANK(M2736)), M2736, L2736), N2736, Holiday_Dates) &lt;= 0,
                1,
                NETWORKDAYS(IF(NOT(ISBLANK(M2736)), M2736, L2736), N2736, Holiday_Dates)
                - IF(IF(NOT(ISBLANK(M2736)), M2736, L2736) = N2736, 0, 1)
            )
        )
    ),
    ""
)</f>
        <v/>
      </c>
      <c r="S2736" s="385" t="str">
        <f>IFERROR(
    IF(
        OR(ISBLANK(N2736), ISBLANK(O2736)),
        "",
        MAX(
            1,
            IF(
                NETWORKDAYS(N2736, O2736, Holiday_Dates) &lt;= 0,
                1,
                NETWORKDAYS(N2736, O2736, Holiday_Dates) - IF(N2736 = O2736, 0, 1)
            )
        )
    ),
    ""
)</f>
        <v/>
      </c>
      <c r="T2736" s="385"/>
      <c r="U2736" s="385" t="s">
        <v>672</v>
      </c>
      <c r="V2736" s="385" t="s">
        <v>101</v>
      </c>
      <c r="W2736" s="385" t="s">
        <v>1436</v>
      </c>
      <c r="X2736" s="1"/>
    </row>
    <row r="2737" spans="1:24">
      <c r="A2737" s="385" t="s">
        <v>52</v>
      </c>
      <c r="B2737" s="385" t="s">
        <v>4207</v>
      </c>
      <c r="C2737" s="385" t="s">
        <v>3030</v>
      </c>
      <c r="D2737" s="385" t="s">
        <v>89</v>
      </c>
      <c r="E2737" s="385"/>
      <c r="F2737" s="385"/>
      <c r="G2737" s="385"/>
      <c r="H2737" s="385">
        <v>2025</v>
      </c>
      <c r="I2737" s="386">
        <v>45699</v>
      </c>
      <c r="J2737" s="30" t="s">
        <v>5726</v>
      </c>
      <c r="K2737" s="385"/>
      <c r="L2737" s="385"/>
      <c r="M2737" s="385"/>
      <c r="N2737" s="385"/>
      <c r="O2737" s="385"/>
      <c r="P2737" s="385" t="str">
        <f>IFERROR(
    IF(
        OR(ISBLANK(I2737), ISBLANK(L2737)),
        "",
        MAX(
            1,
            IF(
                NETWORKDAYS(I2737, L2737, Holiday_Dates) &lt;= 0,
                1,
                NETWORKDAYS(I2737, L2737, Holiday_Dates) - IF(I2737 = L2737, 0, 1)
            )
        )
    ),
    ""
)</f>
        <v/>
      </c>
      <c r="Q2737" s="385" t="str">
        <f>IF(
    OR(ISBLANK(L2737), ISBLANK(M2737)),
    "",
    MAX(
        1,
        IF(
            NETWORKDAYS(L2737, M2737, Holiday_Dates) &lt;= 0,
            1,
            NETWORKDAYS(L2737, M2737, Holiday_Dates) - IF(L2737 = M2737, 0, 1)
        )
    )
)</f>
        <v/>
      </c>
      <c r="R2737" s="385" t="str">
        <f>IFERROR(
    IF(
        OR(ISBLANK(N2737), AND(ISBLANK(L2737), ISBLANK(M2737))),
        "",
        MAX(
            1,
            IF(
                NETWORKDAYS(IF(NOT(ISBLANK(M2737)), M2737, L2737), N2737, Holiday_Dates) &lt;= 0,
                1,
                NETWORKDAYS(IF(NOT(ISBLANK(M2737)), M2737, L2737), N2737, Holiday_Dates)
                - IF(IF(NOT(ISBLANK(M2737)), M2737, L2737) = N2737, 0, 1)
            )
        )
    ),
    ""
)</f>
        <v/>
      </c>
      <c r="S2737" s="385" t="str">
        <f>IFERROR(
    IF(
        OR(ISBLANK(N2737), ISBLANK(O2737)),
        "",
        MAX(
            1,
            IF(
                NETWORKDAYS(N2737, O2737, Holiday_Dates) &lt;= 0,
                1,
                NETWORKDAYS(N2737, O2737, Holiday_Dates) - IF(N2737 = O2737, 0, 1)
            )
        )
    ),
    ""
)</f>
        <v/>
      </c>
      <c r="T2737" s="385"/>
      <c r="U2737" s="385" t="s">
        <v>672</v>
      </c>
      <c r="V2737" s="385" t="s">
        <v>101</v>
      </c>
      <c r="W2737" s="385" t="s">
        <v>1436</v>
      </c>
      <c r="X2737" s="1"/>
    </row>
    <row r="2738" spans="1:24">
      <c r="A2738" s="385" t="s">
        <v>52</v>
      </c>
      <c r="B2738" s="385" t="s">
        <v>4207</v>
      </c>
      <c r="C2738" s="385" t="s">
        <v>4212</v>
      </c>
      <c r="D2738" s="385" t="s">
        <v>89</v>
      </c>
      <c r="E2738" s="385"/>
      <c r="F2738" s="385"/>
      <c r="G2738" s="385"/>
      <c r="H2738" s="385">
        <v>2025</v>
      </c>
      <c r="I2738" s="386">
        <v>45812</v>
      </c>
      <c r="J2738" s="30" t="s">
        <v>5727</v>
      </c>
      <c r="K2738" s="385"/>
      <c r="L2738" s="385"/>
      <c r="M2738" s="385"/>
      <c r="N2738" s="385"/>
      <c r="O2738" s="385"/>
      <c r="P2738" s="385" t="str">
        <f>IFERROR(
    IF(
        OR(ISBLANK(I2738), ISBLANK(L2738)),
        "",
        MAX(
            1,
            IF(
                NETWORKDAYS(I2738, L2738, Holiday_Dates) &lt;= 0,
                1,
                NETWORKDAYS(I2738, L2738, Holiday_Dates) - IF(I2738 = L2738, 0, 1)
            )
        )
    ),
    ""
)</f>
        <v/>
      </c>
      <c r="Q2738" s="385" t="str">
        <f>IF(
    OR(ISBLANK(L2738), ISBLANK(M2738)),
    "",
    MAX(
        1,
        IF(
            NETWORKDAYS(L2738, M2738, Holiday_Dates) &lt;= 0,
            1,
            NETWORKDAYS(L2738, M2738, Holiday_Dates) - IF(L2738 = M2738, 0, 1)
        )
    )
)</f>
        <v/>
      </c>
      <c r="R2738" s="385" t="str">
        <f>IFERROR(
    IF(
        OR(ISBLANK(N2738), AND(ISBLANK(L2738), ISBLANK(M2738))),
        "",
        MAX(
            1,
            IF(
                NETWORKDAYS(IF(NOT(ISBLANK(M2738)), M2738, L2738), N2738, Holiday_Dates) &lt;= 0,
                1,
                NETWORKDAYS(IF(NOT(ISBLANK(M2738)), M2738, L2738), N2738, Holiday_Dates)
                - IF(IF(NOT(ISBLANK(M2738)), M2738, L2738) = N2738, 0, 1)
            )
        )
    ),
    ""
)</f>
        <v/>
      </c>
      <c r="S2738" s="385" t="str">
        <f>IFERROR(
    IF(
        OR(ISBLANK(N2738), ISBLANK(O2738)),
        "",
        MAX(
            1,
            IF(
                NETWORKDAYS(N2738, O2738, Holiday_Dates) &lt;= 0,
                1,
                NETWORKDAYS(N2738, O2738, Holiday_Dates) - IF(N2738 = O2738, 0, 1)
            )
        )
    ),
    ""
)</f>
        <v/>
      </c>
      <c r="T2738" s="385"/>
      <c r="U2738" s="385" t="s">
        <v>672</v>
      </c>
      <c r="V2738" s="385" t="s">
        <v>101</v>
      </c>
      <c r="W2738" s="385" t="s">
        <v>1436</v>
      </c>
      <c r="X2738" s="1"/>
    </row>
    <row r="2739" spans="1:24">
      <c r="A2739" s="385" t="s">
        <v>52</v>
      </c>
      <c r="B2739" s="385" t="s">
        <v>250</v>
      </c>
      <c r="C2739" s="385" t="s">
        <v>520</v>
      </c>
      <c r="D2739" s="385" t="s">
        <v>88</v>
      </c>
      <c r="E2739" s="385" t="s">
        <v>39</v>
      </c>
      <c r="F2739" s="385"/>
      <c r="G2739" s="385" t="s">
        <v>28</v>
      </c>
      <c r="H2739" s="385"/>
      <c r="I2739" s="385"/>
      <c r="J2739" s="30"/>
      <c r="K2739" s="385"/>
      <c r="L2739" s="385"/>
      <c r="M2739" s="385"/>
      <c r="N2739" s="385"/>
      <c r="O2739" s="385"/>
      <c r="P2739" s="385" t="str">
        <f>IFERROR(
    IF(
        OR(ISBLANK(I2739), ISBLANK(L2739)),
        "",
        MAX(
            1,
            IF(
                NETWORKDAYS(I2739, L2739, Holiday_Dates) &lt;= 0,
                1,
                NETWORKDAYS(I2739, L2739, Holiday_Dates) - IF(I2739 = L2739, 0, 1)
            )
        )
    ),
    ""
)</f>
        <v/>
      </c>
      <c r="Q2739" s="385" t="str">
        <f>IF(
    OR(ISBLANK(L2739), ISBLANK(M2739)),
    "",
    MAX(
        1,
        IF(
            NETWORKDAYS(L2739, M2739, Holiday_Dates) &lt;= 0,
            1,
            NETWORKDAYS(L2739, M2739, Holiday_Dates) - IF(L2739 = M2739, 0, 1)
        )
    )
)</f>
        <v/>
      </c>
      <c r="R2739" s="385" t="str">
        <f>IFERROR(
    IF(
        OR(ISBLANK(N2739), AND(ISBLANK(L2739), ISBLANK(M2739))),
        "",
        MAX(
            1,
            IF(
                NETWORKDAYS(IF(NOT(ISBLANK(M2739)), M2739, L2739), N2739, Holiday_Dates) &lt;= 0,
                1,
                NETWORKDAYS(IF(NOT(ISBLANK(M2739)), M2739, L2739), N2739, Holiday_Dates)
                - IF(IF(NOT(ISBLANK(M2739)), M2739, L2739) = N2739, 0, 1)
            )
        )
    ),
    ""
)</f>
        <v/>
      </c>
      <c r="S2739" s="385" t="str">
        <f>IFERROR(
    IF(
        OR(ISBLANK(N2739), ISBLANK(O2739)),
        "",
        MAX(
            1,
            IF(
                NETWORKDAYS(N2739, O2739, Holiday_Dates) &lt;= 0,
                1,
                NETWORKDAYS(N2739, O2739, Holiday_Dates) - IF(N2739 = O2739, 0, 1)
            )
        )
    ),
    ""
)</f>
        <v/>
      </c>
      <c r="T2739" s="385"/>
      <c r="U2739" s="385"/>
      <c r="V2739" s="385"/>
      <c r="W2739" s="385" t="s">
        <v>4710</v>
      </c>
      <c r="X2739" s="1"/>
    </row>
    <row r="2740" spans="1:24">
      <c r="A2740" s="385" t="s">
        <v>52</v>
      </c>
      <c r="B2740" s="385" t="s">
        <v>4207</v>
      </c>
      <c r="C2740" s="385" t="s">
        <v>4214</v>
      </c>
      <c r="D2740" s="385" t="s">
        <v>89</v>
      </c>
      <c r="E2740" s="385"/>
      <c r="F2740" s="385"/>
      <c r="G2740" s="385"/>
      <c r="H2740" s="385">
        <v>2025</v>
      </c>
      <c r="I2740" s="386">
        <v>45812</v>
      </c>
      <c r="J2740" s="30" t="s">
        <v>5728</v>
      </c>
      <c r="K2740" s="385"/>
      <c r="L2740" s="385"/>
      <c r="M2740" s="385"/>
      <c r="N2740" s="385"/>
      <c r="O2740" s="385"/>
      <c r="P2740" s="385" t="str">
        <f>IFERROR(
    IF(
        OR(ISBLANK(I2740), ISBLANK(L2740)),
        "",
        MAX(
            1,
            IF(
                NETWORKDAYS(I2740, L2740, Holiday_Dates) &lt;= 0,
                1,
                NETWORKDAYS(I2740, L2740, Holiday_Dates) - IF(I2740 = L2740, 0, 1)
            )
        )
    ),
    ""
)</f>
        <v/>
      </c>
      <c r="Q2740" s="385" t="str">
        <f>IF(
    OR(ISBLANK(L2740), ISBLANK(M2740)),
    "",
    MAX(
        1,
        IF(
            NETWORKDAYS(L2740, M2740, Holiday_Dates) &lt;= 0,
            1,
            NETWORKDAYS(L2740, M2740, Holiday_Dates) - IF(L2740 = M2740, 0, 1)
        )
    )
)</f>
        <v/>
      </c>
      <c r="R2740" s="385" t="str">
        <f>IFERROR(
    IF(
        OR(ISBLANK(N2740), AND(ISBLANK(L2740), ISBLANK(M2740))),
        "",
        MAX(
            1,
            IF(
                NETWORKDAYS(IF(NOT(ISBLANK(M2740)), M2740, L2740), N2740, Holiday_Dates) &lt;= 0,
                1,
                NETWORKDAYS(IF(NOT(ISBLANK(M2740)), M2740, L2740), N2740, Holiday_Dates)
                - IF(IF(NOT(ISBLANK(M2740)), M2740, L2740) = N2740, 0, 1)
            )
        )
    ),
    ""
)</f>
        <v/>
      </c>
      <c r="S2740" s="385" t="str">
        <f>IFERROR(
    IF(
        OR(ISBLANK(N2740), ISBLANK(O2740)),
        "",
        MAX(
            1,
            IF(
                NETWORKDAYS(N2740, O2740, Holiday_Dates) &lt;= 0,
                1,
                NETWORKDAYS(N2740, O2740, Holiday_Dates) - IF(N2740 = O2740, 0, 1)
            )
        )
    ),
    ""
)</f>
        <v/>
      </c>
      <c r="T2740" s="385"/>
      <c r="U2740" s="385" t="s">
        <v>672</v>
      </c>
      <c r="V2740" s="385" t="s">
        <v>101</v>
      </c>
      <c r="W2740" s="385" t="s">
        <v>1436</v>
      </c>
      <c r="X2740" s="1"/>
    </row>
    <row r="2741" spans="1:24">
      <c r="A2741" s="385" t="s">
        <v>52</v>
      </c>
      <c r="B2741" s="385" t="s">
        <v>4207</v>
      </c>
      <c r="C2741" s="385" t="s">
        <v>4215</v>
      </c>
      <c r="D2741" s="385" t="s">
        <v>89</v>
      </c>
      <c r="E2741" s="385"/>
      <c r="F2741" s="385"/>
      <c r="G2741" s="385"/>
      <c r="H2741" s="385">
        <v>2025</v>
      </c>
      <c r="I2741" s="386">
        <v>45812</v>
      </c>
      <c r="J2741" s="30" t="s">
        <v>5729</v>
      </c>
      <c r="K2741" s="385"/>
      <c r="L2741" s="385"/>
      <c r="M2741" s="385"/>
      <c r="N2741" s="385"/>
      <c r="O2741" s="385"/>
      <c r="P2741" s="385" t="str">
        <f>IFERROR(
    IF(
        OR(ISBLANK(I2741), ISBLANK(L2741)),
        "",
        MAX(
            1,
            IF(
                NETWORKDAYS(I2741, L2741, Holiday_Dates) &lt;= 0,
                1,
                NETWORKDAYS(I2741, L2741, Holiday_Dates) - IF(I2741 = L2741, 0, 1)
            )
        )
    ),
    ""
)</f>
        <v/>
      </c>
      <c r="Q2741" s="385" t="str">
        <f>IF(
    OR(ISBLANK(L2741), ISBLANK(M2741)),
    "",
    MAX(
        1,
        IF(
            NETWORKDAYS(L2741, M2741, Holiday_Dates) &lt;= 0,
            1,
            NETWORKDAYS(L2741, M2741, Holiday_Dates) - IF(L2741 = M2741, 0, 1)
        )
    )
)</f>
        <v/>
      </c>
      <c r="R2741" s="385" t="str">
        <f>IFERROR(
    IF(
        OR(ISBLANK(N2741), AND(ISBLANK(L2741), ISBLANK(M2741))),
        "",
        MAX(
            1,
            IF(
                NETWORKDAYS(IF(NOT(ISBLANK(M2741)), M2741, L2741), N2741, Holiday_Dates) &lt;= 0,
                1,
                NETWORKDAYS(IF(NOT(ISBLANK(M2741)), M2741, L2741), N2741, Holiday_Dates)
                - IF(IF(NOT(ISBLANK(M2741)), M2741, L2741) = N2741, 0, 1)
            )
        )
    ),
    ""
)</f>
        <v/>
      </c>
      <c r="S2741" s="385" t="str">
        <f>IFERROR(
    IF(
        OR(ISBLANK(N2741), ISBLANK(O2741)),
        "",
        MAX(
            1,
            IF(
                NETWORKDAYS(N2741, O2741, Holiday_Dates) &lt;= 0,
                1,
                NETWORKDAYS(N2741, O2741, Holiday_Dates) - IF(N2741 = O2741, 0, 1)
            )
        )
    ),
    ""
)</f>
        <v/>
      </c>
      <c r="T2741" s="385"/>
      <c r="U2741" s="385" t="s">
        <v>672</v>
      </c>
      <c r="V2741" s="385" t="s">
        <v>101</v>
      </c>
      <c r="W2741" s="385" t="s">
        <v>1436</v>
      </c>
      <c r="X2741" s="1"/>
    </row>
    <row r="2742" spans="1:24">
      <c r="A2742" s="385" t="s">
        <v>52</v>
      </c>
      <c r="B2742" s="385" t="s">
        <v>4207</v>
      </c>
      <c r="C2742" s="385" t="s">
        <v>4092</v>
      </c>
      <c r="D2742" s="385" t="s">
        <v>89</v>
      </c>
      <c r="E2742" s="385"/>
      <c r="F2742" s="385"/>
      <c r="G2742" s="385"/>
      <c r="H2742" s="385">
        <v>2025</v>
      </c>
      <c r="I2742" s="386">
        <v>45751</v>
      </c>
      <c r="J2742" s="30" t="s">
        <v>5730</v>
      </c>
      <c r="K2742" s="385"/>
      <c r="L2742" s="385"/>
      <c r="M2742" s="385"/>
      <c r="N2742" s="385"/>
      <c r="O2742" s="385"/>
      <c r="P2742" s="385" t="str">
        <f>IFERROR(
    IF(
        OR(ISBLANK(I2742), ISBLANK(L2742)),
        "",
        MAX(
            1,
            IF(
                NETWORKDAYS(I2742, L2742, Holiday_Dates) &lt;= 0,
                1,
                NETWORKDAYS(I2742, L2742, Holiday_Dates) - IF(I2742 = L2742, 0, 1)
            )
        )
    ),
    ""
)</f>
        <v/>
      </c>
      <c r="Q2742" s="385" t="str">
        <f>IF(
    OR(ISBLANK(L2742), ISBLANK(M2742)),
    "",
    MAX(
        1,
        IF(
            NETWORKDAYS(L2742, M2742, Holiday_Dates) &lt;= 0,
            1,
            NETWORKDAYS(L2742, M2742, Holiday_Dates) - IF(L2742 = M2742, 0, 1)
        )
    )
)</f>
        <v/>
      </c>
      <c r="R2742" s="385" t="str">
        <f>IFERROR(
    IF(
        OR(ISBLANK(N2742), AND(ISBLANK(L2742), ISBLANK(M2742))),
        "",
        MAX(
            1,
            IF(
                NETWORKDAYS(IF(NOT(ISBLANK(M2742)), M2742, L2742), N2742, Holiday_Dates) &lt;= 0,
                1,
                NETWORKDAYS(IF(NOT(ISBLANK(M2742)), M2742, L2742), N2742, Holiday_Dates)
                - IF(IF(NOT(ISBLANK(M2742)), M2742, L2742) = N2742, 0, 1)
            )
        )
    ),
    ""
)</f>
        <v/>
      </c>
      <c r="S2742" s="385" t="str">
        <f>IFERROR(
    IF(
        OR(ISBLANK(N2742), ISBLANK(O2742)),
        "",
        MAX(
            1,
            IF(
                NETWORKDAYS(N2742, O2742, Holiday_Dates) &lt;= 0,
                1,
                NETWORKDAYS(N2742, O2742, Holiday_Dates) - IF(N2742 = O2742, 0, 1)
            )
        )
    ),
    ""
)</f>
        <v/>
      </c>
      <c r="T2742" s="385"/>
      <c r="U2742" s="385" t="s">
        <v>4</v>
      </c>
      <c r="V2742" s="385" t="s">
        <v>101</v>
      </c>
      <c r="W2742" s="385" t="s">
        <v>1436</v>
      </c>
      <c r="X2742" s="1"/>
    </row>
    <row r="2743" spans="1:24">
      <c r="A2743" s="385" t="s">
        <v>52</v>
      </c>
      <c r="B2743" s="385" t="s">
        <v>4207</v>
      </c>
      <c r="C2743" s="385" t="s">
        <v>4037</v>
      </c>
      <c r="D2743" s="385" t="s">
        <v>89</v>
      </c>
      <c r="E2743" s="385"/>
      <c r="F2743" s="385"/>
      <c r="G2743" s="385"/>
      <c r="H2743" s="385">
        <v>2025</v>
      </c>
      <c r="I2743" s="386">
        <v>45751</v>
      </c>
      <c r="J2743" s="30" t="s">
        <v>5731</v>
      </c>
      <c r="K2743" s="385"/>
      <c r="L2743" s="385"/>
      <c r="M2743" s="385"/>
      <c r="N2743" s="385"/>
      <c r="O2743" s="385"/>
      <c r="P2743" s="385" t="str">
        <f>IFERROR(
    IF(
        OR(ISBLANK(I2743), ISBLANK(L2743)),
        "",
        MAX(
            1,
            IF(
                NETWORKDAYS(I2743, L2743, Holiday_Dates) &lt;= 0,
                1,
                NETWORKDAYS(I2743, L2743, Holiday_Dates) - IF(I2743 = L2743, 0, 1)
            )
        )
    ),
    ""
)</f>
        <v/>
      </c>
      <c r="Q2743" s="385" t="str">
        <f>IF(
    OR(ISBLANK(L2743), ISBLANK(M2743)),
    "",
    MAX(
        1,
        IF(
            NETWORKDAYS(L2743, M2743, Holiday_Dates) &lt;= 0,
            1,
            NETWORKDAYS(L2743, M2743, Holiday_Dates) - IF(L2743 = M2743, 0, 1)
        )
    )
)</f>
        <v/>
      </c>
      <c r="R2743" s="385" t="str">
        <f>IFERROR(
    IF(
        OR(ISBLANK(N2743), AND(ISBLANK(L2743), ISBLANK(M2743))),
        "",
        MAX(
            1,
            IF(
                NETWORKDAYS(IF(NOT(ISBLANK(M2743)), M2743, L2743), N2743, Holiday_Dates) &lt;= 0,
                1,
                NETWORKDAYS(IF(NOT(ISBLANK(M2743)), M2743, L2743), N2743, Holiday_Dates)
                - IF(IF(NOT(ISBLANK(M2743)), M2743, L2743) = N2743, 0, 1)
            )
        )
    ),
    ""
)</f>
        <v/>
      </c>
      <c r="S2743" s="385" t="str">
        <f>IFERROR(
    IF(
        OR(ISBLANK(N2743), ISBLANK(O2743)),
        "",
        MAX(
            1,
            IF(
                NETWORKDAYS(N2743, O2743, Holiday_Dates) &lt;= 0,
                1,
                NETWORKDAYS(N2743, O2743, Holiday_Dates) - IF(N2743 = O2743, 0, 1)
            )
        )
    ),
    ""
)</f>
        <v/>
      </c>
      <c r="T2743" s="385"/>
      <c r="U2743" s="385" t="s">
        <v>672</v>
      </c>
      <c r="V2743" s="385" t="s">
        <v>101</v>
      </c>
      <c r="W2743" s="385" t="s">
        <v>1436</v>
      </c>
      <c r="X2743" s="1"/>
    </row>
    <row r="2744" spans="1:24">
      <c r="A2744" s="385" t="s">
        <v>52</v>
      </c>
      <c r="B2744" s="385" t="s">
        <v>250</v>
      </c>
      <c r="C2744" s="385" t="s">
        <v>2583</v>
      </c>
      <c r="D2744" s="385" t="s">
        <v>88</v>
      </c>
      <c r="E2744" s="385" t="s">
        <v>39</v>
      </c>
      <c r="F2744" s="385"/>
      <c r="G2744" s="385" t="s">
        <v>28</v>
      </c>
      <c r="H2744" s="385"/>
      <c r="I2744" s="385"/>
      <c r="J2744" s="30"/>
      <c r="K2744" s="385"/>
      <c r="L2744" s="385"/>
      <c r="M2744" s="385"/>
      <c r="N2744" s="385"/>
      <c r="O2744" s="385"/>
      <c r="P2744" s="385" t="str">
        <f>IFERROR(
    IF(
        OR(ISBLANK(I2744), ISBLANK(L2744)),
        "",
        MAX(
            1,
            IF(
                NETWORKDAYS(I2744, L2744, Holiday_Dates) &lt;= 0,
                1,
                NETWORKDAYS(I2744, L2744, Holiday_Dates) - IF(I2744 = L2744, 0, 1)
            )
        )
    ),
    ""
)</f>
        <v/>
      </c>
      <c r="Q2744" s="385" t="str">
        <f>IF(
    OR(ISBLANK(L2744), ISBLANK(M2744)),
    "",
    MAX(
        1,
        IF(
            NETWORKDAYS(L2744, M2744, Holiday_Dates) &lt;= 0,
            1,
            NETWORKDAYS(L2744, M2744, Holiday_Dates) - IF(L2744 = M2744, 0, 1)
        )
    )
)</f>
        <v/>
      </c>
      <c r="R2744" s="385" t="str">
        <f>IFERROR(
    IF(
        OR(ISBLANK(N2744), AND(ISBLANK(L2744), ISBLANK(M2744))),
        "",
        MAX(
            1,
            IF(
                NETWORKDAYS(IF(NOT(ISBLANK(M2744)), M2744, L2744), N2744, Holiday_Dates) &lt;= 0,
                1,
                NETWORKDAYS(IF(NOT(ISBLANK(M2744)), M2744, L2744), N2744, Holiday_Dates)
                - IF(IF(NOT(ISBLANK(M2744)), M2744, L2744) = N2744, 0, 1)
            )
        )
    ),
    ""
)</f>
        <v/>
      </c>
      <c r="S2744" s="385" t="str">
        <f>IFERROR(
    IF(
        OR(ISBLANK(N2744), ISBLANK(O2744)),
        "",
        MAX(
            1,
            IF(
                NETWORKDAYS(N2744, O2744, Holiday_Dates) &lt;= 0,
                1,
                NETWORKDAYS(N2744, O2744, Holiday_Dates) - IF(N2744 = O2744, 0, 1)
            )
        )
    ),
    ""
)</f>
        <v/>
      </c>
      <c r="T2744" s="385"/>
      <c r="U2744" s="385"/>
      <c r="V2744" s="385"/>
      <c r="W2744" s="385" t="s">
        <v>4710</v>
      </c>
      <c r="X2744" s="1"/>
    </row>
    <row r="2745" spans="1:24">
      <c r="A2745" s="385" t="s">
        <v>52</v>
      </c>
      <c r="B2745" s="385" t="s">
        <v>250</v>
      </c>
      <c r="C2745" s="385" t="s">
        <v>3749</v>
      </c>
      <c r="D2745" s="385" t="s">
        <v>88</v>
      </c>
      <c r="E2745" s="385" t="s">
        <v>39</v>
      </c>
      <c r="F2745" s="385"/>
      <c r="G2745" s="385" t="s">
        <v>28</v>
      </c>
      <c r="H2745" s="385"/>
      <c r="I2745" s="385"/>
      <c r="J2745" s="30"/>
      <c r="K2745" s="385"/>
      <c r="L2745" s="385"/>
      <c r="M2745" s="385"/>
      <c r="N2745" s="385"/>
      <c r="O2745" s="385"/>
      <c r="P2745" s="385" t="str">
        <f>IFERROR(
    IF(
        OR(ISBLANK(I2745), ISBLANK(L2745)),
        "",
        MAX(
            1,
            IF(
                NETWORKDAYS(I2745, L2745, Holiday_Dates) &lt;= 0,
                1,
                NETWORKDAYS(I2745, L2745, Holiday_Dates) - IF(I2745 = L2745, 0, 1)
            )
        )
    ),
    ""
)</f>
        <v/>
      </c>
      <c r="Q2745" s="385" t="str">
        <f>IF(
    OR(ISBLANK(L2745), ISBLANK(M2745)),
    "",
    MAX(
        1,
        IF(
            NETWORKDAYS(L2745, M2745, Holiday_Dates) &lt;= 0,
            1,
            NETWORKDAYS(L2745, M2745, Holiday_Dates) - IF(L2745 = M2745, 0, 1)
        )
    )
)</f>
        <v/>
      </c>
      <c r="R2745" s="385" t="str">
        <f>IFERROR(
    IF(
        OR(ISBLANK(N2745), AND(ISBLANK(L2745), ISBLANK(M2745))),
        "",
        MAX(
            1,
            IF(
                NETWORKDAYS(IF(NOT(ISBLANK(M2745)), M2745, L2745), N2745, Holiday_Dates) &lt;= 0,
                1,
                NETWORKDAYS(IF(NOT(ISBLANK(M2745)), M2745, L2745), N2745, Holiday_Dates)
                - IF(IF(NOT(ISBLANK(M2745)), M2745, L2745) = N2745, 0, 1)
            )
        )
    ),
    ""
)</f>
        <v/>
      </c>
      <c r="S2745" s="385" t="str">
        <f>IFERROR(
    IF(
        OR(ISBLANK(N2745), ISBLANK(O2745)),
        "",
        MAX(
            1,
            IF(
                NETWORKDAYS(N2745, O2745, Holiday_Dates) &lt;= 0,
                1,
                NETWORKDAYS(N2745, O2745, Holiday_Dates) - IF(N2745 = O2745, 0, 1)
            )
        )
    ),
    ""
)</f>
        <v/>
      </c>
      <c r="T2745" s="385"/>
      <c r="U2745" s="385"/>
      <c r="V2745" s="385"/>
      <c r="W2745" s="385" t="s">
        <v>4710</v>
      </c>
      <c r="X2745" s="1"/>
    </row>
    <row r="2746" spans="1:24">
      <c r="A2746" s="385" t="s">
        <v>52</v>
      </c>
      <c r="B2746" s="385" t="s">
        <v>4207</v>
      </c>
      <c r="C2746" s="385" t="s">
        <v>728</v>
      </c>
      <c r="D2746" s="385" t="s">
        <v>89</v>
      </c>
      <c r="E2746" s="385"/>
      <c r="F2746" s="385"/>
      <c r="G2746" s="385"/>
      <c r="H2746" s="385">
        <v>2024</v>
      </c>
      <c r="I2746" s="386">
        <v>45414</v>
      </c>
      <c r="J2746" s="30"/>
      <c r="K2746" s="385"/>
      <c r="L2746" s="385"/>
      <c r="M2746" s="385"/>
      <c r="N2746" s="385"/>
      <c r="O2746" s="385"/>
      <c r="P2746" s="385" t="str">
        <f>IFERROR(
    IF(
        OR(ISBLANK(I2746), ISBLANK(L2746)),
        "",
        MAX(
            1,
            IF(
                NETWORKDAYS(I2746, L2746, Holiday_Dates) &lt;= 0,
                1,
                NETWORKDAYS(I2746, L2746, Holiday_Dates) - IF(I2746 = L2746, 0, 1)
            )
        )
    ),
    ""
)</f>
        <v/>
      </c>
      <c r="Q2746" s="385" t="str">
        <f>IF(
    OR(ISBLANK(L2746), ISBLANK(M2746)),
    "",
    MAX(
        1,
        IF(
            NETWORKDAYS(L2746, M2746, Holiday_Dates) &lt;= 0,
            1,
            NETWORKDAYS(L2746, M2746, Holiday_Dates) - IF(L2746 = M2746, 0, 1)
        )
    )
)</f>
        <v/>
      </c>
      <c r="R2746" s="385" t="str">
        <f>IFERROR(
    IF(
        OR(ISBLANK(N2746), AND(ISBLANK(L2746), ISBLANK(M2746))),
        "",
        MAX(
            1,
            IF(
                NETWORKDAYS(IF(NOT(ISBLANK(M2746)), M2746, L2746), N2746, Holiday_Dates) &lt;= 0,
                1,
                NETWORKDAYS(IF(NOT(ISBLANK(M2746)), M2746, L2746), N2746, Holiday_Dates)
                - IF(IF(NOT(ISBLANK(M2746)), M2746, L2746) = N2746, 0, 1)
            )
        )
    ),
    ""
)</f>
        <v/>
      </c>
      <c r="S2746" s="385" t="str">
        <f>IFERROR(
    IF(
        OR(ISBLANK(N2746), ISBLANK(O2746)),
        "",
        MAX(
            1,
            IF(
                NETWORKDAYS(N2746, O2746, Holiday_Dates) &lt;= 0,
                1,
                NETWORKDAYS(N2746, O2746, Holiday_Dates) - IF(N2746 = O2746, 0, 1)
            )
        )
    ),
    ""
)</f>
        <v/>
      </c>
      <c r="T2746" s="385"/>
      <c r="U2746" s="385" t="s">
        <v>672</v>
      </c>
      <c r="V2746" s="385"/>
      <c r="W2746" s="385" t="s">
        <v>1436</v>
      </c>
      <c r="X2746" s="1"/>
    </row>
    <row r="2747" spans="1:24">
      <c r="A2747" s="385" t="s">
        <v>52</v>
      </c>
      <c r="B2747" s="385" t="s">
        <v>4207</v>
      </c>
      <c r="C2747" s="385" t="s">
        <v>3013</v>
      </c>
      <c r="D2747" s="385" t="s">
        <v>89</v>
      </c>
      <c r="E2747" s="385"/>
      <c r="F2747" s="385"/>
      <c r="G2747" s="385"/>
      <c r="H2747" s="385">
        <v>2024</v>
      </c>
      <c r="I2747" s="386">
        <v>45506</v>
      </c>
      <c r="J2747" s="30"/>
      <c r="K2747" s="385"/>
      <c r="L2747" s="385"/>
      <c r="M2747" s="385"/>
      <c r="N2747" s="385"/>
      <c r="O2747" s="385"/>
      <c r="P2747" s="385" t="str">
        <f>IFERROR(
    IF(
        OR(ISBLANK(I2747), ISBLANK(L2747)),
        "",
        MAX(
            1,
            IF(
                NETWORKDAYS(I2747, L2747, Holiday_Dates) &lt;= 0,
                1,
                NETWORKDAYS(I2747, L2747, Holiday_Dates) - IF(I2747 = L2747, 0, 1)
            )
        )
    ),
    ""
)</f>
        <v/>
      </c>
      <c r="Q2747" s="385" t="str">
        <f>IF(
    OR(ISBLANK(L2747), ISBLANK(M2747)),
    "",
    MAX(
        1,
        IF(
            NETWORKDAYS(L2747, M2747, Holiday_Dates) &lt;= 0,
            1,
            NETWORKDAYS(L2747, M2747, Holiday_Dates) - IF(L2747 = M2747, 0, 1)
        )
    )
)</f>
        <v/>
      </c>
      <c r="R2747" s="385" t="str">
        <f>IFERROR(
    IF(
        OR(ISBLANK(N2747), AND(ISBLANK(L2747), ISBLANK(M2747))),
        "",
        MAX(
            1,
            IF(
                NETWORKDAYS(IF(NOT(ISBLANK(M2747)), M2747, L2747), N2747, Holiday_Dates) &lt;= 0,
                1,
                NETWORKDAYS(IF(NOT(ISBLANK(M2747)), M2747, L2747), N2747, Holiday_Dates)
                - IF(IF(NOT(ISBLANK(M2747)), M2747, L2747) = N2747, 0, 1)
            )
        )
    ),
    ""
)</f>
        <v/>
      </c>
      <c r="S2747" s="385" t="str">
        <f>IFERROR(
    IF(
        OR(ISBLANK(N2747), ISBLANK(O2747)),
        "",
        MAX(
            1,
            IF(
                NETWORKDAYS(N2747, O2747, Holiday_Dates) &lt;= 0,
                1,
                NETWORKDAYS(N2747, O2747, Holiday_Dates) - IF(N2747 = O2747, 0, 1)
            )
        )
    ),
    ""
)</f>
        <v/>
      </c>
      <c r="T2747" s="385"/>
      <c r="U2747" s="385" t="s">
        <v>672</v>
      </c>
      <c r="V2747" s="385" t="s">
        <v>101</v>
      </c>
      <c r="W2747" s="385" t="s">
        <v>1436</v>
      </c>
      <c r="X2747" s="1"/>
    </row>
    <row r="2748" spans="1:24">
      <c r="A2748" s="385" t="s">
        <v>52</v>
      </c>
      <c r="B2748" s="385" t="s">
        <v>250</v>
      </c>
      <c r="C2748" s="385" t="s">
        <v>3997</v>
      </c>
      <c r="D2748" s="385" t="s">
        <v>88</v>
      </c>
      <c r="E2748" s="385" t="s">
        <v>39</v>
      </c>
      <c r="F2748" s="385"/>
      <c r="G2748" s="385" t="s">
        <v>28</v>
      </c>
      <c r="H2748" s="385"/>
      <c r="I2748" s="385"/>
      <c r="J2748" s="30"/>
      <c r="K2748" s="385"/>
      <c r="L2748" s="385"/>
      <c r="M2748" s="385"/>
      <c r="N2748" s="385"/>
      <c r="O2748" s="385"/>
      <c r="P2748" s="385" t="str">
        <f>IFERROR(
    IF(
        OR(ISBLANK(I2748), ISBLANK(L2748)),
        "",
        MAX(
            1,
            IF(
                NETWORKDAYS(I2748, L2748, Holiday_Dates) &lt;= 0,
                1,
                NETWORKDAYS(I2748, L2748, Holiday_Dates) - IF(I2748 = L2748, 0, 1)
            )
        )
    ),
    ""
)</f>
        <v/>
      </c>
      <c r="Q2748" s="385" t="str">
        <f>IF(
    OR(ISBLANK(L2748), ISBLANK(M2748)),
    "",
    MAX(
        1,
        IF(
            NETWORKDAYS(L2748, M2748, Holiday_Dates) &lt;= 0,
            1,
            NETWORKDAYS(L2748, M2748, Holiday_Dates) - IF(L2748 = M2748, 0, 1)
        )
    )
)</f>
        <v/>
      </c>
      <c r="R2748" s="385" t="str">
        <f>IFERROR(
    IF(
        OR(ISBLANK(N2748), AND(ISBLANK(L2748), ISBLANK(M2748))),
        "",
        MAX(
            1,
            IF(
                NETWORKDAYS(IF(NOT(ISBLANK(M2748)), M2748, L2748), N2748, Holiday_Dates) &lt;= 0,
                1,
                NETWORKDAYS(IF(NOT(ISBLANK(M2748)), M2748, L2748), N2748, Holiday_Dates)
                - IF(IF(NOT(ISBLANK(M2748)), M2748, L2748) = N2748, 0, 1)
            )
        )
    ),
    ""
)</f>
        <v/>
      </c>
      <c r="S2748" s="385" t="str">
        <f>IFERROR(
    IF(
        OR(ISBLANK(N2748), ISBLANK(O2748)),
        "",
        MAX(
            1,
            IF(
                NETWORKDAYS(N2748, O2748, Holiday_Dates) &lt;= 0,
                1,
                NETWORKDAYS(N2748, O2748, Holiday_Dates) - IF(N2748 = O2748, 0, 1)
            )
        )
    ),
    ""
)</f>
        <v/>
      </c>
      <c r="T2748" s="385"/>
      <c r="U2748" s="385"/>
      <c r="V2748" s="385"/>
      <c r="W2748" s="385" t="s">
        <v>4710</v>
      </c>
      <c r="X2748" s="1"/>
    </row>
    <row r="2749" spans="1:24">
      <c r="A2749" s="385" t="s">
        <v>52</v>
      </c>
      <c r="B2749" s="385" t="s">
        <v>463</v>
      </c>
      <c r="C2749" s="385" t="s">
        <v>4011</v>
      </c>
      <c r="D2749" s="385" t="s">
        <v>89</v>
      </c>
      <c r="E2749" s="385" t="s">
        <v>37</v>
      </c>
      <c r="F2749" s="385"/>
      <c r="G2749" s="385" t="s">
        <v>28</v>
      </c>
      <c r="H2749" s="385"/>
      <c r="I2749" s="385"/>
      <c r="J2749" s="30"/>
      <c r="K2749" s="385"/>
      <c r="L2749" s="385"/>
      <c r="M2749" s="385"/>
      <c r="N2749" s="385"/>
      <c r="O2749" s="385"/>
      <c r="P2749" s="385" t="str">
        <f>IFERROR(
    IF(
        OR(ISBLANK(I2749), ISBLANK(L2749)),
        "",
        MAX(
            1,
            IF(
                NETWORKDAYS(I2749, L2749, Holiday_Dates) &lt;= 0,
                1,
                NETWORKDAYS(I2749, L2749, Holiday_Dates) - IF(I2749 = L2749, 0, 1)
            )
        )
    ),
    ""
)</f>
        <v/>
      </c>
      <c r="Q2749" s="385" t="str">
        <f>IF(
    OR(ISBLANK(L2749), ISBLANK(M2749)),
    "",
    MAX(
        1,
        IF(
            NETWORKDAYS(L2749, M2749, Holiday_Dates) &lt;= 0,
            1,
            NETWORKDAYS(L2749, M2749, Holiday_Dates) - IF(L2749 = M2749, 0, 1)
        )
    )
)</f>
        <v/>
      </c>
      <c r="R2749" s="385" t="str">
        <f>IFERROR(
    IF(
        OR(ISBLANK(N2749), AND(ISBLANK(L2749), ISBLANK(M2749))),
        "",
        MAX(
            1,
            IF(
                NETWORKDAYS(IF(NOT(ISBLANK(M2749)), M2749, L2749), N2749, Holiday_Dates) &lt;= 0,
                1,
                NETWORKDAYS(IF(NOT(ISBLANK(M2749)), M2749, L2749), N2749, Holiday_Dates)
                - IF(IF(NOT(ISBLANK(M2749)), M2749, L2749) = N2749, 0, 1)
            )
        )
    ),
    ""
)</f>
        <v/>
      </c>
      <c r="S2749" s="385" t="str">
        <f>IFERROR(
    IF(
        OR(ISBLANK(N2749), ISBLANK(O2749)),
        "",
        MAX(
            1,
            IF(
                NETWORKDAYS(N2749, O2749, Holiday_Dates) &lt;= 0,
                1,
                NETWORKDAYS(N2749, O2749, Holiday_Dates) - IF(N2749 = O2749, 0, 1)
            )
        )
    ),
    ""
)</f>
        <v/>
      </c>
      <c r="T2749" s="385"/>
      <c r="U2749" s="385"/>
      <c r="V2749" s="385"/>
      <c r="W2749" s="385" t="s">
        <v>4710</v>
      </c>
      <c r="X2749" s="1"/>
    </row>
    <row r="2750" spans="1:24">
      <c r="A2750" s="385" t="s">
        <v>52</v>
      </c>
      <c r="B2750" s="385" t="s">
        <v>463</v>
      </c>
      <c r="C2750" s="385" t="s">
        <v>4016</v>
      </c>
      <c r="D2750" s="385" t="s">
        <v>89</v>
      </c>
      <c r="E2750" s="385" t="s">
        <v>37</v>
      </c>
      <c r="F2750" s="385"/>
      <c r="G2750" s="385" t="s">
        <v>28</v>
      </c>
      <c r="H2750" s="385"/>
      <c r="I2750" s="385"/>
      <c r="J2750" s="30"/>
      <c r="K2750" s="385"/>
      <c r="L2750" s="385"/>
      <c r="M2750" s="385"/>
      <c r="N2750" s="385"/>
      <c r="O2750" s="385"/>
      <c r="P2750" s="385" t="str">
        <f>IFERROR(
    IF(
        OR(ISBLANK(I2750), ISBLANK(L2750)),
        "",
        MAX(
            1,
            IF(
                NETWORKDAYS(I2750, L2750, Holiday_Dates) &lt;= 0,
                1,
                NETWORKDAYS(I2750, L2750, Holiday_Dates) - IF(I2750 = L2750, 0, 1)
            )
        )
    ),
    ""
)</f>
        <v/>
      </c>
      <c r="Q2750" s="385" t="str">
        <f>IF(
    OR(ISBLANK(L2750), ISBLANK(M2750)),
    "",
    MAX(
        1,
        IF(
            NETWORKDAYS(L2750, M2750, Holiday_Dates) &lt;= 0,
            1,
            NETWORKDAYS(L2750, M2750, Holiday_Dates) - IF(L2750 = M2750, 0, 1)
        )
    )
)</f>
        <v/>
      </c>
      <c r="R2750" s="385" t="str">
        <f>IFERROR(
    IF(
        OR(ISBLANK(N2750), AND(ISBLANK(L2750), ISBLANK(M2750))),
        "",
        MAX(
            1,
            IF(
                NETWORKDAYS(IF(NOT(ISBLANK(M2750)), M2750, L2750), N2750, Holiday_Dates) &lt;= 0,
                1,
                NETWORKDAYS(IF(NOT(ISBLANK(M2750)), M2750, L2750), N2750, Holiday_Dates)
                - IF(IF(NOT(ISBLANK(M2750)), M2750, L2750) = N2750, 0, 1)
            )
        )
    ),
    ""
)</f>
        <v/>
      </c>
      <c r="S2750" s="385" t="str">
        <f>IFERROR(
    IF(
        OR(ISBLANK(N2750), ISBLANK(O2750)),
        "",
        MAX(
            1,
            IF(
                NETWORKDAYS(N2750, O2750, Holiday_Dates) &lt;= 0,
                1,
                NETWORKDAYS(N2750, O2750, Holiday_Dates) - IF(N2750 = O2750, 0, 1)
            )
        )
    ),
    ""
)</f>
        <v/>
      </c>
      <c r="T2750" s="385"/>
      <c r="U2750" s="385"/>
      <c r="V2750" s="385"/>
      <c r="W2750" s="385" t="s">
        <v>4710</v>
      </c>
      <c r="X2750" s="1"/>
    </row>
    <row r="2751" spans="1:24">
      <c r="A2751" s="385" t="s">
        <v>52</v>
      </c>
      <c r="B2751" s="385" t="s">
        <v>4207</v>
      </c>
      <c r="C2751" s="385" t="s">
        <v>653</v>
      </c>
      <c r="D2751" s="385" t="s">
        <v>89</v>
      </c>
      <c r="E2751" s="385"/>
      <c r="F2751" s="385"/>
      <c r="G2751" s="385"/>
      <c r="H2751" s="385">
        <v>2024</v>
      </c>
      <c r="I2751" s="386">
        <v>45506</v>
      </c>
      <c r="J2751" s="30"/>
      <c r="K2751" s="385"/>
      <c r="L2751" s="385"/>
      <c r="M2751" s="385"/>
      <c r="N2751" s="385"/>
      <c r="O2751" s="385"/>
      <c r="P2751" s="385" t="str">
        <f>IFERROR(
    IF(
        OR(ISBLANK(I2751), ISBLANK(L2751)),
        "",
        MAX(
            1,
            IF(
                NETWORKDAYS(I2751, L2751, Holiday_Dates) &lt;= 0,
                1,
                NETWORKDAYS(I2751, L2751, Holiday_Dates) - IF(I2751 = L2751, 0, 1)
            )
        )
    ),
    ""
)</f>
        <v/>
      </c>
      <c r="Q2751" s="385" t="str">
        <f>IF(
    OR(ISBLANK(L2751), ISBLANK(M2751)),
    "",
    MAX(
        1,
        IF(
            NETWORKDAYS(L2751, M2751, Holiday_Dates) &lt;= 0,
            1,
            NETWORKDAYS(L2751, M2751, Holiday_Dates) - IF(L2751 = M2751, 0, 1)
        )
    )
)</f>
        <v/>
      </c>
      <c r="R2751" s="385" t="str">
        <f>IFERROR(
    IF(
        OR(ISBLANK(N2751), AND(ISBLANK(L2751), ISBLANK(M2751))),
        "",
        MAX(
            1,
            IF(
                NETWORKDAYS(IF(NOT(ISBLANK(M2751)), M2751, L2751), N2751, Holiday_Dates) &lt;= 0,
                1,
                NETWORKDAYS(IF(NOT(ISBLANK(M2751)), M2751, L2751), N2751, Holiday_Dates)
                - IF(IF(NOT(ISBLANK(M2751)), M2751, L2751) = N2751, 0, 1)
            )
        )
    ),
    ""
)</f>
        <v/>
      </c>
      <c r="S2751" s="385" t="str">
        <f>IFERROR(
    IF(
        OR(ISBLANK(N2751), ISBLANK(O2751)),
        "",
        MAX(
            1,
            IF(
                NETWORKDAYS(N2751, O2751, Holiday_Dates) &lt;= 0,
                1,
                NETWORKDAYS(N2751, O2751, Holiday_Dates) - IF(N2751 = O2751, 0, 1)
            )
        )
    ),
    ""
)</f>
        <v/>
      </c>
      <c r="T2751" s="385"/>
      <c r="U2751" s="385" t="s">
        <v>672</v>
      </c>
      <c r="V2751" s="385" t="s">
        <v>101</v>
      </c>
      <c r="W2751" s="385" t="s">
        <v>1436</v>
      </c>
      <c r="X2751" s="1"/>
    </row>
    <row r="2752" spans="1:24">
      <c r="A2752" s="385" t="s">
        <v>52</v>
      </c>
      <c r="B2752" s="385" t="s">
        <v>463</v>
      </c>
      <c r="C2752" s="385" t="s">
        <v>4017</v>
      </c>
      <c r="D2752" s="385" t="s">
        <v>89</v>
      </c>
      <c r="E2752" s="385" t="s">
        <v>37</v>
      </c>
      <c r="F2752" s="385"/>
      <c r="G2752" s="385" t="s">
        <v>28</v>
      </c>
      <c r="H2752" s="385"/>
      <c r="I2752" s="385"/>
      <c r="J2752" s="30"/>
      <c r="K2752" s="385"/>
      <c r="L2752" s="385"/>
      <c r="M2752" s="385"/>
      <c r="N2752" s="385"/>
      <c r="O2752" s="385"/>
      <c r="P2752" s="385" t="str">
        <f>IFERROR(
    IF(
        OR(ISBLANK(I2752), ISBLANK(L2752)),
        "",
        MAX(
            1,
            IF(
                NETWORKDAYS(I2752, L2752, Holiday_Dates) &lt;= 0,
                1,
                NETWORKDAYS(I2752, L2752, Holiday_Dates) - IF(I2752 = L2752, 0, 1)
            )
        )
    ),
    ""
)</f>
        <v/>
      </c>
      <c r="Q2752" s="385" t="str">
        <f>IF(
    OR(ISBLANK(L2752), ISBLANK(M2752)),
    "",
    MAX(
        1,
        IF(
            NETWORKDAYS(L2752, M2752, Holiday_Dates) &lt;= 0,
            1,
            NETWORKDAYS(L2752, M2752, Holiday_Dates) - IF(L2752 = M2752, 0, 1)
        )
    )
)</f>
        <v/>
      </c>
      <c r="R2752" s="385" t="str">
        <f>IFERROR(
    IF(
        OR(ISBLANK(N2752), AND(ISBLANK(L2752), ISBLANK(M2752))),
        "",
        MAX(
            1,
            IF(
                NETWORKDAYS(IF(NOT(ISBLANK(M2752)), M2752, L2752), N2752, Holiday_Dates) &lt;= 0,
                1,
                NETWORKDAYS(IF(NOT(ISBLANK(M2752)), M2752, L2752), N2752, Holiday_Dates)
                - IF(IF(NOT(ISBLANK(M2752)), M2752, L2752) = N2752, 0, 1)
            )
        )
    ),
    ""
)</f>
        <v/>
      </c>
      <c r="S2752" s="385" t="str">
        <f>IFERROR(
    IF(
        OR(ISBLANK(N2752), ISBLANK(O2752)),
        "",
        MAX(
            1,
            IF(
                NETWORKDAYS(N2752, O2752, Holiday_Dates) &lt;= 0,
                1,
                NETWORKDAYS(N2752, O2752, Holiday_Dates) - IF(N2752 = O2752, 0, 1)
            )
        )
    ),
    ""
)</f>
        <v/>
      </c>
      <c r="T2752" s="385"/>
      <c r="U2752" s="385"/>
      <c r="V2752" s="385"/>
      <c r="W2752" s="385" t="s">
        <v>4710</v>
      </c>
      <c r="X2752" s="1"/>
    </row>
    <row r="2753" spans="1:24">
      <c r="A2753" s="385" t="s">
        <v>52</v>
      </c>
      <c r="B2753" s="385" t="s">
        <v>4207</v>
      </c>
      <c r="C2753" s="385" t="s">
        <v>4224</v>
      </c>
      <c r="D2753" s="385" t="s">
        <v>89</v>
      </c>
      <c r="E2753" s="385"/>
      <c r="F2753" s="385"/>
      <c r="G2753" s="385"/>
      <c r="H2753" s="385">
        <v>2024</v>
      </c>
      <c r="I2753" s="386">
        <v>45454</v>
      </c>
      <c r="J2753" s="30"/>
      <c r="K2753" s="385"/>
      <c r="L2753" s="385"/>
      <c r="M2753" s="385"/>
      <c r="N2753" s="385"/>
      <c r="O2753" s="385"/>
      <c r="P2753" s="385" t="str">
        <f>IFERROR(
    IF(
        OR(ISBLANK(I2753), ISBLANK(L2753)),
        "",
        MAX(
            1,
            IF(
                NETWORKDAYS(I2753, L2753, Holiday_Dates) &lt;= 0,
                1,
                NETWORKDAYS(I2753, L2753, Holiday_Dates) - IF(I2753 = L2753, 0, 1)
            )
        )
    ),
    ""
)</f>
        <v/>
      </c>
      <c r="Q2753" s="385" t="str">
        <f>IF(
    OR(ISBLANK(L2753), ISBLANK(M2753)),
    "",
    MAX(
        1,
        IF(
            NETWORKDAYS(L2753, M2753, Holiday_Dates) &lt;= 0,
            1,
            NETWORKDAYS(L2753, M2753, Holiday_Dates) - IF(L2753 = M2753, 0, 1)
        )
    )
)</f>
        <v/>
      </c>
      <c r="R2753" s="385" t="str">
        <f>IFERROR(
    IF(
        OR(ISBLANK(N2753), AND(ISBLANK(L2753), ISBLANK(M2753))),
        "",
        MAX(
            1,
            IF(
                NETWORKDAYS(IF(NOT(ISBLANK(M2753)), M2753, L2753), N2753, Holiday_Dates) &lt;= 0,
                1,
                NETWORKDAYS(IF(NOT(ISBLANK(M2753)), M2753, L2753), N2753, Holiday_Dates)
                - IF(IF(NOT(ISBLANK(M2753)), M2753, L2753) = N2753, 0, 1)
            )
        )
    ),
    ""
)</f>
        <v/>
      </c>
      <c r="S2753" s="385" t="str">
        <f>IFERROR(
    IF(
        OR(ISBLANK(N2753), ISBLANK(O2753)),
        "",
        MAX(
            1,
            IF(
                NETWORKDAYS(N2753, O2753, Holiday_Dates) &lt;= 0,
                1,
                NETWORKDAYS(N2753, O2753, Holiday_Dates) - IF(N2753 = O2753, 0, 1)
            )
        )
    ),
    ""
)</f>
        <v/>
      </c>
      <c r="T2753" s="385"/>
      <c r="U2753" s="385" t="s">
        <v>4</v>
      </c>
      <c r="V2753" s="385" t="s">
        <v>101</v>
      </c>
      <c r="W2753" s="385" t="s">
        <v>1436</v>
      </c>
      <c r="X2753" s="1"/>
    </row>
    <row r="2754" spans="1:24">
      <c r="A2754" s="385" t="s">
        <v>52</v>
      </c>
      <c r="B2754" s="385" t="s">
        <v>463</v>
      </c>
      <c r="C2754" s="385" t="s">
        <v>4022</v>
      </c>
      <c r="D2754" s="385" t="s">
        <v>89</v>
      </c>
      <c r="E2754" s="385" t="s">
        <v>37</v>
      </c>
      <c r="F2754" s="385"/>
      <c r="G2754" s="385" t="s">
        <v>28</v>
      </c>
      <c r="H2754" s="385"/>
      <c r="I2754" s="385"/>
      <c r="J2754" s="30"/>
      <c r="K2754" s="385"/>
      <c r="L2754" s="385"/>
      <c r="M2754" s="385"/>
      <c r="N2754" s="385"/>
      <c r="O2754" s="385"/>
      <c r="P2754" s="385" t="str">
        <f>IFERROR(
    IF(
        OR(ISBLANK(I2754), ISBLANK(L2754)),
        "",
        MAX(
            1,
            IF(
                NETWORKDAYS(I2754, L2754, Holiday_Dates) &lt;= 0,
                1,
                NETWORKDAYS(I2754, L2754, Holiday_Dates) - IF(I2754 = L2754, 0, 1)
            )
        )
    ),
    ""
)</f>
        <v/>
      </c>
      <c r="Q2754" s="385" t="str">
        <f>IF(
    OR(ISBLANK(L2754), ISBLANK(M2754)),
    "",
    MAX(
        1,
        IF(
            NETWORKDAYS(L2754, M2754, Holiday_Dates) &lt;= 0,
            1,
            NETWORKDAYS(L2754, M2754, Holiday_Dates) - IF(L2754 = M2754, 0, 1)
        )
    )
)</f>
        <v/>
      </c>
      <c r="R2754" s="385" t="str">
        <f>IFERROR(
    IF(
        OR(ISBLANK(N2754), AND(ISBLANK(L2754), ISBLANK(M2754))),
        "",
        MAX(
            1,
            IF(
                NETWORKDAYS(IF(NOT(ISBLANK(M2754)), M2754, L2754), N2754, Holiday_Dates) &lt;= 0,
                1,
                NETWORKDAYS(IF(NOT(ISBLANK(M2754)), M2754, L2754), N2754, Holiday_Dates)
                - IF(IF(NOT(ISBLANK(M2754)), M2754, L2754) = N2754, 0, 1)
            )
        )
    ),
    ""
)</f>
        <v/>
      </c>
      <c r="S2754" s="385" t="str">
        <f>IFERROR(
    IF(
        OR(ISBLANK(N2754), ISBLANK(O2754)),
        "",
        MAX(
            1,
            IF(
                NETWORKDAYS(N2754, O2754, Holiday_Dates) &lt;= 0,
                1,
                NETWORKDAYS(N2754, O2754, Holiday_Dates) - IF(N2754 = O2754, 0, 1)
            )
        )
    ),
    ""
)</f>
        <v/>
      </c>
      <c r="T2754" s="385"/>
      <c r="U2754" s="385"/>
      <c r="V2754" s="385"/>
      <c r="W2754" s="385" t="s">
        <v>4710</v>
      </c>
      <c r="X2754" s="1"/>
    </row>
    <row r="2755" spans="1:24">
      <c r="A2755" s="385" t="s">
        <v>52</v>
      </c>
      <c r="B2755" s="385" t="s">
        <v>463</v>
      </c>
      <c r="C2755" s="385" t="s">
        <v>4029</v>
      </c>
      <c r="D2755" s="385" t="s">
        <v>89</v>
      </c>
      <c r="E2755" s="385" t="s">
        <v>37</v>
      </c>
      <c r="F2755" s="385"/>
      <c r="G2755" s="385" t="s">
        <v>28</v>
      </c>
      <c r="H2755" s="385"/>
      <c r="I2755" s="385"/>
      <c r="J2755" s="30"/>
      <c r="K2755" s="385"/>
      <c r="L2755" s="385"/>
      <c r="M2755" s="385"/>
      <c r="N2755" s="385"/>
      <c r="O2755" s="385"/>
      <c r="P2755" s="385" t="str">
        <f>IFERROR(
    IF(
        OR(ISBLANK(I2755), ISBLANK(L2755)),
        "",
        MAX(
            1,
            IF(
                NETWORKDAYS(I2755, L2755, Holiday_Dates) &lt;= 0,
                1,
                NETWORKDAYS(I2755, L2755, Holiday_Dates) - IF(I2755 = L2755, 0, 1)
            )
        )
    ),
    ""
)</f>
        <v/>
      </c>
      <c r="Q2755" s="385" t="str">
        <f>IF(
    OR(ISBLANK(L2755), ISBLANK(M2755)),
    "",
    MAX(
        1,
        IF(
            NETWORKDAYS(L2755, M2755, Holiday_Dates) &lt;= 0,
            1,
            NETWORKDAYS(L2755, M2755, Holiday_Dates) - IF(L2755 = M2755, 0, 1)
        )
    )
)</f>
        <v/>
      </c>
      <c r="R2755" s="385" t="str">
        <f>IFERROR(
    IF(
        OR(ISBLANK(N2755), AND(ISBLANK(L2755), ISBLANK(M2755))),
        "",
        MAX(
            1,
            IF(
                NETWORKDAYS(IF(NOT(ISBLANK(M2755)), M2755, L2755), N2755, Holiday_Dates) &lt;= 0,
                1,
                NETWORKDAYS(IF(NOT(ISBLANK(M2755)), M2755, L2755), N2755, Holiday_Dates)
                - IF(IF(NOT(ISBLANK(M2755)), M2755, L2755) = N2755, 0, 1)
            )
        )
    ),
    ""
)</f>
        <v/>
      </c>
      <c r="S2755" s="385" t="str">
        <f>IFERROR(
    IF(
        OR(ISBLANK(N2755), ISBLANK(O2755)),
        "",
        MAX(
            1,
            IF(
                NETWORKDAYS(N2755, O2755, Holiday_Dates) &lt;= 0,
                1,
                NETWORKDAYS(N2755, O2755, Holiday_Dates) - IF(N2755 = O2755, 0, 1)
            )
        )
    ),
    ""
)</f>
        <v/>
      </c>
      <c r="T2755" s="385"/>
      <c r="U2755" s="385"/>
      <c r="V2755" s="385"/>
      <c r="W2755" s="385" t="s">
        <v>4710</v>
      </c>
      <c r="X2755" s="1"/>
    </row>
    <row r="2756" spans="1:24">
      <c r="A2756" s="385" t="s">
        <v>52</v>
      </c>
      <c r="B2756" s="385" t="s">
        <v>4207</v>
      </c>
      <c r="C2756" s="385" t="s">
        <v>4227</v>
      </c>
      <c r="D2756" s="385" t="s">
        <v>89</v>
      </c>
      <c r="E2756" s="385"/>
      <c r="F2756" s="385"/>
      <c r="G2756" s="385"/>
      <c r="H2756" s="385">
        <v>2024</v>
      </c>
      <c r="I2756" s="386">
        <v>45506</v>
      </c>
      <c r="J2756" s="30"/>
      <c r="K2756" s="385"/>
      <c r="L2756" s="385"/>
      <c r="M2756" s="385"/>
      <c r="N2756" s="385"/>
      <c r="O2756" s="385"/>
      <c r="P2756" s="385" t="str">
        <f>IFERROR(
    IF(
        OR(ISBLANK(I2756), ISBLANK(L2756)),
        "",
        MAX(
            1,
            IF(
                NETWORKDAYS(I2756, L2756, Holiday_Dates) &lt;= 0,
                1,
                NETWORKDAYS(I2756, L2756, Holiday_Dates) - IF(I2756 = L2756, 0, 1)
            )
        )
    ),
    ""
)</f>
        <v/>
      </c>
      <c r="Q2756" s="385" t="str">
        <f>IF(
    OR(ISBLANK(L2756), ISBLANK(M2756)),
    "",
    MAX(
        1,
        IF(
            NETWORKDAYS(L2756, M2756, Holiday_Dates) &lt;= 0,
            1,
            NETWORKDAYS(L2756, M2756, Holiday_Dates) - IF(L2756 = M2756, 0, 1)
        )
    )
)</f>
        <v/>
      </c>
      <c r="R2756" s="385" t="str">
        <f>IFERROR(
    IF(
        OR(ISBLANK(N2756), AND(ISBLANK(L2756), ISBLANK(M2756))),
        "",
        MAX(
            1,
            IF(
                NETWORKDAYS(IF(NOT(ISBLANK(M2756)), M2756, L2756), N2756, Holiday_Dates) &lt;= 0,
                1,
                NETWORKDAYS(IF(NOT(ISBLANK(M2756)), M2756, L2756), N2756, Holiday_Dates)
                - IF(IF(NOT(ISBLANK(M2756)), M2756, L2756) = N2756, 0, 1)
            )
        )
    ),
    ""
)</f>
        <v/>
      </c>
      <c r="S2756" s="385" t="str">
        <f>IFERROR(
    IF(
        OR(ISBLANK(N2756), ISBLANK(O2756)),
        "",
        MAX(
            1,
            IF(
                NETWORKDAYS(N2756, O2756, Holiday_Dates) &lt;= 0,
                1,
                NETWORKDAYS(N2756, O2756, Holiday_Dates) - IF(N2756 = O2756, 0, 1)
            )
        )
    ),
    ""
)</f>
        <v/>
      </c>
      <c r="T2756" s="385"/>
      <c r="U2756" s="385" t="s">
        <v>4</v>
      </c>
      <c r="V2756" s="385" t="s">
        <v>101</v>
      </c>
      <c r="W2756" s="385" t="s">
        <v>1436</v>
      </c>
      <c r="X2756" s="1"/>
    </row>
    <row r="2757" spans="1:24">
      <c r="A2757" s="385" t="s">
        <v>52</v>
      </c>
      <c r="B2757" s="385" t="s">
        <v>4207</v>
      </c>
      <c r="C2757" s="385" t="s">
        <v>4229</v>
      </c>
      <c r="D2757" s="385" t="s">
        <v>89</v>
      </c>
      <c r="E2757" s="385"/>
      <c r="F2757" s="385"/>
      <c r="G2757" s="385"/>
      <c r="H2757" s="385">
        <v>2024</v>
      </c>
      <c r="I2757" s="386">
        <v>45414</v>
      </c>
      <c r="J2757" s="30"/>
      <c r="K2757" s="385"/>
      <c r="L2757" s="385"/>
      <c r="M2757" s="385"/>
      <c r="N2757" s="385"/>
      <c r="O2757" s="385"/>
      <c r="P2757" s="385" t="str">
        <f>IFERROR(
    IF(
        OR(ISBLANK(I2757), ISBLANK(L2757)),
        "",
        MAX(
            1,
            IF(
                NETWORKDAYS(I2757, L2757, Holiday_Dates) &lt;= 0,
                1,
                NETWORKDAYS(I2757, L2757, Holiday_Dates) - IF(I2757 = L2757, 0, 1)
            )
        )
    ),
    ""
)</f>
        <v/>
      </c>
      <c r="Q2757" s="385" t="str">
        <f>IF(
    OR(ISBLANK(L2757), ISBLANK(M2757)),
    "",
    MAX(
        1,
        IF(
            NETWORKDAYS(L2757, M2757, Holiday_Dates) &lt;= 0,
            1,
            NETWORKDAYS(L2757, M2757, Holiday_Dates) - IF(L2757 = M2757, 0, 1)
        )
    )
)</f>
        <v/>
      </c>
      <c r="R2757" s="385" t="str">
        <f>IFERROR(
    IF(
        OR(ISBLANK(N2757), AND(ISBLANK(L2757), ISBLANK(M2757))),
        "",
        MAX(
            1,
            IF(
                NETWORKDAYS(IF(NOT(ISBLANK(M2757)), M2757, L2757), N2757, Holiday_Dates) &lt;= 0,
                1,
                NETWORKDAYS(IF(NOT(ISBLANK(M2757)), M2757, L2757), N2757, Holiday_Dates)
                - IF(IF(NOT(ISBLANK(M2757)), M2757, L2757) = N2757, 0, 1)
            )
        )
    ),
    ""
)</f>
        <v/>
      </c>
      <c r="S2757" s="385" t="str">
        <f>IFERROR(
    IF(
        OR(ISBLANK(N2757), ISBLANK(O2757)),
        "",
        MAX(
            1,
            IF(
                NETWORKDAYS(N2757, O2757, Holiday_Dates) &lt;= 0,
                1,
                NETWORKDAYS(N2757, O2757, Holiday_Dates) - IF(N2757 = O2757, 0, 1)
            )
        )
    ),
    ""
)</f>
        <v/>
      </c>
      <c r="T2757" s="385"/>
      <c r="U2757" s="385" t="s">
        <v>672</v>
      </c>
      <c r="V2757" s="385"/>
      <c r="W2757" s="385" t="s">
        <v>1436</v>
      </c>
      <c r="X2757" s="1"/>
    </row>
    <row r="2758" spans="1:24">
      <c r="A2758" s="385" t="s">
        <v>52</v>
      </c>
      <c r="B2758" s="385" t="s">
        <v>463</v>
      </c>
      <c r="C2758" s="385" t="s">
        <v>3129</v>
      </c>
      <c r="D2758" s="385" t="s">
        <v>89</v>
      </c>
      <c r="E2758" s="385" t="s">
        <v>37</v>
      </c>
      <c r="F2758" s="385"/>
      <c r="G2758" s="385" t="s">
        <v>28</v>
      </c>
      <c r="H2758" s="385"/>
      <c r="I2758" s="385"/>
      <c r="J2758" s="30"/>
      <c r="K2758" s="385"/>
      <c r="L2758" s="385"/>
      <c r="M2758" s="385"/>
      <c r="N2758" s="385"/>
      <c r="O2758" s="385"/>
      <c r="P2758" s="385" t="str">
        <f>IFERROR(
    IF(
        OR(ISBLANK(I2758), ISBLANK(L2758)),
        "",
        MAX(
            1,
            IF(
                NETWORKDAYS(I2758, L2758, Holiday_Dates) &lt;= 0,
                1,
                NETWORKDAYS(I2758, L2758, Holiday_Dates) - IF(I2758 = L2758, 0, 1)
            )
        )
    ),
    ""
)</f>
        <v/>
      </c>
      <c r="Q2758" s="385" t="str">
        <f>IF(
    OR(ISBLANK(L2758), ISBLANK(M2758)),
    "",
    MAX(
        1,
        IF(
            NETWORKDAYS(L2758, M2758, Holiday_Dates) &lt;= 0,
            1,
            NETWORKDAYS(L2758, M2758, Holiday_Dates) - IF(L2758 = M2758, 0, 1)
        )
    )
)</f>
        <v/>
      </c>
      <c r="R2758" s="385" t="str">
        <f>IFERROR(
    IF(
        OR(ISBLANK(N2758), AND(ISBLANK(L2758), ISBLANK(M2758))),
        "",
        MAX(
            1,
            IF(
                NETWORKDAYS(IF(NOT(ISBLANK(M2758)), M2758, L2758), N2758, Holiday_Dates) &lt;= 0,
                1,
                NETWORKDAYS(IF(NOT(ISBLANK(M2758)), M2758, L2758), N2758, Holiday_Dates)
                - IF(IF(NOT(ISBLANK(M2758)), M2758, L2758) = N2758, 0, 1)
            )
        )
    ),
    ""
)</f>
        <v/>
      </c>
      <c r="S2758" s="385" t="str">
        <f>IFERROR(
    IF(
        OR(ISBLANK(N2758), ISBLANK(O2758)),
        "",
        MAX(
            1,
            IF(
                NETWORKDAYS(N2758, O2758, Holiday_Dates) &lt;= 0,
                1,
                NETWORKDAYS(N2758, O2758, Holiday_Dates) - IF(N2758 = O2758, 0, 1)
            )
        )
    ),
    ""
)</f>
        <v/>
      </c>
      <c r="T2758" s="385"/>
      <c r="U2758" s="385"/>
      <c r="V2758" s="385"/>
      <c r="W2758" s="385" t="s">
        <v>4710</v>
      </c>
      <c r="X2758" s="1"/>
    </row>
    <row r="2759" spans="1:24">
      <c r="A2759" s="385" t="s">
        <v>52</v>
      </c>
      <c r="B2759" s="385" t="s">
        <v>463</v>
      </c>
      <c r="C2759" s="385" t="s">
        <v>4031</v>
      </c>
      <c r="D2759" s="385" t="s">
        <v>89</v>
      </c>
      <c r="E2759" s="385" t="s">
        <v>37</v>
      </c>
      <c r="F2759" s="385"/>
      <c r="G2759" s="385" t="s">
        <v>28</v>
      </c>
      <c r="H2759" s="385"/>
      <c r="I2759" s="385"/>
      <c r="J2759" s="30"/>
      <c r="K2759" s="385"/>
      <c r="L2759" s="385"/>
      <c r="M2759" s="385"/>
      <c r="N2759" s="385"/>
      <c r="O2759" s="385"/>
      <c r="P2759" s="385" t="str">
        <f>IFERROR(
    IF(
        OR(ISBLANK(I2759), ISBLANK(L2759)),
        "",
        MAX(
            1,
            IF(
                NETWORKDAYS(I2759, L2759, Holiday_Dates) &lt;= 0,
                1,
                NETWORKDAYS(I2759, L2759, Holiday_Dates) - IF(I2759 = L2759, 0, 1)
            )
        )
    ),
    ""
)</f>
        <v/>
      </c>
      <c r="Q2759" s="385" t="str">
        <f>IF(
    OR(ISBLANK(L2759), ISBLANK(M2759)),
    "",
    MAX(
        1,
        IF(
            NETWORKDAYS(L2759, M2759, Holiday_Dates) &lt;= 0,
            1,
            NETWORKDAYS(L2759, M2759, Holiday_Dates) - IF(L2759 = M2759, 0, 1)
        )
    )
)</f>
        <v/>
      </c>
      <c r="R2759" s="385" t="str">
        <f>IFERROR(
    IF(
        OR(ISBLANK(N2759), AND(ISBLANK(L2759), ISBLANK(M2759))),
        "",
        MAX(
            1,
            IF(
                NETWORKDAYS(IF(NOT(ISBLANK(M2759)), M2759, L2759), N2759, Holiday_Dates) &lt;= 0,
                1,
                NETWORKDAYS(IF(NOT(ISBLANK(M2759)), M2759, L2759), N2759, Holiday_Dates)
                - IF(IF(NOT(ISBLANK(M2759)), M2759, L2759) = N2759, 0, 1)
            )
        )
    ),
    ""
)</f>
        <v/>
      </c>
      <c r="S2759" s="385" t="str">
        <f>IFERROR(
    IF(
        OR(ISBLANK(N2759), ISBLANK(O2759)),
        "",
        MAX(
            1,
            IF(
                NETWORKDAYS(N2759, O2759, Holiday_Dates) &lt;= 0,
                1,
                NETWORKDAYS(N2759, O2759, Holiday_Dates) - IF(N2759 = O2759, 0, 1)
            )
        )
    ),
    ""
)</f>
        <v/>
      </c>
      <c r="T2759" s="385"/>
      <c r="U2759" s="385"/>
      <c r="V2759" s="385"/>
      <c r="W2759" s="385" t="s">
        <v>4710</v>
      </c>
      <c r="X2759" s="1"/>
    </row>
    <row r="2760" spans="1:24">
      <c r="A2760" s="385" t="s">
        <v>52</v>
      </c>
      <c r="B2760" s="385" t="s">
        <v>463</v>
      </c>
      <c r="C2760" s="385" t="s">
        <v>4032</v>
      </c>
      <c r="D2760" s="385" t="s">
        <v>89</v>
      </c>
      <c r="E2760" s="385" t="s">
        <v>37</v>
      </c>
      <c r="F2760" s="385"/>
      <c r="G2760" s="385" t="s">
        <v>28</v>
      </c>
      <c r="H2760" s="385"/>
      <c r="I2760" s="385"/>
      <c r="J2760" s="30"/>
      <c r="K2760" s="385"/>
      <c r="L2760" s="385"/>
      <c r="M2760" s="385"/>
      <c r="N2760" s="385"/>
      <c r="O2760" s="385"/>
      <c r="P2760" s="385" t="str">
        <f>IFERROR(
    IF(
        OR(ISBLANK(I2760), ISBLANK(L2760)),
        "",
        MAX(
            1,
            IF(
                NETWORKDAYS(I2760, L2760, Holiday_Dates) &lt;= 0,
                1,
                NETWORKDAYS(I2760, L2760, Holiday_Dates) - IF(I2760 = L2760, 0, 1)
            )
        )
    ),
    ""
)</f>
        <v/>
      </c>
      <c r="Q2760" s="385" t="str">
        <f>IF(
    OR(ISBLANK(L2760), ISBLANK(M2760)),
    "",
    MAX(
        1,
        IF(
            NETWORKDAYS(L2760, M2760, Holiday_Dates) &lt;= 0,
            1,
            NETWORKDAYS(L2760, M2760, Holiday_Dates) - IF(L2760 = M2760, 0, 1)
        )
    )
)</f>
        <v/>
      </c>
      <c r="R2760" s="385" t="str">
        <f>IFERROR(
    IF(
        OR(ISBLANK(N2760), AND(ISBLANK(L2760), ISBLANK(M2760))),
        "",
        MAX(
            1,
            IF(
                NETWORKDAYS(IF(NOT(ISBLANK(M2760)), M2760, L2760), N2760, Holiday_Dates) &lt;= 0,
                1,
                NETWORKDAYS(IF(NOT(ISBLANK(M2760)), M2760, L2760), N2760, Holiday_Dates)
                - IF(IF(NOT(ISBLANK(M2760)), M2760, L2760) = N2760, 0, 1)
            )
        )
    ),
    ""
)</f>
        <v/>
      </c>
      <c r="S2760" s="385" t="str">
        <f>IFERROR(
    IF(
        OR(ISBLANK(N2760), ISBLANK(O2760)),
        "",
        MAX(
            1,
            IF(
                NETWORKDAYS(N2760, O2760, Holiday_Dates) &lt;= 0,
                1,
                NETWORKDAYS(N2760, O2760, Holiday_Dates) - IF(N2760 = O2760, 0, 1)
            )
        )
    ),
    ""
)</f>
        <v/>
      </c>
      <c r="T2760" s="385"/>
      <c r="U2760" s="385"/>
      <c r="V2760" s="385"/>
      <c r="W2760" s="385" t="s">
        <v>4710</v>
      </c>
      <c r="X2760" s="1"/>
    </row>
    <row r="2761" spans="1:24">
      <c r="A2761" s="385" t="s">
        <v>52</v>
      </c>
      <c r="B2761" s="385" t="s">
        <v>463</v>
      </c>
      <c r="C2761" s="385" t="s">
        <v>4033</v>
      </c>
      <c r="D2761" s="385" t="s">
        <v>89</v>
      </c>
      <c r="E2761" s="385" t="s">
        <v>37</v>
      </c>
      <c r="F2761" s="385"/>
      <c r="G2761" s="385" t="s">
        <v>28</v>
      </c>
      <c r="H2761" s="385"/>
      <c r="I2761" s="385"/>
      <c r="J2761" s="30"/>
      <c r="K2761" s="385"/>
      <c r="L2761" s="385"/>
      <c r="M2761" s="385"/>
      <c r="N2761" s="385"/>
      <c r="O2761" s="385"/>
      <c r="P2761" s="385" t="str">
        <f>IFERROR(
    IF(
        OR(ISBLANK(I2761), ISBLANK(L2761)),
        "",
        MAX(
            1,
            IF(
                NETWORKDAYS(I2761, L2761, Holiday_Dates) &lt;= 0,
                1,
                NETWORKDAYS(I2761, L2761, Holiday_Dates) - IF(I2761 = L2761, 0, 1)
            )
        )
    ),
    ""
)</f>
        <v/>
      </c>
      <c r="Q2761" s="385" t="str">
        <f>IF(
    OR(ISBLANK(L2761), ISBLANK(M2761)),
    "",
    MAX(
        1,
        IF(
            NETWORKDAYS(L2761, M2761, Holiday_Dates) &lt;= 0,
            1,
            NETWORKDAYS(L2761, M2761, Holiday_Dates) - IF(L2761 = M2761, 0, 1)
        )
    )
)</f>
        <v/>
      </c>
      <c r="R2761" s="385" t="str">
        <f>IFERROR(
    IF(
        OR(ISBLANK(N2761), AND(ISBLANK(L2761), ISBLANK(M2761))),
        "",
        MAX(
            1,
            IF(
                NETWORKDAYS(IF(NOT(ISBLANK(M2761)), M2761, L2761), N2761, Holiday_Dates) &lt;= 0,
                1,
                NETWORKDAYS(IF(NOT(ISBLANK(M2761)), M2761, L2761), N2761, Holiday_Dates)
                - IF(IF(NOT(ISBLANK(M2761)), M2761, L2761) = N2761, 0, 1)
            )
        )
    ),
    ""
)</f>
        <v/>
      </c>
      <c r="S2761" s="385" t="str">
        <f>IFERROR(
    IF(
        OR(ISBLANK(N2761), ISBLANK(O2761)),
        "",
        MAX(
            1,
            IF(
                NETWORKDAYS(N2761, O2761, Holiday_Dates) &lt;= 0,
                1,
                NETWORKDAYS(N2761, O2761, Holiday_Dates) - IF(N2761 = O2761, 0, 1)
            )
        )
    ),
    ""
)</f>
        <v/>
      </c>
      <c r="T2761" s="385"/>
      <c r="U2761" s="385"/>
      <c r="V2761" s="385"/>
      <c r="W2761" s="385" t="s">
        <v>4710</v>
      </c>
      <c r="X2761" s="1"/>
    </row>
    <row r="2762" spans="1:24">
      <c r="A2762" s="385" t="s">
        <v>52</v>
      </c>
      <c r="B2762" s="385" t="s">
        <v>463</v>
      </c>
      <c r="C2762" s="385" t="s">
        <v>4034</v>
      </c>
      <c r="D2762" s="385" t="s">
        <v>89</v>
      </c>
      <c r="E2762" s="385" t="s">
        <v>37</v>
      </c>
      <c r="F2762" s="385"/>
      <c r="G2762" s="385" t="s">
        <v>28</v>
      </c>
      <c r="H2762" s="385"/>
      <c r="I2762" s="385"/>
      <c r="J2762" s="30"/>
      <c r="K2762" s="385"/>
      <c r="L2762" s="385"/>
      <c r="M2762" s="385"/>
      <c r="N2762" s="385"/>
      <c r="O2762" s="385"/>
      <c r="P2762" s="385" t="str">
        <f>IFERROR(
    IF(
        OR(ISBLANK(I2762), ISBLANK(L2762)),
        "",
        MAX(
            1,
            IF(
                NETWORKDAYS(I2762, L2762, Holiday_Dates) &lt;= 0,
                1,
                NETWORKDAYS(I2762, L2762, Holiday_Dates) - IF(I2762 = L2762, 0, 1)
            )
        )
    ),
    ""
)</f>
        <v/>
      </c>
      <c r="Q2762" s="385" t="str">
        <f>IF(
    OR(ISBLANK(L2762), ISBLANK(M2762)),
    "",
    MAX(
        1,
        IF(
            NETWORKDAYS(L2762, M2762, Holiday_Dates) &lt;= 0,
            1,
            NETWORKDAYS(L2762, M2762, Holiday_Dates) - IF(L2762 = M2762, 0, 1)
        )
    )
)</f>
        <v/>
      </c>
      <c r="R2762" s="385" t="str">
        <f>IFERROR(
    IF(
        OR(ISBLANK(N2762), AND(ISBLANK(L2762), ISBLANK(M2762))),
        "",
        MAX(
            1,
            IF(
                NETWORKDAYS(IF(NOT(ISBLANK(M2762)), M2762, L2762), N2762, Holiday_Dates) &lt;= 0,
                1,
                NETWORKDAYS(IF(NOT(ISBLANK(M2762)), M2762, L2762), N2762, Holiday_Dates)
                - IF(IF(NOT(ISBLANK(M2762)), M2762, L2762) = N2762, 0, 1)
            )
        )
    ),
    ""
)</f>
        <v/>
      </c>
      <c r="S2762" s="385" t="str">
        <f>IFERROR(
    IF(
        OR(ISBLANK(N2762), ISBLANK(O2762)),
        "",
        MAX(
            1,
            IF(
                NETWORKDAYS(N2762, O2762, Holiday_Dates) &lt;= 0,
                1,
                NETWORKDAYS(N2762, O2762, Holiday_Dates) - IF(N2762 = O2762, 0, 1)
            )
        )
    ),
    ""
)</f>
        <v/>
      </c>
      <c r="T2762" s="385"/>
      <c r="U2762" s="385"/>
      <c r="V2762" s="385"/>
      <c r="W2762" s="385" t="s">
        <v>4710</v>
      </c>
      <c r="X2762" s="1"/>
    </row>
    <row r="2763" spans="1:24">
      <c r="A2763" s="385" t="s">
        <v>52</v>
      </c>
      <c r="B2763" s="385" t="s">
        <v>463</v>
      </c>
      <c r="C2763" s="385" t="s">
        <v>4036</v>
      </c>
      <c r="D2763" s="385" t="s">
        <v>89</v>
      </c>
      <c r="E2763" s="385" t="s">
        <v>37</v>
      </c>
      <c r="F2763" s="385"/>
      <c r="G2763" s="385" t="s">
        <v>28</v>
      </c>
      <c r="H2763" s="385"/>
      <c r="I2763" s="385"/>
      <c r="J2763" s="30"/>
      <c r="K2763" s="385"/>
      <c r="L2763" s="385"/>
      <c r="M2763" s="385"/>
      <c r="N2763" s="385"/>
      <c r="O2763" s="385"/>
      <c r="P2763" s="385" t="str">
        <f>IFERROR(
    IF(
        OR(ISBLANK(I2763), ISBLANK(L2763)),
        "",
        MAX(
            1,
            IF(
                NETWORKDAYS(I2763, L2763, Holiday_Dates) &lt;= 0,
                1,
                NETWORKDAYS(I2763, L2763, Holiday_Dates) - IF(I2763 = L2763, 0, 1)
            )
        )
    ),
    ""
)</f>
        <v/>
      </c>
      <c r="Q2763" s="385" t="str">
        <f>IF(
    OR(ISBLANK(L2763), ISBLANK(M2763)),
    "",
    MAX(
        1,
        IF(
            NETWORKDAYS(L2763, M2763, Holiday_Dates) &lt;= 0,
            1,
            NETWORKDAYS(L2763, M2763, Holiday_Dates) - IF(L2763 = M2763, 0, 1)
        )
    )
)</f>
        <v/>
      </c>
      <c r="R2763" s="385" t="str">
        <f>IFERROR(
    IF(
        OR(ISBLANK(N2763), AND(ISBLANK(L2763), ISBLANK(M2763))),
        "",
        MAX(
            1,
            IF(
                NETWORKDAYS(IF(NOT(ISBLANK(M2763)), M2763, L2763), N2763, Holiday_Dates) &lt;= 0,
                1,
                NETWORKDAYS(IF(NOT(ISBLANK(M2763)), M2763, L2763), N2763, Holiday_Dates)
                - IF(IF(NOT(ISBLANK(M2763)), M2763, L2763) = N2763, 0, 1)
            )
        )
    ),
    ""
)</f>
        <v/>
      </c>
      <c r="S2763" s="385" t="str">
        <f>IFERROR(
    IF(
        OR(ISBLANK(N2763), ISBLANK(O2763)),
        "",
        MAX(
            1,
            IF(
                NETWORKDAYS(N2763, O2763, Holiday_Dates) &lt;= 0,
                1,
                NETWORKDAYS(N2763, O2763, Holiday_Dates) - IF(N2763 = O2763, 0, 1)
            )
        )
    ),
    ""
)</f>
        <v/>
      </c>
      <c r="T2763" s="385"/>
      <c r="U2763" s="385"/>
      <c r="V2763" s="385"/>
      <c r="W2763" s="385" t="s">
        <v>4710</v>
      </c>
      <c r="X2763" s="1"/>
    </row>
    <row r="2764" spans="1:24">
      <c r="A2764" s="385" t="s">
        <v>52</v>
      </c>
      <c r="B2764" s="385" t="s">
        <v>463</v>
      </c>
      <c r="C2764" s="385" t="s">
        <v>4037</v>
      </c>
      <c r="D2764" s="385" t="s">
        <v>89</v>
      </c>
      <c r="E2764" s="385" t="s">
        <v>37</v>
      </c>
      <c r="F2764" s="385"/>
      <c r="G2764" s="385" t="s">
        <v>28</v>
      </c>
      <c r="H2764" s="385"/>
      <c r="I2764" s="386"/>
      <c r="J2764" s="30"/>
      <c r="K2764" s="385"/>
      <c r="L2764" s="385"/>
      <c r="M2764" s="385"/>
      <c r="N2764" s="385"/>
      <c r="O2764" s="385"/>
      <c r="P2764" s="385" t="str">
        <f>IFERROR(
    IF(
        OR(ISBLANK(I2764), ISBLANK(L2764)),
        "",
        MAX(
            1,
            IF(
                NETWORKDAYS(I2764, L2764, Holiday_Dates) &lt;= 0,
                1,
                NETWORKDAYS(I2764, L2764, Holiday_Dates) - IF(I2764 = L2764, 0, 1)
            )
        )
    ),
    ""
)</f>
        <v/>
      </c>
      <c r="Q2764" s="385" t="str">
        <f>IF(
    OR(ISBLANK(L2764), ISBLANK(M2764)),
    "",
    MAX(
        1,
        IF(
            NETWORKDAYS(L2764, M2764, Holiday_Dates) &lt;= 0,
            1,
            NETWORKDAYS(L2764, M2764, Holiday_Dates) - IF(L2764 = M2764, 0, 1)
        )
    )
)</f>
        <v/>
      </c>
      <c r="R2764" s="385" t="str">
        <f>IFERROR(
    IF(
        OR(ISBLANK(N2764), AND(ISBLANK(L2764), ISBLANK(M2764))),
        "",
        MAX(
            1,
            IF(
                NETWORKDAYS(IF(NOT(ISBLANK(M2764)), M2764, L2764), N2764, Holiday_Dates) &lt;= 0,
                1,
                NETWORKDAYS(IF(NOT(ISBLANK(M2764)), M2764, L2764), N2764, Holiday_Dates)
                - IF(IF(NOT(ISBLANK(M2764)), M2764, L2764) = N2764, 0, 1)
            )
        )
    ),
    ""
)</f>
        <v/>
      </c>
      <c r="S2764" s="385" t="str">
        <f>IFERROR(
    IF(
        OR(ISBLANK(N2764), ISBLANK(O2764)),
        "",
        MAX(
            1,
            IF(
                NETWORKDAYS(N2764, O2764, Holiday_Dates) &lt;= 0,
                1,
                NETWORKDAYS(N2764, O2764, Holiday_Dates) - IF(N2764 = O2764, 0, 1)
            )
        )
    ),
    ""
)</f>
        <v/>
      </c>
      <c r="T2764" s="385"/>
      <c r="U2764" s="385"/>
      <c r="V2764" s="385"/>
      <c r="W2764" s="385" t="s">
        <v>4710</v>
      </c>
      <c r="X2764" s="1"/>
    </row>
    <row r="2765" spans="1:24">
      <c r="A2765" s="385" t="s">
        <v>52</v>
      </c>
      <c r="B2765" s="385" t="s">
        <v>463</v>
      </c>
      <c r="C2765" s="385" t="s">
        <v>4040</v>
      </c>
      <c r="D2765" s="385" t="s">
        <v>89</v>
      </c>
      <c r="E2765" s="385" t="s">
        <v>37</v>
      </c>
      <c r="F2765" s="385"/>
      <c r="G2765" s="385" t="s">
        <v>28</v>
      </c>
      <c r="H2765" s="385"/>
      <c r="I2765" s="385"/>
      <c r="J2765" s="30"/>
      <c r="K2765" s="385"/>
      <c r="L2765" s="385"/>
      <c r="M2765" s="385"/>
      <c r="N2765" s="385"/>
      <c r="O2765" s="385"/>
      <c r="P2765" s="385" t="str">
        <f>IFERROR(
    IF(
        OR(ISBLANK(I2765), ISBLANK(L2765)),
        "",
        MAX(
            1,
            IF(
                NETWORKDAYS(I2765, L2765, Holiday_Dates) &lt;= 0,
                1,
                NETWORKDAYS(I2765, L2765, Holiday_Dates) - IF(I2765 = L2765, 0, 1)
            )
        )
    ),
    ""
)</f>
        <v/>
      </c>
      <c r="Q2765" s="385" t="str">
        <f>IF(
    OR(ISBLANK(L2765), ISBLANK(M2765)),
    "",
    MAX(
        1,
        IF(
            NETWORKDAYS(L2765, M2765, Holiday_Dates) &lt;= 0,
            1,
            NETWORKDAYS(L2765, M2765, Holiday_Dates) - IF(L2765 = M2765, 0, 1)
        )
    )
)</f>
        <v/>
      </c>
      <c r="R2765" s="385" t="str">
        <f>IFERROR(
    IF(
        OR(ISBLANK(N2765), AND(ISBLANK(L2765), ISBLANK(M2765))),
        "",
        MAX(
            1,
            IF(
                NETWORKDAYS(IF(NOT(ISBLANK(M2765)), M2765, L2765), N2765, Holiday_Dates) &lt;= 0,
                1,
                NETWORKDAYS(IF(NOT(ISBLANK(M2765)), M2765, L2765), N2765, Holiday_Dates)
                - IF(IF(NOT(ISBLANK(M2765)), M2765, L2765) = N2765, 0, 1)
            )
        )
    ),
    ""
)</f>
        <v/>
      </c>
      <c r="S2765" s="385" t="str">
        <f>IFERROR(
    IF(
        OR(ISBLANK(N2765), ISBLANK(O2765)),
        "",
        MAX(
            1,
            IF(
                NETWORKDAYS(N2765, O2765, Holiday_Dates) &lt;= 0,
                1,
                NETWORKDAYS(N2765, O2765, Holiday_Dates) - IF(N2765 = O2765, 0, 1)
            )
        )
    ),
    ""
)</f>
        <v/>
      </c>
      <c r="T2765" s="385"/>
      <c r="U2765" s="385"/>
      <c r="V2765" s="385"/>
      <c r="W2765" s="385" t="s">
        <v>4710</v>
      </c>
      <c r="X2765" s="1"/>
    </row>
    <row r="2766" spans="1:24">
      <c r="A2766" s="385" t="s">
        <v>52</v>
      </c>
      <c r="B2766" s="385" t="s">
        <v>4231</v>
      </c>
      <c r="C2766" s="385" t="s">
        <v>4240</v>
      </c>
      <c r="D2766" s="385" t="s">
        <v>88</v>
      </c>
      <c r="E2766" s="385"/>
      <c r="F2766" s="385"/>
      <c r="G2766" s="385"/>
      <c r="H2766" s="385">
        <v>2025</v>
      </c>
      <c r="I2766" s="386">
        <v>45813</v>
      </c>
      <c r="J2766" s="30" t="s">
        <v>5732</v>
      </c>
      <c r="K2766" s="385"/>
      <c r="L2766" s="385"/>
      <c r="M2766" s="385"/>
      <c r="N2766" s="385"/>
      <c r="O2766" s="385"/>
      <c r="P2766" s="385" t="str">
        <f>IFERROR(
    IF(
        OR(ISBLANK(I2766), ISBLANK(L2766)),
        "",
        MAX(
            1,
            IF(
                NETWORKDAYS(I2766, L2766, Holiday_Dates) &lt;= 0,
                1,
                NETWORKDAYS(I2766, L2766, Holiday_Dates) - IF(I2766 = L2766, 0, 1)
            )
        )
    ),
    ""
)</f>
        <v/>
      </c>
      <c r="Q2766" s="385" t="str">
        <f>IF(
    OR(ISBLANK(L2766), ISBLANK(M2766)),
    "",
    MAX(
        1,
        IF(
            NETWORKDAYS(L2766, M2766, Holiday_Dates) &lt;= 0,
            1,
            NETWORKDAYS(L2766, M2766, Holiday_Dates) - IF(L2766 = M2766, 0, 1)
        )
    )
)</f>
        <v/>
      </c>
      <c r="R2766" s="385" t="str">
        <f>IFERROR(
    IF(
        OR(ISBLANK(N2766), AND(ISBLANK(L2766), ISBLANK(M2766))),
        "",
        MAX(
            1,
            IF(
                NETWORKDAYS(IF(NOT(ISBLANK(M2766)), M2766, L2766), N2766, Holiday_Dates) &lt;= 0,
                1,
                NETWORKDAYS(IF(NOT(ISBLANK(M2766)), M2766, L2766), N2766, Holiday_Dates)
                - IF(IF(NOT(ISBLANK(M2766)), M2766, L2766) = N2766, 0, 1)
            )
        )
    ),
    ""
)</f>
        <v/>
      </c>
      <c r="S2766" s="385" t="str">
        <f>IFERROR(
    IF(
        OR(ISBLANK(N2766), ISBLANK(O2766)),
        "",
        MAX(
            1,
            IF(
                NETWORKDAYS(N2766, O2766, Holiday_Dates) &lt;= 0,
                1,
                NETWORKDAYS(N2766, O2766, Holiday_Dates) - IF(N2766 = O2766, 0, 1)
            )
        )
    ),
    ""
)</f>
        <v/>
      </c>
      <c r="T2766" s="385"/>
      <c r="U2766" s="385" t="s">
        <v>672</v>
      </c>
      <c r="V2766" s="385" t="s">
        <v>1676</v>
      </c>
      <c r="W2766" s="385" t="s">
        <v>1436</v>
      </c>
      <c r="X2766" s="1"/>
    </row>
    <row r="2767" spans="1:24">
      <c r="A2767" s="385" t="s">
        <v>52</v>
      </c>
      <c r="B2767" s="385" t="s">
        <v>463</v>
      </c>
      <c r="C2767" s="385" t="s">
        <v>4046</v>
      </c>
      <c r="D2767" s="385" t="s">
        <v>89</v>
      </c>
      <c r="E2767" s="385" t="s">
        <v>37</v>
      </c>
      <c r="F2767" s="385"/>
      <c r="G2767" s="385" t="s">
        <v>28</v>
      </c>
      <c r="H2767" s="385"/>
      <c r="I2767" s="385"/>
      <c r="J2767" s="30"/>
      <c r="K2767" s="385"/>
      <c r="L2767" s="385"/>
      <c r="M2767" s="385"/>
      <c r="N2767" s="385"/>
      <c r="O2767" s="385"/>
      <c r="P2767" s="385" t="str">
        <f>IFERROR(
    IF(
        OR(ISBLANK(I2767), ISBLANK(L2767)),
        "",
        MAX(
            1,
            IF(
                NETWORKDAYS(I2767, L2767, Holiday_Dates) &lt;= 0,
                1,
                NETWORKDAYS(I2767, L2767, Holiday_Dates) - IF(I2767 = L2767, 0, 1)
            )
        )
    ),
    ""
)</f>
        <v/>
      </c>
      <c r="Q2767" s="385" t="str">
        <f>IF(
    OR(ISBLANK(L2767), ISBLANK(M2767)),
    "",
    MAX(
        1,
        IF(
            NETWORKDAYS(L2767, M2767, Holiday_Dates) &lt;= 0,
            1,
            NETWORKDAYS(L2767, M2767, Holiday_Dates) - IF(L2767 = M2767, 0, 1)
        )
    )
)</f>
        <v/>
      </c>
      <c r="R2767" s="385" t="str">
        <f>IFERROR(
    IF(
        OR(ISBLANK(N2767), AND(ISBLANK(L2767), ISBLANK(M2767))),
        "",
        MAX(
            1,
            IF(
                NETWORKDAYS(IF(NOT(ISBLANK(M2767)), M2767, L2767), N2767, Holiday_Dates) &lt;= 0,
                1,
                NETWORKDAYS(IF(NOT(ISBLANK(M2767)), M2767, L2767), N2767, Holiday_Dates)
                - IF(IF(NOT(ISBLANK(M2767)), M2767, L2767) = N2767, 0, 1)
            )
        )
    ),
    ""
)</f>
        <v/>
      </c>
      <c r="S2767" s="385" t="str">
        <f>IFERROR(
    IF(
        OR(ISBLANK(N2767), ISBLANK(O2767)),
        "",
        MAX(
            1,
            IF(
                NETWORKDAYS(N2767, O2767, Holiday_Dates) &lt;= 0,
                1,
                NETWORKDAYS(N2767, O2767, Holiday_Dates) - IF(N2767 = O2767, 0, 1)
            )
        )
    ),
    ""
)</f>
        <v/>
      </c>
      <c r="T2767" s="385"/>
      <c r="U2767" s="385"/>
      <c r="V2767" s="385"/>
      <c r="W2767" s="385" t="s">
        <v>4710</v>
      </c>
      <c r="X2767" s="1"/>
    </row>
    <row r="2768" spans="1:24">
      <c r="A2768" s="385" t="s">
        <v>52</v>
      </c>
      <c r="B2768" s="385" t="s">
        <v>463</v>
      </c>
      <c r="C2768" s="385" t="s">
        <v>444</v>
      </c>
      <c r="D2768" s="385" t="s">
        <v>89</v>
      </c>
      <c r="E2768" s="385" t="s">
        <v>37</v>
      </c>
      <c r="F2768" s="385"/>
      <c r="G2768" s="385" t="s">
        <v>28</v>
      </c>
      <c r="H2768" s="385"/>
      <c r="I2768" s="385"/>
      <c r="J2768" s="30"/>
      <c r="K2768" s="385"/>
      <c r="L2768" s="385"/>
      <c r="M2768" s="385"/>
      <c r="N2768" s="385"/>
      <c r="O2768" s="385"/>
      <c r="P2768" s="385" t="str">
        <f>IFERROR(
    IF(
        OR(ISBLANK(I2768), ISBLANK(L2768)),
        "",
        MAX(
            1,
            IF(
                NETWORKDAYS(I2768, L2768, Holiday_Dates) &lt;= 0,
                1,
                NETWORKDAYS(I2768, L2768, Holiday_Dates) - IF(I2768 = L2768, 0, 1)
            )
        )
    ),
    ""
)</f>
        <v/>
      </c>
      <c r="Q2768" s="385" t="str">
        <f>IF(
    OR(ISBLANK(L2768), ISBLANK(M2768)),
    "",
    MAX(
        1,
        IF(
            NETWORKDAYS(L2768, M2768, Holiday_Dates) &lt;= 0,
            1,
            NETWORKDAYS(L2768, M2768, Holiday_Dates) - IF(L2768 = M2768, 0, 1)
        )
    )
)</f>
        <v/>
      </c>
      <c r="R2768" s="385" t="str">
        <f>IFERROR(
    IF(
        OR(ISBLANK(N2768), AND(ISBLANK(L2768), ISBLANK(M2768))),
        "",
        MAX(
            1,
            IF(
                NETWORKDAYS(IF(NOT(ISBLANK(M2768)), M2768, L2768), N2768, Holiday_Dates) &lt;= 0,
                1,
                NETWORKDAYS(IF(NOT(ISBLANK(M2768)), M2768, L2768), N2768, Holiday_Dates)
                - IF(IF(NOT(ISBLANK(M2768)), M2768, L2768) = N2768, 0, 1)
            )
        )
    ),
    ""
)</f>
        <v/>
      </c>
      <c r="S2768" s="385" t="str">
        <f>IFERROR(
    IF(
        OR(ISBLANK(N2768), ISBLANK(O2768)),
        "",
        MAX(
            1,
            IF(
                NETWORKDAYS(N2768, O2768, Holiday_Dates) &lt;= 0,
                1,
                NETWORKDAYS(N2768, O2768, Holiday_Dates) - IF(N2768 = O2768, 0, 1)
            )
        )
    ),
    ""
)</f>
        <v/>
      </c>
      <c r="T2768" s="385"/>
      <c r="U2768" s="385"/>
      <c r="V2768" s="385"/>
      <c r="W2768" s="385" t="s">
        <v>4710</v>
      </c>
      <c r="X2768" s="1"/>
    </row>
    <row r="2769" spans="1:24">
      <c r="A2769" s="385" t="s">
        <v>52</v>
      </c>
      <c r="B2769" s="385" t="s">
        <v>420</v>
      </c>
      <c r="C2769" s="385" t="s">
        <v>4078</v>
      </c>
      <c r="D2769" s="385" t="s">
        <v>89</v>
      </c>
      <c r="E2769" s="385" t="s">
        <v>38</v>
      </c>
      <c r="F2769" s="385"/>
      <c r="G2769" s="385" t="s">
        <v>28</v>
      </c>
      <c r="H2769" s="385"/>
      <c r="I2769" s="385"/>
      <c r="J2769" s="30"/>
      <c r="K2769" s="385"/>
      <c r="L2769" s="385"/>
      <c r="M2769" s="385"/>
      <c r="N2769" s="385"/>
      <c r="O2769" s="385"/>
      <c r="P2769" s="385" t="str">
        <f>IFERROR(
    IF(
        OR(ISBLANK(I2769), ISBLANK(L2769)),
        "",
        MAX(
            1,
            IF(
                NETWORKDAYS(I2769, L2769, Holiday_Dates) &lt;= 0,
                1,
                NETWORKDAYS(I2769, L2769, Holiday_Dates) - IF(I2769 = L2769, 0, 1)
            )
        )
    ),
    ""
)</f>
        <v/>
      </c>
      <c r="Q2769" s="385" t="str">
        <f>IF(
    OR(ISBLANK(L2769), ISBLANK(M2769)),
    "",
    MAX(
        1,
        IF(
            NETWORKDAYS(L2769, M2769, Holiday_Dates) &lt;= 0,
            1,
            NETWORKDAYS(L2769, M2769, Holiday_Dates) - IF(L2769 = M2769, 0, 1)
        )
    )
)</f>
        <v/>
      </c>
      <c r="R2769" s="385" t="str">
        <f>IFERROR(
    IF(
        OR(ISBLANK(N2769), AND(ISBLANK(L2769), ISBLANK(M2769))),
        "",
        MAX(
            1,
            IF(
                NETWORKDAYS(IF(NOT(ISBLANK(M2769)), M2769, L2769), N2769, Holiday_Dates) &lt;= 0,
                1,
                NETWORKDAYS(IF(NOT(ISBLANK(M2769)), M2769, L2769), N2769, Holiday_Dates)
                - IF(IF(NOT(ISBLANK(M2769)), M2769, L2769) = N2769, 0, 1)
            )
        )
    ),
    ""
)</f>
        <v/>
      </c>
      <c r="S2769" s="385" t="str">
        <f>IFERROR(
    IF(
        OR(ISBLANK(N2769), ISBLANK(O2769)),
        "",
        MAX(
            1,
            IF(
                NETWORKDAYS(N2769, O2769, Holiday_Dates) &lt;= 0,
                1,
                NETWORKDAYS(N2769, O2769, Holiday_Dates) - IF(N2769 = O2769, 0, 1)
            )
        )
    ),
    ""
)</f>
        <v/>
      </c>
      <c r="T2769" s="385"/>
      <c r="U2769" s="385"/>
      <c r="V2769" s="385"/>
      <c r="W2769" s="385" t="s">
        <v>4710</v>
      </c>
      <c r="X2769" s="1"/>
    </row>
    <row r="2770" spans="1:24">
      <c r="A2770" s="385" t="s">
        <v>52</v>
      </c>
      <c r="B2770" s="385" t="s">
        <v>420</v>
      </c>
      <c r="C2770" s="385" t="s">
        <v>4080</v>
      </c>
      <c r="D2770" s="385" t="s">
        <v>89</v>
      </c>
      <c r="E2770" s="385" t="s">
        <v>38</v>
      </c>
      <c r="F2770" s="385"/>
      <c r="G2770" s="385" t="s">
        <v>28</v>
      </c>
      <c r="H2770" s="385"/>
      <c r="I2770" s="385"/>
      <c r="J2770" s="30"/>
      <c r="K2770" s="385"/>
      <c r="L2770" s="385"/>
      <c r="M2770" s="385"/>
      <c r="N2770" s="385"/>
      <c r="O2770" s="385"/>
      <c r="P2770" s="385" t="str">
        <f>IFERROR(
    IF(
        OR(ISBLANK(I2770), ISBLANK(L2770)),
        "",
        MAX(
            1,
            IF(
                NETWORKDAYS(I2770, L2770, Holiday_Dates) &lt;= 0,
                1,
                NETWORKDAYS(I2770, L2770, Holiday_Dates) - IF(I2770 = L2770, 0, 1)
            )
        )
    ),
    ""
)</f>
        <v/>
      </c>
      <c r="Q2770" s="385" t="str">
        <f>IF(
    OR(ISBLANK(L2770), ISBLANK(M2770)),
    "",
    MAX(
        1,
        IF(
            NETWORKDAYS(L2770, M2770, Holiday_Dates) &lt;= 0,
            1,
            NETWORKDAYS(L2770, M2770, Holiday_Dates) - IF(L2770 = M2770, 0, 1)
        )
    )
)</f>
        <v/>
      </c>
      <c r="R2770" s="385" t="str">
        <f>IFERROR(
    IF(
        OR(ISBLANK(N2770), AND(ISBLANK(L2770), ISBLANK(M2770))),
        "",
        MAX(
            1,
            IF(
                NETWORKDAYS(IF(NOT(ISBLANK(M2770)), M2770, L2770), N2770, Holiday_Dates) &lt;= 0,
                1,
                NETWORKDAYS(IF(NOT(ISBLANK(M2770)), M2770, L2770), N2770, Holiday_Dates)
                - IF(IF(NOT(ISBLANK(M2770)), M2770, L2770) = N2770, 0, 1)
            )
        )
    ),
    ""
)</f>
        <v/>
      </c>
      <c r="S2770" s="385" t="str">
        <f>IFERROR(
    IF(
        OR(ISBLANK(N2770), ISBLANK(O2770)),
        "",
        MAX(
            1,
            IF(
                NETWORKDAYS(N2770, O2770, Holiday_Dates) &lt;= 0,
                1,
                NETWORKDAYS(N2770, O2770, Holiday_Dates) - IF(N2770 = O2770, 0, 1)
            )
        )
    ),
    ""
)</f>
        <v/>
      </c>
      <c r="T2770" s="385"/>
      <c r="U2770" s="385"/>
      <c r="V2770" s="385"/>
      <c r="W2770" s="385" t="s">
        <v>4710</v>
      </c>
      <c r="X2770" s="1"/>
    </row>
    <row r="2771" spans="1:24">
      <c r="A2771" s="385" t="s">
        <v>52</v>
      </c>
      <c r="B2771" s="385" t="s">
        <v>420</v>
      </c>
      <c r="C2771" s="385" t="s">
        <v>4083</v>
      </c>
      <c r="D2771" s="385" t="s">
        <v>89</v>
      </c>
      <c r="E2771" s="385" t="s">
        <v>38</v>
      </c>
      <c r="F2771" s="385"/>
      <c r="G2771" s="385" t="s">
        <v>28</v>
      </c>
      <c r="H2771" s="385"/>
      <c r="I2771" s="385"/>
      <c r="J2771" s="30"/>
      <c r="K2771" s="385"/>
      <c r="L2771" s="385"/>
      <c r="M2771" s="385"/>
      <c r="N2771" s="385"/>
      <c r="O2771" s="385"/>
      <c r="P2771" s="385" t="str">
        <f>IFERROR(
    IF(
        OR(ISBLANK(I2771), ISBLANK(L2771)),
        "",
        MAX(
            1,
            IF(
                NETWORKDAYS(I2771, L2771, Holiday_Dates) &lt;= 0,
                1,
                NETWORKDAYS(I2771, L2771, Holiday_Dates) - IF(I2771 = L2771, 0, 1)
            )
        )
    ),
    ""
)</f>
        <v/>
      </c>
      <c r="Q2771" s="385" t="str">
        <f>IF(
    OR(ISBLANK(L2771), ISBLANK(M2771)),
    "",
    MAX(
        1,
        IF(
            NETWORKDAYS(L2771, M2771, Holiday_Dates) &lt;= 0,
            1,
            NETWORKDAYS(L2771, M2771, Holiday_Dates) - IF(L2771 = M2771, 0, 1)
        )
    )
)</f>
        <v/>
      </c>
      <c r="R2771" s="385" t="str">
        <f>IFERROR(
    IF(
        OR(ISBLANK(N2771), AND(ISBLANK(L2771), ISBLANK(M2771))),
        "",
        MAX(
            1,
            IF(
                NETWORKDAYS(IF(NOT(ISBLANK(M2771)), M2771, L2771), N2771, Holiday_Dates) &lt;= 0,
                1,
                NETWORKDAYS(IF(NOT(ISBLANK(M2771)), M2771, L2771), N2771, Holiday_Dates)
                - IF(IF(NOT(ISBLANK(M2771)), M2771, L2771) = N2771, 0, 1)
            )
        )
    ),
    ""
)</f>
        <v/>
      </c>
      <c r="S2771" s="385" t="str">
        <f>IFERROR(
    IF(
        OR(ISBLANK(N2771), ISBLANK(O2771)),
        "",
        MAX(
            1,
            IF(
                NETWORKDAYS(N2771, O2771, Holiday_Dates) &lt;= 0,
                1,
                NETWORKDAYS(N2771, O2771, Holiday_Dates) - IF(N2771 = O2771, 0, 1)
            )
        )
    ),
    ""
)</f>
        <v/>
      </c>
      <c r="T2771" s="385"/>
      <c r="U2771" s="385"/>
      <c r="V2771" s="385"/>
      <c r="W2771" s="385" t="s">
        <v>4710</v>
      </c>
      <c r="X2771" s="1"/>
    </row>
    <row r="2772" spans="1:24">
      <c r="A2772" s="385" t="s">
        <v>52</v>
      </c>
      <c r="B2772" s="385" t="s">
        <v>420</v>
      </c>
      <c r="C2772" s="385" t="s">
        <v>4084</v>
      </c>
      <c r="D2772" s="385" t="s">
        <v>89</v>
      </c>
      <c r="E2772" s="385" t="s">
        <v>38</v>
      </c>
      <c r="F2772" s="385"/>
      <c r="G2772" s="385" t="s">
        <v>28</v>
      </c>
      <c r="H2772" s="385"/>
      <c r="I2772" s="385"/>
      <c r="J2772" s="30"/>
      <c r="K2772" s="385"/>
      <c r="L2772" s="385"/>
      <c r="M2772" s="385"/>
      <c r="N2772" s="385"/>
      <c r="O2772" s="385"/>
      <c r="P2772" s="385" t="str">
        <f>IFERROR(
    IF(
        OR(ISBLANK(I2772), ISBLANK(L2772)),
        "",
        MAX(
            1,
            IF(
                NETWORKDAYS(I2772, L2772, Holiday_Dates) &lt;= 0,
                1,
                NETWORKDAYS(I2772, L2772, Holiday_Dates) - IF(I2772 = L2772, 0, 1)
            )
        )
    ),
    ""
)</f>
        <v/>
      </c>
      <c r="Q2772" s="385" t="str">
        <f>IF(
    OR(ISBLANK(L2772), ISBLANK(M2772)),
    "",
    MAX(
        1,
        IF(
            NETWORKDAYS(L2772, M2772, Holiday_Dates) &lt;= 0,
            1,
            NETWORKDAYS(L2772, M2772, Holiday_Dates) - IF(L2772 = M2772, 0, 1)
        )
    )
)</f>
        <v/>
      </c>
      <c r="R2772" s="385" t="str">
        <f>IFERROR(
    IF(
        OR(ISBLANK(N2772), AND(ISBLANK(L2772), ISBLANK(M2772))),
        "",
        MAX(
            1,
            IF(
                NETWORKDAYS(IF(NOT(ISBLANK(M2772)), M2772, L2772), N2772, Holiday_Dates) &lt;= 0,
                1,
                NETWORKDAYS(IF(NOT(ISBLANK(M2772)), M2772, L2772), N2772, Holiday_Dates)
                - IF(IF(NOT(ISBLANK(M2772)), M2772, L2772) = N2772, 0, 1)
            )
        )
    ),
    ""
)</f>
        <v/>
      </c>
      <c r="S2772" s="385" t="str">
        <f>IFERROR(
    IF(
        OR(ISBLANK(N2772), ISBLANK(O2772)),
        "",
        MAX(
            1,
            IF(
                NETWORKDAYS(N2772, O2772, Holiday_Dates) &lt;= 0,
                1,
                NETWORKDAYS(N2772, O2772, Holiday_Dates) - IF(N2772 = O2772, 0, 1)
            )
        )
    ),
    ""
)</f>
        <v/>
      </c>
      <c r="T2772" s="385"/>
      <c r="U2772" s="385"/>
      <c r="V2772" s="385"/>
      <c r="W2772" s="385" t="s">
        <v>4710</v>
      </c>
      <c r="X2772" s="1"/>
    </row>
    <row r="2773" spans="1:24">
      <c r="A2773" s="385" t="s">
        <v>52</v>
      </c>
      <c r="B2773" s="385" t="s">
        <v>420</v>
      </c>
      <c r="C2773" s="385" t="s">
        <v>4086</v>
      </c>
      <c r="D2773" s="385" t="s">
        <v>89</v>
      </c>
      <c r="E2773" s="385" t="s">
        <v>38</v>
      </c>
      <c r="F2773" s="385"/>
      <c r="G2773" s="385" t="s">
        <v>28</v>
      </c>
      <c r="H2773" s="385"/>
      <c r="I2773" s="385"/>
      <c r="J2773" s="30"/>
      <c r="K2773" s="385"/>
      <c r="L2773" s="385"/>
      <c r="M2773" s="385"/>
      <c r="N2773" s="385"/>
      <c r="O2773" s="385"/>
      <c r="P2773" s="385" t="str">
        <f>IFERROR(
    IF(
        OR(ISBLANK(I2773), ISBLANK(L2773)),
        "",
        MAX(
            1,
            IF(
                NETWORKDAYS(I2773, L2773, Holiday_Dates) &lt;= 0,
                1,
                NETWORKDAYS(I2773, L2773, Holiday_Dates) - IF(I2773 = L2773, 0, 1)
            )
        )
    ),
    ""
)</f>
        <v/>
      </c>
      <c r="Q2773" s="385" t="str">
        <f>IF(
    OR(ISBLANK(L2773), ISBLANK(M2773)),
    "",
    MAX(
        1,
        IF(
            NETWORKDAYS(L2773, M2773, Holiday_Dates) &lt;= 0,
            1,
            NETWORKDAYS(L2773, M2773, Holiday_Dates) - IF(L2773 = M2773, 0, 1)
        )
    )
)</f>
        <v/>
      </c>
      <c r="R2773" s="385" t="str">
        <f>IFERROR(
    IF(
        OR(ISBLANK(N2773), AND(ISBLANK(L2773), ISBLANK(M2773))),
        "",
        MAX(
            1,
            IF(
                NETWORKDAYS(IF(NOT(ISBLANK(M2773)), M2773, L2773), N2773, Holiday_Dates) &lt;= 0,
                1,
                NETWORKDAYS(IF(NOT(ISBLANK(M2773)), M2773, L2773), N2773, Holiday_Dates)
                - IF(IF(NOT(ISBLANK(M2773)), M2773, L2773) = N2773, 0, 1)
            )
        )
    ),
    ""
)</f>
        <v/>
      </c>
      <c r="S2773" s="385" t="str">
        <f>IFERROR(
    IF(
        OR(ISBLANK(N2773), ISBLANK(O2773)),
        "",
        MAX(
            1,
            IF(
                NETWORKDAYS(N2773, O2773, Holiday_Dates) &lt;= 0,
                1,
                NETWORKDAYS(N2773, O2773, Holiday_Dates) - IF(N2773 = O2773, 0, 1)
            )
        )
    ),
    ""
)</f>
        <v/>
      </c>
      <c r="T2773" s="385"/>
      <c r="U2773" s="385"/>
      <c r="V2773" s="385"/>
      <c r="W2773" s="385" t="s">
        <v>4710</v>
      </c>
      <c r="X2773" s="1"/>
    </row>
    <row r="2774" spans="1:24">
      <c r="A2774" s="385" t="s">
        <v>52</v>
      </c>
      <c r="B2774" s="385" t="s">
        <v>420</v>
      </c>
      <c r="C2774" s="385" t="s">
        <v>4087</v>
      </c>
      <c r="D2774" s="385" t="s">
        <v>89</v>
      </c>
      <c r="E2774" s="385" t="s">
        <v>38</v>
      </c>
      <c r="F2774" s="385"/>
      <c r="G2774" s="385" t="s">
        <v>28</v>
      </c>
      <c r="H2774" s="385"/>
      <c r="I2774" s="385"/>
      <c r="J2774" s="30"/>
      <c r="K2774" s="385"/>
      <c r="L2774" s="385"/>
      <c r="M2774" s="385"/>
      <c r="N2774" s="385"/>
      <c r="O2774" s="385"/>
      <c r="P2774" s="385" t="str">
        <f>IFERROR(
    IF(
        OR(ISBLANK(I2774), ISBLANK(L2774)),
        "",
        MAX(
            1,
            IF(
                NETWORKDAYS(I2774, L2774, Holiday_Dates) &lt;= 0,
                1,
                NETWORKDAYS(I2774, L2774, Holiday_Dates) - IF(I2774 = L2774, 0, 1)
            )
        )
    ),
    ""
)</f>
        <v/>
      </c>
      <c r="Q2774" s="385" t="str">
        <f>IF(
    OR(ISBLANK(L2774), ISBLANK(M2774)),
    "",
    MAX(
        1,
        IF(
            NETWORKDAYS(L2774, M2774, Holiday_Dates) &lt;= 0,
            1,
            NETWORKDAYS(L2774, M2774, Holiday_Dates) - IF(L2774 = M2774, 0, 1)
        )
    )
)</f>
        <v/>
      </c>
      <c r="R2774" s="385" t="str">
        <f>IFERROR(
    IF(
        OR(ISBLANK(N2774), AND(ISBLANK(L2774), ISBLANK(M2774))),
        "",
        MAX(
            1,
            IF(
                NETWORKDAYS(IF(NOT(ISBLANK(M2774)), M2774, L2774), N2774, Holiday_Dates) &lt;= 0,
                1,
                NETWORKDAYS(IF(NOT(ISBLANK(M2774)), M2774, L2774), N2774, Holiday_Dates)
                - IF(IF(NOT(ISBLANK(M2774)), M2774, L2774) = N2774, 0, 1)
            )
        )
    ),
    ""
)</f>
        <v/>
      </c>
      <c r="S2774" s="385" t="str">
        <f>IFERROR(
    IF(
        OR(ISBLANK(N2774), ISBLANK(O2774)),
        "",
        MAX(
            1,
            IF(
                NETWORKDAYS(N2774, O2774, Holiday_Dates) &lt;= 0,
                1,
                NETWORKDAYS(N2774, O2774, Holiday_Dates) - IF(N2774 = O2774, 0, 1)
            )
        )
    ),
    ""
)</f>
        <v/>
      </c>
      <c r="T2774" s="385"/>
      <c r="U2774" s="385"/>
      <c r="V2774" s="385"/>
      <c r="W2774" s="385" t="s">
        <v>4710</v>
      </c>
      <c r="X2774" s="1"/>
    </row>
    <row r="2775" spans="1:24">
      <c r="A2775" s="385" t="s">
        <v>52</v>
      </c>
      <c r="B2775" s="385" t="s">
        <v>420</v>
      </c>
      <c r="C2775" s="385" t="s">
        <v>3171</v>
      </c>
      <c r="D2775" s="385" t="s">
        <v>89</v>
      </c>
      <c r="E2775" s="385" t="s">
        <v>38</v>
      </c>
      <c r="F2775" s="385"/>
      <c r="G2775" s="385" t="s">
        <v>28</v>
      </c>
      <c r="H2775" s="385"/>
      <c r="I2775" s="385"/>
      <c r="J2775" s="30"/>
      <c r="K2775" s="385"/>
      <c r="L2775" s="385"/>
      <c r="M2775" s="385"/>
      <c r="N2775" s="385"/>
      <c r="O2775" s="385"/>
      <c r="P2775" s="385" t="str">
        <f>IFERROR(
    IF(
        OR(ISBLANK(I2775), ISBLANK(L2775)),
        "",
        MAX(
            1,
            IF(
                NETWORKDAYS(I2775, L2775, Holiday_Dates) &lt;= 0,
                1,
                NETWORKDAYS(I2775, L2775, Holiday_Dates) - IF(I2775 = L2775, 0, 1)
            )
        )
    ),
    ""
)</f>
        <v/>
      </c>
      <c r="Q2775" s="385" t="str">
        <f>IF(
    OR(ISBLANK(L2775), ISBLANK(M2775)),
    "",
    MAX(
        1,
        IF(
            NETWORKDAYS(L2775, M2775, Holiday_Dates) &lt;= 0,
            1,
            NETWORKDAYS(L2775, M2775, Holiday_Dates) - IF(L2775 = M2775, 0, 1)
        )
    )
)</f>
        <v/>
      </c>
      <c r="R2775" s="385" t="str">
        <f>IFERROR(
    IF(
        OR(ISBLANK(N2775), AND(ISBLANK(L2775), ISBLANK(M2775))),
        "",
        MAX(
            1,
            IF(
                NETWORKDAYS(IF(NOT(ISBLANK(M2775)), M2775, L2775), N2775, Holiday_Dates) &lt;= 0,
                1,
                NETWORKDAYS(IF(NOT(ISBLANK(M2775)), M2775, L2775), N2775, Holiday_Dates)
                - IF(IF(NOT(ISBLANK(M2775)), M2775, L2775) = N2775, 0, 1)
            )
        )
    ),
    ""
)</f>
        <v/>
      </c>
      <c r="S2775" s="385" t="str">
        <f>IFERROR(
    IF(
        OR(ISBLANK(N2775), ISBLANK(O2775)),
        "",
        MAX(
            1,
            IF(
                NETWORKDAYS(N2775, O2775, Holiday_Dates) &lt;= 0,
                1,
                NETWORKDAYS(N2775, O2775, Holiday_Dates) - IF(N2775 = O2775, 0, 1)
            )
        )
    ),
    ""
)</f>
        <v/>
      </c>
      <c r="T2775" s="385"/>
      <c r="U2775" s="385"/>
      <c r="V2775" s="385"/>
      <c r="W2775" s="385" t="s">
        <v>4710</v>
      </c>
      <c r="X2775" s="1"/>
    </row>
    <row r="2776" spans="1:24">
      <c r="A2776" s="385" t="s">
        <v>52</v>
      </c>
      <c r="B2776" s="385" t="s">
        <v>420</v>
      </c>
      <c r="C2776" s="385" t="s">
        <v>4089</v>
      </c>
      <c r="D2776" s="385" t="s">
        <v>89</v>
      </c>
      <c r="E2776" s="385" t="s">
        <v>38</v>
      </c>
      <c r="F2776" s="385"/>
      <c r="G2776" s="385" t="s">
        <v>28</v>
      </c>
      <c r="H2776" s="385"/>
      <c r="I2776" s="385"/>
      <c r="J2776" s="30"/>
      <c r="K2776" s="385"/>
      <c r="L2776" s="385"/>
      <c r="M2776" s="385"/>
      <c r="N2776" s="385"/>
      <c r="O2776" s="385"/>
      <c r="P2776" s="385" t="str">
        <f>IFERROR(
    IF(
        OR(ISBLANK(I2776), ISBLANK(L2776)),
        "",
        MAX(
            1,
            IF(
                NETWORKDAYS(I2776, L2776, Holiday_Dates) &lt;= 0,
                1,
                NETWORKDAYS(I2776, L2776, Holiday_Dates) - IF(I2776 = L2776, 0, 1)
            )
        )
    ),
    ""
)</f>
        <v/>
      </c>
      <c r="Q2776" s="385" t="str">
        <f>IF(
    OR(ISBLANK(L2776), ISBLANK(M2776)),
    "",
    MAX(
        1,
        IF(
            NETWORKDAYS(L2776, M2776, Holiday_Dates) &lt;= 0,
            1,
            NETWORKDAYS(L2776, M2776, Holiday_Dates) - IF(L2776 = M2776, 0, 1)
        )
    )
)</f>
        <v/>
      </c>
      <c r="R2776" s="385" t="str">
        <f>IFERROR(
    IF(
        OR(ISBLANK(N2776), AND(ISBLANK(L2776), ISBLANK(M2776))),
        "",
        MAX(
            1,
            IF(
                NETWORKDAYS(IF(NOT(ISBLANK(M2776)), M2776, L2776), N2776, Holiday_Dates) &lt;= 0,
                1,
                NETWORKDAYS(IF(NOT(ISBLANK(M2776)), M2776, L2776), N2776, Holiday_Dates)
                - IF(IF(NOT(ISBLANK(M2776)), M2776, L2776) = N2776, 0, 1)
            )
        )
    ),
    ""
)</f>
        <v/>
      </c>
      <c r="S2776" s="385" t="str">
        <f>IFERROR(
    IF(
        OR(ISBLANK(N2776), ISBLANK(O2776)),
        "",
        MAX(
            1,
            IF(
                NETWORKDAYS(N2776, O2776, Holiday_Dates) &lt;= 0,
                1,
                NETWORKDAYS(N2776, O2776, Holiday_Dates) - IF(N2776 = O2776, 0, 1)
            )
        )
    ),
    ""
)</f>
        <v/>
      </c>
      <c r="T2776" s="385"/>
      <c r="U2776" s="385"/>
      <c r="V2776" s="385"/>
      <c r="W2776" s="385" t="s">
        <v>4710</v>
      </c>
      <c r="X2776" s="1"/>
    </row>
    <row r="2777" spans="1:24">
      <c r="A2777" s="385" t="s">
        <v>52</v>
      </c>
      <c r="B2777" s="385" t="s">
        <v>4231</v>
      </c>
      <c r="C2777" s="385" t="s">
        <v>4248</v>
      </c>
      <c r="D2777" s="385" t="s">
        <v>88</v>
      </c>
      <c r="E2777" s="385"/>
      <c r="F2777" s="385"/>
      <c r="G2777" s="385"/>
      <c r="H2777" s="385">
        <v>2025</v>
      </c>
      <c r="I2777" s="386">
        <v>45798</v>
      </c>
      <c r="J2777" s="30" t="s">
        <v>5733</v>
      </c>
      <c r="K2777" s="385"/>
      <c r="L2777" s="385"/>
      <c r="M2777" s="385"/>
      <c r="N2777" s="385"/>
      <c r="O2777" s="385"/>
      <c r="P2777" s="385" t="str">
        <f>IFERROR(
    IF(
        OR(ISBLANK(I2777), ISBLANK(L2777)),
        "",
        MAX(
            1,
            IF(
                NETWORKDAYS(I2777, L2777, Holiday_Dates) &lt;= 0,
                1,
                NETWORKDAYS(I2777, L2777, Holiday_Dates) - IF(I2777 = L2777, 0, 1)
            )
        )
    ),
    ""
)</f>
        <v/>
      </c>
      <c r="Q2777" s="385" t="str">
        <f>IF(
    OR(ISBLANK(L2777), ISBLANK(M2777)),
    "",
    MAX(
        1,
        IF(
            NETWORKDAYS(L2777, M2777, Holiday_Dates) &lt;= 0,
            1,
            NETWORKDAYS(L2777, M2777, Holiday_Dates) - IF(L2777 = M2777, 0, 1)
        )
    )
)</f>
        <v/>
      </c>
      <c r="R2777" s="385" t="str">
        <f>IFERROR(
    IF(
        OR(ISBLANK(N2777), AND(ISBLANK(L2777), ISBLANK(M2777))),
        "",
        MAX(
            1,
            IF(
                NETWORKDAYS(IF(NOT(ISBLANK(M2777)), M2777, L2777), N2777, Holiday_Dates) &lt;= 0,
                1,
                NETWORKDAYS(IF(NOT(ISBLANK(M2777)), M2777, L2777), N2777, Holiday_Dates)
                - IF(IF(NOT(ISBLANK(M2777)), M2777, L2777) = N2777, 0, 1)
            )
        )
    ),
    ""
)</f>
        <v/>
      </c>
      <c r="S2777" s="385" t="str">
        <f>IFERROR(
    IF(
        OR(ISBLANK(N2777), ISBLANK(O2777)),
        "",
        MAX(
            1,
            IF(
                NETWORKDAYS(N2777, O2777, Holiday_Dates) &lt;= 0,
                1,
                NETWORKDAYS(N2777, O2777, Holiday_Dates) - IF(N2777 = O2777, 0, 1)
            )
        )
    ),
    ""
)</f>
        <v/>
      </c>
      <c r="T2777" s="385"/>
      <c r="U2777" s="385" t="s">
        <v>672</v>
      </c>
      <c r="V2777" s="385" t="s">
        <v>1676</v>
      </c>
      <c r="W2777" s="385" t="s">
        <v>1436</v>
      </c>
      <c r="X2777" s="1"/>
    </row>
    <row r="2778" spans="1:24">
      <c r="A2778" s="385" t="s">
        <v>52</v>
      </c>
      <c r="B2778" s="385" t="s">
        <v>324</v>
      </c>
      <c r="C2778" s="385" t="s">
        <v>4099</v>
      </c>
      <c r="D2778" s="385" t="s">
        <v>89</v>
      </c>
      <c r="E2778" s="385" t="s">
        <v>37</v>
      </c>
      <c r="F2778" s="385"/>
      <c r="G2778" s="385" t="s">
        <v>28</v>
      </c>
      <c r="H2778" s="385"/>
      <c r="I2778" s="385"/>
      <c r="J2778" s="30"/>
      <c r="K2778" s="385"/>
      <c r="L2778" s="385"/>
      <c r="M2778" s="385"/>
      <c r="N2778" s="385"/>
      <c r="O2778" s="385"/>
      <c r="P2778" s="385" t="str">
        <f>IFERROR(
    IF(
        OR(ISBLANK(I2778), ISBLANK(L2778)),
        "",
        MAX(
            1,
            IF(
                NETWORKDAYS(I2778, L2778, Holiday_Dates) &lt;= 0,
                1,
                NETWORKDAYS(I2778, L2778, Holiday_Dates) - IF(I2778 = L2778, 0, 1)
            )
        )
    ),
    ""
)</f>
        <v/>
      </c>
      <c r="Q2778" s="385" t="str">
        <f>IF(
    OR(ISBLANK(L2778), ISBLANK(M2778)),
    "",
    MAX(
        1,
        IF(
            NETWORKDAYS(L2778, M2778, Holiday_Dates) &lt;= 0,
            1,
            NETWORKDAYS(L2778, M2778, Holiday_Dates) - IF(L2778 = M2778, 0, 1)
        )
    )
)</f>
        <v/>
      </c>
      <c r="R2778" s="385" t="str">
        <f>IFERROR(
    IF(
        OR(ISBLANK(N2778), AND(ISBLANK(L2778), ISBLANK(M2778))),
        "",
        MAX(
            1,
            IF(
                NETWORKDAYS(IF(NOT(ISBLANK(M2778)), M2778, L2778), N2778, Holiday_Dates) &lt;= 0,
                1,
                NETWORKDAYS(IF(NOT(ISBLANK(M2778)), M2778, L2778), N2778, Holiday_Dates)
                - IF(IF(NOT(ISBLANK(M2778)), M2778, L2778) = N2778, 0, 1)
            )
        )
    ),
    ""
)</f>
        <v/>
      </c>
      <c r="S2778" s="385" t="str">
        <f>IFERROR(
    IF(
        OR(ISBLANK(N2778), ISBLANK(O2778)),
        "",
        MAX(
            1,
            IF(
                NETWORKDAYS(N2778, O2778, Holiday_Dates) &lt;= 0,
                1,
                NETWORKDAYS(N2778, O2778, Holiday_Dates) - IF(N2778 = O2778, 0, 1)
            )
        )
    ),
    ""
)</f>
        <v/>
      </c>
      <c r="T2778" s="385"/>
      <c r="U2778" s="385"/>
      <c r="V2778" s="385"/>
      <c r="W2778" s="385" t="s">
        <v>4710</v>
      </c>
      <c r="X2778" s="1"/>
    </row>
    <row r="2779" spans="1:24">
      <c r="A2779" s="385" t="s">
        <v>52</v>
      </c>
      <c r="B2779" s="385" t="s">
        <v>324</v>
      </c>
      <c r="C2779" s="385" t="s">
        <v>4101</v>
      </c>
      <c r="D2779" s="385" t="s">
        <v>89</v>
      </c>
      <c r="E2779" s="385" t="s">
        <v>37</v>
      </c>
      <c r="F2779" s="385"/>
      <c r="G2779" s="385" t="s">
        <v>28</v>
      </c>
      <c r="H2779" s="385"/>
      <c r="I2779" s="385"/>
      <c r="J2779" s="30"/>
      <c r="K2779" s="385"/>
      <c r="L2779" s="385"/>
      <c r="M2779" s="385"/>
      <c r="N2779" s="385"/>
      <c r="O2779" s="385"/>
      <c r="P2779" s="385" t="str">
        <f>IFERROR(
    IF(
        OR(ISBLANK(I2779), ISBLANK(L2779)),
        "",
        MAX(
            1,
            IF(
                NETWORKDAYS(I2779, L2779, Holiday_Dates) &lt;= 0,
                1,
                NETWORKDAYS(I2779, L2779, Holiday_Dates) - IF(I2779 = L2779, 0, 1)
            )
        )
    ),
    ""
)</f>
        <v/>
      </c>
      <c r="Q2779" s="385" t="str">
        <f>IF(
    OR(ISBLANK(L2779), ISBLANK(M2779)),
    "",
    MAX(
        1,
        IF(
            NETWORKDAYS(L2779, M2779, Holiday_Dates) &lt;= 0,
            1,
            NETWORKDAYS(L2779, M2779, Holiday_Dates) - IF(L2779 = M2779, 0, 1)
        )
    )
)</f>
        <v/>
      </c>
      <c r="R2779" s="385" t="str">
        <f>IFERROR(
    IF(
        OR(ISBLANK(N2779), AND(ISBLANK(L2779), ISBLANK(M2779))),
        "",
        MAX(
            1,
            IF(
                NETWORKDAYS(IF(NOT(ISBLANK(M2779)), M2779, L2779), N2779, Holiday_Dates) &lt;= 0,
                1,
                NETWORKDAYS(IF(NOT(ISBLANK(M2779)), M2779, L2779), N2779, Holiday_Dates)
                - IF(IF(NOT(ISBLANK(M2779)), M2779, L2779) = N2779, 0, 1)
            )
        )
    ),
    ""
)</f>
        <v/>
      </c>
      <c r="S2779" s="385" t="str">
        <f>IFERROR(
    IF(
        OR(ISBLANK(N2779), ISBLANK(O2779)),
        "",
        MAX(
            1,
            IF(
                NETWORKDAYS(N2779, O2779, Holiday_Dates) &lt;= 0,
                1,
                NETWORKDAYS(N2779, O2779, Holiday_Dates) - IF(N2779 = O2779, 0, 1)
            )
        )
    ),
    ""
)</f>
        <v/>
      </c>
      <c r="T2779" s="385"/>
      <c r="U2779" s="385"/>
      <c r="V2779" s="385"/>
      <c r="W2779" s="385" t="s">
        <v>4710</v>
      </c>
      <c r="X2779" s="1"/>
    </row>
    <row r="2780" spans="1:24">
      <c r="A2780" s="385" t="s">
        <v>52</v>
      </c>
      <c r="B2780" s="385" t="s">
        <v>324</v>
      </c>
      <c r="C2780" s="385" t="s">
        <v>1006</v>
      </c>
      <c r="D2780" s="385" t="s">
        <v>89</v>
      </c>
      <c r="E2780" s="385" t="s">
        <v>37</v>
      </c>
      <c r="F2780" s="385"/>
      <c r="G2780" s="385" t="s">
        <v>28</v>
      </c>
      <c r="H2780" s="385"/>
      <c r="I2780" s="385"/>
      <c r="J2780" s="30"/>
      <c r="K2780" s="385"/>
      <c r="L2780" s="385"/>
      <c r="M2780" s="385"/>
      <c r="N2780" s="385"/>
      <c r="O2780" s="385"/>
      <c r="P2780" s="385" t="str">
        <f>IFERROR(
    IF(
        OR(ISBLANK(I2780), ISBLANK(L2780)),
        "",
        MAX(
            1,
            IF(
                NETWORKDAYS(I2780, L2780, Holiday_Dates) &lt;= 0,
                1,
                NETWORKDAYS(I2780, L2780, Holiday_Dates) - IF(I2780 = L2780, 0, 1)
            )
        )
    ),
    ""
)</f>
        <v/>
      </c>
      <c r="Q2780" s="385" t="str">
        <f>IF(
    OR(ISBLANK(L2780), ISBLANK(M2780)),
    "",
    MAX(
        1,
        IF(
            NETWORKDAYS(L2780, M2780, Holiday_Dates) &lt;= 0,
            1,
            NETWORKDAYS(L2780, M2780, Holiday_Dates) - IF(L2780 = M2780, 0, 1)
        )
    )
)</f>
        <v/>
      </c>
      <c r="R2780" s="385" t="str">
        <f>IFERROR(
    IF(
        OR(ISBLANK(N2780), AND(ISBLANK(L2780), ISBLANK(M2780))),
        "",
        MAX(
            1,
            IF(
                NETWORKDAYS(IF(NOT(ISBLANK(M2780)), M2780, L2780), N2780, Holiday_Dates) &lt;= 0,
                1,
                NETWORKDAYS(IF(NOT(ISBLANK(M2780)), M2780, L2780), N2780, Holiday_Dates)
                - IF(IF(NOT(ISBLANK(M2780)), M2780, L2780) = N2780, 0, 1)
            )
        )
    ),
    ""
)</f>
        <v/>
      </c>
      <c r="S2780" s="385" t="str">
        <f>IFERROR(
    IF(
        OR(ISBLANK(N2780), ISBLANK(O2780)),
        "",
        MAX(
            1,
            IF(
                NETWORKDAYS(N2780, O2780, Holiday_Dates) &lt;= 0,
                1,
                NETWORKDAYS(N2780, O2780, Holiday_Dates) - IF(N2780 = O2780, 0, 1)
            )
        )
    ),
    ""
)</f>
        <v/>
      </c>
      <c r="T2780" s="385"/>
      <c r="U2780" s="385"/>
      <c r="V2780" s="385"/>
      <c r="W2780" s="385" t="s">
        <v>4710</v>
      </c>
      <c r="X2780" s="1"/>
    </row>
    <row r="2781" spans="1:24">
      <c r="A2781" s="385" t="s">
        <v>52</v>
      </c>
      <c r="B2781" s="385" t="s">
        <v>4231</v>
      </c>
      <c r="C2781" s="385" t="s">
        <v>4276</v>
      </c>
      <c r="D2781" s="385" t="s">
        <v>88</v>
      </c>
      <c r="E2781" s="385"/>
      <c r="F2781" s="385"/>
      <c r="G2781" s="385"/>
      <c r="H2781" s="385">
        <v>2025</v>
      </c>
      <c r="I2781" s="386">
        <v>45910</v>
      </c>
      <c r="J2781" s="30" t="s">
        <v>5734</v>
      </c>
      <c r="K2781" s="385"/>
      <c r="L2781" s="385"/>
      <c r="M2781" s="385"/>
      <c r="N2781" s="385"/>
      <c r="O2781" s="385"/>
      <c r="P2781" s="385" t="str">
        <f>IFERROR(
    IF(
        OR(ISBLANK(I2781), ISBLANK(L2781)),
        "",
        MAX(
            1,
            IF(
                NETWORKDAYS(I2781, L2781, Holiday_Dates) &lt;= 0,
                1,
                NETWORKDAYS(I2781, L2781, Holiday_Dates) - IF(I2781 = L2781, 0, 1)
            )
        )
    ),
    ""
)</f>
        <v/>
      </c>
      <c r="Q2781" s="385" t="str">
        <f>IF(
    OR(ISBLANK(L2781), ISBLANK(M2781)),
    "",
    MAX(
        1,
        IF(
            NETWORKDAYS(L2781, M2781, Holiday_Dates) &lt;= 0,
            1,
            NETWORKDAYS(L2781, M2781, Holiday_Dates) - IF(L2781 = M2781, 0, 1)
        )
    )
)</f>
        <v/>
      </c>
      <c r="R2781" s="385" t="str">
        <f>IFERROR(
    IF(
        OR(ISBLANK(N2781), AND(ISBLANK(L2781), ISBLANK(M2781))),
        "",
        MAX(
            1,
            IF(
                NETWORKDAYS(IF(NOT(ISBLANK(M2781)), M2781, L2781), N2781, Holiday_Dates) &lt;= 0,
                1,
                NETWORKDAYS(IF(NOT(ISBLANK(M2781)), M2781, L2781), N2781, Holiday_Dates)
                - IF(IF(NOT(ISBLANK(M2781)), M2781, L2781) = N2781, 0, 1)
            )
        )
    ),
    ""
)</f>
        <v/>
      </c>
      <c r="S2781" s="385" t="str">
        <f>IFERROR(
    IF(
        OR(ISBLANK(N2781), ISBLANK(O2781)),
        "",
        MAX(
            1,
            IF(
                NETWORKDAYS(N2781, O2781, Holiday_Dates) &lt;= 0,
                1,
                NETWORKDAYS(N2781, O2781, Holiday_Dates) - IF(N2781 = O2781, 0, 1)
            )
        )
    ),
    ""
)</f>
        <v/>
      </c>
      <c r="T2781" s="385"/>
      <c r="U2781" s="385" t="s">
        <v>672</v>
      </c>
      <c r="V2781" s="385" t="s">
        <v>1676</v>
      </c>
      <c r="W2781" s="385" t="s">
        <v>1436</v>
      </c>
      <c r="X2781" s="1"/>
    </row>
    <row r="2782" spans="1:24">
      <c r="A2782" s="385" t="s">
        <v>52</v>
      </c>
      <c r="B2782" s="385" t="s">
        <v>324</v>
      </c>
      <c r="C2782" s="385" t="s">
        <v>4109</v>
      </c>
      <c r="D2782" s="385" t="s">
        <v>89</v>
      </c>
      <c r="E2782" s="385" t="s">
        <v>37</v>
      </c>
      <c r="F2782" s="385"/>
      <c r="G2782" s="385" t="s">
        <v>28</v>
      </c>
      <c r="H2782" s="385"/>
      <c r="I2782" s="385"/>
      <c r="J2782" s="30"/>
      <c r="K2782" s="385"/>
      <c r="L2782" s="385"/>
      <c r="M2782" s="385"/>
      <c r="N2782" s="385"/>
      <c r="O2782" s="385"/>
      <c r="P2782" s="385" t="str">
        <f>IFERROR(
    IF(
        OR(ISBLANK(I2782), ISBLANK(L2782)),
        "",
        MAX(
            1,
            IF(
                NETWORKDAYS(I2782, L2782, Holiday_Dates) &lt;= 0,
                1,
                NETWORKDAYS(I2782, L2782, Holiday_Dates) - IF(I2782 = L2782, 0, 1)
            )
        )
    ),
    ""
)</f>
        <v/>
      </c>
      <c r="Q2782" s="385" t="str">
        <f>IF(
    OR(ISBLANK(L2782), ISBLANK(M2782)),
    "",
    MAX(
        1,
        IF(
            NETWORKDAYS(L2782, M2782, Holiday_Dates) &lt;= 0,
            1,
            NETWORKDAYS(L2782, M2782, Holiday_Dates) - IF(L2782 = M2782, 0, 1)
        )
    )
)</f>
        <v/>
      </c>
      <c r="R2782" s="385" t="str">
        <f>IFERROR(
    IF(
        OR(ISBLANK(N2782), AND(ISBLANK(L2782), ISBLANK(M2782))),
        "",
        MAX(
            1,
            IF(
                NETWORKDAYS(IF(NOT(ISBLANK(M2782)), M2782, L2782), N2782, Holiday_Dates) &lt;= 0,
                1,
                NETWORKDAYS(IF(NOT(ISBLANK(M2782)), M2782, L2782), N2782, Holiday_Dates)
                - IF(IF(NOT(ISBLANK(M2782)), M2782, L2782) = N2782, 0, 1)
            )
        )
    ),
    ""
)</f>
        <v/>
      </c>
      <c r="S2782" s="385" t="str">
        <f>IFERROR(
    IF(
        OR(ISBLANK(N2782), ISBLANK(O2782)),
        "",
        MAX(
            1,
            IF(
                NETWORKDAYS(N2782, O2782, Holiday_Dates) &lt;= 0,
                1,
                NETWORKDAYS(N2782, O2782, Holiday_Dates) - IF(N2782 = O2782, 0, 1)
            )
        )
    ),
    ""
)</f>
        <v/>
      </c>
      <c r="T2782" s="385"/>
      <c r="U2782" s="385"/>
      <c r="V2782" s="385"/>
      <c r="W2782" s="385" t="s">
        <v>4710</v>
      </c>
      <c r="X2782" s="1"/>
    </row>
    <row r="2783" spans="1:24">
      <c r="A2783" s="385" t="s">
        <v>52</v>
      </c>
      <c r="B2783" s="385" t="s">
        <v>324</v>
      </c>
      <c r="C2783" s="385" t="s">
        <v>4112</v>
      </c>
      <c r="D2783" s="385" t="s">
        <v>89</v>
      </c>
      <c r="E2783" s="385" t="s">
        <v>37</v>
      </c>
      <c r="F2783" s="385"/>
      <c r="G2783" s="385" t="s">
        <v>28</v>
      </c>
      <c r="H2783" s="385"/>
      <c r="I2783" s="385"/>
      <c r="J2783" s="30"/>
      <c r="K2783" s="385"/>
      <c r="L2783" s="385"/>
      <c r="M2783" s="385"/>
      <c r="N2783" s="385"/>
      <c r="O2783" s="385"/>
      <c r="P2783" s="385" t="str">
        <f>IFERROR(
    IF(
        OR(ISBLANK(I2783), ISBLANK(L2783)),
        "",
        MAX(
            1,
            IF(
                NETWORKDAYS(I2783, L2783, Holiday_Dates) &lt;= 0,
                1,
                NETWORKDAYS(I2783, L2783, Holiday_Dates) - IF(I2783 = L2783, 0, 1)
            )
        )
    ),
    ""
)</f>
        <v/>
      </c>
      <c r="Q2783" s="385" t="str">
        <f>IF(
    OR(ISBLANK(L2783), ISBLANK(M2783)),
    "",
    MAX(
        1,
        IF(
            NETWORKDAYS(L2783, M2783, Holiday_Dates) &lt;= 0,
            1,
            NETWORKDAYS(L2783, M2783, Holiday_Dates) - IF(L2783 = M2783, 0, 1)
        )
    )
)</f>
        <v/>
      </c>
      <c r="R2783" s="385" t="str">
        <f>IFERROR(
    IF(
        OR(ISBLANK(N2783), AND(ISBLANK(L2783), ISBLANK(M2783))),
        "",
        MAX(
            1,
            IF(
                NETWORKDAYS(IF(NOT(ISBLANK(M2783)), M2783, L2783), N2783, Holiday_Dates) &lt;= 0,
                1,
                NETWORKDAYS(IF(NOT(ISBLANK(M2783)), M2783, L2783), N2783, Holiday_Dates)
                - IF(IF(NOT(ISBLANK(M2783)), M2783, L2783) = N2783, 0, 1)
            )
        )
    ),
    ""
)</f>
        <v/>
      </c>
      <c r="S2783" s="385" t="str">
        <f>IFERROR(
    IF(
        OR(ISBLANK(N2783), ISBLANK(O2783)),
        "",
        MAX(
            1,
            IF(
                NETWORKDAYS(N2783, O2783, Holiday_Dates) &lt;= 0,
                1,
                NETWORKDAYS(N2783, O2783, Holiday_Dates) - IF(N2783 = O2783, 0, 1)
            )
        )
    ),
    ""
)</f>
        <v/>
      </c>
      <c r="T2783" s="385"/>
      <c r="U2783" s="385"/>
      <c r="V2783" s="385"/>
      <c r="W2783" s="385" t="s">
        <v>4710</v>
      </c>
      <c r="X2783" s="1"/>
    </row>
    <row r="2784" spans="1:24">
      <c r="A2784" s="385" t="s">
        <v>52</v>
      </c>
      <c r="B2784" s="385" t="s">
        <v>324</v>
      </c>
      <c r="C2784" s="385" t="s">
        <v>4114</v>
      </c>
      <c r="D2784" s="385" t="s">
        <v>89</v>
      </c>
      <c r="E2784" s="385" t="s">
        <v>37</v>
      </c>
      <c r="F2784" s="385"/>
      <c r="G2784" s="385" t="s">
        <v>28</v>
      </c>
      <c r="H2784" s="385"/>
      <c r="I2784" s="385"/>
      <c r="J2784" s="30"/>
      <c r="K2784" s="385"/>
      <c r="L2784" s="385"/>
      <c r="M2784" s="385"/>
      <c r="N2784" s="385"/>
      <c r="O2784" s="385"/>
      <c r="P2784" s="385" t="str">
        <f>IFERROR(
    IF(
        OR(ISBLANK(I2784), ISBLANK(L2784)),
        "",
        MAX(
            1,
            IF(
                NETWORKDAYS(I2784, L2784, Holiday_Dates) &lt;= 0,
                1,
                NETWORKDAYS(I2784, L2784, Holiday_Dates) - IF(I2784 = L2784, 0, 1)
            )
        )
    ),
    ""
)</f>
        <v/>
      </c>
      <c r="Q2784" s="385" t="str">
        <f>IF(
    OR(ISBLANK(L2784), ISBLANK(M2784)),
    "",
    MAX(
        1,
        IF(
            NETWORKDAYS(L2784, M2784, Holiday_Dates) &lt;= 0,
            1,
            NETWORKDAYS(L2784, M2784, Holiday_Dates) - IF(L2784 = M2784, 0, 1)
        )
    )
)</f>
        <v/>
      </c>
      <c r="R2784" s="385" t="str">
        <f>IFERROR(
    IF(
        OR(ISBLANK(N2784), AND(ISBLANK(L2784), ISBLANK(M2784))),
        "",
        MAX(
            1,
            IF(
                NETWORKDAYS(IF(NOT(ISBLANK(M2784)), M2784, L2784), N2784, Holiday_Dates) &lt;= 0,
                1,
                NETWORKDAYS(IF(NOT(ISBLANK(M2784)), M2784, L2784), N2784, Holiday_Dates)
                - IF(IF(NOT(ISBLANK(M2784)), M2784, L2784) = N2784, 0, 1)
            )
        )
    ),
    ""
)</f>
        <v/>
      </c>
      <c r="S2784" s="385" t="str">
        <f>IFERROR(
    IF(
        OR(ISBLANK(N2784), ISBLANK(O2784)),
        "",
        MAX(
            1,
            IF(
                NETWORKDAYS(N2784, O2784, Holiday_Dates) &lt;= 0,
                1,
                NETWORKDAYS(N2784, O2784, Holiday_Dates) - IF(N2784 = O2784, 0, 1)
            )
        )
    ),
    ""
)</f>
        <v/>
      </c>
      <c r="T2784" s="385"/>
      <c r="U2784" s="385"/>
      <c r="V2784" s="385"/>
      <c r="W2784" s="385" t="s">
        <v>4710</v>
      </c>
      <c r="X2784" s="1"/>
    </row>
    <row r="2785" spans="1:24">
      <c r="A2785" s="385" t="s">
        <v>52</v>
      </c>
      <c r="B2785" s="385" t="s">
        <v>324</v>
      </c>
      <c r="C2785" s="385" t="s">
        <v>4116</v>
      </c>
      <c r="D2785" s="385" t="s">
        <v>89</v>
      </c>
      <c r="E2785" s="385" t="s">
        <v>37</v>
      </c>
      <c r="F2785" s="385"/>
      <c r="G2785" s="385" t="s">
        <v>28</v>
      </c>
      <c r="H2785" s="385"/>
      <c r="I2785" s="385"/>
      <c r="J2785" s="30"/>
      <c r="K2785" s="385"/>
      <c r="L2785" s="385"/>
      <c r="M2785" s="385"/>
      <c r="N2785" s="385"/>
      <c r="O2785" s="385"/>
      <c r="P2785" s="385" t="str">
        <f>IFERROR(
    IF(
        OR(ISBLANK(I2785), ISBLANK(L2785)),
        "",
        MAX(
            1,
            IF(
                NETWORKDAYS(I2785, L2785, Holiday_Dates) &lt;= 0,
                1,
                NETWORKDAYS(I2785, L2785, Holiday_Dates) - IF(I2785 = L2785, 0, 1)
            )
        )
    ),
    ""
)</f>
        <v/>
      </c>
      <c r="Q2785" s="385" t="str">
        <f>IF(
    OR(ISBLANK(L2785), ISBLANK(M2785)),
    "",
    MAX(
        1,
        IF(
            NETWORKDAYS(L2785, M2785, Holiday_Dates) &lt;= 0,
            1,
            NETWORKDAYS(L2785, M2785, Holiday_Dates) - IF(L2785 = M2785, 0, 1)
        )
    )
)</f>
        <v/>
      </c>
      <c r="R2785" s="385" t="str">
        <f>IFERROR(
    IF(
        OR(ISBLANK(N2785), AND(ISBLANK(L2785), ISBLANK(M2785))),
        "",
        MAX(
            1,
            IF(
                NETWORKDAYS(IF(NOT(ISBLANK(M2785)), M2785, L2785), N2785, Holiday_Dates) &lt;= 0,
                1,
                NETWORKDAYS(IF(NOT(ISBLANK(M2785)), M2785, L2785), N2785, Holiday_Dates)
                - IF(IF(NOT(ISBLANK(M2785)), M2785, L2785) = N2785, 0, 1)
            )
        )
    ),
    ""
)</f>
        <v/>
      </c>
      <c r="S2785" s="385" t="str">
        <f>IFERROR(
    IF(
        OR(ISBLANK(N2785), ISBLANK(O2785)),
        "",
        MAX(
            1,
            IF(
                NETWORKDAYS(N2785, O2785, Holiday_Dates) &lt;= 0,
                1,
                NETWORKDAYS(N2785, O2785, Holiday_Dates) - IF(N2785 = O2785, 0, 1)
            )
        )
    ),
    ""
)</f>
        <v/>
      </c>
      <c r="T2785" s="385"/>
      <c r="U2785" s="385"/>
      <c r="V2785" s="385"/>
      <c r="W2785" s="385" t="s">
        <v>4710</v>
      </c>
      <c r="X2785" s="1"/>
    </row>
    <row r="2786" spans="1:24">
      <c r="A2786" s="385" t="s">
        <v>52</v>
      </c>
      <c r="B2786" s="385" t="s">
        <v>324</v>
      </c>
      <c r="C2786" s="385" t="s">
        <v>4042</v>
      </c>
      <c r="D2786" s="385" t="s">
        <v>89</v>
      </c>
      <c r="E2786" s="385" t="s">
        <v>37</v>
      </c>
      <c r="F2786" s="385"/>
      <c r="G2786" s="385" t="s">
        <v>28</v>
      </c>
      <c r="H2786" s="385"/>
      <c r="I2786" s="385"/>
      <c r="J2786" s="30"/>
      <c r="K2786" s="385"/>
      <c r="L2786" s="385"/>
      <c r="M2786" s="385"/>
      <c r="N2786" s="385"/>
      <c r="O2786" s="385"/>
      <c r="P2786" s="385" t="str">
        <f>IFERROR(
    IF(
        OR(ISBLANK(I2786), ISBLANK(L2786)),
        "",
        MAX(
            1,
            IF(
                NETWORKDAYS(I2786, L2786, Holiday_Dates) &lt;= 0,
                1,
                NETWORKDAYS(I2786, L2786, Holiday_Dates) - IF(I2786 = L2786, 0, 1)
            )
        )
    ),
    ""
)</f>
        <v/>
      </c>
      <c r="Q2786" s="385" t="str">
        <f>IF(
    OR(ISBLANK(L2786), ISBLANK(M2786)),
    "",
    MAX(
        1,
        IF(
            NETWORKDAYS(L2786, M2786, Holiday_Dates) &lt;= 0,
            1,
            NETWORKDAYS(L2786, M2786, Holiday_Dates) - IF(L2786 = M2786, 0, 1)
        )
    )
)</f>
        <v/>
      </c>
      <c r="R2786" s="385" t="str">
        <f>IFERROR(
    IF(
        OR(ISBLANK(N2786), AND(ISBLANK(L2786), ISBLANK(M2786))),
        "",
        MAX(
            1,
            IF(
                NETWORKDAYS(IF(NOT(ISBLANK(M2786)), M2786, L2786), N2786, Holiday_Dates) &lt;= 0,
                1,
                NETWORKDAYS(IF(NOT(ISBLANK(M2786)), M2786, L2786), N2786, Holiday_Dates)
                - IF(IF(NOT(ISBLANK(M2786)), M2786, L2786) = N2786, 0, 1)
            )
        )
    ),
    ""
)</f>
        <v/>
      </c>
      <c r="S2786" s="385" t="str">
        <f>IFERROR(
    IF(
        OR(ISBLANK(N2786), ISBLANK(O2786)),
        "",
        MAX(
            1,
            IF(
                NETWORKDAYS(N2786, O2786, Holiday_Dates) &lt;= 0,
                1,
                NETWORKDAYS(N2786, O2786, Holiday_Dates) - IF(N2786 = O2786, 0, 1)
            )
        )
    ),
    ""
)</f>
        <v/>
      </c>
      <c r="T2786" s="385"/>
      <c r="U2786" s="385"/>
      <c r="V2786" s="385"/>
      <c r="W2786" s="385" t="s">
        <v>4710</v>
      </c>
      <c r="X2786" s="1"/>
    </row>
    <row r="2787" spans="1:24">
      <c r="A2787" s="385" t="s">
        <v>52</v>
      </c>
      <c r="B2787" s="385" t="s">
        <v>324</v>
      </c>
      <c r="C2787" s="385" t="s">
        <v>764</v>
      </c>
      <c r="D2787" s="385" t="s">
        <v>89</v>
      </c>
      <c r="E2787" s="385" t="s">
        <v>37</v>
      </c>
      <c r="F2787" s="385"/>
      <c r="G2787" s="385" t="s">
        <v>28</v>
      </c>
      <c r="H2787" s="385"/>
      <c r="I2787" s="385"/>
      <c r="J2787" s="30"/>
      <c r="K2787" s="385"/>
      <c r="L2787" s="385"/>
      <c r="M2787" s="385"/>
      <c r="N2787" s="385"/>
      <c r="O2787" s="385"/>
      <c r="P2787" s="385" t="str">
        <f>IFERROR(
    IF(
        OR(ISBLANK(I2787), ISBLANK(L2787)),
        "",
        MAX(
            1,
            IF(
                NETWORKDAYS(I2787, L2787, Holiday_Dates) &lt;= 0,
                1,
                NETWORKDAYS(I2787, L2787, Holiday_Dates) - IF(I2787 = L2787, 0, 1)
            )
        )
    ),
    ""
)</f>
        <v/>
      </c>
      <c r="Q2787" s="385" t="str">
        <f>IF(
    OR(ISBLANK(L2787), ISBLANK(M2787)),
    "",
    MAX(
        1,
        IF(
            NETWORKDAYS(L2787, M2787, Holiday_Dates) &lt;= 0,
            1,
            NETWORKDAYS(L2787, M2787, Holiday_Dates) - IF(L2787 = M2787, 0, 1)
        )
    )
)</f>
        <v/>
      </c>
      <c r="R2787" s="385" t="str">
        <f>IFERROR(
    IF(
        OR(ISBLANK(N2787), AND(ISBLANK(L2787), ISBLANK(M2787))),
        "",
        MAX(
            1,
            IF(
                NETWORKDAYS(IF(NOT(ISBLANK(M2787)), M2787, L2787), N2787, Holiday_Dates) &lt;= 0,
                1,
                NETWORKDAYS(IF(NOT(ISBLANK(M2787)), M2787, L2787), N2787, Holiday_Dates)
                - IF(IF(NOT(ISBLANK(M2787)), M2787, L2787) = N2787, 0, 1)
            )
        )
    ),
    ""
)</f>
        <v/>
      </c>
      <c r="S2787" s="385" t="str">
        <f>IFERROR(
    IF(
        OR(ISBLANK(N2787), ISBLANK(O2787)),
        "",
        MAX(
            1,
            IF(
                NETWORKDAYS(N2787, O2787, Holiday_Dates) &lt;= 0,
                1,
                NETWORKDAYS(N2787, O2787, Holiday_Dates) - IF(N2787 = O2787, 0, 1)
            )
        )
    ),
    ""
)</f>
        <v/>
      </c>
      <c r="T2787" s="385"/>
      <c r="U2787" s="385"/>
      <c r="V2787" s="385"/>
      <c r="W2787" s="385" t="s">
        <v>4710</v>
      </c>
      <c r="X2787" s="1"/>
    </row>
    <row r="2788" spans="1:24">
      <c r="A2788" s="385" t="s">
        <v>52</v>
      </c>
      <c r="B2788" s="385" t="s">
        <v>4231</v>
      </c>
      <c r="C2788" s="385" t="s">
        <v>3386</v>
      </c>
      <c r="D2788" s="385" t="s">
        <v>88</v>
      </c>
      <c r="E2788" s="385" t="s">
        <v>37</v>
      </c>
      <c r="F2788" s="385"/>
      <c r="G2788" s="385" t="s">
        <v>28</v>
      </c>
      <c r="H2788" s="385">
        <v>2025</v>
      </c>
      <c r="I2788" s="386">
        <v>45678</v>
      </c>
      <c r="J2788" s="30" t="s">
        <v>5735</v>
      </c>
      <c r="K2788" s="385"/>
      <c r="L2788" s="385"/>
      <c r="M2788" s="385"/>
      <c r="N2788" s="385"/>
      <c r="O2788" s="385"/>
      <c r="P2788" s="385" t="str">
        <f>IFERROR(
    IF(
        OR(ISBLANK(I2788), ISBLANK(L2788)),
        "",
        MAX(
            1,
            IF(
                NETWORKDAYS(I2788, L2788, Holiday_Dates) &lt;= 0,
                1,
                NETWORKDAYS(I2788, L2788, Holiday_Dates) - IF(I2788 = L2788, 0, 1)
            )
        )
    ),
    ""
)</f>
        <v/>
      </c>
      <c r="Q2788" s="385" t="str">
        <f>IF(
    OR(ISBLANK(L2788), ISBLANK(M2788)),
    "",
    MAX(
        1,
        IF(
            NETWORKDAYS(L2788, M2788, Holiday_Dates) &lt;= 0,
            1,
            NETWORKDAYS(L2788, M2788, Holiday_Dates) - IF(L2788 = M2788, 0, 1)
        )
    )
)</f>
        <v/>
      </c>
      <c r="R2788" s="385" t="str">
        <f>IFERROR(
    IF(
        OR(ISBLANK(N2788), AND(ISBLANK(L2788), ISBLANK(M2788))),
        "",
        MAX(
            1,
            IF(
                NETWORKDAYS(IF(NOT(ISBLANK(M2788)), M2788, L2788), N2788, Holiday_Dates) &lt;= 0,
                1,
                NETWORKDAYS(IF(NOT(ISBLANK(M2788)), M2788, L2788), N2788, Holiday_Dates)
                - IF(IF(NOT(ISBLANK(M2788)), M2788, L2788) = N2788, 0, 1)
            )
        )
    ),
    ""
)</f>
        <v/>
      </c>
      <c r="S2788" s="385" t="str">
        <f>IFERROR(
    IF(
        OR(ISBLANK(N2788), ISBLANK(O2788)),
        "",
        MAX(
            1,
            IF(
                NETWORKDAYS(N2788, O2788, Holiday_Dates) &lt;= 0,
                1,
                NETWORKDAYS(N2788, O2788, Holiday_Dates) - IF(N2788 = O2788, 0, 1)
            )
        )
    ),
    ""
)</f>
        <v/>
      </c>
      <c r="T2788" s="385"/>
      <c r="U2788" s="385" t="s">
        <v>4</v>
      </c>
      <c r="V2788" s="385" t="s">
        <v>101</v>
      </c>
      <c r="W2788" s="385" t="s">
        <v>1436</v>
      </c>
      <c r="X2788" s="1"/>
    </row>
    <row r="2789" spans="1:24">
      <c r="A2789" s="385" t="s">
        <v>52</v>
      </c>
      <c r="B2789" s="385" t="s">
        <v>4231</v>
      </c>
      <c r="C2789" s="385" t="s">
        <v>4256</v>
      </c>
      <c r="D2789" s="385" t="s">
        <v>88</v>
      </c>
      <c r="E2789" s="385"/>
      <c r="F2789" s="385"/>
      <c r="G2789" s="385"/>
      <c r="H2789" s="385">
        <v>2025</v>
      </c>
      <c r="I2789" s="386">
        <v>45910</v>
      </c>
      <c r="J2789" s="30" t="s">
        <v>5736</v>
      </c>
      <c r="K2789" s="385"/>
      <c r="L2789" s="385"/>
      <c r="M2789" s="385"/>
      <c r="N2789" s="385"/>
      <c r="O2789" s="385"/>
      <c r="P2789" s="385" t="str">
        <f>IFERROR(
    IF(
        OR(ISBLANK(I2789), ISBLANK(L2789)),
        "",
        MAX(
            1,
            IF(
                NETWORKDAYS(I2789, L2789, Holiday_Dates) &lt;= 0,
                1,
                NETWORKDAYS(I2789, L2789, Holiday_Dates) - IF(I2789 = L2789, 0, 1)
            )
        )
    ),
    ""
)</f>
        <v/>
      </c>
      <c r="Q2789" s="385" t="str">
        <f>IF(
    OR(ISBLANK(L2789), ISBLANK(M2789)),
    "",
    MAX(
        1,
        IF(
            NETWORKDAYS(L2789, M2789, Holiday_Dates) &lt;= 0,
            1,
            NETWORKDAYS(L2789, M2789, Holiday_Dates) - IF(L2789 = M2789, 0, 1)
        )
    )
)</f>
        <v/>
      </c>
      <c r="R2789" s="385" t="str">
        <f>IFERROR(
    IF(
        OR(ISBLANK(N2789), AND(ISBLANK(L2789), ISBLANK(M2789))),
        "",
        MAX(
            1,
            IF(
                NETWORKDAYS(IF(NOT(ISBLANK(M2789)), M2789, L2789), N2789, Holiday_Dates) &lt;= 0,
                1,
                NETWORKDAYS(IF(NOT(ISBLANK(M2789)), M2789, L2789), N2789, Holiday_Dates)
                - IF(IF(NOT(ISBLANK(M2789)), M2789, L2789) = N2789, 0, 1)
            )
        )
    ),
    ""
)</f>
        <v/>
      </c>
      <c r="S2789" s="385" t="str">
        <f>IFERROR(
    IF(
        OR(ISBLANK(N2789), ISBLANK(O2789)),
        "",
        MAX(
            1,
            IF(
                NETWORKDAYS(N2789, O2789, Holiday_Dates) &lt;= 0,
                1,
                NETWORKDAYS(N2789, O2789, Holiday_Dates) - IF(N2789 = O2789, 0, 1)
            )
        )
    ),
    ""
)</f>
        <v/>
      </c>
      <c r="T2789" s="385"/>
      <c r="U2789" s="385" t="s">
        <v>4</v>
      </c>
      <c r="V2789" s="385" t="s">
        <v>101</v>
      </c>
      <c r="W2789" s="385" t="s">
        <v>1436</v>
      </c>
      <c r="X2789" s="1"/>
    </row>
    <row r="2790" spans="1:24">
      <c r="A2790" s="385" t="s">
        <v>52</v>
      </c>
      <c r="B2790" s="385" t="s">
        <v>324</v>
      </c>
      <c r="C2790" s="385" t="s">
        <v>2234</v>
      </c>
      <c r="D2790" s="385" t="s">
        <v>89</v>
      </c>
      <c r="E2790" s="385" t="s">
        <v>37</v>
      </c>
      <c r="F2790" s="385"/>
      <c r="G2790" s="385" t="s">
        <v>28</v>
      </c>
      <c r="H2790" s="385"/>
      <c r="I2790" s="385"/>
      <c r="J2790" s="30"/>
      <c r="K2790" s="385"/>
      <c r="L2790" s="385"/>
      <c r="M2790" s="385"/>
      <c r="N2790" s="385"/>
      <c r="O2790" s="385"/>
      <c r="P2790" s="385" t="str">
        <f>IFERROR(
    IF(
        OR(ISBLANK(I2790), ISBLANK(L2790)),
        "",
        MAX(
            1,
            IF(
                NETWORKDAYS(I2790, L2790, Holiday_Dates) &lt;= 0,
                1,
                NETWORKDAYS(I2790, L2790, Holiday_Dates) - IF(I2790 = L2790, 0, 1)
            )
        )
    ),
    ""
)</f>
        <v/>
      </c>
      <c r="Q2790" s="385" t="str">
        <f>IF(
    OR(ISBLANK(L2790), ISBLANK(M2790)),
    "",
    MAX(
        1,
        IF(
            NETWORKDAYS(L2790, M2790, Holiday_Dates) &lt;= 0,
            1,
            NETWORKDAYS(L2790, M2790, Holiday_Dates) - IF(L2790 = M2790, 0, 1)
        )
    )
)</f>
        <v/>
      </c>
      <c r="R2790" s="385" t="str">
        <f>IFERROR(
    IF(
        OR(ISBLANK(N2790), AND(ISBLANK(L2790), ISBLANK(M2790))),
        "",
        MAX(
            1,
            IF(
                NETWORKDAYS(IF(NOT(ISBLANK(M2790)), M2790, L2790), N2790, Holiday_Dates) &lt;= 0,
                1,
                NETWORKDAYS(IF(NOT(ISBLANK(M2790)), M2790, L2790), N2790, Holiday_Dates)
                - IF(IF(NOT(ISBLANK(M2790)), M2790, L2790) = N2790, 0, 1)
            )
        )
    ),
    ""
)</f>
        <v/>
      </c>
      <c r="S2790" s="385" t="str">
        <f>IFERROR(
    IF(
        OR(ISBLANK(N2790), ISBLANK(O2790)),
        "",
        MAX(
            1,
            IF(
                NETWORKDAYS(N2790, O2790, Holiday_Dates) &lt;= 0,
                1,
                NETWORKDAYS(N2790, O2790, Holiday_Dates) - IF(N2790 = O2790, 0, 1)
            )
        )
    ),
    ""
)</f>
        <v/>
      </c>
      <c r="T2790" s="385"/>
      <c r="U2790" s="385"/>
      <c r="V2790" s="385"/>
      <c r="W2790" s="385" t="s">
        <v>4710</v>
      </c>
      <c r="X2790" s="1"/>
    </row>
    <row r="2791" spans="1:24">
      <c r="A2791" s="385" t="s">
        <v>52</v>
      </c>
      <c r="B2791" s="385" t="s">
        <v>324</v>
      </c>
      <c r="C2791" s="385" t="s">
        <v>4125</v>
      </c>
      <c r="D2791" s="385" t="s">
        <v>89</v>
      </c>
      <c r="E2791" s="385" t="s">
        <v>37</v>
      </c>
      <c r="F2791" s="385"/>
      <c r="G2791" s="385" t="s">
        <v>28</v>
      </c>
      <c r="H2791" s="385"/>
      <c r="I2791" s="385"/>
      <c r="J2791" s="30"/>
      <c r="K2791" s="385"/>
      <c r="L2791" s="385"/>
      <c r="M2791" s="385"/>
      <c r="N2791" s="385"/>
      <c r="O2791" s="385"/>
      <c r="P2791" s="385" t="str">
        <f>IFERROR(
    IF(
        OR(ISBLANK(I2791), ISBLANK(L2791)),
        "",
        MAX(
            1,
            IF(
                NETWORKDAYS(I2791, L2791, Holiday_Dates) &lt;= 0,
                1,
                NETWORKDAYS(I2791, L2791, Holiday_Dates) - IF(I2791 = L2791, 0, 1)
            )
        )
    ),
    ""
)</f>
        <v/>
      </c>
      <c r="Q2791" s="385" t="str">
        <f>IF(
    OR(ISBLANK(L2791), ISBLANK(M2791)),
    "",
    MAX(
        1,
        IF(
            NETWORKDAYS(L2791, M2791, Holiday_Dates) &lt;= 0,
            1,
            NETWORKDAYS(L2791, M2791, Holiday_Dates) - IF(L2791 = M2791, 0, 1)
        )
    )
)</f>
        <v/>
      </c>
      <c r="R2791" s="385" t="str">
        <f>IFERROR(
    IF(
        OR(ISBLANK(N2791), AND(ISBLANK(L2791), ISBLANK(M2791))),
        "",
        MAX(
            1,
            IF(
                NETWORKDAYS(IF(NOT(ISBLANK(M2791)), M2791, L2791), N2791, Holiday_Dates) &lt;= 0,
                1,
                NETWORKDAYS(IF(NOT(ISBLANK(M2791)), M2791, L2791), N2791, Holiday_Dates)
                - IF(IF(NOT(ISBLANK(M2791)), M2791, L2791) = N2791, 0, 1)
            )
        )
    ),
    ""
)</f>
        <v/>
      </c>
      <c r="S2791" s="385" t="str">
        <f>IFERROR(
    IF(
        OR(ISBLANK(N2791), ISBLANK(O2791)),
        "",
        MAX(
            1,
            IF(
                NETWORKDAYS(N2791, O2791, Holiday_Dates) &lt;= 0,
                1,
                NETWORKDAYS(N2791, O2791, Holiday_Dates) - IF(N2791 = O2791, 0, 1)
            )
        )
    ),
    ""
)</f>
        <v/>
      </c>
      <c r="T2791" s="385"/>
      <c r="U2791" s="385"/>
      <c r="V2791" s="385"/>
      <c r="W2791" s="385" t="s">
        <v>4710</v>
      </c>
      <c r="X2791" s="1"/>
    </row>
    <row r="2792" spans="1:24">
      <c r="A2792" s="385" t="s">
        <v>52</v>
      </c>
      <c r="B2792" s="385" t="s">
        <v>324</v>
      </c>
      <c r="C2792" s="385" t="s">
        <v>4130</v>
      </c>
      <c r="D2792" s="385" t="s">
        <v>89</v>
      </c>
      <c r="E2792" s="385" t="s">
        <v>37</v>
      </c>
      <c r="F2792" s="385"/>
      <c r="G2792" s="385" t="s">
        <v>28</v>
      </c>
      <c r="H2792" s="385"/>
      <c r="I2792" s="385"/>
      <c r="J2792" s="30"/>
      <c r="K2792" s="385"/>
      <c r="L2792" s="385"/>
      <c r="M2792" s="385"/>
      <c r="N2792" s="385"/>
      <c r="O2792" s="385"/>
      <c r="P2792" s="385" t="str">
        <f>IFERROR(
    IF(
        OR(ISBLANK(I2792), ISBLANK(L2792)),
        "",
        MAX(
            1,
            IF(
                NETWORKDAYS(I2792, L2792, Holiday_Dates) &lt;= 0,
                1,
                NETWORKDAYS(I2792, L2792, Holiday_Dates) - IF(I2792 = L2792, 0, 1)
            )
        )
    ),
    ""
)</f>
        <v/>
      </c>
      <c r="Q2792" s="385" t="str">
        <f>IF(
    OR(ISBLANK(L2792), ISBLANK(M2792)),
    "",
    MAX(
        1,
        IF(
            NETWORKDAYS(L2792, M2792, Holiday_Dates) &lt;= 0,
            1,
            NETWORKDAYS(L2792, M2792, Holiday_Dates) - IF(L2792 = M2792, 0, 1)
        )
    )
)</f>
        <v/>
      </c>
      <c r="R2792" s="385" t="str">
        <f>IFERROR(
    IF(
        OR(ISBLANK(N2792), AND(ISBLANK(L2792), ISBLANK(M2792))),
        "",
        MAX(
            1,
            IF(
                NETWORKDAYS(IF(NOT(ISBLANK(M2792)), M2792, L2792), N2792, Holiday_Dates) &lt;= 0,
                1,
                NETWORKDAYS(IF(NOT(ISBLANK(M2792)), M2792, L2792), N2792, Holiday_Dates)
                - IF(IF(NOT(ISBLANK(M2792)), M2792, L2792) = N2792, 0, 1)
            )
        )
    ),
    ""
)</f>
        <v/>
      </c>
      <c r="S2792" s="385" t="str">
        <f>IFERROR(
    IF(
        OR(ISBLANK(N2792), ISBLANK(O2792)),
        "",
        MAX(
            1,
            IF(
                NETWORKDAYS(N2792, O2792, Holiday_Dates) &lt;= 0,
                1,
                NETWORKDAYS(N2792, O2792, Holiday_Dates) - IF(N2792 = O2792, 0, 1)
            )
        )
    ),
    ""
)</f>
        <v/>
      </c>
      <c r="T2792" s="385"/>
      <c r="U2792" s="385"/>
      <c r="V2792" s="385"/>
      <c r="W2792" s="385" t="s">
        <v>4710</v>
      </c>
      <c r="X2792" s="1"/>
    </row>
    <row r="2793" spans="1:24">
      <c r="A2793" s="385" t="s">
        <v>52</v>
      </c>
      <c r="B2793" s="385" t="s">
        <v>324</v>
      </c>
      <c r="C2793" s="385" t="s">
        <v>4131</v>
      </c>
      <c r="D2793" s="385" t="s">
        <v>89</v>
      </c>
      <c r="E2793" s="385" t="s">
        <v>37</v>
      </c>
      <c r="F2793" s="385"/>
      <c r="G2793" s="385" t="s">
        <v>28</v>
      </c>
      <c r="H2793" s="385"/>
      <c r="I2793" s="385"/>
      <c r="J2793" s="30"/>
      <c r="K2793" s="385"/>
      <c r="L2793" s="385"/>
      <c r="M2793" s="385"/>
      <c r="N2793" s="385"/>
      <c r="O2793" s="385"/>
      <c r="P2793" s="385" t="str">
        <f>IFERROR(
    IF(
        OR(ISBLANK(I2793), ISBLANK(L2793)),
        "",
        MAX(
            1,
            IF(
                NETWORKDAYS(I2793, L2793, Holiday_Dates) &lt;= 0,
                1,
                NETWORKDAYS(I2793, L2793, Holiday_Dates) - IF(I2793 = L2793, 0, 1)
            )
        )
    ),
    ""
)</f>
        <v/>
      </c>
      <c r="Q2793" s="385" t="str">
        <f>IF(
    OR(ISBLANK(L2793), ISBLANK(M2793)),
    "",
    MAX(
        1,
        IF(
            NETWORKDAYS(L2793, M2793, Holiday_Dates) &lt;= 0,
            1,
            NETWORKDAYS(L2793, M2793, Holiday_Dates) - IF(L2793 = M2793, 0, 1)
        )
    )
)</f>
        <v/>
      </c>
      <c r="R2793" s="385" t="str">
        <f>IFERROR(
    IF(
        OR(ISBLANK(N2793), AND(ISBLANK(L2793), ISBLANK(M2793))),
        "",
        MAX(
            1,
            IF(
                NETWORKDAYS(IF(NOT(ISBLANK(M2793)), M2793, L2793), N2793, Holiday_Dates) &lt;= 0,
                1,
                NETWORKDAYS(IF(NOT(ISBLANK(M2793)), M2793, L2793), N2793, Holiday_Dates)
                - IF(IF(NOT(ISBLANK(M2793)), M2793, L2793) = N2793, 0, 1)
            )
        )
    ),
    ""
)</f>
        <v/>
      </c>
      <c r="S2793" s="385" t="str">
        <f>IFERROR(
    IF(
        OR(ISBLANK(N2793), ISBLANK(O2793)),
        "",
        MAX(
            1,
            IF(
                NETWORKDAYS(N2793, O2793, Holiday_Dates) &lt;= 0,
                1,
                NETWORKDAYS(N2793, O2793, Holiday_Dates) - IF(N2793 = O2793, 0, 1)
            )
        )
    ),
    ""
)</f>
        <v/>
      </c>
      <c r="T2793" s="385"/>
      <c r="U2793" s="385"/>
      <c r="V2793" s="385"/>
      <c r="W2793" s="385" t="s">
        <v>4710</v>
      </c>
      <c r="X2793" s="1"/>
    </row>
    <row r="2794" spans="1:24">
      <c r="A2794" s="385" t="s">
        <v>52</v>
      </c>
      <c r="B2794" s="385" t="s">
        <v>324</v>
      </c>
      <c r="C2794" s="385" t="s">
        <v>4132</v>
      </c>
      <c r="D2794" s="385" t="s">
        <v>89</v>
      </c>
      <c r="E2794" s="385" t="s">
        <v>37</v>
      </c>
      <c r="F2794" s="385"/>
      <c r="G2794" s="385" t="s">
        <v>28</v>
      </c>
      <c r="H2794" s="385"/>
      <c r="I2794" s="385"/>
      <c r="J2794" s="30"/>
      <c r="K2794" s="385"/>
      <c r="L2794" s="385"/>
      <c r="M2794" s="385"/>
      <c r="N2794" s="385"/>
      <c r="O2794" s="385"/>
      <c r="P2794" s="385" t="str">
        <f>IFERROR(
    IF(
        OR(ISBLANK(I2794), ISBLANK(L2794)),
        "",
        MAX(
            1,
            IF(
                NETWORKDAYS(I2794, L2794, Holiday_Dates) &lt;= 0,
                1,
                NETWORKDAYS(I2794, L2794, Holiday_Dates) - IF(I2794 = L2794, 0, 1)
            )
        )
    ),
    ""
)</f>
        <v/>
      </c>
      <c r="Q2794" s="385" t="str">
        <f>IF(
    OR(ISBLANK(L2794), ISBLANK(M2794)),
    "",
    MAX(
        1,
        IF(
            NETWORKDAYS(L2794, M2794, Holiday_Dates) &lt;= 0,
            1,
            NETWORKDAYS(L2794, M2794, Holiday_Dates) - IF(L2794 = M2794, 0, 1)
        )
    )
)</f>
        <v/>
      </c>
      <c r="R2794" s="385" t="str">
        <f>IFERROR(
    IF(
        OR(ISBLANK(N2794), AND(ISBLANK(L2794), ISBLANK(M2794))),
        "",
        MAX(
            1,
            IF(
                NETWORKDAYS(IF(NOT(ISBLANK(M2794)), M2794, L2794), N2794, Holiday_Dates) &lt;= 0,
                1,
                NETWORKDAYS(IF(NOT(ISBLANK(M2794)), M2794, L2794), N2794, Holiday_Dates)
                - IF(IF(NOT(ISBLANK(M2794)), M2794, L2794) = N2794, 0, 1)
            )
        )
    ),
    ""
)</f>
        <v/>
      </c>
      <c r="S2794" s="385" t="str">
        <f>IFERROR(
    IF(
        OR(ISBLANK(N2794), ISBLANK(O2794)),
        "",
        MAX(
            1,
            IF(
                NETWORKDAYS(N2794, O2794, Holiday_Dates) &lt;= 0,
                1,
                NETWORKDAYS(N2794, O2794, Holiday_Dates) - IF(N2794 = O2794, 0, 1)
            )
        )
    ),
    ""
)</f>
        <v/>
      </c>
      <c r="T2794" s="385"/>
      <c r="U2794" s="385"/>
      <c r="V2794" s="385"/>
      <c r="W2794" s="385" t="s">
        <v>4710</v>
      </c>
      <c r="X2794" s="1"/>
    </row>
    <row r="2795" spans="1:24">
      <c r="A2795" s="385" t="s">
        <v>52</v>
      </c>
      <c r="B2795" s="385" t="s">
        <v>424</v>
      </c>
      <c r="C2795" s="385" t="s">
        <v>4148</v>
      </c>
      <c r="D2795" s="385" t="s">
        <v>89</v>
      </c>
      <c r="E2795" s="385" t="s">
        <v>37</v>
      </c>
      <c r="F2795" s="385"/>
      <c r="G2795" s="385" t="s">
        <v>28</v>
      </c>
      <c r="H2795" s="385"/>
      <c r="I2795" s="385"/>
      <c r="J2795" s="30"/>
      <c r="K2795" s="385"/>
      <c r="L2795" s="385"/>
      <c r="M2795" s="385"/>
      <c r="N2795" s="385"/>
      <c r="O2795" s="385"/>
      <c r="P2795" s="385" t="str">
        <f>IFERROR(
    IF(
        OR(ISBLANK(I2795), ISBLANK(L2795)),
        "",
        MAX(
            1,
            IF(
                NETWORKDAYS(I2795, L2795, Holiday_Dates) &lt;= 0,
                1,
                NETWORKDAYS(I2795, L2795, Holiday_Dates) - IF(I2795 = L2795, 0, 1)
            )
        )
    ),
    ""
)</f>
        <v/>
      </c>
      <c r="Q2795" s="385" t="str">
        <f>IF(
    OR(ISBLANK(L2795), ISBLANK(M2795)),
    "",
    MAX(
        1,
        IF(
            NETWORKDAYS(L2795, M2795, Holiday_Dates) &lt;= 0,
            1,
            NETWORKDAYS(L2795, M2795, Holiday_Dates) - IF(L2795 = M2795, 0, 1)
        )
    )
)</f>
        <v/>
      </c>
      <c r="R2795" s="385" t="str">
        <f>IFERROR(
    IF(
        OR(ISBLANK(N2795), AND(ISBLANK(L2795), ISBLANK(M2795))),
        "",
        MAX(
            1,
            IF(
                NETWORKDAYS(IF(NOT(ISBLANK(M2795)), M2795, L2795), N2795, Holiday_Dates) &lt;= 0,
                1,
                NETWORKDAYS(IF(NOT(ISBLANK(M2795)), M2795, L2795), N2795, Holiday_Dates)
                - IF(IF(NOT(ISBLANK(M2795)), M2795, L2795) = N2795, 0, 1)
            )
        )
    ),
    ""
)</f>
        <v/>
      </c>
      <c r="S2795" s="385" t="str">
        <f>IFERROR(
    IF(
        OR(ISBLANK(N2795), ISBLANK(O2795)),
        "",
        MAX(
            1,
            IF(
                NETWORKDAYS(N2795, O2795, Holiday_Dates) &lt;= 0,
                1,
                NETWORKDAYS(N2795, O2795, Holiday_Dates) - IF(N2795 = O2795, 0, 1)
            )
        )
    ),
    ""
)</f>
        <v/>
      </c>
      <c r="T2795" s="385"/>
      <c r="U2795" s="385"/>
      <c r="V2795" s="385"/>
      <c r="W2795" s="385" t="s">
        <v>4710</v>
      </c>
      <c r="X2795" s="1"/>
    </row>
    <row r="2796" spans="1:24">
      <c r="A2796" s="385" t="s">
        <v>52</v>
      </c>
      <c r="B2796" s="385" t="s">
        <v>4231</v>
      </c>
      <c r="C2796" s="385" t="s">
        <v>1532</v>
      </c>
      <c r="D2796" s="385" t="s">
        <v>88</v>
      </c>
      <c r="E2796" s="385"/>
      <c r="F2796" s="385"/>
      <c r="G2796" s="385"/>
      <c r="H2796" s="385">
        <v>2025</v>
      </c>
      <c r="I2796" s="386">
        <v>45678</v>
      </c>
      <c r="J2796" s="30" t="s">
        <v>5737</v>
      </c>
      <c r="K2796" s="385"/>
      <c r="L2796" s="385"/>
      <c r="M2796" s="385"/>
      <c r="N2796" s="385"/>
      <c r="O2796" s="385"/>
      <c r="P2796" s="385" t="str">
        <f>IFERROR(
    IF(
        OR(ISBLANK(I2796), ISBLANK(L2796)),
        "",
        MAX(
            1,
            IF(
                NETWORKDAYS(I2796, L2796, Holiday_Dates) &lt;= 0,
                1,
                NETWORKDAYS(I2796, L2796, Holiday_Dates) - IF(I2796 = L2796, 0, 1)
            )
        )
    ),
    ""
)</f>
        <v/>
      </c>
      <c r="Q2796" s="385" t="str">
        <f>IF(
    OR(ISBLANK(L2796), ISBLANK(M2796)),
    "",
    MAX(
        1,
        IF(
            NETWORKDAYS(L2796, M2796, Holiday_Dates) &lt;= 0,
            1,
            NETWORKDAYS(L2796, M2796, Holiday_Dates) - IF(L2796 = M2796, 0, 1)
        )
    )
)</f>
        <v/>
      </c>
      <c r="R2796" s="385" t="str">
        <f>IFERROR(
    IF(
        OR(ISBLANK(N2796), AND(ISBLANK(L2796), ISBLANK(M2796))),
        "",
        MAX(
            1,
            IF(
                NETWORKDAYS(IF(NOT(ISBLANK(M2796)), M2796, L2796), N2796, Holiday_Dates) &lt;= 0,
                1,
                NETWORKDAYS(IF(NOT(ISBLANK(M2796)), M2796, L2796), N2796, Holiday_Dates)
                - IF(IF(NOT(ISBLANK(M2796)), M2796, L2796) = N2796, 0, 1)
            )
        )
    ),
    ""
)</f>
        <v/>
      </c>
      <c r="S2796" s="385" t="str">
        <f>IFERROR(
    IF(
        OR(ISBLANK(N2796), ISBLANK(O2796)),
        "",
        MAX(
            1,
            IF(
                NETWORKDAYS(N2796, O2796, Holiday_Dates) &lt;= 0,
                1,
                NETWORKDAYS(N2796, O2796, Holiday_Dates) - IF(N2796 = O2796, 0, 1)
            )
        )
    ),
    ""
)</f>
        <v/>
      </c>
      <c r="T2796" s="385"/>
      <c r="U2796" s="385" t="s">
        <v>672</v>
      </c>
      <c r="V2796" s="385" t="s">
        <v>101</v>
      </c>
      <c r="W2796" s="385" t="s">
        <v>1436</v>
      </c>
      <c r="X2796" s="1"/>
    </row>
    <row r="2797" spans="1:24">
      <c r="A2797" s="385" t="s">
        <v>52</v>
      </c>
      <c r="B2797" s="385" t="s">
        <v>424</v>
      </c>
      <c r="C2797" s="385" t="s">
        <v>4150</v>
      </c>
      <c r="D2797" s="385" t="s">
        <v>89</v>
      </c>
      <c r="E2797" s="385" t="s">
        <v>37</v>
      </c>
      <c r="F2797" s="385"/>
      <c r="G2797" s="385" t="s">
        <v>28</v>
      </c>
      <c r="H2797" s="385"/>
      <c r="I2797" s="385"/>
      <c r="J2797" s="30"/>
      <c r="K2797" s="385"/>
      <c r="L2797" s="385"/>
      <c r="M2797" s="385"/>
      <c r="N2797" s="385"/>
      <c r="O2797" s="385"/>
      <c r="P2797" s="385" t="str">
        <f>IFERROR(
    IF(
        OR(ISBLANK(I2797), ISBLANK(L2797)),
        "",
        MAX(
            1,
            IF(
                NETWORKDAYS(I2797, L2797, Holiday_Dates) &lt;= 0,
                1,
                NETWORKDAYS(I2797, L2797, Holiday_Dates) - IF(I2797 = L2797, 0, 1)
            )
        )
    ),
    ""
)</f>
        <v/>
      </c>
      <c r="Q2797" s="385" t="str">
        <f>IF(
    OR(ISBLANK(L2797), ISBLANK(M2797)),
    "",
    MAX(
        1,
        IF(
            NETWORKDAYS(L2797, M2797, Holiday_Dates) &lt;= 0,
            1,
            NETWORKDAYS(L2797, M2797, Holiday_Dates) - IF(L2797 = M2797, 0, 1)
        )
    )
)</f>
        <v/>
      </c>
      <c r="R2797" s="385" t="str">
        <f>IFERROR(
    IF(
        OR(ISBLANK(N2797), AND(ISBLANK(L2797), ISBLANK(M2797))),
        "",
        MAX(
            1,
            IF(
                NETWORKDAYS(IF(NOT(ISBLANK(M2797)), M2797, L2797), N2797, Holiday_Dates) &lt;= 0,
                1,
                NETWORKDAYS(IF(NOT(ISBLANK(M2797)), M2797, L2797), N2797, Holiday_Dates)
                - IF(IF(NOT(ISBLANK(M2797)), M2797, L2797) = N2797, 0, 1)
            )
        )
    ),
    ""
)</f>
        <v/>
      </c>
      <c r="S2797" s="385" t="str">
        <f>IFERROR(
    IF(
        OR(ISBLANK(N2797), ISBLANK(O2797)),
        "",
        MAX(
            1,
            IF(
                NETWORKDAYS(N2797, O2797, Holiday_Dates) &lt;= 0,
                1,
                NETWORKDAYS(N2797, O2797, Holiday_Dates) - IF(N2797 = O2797, 0, 1)
            )
        )
    ),
    ""
)</f>
        <v/>
      </c>
      <c r="T2797" s="385"/>
      <c r="U2797" s="385"/>
      <c r="V2797" s="385"/>
      <c r="W2797" s="385" t="s">
        <v>4710</v>
      </c>
      <c r="X2797" s="1"/>
    </row>
    <row r="2798" spans="1:24">
      <c r="A2798" s="385" t="s">
        <v>52</v>
      </c>
      <c r="B2798" s="385" t="s">
        <v>424</v>
      </c>
      <c r="C2798" s="385" t="s">
        <v>4152</v>
      </c>
      <c r="D2798" s="385" t="s">
        <v>89</v>
      </c>
      <c r="E2798" s="385" t="s">
        <v>37</v>
      </c>
      <c r="F2798" s="385"/>
      <c r="G2798" s="385" t="s">
        <v>28</v>
      </c>
      <c r="H2798" s="385"/>
      <c r="I2798" s="385"/>
      <c r="J2798" s="30"/>
      <c r="K2798" s="385"/>
      <c r="L2798" s="385"/>
      <c r="M2798" s="385"/>
      <c r="N2798" s="385"/>
      <c r="O2798" s="385"/>
      <c r="P2798" s="385" t="str">
        <f>IFERROR(
    IF(
        OR(ISBLANK(I2798), ISBLANK(L2798)),
        "",
        MAX(
            1,
            IF(
                NETWORKDAYS(I2798, L2798, Holiday_Dates) &lt;= 0,
                1,
                NETWORKDAYS(I2798, L2798, Holiday_Dates) - IF(I2798 = L2798, 0, 1)
            )
        )
    ),
    ""
)</f>
        <v/>
      </c>
      <c r="Q2798" s="385" t="str">
        <f>IF(
    OR(ISBLANK(L2798), ISBLANK(M2798)),
    "",
    MAX(
        1,
        IF(
            NETWORKDAYS(L2798, M2798, Holiday_Dates) &lt;= 0,
            1,
            NETWORKDAYS(L2798, M2798, Holiday_Dates) - IF(L2798 = M2798, 0, 1)
        )
    )
)</f>
        <v/>
      </c>
      <c r="R2798" s="385" t="str">
        <f>IFERROR(
    IF(
        OR(ISBLANK(N2798), AND(ISBLANK(L2798), ISBLANK(M2798))),
        "",
        MAX(
            1,
            IF(
                NETWORKDAYS(IF(NOT(ISBLANK(M2798)), M2798, L2798), N2798, Holiday_Dates) &lt;= 0,
                1,
                NETWORKDAYS(IF(NOT(ISBLANK(M2798)), M2798, L2798), N2798, Holiday_Dates)
                - IF(IF(NOT(ISBLANK(M2798)), M2798, L2798) = N2798, 0, 1)
            )
        )
    ),
    ""
)</f>
        <v/>
      </c>
      <c r="S2798" s="385" t="str">
        <f>IFERROR(
    IF(
        OR(ISBLANK(N2798), ISBLANK(O2798)),
        "",
        MAX(
            1,
            IF(
                NETWORKDAYS(N2798, O2798, Holiday_Dates) &lt;= 0,
                1,
                NETWORKDAYS(N2798, O2798, Holiday_Dates) - IF(N2798 = O2798, 0, 1)
            )
        )
    ),
    ""
)</f>
        <v/>
      </c>
      <c r="T2798" s="385"/>
      <c r="U2798" s="385"/>
      <c r="V2798" s="385"/>
      <c r="W2798" s="385" t="s">
        <v>4710</v>
      </c>
      <c r="X2798" s="1"/>
    </row>
    <row r="2799" spans="1:24">
      <c r="A2799" s="385" t="s">
        <v>52</v>
      </c>
      <c r="B2799" s="385" t="s">
        <v>424</v>
      </c>
      <c r="C2799" s="385" t="s">
        <v>1998</v>
      </c>
      <c r="D2799" s="385" t="s">
        <v>89</v>
      </c>
      <c r="E2799" s="385" t="s">
        <v>37</v>
      </c>
      <c r="F2799" s="385"/>
      <c r="G2799" s="385" t="s">
        <v>28</v>
      </c>
      <c r="H2799" s="385"/>
      <c r="I2799" s="385"/>
      <c r="J2799" s="30"/>
      <c r="K2799" s="385"/>
      <c r="L2799" s="385"/>
      <c r="M2799" s="385"/>
      <c r="N2799" s="385"/>
      <c r="O2799" s="385"/>
      <c r="P2799" s="385" t="str">
        <f>IFERROR(
    IF(
        OR(ISBLANK(I2799), ISBLANK(L2799)),
        "",
        MAX(
            1,
            IF(
                NETWORKDAYS(I2799, L2799, Holiday_Dates) &lt;= 0,
                1,
                NETWORKDAYS(I2799, L2799, Holiday_Dates) - IF(I2799 = L2799, 0, 1)
            )
        )
    ),
    ""
)</f>
        <v/>
      </c>
      <c r="Q2799" s="385" t="str">
        <f>IF(
    OR(ISBLANK(L2799), ISBLANK(M2799)),
    "",
    MAX(
        1,
        IF(
            NETWORKDAYS(L2799, M2799, Holiday_Dates) &lt;= 0,
            1,
            NETWORKDAYS(L2799, M2799, Holiday_Dates) - IF(L2799 = M2799, 0, 1)
        )
    )
)</f>
        <v/>
      </c>
      <c r="R2799" s="385" t="str">
        <f>IFERROR(
    IF(
        OR(ISBLANK(N2799), AND(ISBLANK(L2799), ISBLANK(M2799))),
        "",
        MAX(
            1,
            IF(
                NETWORKDAYS(IF(NOT(ISBLANK(M2799)), M2799, L2799), N2799, Holiday_Dates) &lt;= 0,
                1,
                NETWORKDAYS(IF(NOT(ISBLANK(M2799)), M2799, L2799), N2799, Holiday_Dates)
                - IF(IF(NOT(ISBLANK(M2799)), M2799, L2799) = N2799, 0, 1)
            )
        )
    ),
    ""
)</f>
        <v/>
      </c>
      <c r="S2799" s="385" t="str">
        <f>IFERROR(
    IF(
        OR(ISBLANK(N2799), ISBLANK(O2799)),
        "",
        MAX(
            1,
            IF(
                NETWORKDAYS(N2799, O2799, Holiday_Dates) &lt;= 0,
                1,
                NETWORKDAYS(N2799, O2799, Holiday_Dates) - IF(N2799 = O2799, 0, 1)
            )
        )
    ),
    ""
)</f>
        <v/>
      </c>
      <c r="T2799" s="385"/>
      <c r="U2799" s="385"/>
      <c r="V2799" s="385"/>
      <c r="W2799" s="385" t="s">
        <v>4710</v>
      </c>
      <c r="X2799" s="1"/>
    </row>
    <row r="2800" spans="1:24">
      <c r="A2800" s="385" t="s">
        <v>52</v>
      </c>
      <c r="B2800" s="385" t="s">
        <v>424</v>
      </c>
      <c r="C2800" s="385" t="s">
        <v>4157</v>
      </c>
      <c r="D2800" s="385" t="s">
        <v>89</v>
      </c>
      <c r="E2800" s="385" t="s">
        <v>37</v>
      </c>
      <c r="F2800" s="385"/>
      <c r="G2800" s="385" t="s">
        <v>28</v>
      </c>
      <c r="H2800" s="385"/>
      <c r="I2800" s="385"/>
      <c r="J2800" s="30"/>
      <c r="K2800" s="385"/>
      <c r="L2800" s="385"/>
      <c r="M2800" s="385"/>
      <c r="N2800" s="385"/>
      <c r="O2800" s="385"/>
      <c r="P2800" s="385" t="str">
        <f>IFERROR(
    IF(
        OR(ISBLANK(I2800), ISBLANK(L2800)),
        "",
        MAX(
            1,
            IF(
                NETWORKDAYS(I2800, L2800, Holiday_Dates) &lt;= 0,
                1,
                NETWORKDAYS(I2800, L2800, Holiday_Dates) - IF(I2800 = L2800, 0, 1)
            )
        )
    ),
    ""
)</f>
        <v/>
      </c>
      <c r="Q2800" s="385" t="str">
        <f>IF(
    OR(ISBLANK(L2800), ISBLANK(M2800)),
    "",
    MAX(
        1,
        IF(
            NETWORKDAYS(L2800, M2800, Holiday_Dates) &lt;= 0,
            1,
            NETWORKDAYS(L2800, M2800, Holiday_Dates) - IF(L2800 = M2800, 0, 1)
        )
    )
)</f>
        <v/>
      </c>
      <c r="R2800" s="385" t="str">
        <f>IFERROR(
    IF(
        OR(ISBLANK(N2800), AND(ISBLANK(L2800), ISBLANK(M2800))),
        "",
        MAX(
            1,
            IF(
                NETWORKDAYS(IF(NOT(ISBLANK(M2800)), M2800, L2800), N2800, Holiday_Dates) &lt;= 0,
                1,
                NETWORKDAYS(IF(NOT(ISBLANK(M2800)), M2800, L2800), N2800, Holiday_Dates)
                - IF(IF(NOT(ISBLANK(M2800)), M2800, L2800) = N2800, 0, 1)
            )
        )
    ),
    ""
)</f>
        <v/>
      </c>
      <c r="S2800" s="385" t="str">
        <f>IFERROR(
    IF(
        OR(ISBLANK(N2800), ISBLANK(O2800)),
        "",
        MAX(
            1,
            IF(
                NETWORKDAYS(N2800, O2800, Holiday_Dates) &lt;= 0,
                1,
                NETWORKDAYS(N2800, O2800, Holiday_Dates) - IF(N2800 = O2800, 0, 1)
            )
        )
    ),
    ""
)</f>
        <v/>
      </c>
      <c r="T2800" s="385"/>
      <c r="U2800" s="385"/>
      <c r="V2800" s="385"/>
      <c r="W2800" s="385" t="s">
        <v>4710</v>
      </c>
      <c r="X2800" s="1"/>
    </row>
    <row r="2801" spans="1:24">
      <c r="A2801" s="385" t="s">
        <v>52</v>
      </c>
      <c r="B2801" s="385" t="s">
        <v>4231</v>
      </c>
      <c r="C2801" s="385" t="s">
        <v>2691</v>
      </c>
      <c r="D2801" s="385" t="s">
        <v>88</v>
      </c>
      <c r="E2801" s="385"/>
      <c r="F2801" s="385"/>
      <c r="G2801" s="385"/>
      <c r="H2801" s="385">
        <v>2025</v>
      </c>
      <c r="I2801" s="386">
        <v>45749</v>
      </c>
      <c r="J2801" s="30" t="s">
        <v>5738</v>
      </c>
      <c r="K2801" s="385"/>
      <c r="L2801" s="385"/>
      <c r="M2801" s="385"/>
      <c r="N2801" s="385"/>
      <c r="O2801" s="385"/>
      <c r="P2801" s="385" t="str">
        <f>IFERROR(
    IF(
        OR(ISBLANK(I2801), ISBLANK(L2801)),
        "",
        MAX(
            1,
            IF(
                NETWORKDAYS(I2801, L2801, Holiday_Dates) &lt;= 0,
                1,
                NETWORKDAYS(I2801, L2801, Holiday_Dates) - IF(I2801 = L2801, 0, 1)
            )
        )
    ),
    ""
)</f>
        <v/>
      </c>
      <c r="Q2801" s="385" t="str">
        <f>IF(
    OR(ISBLANK(L2801), ISBLANK(M2801)),
    "",
    MAX(
        1,
        IF(
            NETWORKDAYS(L2801, M2801, Holiday_Dates) &lt;= 0,
            1,
            NETWORKDAYS(L2801, M2801, Holiday_Dates) - IF(L2801 = M2801, 0, 1)
        )
    )
)</f>
        <v/>
      </c>
      <c r="R2801" s="385" t="str">
        <f>IFERROR(
    IF(
        OR(ISBLANK(N2801), AND(ISBLANK(L2801), ISBLANK(M2801))),
        "",
        MAX(
            1,
            IF(
                NETWORKDAYS(IF(NOT(ISBLANK(M2801)), M2801, L2801), N2801, Holiday_Dates) &lt;= 0,
                1,
                NETWORKDAYS(IF(NOT(ISBLANK(M2801)), M2801, L2801), N2801, Holiday_Dates)
                - IF(IF(NOT(ISBLANK(M2801)), M2801, L2801) = N2801, 0, 1)
            )
        )
    ),
    ""
)</f>
        <v/>
      </c>
      <c r="S2801" s="385" t="str">
        <f>IFERROR(
    IF(
        OR(ISBLANK(N2801), ISBLANK(O2801)),
        "",
        MAX(
            1,
            IF(
                NETWORKDAYS(N2801, O2801, Holiday_Dates) &lt;= 0,
                1,
                NETWORKDAYS(N2801, O2801, Holiday_Dates) - IF(N2801 = O2801, 0, 1)
            )
        )
    ),
    ""
)</f>
        <v/>
      </c>
      <c r="T2801" s="385"/>
      <c r="U2801" s="385" t="s">
        <v>4616</v>
      </c>
      <c r="V2801" s="385" t="s">
        <v>4632</v>
      </c>
      <c r="W2801" s="385" t="s">
        <v>1436</v>
      </c>
      <c r="X2801" s="1"/>
    </row>
    <row r="2802" spans="1:24">
      <c r="A2802" s="385" t="s">
        <v>52</v>
      </c>
      <c r="B2802" s="385" t="s">
        <v>424</v>
      </c>
      <c r="C2802" s="385" t="s">
        <v>4159</v>
      </c>
      <c r="D2802" s="385" t="s">
        <v>89</v>
      </c>
      <c r="E2802" s="385" t="s">
        <v>37</v>
      </c>
      <c r="F2802" s="385"/>
      <c r="G2802" s="385" t="s">
        <v>28</v>
      </c>
      <c r="H2802" s="385"/>
      <c r="I2802" s="385"/>
      <c r="J2802" s="30"/>
      <c r="K2802" s="385"/>
      <c r="L2802" s="385"/>
      <c r="M2802" s="385"/>
      <c r="N2802" s="385"/>
      <c r="O2802" s="385"/>
      <c r="P2802" s="385" t="str">
        <f>IFERROR(
    IF(
        OR(ISBLANK(I2802), ISBLANK(L2802)),
        "",
        MAX(
            1,
            IF(
                NETWORKDAYS(I2802, L2802, Holiday_Dates) &lt;= 0,
                1,
                NETWORKDAYS(I2802, L2802, Holiday_Dates) - IF(I2802 = L2802, 0, 1)
            )
        )
    ),
    ""
)</f>
        <v/>
      </c>
      <c r="Q2802" s="385" t="str">
        <f>IF(
    OR(ISBLANK(L2802), ISBLANK(M2802)),
    "",
    MAX(
        1,
        IF(
            NETWORKDAYS(L2802, M2802, Holiday_Dates) &lt;= 0,
            1,
            NETWORKDAYS(L2802, M2802, Holiday_Dates) - IF(L2802 = M2802, 0, 1)
        )
    )
)</f>
        <v/>
      </c>
      <c r="R2802" s="385" t="str">
        <f>IFERROR(
    IF(
        OR(ISBLANK(N2802), AND(ISBLANK(L2802), ISBLANK(M2802))),
        "",
        MAX(
            1,
            IF(
                NETWORKDAYS(IF(NOT(ISBLANK(M2802)), M2802, L2802), N2802, Holiday_Dates) &lt;= 0,
                1,
                NETWORKDAYS(IF(NOT(ISBLANK(M2802)), M2802, L2802), N2802, Holiday_Dates)
                - IF(IF(NOT(ISBLANK(M2802)), M2802, L2802) = N2802, 0, 1)
            )
        )
    ),
    ""
)</f>
        <v/>
      </c>
      <c r="S2802" s="385" t="str">
        <f>IFERROR(
    IF(
        OR(ISBLANK(N2802), ISBLANK(O2802)),
        "",
        MAX(
            1,
            IF(
                NETWORKDAYS(N2802, O2802, Holiday_Dates) &lt;= 0,
                1,
                NETWORKDAYS(N2802, O2802, Holiday_Dates) - IF(N2802 = O2802, 0, 1)
            )
        )
    ),
    ""
)</f>
        <v/>
      </c>
      <c r="T2802" s="385"/>
      <c r="U2802" s="385"/>
      <c r="V2802" s="385"/>
      <c r="W2802" s="385" t="s">
        <v>4710</v>
      </c>
      <c r="X2802" s="1"/>
    </row>
    <row r="2803" spans="1:24">
      <c r="A2803" s="385" t="s">
        <v>52</v>
      </c>
      <c r="B2803" s="385" t="s">
        <v>424</v>
      </c>
      <c r="C2803" s="385" t="s">
        <v>4160</v>
      </c>
      <c r="D2803" s="385" t="s">
        <v>89</v>
      </c>
      <c r="E2803" s="385" t="s">
        <v>37</v>
      </c>
      <c r="F2803" s="385"/>
      <c r="G2803" s="385" t="s">
        <v>28</v>
      </c>
      <c r="H2803" s="385"/>
      <c r="I2803" s="385"/>
      <c r="J2803" s="30"/>
      <c r="K2803" s="385"/>
      <c r="L2803" s="385"/>
      <c r="M2803" s="385"/>
      <c r="N2803" s="385"/>
      <c r="O2803" s="385"/>
      <c r="P2803" s="385" t="str">
        <f>IFERROR(
    IF(
        OR(ISBLANK(I2803), ISBLANK(L2803)),
        "",
        MAX(
            1,
            IF(
                NETWORKDAYS(I2803, L2803, Holiday_Dates) &lt;= 0,
                1,
                NETWORKDAYS(I2803, L2803, Holiday_Dates) - IF(I2803 = L2803, 0, 1)
            )
        )
    ),
    ""
)</f>
        <v/>
      </c>
      <c r="Q2803" s="385" t="str">
        <f>IF(
    OR(ISBLANK(L2803), ISBLANK(M2803)),
    "",
    MAX(
        1,
        IF(
            NETWORKDAYS(L2803, M2803, Holiday_Dates) &lt;= 0,
            1,
            NETWORKDAYS(L2803, M2803, Holiday_Dates) - IF(L2803 = M2803, 0, 1)
        )
    )
)</f>
        <v/>
      </c>
      <c r="R2803" s="385" t="str">
        <f>IFERROR(
    IF(
        OR(ISBLANK(N2803), AND(ISBLANK(L2803), ISBLANK(M2803))),
        "",
        MAX(
            1,
            IF(
                NETWORKDAYS(IF(NOT(ISBLANK(M2803)), M2803, L2803), N2803, Holiday_Dates) &lt;= 0,
                1,
                NETWORKDAYS(IF(NOT(ISBLANK(M2803)), M2803, L2803), N2803, Holiday_Dates)
                - IF(IF(NOT(ISBLANK(M2803)), M2803, L2803) = N2803, 0, 1)
            )
        )
    ),
    ""
)</f>
        <v/>
      </c>
      <c r="S2803" s="385" t="str">
        <f>IFERROR(
    IF(
        OR(ISBLANK(N2803), ISBLANK(O2803)),
        "",
        MAX(
            1,
            IF(
                NETWORKDAYS(N2803, O2803, Holiday_Dates) &lt;= 0,
                1,
                NETWORKDAYS(N2803, O2803, Holiday_Dates) - IF(N2803 = O2803, 0, 1)
            )
        )
    ),
    ""
)</f>
        <v/>
      </c>
      <c r="T2803" s="385"/>
      <c r="U2803" s="385"/>
      <c r="V2803" s="385"/>
      <c r="W2803" s="385" t="s">
        <v>4710</v>
      </c>
      <c r="X2803" s="1"/>
    </row>
    <row r="2804" spans="1:24">
      <c r="A2804" s="385" t="s">
        <v>52</v>
      </c>
      <c r="B2804" s="385" t="s">
        <v>4231</v>
      </c>
      <c r="C2804" s="385" t="s">
        <v>520</v>
      </c>
      <c r="D2804" s="385" t="s">
        <v>88</v>
      </c>
      <c r="E2804" s="385"/>
      <c r="F2804" s="385"/>
      <c r="G2804" s="385"/>
      <c r="H2804" s="385">
        <v>2024</v>
      </c>
      <c r="I2804" s="386">
        <v>45545</v>
      </c>
      <c r="J2804" s="30"/>
      <c r="K2804" s="385"/>
      <c r="L2804" s="385"/>
      <c r="M2804" s="385"/>
      <c r="N2804" s="385"/>
      <c r="O2804" s="385"/>
      <c r="P2804" s="385" t="str">
        <f>IFERROR(
    IF(
        OR(ISBLANK(I2804), ISBLANK(L2804)),
        "",
        MAX(
            1,
            IF(
                NETWORKDAYS(I2804, L2804, Holiday_Dates) &lt;= 0,
                1,
                NETWORKDAYS(I2804, L2804, Holiday_Dates) - IF(I2804 = L2804, 0, 1)
            )
        )
    ),
    ""
)</f>
        <v/>
      </c>
      <c r="Q2804" s="385" t="str">
        <f>IF(
    OR(ISBLANK(L2804), ISBLANK(M2804)),
    "",
    MAX(
        1,
        IF(
            NETWORKDAYS(L2804, M2804, Holiday_Dates) &lt;= 0,
            1,
            NETWORKDAYS(L2804, M2804, Holiday_Dates) - IF(L2804 = M2804, 0, 1)
        )
    )
)</f>
        <v/>
      </c>
      <c r="R2804" s="385" t="str">
        <f>IFERROR(
    IF(
        OR(ISBLANK(N2804), AND(ISBLANK(L2804), ISBLANK(M2804))),
        "",
        MAX(
            1,
            IF(
                NETWORKDAYS(IF(NOT(ISBLANK(M2804)), M2804, L2804), N2804, Holiday_Dates) &lt;= 0,
                1,
                NETWORKDAYS(IF(NOT(ISBLANK(M2804)), M2804, L2804), N2804, Holiday_Dates)
                - IF(IF(NOT(ISBLANK(M2804)), M2804, L2804) = N2804, 0, 1)
            )
        )
    ),
    ""
)</f>
        <v/>
      </c>
      <c r="S2804" s="385" t="str">
        <f>IFERROR(
    IF(
        OR(ISBLANK(N2804), ISBLANK(O2804)),
        "",
        MAX(
            1,
            IF(
                NETWORKDAYS(N2804, O2804, Holiday_Dates) &lt;= 0,
                1,
                NETWORKDAYS(N2804, O2804, Holiday_Dates) - IF(N2804 = O2804, 0, 1)
            )
        )
    ),
    ""
)</f>
        <v/>
      </c>
      <c r="T2804" s="385"/>
      <c r="U2804" s="385" t="s">
        <v>4</v>
      </c>
      <c r="V2804" s="385" t="s">
        <v>101</v>
      </c>
      <c r="W2804" s="385" t="s">
        <v>1436</v>
      </c>
      <c r="X2804" s="1"/>
    </row>
    <row r="2805" spans="1:24">
      <c r="A2805" s="385" t="s">
        <v>52</v>
      </c>
      <c r="B2805" s="385" t="s">
        <v>4231</v>
      </c>
      <c r="C2805" s="385" t="s">
        <v>427</v>
      </c>
      <c r="D2805" s="385" t="s">
        <v>88</v>
      </c>
      <c r="E2805" s="385"/>
      <c r="F2805" s="385"/>
      <c r="G2805" s="385"/>
      <c r="H2805" s="385">
        <v>2024</v>
      </c>
      <c r="I2805" s="386">
        <v>45575</v>
      </c>
      <c r="J2805" s="30"/>
      <c r="K2805" s="385"/>
      <c r="L2805" s="385"/>
      <c r="M2805" s="385"/>
      <c r="N2805" s="385"/>
      <c r="O2805" s="385"/>
      <c r="P2805" s="385" t="str">
        <f>IFERROR(
    IF(
        OR(ISBLANK(I2805), ISBLANK(L2805)),
        "",
        MAX(
            1,
            IF(
                NETWORKDAYS(I2805, L2805, Holiday_Dates) &lt;= 0,
                1,
                NETWORKDAYS(I2805, L2805, Holiday_Dates) - IF(I2805 = L2805, 0, 1)
            )
        )
    ),
    ""
)</f>
        <v/>
      </c>
      <c r="Q2805" s="385" t="str">
        <f>IF(
    OR(ISBLANK(L2805), ISBLANK(M2805)),
    "",
    MAX(
        1,
        IF(
            NETWORKDAYS(L2805, M2805, Holiday_Dates) &lt;= 0,
            1,
            NETWORKDAYS(L2805, M2805, Holiday_Dates) - IF(L2805 = M2805, 0, 1)
        )
    )
)</f>
        <v/>
      </c>
      <c r="R2805" s="385" t="str">
        <f>IFERROR(
    IF(
        OR(ISBLANK(N2805), AND(ISBLANK(L2805), ISBLANK(M2805))),
        "",
        MAX(
            1,
            IF(
                NETWORKDAYS(IF(NOT(ISBLANK(M2805)), M2805, L2805), N2805, Holiday_Dates) &lt;= 0,
                1,
                NETWORKDAYS(IF(NOT(ISBLANK(M2805)), M2805, L2805), N2805, Holiday_Dates)
                - IF(IF(NOT(ISBLANK(M2805)), M2805, L2805) = N2805, 0, 1)
            )
        )
    ),
    ""
)</f>
        <v/>
      </c>
      <c r="S2805" s="385" t="str">
        <f>IFERROR(
    IF(
        OR(ISBLANK(N2805), ISBLANK(O2805)),
        "",
        MAX(
            1,
            IF(
                NETWORKDAYS(N2805, O2805, Holiday_Dates) &lt;= 0,
                1,
                NETWORKDAYS(N2805, O2805, Holiday_Dates) - IF(N2805 = O2805, 0, 1)
            )
        )
    ),
    ""
)</f>
        <v/>
      </c>
      <c r="T2805" s="385"/>
      <c r="U2805" s="385" t="s">
        <v>4</v>
      </c>
      <c r="V2805" s="385" t="s">
        <v>101</v>
      </c>
      <c r="W2805" s="385" t="s">
        <v>1436</v>
      </c>
      <c r="X2805" s="1"/>
    </row>
    <row r="2806" spans="1:24">
      <c r="A2806" s="385" t="s">
        <v>52</v>
      </c>
      <c r="B2806" s="385" t="s">
        <v>466</v>
      </c>
      <c r="C2806" s="385" t="s">
        <v>4179</v>
      </c>
      <c r="D2806" s="385" t="s">
        <v>89</v>
      </c>
      <c r="E2806" s="385" t="s">
        <v>38</v>
      </c>
      <c r="F2806" s="385"/>
      <c r="G2806" s="385" t="s">
        <v>28</v>
      </c>
      <c r="H2806" s="385"/>
      <c r="I2806" s="385"/>
      <c r="J2806" s="30"/>
      <c r="K2806" s="385"/>
      <c r="L2806" s="385"/>
      <c r="M2806" s="385"/>
      <c r="N2806" s="385"/>
      <c r="O2806" s="385"/>
      <c r="P2806" s="385" t="str">
        <f>IFERROR(
    IF(
        OR(ISBLANK(I2806), ISBLANK(L2806)),
        "",
        MAX(
            1,
            IF(
                NETWORKDAYS(I2806, L2806, Holiday_Dates) &lt;= 0,
                1,
                NETWORKDAYS(I2806, L2806, Holiday_Dates) - IF(I2806 = L2806, 0, 1)
            )
        )
    ),
    ""
)</f>
        <v/>
      </c>
      <c r="Q2806" s="385" t="str">
        <f>IF(
    OR(ISBLANK(L2806), ISBLANK(M2806)),
    "",
    MAX(
        1,
        IF(
            NETWORKDAYS(L2806, M2806, Holiday_Dates) &lt;= 0,
            1,
            NETWORKDAYS(L2806, M2806, Holiday_Dates) - IF(L2806 = M2806, 0, 1)
        )
    )
)</f>
        <v/>
      </c>
      <c r="R2806" s="385" t="str">
        <f>IFERROR(
    IF(
        OR(ISBLANK(N2806), AND(ISBLANK(L2806), ISBLANK(M2806))),
        "",
        MAX(
            1,
            IF(
                NETWORKDAYS(IF(NOT(ISBLANK(M2806)), M2806, L2806), N2806, Holiday_Dates) &lt;= 0,
                1,
                NETWORKDAYS(IF(NOT(ISBLANK(M2806)), M2806, L2806), N2806, Holiday_Dates)
                - IF(IF(NOT(ISBLANK(M2806)), M2806, L2806) = N2806, 0, 1)
            )
        )
    ),
    ""
)</f>
        <v/>
      </c>
      <c r="S2806" s="385" t="str">
        <f>IFERROR(
    IF(
        OR(ISBLANK(N2806), ISBLANK(O2806)),
        "",
        MAX(
            1,
            IF(
                NETWORKDAYS(N2806, O2806, Holiday_Dates) &lt;= 0,
                1,
                NETWORKDAYS(N2806, O2806, Holiday_Dates) - IF(N2806 = O2806, 0, 1)
            )
        )
    ),
    ""
)</f>
        <v/>
      </c>
      <c r="T2806" s="385"/>
      <c r="U2806" s="385"/>
      <c r="V2806" s="385"/>
      <c r="W2806" s="385" t="s">
        <v>4710</v>
      </c>
      <c r="X2806" s="1"/>
    </row>
    <row r="2807" spans="1:24">
      <c r="A2807" s="385" t="s">
        <v>52</v>
      </c>
      <c r="B2807" s="385" t="s">
        <v>4231</v>
      </c>
      <c r="C2807" s="385" t="s">
        <v>4264</v>
      </c>
      <c r="D2807" s="385" t="s">
        <v>88</v>
      </c>
      <c r="E2807" s="385"/>
      <c r="F2807" s="385"/>
      <c r="G2807" s="385"/>
      <c r="H2807" s="385">
        <v>2024</v>
      </c>
      <c r="I2807" s="386">
        <v>45478</v>
      </c>
      <c r="J2807" s="30"/>
      <c r="K2807" s="385"/>
      <c r="L2807" s="385"/>
      <c r="M2807" s="385"/>
      <c r="N2807" s="385"/>
      <c r="O2807" s="385"/>
      <c r="P2807" s="385" t="str">
        <f>IFERROR(
    IF(
        OR(ISBLANK(I2807), ISBLANK(L2807)),
        "",
        MAX(
            1,
            IF(
                NETWORKDAYS(I2807, L2807, Holiday_Dates) &lt;= 0,
                1,
                NETWORKDAYS(I2807, L2807, Holiday_Dates) - IF(I2807 = L2807, 0, 1)
            )
        )
    ),
    ""
)</f>
        <v/>
      </c>
      <c r="Q2807" s="385" t="str">
        <f>IF(
    OR(ISBLANK(L2807), ISBLANK(M2807)),
    "",
    MAX(
        1,
        IF(
            NETWORKDAYS(L2807, M2807, Holiday_Dates) &lt;= 0,
            1,
            NETWORKDAYS(L2807, M2807, Holiday_Dates) - IF(L2807 = M2807, 0, 1)
        )
    )
)</f>
        <v/>
      </c>
      <c r="R2807" s="385" t="str">
        <f>IFERROR(
    IF(
        OR(ISBLANK(N2807), AND(ISBLANK(L2807), ISBLANK(M2807))),
        "",
        MAX(
            1,
            IF(
                NETWORKDAYS(IF(NOT(ISBLANK(M2807)), M2807, L2807), N2807, Holiday_Dates) &lt;= 0,
                1,
                NETWORKDAYS(IF(NOT(ISBLANK(M2807)), M2807, L2807), N2807, Holiday_Dates)
                - IF(IF(NOT(ISBLANK(M2807)), M2807, L2807) = N2807, 0, 1)
            )
        )
    ),
    ""
)</f>
        <v/>
      </c>
      <c r="S2807" s="385" t="str">
        <f>IFERROR(
    IF(
        OR(ISBLANK(N2807), ISBLANK(O2807)),
        "",
        MAX(
            1,
            IF(
                NETWORKDAYS(N2807, O2807, Holiday_Dates) &lt;= 0,
                1,
                NETWORKDAYS(N2807, O2807, Holiday_Dates) - IF(N2807 = O2807, 0, 1)
            )
        )
    ),
    ""
)</f>
        <v/>
      </c>
      <c r="T2807" s="385"/>
      <c r="U2807" s="385" t="s">
        <v>672</v>
      </c>
      <c r="V2807" s="385" t="s">
        <v>101</v>
      </c>
      <c r="W2807" s="385" t="s">
        <v>1436</v>
      </c>
      <c r="X2807" s="1"/>
    </row>
    <row r="2808" spans="1:24">
      <c r="A2808" s="385" t="s">
        <v>52</v>
      </c>
      <c r="B2808" s="385" t="s">
        <v>427</v>
      </c>
      <c r="C2808" s="385" t="s">
        <v>1006</v>
      </c>
      <c r="D2808" s="385" t="s">
        <v>89</v>
      </c>
      <c r="E2808" s="385" t="s">
        <v>39</v>
      </c>
      <c r="F2808" s="385"/>
      <c r="G2808" s="385" t="s">
        <v>28</v>
      </c>
      <c r="H2808" s="385"/>
      <c r="I2808" s="385"/>
      <c r="J2808" s="30"/>
      <c r="K2808" s="385"/>
      <c r="L2808" s="385"/>
      <c r="M2808" s="385"/>
      <c r="N2808" s="385"/>
      <c r="O2808" s="385"/>
      <c r="P2808" s="385" t="str">
        <f>IFERROR(
    IF(
        OR(ISBLANK(I2808), ISBLANK(L2808)),
        "",
        MAX(
            1,
            IF(
                NETWORKDAYS(I2808, L2808, Holiday_Dates) &lt;= 0,
                1,
                NETWORKDAYS(I2808, L2808, Holiday_Dates) - IF(I2808 = L2808, 0, 1)
            )
        )
    ),
    ""
)</f>
        <v/>
      </c>
      <c r="Q2808" s="385" t="str">
        <f>IF(
    OR(ISBLANK(L2808), ISBLANK(M2808)),
    "",
    MAX(
        1,
        IF(
            NETWORKDAYS(L2808, M2808, Holiday_Dates) &lt;= 0,
            1,
            NETWORKDAYS(L2808, M2808, Holiday_Dates) - IF(L2808 = M2808, 0, 1)
        )
    )
)</f>
        <v/>
      </c>
      <c r="R2808" s="385" t="str">
        <f>IFERROR(
    IF(
        OR(ISBLANK(N2808), AND(ISBLANK(L2808), ISBLANK(M2808))),
        "",
        MAX(
            1,
            IF(
                NETWORKDAYS(IF(NOT(ISBLANK(M2808)), M2808, L2808), N2808, Holiday_Dates) &lt;= 0,
                1,
                NETWORKDAYS(IF(NOT(ISBLANK(M2808)), M2808, L2808), N2808, Holiday_Dates)
                - IF(IF(NOT(ISBLANK(M2808)), M2808, L2808) = N2808, 0, 1)
            )
        )
    ),
    ""
)</f>
        <v/>
      </c>
      <c r="S2808" s="385" t="str">
        <f>IFERROR(
    IF(
        OR(ISBLANK(N2808), ISBLANK(O2808)),
        "",
        MAX(
            1,
            IF(
                NETWORKDAYS(N2808, O2808, Holiday_Dates) &lt;= 0,
                1,
                NETWORKDAYS(N2808, O2808, Holiday_Dates) - IF(N2808 = O2808, 0, 1)
            )
        )
    ),
    ""
)</f>
        <v/>
      </c>
      <c r="T2808" s="385"/>
      <c r="U2808" s="385"/>
      <c r="V2808" s="385"/>
      <c r="W2808" s="385" t="s">
        <v>4710</v>
      </c>
      <c r="X2808" s="1"/>
    </row>
    <row r="2809" spans="1:24">
      <c r="A2809" s="385" t="s">
        <v>52</v>
      </c>
      <c r="B2809" s="385" t="s">
        <v>4231</v>
      </c>
      <c r="C2809" s="385" t="s">
        <v>357</v>
      </c>
      <c r="D2809" s="385" t="s">
        <v>88</v>
      </c>
      <c r="E2809" s="385"/>
      <c r="F2809" s="385"/>
      <c r="G2809" s="385"/>
      <c r="H2809" s="385">
        <v>2025</v>
      </c>
      <c r="I2809" s="386">
        <v>45723</v>
      </c>
      <c r="J2809" s="30" t="s">
        <v>5739</v>
      </c>
      <c r="K2809" s="385"/>
      <c r="L2809" s="385"/>
      <c r="M2809" s="385"/>
      <c r="N2809" s="385"/>
      <c r="O2809" s="385"/>
      <c r="P2809" s="385" t="str">
        <f>IFERROR(
    IF(
        OR(ISBLANK(I2809), ISBLANK(L2809)),
        "",
        MAX(
            1,
            IF(
                NETWORKDAYS(I2809, L2809, Holiday_Dates) &lt;= 0,
                1,
                NETWORKDAYS(I2809, L2809, Holiday_Dates) - IF(I2809 = L2809, 0, 1)
            )
        )
    ),
    ""
)</f>
        <v/>
      </c>
      <c r="Q2809" s="385" t="str">
        <f>IF(
    OR(ISBLANK(L2809), ISBLANK(M2809)),
    "",
    MAX(
        1,
        IF(
            NETWORKDAYS(L2809, M2809, Holiday_Dates) &lt;= 0,
            1,
            NETWORKDAYS(L2809, M2809, Holiday_Dates) - IF(L2809 = M2809, 0, 1)
        )
    )
)</f>
        <v/>
      </c>
      <c r="R2809" s="385" t="str">
        <f>IFERROR(
    IF(
        OR(ISBLANK(N2809), AND(ISBLANK(L2809), ISBLANK(M2809))),
        "",
        MAX(
            1,
            IF(
                NETWORKDAYS(IF(NOT(ISBLANK(M2809)), M2809, L2809), N2809, Holiday_Dates) &lt;= 0,
                1,
                NETWORKDAYS(IF(NOT(ISBLANK(M2809)), M2809, L2809), N2809, Holiday_Dates)
                - IF(IF(NOT(ISBLANK(M2809)), M2809, L2809) = N2809, 0, 1)
            )
        )
    ),
    ""
)</f>
        <v/>
      </c>
      <c r="S2809" s="385" t="str">
        <f>IFERROR(
    IF(
        OR(ISBLANK(N2809), ISBLANK(O2809)),
        "",
        MAX(
            1,
            IF(
                NETWORKDAYS(N2809, O2809, Holiday_Dates) &lt;= 0,
                1,
                NETWORKDAYS(N2809, O2809, Holiday_Dates) - IF(N2809 = O2809, 0, 1)
            )
        )
    ),
    ""
)</f>
        <v/>
      </c>
      <c r="T2809" s="385"/>
      <c r="U2809" s="385" t="s">
        <v>4616</v>
      </c>
      <c r="V2809" s="385" t="s">
        <v>4632</v>
      </c>
      <c r="W2809" s="385" t="s">
        <v>1436</v>
      </c>
      <c r="X2809" s="1"/>
    </row>
    <row r="2810" spans="1:24">
      <c r="A2810" s="385" t="s">
        <v>52</v>
      </c>
      <c r="B2810" s="385" t="s">
        <v>427</v>
      </c>
      <c r="C2810" s="385" t="s">
        <v>4305</v>
      </c>
      <c r="D2810" s="385" t="s">
        <v>89</v>
      </c>
      <c r="E2810" s="385" t="s">
        <v>39</v>
      </c>
      <c r="F2810" s="385"/>
      <c r="G2810" s="385" t="s">
        <v>28</v>
      </c>
      <c r="H2810" s="385"/>
      <c r="I2810" s="385"/>
      <c r="J2810" s="30"/>
      <c r="K2810" s="385"/>
      <c r="L2810" s="385"/>
      <c r="M2810" s="385"/>
      <c r="N2810" s="385"/>
      <c r="O2810" s="385"/>
      <c r="P2810" s="385" t="str">
        <f>IFERROR(
    IF(
        OR(ISBLANK(I2810), ISBLANK(L2810)),
        "",
        MAX(
            1,
            IF(
                NETWORKDAYS(I2810, L2810, Holiday_Dates) &lt;= 0,
                1,
                NETWORKDAYS(I2810, L2810, Holiday_Dates) - IF(I2810 = L2810, 0, 1)
            )
        )
    ),
    ""
)</f>
        <v/>
      </c>
      <c r="Q2810" s="385" t="str">
        <f>IF(
    OR(ISBLANK(L2810), ISBLANK(M2810)),
    "",
    MAX(
        1,
        IF(
            NETWORKDAYS(L2810, M2810, Holiday_Dates) &lt;= 0,
            1,
            NETWORKDAYS(L2810, M2810, Holiday_Dates) - IF(L2810 = M2810, 0, 1)
        )
    )
)</f>
        <v/>
      </c>
      <c r="R2810" s="385" t="str">
        <f>IFERROR(
    IF(
        OR(ISBLANK(N2810), AND(ISBLANK(L2810), ISBLANK(M2810))),
        "",
        MAX(
            1,
            IF(
                NETWORKDAYS(IF(NOT(ISBLANK(M2810)), M2810, L2810), N2810, Holiday_Dates) &lt;= 0,
                1,
                NETWORKDAYS(IF(NOT(ISBLANK(M2810)), M2810, L2810), N2810, Holiday_Dates)
                - IF(IF(NOT(ISBLANK(M2810)), M2810, L2810) = N2810, 0, 1)
            )
        )
    ),
    ""
)</f>
        <v/>
      </c>
      <c r="S2810" s="385" t="str">
        <f>IFERROR(
    IF(
        OR(ISBLANK(N2810), ISBLANK(O2810)),
        "",
        MAX(
            1,
            IF(
                NETWORKDAYS(N2810, O2810, Holiday_Dates) &lt;= 0,
                1,
                NETWORKDAYS(N2810, O2810, Holiday_Dates) - IF(N2810 = O2810, 0, 1)
            )
        )
    ),
    ""
)</f>
        <v/>
      </c>
      <c r="T2810" s="385"/>
      <c r="U2810" s="385"/>
      <c r="V2810" s="385"/>
      <c r="W2810" s="385" t="s">
        <v>4710</v>
      </c>
      <c r="X2810" s="1"/>
    </row>
    <row r="2811" spans="1:24">
      <c r="A2811" s="385" t="s">
        <v>52</v>
      </c>
      <c r="B2811" s="385" t="s">
        <v>4231</v>
      </c>
      <c r="C2811" s="385" t="s">
        <v>717</v>
      </c>
      <c r="D2811" s="385" t="s">
        <v>88</v>
      </c>
      <c r="E2811" s="385"/>
      <c r="F2811" s="385"/>
      <c r="G2811" s="385"/>
      <c r="H2811" s="385">
        <v>2025</v>
      </c>
      <c r="I2811" s="386">
        <v>45723</v>
      </c>
      <c r="J2811" s="30" t="s">
        <v>5740</v>
      </c>
      <c r="K2811" s="385"/>
      <c r="L2811" s="385"/>
      <c r="M2811" s="385"/>
      <c r="N2811" s="385"/>
      <c r="O2811" s="385"/>
      <c r="P2811" s="385" t="str">
        <f>IFERROR(
    IF(
        OR(ISBLANK(I2811), ISBLANK(L2811)),
        "",
        MAX(
            1,
            IF(
                NETWORKDAYS(I2811, L2811, Holiday_Dates) &lt;= 0,
                1,
                NETWORKDAYS(I2811, L2811, Holiday_Dates) - IF(I2811 = L2811, 0, 1)
            )
        )
    ),
    ""
)</f>
        <v/>
      </c>
      <c r="Q2811" s="385" t="str">
        <f>IF(
    OR(ISBLANK(L2811), ISBLANK(M2811)),
    "",
    MAX(
        1,
        IF(
            NETWORKDAYS(L2811, M2811, Holiday_Dates) &lt;= 0,
            1,
            NETWORKDAYS(L2811, M2811, Holiday_Dates) - IF(L2811 = M2811, 0, 1)
        )
    )
)</f>
        <v/>
      </c>
      <c r="R2811" s="385" t="str">
        <f>IFERROR(
    IF(
        OR(ISBLANK(N2811), AND(ISBLANK(L2811), ISBLANK(M2811))),
        "",
        MAX(
            1,
            IF(
                NETWORKDAYS(IF(NOT(ISBLANK(M2811)), M2811, L2811), N2811, Holiday_Dates) &lt;= 0,
                1,
                NETWORKDAYS(IF(NOT(ISBLANK(M2811)), M2811, L2811), N2811, Holiday_Dates)
                - IF(IF(NOT(ISBLANK(M2811)), M2811, L2811) = N2811, 0, 1)
            )
        )
    ),
    ""
)</f>
        <v/>
      </c>
      <c r="S2811" s="385" t="str">
        <f>IFERROR(
    IF(
        OR(ISBLANK(N2811), ISBLANK(O2811)),
        "",
        MAX(
            1,
            IF(
                NETWORKDAYS(N2811, O2811, Holiday_Dates) &lt;= 0,
                1,
                NETWORKDAYS(N2811, O2811, Holiday_Dates) - IF(N2811 = O2811, 0, 1)
            )
        )
    ),
    ""
)</f>
        <v/>
      </c>
      <c r="T2811" s="385"/>
      <c r="U2811" s="385" t="s">
        <v>4616</v>
      </c>
      <c r="V2811" s="385" t="s">
        <v>4632</v>
      </c>
      <c r="W2811" s="385" t="s">
        <v>1436</v>
      </c>
      <c r="X2811" s="1"/>
    </row>
    <row r="2812" spans="1:24">
      <c r="A2812" s="385" t="s">
        <v>52</v>
      </c>
      <c r="B2812" s="385" t="s">
        <v>427</v>
      </c>
      <c r="C2812" s="385" t="s">
        <v>4308</v>
      </c>
      <c r="D2812" s="385" t="s">
        <v>89</v>
      </c>
      <c r="E2812" s="385" t="s">
        <v>39</v>
      </c>
      <c r="F2812" s="385"/>
      <c r="G2812" s="385" t="s">
        <v>28</v>
      </c>
      <c r="H2812" s="385"/>
      <c r="I2812" s="385"/>
      <c r="J2812" s="30"/>
      <c r="K2812" s="385"/>
      <c r="L2812" s="385"/>
      <c r="M2812" s="385"/>
      <c r="N2812" s="385"/>
      <c r="O2812" s="385"/>
      <c r="P2812" s="385" t="str">
        <f>IFERROR(
    IF(
        OR(ISBLANK(I2812), ISBLANK(L2812)),
        "",
        MAX(
            1,
            IF(
                NETWORKDAYS(I2812, L2812, Holiday_Dates) &lt;= 0,
                1,
                NETWORKDAYS(I2812, L2812, Holiday_Dates) - IF(I2812 = L2812, 0, 1)
            )
        )
    ),
    ""
)</f>
        <v/>
      </c>
      <c r="Q2812" s="385" t="str">
        <f>IF(
    OR(ISBLANK(L2812), ISBLANK(M2812)),
    "",
    MAX(
        1,
        IF(
            NETWORKDAYS(L2812, M2812, Holiday_Dates) &lt;= 0,
            1,
            NETWORKDAYS(L2812, M2812, Holiday_Dates) - IF(L2812 = M2812, 0, 1)
        )
    )
)</f>
        <v/>
      </c>
      <c r="R2812" s="385" t="str">
        <f>IFERROR(
    IF(
        OR(ISBLANK(N2812), AND(ISBLANK(L2812), ISBLANK(M2812))),
        "",
        MAX(
            1,
            IF(
                NETWORKDAYS(IF(NOT(ISBLANK(M2812)), M2812, L2812), N2812, Holiday_Dates) &lt;= 0,
                1,
                NETWORKDAYS(IF(NOT(ISBLANK(M2812)), M2812, L2812), N2812, Holiday_Dates)
                - IF(IF(NOT(ISBLANK(M2812)), M2812, L2812) = N2812, 0, 1)
            )
        )
    ),
    ""
)</f>
        <v/>
      </c>
      <c r="S2812" s="385" t="str">
        <f>IFERROR(
    IF(
        OR(ISBLANK(N2812), ISBLANK(O2812)),
        "",
        MAX(
            1,
            IF(
                NETWORKDAYS(N2812, O2812, Holiday_Dates) &lt;= 0,
                1,
                NETWORKDAYS(N2812, O2812, Holiday_Dates) - IF(N2812 = O2812, 0, 1)
            )
        )
    ),
    ""
)</f>
        <v/>
      </c>
      <c r="T2812" s="385"/>
      <c r="U2812" s="385"/>
      <c r="V2812" s="385"/>
      <c r="W2812" s="385" t="s">
        <v>4710</v>
      </c>
      <c r="X2812" s="1"/>
    </row>
    <row r="2813" spans="1:24">
      <c r="A2813" s="385" t="s">
        <v>52</v>
      </c>
      <c r="B2813" s="385" t="s">
        <v>427</v>
      </c>
      <c r="C2813" s="385" t="s">
        <v>4309</v>
      </c>
      <c r="D2813" s="385" t="s">
        <v>89</v>
      </c>
      <c r="E2813" s="385" t="s">
        <v>39</v>
      </c>
      <c r="F2813" s="385"/>
      <c r="G2813" s="385" t="s">
        <v>28</v>
      </c>
      <c r="H2813" s="385"/>
      <c r="I2813" s="385"/>
      <c r="J2813" s="30"/>
      <c r="K2813" s="385"/>
      <c r="L2813" s="385"/>
      <c r="M2813" s="385"/>
      <c r="N2813" s="385"/>
      <c r="O2813" s="385"/>
      <c r="P2813" s="385" t="str">
        <f>IFERROR(
    IF(
        OR(ISBLANK(I2813), ISBLANK(L2813)),
        "",
        MAX(
            1,
            IF(
                NETWORKDAYS(I2813, L2813, Holiday_Dates) &lt;= 0,
                1,
                NETWORKDAYS(I2813, L2813, Holiday_Dates) - IF(I2813 = L2813, 0, 1)
            )
        )
    ),
    ""
)</f>
        <v/>
      </c>
      <c r="Q2813" s="385" t="str">
        <f>IF(
    OR(ISBLANK(L2813), ISBLANK(M2813)),
    "",
    MAX(
        1,
        IF(
            NETWORKDAYS(L2813, M2813, Holiday_Dates) &lt;= 0,
            1,
            NETWORKDAYS(L2813, M2813, Holiday_Dates) - IF(L2813 = M2813, 0, 1)
        )
    )
)</f>
        <v/>
      </c>
      <c r="R2813" s="385" t="str">
        <f>IFERROR(
    IF(
        OR(ISBLANK(N2813), AND(ISBLANK(L2813), ISBLANK(M2813))),
        "",
        MAX(
            1,
            IF(
                NETWORKDAYS(IF(NOT(ISBLANK(M2813)), M2813, L2813), N2813, Holiday_Dates) &lt;= 0,
                1,
                NETWORKDAYS(IF(NOT(ISBLANK(M2813)), M2813, L2813), N2813, Holiday_Dates)
                - IF(IF(NOT(ISBLANK(M2813)), M2813, L2813) = N2813, 0, 1)
            )
        )
    ),
    ""
)</f>
        <v/>
      </c>
      <c r="S2813" s="385" t="str">
        <f>IFERROR(
    IF(
        OR(ISBLANK(N2813), ISBLANK(O2813)),
        "",
        MAX(
            1,
            IF(
                NETWORKDAYS(N2813, O2813, Holiday_Dates) &lt;= 0,
                1,
                NETWORKDAYS(N2813, O2813, Holiday_Dates) - IF(N2813 = O2813, 0, 1)
            )
        )
    ),
    ""
)</f>
        <v/>
      </c>
      <c r="T2813" s="385"/>
      <c r="U2813" s="385"/>
      <c r="V2813" s="385"/>
      <c r="W2813" s="385" t="s">
        <v>4710</v>
      </c>
      <c r="X2813" s="1"/>
    </row>
    <row r="2814" spans="1:24">
      <c r="A2814" s="385" t="s">
        <v>52</v>
      </c>
      <c r="B2814" s="385" t="s">
        <v>427</v>
      </c>
      <c r="C2814" s="385" t="s">
        <v>4311</v>
      </c>
      <c r="D2814" s="385" t="s">
        <v>89</v>
      </c>
      <c r="E2814" s="385" t="s">
        <v>39</v>
      </c>
      <c r="F2814" s="385"/>
      <c r="G2814" s="385" t="s">
        <v>28</v>
      </c>
      <c r="H2814" s="385"/>
      <c r="I2814" s="385"/>
      <c r="J2814" s="30"/>
      <c r="K2814" s="385"/>
      <c r="L2814" s="385"/>
      <c r="M2814" s="385"/>
      <c r="N2814" s="385"/>
      <c r="O2814" s="385"/>
      <c r="P2814" s="385" t="str">
        <f>IFERROR(
    IF(
        OR(ISBLANK(I2814), ISBLANK(L2814)),
        "",
        MAX(
            1,
            IF(
                NETWORKDAYS(I2814, L2814, Holiday_Dates) &lt;= 0,
                1,
                NETWORKDAYS(I2814, L2814, Holiday_Dates) - IF(I2814 = L2814, 0, 1)
            )
        )
    ),
    ""
)</f>
        <v/>
      </c>
      <c r="Q2814" s="385" t="str">
        <f>IF(
    OR(ISBLANK(L2814), ISBLANK(M2814)),
    "",
    MAX(
        1,
        IF(
            NETWORKDAYS(L2814, M2814, Holiday_Dates) &lt;= 0,
            1,
            NETWORKDAYS(L2814, M2814, Holiday_Dates) - IF(L2814 = M2814, 0, 1)
        )
    )
)</f>
        <v/>
      </c>
      <c r="R2814" s="385" t="str">
        <f>IFERROR(
    IF(
        OR(ISBLANK(N2814), AND(ISBLANK(L2814), ISBLANK(M2814))),
        "",
        MAX(
            1,
            IF(
                NETWORKDAYS(IF(NOT(ISBLANK(M2814)), M2814, L2814), N2814, Holiday_Dates) &lt;= 0,
                1,
                NETWORKDAYS(IF(NOT(ISBLANK(M2814)), M2814, L2814), N2814, Holiday_Dates)
                - IF(IF(NOT(ISBLANK(M2814)), M2814, L2814) = N2814, 0, 1)
            )
        )
    ),
    ""
)</f>
        <v/>
      </c>
      <c r="S2814" s="385" t="str">
        <f>IFERROR(
    IF(
        OR(ISBLANK(N2814), ISBLANK(O2814)),
        "",
        MAX(
            1,
            IF(
                NETWORKDAYS(N2814, O2814, Holiday_Dates) &lt;= 0,
                1,
                NETWORKDAYS(N2814, O2814, Holiday_Dates) - IF(N2814 = O2814, 0, 1)
            )
        )
    ),
    ""
)</f>
        <v/>
      </c>
      <c r="T2814" s="385"/>
      <c r="U2814" s="385"/>
      <c r="V2814" s="385"/>
      <c r="W2814" s="385" t="s">
        <v>4710</v>
      </c>
      <c r="X2814" s="1"/>
    </row>
    <row r="2815" spans="1:24">
      <c r="A2815" s="385" t="s">
        <v>52</v>
      </c>
      <c r="B2815" s="385" t="s">
        <v>4231</v>
      </c>
      <c r="C2815" s="385" t="s">
        <v>2234</v>
      </c>
      <c r="D2815" s="385" t="s">
        <v>88</v>
      </c>
      <c r="E2815" s="385"/>
      <c r="F2815" s="385"/>
      <c r="G2815" s="385"/>
      <c r="H2815" s="385">
        <v>2025</v>
      </c>
      <c r="I2815" s="386">
        <v>45847</v>
      </c>
      <c r="J2815" s="30" t="s">
        <v>5741</v>
      </c>
      <c r="K2815" s="385"/>
      <c r="L2815" s="385"/>
      <c r="M2815" s="385"/>
      <c r="N2815" s="385"/>
      <c r="O2815" s="385"/>
      <c r="P2815" s="385" t="str">
        <f>IFERROR(
    IF(
        OR(ISBLANK(I2815), ISBLANK(L2815)),
        "",
        MAX(
            1,
            IF(
                NETWORKDAYS(I2815, L2815, Holiday_Dates) &lt;= 0,
                1,
                NETWORKDAYS(I2815, L2815, Holiday_Dates) - IF(I2815 = L2815, 0, 1)
            )
        )
    ),
    ""
)</f>
        <v/>
      </c>
      <c r="Q2815" s="385" t="str">
        <f>IF(
    OR(ISBLANK(L2815), ISBLANK(M2815)),
    "",
    MAX(
        1,
        IF(
            NETWORKDAYS(L2815, M2815, Holiday_Dates) &lt;= 0,
            1,
            NETWORKDAYS(L2815, M2815, Holiday_Dates) - IF(L2815 = M2815, 0, 1)
        )
    )
)</f>
        <v/>
      </c>
      <c r="R2815" s="385" t="str">
        <f>IFERROR(
    IF(
        OR(ISBLANK(N2815), AND(ISBLANK(L2815), ISBLANK(M2815))),
        "",
        MAX(
            1,
            IF(
                NETWORKDAYS(IF(NOT(ISBLANK(M2815)), M2815, L2815), N2815, Holiday_Dates) &lt;= 0,
                1,
                NETWORKDAYS(IF(NOT(ISBLANK(M2815)), M2815, L2815), N2815, Holiday_Dates)
                - IF(IF(NOT(ISBLANK(M2815)), M2815, L2815) = N2815, 0, 1)
            )
        )
    ),
    ""
)</f>
        <v/>
      </c>
      <c r="S2815" s="385" t="str">
        <f>IFERROR(
    IF(
        OR(ISBLANK(N2815), ISBLANK(O2815)),
        "",
        MAX(
            1,
            IF(
                NETWORKDAYS(N2815, O2815, Holiday_Dates) &lt;= 0,
                1,
                NETWORKDAYS(N2815, O2815, Holiday_Dates) - IF(N2815 = O2815, 0, 1)
            )
        )
    ),
    ""
)</f>
        <v/>
      </c>
      <c r="T2815" s="385"/>
      <c r="U2815" s="385" t="s">
        <v>672</v>
      </c>
      <c r="V2815" s="385" t="s">
        <v>101</v>
      </c>
      <c r="W2815" s="385" t="s">
        <v>1436</v>
      </c>
      <c r="X2815" s="1"/>
    </row>
    <row r="2816" spans="1:24">
      <c r="A2816" s="385" t="s">
        <v>52</v>
      </c>
      <c r="B2816" s="385" t="s">
        <v>4231</v>
      </c>
      <c r="C2816" s="385" t="s">
        <v>2344</v>
      </c>
      <c r="D2816" s="385" t="s">
        <v>88</v>
      </c>
      <c r="E2816" s="385"/>
      <c r="F2816" s="385"/>
      <c r="G2816" s="385"/>
      <c r="H2816" s="385">
        <v>2025</v>
      </c>
      <c r="I2816" s="386">
        <v>45847</v>
      </c>
      <c r="J2816" s="30" t="s">
        <v>5742</v>
      </c>
      <c r="K2816" s="385"/>
      <c r="L2816" s="385"/>
      <c r="M2816" s="385"/>
      <c r="N2816" s="385"/>
      <c r="O2816" s="385"/>
      <c r="P2816" s="385" t="str">
        <f>IFERROR(
    IF(
        OR(ISBLANK(I2816), ISBLANK(L2816)),
        "",
        MAX(
            1,
            IF(
                NETWORKDAYS(I2816, L2816, Holiday_Dates) &lt;= 0,
                1,
                NETWORKDAYS(I2816, L2816, Holiday_Dates) - IF(I2816 = L2816, 0, 1)
            )
        )
    ),
    ""
)</f>
        <v/>
      </c>
      <c r="Q2816" s="385" t="str">
        <f>IF(
    OR(ISBLANK(L2816), ISBLANK(M2816)),
    "",
    MAX(
        1,
        IF(
            NETWORKDAYS(L2816, M2816, Holiday_Dates) &lt;= 0,
            1,
            NETWORKDAYS(L2816, M2816, Holiday_Dates) - IF(L2816 = M2816, 0, 1)
        )
    )
)</f>
        <v/>
      </c>
      <c r="R2816" s="385" t="str">
        <f>IFERROR(
    IF(
        OR(ISBLANK(N2816), AND(ISBLANK(L2816), ISBLANK(M2816))),
        "",
        MAX(
            1,
            IF(
                NETWORKDAYS(IF(NOT(ISBLANK(M2816)), M2816, L2816), N2816, Holiday_Dates) &lt;= 0,
                1,
                NETWORKDAYS(IF(NOT(ISBLANK(M2816)), M2816, L2816), N2816, Holiday_Dates)
                - IF(IF(NOT(ISBLANK(M2816)), M2816, L2816) = N2816, 0, 1)
            )
        )
    ),
    ""
)</f>
        <v/>
      </c>
      <c r="S2816" s="385" t="str">
        <f>IFERROR(
    IF(
        OR(ISBLANK(N2816), ISBLANK(O2816)),
        "",
        MAX(
            1,
            IF(
                NETWORKDAYS(N2816, O2816, Holiday_Dates) &lt;= 0,
                1,
                NETWORKDAYS(N2816, O2816, Holiday_Dates) - IF(N2816 = O2816, 0, 1)
            )
        )
    ),
    ""
)</f>
        <v/>
      </c>
      <c r="T2816" s="385"/>
      <c r="U2816" s="385" t="s">
        <v>672</v>
      </c>
      <c r="V2816" s="385" t="s">
        <v>101</v>
      </c>
      <c r="W2816" s="385" t="s">
        <v>1436</v>
      </c>
      <c r="X2816" s="1"/>
    </row>
    <row r="2817" spans="1:24">
      <c r="A2817" s="385" t="s">
        <v>52</v>
      </c>
      <c r="B2817" s="385" t="s">
        <v>427</v>
      </c>
      <c r="C2817" s="385" t="s">
        <v>4312</v>
      </c>
      <c r="D2817" s="385" t="s">
        <v>89</v>
      </c>
      <c r="E2817" s="385" t="s">
        <v>39</v>
      </c>
      <c r="F2817" s="385"/>
      <c r="G2817" s="385" t="s">
        <v>28</v>
      </c>
      <c r="H2817" s="385"/>
      <c r="I2817" s="385"/>
      <c r="J2817" s="30"/>
      <c r="K2817" s="385"/>
      <c r="L2817" s="385"/>
      <c r="M2817" s="385"/>
      <c r="N2817" s="385"/>
      <c r="O2817" s="385"/>
      <c r="P2817" s="385" t="str">
        <f>IFERROR(
    IF(
        OR(ISBLANK(I2817), ISBLANK(L2817)),
        "",
        MAX(
            1,
            IF(
                NETWORKDAYS(I2817, L2817, Holiday_Dates) &lt;= 0,
                1,
                NETWORKDAYS(I2817, L2817, Holiday_Dates) - IF(I2817 = L2817, 0, 1)
            )
        )
    ),
    ""
)</f>
        <v/>
      </c>
      <c r="Q2817" s="385" t="str">
        <f>IF(
    OR(ISBLANK(L2817), ISBLANK(M2817)),
    "",
    MAX(
        1,
        IF(
            NETWORKDAYS(L2817, M2817, Holiday_Dates) &lt;= 0,
            1,
            NETWORKDAYS(L2817, M2817, Holiday_Dates) - IF(L2817 = M2817, 0, 1)
        )
    )
)</f>
        <v/>
      </c>
      <c r="R2817" s="385" t="str">
        <f>IFERROR(
    IF(
        OR(ISBLANK(N2817), AND(ISBLANK(L2817), ISBLANK(M2817))),
        "",
        MAX(
            1,
            IF(
                NETWORKDAYS(IF(NOT(ISBLANK(M2817)), M2817, L2817), N2817, Holiday_Dates) &lt;= 0,
                1,
                NETWORKDAYS(IF(NOT(ISBLANK(M2817)), M2817, L2817), N2817, Holiday_Dates)
                - IF(IF(NOT(ISBLANK(M2817)), M2817, L2817) = N2817, 0, 1)
            )
        )
    ),
    ""
)</f>
        <v/>
      </c>
      <c r="S2817" s="385" t="str">
        <f>IFERROR(
    IF(
        OR(ISBLANK(N2817), ISBLANK(O2817)),
        "",
        MAX(
            1,
            IF(
                NETWORKDAYS(N2817, O2817, Holiday_Dates) &lt;= 0,
                1,
                NETWORKDAYS(N2817, O2817, Holiday_Dates) - IF(N2817 = O2817, 0, 1)
            )
        )
    ),
    ""
)</f>
        <v/>
      </c>
      <c r="T2817" s="385"/>
      <c r="U2817" s="385"/>
      <c r="V2817" s="385"/>
      <c r="W2817" s="385" t="s">
        <v>4710</v>
      </c>
      <c r="X2817" s="1"/>
    </row>
    <row r="2818" spans="1:24">
      <c r="A2818" s="385" t="s">
        <v>52</v>
      </c>
      <c r="B2818" s="385" t="s">
        <v>357</v>
      </c>
      <c r="C2818" s="385" t="s">
        <v>2342</v>
      </c>
      <c r="D2818" s="385" t="s">
        <v>89</v>
      </c>
      <c r="E2818" s="385" t="s">
        <v>38</v>
      </c>
      <c r="F2818" s="385"/>
      <c r="G2818" s="385" t="s">
        <v>28</v>
      </c>
      <c r="H2818" s="385"/>
      <c r="I2818" s="385"/>
      <c r="J2818" s="30"/>
      <c r="K2818" s="385"/>
      <c r="L2818" s="385"/>
      <c r="M2818" s="385"/>
      <c r="N2818" s="385"/>
      <c r="O2818" s="385"/>
      <c r="P2818" s="385" t="str">
        <f>IFERROR(
    IF(
        OR(ISBLANK(I2818), ISBLANK(L2818)),
        "",
        MAX(
            1,
            IF(
                NETWORKDAYS(I2818, L2818, Holiday_Dates) &lt;= 0,
                1,
                NETWORKDAYS(I2818, L2818, Holiday_Dates) - IF(I2818 = L2818, 0, 1)
            )
        )
    ),
    ""
)</f>
        <v/>
      </c>
      <c r="Q2818" s="385" t="str">
        <f>IF(
    OR(ISBLANK(L2818), ISBLANK(M2818)),
    "",
    MAX(
        1,
        IF(
            NETWORKDAYS(L2818, M2818, Holiday_Dates) &lt;= 0,
            1,
            NETWORKDAYS(L2818, M2818, Holiday_Dates) - IF(L2818 = M2818, 0, 1)
        )
    )
)</f>
        <v/>
      </c>
      <c r="R2818" s="385" t="str">
        <f>IFERROR(
    IF(
        OR(ISBLANK(N2818), AND(ISBLANK(L2818), ISBLANK(M2818))),
        "",
        MAX(
            1,
            IF(
                NETWORKDAYS(IF(NOT(ISBLANK(M2818)), M2818, L2818), N2818, Holiday_Dates) &lt;= 0,
                1,
                NETWORKDAYS(IF(NOT(ISBLANK(M2818)), M2818, L2818), N2818, Holiday_Dates)
                - IF(IF(NOT(ISBLANK(M2818)), M2818, L2818) = N2818, 0, 1)
            )
        )
    ),
    ""
)</f>
        <v/>
      </c>
      <c r="S2818" s="385" t="str">
        <f>IFERROR(
    IF(
        OR(ISBLANK(N2818), ISBLANK(O2818)),
        "",
        MAX(
            1,
            IF(
                NETWORKDAYS(N2818, O2818, Holiday_Dates) &lt;= 0,
                1,
                NETWORKDAYS(N2818, O2818, Holiday_Dates) - IF(N2818 = O2818, 0, 1)
            )
        )
    ),
    ""
)</f>
        <v/>
      </c>
      <c r="T2818" s="385"/>
      <c r="U2818" s="385"/>
      <c r="V2818" s="385"/>
      <c r="W2818" s="385" t="s">
        <v>4710</v>
      </c>
      <c r="X2818" s="1"/>
    </row>
    <row r="2819" spans="1:24">
      <c r="A2819" s="385" t="s">
        <v>52</v>
      </c>
      <c r="B2819" s="385" t="s">
        <v>4231</v>
      </c>
      <c r="C2819" s="385" t="s">
        <v>380</v>
      </c>
      <c r="D2819" s="385" t="s">
        <v>88</v>
      </c>
      <c r="E2819" s="385" t="s">
        <v>37</v>
      </c>
      <c r="F2819" s="385"/>
      <c r="G2819" s="385" t="s">
        <v>28</v>
      </c>
      <c r="H2819" s="385">
        <v>2025</v>
      </c>
      <c r="I2819" s="386">
        <v>45678</v>
      </c>
      <c r="J2819" s="30" t="s">
        <v>5743</v>
      </c>
      <c r="K2819" s="385"/>
      <c r="L2819" s="385"/>
      <c r="M2819" s="385"/>
      <c r="N2819" s="385"/>
      <c r="O2819" s="385"/>
      <c r="P2819" s="385" t="str">
        <f>IFERROR(
    IF(
        OR(ISBLANK(I2819), ISBLANK(L2819)),
        "",
        MAX(
            1,
            IF(
                NETWORKDAYS(I2819, L2819, Holiday_Dates) &lt;= 0,
                1,
                NETWORKDAYS(I2819, L2819, Holiday_Dates) - IF(I2819 = L2819, 0, 1)
            )
        )
    ),
    ""
)</f>
        <v/>
      </c>
      <c r="Q2819" s="385" t="str">
        <f>IF(
    OR(ISBLANK(L2819), ISBLANK(M2819)),
    "",
    MAX(
        1,
        IF(
            NETWORKDAYS(L2819, M2819, Holiday_Dates) &lt;= 0,
            1,
            NETWORKDAYS(L2819, M2819, Holiday_Dates) - IF(L2819 = M2819, 0, 1)
        )
    )
)</f>
        <v/>
      </c>
      <c r="R2819" s="385" t="str">
        <f>IFERROR(
    IF(
        OR(ISBLANK(N2819), AND(ISBLANK(L2819), ISBLANK(M2819))),
        "",
        MAX(
            1,
            IF(
                NETWORKDAYS(IF(NOT(ISBLANK(M2819)), M2819, L2819), N2819, Holiday_Dates) &lt;= 0,
                1,
                NETWORKDAYS(IF(NOT(ISBLANK(M2819)), M2819, L2819), N2819, Holiday_Dates)
                - IF(IF(NOT(ISBLANK(M2819)), M2819, L2819) = N2819, 0, 1)
            )
        )
    ),
    ""
)</f>
        <v/>
      </c>
      <c r="S2819" s="385" t="str">
        <f>IFERROR(
    IF(
        OR(ISBLANK(N2819), ISBLANK(O2819)),
        "",
        MAX(
            1,
            IF(
                NETWORKDAYS(N2819, O2819, Holiday_Dates) &lt;= 0,
                1,
                NETWORKDAYS(N2819, O2819, Holiday_Dates) - IF(N2819 = O2819, 0, 1)
            )
        )
    ),
    ""
)</f>
        <v/>
      </c>
      <c r="T2819" s="385"/>
      <c r="U2819" s="385" t="s">
        <v>672</v>
      </c>
      <c r="V2819" s="385" t="s">
        <v>1676</v>
      </c>
      <c r="W2819" s="385" t="s">
        <v>1436</v>
      </c>
      <c r="X2819" s="1"/>
    </row>
    <row r="2820" spans="1:24">
      <c r="A2820" s="385" t="s">
        <v>52</v>
      </c>
      <c r="B2820" s="385" t="s">
        <v>4231</v>
      </c>
      <c r="C2820" s="385" t="s">
        <v>2236</v>
      </c>
      <c r="D2820" s="385" t="s">
        <v>88</v>
      </c>
      <c r="E2820" s="385"/>
      <c r="F2820" s="385"/>
      <c r="G2820" s="385"/>
      <c r="H2820" s="385">
        <v>2025</v>
      </c>
      <c r="I2820" s="386">
        <v>45910</v>
      </c>
      <c r="J2820" s="30" t="s">
        <v>5744</v>
      </c>
      <c r="K2820" s="385"/>
      <c r="L2820" s="385"/>
      <c r="M2820" s="385"/>
      <c r="N2820" s="385"/>
      <c r="O2820" s="385"/>
      <c r="P2820" s="385" t="str">
        <f>IFERROR(
    IF(
        OR(ISBLANK(I2820), ISBLANK(L2820)),
        "",
        MAX(
            1,
            IF(
                NETWORKDAYS(I2820, L2820, Holiday_Dates) &lt;= 0,
                1,
                NETWORKDAYS(I2820, L2820, Holiday_Dates) - IF(I2820 = L2820, 0, 1)
            )
        )
    ),
    ""
)</f>
        <v/>
      </c>
      <c r="Q2820" s="385" t="str">
        <f>IF(
    OR(ISBLANK(L2820), ISBLANK(M2820)),
    "",
    MAX(
        1,
        IF(
            NETWORKDAYS(L2820, M2820, Holiday_Dates) &lt;= 0,
            1,
            NETWORKDAYS(L2820, M2820, Holiday_Dates) - IF(L2820 = M2820, 0, 1)
        )
    )
)</f>
        <v/>
      </c>
      <c r="R2820" s="385" t="str">
        <f>IFERROR(
    IF(
        OR(ISBLANK(N2820), AND(ISBLANK(L2820), ISBLANK(M2820))),
        "",
        MAX(
            1,
            IF(
                NETWORKDAYS(IF(NOT(ISBLANK(M2820)), M2820, L2820), N2820, Holiday_Dates) &lt;= 0,
                1,
                NETWORKDAYS(IF(NOT(ISBLANK(M2820)), M2820, L2820), N2820, Holiday_Dates)
                - IF(IF(NOT(ISBLANK(M2820)), M2820, L2820) = N2820, 0, 1)
            )
        )
    ),
    ""
)</f>
        <v/>
      </c>
      <c r="S2820" s="385" t="str">
        <f>IFERROR(
    IF(
        OR(ISBLANK(N2820), ISBLANK(O2820)),
        "",
        MAX(
            1,
            IF(
                NETWORKDAYS(N2820, O2820, Holiday_Dates) &lt;= 0,
                1,
                NETWORKDAYS(N2820, O2820, Holiday_Dates) - IF(N2820 = O2820, 0, 1)
            )
        )
    ),
    ""
)</f>
        <v/>
      </c>
      <c r="T2820" s="385"/>
      <c r="U2820" s="385" t="s">
        <v>672</v>
      </c>
      <c r="V2820" s="385" t="s">
        <v>1676</v>
      </c>
      <c r="W2820" s="385" t="s">
        <v>1436</v>
      </c>
      <c r="X2820" s="1"/>
    </row>
    <row r="2821" spans="1:24">
      <c r="A2821" s="385" t="s">
        <v>52</v>
      </c>
      <c r="B2821" s="385" t="s">
        <v>4231</v>
      </c>
      <c r="C2821" s="385" t="s">
        <v>526</v>
      </c>
      <c r="D2821" s="385" t="s">
        <v>88</v>
      </c>
      <c r="E2821" s="385"/>
      <c r="F2821" s="385"/>
      <c r="G2821" s="385"/>
      <c r="H2821" s="385">
        <v>2025</v>
      </c>
      <c r="I2821" s="386">
        <v>45910</v>
      </c>
      <c r="J2821" s="30" t="s">
        <v>5745</v>
      </c>
      <c r="K2821" s="385"/>
      <c r="L2821" s="385"/>
      <c r="M2821" s="385"/>
      <c r="N2821" s="385"/>
      <c r="O2821" s="385"/>
      <c r="P2821" s="385" t="str">
        <f>IFERROR(
    IF(
        OR(ISBLANK(I2821), ISBLANK(L2821)),
        "",
        MAX(
            1,
            IF(
                NETWORKDAYS(I2821, L2821, Holiday_Dates) &lt;= 0,
                1,
                NETWORKDAYS(I2821, L2821, Holiday_Dates) - IF(I2821 = L2821, 0, 1)
            )
        )
    ),
    ""
)</f>
        <v/>
      </c>
      <c r="Q2821" s="385" t="str">
        <f>IF(
    OR(ISBLANK(L2821), ISBLANK(M2821)),
    "",
    MAX(
        1,
        IF(
            NETWORKDAYS(L2821, M2821, Holiday_Dates) &lt;= 0,
            1,
            NETWORKDAYS(L2821, M2821, Holiday_Dates) - IF(L2821 = M2821, 0, 1)
        )
    )
)</f>
        <v/>
      </c>
      <c r="R2821" s="385" t="str">
        <f>IFERROR(
    IF(
        OR(ISBLANK(N2821), AND(ISBLANK(L2821), ISBLANK(M2821))),
        "",
        MAX(
            1,
            IF(
                NETWORKDAYS(IF(NOT(ISBLANK(M2821)), M2821, L2821), N2821, Holiday_Dates) &lt;= 0,
                1,
                NETWORKDAYS(IF(NOT(ISBLANK(M2821)), M2821, L2821), N2821, Holiday_Dates)
                - IF(IF(NOT(ISBLANK(M2821)), M2821, L2821) = N2821, 0, 1)
            )
        )
    ),
    ""
)</f>
        <v/>
      </c>
      <c r="S2821" s="385" t="str">
        <f>IFERROR(
    IF(
        OR(ISBLANK(N2821), ISBLANK(O2821)),
        "",
        MAX(
            1,
            IF(
                NETWORKDAYS(N2821, O2821, Holiday_Dates) &lt;= 0,
                1,
                NETWORKDAYS(N2821, O2821, Holiday_Dates) - IF(N2821 = O2821, 0, 1)
            )
        )
    ),
    ""
)</f>
        <v/>
      </c>
      <c r="T2821" s="385"/>
      <c r="U2821" s="385" t="s">
        <v>672</v>
      </c>
      <c r="V2821" s="385" t="s">
        <v>101</v>
      </c>
      <c r="W2821" s="385" t="s">
        <v>1436</v>
      </c>
      <c r="X2821" s="1"/>
    </row>
    <row r="2822" spans="1:24">
      <c r="A2822" s="385" t="s">
        <v>52</v>
      </c>
      <c r="B2822" s="385" t="s">
        <v>4231</v>
      </c>
      <c r="C2822" s="385" t="s">
        <v>1879</v>
      </c>
      <c r="D2822" s="385" t="s">
        <v>88</v>
      </c>
      <c r="E2822" s="385" t="s">
        <v>37</v>
      </c>
      <c r="F2822" s="385"/>
      <c r="G2822" s="385" t="s">
        <v>28</v>
      </c>
      <c r="H2822" s="385">
        <v>2025</v>
      </c>
      <c r="I2822" s="386">
        <v>45679</v>
      </c>
      <c r="J2822" s="30" t="s">
        <v>5746</v>
      </c>
      <c r="K2822" s="385"/>
      <c r="L2822" s="385"/>
      <c r="M2822" s="385"/>
      <c r="N2822" s="385"/>
      <c r="O2822" s="385"/>
      <c r="P2822" s="385" t="str">
        <f>IFERROR(
    IF(
        OR(ISBLANK(I2822), ISBLANK(L2822)),
        "",
        MAX(
            1,
            IF(
                NETWORKDAYS(I2822, L2822, Holiday_Dates) &lt;= 0,
                1,
                NETWORKDAYS(I2822, L2822, Holiday_Dates) - IF(I2822 = L2822, 0, 1)
            )
        )
    ),
    ""
)</f>
        <v/>
      </c>
      <c r="Q2822" s="385" t="str">
        <f>IF(
    OR(ISBLANK(L2822), ISBLANK(M2822)),
    "",
    MAX(
        1,
        IF(
            NETWORKDAYS(L2822, M2822, Holiday_Dates) &lt;= 0,
            1,
            NETWORKDAYS(L2822, M2822, Holiday_Dates) - IF(L2822 = M2822, 0, 1)
        )
    )
)</f>
        <v/>
      </c>
      <c r="R2822" s="385" t="str">
        <f>IFERROR(
    IF(
        OR(ISBLANK(N2822), AND(ISBLANK(L2822), ISBLANK(M2822))),
        "",
        MAX(
            1,
            IF(
                NETWORKDAYS(IF(NOT(ISBLANK(M2822)), M2822, L2822), N2822, Holiday_Dates) &lt;= 0,
                1,
                NETWORKDAYS(IF(NOT(ISBLANK(M2822)), M2822, L2822), N2822, Holiday_Dates)
                - IF(IF(NOT(ISBLANK(M2822)), M2822, L2822) = N2822, 0, 1)
            )
        )
    ),
    ""
)</f>
        <v/>
      </c>
      <c r="S2822" s="385" t="str">
        <f>IFERROR(
    IF(
        OR(ISBLANK(N2822), ISBLANK(O2822)),
        "",
        MAX(
            1,
            IF(
                NETWORKDAYS(N2822, O2822, Holiday_Dates) &lt;= 0,
                1,
                NETWORKDAYS(N2822, O2822, Holiday_Dates) - IF(N2822 = O2822, 0, 1)
            )
        )
    ),
    ""
)</f>
        <v/>
      </c>
      <c r="T2822" s="385"/>
      <c r="U2822" s="385" t="s">
        <v>4</v>
      </c>
      <c r="V2822" s="385" t="s">
        <v>101</v>
      </c>
      <c r="W2822" s="385" t="s">
        <v>1436</v>
      </c>
      <c r="X2822" s="1"/>
    </row>
    <row r="2823" spans="1:24">
      <c r="A2823" s="385" t="s">
        <v>52</v>
      </c>
      <c r="B2823" s="385" t="s">
        <v>357</v>
      </c>
      <c r="C2823" s="385" t="s">
        <v>550</v>
      </c>
      <c r="D2823" s="385" t="s">
        <v>89</v>
      </c>
      <c r="E2823" s="385" t="s">
        <v>38</v>
      </c>
      <c r="F2823" s="385"/>
      <c r="G2823" s="385" t="s">
        <v>28</v>
      </c>
      <c r="H2823" s="385"/>
      <c r="I2823" s="385"/>
      <c r="J2823" s="30"/>
      <c r="K2823" s="385"/>
      <c r="L2823" s="385"/>
      <c r="M2823" s="385"/>
      <c r="N2823" s="385"/>
      <c r="O2823" s="385"/>
      <c r="P2823" s="385" t="str">
        <f>IFERROR(
    IF(
        OR(ISBLANK(I2823), ISBLANK(L2823)),
        "",
        MAX(
            1,
            IF(
                NETWORKDAYS(I2823, L2823, Holiday_Dates) &lt;= 0,
                1,
                NETWORKDAYS(I2823, L2823, Holiday_Dates) - IF(I2823 = L2823, 0, 1)
            )
        )
    ),
    ""
)</f>
        <v/>
      </c>
      <c r="Q2823" s="385" t="str">
        <f>IF(
    OR(ISBLANK(L2823), ISBLANK(M2823)),
    "",
    MAX(
        1,
        IF(
            NETWORKDAYS(L2823, M2823, Holiday_Dates) &lt;= 0,
            1,
            NETWORKDAYS(L2823, M2823, Holiday_Dates) - IF(L2823 = M2823, 0, 1)
        )
    )
)</f>
        <v/>
      </c>
      <c r="R2823" s="385" t="str">
        <f>IFERROR(
    IF(
        OR(ISBLANK(N2823), AND(ISBLANK(L2823), ISBLANK(M2823))),
        "",
        MAX(
            1,
            IF(
                NETWORKDAYS(IF(NOT(ISBLANK(M2823)), M2823, L2823), N2823, Holiday_Dates) &lt;= 0,
                1,
                NETWORKDAYS(IF(NOT(ISBLANK(M2823)), M2823, L2823), N2823, Holiday_Dates)
                - IF(IF(NOT(ISBLANK(M2823)), M2823, L2823) = N2823, 0, 1)
            )
        )
    ),
    ""
)</f>
        <v/>
      </c>
      <c r="S2823" s="385" t="str">
        <f>IFERROR(
    IF(
        OR(ISBLANK(N2823), ISBLANK(O2823)),
        "",
        MAX(
            1,
            IF(
                NETWORKDAYS(N2823, O2823, Holiday_Dates) &lt;= 0,
                1,
                NETWORKDAYS(N2823, O2823, Holiday_Dates) - IF(N2823 = O2823, 0, 1)
            )
        )
    ),
    ""
)</f>
        <v/>
      </c>
      <c r="T2823" s="385"/>
      <c r="U2823" s="385"/>
      <c r="V2823" s="385"/>
      <c r="W2823" s="385" t="s">
        <v>4710</v>
      </c>
      <c r="X2823" s="1"/>
    </row>
    <row r="2824" spans="1:24">
      <c r="A2824" s="385" t="s">
        <v>52</v>
      </c>
      <c r="B2824" s="385" t="s">
        <v>357</v>
      </c>
      <c r="C2824" s="385" t="s">
        <v>440</v>
      </c>
      <c r="D2824" s="385" t="s">
        <v>89</v>
      </c>
      <c r="E2824" s="385" t="s">
        <v>38</v>
      </c>
      <c r="F2824" s="385"/>
      <c r="G2824" s="385" t="s">
        <v>28</v>
      </c>
      <c r="H2824" s="385"/>
      <c r="I2824" s="385"/>
      <c r="J2824" s="30"/>
      <c r="K2824" s="385"/>
      <c r="L2824" s="385"/>
      <c r="M2824" s="385"/>
      <c r="N2824" s="385"/>
      <c r="O2824" s="385"/>
      <c r="P2824" s="385" t="str">
        <f>IFERROR(
    IF(
        OR(ISBLANK(I2824), ISBLANK(L2824)),
        "",
        MAX(
            1,
            IF(
                NETWORKDAYS(I2824, L2824, Holiday_Dates) &lt;= 0,
                1,
                NETWORKDAYS(I2824, L2824, Holiday_Dates) - IF(I2824 = L2824, 0, 1)
            )
        )
    ),
    ""
)</f>
        <v/>
      </c>
      <c r="Q2824" s="385" t="str">
        <f>IF(
    OR(ISBLANK(L2824), ISBLANK(M2824)),
    "",
    MAX(
        1,
        IF(
            NETWORKDAYS(L2824, M2824, Holiday_Dates) &lt;= 0,
            1,
            NETWORKDAYS(L2824, M2824, Holiday_Dates) - IF(L2824 = M2824, 0, 1)
        )
    )
)</f>
        <v/>
      </c>
      <c r="R2824" s="385" t="str">
        <f>IFERROR(
    IF(
        OR(ISBLANK(N2824), AND(ISBLANK(L2824), ISBLANK(M2824))),
        "",
        MAX(
            1,
            IF(
                NETWORKDAYS(IF(NOT(ISBLANK(M2824)), M2824, L2824), N2824, Holiday_Dates) &lt;= 0,
                1,
                NETWORKDAYS(IF(NOT(ISBLANK(M2824)), M2824, L2824), N2824, Holiday_Dates)
                - IF(IF(NOT(ISBLANK(M2824)), M2824, L2824) = N2824, 0, 1)
            )
        )
    ),
    ""
)</f>
        <v/>
      </c>
      <c r="S2824" s="385" t="str">
        <f>IFERROR(
    IF(
        OR(ISBLANK(N2824), ISBLANK(O2824)),
        "",
        MAX(
            1,
            IF(
                NETWORKDAYS(N2824, O2824, Holiday_Dates) &lt;= 0,
                1,
                NETWORKDAYS(N2824, O2824, Holiday_Dates) - IF(N2824 = O2824, 0, 1)
            )
        )
    ),
    ""
)</f>
        <v/>
      </c>
      <c r="T2824" s="385"/>
      <c r="U2824" s="385"/>
      <c r="V2824" s="385"/>
      <c r="W2824" s="385" t="s">
        <v>4710</v>
      </c>
      <c r="X2824" s="1"/>
    </row>
    <row r="2825" spans="1:24">
      <c r="A2825" s="385" t="s">
        <v>52</v>
      </c>
      <c r="B2825" s="385" t="s">
        <v>357</v>
      </c>
      <c r="C2825" s="385" t="s">
        <v>552</v>
      </c>
      <c r="D2825" s="385" t="s">
        <v>89</v>
      </c>
      <c r="E2825" s="385" t="s">
        <v>38</v>
      </c>
      <c r="F2825" s="385"/>
      <c r="G2825" s="385" t="s">
        <v>28</v>
      </c>
      <c r="H2825" s="385"/>
      <c r="I2825" s="385"/>
      <c r="J2825" s="30"/>
      <c r="K2825" s="385"/>
      <c r="L2825" s="385"/>
      <c r="M2825" s="385"/>
      <c r="N2825" s="385"/>
      <c r="O2825" s="385"/>
      <c r="P2825" s="385" t="str">
        <f>IFERROR(
    IF(
        OR(ISBLANK(I2825), ISBLANK(L2825)),
        "",
        MAX(
            1,
            IF(
                NETWORKDAYS(I2825, L2825, Holiday_Dates) &lt;= 0,
                1,
                NETWORKDAYS(I2825, L2825, Holiday_Dates) - IF(I2825 = L2825, 0, 1)
            )
        )
    ),
    ""
)</f>
        <v/>
      </c>
      <c r="Q2825" s="385" t="str">
        <f>IF(
    OR(ISBLANK(L2825), ISBLANK(M2825)),
    "",
    MAX(
        1,
        IF(
            NETWORKDAYS(L2825, M2825, Holiday_Dates) &lt;= 0,
            1,
            NETWORKDAYS(L2825, M2825, Holiday_Dates) - IF(L2825 = M2825, 0, 1)
        )
    )
)</f>
        <v/>
      </c>
      <c r="R2825" s="385" t="str">
        <f>IFERROR(
    IF(
        OR(ISBLANK(N2825), AND(ISBLANK(L2825), ISBLANK(M2825))),
        "",
        MAX(
            1,
            IF(
                NETWORKDAYS(IF(NOT(ISBLANK(M2825)), M2825, L2825), N2825, Holiday_Dates) &lt;= 0,
                1,
                NETWORKDAYS(IF(NOT(ISBLANK(M2825)), M2825, L2825), N2825, Holiday_Dates)
                - IF(IF(NOT(ISBLANK(M2825)), M2825, L2825) = N2825, 0, 1)
            )
        )
    ),
    ""
)</f>
        <v/>
      </c>
      <c r="S2825" s="385" t="str">
        <f>IFERROR(
    IF(
        OR(ISBLANK(N2825), ISBLANK(O2825)),
        "",
        MAX(
            1,
            IF(
                NETWORKDAYS(N2825, O2825, Holiday_Dates) &lt;= 0,
                1,
                NETWORKDAYS(N2825, O2825, Holiday_Dates) - IF(N2825 = O2825, 0, 1)
            )
        )
    ),
    ""
)</f>
        <v/>
      </c>
      <c r="T2825" s="385"/>
      <c r="U2825" s="385"/>
      <c r="V2825" s="385"/>
      <c r="W2825" s="385" t="s">
        <v>4710</v>
      </c>
      <c r="X2825" s="1"/>
    </row>
    <row r="2826" spans="1:24">
      <c r="A2826" s="385" t="s">
        <v>52</v>
      </c>
      <c r="B2826" s="385" t="s">
        <v>357</v>
      </c>
      <c r="C2826" s="385" t="s">
        <v>653</v>
      </c>
      <c r="D2826" s="385" t="s">
        <v>89</v>
      </c>
      <c r="E2826" s="385" t="s">
        <v>38</v>
      </c>
      <c r="F2826" s="385"/>
      <c r="G2826" s="385" t="s">
        <v>28</v>
      </c>
      <c r="H2826" s="385"/>
      <c r="I2826" s="385"/>
      <c r="J2826" s="30"/>
      <c r="K2826" s="385"/>
      <c r="L2826" s="385"/>
      <c r="M2826" s="385"/>
      <c r="N2826" s="385"/>
      <c r="O2826" s="385"/>
      <c r="P2826" s="385" t="str">
        <f>IFERROR(
    IF(
        OR(ISBLANK(I2826), ISBLANK(L2826)),
        "",
        MAX(
            1,
            IF(
                NETWORKDAYS(I2826, L2826, Holiday_Dates) &lt;= 0,
                1,
                NETWORKDAYS(I2826, L2826, Holiday_Dates) - IF(I2826 = L2826, 0, 1)
            )
        )
    ),
    ""
)</f>
        <v/>
      </c>
      <c r="Q2826" s="385" t="str">
        <f>IF(
    OR(ISBLANK(L2826), ISBLANK(M2826)),
    "",
    MAX(
        1,
        IF(
            NETWORKDAYS(L2826, M2826, Holiday_Dates) &lt;= 0,
            1,
            NETWORKDAYS(L2826, M2826, Holiday_Dates) - IF(L2826 = M2826, 0, 1)
        )
    )
)</f>
        <v/>
      </c>
      <c r="R2826" s="385" t="str">
        <f>IFERROR(
    IF(
        OR(ISBLANK(N2826), AND(ISBLANK(L2826), ISBLANK(M2826))),
        "",
        MAX(
            1,
            IF(
                NETWORKDAYS(IF(NOT(ISBLANK(M2826)), M2826, L2826), N2826, Holiday_Dates) &lt;= 0,
                1,
                NETWORKDAYS(IF(NOT(ISBLANK(M2826)), M2826, L2826), N2826, Holiday_Dates)
                - IF(IF(NOT(ISBLANK(M2826)), M2826, L2826) = N2826, 0, 1)
            )
        )
    ),
    ""
)</f>
        <v/>
      </c>
      <c r="S2826" s="385" t="str">
        <f>IFERROR(
    IF(
        OR(ISBLANK(N2826), ISBLANK(O2826)),
        "",
        MAX(
            1,
            IF(
                NETWORKDAYS(N2826, O2826, Holiday_Dates) &lt;= 0,
                1,
                NETWORKDAYS(N2826, O2826, Holiday_Dates) - IF(N2826 = O2826, 0, 1)
            )
        )
    ),
    ""
)</f>
        <v/>
      </c>
      <c r="T2826" s="385"/>
      <c r="U2826" s="385"/>
      <c r="V2826" s="385"/>
      <c r="W2826" s="385" t="s">
        <v>4710</v>
      </c>
      <c r="X2826" s="1"/>
    </row>
    <row r="2827" spans="1:24">
      <c r="A2827" s="385" t="s">
        <v>52</v>
      </c>
      <c r="B2827" s="385" t="s">
        <v>357</v>
      </c>
      <c r="C2827" s="385" t="s">
        <v>380</v>
      </c>
      <c r="D2827" s="385" t="s">
        <v>89</v>
      </c>
      <c r="E2827" s="385" t="s">
        <v>38</v>
      </c>
      <c r="F2827" s="385"/>
      <c r="G2827" s="385" t="s">
        <v>28</v>
      </c>
      <c r="H2827" s="385"/>
      <c r="I2827" s="385"/>
      <c r="J2827" s="30"/>
      <c r="K2827" s="385"/>
      <c r="L2827" s="385"/>
      <c r="M2827" s="385"/>
      <c r="N2827" s="385"/>
      <c r="O2827" s="385"/>
      <c r="P2827" s="385" t="str">
        <f>IFERROR(
    IF(
        OR(ISBLANK(I2827), ISBLANK(L2827)),
        "",
        MAX(
            1,
            IF(
                NETWORKDAYS(I2827, L2827, Holiday_Dates) &lt;= 0,
                1,
                NETWORKDAYS(I2827, L2827, Holiday_Dates) - IF(I2827 = L2827, 0, 1)
            )
        )
    ),
    ""
)</f>
        <v/>
      </c>
      <c r="Q2827" s="385" t="str">
        <f>IF(
    OR(ISBLANK(L2827), ISBLANK(M2827)),
    "",
    MAX(
        1,
        IF(
            NETWORKDAYS(L2827, M2827, Holiday_Dates) &lt;= 0,
            1,
            NETWORKDAYS(L2827, M2827, Holiday_Dates) - IF(L2827 = M2827, 0, 1)
        )
    )
)</f>
        <v/>
      </c>
      <c r="R2827" s="385" t="str">
        <f>IFERROR(
    IF(
        OR(ISBLANK(N2827), AND(ISBLANK(L2827), ISBLANK(M2827))),
        "",
        MAX(
            1,
            IF(
                NETWORKDAYS(IF(NOT(ISBLANK(M2827)), M2827, L2827), N2827, Holiday_Dates) &lt;= 0,
                1,
                NETWORKDAYS(IF(NOT(ISBLANK(M2827)), M2827, L2827), N2827, Holiday_Dates)
                - IF(IF(NOT(ISBLANK(M2827)), M2827, L2827) = N2827, 0, 1)
            )
        )
    ),
    ""
)</f>
        <v/>
      </c>
      <c r="S2827" s="385" t="str">
        <f>IFERROR(
    IF(
        OR(ISBLANK(N2827), ISBLANK(O2827)),
        "",
        MAX(
            1,
            IF(
                NETWORKDAYS(N2827, O2827, Holiday_Dates) &lt;= 0,
                1,
                NETWORKDAYS(N2827, O2827, Holiday_Dates) - IF(N2827 = O2827, 0, 1)
            )
        )
    ),
    ""
)</f>
        <v/>
      </c>
      <c r="T2827" s="385"/>
      <c r="U2827" s="385"/>
      <c r="V2827" s="385"/>
      <c r="W2827" s="385" t="s">
        <v>4710</v>
      </c>
      <c r="X2827" s="1"/>
    </row>
    <row r="2828" spans="1:24">
      <c r="A2828" s="385" t="s">
        <v>52</v>
      </c>
      <c r="B2828" s="385" t="s">
        <v>4231</v>
      </c>
      <c r="C2828" s="385" t="s">
        <v>4271</v>
      </c>
      <c r="D2828" s="385" t="s">
        <v>88</v>
      </c>
      <c r="E2828" s="385"/>
      <c r="F2828" s="385"/>
      <c r="G2828" s="385"/>
      <c r="H2828" s="385">
        <v>2025</v>
      </c>
      <c r="I2828" s="386">
        <v>45877</v>
      </c>
      <c r="J2828" s="30" t="s">
        <v>5747</v>
      </c>
      <c r="K2828" s="385"/>
      <c r="L2828" s="385"/>
      <c r="M2828" s="385"/>
      <c r="N2828" s="385"/>
      <c r="O2828" s="385"/>
      <c r="P2828" s="385" t="str">
        <f>IFERROR(
    IF(
        OR(ISBLANK(I2828), ISBLANK(L2828)),
        "",
        MAX(
            1,
            IF(
                NETWORKDAYS(I2828, L2828, Holiday_Dates) &lt;= 0,
                1,
                NETWORKDAYS(I2828, L2828, Holiday_Dates) - IF(I2828 = L2828, 0, 1)
            )
        )
    ),
    ""
)</f>
        <v/>
      </c>
      <c r="Q2828" s="385" t="str">
        <f>IF(
    OR(ISBLANK(L2828), ISBLANK(M2828)),
    "",
    MAX(
        1,
        IF(
            NETWORKDAYS(L2828, M2828, Holiday_Dates) &lt;= 0,
            1,
            NETWORKDAYS(L2828, M2828, Holiday_Dates) - IF(L2828 = M2828, 0, 1)
        )
    )
)</f>
        <v/>
      </c>
      <c r="R2828" s="385" t="str">
        <f>IFERROR(
    IF(
        OR(ISBLANK(N2828), AND(ISBLANK(L2828), ISBLANK(M2828))),
        "",
        MAX(
            1,
            IF(
                NETWORKDAYS(IF(NOT(ISBLANK(M2828)), M2828, L2828), N2828, Holiday_Dates) &lt;= 0,
                1,
                NETWORKDAYS(IF(NOT(ISBLANK(M2828)), M2828, L2828), N2828, Holiday_Dates)
                - IF(IF(NOT(ISBLANK(M2828)), M2828, L2828) = N2828, 0, 1)
            )
        )
    ),
    ""
)</f>
        <v/>
      </c>
      <c r="S2828" s="385" t="str">
        <f>IFERROR(
    IF(
        OR(ISBLANK(N2828), ISBLANK(O2828)),
        "",
        MAX(
            1,
            IF(
                NETWORKDAYS(N2828, O2828, Holiday_Dates) &lt;= 0,
                1,
                NETWORKDAYS(N2828, O2828, Holiday_Dates) - IF(N2828 = O2828, 0, 1)
            )
        )
    ),
    ""
)</f>
        <v/>
      </c>
      <c r="T2828" s="385"/>
      <c r="U2828" s="385" t="s">
        <v>672</v>
      </c>
      <c r="V2828" s="385" t="s">
        <v>1676</v>
      </c>
      <c r="W2828" s="385" t="s">
        <v>1436</v>
      </c>
      <c r="X2828" s="1"/>
    </row>
    <row r="2829" spans="1:24">
      <c r="A2829" s="385" t="s">
        <v>52</v>
      </c>
      <c r="B2829" s="385" t="s">
        <v>4207</v>
      </c>
      <c r="C2829" s="385" t="s">
        <v>4210</v>
      </c>
      <c r="D2829" s="385" t="s">
        <v>89</v>
      </c>
      <c r="E2829" s="385" t="s">
        <v>37</v>
      </c>
      <c r="F2829" s="385"/>
      <c r="G2829" s="385" t="s">
        <v>28</v>
      </c>
      <c r="H2829" s="385"/>
      <c r="I2829" s="385"/>
      <c r="J2829" s="30"/>
      <c r="K2829" s="385"/>
      <c r="L2829" s="385"/>
      <c r="M2829" s="385"/>
      <c r="N2829" s="385"/>
      <c r="O2829" s="385"/>
      <c r="P2829" s="385" t="str">
        <f>IFERROR(
    IF(
        OR(ISBLANK(I2829), ISBLANK(L2829)),
        "",
        MAX(
            1,
            IF(
                NETWORKDAYS(I2829, L2829, Holiday_Dates) &lt;= 0,
                1,
                NETWORKDAYS(I2829, L2829, Holiday_Dates) - IF(I2829 = L2829, 0, 1)
            )
        )
    ),
    ""
)</f>
        <v/>
      </c>
      <c r="Q2829" s="385" t="str">
        <f>IF(
    OR(ISBLANK(L2829), ISBLANK(M2829)),
    "",
    MAX(
        1,
        IF(
            NETWORKDAYS(L2829, M2829, Holiday_Dates) &lt;= 0,
            1,
            NETWORKDAYS(L2829, M2829, Holiday_Dates) - IF(L2829 = M2829, 0, 1)
        )
    )
)</f>
        <v/>
      </c>
      <c r="R2829" s="385" t="str">
        <f>IFERROR(
    IF(
        OR(ISBLANK(N2829), AND(ISBLANK(L2829), ISBLANK(M2829))),
        "",
        MAX(
            1,
            IF(
                NETWORKDAYS(IF(NOT(ISBLANK(M2829)), M2829, L2829), N2829, Holiday_Dates) &lt;= 0,
                1,
                NETWORKDAYS(IF(NOT(ISBLANK(M2829)), M2829, L2829), N2829, Holiday_Dates)
                - IF(IF(NOT(ISBLANK(M2829)), M2829, L2829) = N2829, 0, 1)
            )
        )
    ),
    ""
)</f>
        <v/>
      </c>
      <c r="S2829" s="385" t="str">
        <f>IFERROR(
    IF(
        OR(ISBLANK(N2829), ISBLANK(O2829)),
        "",
        MAX(
            1,
            IF(
                NETWORKDAYS(N2829, O2829, Holiday_Dates) &lt;= 0,
                1,
                NETWORKDAYS(N2829, O2829, Holiday_Dates) - IF(N2829 = O2829, 0, 1)
            )
        )
    ),
    ""
)</f>
        <v/>
      </c>
      <c r="T2829" s="385"/>
      <c r="U2829" s="385"/>
      <c r="V2829" s="385"/>
      <c r="W2829" s="385" t="s">
        <v>4710</v>
      </c>
      <c r="X2829" s="1"/>
    </row>
    <row r="2830" spans="1:24">
      <c r="A2830" s="385" t="s">
        <v>52</v>
      </c>
      <c r="B2830" s="385" t="s">
        <v>4207</v>
      </c>
      <c r="C2830" s="385" t="s">
        <v>4213</v>
      </c>
      <c r="D2830" s="385" t="s">
        <v>89</v>
      </c>
      <c r="E2830" s="385" t="s">
        <v>37</v>
      </c>
      <c r="F2830" s="385"/>
      <c r="G2830" s="385" t="s">
        <v>28</v>
      </c>
      <c r="H2830" s="385"/>
      <c r="I2830" s="385"/>
      <c r="J2830" s="30"/>
      <c r="K2830" s="385"/>
      <c r="L2830" s="385"/>
      <c r="M2830" s="385"/>
      <c r="N2830" s="385"/>
      <c r="O2830" s="385"/>
      <c r="P2830" s="385" t="str">
        <f>IFERROR(
    IF(
        OR(ISBLANK(I2830), ISBLANK(L2830)),
        "",
        MAX(
            1,
            IF(
                NETWORKDAYS(I2830, L2830, Holiday_Dates) &lt;= 0,
                1,
                NETWORKDAYS(I2830, L2830, Holiday_Dates) - IF(I2830 = L2830, 0, 1)
            )
        )
    ),
    ""
)</f>
        <v/>
      </c>
      <c r="Q2830" s="385" t="str">
        <f>IF(
    OR(ISBLANK(L2830), ISBLANK(M2830)),
    "",
    MAX(
        1,
        IF(
            NETWORKDAYS(L2830, M2830, Holiday_Dates) &lt;= 0,
            1,
            NETWORKDAYS(L2830, M2830, Holiday_Dates) - IF(L2830 = M2830, 0, 1)
        )
    )
)</f>
        <v/>
      </c>
      <c r="R2830" s="385" t="str">
        <f>IFERROR(
    IF(
        OR(ISBLANK(N2830), AND(ISBLANK(L2830), ISBLANK(M2830))),
        "",
        MAX(
            1,
            IF(
                NETWORKDAYS(IF(NOT(ISBLANK(M2830)), M2830, L2830), N2830, Holiday_Dates) &lt;= 0,
                1,
                NETWORKDAYS(IF(NOT(ISBLANK(M2830)), M2830, L2830), N2830, Holiday_Dates)
                - IF(IF(NOT(ISBLANK(M2830)), M2830, L2830) = N2830, 0, 1)
            )
        )
    ),
    ""
)</f>
        <v/>
      </c>
      <c r="S2830" s="385" t="str">
        <f>IFERROR(
    IF(
        OR(ISBLANK(N2830), ISBLANK(O2830)),
        "",
        MAX(
            1,
            IF(
                NETWORKDAYS(N2830, O2830, Holiday_Dates) &lt;= 0,
                1,
                NETWORKDAYS(N2830, O2830, Holiday_Dates) - IF(N2830 = O2830, 0, 1)
            )
        )
    ),
    ""
)</f>
        <v/>
      </c>
      <c r="T2830" s="385"/>
      <c r="U2830" s="385"/>
      <c r="V2830" s="385"/>
      <c r="W2830" s="385" t="s">
        <v>4710</v>
      </c>
      <c r="X2830" s="1"/>
    </row>
    <row r="2831" spans="1:24">
      <c r="A2831" s="385" t="s">
        <v>52</v>
      </c>
      <c r="B2831" s="385" t="s">
        <v>4207</v>
      </c>
      <c r="C2831" s="385" t="s">
        <v>4216</v>
      </c>
      <c r="D2831" s="385" t="s">
        <v>89</v>
      </c>
      <c r="E2831" s="385" t="s">
        <v>37</v>
      </c>
      <c r="F2831" s="385"/>
      <c r="G2831" s="385" t="s">
        <v>28</v>
      </c>
      <c r="H2831" s="385"/>
      <c r="I2831" s="385"/>
      <c r="J2831" s="30"/>
      <c r="K2831" s="385"/>
      <c r="L2831" s="385"/>
      <c r="M2831" s="385"/>
      <c r="N2831" s="385"/>
      <c r="O2831" s="385"/>
      <c r="P2831" s="385" t="str">
        <f>IFERROR(
    IF(
        OR(ISBLANK(I2831), ISBLANK(L2831)),
        "",
        MAX(
            1,
            IF(
                NETWORKDAYS(I2831, L2831, Holiday_Dates) &lt;= 0,
                1,
                NETWORKDAYS(I2831, L2831, Holiday_Dates) - IF(I2831 = L2831, 0, 1)
            )
        )
    ),
    ""
)</f>
        <v/>
      </c>
      <c r="Q2831" s="385" t="str">
        <f>IF(
    OR(ISBLANK(L2831), ISBLANK(M2831)),
    "",
    MAX(
        1,
        IF(
            NETWORKDAYS(L2831, M2831, Holiday_Dates) &lt;= 0,
            1,
            NETWORKDAYS(L2831, M2831, Holiday_Dates) - IF(L2831 = M2831, 0, 1)
        )
    )
)</f>
        <v/>
      </c>
      <c r="R2831" s="385" t="str">
        <f>IFERROR(
    IF(
        OR(ISBLANK(N2831), AND(ISBLANK(L2831), ISBLANK(M2831))),
        "",
        MAX(
            1,
            IF(
                NETWORKDAYS(IF(NOT(ISBLANK(M2831)), M2831, L2831), N2831, Holiday_Dates) &lt;= 0,
                1,
                NETWORKDAYS(IF(NOT(ISBLANK(M2831)), M2831, L2831), N2831, Holiday_Dates)
                - IF(IF(NOT(ISBLANK(M2831)), M2831, L2831) = N2831, 0, 1)
            )
        )
    ),
    ""
)</f>
        <v/>
      </c>
      <c r="S2831" s="385" t="str">
        <f>IFERROR(
    IF(
        OR(ISBLANK(N2831), ISBLANK(O2831)),
        "",
        MAX(
            1,
            IF(
                NETWORKDAYS(N2831, O2831, Holiday_Dates) &lt;= 0,
                1,
                NETWORKDAYS(N2831, O2831, Holiday_Dates) - IF(N2831 = O2831, 0, 1)
            )
        )
    ),
    ""
)</f>
        <v/>
      </c>
      <c r="T2831" s="385"/>
      <c r="U2831" s="385"/>
      <c r="V2831" s="385"/>
      <c r="W2831" s="385" t="s">
        <v>4710</v>
      </c>
      <c r="X2831" s="1"/>
    </row>
    <row r="2832" spans="1:24">
      <c r="A2832" s="385" t="s">
        <v>52</v>
      </c>
      <c r="B2832" s="385" t="s">
        <v>4207</v>
      </c>
      <c r="C2832" s="385" t="s">
        <v>4217</v>
      </c>
      <c r="D2832" s="385" t="s">
        <v>89</v>
      </c>
      <c r="E2832" s="385" t="s">
        <v>37</v>
      </c>
      <c r="F2832" s="385"/>
      <c r="G2832" s="385" t="s">
        <v>28</v>
      </c>
      <c r="H2832" s="385"/>
      <c r="I2832" s="385"/>
      <c r="J2832" s="30"/>
      <c r="K2832" s="385"/>
      <c r="L2832" s="385"/>
      <c r="M2832" s="385"/>
      <c r="N2832" s="385"/>
      <c r="O2832" s="385"/>
      <c r="P2832" s="385" t="str">
        <f>IFERROR(
    IF(
        OR(ISBLANK(I2832), ISBLANK(L2832)),
        "",
        MAX(
            1,
            IF(
                NETWORKDAYS(I2832, L2832, Holiday_Dates) &lt;= 0,
                1,
                NETWORKDAYS(I2832, L2832, Holiday_Dates) - IF(I2832 = L2832, 0, 1)
            )
        )
    ),
    ""
)</f>
        <v/>
      </c>
      <c r="Q2832" s="385" t="str">
        <f>IF(
    OR(ISBLANK(L2832), ISBLANK(M2832)),
    "",
    MAX(
        1,
        IF(
            NETWORKDAYS(L2832, M2832, Holiday_Dates) &lt;= 0,
            1,
            NETWORKDAYS(L2832, M2832, Holiday_Dates) - IF(L2832 = M2832, 0, 1)
        )
    )
)</f>
        <v/>
      </c>
      <c r="R2832" s="385" t="str">
        <f>IFERROR(
    IF(
        OR(ISBLANK(N2832), AND(ISBLANK(L2832), ISBLANK(M2832))),
        "",
        MAX(
            1,
            IF(
                NETWORKDAYS(IF(NOT(ISBLANK(M2832)), M2832, L2832), N2832, Holiday_Dates) &lt;= 0,
                1,
                NETWORKDAYS(IF(NOT(ISBLANK(M2832)), M2832, L2832), N2832, Holiday_Dates)
                - IF(IF(NOT(ISBLANK(M2832)), M2832, L2832) = N2832, 0, 1)
            )
        )
    ),
    ""
)</f>
        <v/>
      </c>
      <c r="S2832" s="385" t="str">
        <f>IFERROR(
    IF(
        OR(ISBLANK(N2832), ISBLANK(O2832)),
        "",
        MAX(
            1,
            IF(
                NETWORKDAYS(N2832, O2832, Holiday_Dates) &lt;= 0,
                1,
                NETWORKDAYS(N2832, O2832, Holiday_Dates) - IF(N2832 = O2832, 0, 1)
            )
        )
    ),
    ""
)</f>
        <v/>
      </c>
      <c r="T2832" s="385"/>
      <c r="U2832" s="385"/>
      <c r="V2832" s="385"/>
      <c r="W2832" s="385" t="s">
        <v>4710</v>
      </c>
      <c r="X2832" s="1"/>
    </row>
    <row r="2833" spans="1:24">
      <c r="A2833" s="385" t="s">
        <v>52</v>
      </c>
      <c r="B2833" s="385" t="s">
        <v>4231</v>
      </c>
      <c r="C2833" s="385" t="s">
        <v>4275</v>
      </c>
      <c r="D2833" s="385" t="s">
        <v>88</v>
      </c>
      <c r="E2833" s="385"/>
      <c r="F2833" s="385"/>
      <c r="G2833" s="385"/>
      <c r="H2833" s="385">
        <v>2025</v>
      </c>
      <c r="I2833" s="386">
        <v>45749</v>
      </c>
      <c r="J2833" s="30" t="s">
        <v>5748</v>
      </c>
      <c r="K2833" s="385"/>
      <c r="L2833" s="385"/>
      <c r="M2833" s="385"/>
      <c r="N2833" s="385"/>
      <c r="O2833" s="385"/>
      <c r="P2833" s="385" t="str">
        <f>IFERROR(
    IF(
        OR(ISBLANK(I2833), ISBLANK(L2833)),
        "",
        MAX(
            1,
            IF(
                NETWORKDAYS(I2833, L2833, Holiday_Dates) &lt;= 0,
                1,
                NETWORKDAYS(I2833, L2833, Holiday_Dates) - IF(I2833 = L2833, 0, 1)
            )
        )
    ),
    ""
)</f>
        <v/>
      </c>
      <c r="Q2833" s="385" t="str">
        <f>IF(
    OR(ISBLANK(L2833), ISBLANK(M2833)),
    "",
    MAX(
        1,
        IF(
            NETWORKDAYS(L2833, M2833, Holiday_Dates) &lt;= 0,
            1,
            NETWORKDAYS(L2833, M2833, Holiday_Dates) - IF(L2833 = M2833, 0, 1)
        )
    )
)</f>
        <v/>
      </c>
      <c r="R2833" s="385" t="str">
        <f>IFERROR(
    IF(
        OR(ISBLANK(N2833), AND(ISBLANK(L2833), ISBLANK(M2833))),
        "",
        MAX(
            1,
            IF(
                NETWORKDAYS(IF(NOT(ISBLANK(M2833)), M2833, L2833), N2833, Holiday_Dates) &lt;= 0,
                1,
                NETWORKDAYS(IF(NOT(ISBLANK(M2833)), M2833, L2833), N2833, Holiday_Dates)
                - IF(IF(NOT(ISBLANK(M2833)), M2833, L2833) = N2833, 0, 1)
            )
        )
    ),
    ""
)</f>
        <v/>
      </c>
      <c r="S2833" s="385" t="str">
        <f>IFERROR(
    IF(
        OR(ISBLANK(N2833), ISBLANK(O2833)),
        "",
        MAX(
            1,
            IF(
                NETWORKDAYS(N2833, O2833, Holiday_Dates) &lt;= 0,
                1,
                NETWORKDAYS(N2833, O2833, Holiday_Dates) - IF(N2833 = O2833, 0, 1)
            )
        )
    ),
    ""
)</f>
        <v/>
      </c>
      <c r="T2833" s="385"/>
      <c r="U2833" s="385" t="s">
        <v>672</v>
      </c>
      <c r="V2833" s="385" t="s">
        <v>1676</v>
      </c>
      <c r="W2833" s="385" t="s">
        <v>1436</v>
      </c>
      <c r="X2833" s="1"/>
    </row>
    <row r="2834" spans="1:24">
      <c r="A2834" s="385" t="s">
        <v>52</v>
      </c>
      <c r="B2834" s="385" t="s">
        <v>360</v>
      </c>
      <c r="C2834" s="385" t="s">
        <v>4277</v>
      </c>
      <c r="D2834" s="385" t="s">
        <v>88</v>
      </c>
      <c r="E2834" s="385"/>
      <c r="F2834" s="385"/>
      <c r="G2834" s="385"/>
      <c r="H2834" s="385">
        <v>2025</v>
      </c>
      <c r="I2834" s="386">
        <v>45783</v>
      </c>
      <c r="J2834" s="30" t="s">
        <v>5749</v>
      </c>
      <c r="K2834" s="385"/>
      <c r="L2834" s="385"/>
      <c r="M2834" s="385"/>
      <c r="N2834" s="385"/>
      <c r="O2834" s="385"/>
      <c r="P2834" s="385" t="str">
        <f>IFERROR(
    IF(
        OR(ISBLANK(I2834), ISBLANK(L2834)),
        "",
        MAX(
            1,
            IF(
                NETWORKDAYS(I2834, L2834, Holiday_Dates) &lt;= 0,
                1,
                NETWORKDAYS(I2834, L2834, Holiday_Dates) - IF(I2834 = L2834, 0, 1)
            )
        )
    ),
    ""
)</f>
        <v/>
      </c>
      <c r="Q2834" s="385" t="str">
        <f>IF(
    OR(ISBLANK(L2834), ISBLANK(M2834)),
    "",
    MAX(
        1,
        IF(
            NETWORKDAYS(L2834, M2834, Holiday_Dates) &lt;= 0,
            1,
            NETWORKDAYS(L2834, M2834, Holiday_Dates) - IF(L2834 = M2834, 0, 1)
        )
    )
)</f>
        <v/>
      </c>
      <c r="R2834" s="385" t="str">
        <f>IFERROR(
    IF(
        OR(ISBLANK(N2834), AND(ISBLANK(L2834), ISBLANK(M2834))),
        "",
        MAX(
            1,
            IF(
                NETWORKDAYS(IF(NOT(ISBLANK(M2834)), M2834, L2834), N2834, Holiday_Dates) &lt;= 0,
                1,
                NETWORKDAYS(IF(NOT(ISBLANK(M2834)), M2834, L2834), N2834, Holiday_Dates)
                - IF(IF(NOT(ISBLANK(M2834)), M2834, L2834) = N2834, 0, 1)
            )
        )
    ),
    ""
)</f>
        <v/>
      </c>
      <c r="S2834" s="385" t="str">
        <f>IFERROR(
    IF(
        OR(ISBLANK(N2834), ISBLANK(O2834)),
        "",
        MAX(
            1,
            IF(
                NETWORKDAYS(N2834, O2834, Holiday_Dates) &lt;= 0,
                1,
                NETWORKDAYS(N2834, O2834, Holiday_Dates) - IF(N2834 = O2834, 0, 1)
            )
        )
    ),
    ""
)</f>
        <v/>
      </c>
      <c r="T2834" s="385"/>
      <c r="U2834" s="385" t="s">
        <v>672</v>
      </c>
      <c r="V2834" s="385" t="s">
        <v>101</v>
      </c>
      <c r="W2834" s="385" t="s">
        <v>1436</v>
      </c>
      <c r="X2834" s="1"/>
    </row>
    <row r="2835" spans="1:24">
      <c r="A2835" s="385" t="s">
        <v>52</v>
      </c>
      <c r="B2835" s="385" t="s">
        <v>360</v>
      </c>
      <c r="C2835" s="385" t="s">
        <v>4278</v>
      </c>
      <c r="D2835" s="385" t="s">
        <v>88</v>
      </c>
      <c r="E2835" s="385"/>
      <c r="F2835" s="385"/>
      <c r="G2835" s="385"/>
      <c r="H2835" s="385">
        <v>2024</v>
      </c>
      <c r="I2835" s="386">
        <v>45566</v>
      </c>
      <c r="J2835" s="30"/>
      <c r="K2835" s="385"/>
      <c r="L2835" s="385"/>
      <c r="M2835" s="385"/>
      <c r="N2835" s="385"/>
      <c r="O2835" s="385"/>
      <c r="P2835" s="385" t="str">
        <f>IFERROR(
    IF(
        OR(ISBLANK(I2835), ISBLANK(L2835)),
        "",
        MAX(
            1,
            IF(
                NETWORKDAYS(I2835, L2835, Holiday_Dates) &lt;= 0,
                1,
                NETWORKDAYS(I2835, L2835, Holiday_Dates) - IF(I2835 = L2835, 0, 1)
            )
        )
    ),
    ""
)</f>
        <v/>
      </c>
      <c r="Q2835" s="385" t="str">
        <f>IF(
    OR(ISBLANK(L2835), ISBLANK(M2835)),
    "",
    MAX(
        1,
        IF(
            NETWORKDAYS(L2835, M2835, Holiday_Dates) &lt;= 0,
            1,
            NETWORKDAYS(L2835, M2835, Holiday_Dates) - IF(L2835 = M2835, 0, 1)
        )
    )
)</f>
        <v/>
      </c>
      <c r="R2835" s="385" t="str">
        <f>IFERROR(
    IF(
        OR(ISBLANK(N2835), AND(ISBLANK(L2835), ISBLANK(M2835))),
        "",
        MAX(
            1,
            IF(
                NETWORKDAYS(IF(NOT(ISBLANK(M2835)), M2835, L2835), N2835, Holiday_Dates) &lt;= 0,
                1,
                NETWORKDAYS(IF(NOT(ISBLANK(M2835)), M2835, L2835), N2835, Holiday_Dates)
                - IF(IF(NOT(ISBLANK(M2835)), M2835, L2835) = N2835, 0, 1)
            )
        )
    ),
    ""
)</f>
        <v/>
      </c>
      <c r="S2835" s="385" t="str">
        <f>IFERROR(
    IF(
        OR(ISBLANK(N2835), ISBLANK(O2835)),
        "",
        MAX(
            1,
            IF(
                NETWORKDAYS(N2835, O2835, Holiday_Dates) &lt;= 0,
                1,
                NETWORKDAYS(N2835, O2835, Holiday_Dates) - IF(N2835 = O2835, 0, 1)
            )
        )
    ),
    ""
)</f>
        <v/>
      </c>
      <c r="T2835" s="385"/>
      <c r="U2835" s="385" t="s">
        <v>672</v>
      </c>
      <c r="V2835" s="385" t="s">
        <v>101</v>
      </c>
      <c r="W2835" s="385" t="s">
        <v>1436</v>
      </c>
      <c r="X2835" s="1"/>
    </row>
    <row r="2836" spans="1:24">
      <c r="A2836" s="385" t="s">
        <v>52</v>
      </c>
      <c r="B2836" s="385" t="s">
        <v>360</v>
      </c>
      <c r="C2836" s="385" t="s">
        <v>4280</v>
      </c>
      <c r="D2836" s="385" t="s">
        <v>88</v>
      </c>
      <c r="E2836" s="385"/>
      <c r="F2836" s="385"/>
      <c r="G2836" s="385"/>
      <c r="H2836" s="385">
        <v>2025</v>
      </c>
      <c r="I2836" s="386">
        <v>45874</v>
      </c>
      <c r="J2836" s="30" t="s">
        <v>5750</v>
      </c>
      <c r="K2836" s="385"/>
      <c r="L2836" s="385"/>
      <c r="M2836" s="385"/>
      <c r="N2836" s="385"/>
      <c r="O2836" s="385"/>
      <c r="P2836" s="385" t="str">
        <f>IFERROR(
    IF(
        OR(ISBLANK(I2836), ISBLANK(L2836)),
        "",
        MAX(
            1,
            IF(
                NETWORKDAYS(I2836, L2836, Holiday_Dates) &lt;= 0,
                1,
                NETWORKDAYS(I2836, L2836, Holiday_Dates) - IF(I2836 = L2836, 0, 1)
            )
        )
    ),
    ""
)</f>
        <v/>
      </c>
      <c r="Q2836" s="385" t="str">
        <f>IF(
    OR(ISBLANK(L2836), ISBLANK(M2836)),
    "",
    MAX(
        1,
        IF(
            NETWORKDAYS(L2836, M2836, Holiday_Dates) &lt;= 0,
            1,
            NETWORKDAYS(L2836, M2836, Holiday_Dates) - IF(L2836 = M2836, 0, 1)
        )
    )
)</f>
        <v/>
      </c>
      <c r="R2836" s="385" t="str">
        <f>IFERROR(
    IF(
        OR(ISBLANK(N2836), AND(ISBLANK(L2836), ISBLANK(M2836))),
        "",
        MAX(
            1,
            IF(
                NETWORKDAYS(IF(NOT(ISBLANK(M2836)), M2836, L2836), N2836, Holiday_Dates) &lt;= 0,
                1,
                NETWORKDAYS(IF(NOT(ISBLANK(M2836)), M2836, L2836), N2836, Holiday_Dates)
                - IF(IF(NOT(ISBLANK(M2836)), M2836, L2836) = N2836, 0, 1)
            )
        )
    ),
    ""
)</f>
        <v/>
      </c>
      <c r="S2836" s="385" t="str">
        <f>IFERROR(
    IF(
        OR(ISBLANK(N2836), ISBLANK(O2836)),
        "",
        MAX(
            1,
            IF(
                NETWORKDAYS(N2836, O2836, Holiday_Dates) &lt;= 0,
                1,
                NETWORKDAYS(N2836, O2836, Holiday_Dates) - IF(N2836 = O2836, 0, 1)
            )
        )
    ),
    ""
)</f>
        <v/>
      </c>
      <c r="T2836" s="385"/>
      <c r="U2836" s="385" t="s">
        <v>4</v>
      </c>
      <c r="V2836" s="385" t="s">
        <v>101</v>
      </c>
      <c r="W2836" s="385" t="s">
        <v>1436</v>
      </c>
      <c r="X2836" s="1"/>
    </row>
    <row r="2837" spans="1:24">
      <c r="A2837" s="385" t="s">
        <v>52</v>
      </c>
      <c r="B2837" s="385" t="s">
        <v>360</v>
      </c>
      <c r="C2837" s="385" t="s">
        <v>4281</v>
      </c>
      <c r="D2837" s="385" t="s">
        <v>88</v>
      </c>
      <c r="E2837" s="385"/>
      <c r="F2837" s="385"/>
      <c r="G2837" s="385"/>
      <c r="H2837" s="385">
        <v>2025</v>
      </c>
      <c r="I2837" s="386">
        <v>45874</v>
      </c>
      <c r="J2837" s="30" t="s">
        <v>5751</v>
      </c>
      <c r="K2837" s="385"/>
      <c r="L2837" s="385"/>
      <c r="M2837" s="385"/>
      <c r="N2837" s="385"/>
      <c r="O2837" s="385"/>
      <c r="P2837" s="385" t="str">
        <f>IFERROR(
    IF(
        OR(ISBLANK(I2837), ISBLANK(L2837)),
        "",
        MAX(
            1,
            IF(
                NETWORKDAYS(I2837, L2837, Holiday_Dates) &lt;= 0,
                1,
                NETWORKDAYS(I2837, L2837, Holiday_Dates) - IF(I2837 = L2837, 0, 1)
            )
        )
    ),
    ""
)</f>
        <v/>
      </c>
      <c r="Q2837" s="385" t="str">
        <f>IF(
    OR(ISBLANK(L2837), ISBLANK(M2837)),
    "",
    MAX(
        1,
        IF(
            NETWORKDAYS(L2837, M2837, Holiday_Dates) &lt;= 0,
            1,
            NETWORKDAYS(L2837, M2837, Holiday_Dates) - IF(L2837 = M2837, 0, 1)
        )
    )
)</f>
        <v/>
      </c>
      <c r="R2837" s="385" t="str">
        <f>IFERROR(
    IF(
        OR(ISBLANK(N2837), AND(ISBLANK(L2837), ISBLANK(M2837))),
        "",
        MAX(
            1,
            IF(
                NETWORKDAYS(IF(NOT(ISBLANK(M2837)), M2837, L2837), N2837, Holiday_Dates) &lt;= 0,
                1,
                NETWORKDAYS(IF(NOT(ISBLANK(M2837)), M2837, L2837), N2837, Holiday_Dates)
                - IF(IF(NOT(ISBLANK(M2837)), M2837, L2837) = N2837, 0, 1)
            )
        )
    ),
    ""
)</f>
        <v/>
      </c>
      <c r="S2837" s="385" t="str">
        <f>IFERROR(
    IF(
        OR(ISBLANK(N2837), ISBLANK(O2837)),
        "",
        MAX(
            1,
            IF(
                NETWORKDAYS(N2837, O2837, Holiday_Dates) &lt;= 0,
                1,
                NETWORKDAYS(N2837, O2837, Holiday_Dates) - IF(N2837 = O2837, 0, 1)
            )
        )
    ),
    ""
)</f>
        <v/>
      </c>
      <c r="T2837" s="385"/>
      <c r="U2837" s="385" t="s">
        <v>672</v>
      </c>
      <c r="V2837" s="385" t="s">
        <v>1676</v>
      </c>
      <c r="W2837" s="385" t="s">
        <v>1436</v>
      </c>
      <c r="X2837" s="1"/>
    </row>
    <row r="2838" spans="1:24">
      <c r="A2838" s="385" t="s">
        <v>52</v>
      </c>
      <c r="B2838" s="385" t="s">
        <v>360</v>
      </c>
      <c r="C2838" s="385" t="s">
        <v>730</v>
      </c>
      <c r="D2838" s="385" t="s">
        <v>88</v>
      </c>
      <c r="E2838" s="385"/>
      <c r="F2838" s="385"/>
      <c r="G2838" s="385"/>
      <c r="H2838" s="385">
        <v>2024</v>
      </c>
      <c r="I2838" s="386">
        <v>45539</v>
      </c>
      <c r="J2838" s="30"/>
      <c r="K2838" s="385"/>
      <c r="L2838" s="385"/>
      <c r="M2838" s="385"/>
      <c r="N2838" s="385"/>
      <c r="O2838" s="385"/>
      <c r="P2838" s="385" t="str">
        <f>IFERROR(
    IF(
        OR(ISBLANK(I2838), ISBLANK(L2838)),
        "",
        MAX(
            1,
            IF(
                NETWORKDAYS(I2838, L2838, Holiday_Dates) &lt;= 0,
                1,
                NETWORKDAYS(I2838, L2838, Holiday_Dates) - IF(I2838 = L2838, 0, 1)
            )
        )
    ),
    ""
)</f>
        <v/>
      </c>
      <c r="Q2838" s="385" t="str">
        <f>IF(
    OR(ISBLANK(L2838), ISBLANK(M2838)),
    "",
    MAX(
        1,
        IF(
            NETWORKDAYS(L2838, M2838, Holiday_Dates) &lt;= 0,
            1,
            NETWORKDAYS(L2838, M2838, Holiday_Dates) - IF(L2838 = M2838, 0, 1)
        )
    )
)</f>
        <v/>
      </c>
      <c r="R2838" s="385" t="str">
        <f>IFERROR(
    IF(
        OR(ISBLANK(N2838), AND(ISBLANK(L2838), ISBLANK(M2838))),
        "",
        MAX(
            1,
            IF(
                NETWORKDAYS(IF(NOT(ISBLANK(M2838)), M2838, L2838), N2838, Holiday_Dates) &lt;= 0,
                1,
                NETWORKDAYS(IF(NOT(ISBLANK(M2838)), M2838, L2838), N2838, Holiday_Dates)
                - IF(IF(NOT(ISBLANK(M2838)), M2838, L2838) = N2838, 0, 1)
            )
        )
    ),
    ""
)</f>
        <v/>
      </c>
      <c r="S2838" s="385" t="str">
        <f>IFERROR(
    IF(
        OR(ISBLANK(N2838), ISBLANK(O2838)),
        "",
        MAX(
            1,
            IF(
                NETWORKDAYS(N2838, O2838, Holiday_Dates) &lt;= 0,
                1,
                NETWORKDAYS(N2838, O2838, Holiday_Dates) - IF(N2838 = O2838, 0, 1)
            )
        )
    ),
    ""
)</f>
        <v/>
      </c>
      <c r="T2838" s="385"/>
      <c r="U2838" s="385" t="s">
        <v>672</v>
      </c>
      <c r="V2838" s="385" t="s">
        <v>101</v>
      </c>
      <c r="W2838" s="385" t="s">
        <v>1436</v>
      </c>
      <c r="X2838" s="1"/>
    </row>
    <row r="2839" spans="1:24">
      <c r="A2839" s="385" t="s">
        <v>52</v>
      </c>
      <c r="B2839" s="385" t="s">
        <v>360</v>
      </c>
      <c r="C2839" s="385" t="s">
        <v>4283</v>
      </c>
      <c r="D2839" s="385" t="s">
        <v>88</v>
      </c>
      <c r="E2839" s="385"/>
      <c r="F2839" s="385"/>
      <c r="G2839" s="385"/>
      <c r="H2839" s="385">
        <v>2024</v>
      </c>
      <c r="I2839" s="386">
        <v>45566</v>
      </c>
      <c r="J2839" s="30"/>
      <c r="K2839" s="385"/>
      <c r="L2839" s="385"/>
      <c r="M2839" s="385"/>
      <c r="N2839" s="385"/>
      <c r="O2839" s="385"/>
      <c r="P2839" s="385" t="str">
        <f>IFERROR(
    IF(
        OR(ISBLANK(I2839), ISBLANK(L2839)),
        "",
        MAX(
            1,
            IF(
                NETWORKDAYS(I2839, L2839, Holiday_Dates) &lt;= 0,
                1,
                NETWORKDAYS(I2839, L2839, Holiday_Dates) - IF(I2839 = L2839, 0, 1)
            )
        )
    ),
    ""
)</f>
        <v/>
      </c>
      <c r="Q2839" s="385" t="str">
        <f>IF(
    OR(ISBLANK(L2839), ISBLANK(M2839)),
    "",
    MAX(
        1,
        IF(
            NETWORKDAYS(L2839, M2839, Holiday_Dates) &lt;= 0,
            1,
            NETWORKDAYS(L2839, M2839, Holiday_Dates) - IF(L2839 = M2839, 0, 1)
        )
    )
)</f>
        <v/>
      </c>
      <c r="R2839" s="385" t="str">
        <f>IFERROR(
    IF(
        OR(ISBLANK(N2839), AND(ISBLANK(L2839), ISBLANK(M2839))),
        "",
        MAX(
            1,
            IF(
                NETWORKDAYS(IF(NOT(ISBLANK(M2839)), M2839, L2839), N2839, Holiday_Dates) &lt;= 0,
                1,
                NETWORKDAYS(IF(NOT(ISBLANK(M2839)), M2839, L2839), N2839, Holiday_Dates)
                - IF(IF(NOT(ISBLANK(M2839)), M2839, L2839) = N2839, 0, 1)
            )
        )
    ),
    ""
)</f>
        <v/>
      </c>
      <c r="S2839" s="385" t="str">
        <f>IFERROR(
    IF(
        OR(ISBLANK(N2839), ISBLANK(O2839)),
        "",
        MAX(
            1,
            IF(
                NETWORKDAYS(N2839, O2839, Holiday_Dates) &lt;= 0,
                1,
                NETWORKDAYS(N2839, O2839, Holiday_Dates) - IF(N2839 = O2839, 0, 1)
            )
        )
    ),
    ""
)</f>
        <v/>
      </c>
      <c r="T2839" s="385"/>
      <c r="U2839" s="385" t="s">
        <v>672</v>
      </c>
      <c r="V2839" s="385" t="s">
        <v>101</v>
      </c>
      <c r="W2839" s="385" t="s">
        <v>1436</v>
      </c>
      <c r="X2839" s="1"/>
    </row>
    <row r="2840" spans="1:24">
      <c r="A2840" s="385" t="s">
        <v>52</v>
      </c>
      <c r="B2840" s="385" t="s">
        <v>360</v>
      </c>
      <c r="C2840" s="385" t="s">
        <v>4285</v>
      </c>
      <c r="D2840" s="385" t="s">
        <v>88</v>
      </c>
      <c r="E2840" s="385"/>
      <c r="F2840" s="385"/>
      <c r="G2840" s="385"/>
      <c r="H2840" s="385">
        <v>2025</v>
      </c>
      <c r="I2840" s="386">
        <v>45875</v>
      </c>
      <c r="J2840" s="30" t="s">
        <v>5752</v>
      </c>
      <c r="K2840" s="385"/>
      <c r="L2840" s="385"/>
      <c r="M2840" s="385"/>
      <c r="N2840" s="385"/>
      <c r="O2840" s="385"/>
      <c r="P2840" s="385" t="str">
        <f>IFERROR(
    IF(
        OR(ISBLANK(I2840), ISBLANK(L2840)),
        "",
        MAX(
            1,
            IF(
                NETWORKDAYS(I2840, L2840, Holiday_Dates) &lt;= 0,
                1,
                NETWORKDAYS(I2840, L2840, Holiday_Dates) - IF(I2840 = L2840, 0, 1)
            )
        )
    ),
    ""
)</f>
        <v/>
      </c>
      <c r="Q2840" s="385" t="str">
        <f>IF(
    OR(ISBLANK(L2840), ISBLANK(M2840)),
    "",
    MAX(
        1,
        IF(
            NETWORKDAYS(L2840, M2840, Holiday_Dates) &lt;= 0,
            1,
            NETWORKDAYS(L2840, M2840, Holiday_Dates) - IF(L2840 = M2840, 0, 1)
        )
    )
)</f>
        <v/>
      </c>
      <c r="R2840" s="385" t="str">
        <f>IFERROR(
    IF(
        OR(ISBLANK(N2840), AND(ISBLANK(L2840), ISBLANK(M2840))),
        "",
        MAX(
            1,
            IF(
                NETWORKDAYS(IF(NOT(ISBLANK(M2840)), M2840, L2840), N2840, Holiday_Dates) &lt;= 0,
                1,
                NETWORKDAYS(IF(NOT(ISBLANK(M2840)), M2840, L2840), N2840, Holiday_Dates)
                - IF(IF(NOT(ISBLANK(M2840)), M2840, L2840) = N2840, 0, 1)
            )
        )
    ),
    ""
)</f>
        <v/>
      </c>
      <c r="S2840" s="385" t="str">
        <f>IFERROR(
    IF(
        OR(ISBLANK(N2840), ISBLANK(O2840)),
        "",
        MAX(
            1,
            IF(
                NETWORKDAYS(N2840, O2840, Holiday_Dates) &lt;= 0,
                1,
                NETWORKDAYS(N2840, O2840, Holiday_Dates) - IF(N2840 = O2840, 0, 1)
            )
        )
    ),
    ""
)</f>
        <v/>
      </c>
      <c r="T2840" s="385"/>
      <c r="U2840" s="385" t="s">
        <v>672</v>
      </c>
      <c r="V2840" s="385" t="s">
        <v>101</v>
      </c>
      <c r="W2840" s="385" t="s">
        <v>1436</v>
      </c>
      <c r="X2840" s="1"/>
    </row>
    <row r="2841" spans="1:24">
      <c r="A2841" s="385" t="s">
        <v>52</v>
      </c>
      <c r="B2841" s="385" t="s">
        <v>360</v>
      </c>
      <c r="C2841" s="385" t="s">
        <v>4286</v>
      </c>
      <c r="D2841" s="385" t="s">
        <v>88</v>
      </c>
      <c r="E2841" s="385"/>
      <c r="F2841" s="385"/>
      <c r="G2841" s="385"/>
      <c r="H2841" s="385">
        <v>2025</v>
      </c>
      <c r="I2841" s="386">
        <v>45874</v>
      </c>
      <c r="J2841" s="30" t="s">
        <v>5753</v>
      </c>
      <c r="K2841" s="385"/>
      <c r="L2841" s="385"/>
      <c r="M2841" s="385"/>
      <c r="N2841" s="385"/>
      <c r="O2841" s="385"/>
      <c r="P2841" s="385" t="str">
        <f>IFERROR(
    IF(
        OR(ISBLANK(I2841), ISBLANK(L2841)),
        "",
        MAX(
            1,
            IF(
                NETWORKDAYS(I2841, L2841, Holiday_Dates) &lt;= 0,
                1,
                NETWORKDAYS(I2841, L2841, Holiday_Dates) - IF(I2841 = L2841, 0, 1)
            )
        )
    ),
    ""
)</f>
        <v/>
      </c>
      <c r="Q2841" s="385" t="str">
        <f>IF(
    OR(ISBLANK(L2841), ISBLANK(M2841)),
    "",
    MAX(
        1,
        IF(
            NETWORKDAYS(L2841, M2841, Holiday_Dates) &lt;= 0,
            1,
            NETWORKDAYS(L2841, M2841, Holiday_Dates) - IF(L2841 = M2841, 0, 1)
        )
    )
)</f>
        <v/>
      </c>
      <c r="R2841" s="385" t="str">
        <f>IFERROR(
    IF(
        OR(ISBLANK(N2841), AND(ISBLANK(L2841), ISBLANK(M2841))),
        "",
        MAX(
            1,
            IF(
                NETWORKDAYS(IF(NOT(ISBLANK(M2841)), M2841, L2841), N2841, Holiday_Dates) &lt;= 0,
                1,
                NETWORKDAYS(IF(NOT(ISBLANK(M2841)), M2841, L2841), N2841, Holiday_Dates)
                - IF(IF(NOT(ISBLANK(M2841)), M2841, L2841) = N2841, 0, 1)
            )
        )
    ),
    ""
)</f>
        <v/>
      </c>
      <c r="S2841" s="385" t="str">
        <f>IFERROR(
    IF(
        OR(ISBLANK(N2841), ISBLANK(O2841)),
        "",
        MAX(
            1,
            IF(
                NETWORKDAYS(N2841, O2841, Holiday_Dates) &lt;= 0,
                1,
                NETWORKDAYS(N2841, O2841, Holiday_Dates) - IF(N2841 = O2841, 0, 1)
            )
        )
    ),
    ""
)</f>
        <v/>
      </c>
      <c r="T2841" s="385"/>
      <c r="U2841" s="385" t="s">
        <v>672</v>
      </c>
      <c r="V2841" s="385" t="s">
        <v>101</v>
      </c>
      <c r="W2841" s="385" t="s">
        <v>1436</v>
      </c>
      <c r="X2841" s="1"/>
    </row>
    <row r="2842" spans="1:24">
      <c r="A2842" s="385" t="s">
        <v>52</v>
      </c>
      <c r="B2842" s="385" t="s">
        <v>360</v>
      </c>
      <c r="C2842" s="385" t="s">
        <v>4287</v>
      </c>
      <c r="D2842" s="385" t="s">
        <v>88</v>
      </c>
      <c r="E2842" s="385"/>
      <c r="F2842" s="385"/>
      <c r="G2842" s="385"/>
      <c r="H2842" s="385">
        <v>2024</v>
      </c>
      <c r="I2842" s="386">
        <v>45393</v>
      </c>
      <c r="J2842" s="30"/>
      <c r="K2842" s="385"/>
      <c r="L2842" s="385"/>
      <c r="M2842" s="385"/>
      <c r="N2842" s="385"/>
      <c r="O2842" s="385"/>
      <c r="P2842" s="385" t="str">
        <f>IFERROR(
    IF(
        OR(ISBLANK(I2842), ISBLANK(L2842)),
        "",
        MAX(
            1,
            IF(
                NETWORKDAYS(I2842, L2842, Holiday_Dates) &lt;= 0,
                1,
                NETWORKDAYS(I2842, L2842, Holiday_Dates) - IF(I2842 = L2842, 0, 1)
            )
        )
    ),
    ""
)</f>
        <v/>
      </c>
      <c r="Q2842" s="385" t="str">
        <f>IF(
    OR(ISBLANK(L2842), ISBLANK(M2842)),
    "",
    MAX(
        1,
        IF(
            NETWORKDAYS(L2842, M2842, Holiday_Dates) &lt;= 0,
            1,
            NETWORKDAYS(L2842, M2842, Holiday_Dates) - IF(L2842 = M2842, 0, 1)
        )
    )
)</f>
        <v/>
      </c>
      <c r="R2842" s="385" t="str">
        <f>IFERROR(
    IF(
        OR(ISBLANK(N2842), AND(ISBLANK(L2842), ISBLANK(M2842))),
        "",
        MAX(
            1,
            IF(
                NETWORKDAYS(IF(NOT(ISBLANK(M2842)), M2842, L2842), N2842, Holiday_Dates) &lt;= 0,
                1,
                NETWORKDAYS(IF(NOT(ISBLANK(M2842)), M2842, L2842), N2842, Holiday_Dates)
                - IF(IF(NOT(ISBLANK(M2842)), M2842, L2842) = N2842, 0, 1)
            )
        )
    ),
    ""
)</f>
        <v/>
      </c>
      <c r="S2842" s="385" t="str">
        <f>IFERROR(
    IF(
        OR(ISBLANK(N2842), ISBLANK(O2842)),
        "",
        MAX(
            1,
            IF(
                NETWORKDAYS(N2842, O2842, Holiday_Dates) &lt;= 0,
                1,
                NETWORKDAYS(N2842, O2842, Holiday_Dates) - IF(N2842 = O2842, 0, 1)
            )
        )
    ),
    ""
)</f>
        <v/>
      </c>
      <c r="T2842" s="385"/>
      <c r="U2842" s="385" t="s">
        <v>672</v>
      </c>
      <c r="V2842" s="385"/>
      <c r="W2842" s="385" t="s">
        <v>1436</v>
      </c>
      <c r="X2842" s="1"/>
    </row>
    <row r="2843" spans="1:24">
      <c r="A2843" s="385" t="s">
        <v>52</v>
      </c>
      <c r="B2843" s="385" t="s">
        <v>360</v>
      </c>
      <c r="C2843" s="385" t="s">
        <v>4289</v>
      </c>
      <c r="D2843" s="385" t="s">
        <v>88</v>
      </c>
      <c r="E2843" s="385"/>
      <c r="F2843" s="385"/>
      <c r="G2843" s="385"/>
      <c r="H2843" s="385">
        <v>2025</v>
      </c>
      <c r="I2843" s="386">
        <v>45700</v>
      </c>
      <c r="J2843" s="30" t="s">
        <v>5754</v>
      </c>
      <c r="K2843" s="385"/>
      <c r="L2843" s="385"/>
      <c r="M2843" s="385"/>
      <c r="N2843" s="385"/>
      <c r="O2843" s="385"/>
      <c r="P2843" s="385" t="str">
        <f>IFERROR(
    IF(
        OR(ISBLANK(I2843), ISBLANK(L2843)),
        "",
        MAX(
            1,
            IF(
                NETWORKDAYS(I2843, L2843, Holiday_Dates) &lt;= 0,
                1,
                NETWORKDAYS(I2843, L2843, Holiday_Dates) - IF(I2843 = L2843, 0, 1)
            )
        )
    ),
    ""
)</f>
        <v/>
      </c>
      <c r="Q2843" s="385" t="str">
        <f>IF(
    OR(ISBLANK(L2843), ISBLANK(M2843)),
    "",
    MAX(
        1,
        IF(
            NETWORKDAYS(L2843, M2843, Holiday_Dates) &lt;= 0,
            1,
            NETWORKDAYS(L2843, M2843, Holiday_Dates) - IF(L2843 = M2843, 0, 1)
        )
    )
)</f>
        <v/>
      </c>
      <c r="R2843" s="385" t="str">
        <f>IFERROR(
    IF(
        OR(ISBLANK(N2843), AND(ISBLANK(L2843), ISBLANK(M2843))),
        "",
        MAX(
            1,
            IF(
                NETWORKDAYS(IF(NOT(ISBLANK(M2843)), M2843, L2843), N2843, Holiday_Dates) &lt;= 0,
                1,
                NETWORKDAYS(IF(NOT(ISBLANK(M2843)), M2843, L2843), N2843, Holiday_Dates)
                - IF(IF(NOT(ISBLANK(M2843)), M2843, L2843) = N2843, 0, 1)
            )
        )
    ),
    ""
)</f>
        <v/>
      </c>
      <c r="S2843" s="385" t="str">
        <f>IFERROR(
    IF(
        OR(ISBLANK(N2843), ISBLANK(O2843)),
        "",
        MAX(
            1,
            IF(
                NETWORKDAYS(N2843, O2843, Holiday_Dates) &lt;= 0,
                1,
                NETWORKDAYS(N2843, O2843, Holiday_Dates) - IF(N2843 = O2843, 0, 1)
            )
        )
    ),
    ""
)</f>
        <v/>
      </c>
      <c r="T2843" s="385"/>
      <c r="U2843" s="385" t="s">
        <v>4</v>
      </c>
      <c r="V2843" s="385" t="s">
        <v>101</v>
      </c>
      <c r="W2843" s="385" t="s">
        <v>1436</v>
      </c>
      <c r="X2843" s="1"/>
    </row>
    <row r="2844" spans="1:24">
      <c r="A2844" s="385" t="s">
        <v>52</v>
      </c>
      <c r="B2844" s="385" t="s">
        <v>360</v>
      </c>
      <c r="C2844" s="385" t="s">
        <v>2753</v>
      </c>
      <c r="D2844" s="385" t="s">
        <v>88</v>
      </c>
      <c r="E2844" s="385"/>
      <c r="F2844" s="385"/>
      <c r="G2844" s="385"/>
      <c r="H2844" s="385">
        <v>2025</v>
      </c>
      <c r="I2844" s="386">
        <v>45874</v>
      </c>
      <c r="J2844" s="30" t="s">
        <v>5755</v>
      </c>
      <c r="K2844" s="385"/>
      <c r="L2844" s="385"/>
      <c r="M2844" s="385"/>
      <c r="N2844" s="385"/>
      <c r="O2844" s="385"/>
      <c r="P2844" s="385" t="str">
        <f>IFERROR(
    IF(
        OR(ISBLANK(I2844), ISBLANK(L2844)),
        "",
        MAX(
            1,
            IF(
                NETWORKDAYS(I2844, L2844, Holiday_Dates) &lt;= 0,
                1,
                NETWORKDAYS(I2844, L2844, Holiday_Dates) - IF(I2844 = L2844, 0, 1)
            )
        )
    ),
    ""
)</f>
        <v/>
      </c>
      <c r="Q2844" s="385" t="str">
        <f>IF(
    OR(ISBLANK(L2844), ISBLANK(M2844)),
    "",
    MAX(
        1,
        IF(
            NETWORKDAYS(L2844, M2844, Holiday_Dates) &lt;= 0,
            1,
            NETWORKDAYS(L2844, M2844, Holiday_Dates) - IF(L2844 = M2844, 0, 1)
        )
    )
)</f>
        <v/>
      </c>
      <c r="R2844" s="385" t="str">
        <f>IFERROR(
    IF(
        OR(ISBLANK(N2844), AND(ISBLANK(L2844), ISBLANK(M2844))),
        "",
        MAX(
            1,
            IF(
                NETWORKDAYS(IF(NOT(ISBLANK(M2844)), M2844, L2844), N2844, Holiday_Dates) &lt;= 0,
                1,
                NETWORKDAYS(IF(NOT(ISBLANK(M2844)), M2844, L2844), N2844, Holiday_Dates)
                - IF(IF(NOT(ISBLANK(M2844)), M2844, L2844) = N2844, 0, 1)
            )
        )
    ),
    ""
)</f>
        <v/>
      </c>
      <c r="S2844" s="385" t="str">
        <f>IFERROR(
    IF(
        OR(ISBLANK(N2844), ISBLANK(O2844)),
        "",
        MAX(
            1,
            IF(
                NETWORKDAYS(N2844, O2844, Holiday_Dates) &lt;= 0,
                1,
                NETWORKDAYS(N2844, O2844, Holiday_Dates) - IF(N2844 = O2844, 0, 1)
            )
        )
    ),
    ""
)</f>
        <v/>
      </c>
      <c r="T2844" s="385"/>
      <c r="U2844" s="385" t="s">
        <v>672</v>
      </c>
      <c r="V2844" s="385" t="s">
        <v>101</v>
      </c>
      <c r="W2844" s="385" t="s">
        <v>1436</v>
      </c>
      <c r="X2844" s="1"/>
    </row>
    <row r="2845" spans="1:24">
      <c r="A2845" s="385" t="s">
        <v>52</v>
      </c>
      <c r="B2845" s="385" t="s">
        <v>360</v>
      </c>
      <c r="C2845" s="385" t="s">
        <v>4290</v>
      </c>
      <c r="D2845" s="385" t="s">
        <v>88</v>
      </c>
      <c r="E2845" s="385"/>
      <c r="F2845" s="385"/>
      <c r="G2845" s="385"/>
      <c r="H2845" s="385">
        <v>2025</v>
      </c>
      <c r="I2845" s="386">
        <v>45875</v>
      </c>
      <c r="J2845" s="30" t="s">
        <v>5756</v>
      </c>
      <c r="K2845" s="385"/>
      <c r="L2845" s="385"/>
      <c r="M2845" s="385"/>
      <c r="N2845" s="385"/>
      <c r="O2845" s="385"/>
      <c r="P2845" s="385" t="str">
        <f>IFERROR(
    IF(
        OR(ISBLANK(I2845), ISBLANK(L2845)),
        "",
        MAX(
            1,
            IF(
                NETWORKDAYS(I2845, L2845, Holiday_Dates) &lt;= 0,
                1,
                NETWORKDAYS(I2845, L2845, Holiday_Dates) - IF(I2845 = L2845, 0, 1)
            )
        )
    ),
    ""
)</f>
        <v/>
      </c>
      <c r="Q2845" s="385" t="str">
        <f>IF(
    OR(ISBLANK(L2845), ISBLANK(M2845)),
    "",
    MAX(
        1,
        IF(
            NETWORKDAYS(L2845, M2845, Holiday_Dates) &lt;= 0,
            1,
            NETWORKDAYS(L2845, M2845, Holiday_Dates) - IF(L2845 = M2845, 0, 1)
        )
    )
)</f>
        <v/>
      </c>
      <c r="R2845" s="385" t="str">
        <f>IFERROR(
    IF(
        OR(ISBLANK(N2845), AND(ISBLANK(L2845), ISBLANK(M2845))),
        "",
        MAX(
            1,
            IF(
                NETWORKDAYS(IF(NOT(ISBLANK(M2845)), M2845, L2845), N2845, Holiday_Dates) &lt;= 0,
                1,
                NETWORKDAYS(IF(NOT(ISBLANK(M2845)), M2845, L2845), N2845, Holiday_Dates)
                - IF(IF(NOT(ISBLANK(M2845)), M2845, L2845) = N2845, 0, 1)
            )
        )
    ),
    ""
)</f>
        <v/>
      </c>
      <c r="S2845" s="385" t="str">
        <f>IFERROR(
    IF(
        OR(ISBLANK(N2845), ISBLANK(O2845)),
        "",
        MAX(
            1,
            IF(
                NETWORKDAYS(N2845, O2845, Holiday_Dates) &lt;= 0,
                1,
                NETWORKDAYS(N2845, O2845, Holiday_Dates) - IF(N2845 = O2845, 0, 1)
            )
        )
    ),
    ""
)</f>
        <v/>
      </c>
      <c r="T2845" s="385"/>
      <c r="U2845" s="385" t="s">
        <v>4</v>
      </c>
      <c r="V2845" s="385" t="s">
        <v>101</v>
      </c>
      <c r="W2845" s="385" t="s">
        <v>1436</v>
      </c>
      <c r="X2845" s="1"/>
    </row>
    <row r="2846" spans="1:24">
      <c r="A2846" s="385" t="s">
        <v>52</v>
      </c>
      <c r="B2846" s="385" t="s">
        <v>360</v>
      </c>
      <c r="C2846" s="385" t="s">
        <v>4291</v>
      </c>
      <c r="D2846" s="385" t="s">
        <v>88</v>
      </c>
      <c r="E2846" s="385"/>
      <c r="F2846" s="385"/>
      <c r="G2846" s="385"/>
      <c r="H2846" s="385">
        <v>2024</v>
      </c>
      <c r="I2846" s="386">
        <v>45546</v>
      </c>
      <c r="J2846" s="30"/>
      <c r="K2846" s="385"/>
      <c r="L2846" s="385"/>
      <c r="M2846" s="385"/>
      <c r="N2846" s="385"/>
      <c r="O2846" s="385"/>
      <c r="P2846" s="385" t="str">
        <f>IFERROR(
    IF(
        OR(ISBLANK(I2846), ISBLANK(L2846)),
        "",
        MAX(
            1,
            IF(
                NETWORKDAYS(I2846, L2846, Holiday_Dates) &lt;= 0,
                1,
                NETWORKDAYS(I2846, L2846, Holiday_Dates) - IF(I2846 = L2846, 0, 1)
            )
        )
    ),
    ""
)</f>
        <v/>
      </c>
      <c r="Q2846" s="385" t="str">
        <f>IF(
    OR(ISBLANK(L2846), ISBLANK(M2846)),
    "",
    MAX(
        1,
        IF(
            NETWORKDAYS(L2846, M2846, Holiday_Dates) &lt;= 0,
            1,
            NETWORKDAYS(L2846, M2846, Holiday_Dates) - IF(L2846 = M2846, 0, 1)
        )
    )
)</f>
        <v/>
      </c>
      <c r="R2846" s="385" t="str">
        <f>IFERROR(
    IF(
        OR(ISBLANK(N2846), AND(ISBLANK(L2846), ISBLANK(M2846))),
        "",
        MAX(
            1,
            IF(
                NETWORKDAYS(IF(NOT(ISBLANK(M2846)), M2846, L2846), N2846, Holiday_Dates) &lt;= 0,
                1,
                NETWORKDAYS(IF(NOT(ISBLANK(M2846)), M2846, L2846), N2846, Holiday_Dates)
                - IF(IF(NOT(ISBLANK(M2846)), M2846, L2846) = N2846, 0, 1)
            )
        )
    ),
    ""
)</f>
        <v/>
      </c>
      <c r="S2846" s="385" t="str">
        <f>IFERROR(
    IF(
        OR(ISBLANK(N2846), ISBLANK(O2846)),
        "",
        MAX(
            1,
            IF(
                NETWORKDAYS(N2846, O2846, Holiday_Dates) &lt;= 0,
                1,
                NETWORKDAYS(N2846, O2846, Holiday_Dates) - IF(N2846 = O2846, 0, 1)
            )
        )
    ),
    ""
)</f>
        <v/>
      </c>
      <c r="T2846" s="385"/>
      <c r="U2846" s="385" t="s">
        <v>672</v>
      </c>
      <c r="V2846" s="385" t="s">
        <v>101</v>
      </c>
      <c r="W2846" s="385" t="s">
        <v>1436</v>
      </c>
      <c r="X2846" s="1"/>
    </row>
    <row r="2847" spans="1:24">
      <c r="A2847" s="385" t="s">
        <v>52</v>
      </c>
      <c r="B2847" s="385" t="s">
        <v>360</v>
      </c>
      <c r="C2847" s="385" t="s">
        <v>4293</v>
      </c>
      <c r="D2847" s="385" t="s">
        <v>88</v>
      </c>
      <c r="E2847" s="385"/>
      <c r="F2847" s="385"/>
      <c r="G2847" s="385"/>
      <c r="H2847" s="385">
        <v>2025</v>
      </c>
      <c r="I2847" s="386">
        <v>45700</v>
      </c>
      <c r="J2847" s="30" t="s">
        <v>5757</v>
      </c>
      <c r="K2847" s="385"/>
      <c r="L2847" s="385"/>
      <c r="M2847" s="385"/>
      <c r="N2847" s="385"/>
      <c r="O2847" s="385"/>
      <c r="P2847" s="385" t="str">
        <f>IFERROR(
    IF(
        OR(ISBLANK(I2847), ISBLANK(L2847)),
        "",
        MAX(
            1,
            IF(
                NETWORKDAYS(I2847, L2847, Holiday_Dates) &lt;= 0,
                1,
                NETWORKDAYS(I2847, L2847, Holiday_Dates) - IF(I2847 = L2847, 0, 1)
            )
        )
    ),
    ""
)</f>
        <v/>
      </c>
      <c r="Q2847" s="385" t="str">
        <f>IF(
    OR(ISBLANK(L2847), ISBLANK(M2847)),
    "",
    MAX(
        1,
        IF(
            NETWORKDAYS(L2847, M2847, Holiday_Dates) &lt;= 0,
            1,
            NETWORKDAYS(L2847, M2847, Holiday_Dates) - IF(L2847 = M2847, 0, 1)
        )
    )
)</f>
        <v/>
      </c>
      <c r="R2847" s="385" t="str">
        <f>IFERROR(
    IF(
        OR(ISBLANK(N2847), AND(ISBLANK(L2847), ISBLANK(M2847))),
        "",
        MAX(
            1,
            IF(
                NETWORKDAYS(IF(NOT(ISBLANK(M2847)), M2847, L2847), N2847, Holiday_Dates) &lt;= 0,
                1,
                NETWORKDAYS(IF(NOT(ISBLANK(M2847)), M2847, L2847), N2847, Holiday_Dates)
                - IF(IF(NOT(ISBLANK(M2847)), M2847, L2847) = N2847, 0, 1)
            )
        )
    ),
    ""
)</f>
        <v/>
      </c>
      <c r="S2847" s="385" t="str">
        <f>IFERROR(
    IF(
        OR(ISBLANK(N2847), ISBLANK(O2847)),
        "",
        MAX(
            1,
            IF(
                NETWORKDAYS(N2847, O2847, Holiday_Dates) &lt;= 0,
                1,
                NETWORKDAYS(N2847, O2847, Holiday_Dates) - IF(N2847 = O2847, 0, 1)
            )
        )
    ),
    ""
)</f>
        <v/>
      </c>
      <c r="T2847" s="385"/>
      <c r="U2847" s="385" t="s">
        <v>672</v>
      </c>
      <c r="V2847" s="385" t="s">
        <v>101</v>
      </c>
      <c r="W2847" s="385" t="s">
        <v>1436</v>
      </c>
      <c r="X2847" s="1"/>
    </row>
    <row r="2848" spans="1:24">
      <c r="A2848" s="385" t="s">
        <v>52</v>
      </c>
      <c r="B2848" s="385" t="s">
        <v>360</v>
      </c>
      <c r="C2848" s="385" t="s">
        <v>4294</v>
      </c>
      <c r="D2848" s="385" t="s">
        <v>88</v>
      </c>
      <c r="E2848" s="385"/>
      <c r="F2848" s="385"/>
      <c r="G2848" s="385"/>
      <c r="H2848" s="385">
        <v>2025</v>
      </c>
      <c r="I2848" s="386">
        <v>45700</v>
      </c>
      <c r="J2848" s="30" t="s">
        <v>5758</v>
      </c>
      <c r="K2848" s="385"/>
      <c r="L2848" s="385"/>
      <c r="M2848" s="385"/>
      <c r="N2848" s="385"/>
      <c r="O2848" s="385"/>
      <c r="P2848" s="385" t="str">
        <f>IFERROR(
    IF(
        OR(ISBLANK(I2848), ISBLANK(L2848)),
        "",
        MAX(
            1,
            IF(
                NETWORKDAYS(I2848, L2848, Holiday_Dates) &lt;= 0,
                1,
                NETWORKDAYS(I2848, L2848, Holiday_Dates) - IF(I2848 = L2848, 0, 1)
            )
        )
    ),
    ""
)</f>
        <v/>
      </c>
      <c r="Q2848" s="385" t="str">
        <f>IF(
    OR(ISBLANK(L2848), ISBLANK(M2848)),
    "",
    MAX(
        1,
        IF(
            NETWORKDAYS(L2848, M2848, Holiday_Dates) &lt;= 0,
            1,
            NETWORKDAYS(L2848, M2848, Holiday_Dates) - IF(L2848 = M2848, 0, 1)
        )
    )
)</f>
        <v/>
      </c>
      <c r="R2848" s="385" t="str">
        <f>IFERROR(
    IF(
        OR(ISBLANK(N2848), AND(ISBLANK(L2848), ISBLANK(M2848))),
        "",
        MAX(
            1,
            IF(
                NETWORKDAYS(IF(NOT(ISBLANK(M2848)), M2848, L2848), N2848, Holiday_Dates) &lt;= 0,
                1,
                NETWORKDAYS(IF(NOT(ISBLANK(M2848)), M2848, L2848), N2848, Holiday_Dates)
                - IF(IF(NOT(ISBLANK(M2848)), M2848, L2848) = N2848, 0, 1)
            )
        )
    ),
    ""
)</f>
        <v/>
      </c>
      <c r="S2848" s="385" t="str">
        <f>IFERROR(
    IF(
        OR(ISBLANK(N2848), ISBLANK(O2848)),
        "",
        MAX(
            1,
            IF(
                NETWORKDAYS(N2848, O2848, Holiday_Dates) &lt;= 0,
                1,
                NETWORKDAYS(N2848, O2848, Holiday_Dates) - IF(N2848 = O2848, 0, 1)
            )
        )
    ),
    ""
)</f>
        <v/>
      </c>
      <c r="T2848" s="385"/>
      <c r="U2848" s="385" t="s">
        <v>4</v>
      </c>
      <c r="V2848" s="385" t="s">
        <v>101</v>
      </c>
      <c r="W2848" s="385" t="s">
        <v>1436</v>
      </c>
      <c r="X2848" s="1"/>
    </row>
    <row r="2849" spans="1:24">
      <c r="A2849" s="385" t="s">
        <v>52</v>
      </c>
      <c r="B2849" s="385" t="s">
        <v>360</v>
      </c>
      <c r="C2849" s="385" t="s">
        <v>4295</v>
      </c>
      <c r="D2849" s="385" t="s">
        <v>88</v>
      </c>
      <c r="E2849" s="385"/>
      <c r="F2849" s="385"/>
      <c r="G2849" s="385"/>
      <c r="H2849" s="385">
        <v>2025</v>
      </c>
      <c r="I2849" s="386">
        <v>45911</v>
      </c>
      <c r="J2849" s="30" t="s">
        <v>5759</v>
      </c>
      <c r="K2849" s="385"/>
      <c r="L2849" s="385"/>
      <c r="M2849" s="385"/>
      <c r="N2849" s="385"/>
      <c r="O2849" s="385"/>
      <c r="P2849" s="385" t="str">
        <f>IFERROR(
    IF(
        OR(ISBLANK(I2849), ISBLANK(L2849)),
        "",
        MAX(
            1,
            IF(
                NETWORKDAYS(I2849, L2849, Holiday_Dates) &lt;= 0,
                1,
                NETWORKDAYS(I2849, L2849, Holiday_Dates) - IF(I2849 = L2849, 0, 1)
            )
        )
    ),
    ""
)</f>
        <v/>
      </c>
      <c r="Q2849" s="385" t="str">
        <f>IF(
    OR(ISBLANK(L2849), ISBLANK(M2849)),
    "",
    MAX(
        1,
        IF(
            NETWORKDAYS(L2849, M2849, Holiday_Dates) &lt;= 0,
            1,
            NETWORKDAYS(L2849, M2849, Holiday_Dates) - IF(L2849 = M2849, 0, 1)
        )
    )
)</f>
        <v/>
      </c>
      <c r="R2849" s="385" t="str">
        <f>IFERROR(
    IF(
        OR(ISBLANK(N2849), AND(ISBLANK(L2849), ISBLANK(M2849))),
        "",
        MAX(
            1,
            IF(
                NETWORKDAYS(IF(NOT(ISBLANK(M2849)), M2849, L2849), N2849, Holiday_Dates) &lt;= 0,
                1,
                NETWORKDAYS(IF(NOT(ISBLANK(M2849)), M2849, L2849), N2849, Holiday_Dates)
                - IF(IF(NOT(ISBLANK(M2849)), M2849, L2849) = N2849, 0, 1)
            )
        )
    ),
    ""
)</f>
        <v/>
      </c>
      <c r="S2849" s="385" t="str">
        <f>IFERROR(
    IF(
        OR(ISBLANK(N2849), ISBLANK(O2849)),
        "",
        MAX(
            1,
            IF(
                NETWORKDAYS(N2849, O2849, Holiday_Dates) &lt;= 0,
                1,
                NETWORKDAYS(N2849, O2849, Holiday_Dates) - IF(N2849 = O2849, 0, 1)
            )
        )
    ),
    ""
)</f>
        <v/>
      </c>
      <c r="T2849" s="385"/>
      <c r="U2849" s="385" t="s">
        <v>672</v>
      </c>
      <c r="V2849" s="385" t="s">
        <v>101</v>
      </c>
      <c r="W2849" s="385" t="s">
        <v>1436</v>
      </c>
      <c r="X2849" s="1"/>
    </row>
    <row r="2850" spans="1:24">
      <c r="A2850" s="385" t="s">
        <v>52</v>
      </c>
      <c r="B2850" s="385" t="s">
        <v>360</v>
      </c>
      <c r="C2850" s="385" t="s">
        <v>2342</v>
      </c>
      <c r="D2850" s="385" t="s">
        <v>88</v>
      </c>
      <c r="E2850" s="385"/>
      <c r="F2850" s="385"/>
      <c r="G2850" s="385"/>
      <c r="H2850" s="385">
        <v>2025</v>
      </c>
      <c r="I2850" s="386">
        <v>45912</v>
      </c>
      <c r="J2850" s="30" t="s">
        <v>5760</v>
      </c>
      <c r="K2850" s="385"/>
      <c r="L2850" s="385"/>
      <c r="M2850" s="385"/>
      <c r="N2850" s="385"/>
      <c r="O2850" s="385"/>
      <c r="P2850" s="385" t="str">
        <f>IFERROR(
    IF(
        OR(ISBLANK(I2850), ISBLANK(L2850)),
        "",
        MAX(
            1,
            IF(
                NETWORKDAYS(I2850, L2850, Holiday_Dates) &lt;= 0,
                1,
                NETWORKDAYS(I2850, L2850, Holiday_Dates) - IF(I2850 = L2850, 0, 1)
            )
        )
    ),
    ""
)</f>
        <v/>
      </c>
      <c r="Q2850" s="385" t="str">
        <f>IF(
    OR(ISBLANK(L2850), ISBLANK(M2850)),
    "",
    MAX(
        1,
        IF(
            NETWORKDAYS(L2850, M2850, Holiday_Dates) &lt;= 0,
            1,
            NETWORKDAYS(L2850, M2850, Holiday_Dates) - IF(L2850 = M2850, 0, 1)
        )
    )
)</f>
        <v/>
      </c>
      <c r="R2850" s="385" t="str">
        <f>IFERROR(
    IF(
        OR(ISBLANK(N2850), AND(ISBLANK(L2850), ISBLANK(M2850))),
        "",
        MAX(
            1,
            IF(
                NETWORKDAYS(IF(NOT(ISBLANK(M2850)), M2850, L2850), N2850, Holiday_Dates) &lt;= 0,
                1,
                NETWORKDAYS(IF(NOT(ISBLANK(M2850)), M2850, L2850), N2850, Holiday_Dates)
                - IF(IF(NOT(ISBLANK(M2850)), M2850, L2850) = N2850, 0, 1)
            )
        )
    ),
    ""
)</f>
        <v/>
      </c>
      <c r="S2850" s="385" t="str">
        <f>IFERROR(
    IF(
        OR(ISBLANK(N2850), ISBLANK(O2850)),
        "",
        MAX(
            1,
            IF(
                NETWORKDAYS(N2850, O2850, Holiday_Dates) &lt;= 0,
                1,
                NETWORKDAYS(N2850, O2850, Holiday_Dates) - IF(N2850 = O2850, 0, 1)
            )
        )
    ),
    ""
)</f>
        <v/>
      </c>
      <c r="T2850" s="385"/>
      <c r="U2850" s="385" t="s">
        <v>4</v>
      </c>
      <c r="V2850" s="385" t="s">
        <v>101</v>
      </c>
      <c r="W2850" s="385" t="s">
        <v>1436</v>
      </c>
      <c r="X2850" s="1"/>
    </row>
    <row r="2851" spans="1:24">
      <c r="A2851" s="385" t="s">
        <v>52</v>
      </c>
      <c r="B2851" s="385" t="s">
        <v>360</v>
      </c>
      <c r="C2851" s="385" t="s">
        <v>3062</v>
      </c>
      <c r="D2851" s="385" t="s">
        <v>88</v>
      </c>
      <c r="E2851" s="385"/>
      <c r="F2851" s="385"/>
      <c r="G2851" s="385"/>
      <c r="H2851" s="385">
        <v>2025</v>
      </c>
      <c r="I2851" s="386">
        <v>45783</v>
      </c>
      <c r="J2851" s="30" t="s">
        <v>5761</v>
      </c>
      <c r="K2851" s="385"/>
      <c r="L2851" s="385"/>
      <c r="M2851" s="385"/>
      <c r="N2851" s="385"/>
      <c r="O2851" s="385"/>
      <c r="P2851" s="385" t="str">
        <f>IFERROR(
    IF(
        OR(ISBLANK(I2851), ISBLANK(L2851)),
        "",
        MAX(
            1,
            IF(
                NETWORKDAYS(I2851, L2851, Holiday_Dates) &lt;= 0,
                1,
                NETWORKDAYS(I2851, L2851, Holiday_Dates) - IF(I2851 = L2851, 0, 1)
            )
        )
    ),
    ""
)</f>
        <v/>
      </c>
      <c r="Q2851" s="385" t="str">
        <f>IF(
    OR(ISBLANK(L2851), ISBLANK(M2851)),
    "",
    MAX(
        1,
        IF(
            NETWORKDAYS(L2851, M2851, Holiday_Dates) &lt;= 0,
            1,
            NETWORKDAYS(L2851, M2851, Holiday_Dates) - IF(L2851 = M2851, 0, 1)
        )
    )
)</f>
        <v/>
      </c>
      <c r="R2851" s="385" t="str">
        <f>IFERROR(
    IF(
        OR(ISBLANK(N2851), AND(ISBLANK(L2851), ISBLANK(M2851))),
        "",
        MAX(
            1,
            IF(
                NETWORKDAYS(IF(NOT(ISBLANK(M2851)), M2851, L2851), N2851, Holiday_Dates) &lt;= 0,
                1,
                NETWORKDAYS(IF(NOT(ISBLANK(M2851)), M2851, L2851), N2851, Holiday_Dates)
                - IF(IF(NOT(ISBLANK(M2851)), M2851, L2851) = N2851, 0, 1)
            )
        )
    ),
    ""
)</f>
        <v/>
      </c>
      <c r="S2851" s="385" t="str">
        <f>IFERROR(
    IF(
        OR(ISBLANK(N2851), ISBLANK(O2851)),
        "",
        MAX(
            1,
            IF(
                NETWORKDAYS(N2851, O2851, Holiday_Dates) &lt;= 0,
                1,
                NETWORKDAYS(N2851, O2851, Holiday_Dates) - IF(N2851 = O2851, 0, 1)
            )
        )
    ),
    ""
)</f>
        <v/>
      </c>
      <c r="T2851" s="385"/>
      <c r="U2851" s="385" t="s">
        <v>672</v>
      </c>
      <c r="V2851" s="385" t="s">
        <v>1676</v>
      </c>
      <c r="W2851" s="385" t="s">
        <v>1436</v>
      </c>
      <c r="X2851" s="1"/>
    </row>
    <row r="2852" spans="1:24">
      <c r="A2852" s="385" t="s">
        <v>52</v>
      </c>
      <c r="B2852" s="385" t="s">
        <v>360</v>
      </c>
      <c r="C2852" s="385" t="s">
        <v>4296</v>
      </c>
      <c r="D2852" s="385" t="s">
        <v>88</v>
      </c>
      <c r="E2852" s="385"/>
      <c r="F2852" s="385"/>
      <c r="G2852" s="385"/>
      <c r="H2852" s="385">
        <v>2025</v>
      </c>
      <c r="I2852" s="386">
        <v>45912</v>
      </c>
      <c r="J2852" s="30" t="s">
        <v>5762</v>
      </c>
      <c r="K2852" s="385"/>
      <c r="L2852" s="385"/>
      <c r="M2852" s="385"/>
      <c r="N2852" s="385"/>
      <c r="O2852" s="385"/>
      <c r="P2852" s="385" t="str">
        <f>IFERROR(
    IF(
        OR(ISBLANK(I2852), ISBLANK(L2852)),
        "",
        MAX(
            1,
            IF(
                NETWORKDAYS(I2852, L2852, Holiday_Dates) &lt;= 0,
                1,
                NETWORKDAYS(I2852, L2852, Holiday_Dates) - IF(I2852 = L2852, 0, 1)
            )
        )
    ),
    ""
)</f>
        <v/>
      </c>
      <c r="Q2852" s="385" t="str">
        <f>IF(
    OR(ISBLANK(L2852), ISBLANK(M2852)),
    "",
    MAX(
        1,
        IF(
            NETWORKDAYS(L2852, M2852, Holiday_Dates) &lt;= 0,
            1,
            NETWORKDAYS(L2852, M2852, Holiday_Dates) - IF(L2852 = M2852, 0, 1)
        )
    )
)</f>
        <v/>
      </c>
      <c r="R2852" s="385" t="str">
        <f>IFERROR(
    IF(
        OR(ISBLANK(N2852), AND(ISBLANK(L2852), ISBLANK(M2852))),
        "",
        MAX(
            1,
            IF(
                NETWORKDAYS(IF(NOT(ISBLANK(M2852)), M2852, L2852), N2852, Holiday_Dates) &lt;= 0,
                1,
                NETWORKDAYS(IF(NOT(ISBLANK(M2852)), M2852, L2852), N2852, Holiday_Dates)
                - IF(IF(NOT(ISBLANK(M2852)), M2852, L2852) = N2852, 0, 1)
            )
        )
    ),
    ""
)</f>
        <v/>
      </c>
      <c r="S2852" s="385" t="str">
        <f>IFERROR(
    IF(
        OR(ISBLANK(N2852), ISBLANK(O2852)),
        "",
        MAX(
            1,
            IF(
                NETWORKDAYS(N2852, O2852, Holiday_Dates) &lt;= 0,
                1,
                NETWORKDAYS(N2852, O2852, Holiday_Dates) - IF(N2852 = O2852, 0, 1)
            )
        )
    ),
    ""
)</f>
        <v/>
      </c>
      <c r="T2852" s="385"/>
      <c r="U2852" s="385" t="s">
        <v>672</v>
      </c>
      <c r="V2852" s="385" t="s">
        <v>101</v>
      </c>
      <c r="W2852" s="385" t="s">
        <v>1436</v>
      </c>
      <c r="X2852" s="1"/>
    </row>
    <row r="2853" spans="1:24">
      <c r="A2853" s="385" t="s">
        <v>52</v>
      </c>
      <c r="B2853" s="385" t="s">
        <v>360</v>
      </c>
      <c r="C2853" s="385" t="s">
        <v>2276</v>
      </c>
      <c r="D2853" s="385" t="s">
        <v>88</v>
      </c>
      <c r="E2853" s="385"/>
      <c r="F2853" s="385"/>
      <c r="G2853" s="385"/>
      <c r="H2853" s="385">
        <v>2024</v>
      </c>
      <c r="I2853" s="386">
        <v>45611</v>
      </c>
      <c r="J2853" s="30"/>
      <c r="K2853" s="385"/>
      <c r="L2853" s="385"/>
      <c r="M2853" s="385"/>
      <c r="N2853" s="385"/>
      <c r="O2853" s="385"/>
      <c r="P2853" s="385" t="str">
        <f>IFERROR(
    IF(
        OR(ISBLANK(I2853), ISBLANK(L2853)),
        "",
        MAX(
            1,
            IF(
                NETWORKDAYS(I2853, L2853, Holiday_Dates) &lt;= 0,
                1,
                NETWORKDAYS(I2853, L2853, Holiday_Dates) - IF(I2853 = L2853, 0, 1)
            )
        )
    ),
    ""
)</f>
        <v/>
      </c>
      <c r="Q2853" s="385" t="str">
        <f>IF(
    OR(ISBLANK(L2853), ISBLANK(M2853)),
    "",
    MAX(
        1,
        IF(
            NETWORKDAYS(L2853, M2853, Holiday_Dates) &lt;= 0,
            1,
            NETWORKDAYS(L2853, M2853, Holiday_Dates) - IF(L2853 = M2853, 0, 1)
        )
    )
)</f>
        <v/>
      </c>
      <c r="R2853" s="385" t="str">
        <f>IFERROR(
    IF(
        OR(ISBLANK(N2853), AND(ISBLANK(L2853), ISBLANK(M2853))),
        "",
        MAX(
            1,
            IF(
                NETWORKDAYS(IF(NOT(ISBLANK(M2853)), M2853, L2853), N2853, Holiday_Dates) &lt;= 0,
                1,
                NETWORKDAYS(IF(NOT(ISBLANK(M2853)), M2853, L2853), N2853, Holiday_Dates)
                - IF(IF(NOT(ISBLANK(M2853)), M2853, L2853) = N2853, 0, 1)
            )
        )
    ),
    ""
)</f>
        <v/>
      </c>
      <c r="S2853" s="385" t="str">
        <f>IFERROR(
    IF(
        OR(ISBLANK(N2853), ISBLANK(O2853)),
        "",
        MAX(
            1,
            IF(
                NETWORKDAYS(N2853, O2853, Holiday_Dates) &lt;= 0,
                1,
                NETWORKDAYS(N2853, O2853, Holiday_Dates) - IF(N2853 = O2853, 0, 1)
            )
        )
    ),
    ""
)</f>
        <v/>
      </c>
      <c r="T2853" s="385"/>
      <c r="U2853" s="385" t="s">
        <v>672</v>
      </c>
      <c r="V2853" s="385" t="s">
        <v>101</v>
      </c>
      <c r="W2853" s="385" t="s">
        <v>1436</v>
      </c>
      <c r="X2853" s="1"/>
    </row>
    <row r="2854" spans="1:24">
      <c r="A2854" s="385" t="s">
        <v>52</v>
      </c>
      <c r="B2854" s="385" t="s">
        <v>4207</v>
      </c>
      <c r="C2854" s="385" t="s">
        <v>4220</v>
      </c>
      <c r="D2854" s="385" t="s">
        <v>89</v>
      </c>
      <c r="E2854" s="385" t="s">
        <v>37</v>
      </c>
      <c r="F2854" s="385"/>
      <c r="G2854" s="385" t="s">
        <v>28</v>
      </c>
      <c r="H2854" s="385"/>
      <c r="I2854" s="385"/>
      <c r="J2854" s="30"/>
      <c r="K2854" s="385"/>
      <c r="L2854" s="385"/>
      <c r="M2854" s="385"/>
      <c r="N2854" s="385"/>
      <c r="O2854" s="385"/>
      <c r="P2854" s="385" t="str">
        <f>IFERROR(
    IF(
        OR(ISBLANK(I2854), ISBLANK(L2854)),
        "",
        MAX(
            1,
            IF(
                NETWORKDAYS(I2854, L2854, Holiday_Dates) &lt;= 0,
                1,
                NETWORKDAYS(I2854, L2854, Holiday_Dates) - IF(I2854 = L2854, 0, 1)
            )
        )
    ),
    ""
)</f>
        <v/>
      </c>
      <c r="Q2854" s="385" t="str">
        <f>IF(
    OR(ISBLANK(L2854), ISBLANK(M2854)),
    "",
    MAX(
        1,
        IF(
            NETWORKDAYS(L2854, M2854, Holiday_Dates) &lt;= 0,
            1,
            NETWORKDAYS(L2854, M2854, Holiday_Dates) - IF(L2854 = M2854, 0, 1)
        )
    )
)</f>
        <v/>
      </c>
      <c r="R2854" s="385" t="str">
        <f>IFERROR(
    IF(
        OR(ISBLANK(N2854), AND(ISBLANK(L2854), ISBLANK(M2854))),
        "",
        MAX(
            1,
            IF(
                NETWORKDAYS(IF(NOT(ISBLANK(M2854)), M2854, L2854), N2854, Holiday_Dates) &lt;= 0,
                1,
                NETWORKDAYS(IF(NOT(ISBLANK(M2854)), M2854, L2854), N2854, Holiday_Dates)
                - IF(IF(NOT(ISBLANK(M2854)), M2854, L2854) = N2854, 0, 1)
            )
        )
    ),
    ""
)</f>
        <v/>
      </c>
      <c r="S2854" s="385" t="str">
        <f>IFERROR(
    IF(
        OR(ISBLANK(N2854), ISBLANK(O2854)),
        "",
        MAX(
            1,
            IF(
                NETWORKDAYS(N2854, O2854, Holiday_Dates) &lt;= 0,
                1,
                NETWORKDAYS(N2854, O2854, Holiday_Dates) - IF(N2854 = O2854, 0, 1)
            )
        )
    ),
    ""
)</f>
        <v/>
      </c>
      <c r="T2854" s="385"/>
      <c r="U2854" s="385"/>
      <c r="V2854" s="385"/>
      <c r="W2854" s="385" t="s">
        <v>4710</v>
      </c>
      <c r="X2854" s="1"/>
    </row>
    <row r="2855" spans="1:24">
      <c r="A2855" s="385" t="s">
        <v>52</v>
      </c>
      <c r="B2855" s="385" t="s">
        <v>360</v>
      </c>
      <c r="C2855" s="385" t="s">
        <v>4206</v>
      </c>
      <c r="D2855" s="385" t="s">
        <v>88</v>
      </c>
      <c r="E2855" s="385"/>
      <c r="F2855" s="385"/>
      <c r="G2855" s="385"/>
      <c r="H2855" s="385">
        <v>2025</v>
      </c>
      <c r="I2855" s="386">
        <v>45784</v>
      </c>
      <c r="J2855" s="30" t="s">
        <v>5763</v>
      </c>
      <c r="K2855" s="385"/>
      <c r="L2855" s="385"/>
      <c r="M2855" s="385"/>
      <c r="N2855" s="385"/>
      <c r="O2855" s="385"/>
      <c r="P2855" s="385" t="str">
        <f>IFERROR(
    IF(
        OR(ISBLANK(I2855), ISBLANK(L2855)),
        "",
        MAX(
            1,
            IF(
                NETWORKDAYS(I2855, L2855, Holiday_Dates) &lt;= 0,
                1,
                NETWORKDAYS(I2855, L2855, Holiday_Dates) - IF(I2855 = L2855, 0, 1)
            )
        )
    ),
    ""
)</f>
        <v/>
      </c>
      <c r="Q2855" s="385" t="str">
        <f>IF(
    OR(ISBLANK(L2855), ISBLANK(M2855)),
    "",
    MAX(
        1,
        IF(
            NETWORKDAYS(L2855, M2855, Holiday_Dates) &lt;= 0,
            1,
            NETWORKDAYS(L2855, M2855, Holiday_Dates) - IF(L2855 = M2855, 0, 1)
        )
    )
)</f>
        <v/>
      </c>
      <c r="R2855" s="385" t="str">
        <f>IFERROR(
    IF(
        OR(ISBLANK(N2855), AND(ISBLANK(L2855), ISBLANK(M2855))),
        "",
        MAX(
            1,
            IF(
                NETWORKDAYS(IF(NOT(ISBLANK(M2855)), M2855, L2855), N2855, Holiday_Dates) &lt;= 0,
                1,
                NETWORKDAYS(IF(NOT(ISBLANK(M2855)), M2855, L2855), N2855, Holiday_Dates)
                - IF(IF(NOT(ISBLANK(M2855)), M2855, L2855) = N2855, 0, 1)
            )
        )
    ),
    ""
)</f>
        <v/>
      </c>
      <c r="S2855" s="385" t="str">
        <f>IFERROR(
    IF(
        OR(ISBLANK(N2855), ISBLANK(O2855)),
        "",
        MAX(
            1,
            IF(
                NETWORKDAYS(N2855, O2855, Holiday_Dates) &lt;= 0,
                1,
                NETWORKDAYS(N2855, O2855, Holiday_Dates) - IF(N2855 = O2855, 0, 1)
            )
        )
    ),
    ""
)</f>
        <v/>
      </c>
      <c r="T2855" s="385"/>
      <c r="U2855" s="385" t="s">
        <v>672</v>
      </c>
      <c r="V2855" s="385" t="s">
        <v>101</v>
      </c>
      <c r="W2855" s="385" t="s">
        <v>1436</v>
      </c>
      <c r="X2855" s="1"/>
    </row>
    <row r="2856" spans="1:24">
      <c r="A2856" s="385" t="s">
        <v>52</v>
      </c>
      <c r="B2856" s="385" t="s">
        <v>4207</v>
      </c>
      <c r="C2856" s="385" t="s">
        <v>2276</v>
      </c>
      <c r="D2856" s="385" t="s">
        <v>89</v>
      </c>
      <c r="E2856" s="385" t="s">
        <v>37</v>
      </c>
      <c r="F2856" s="385"/>
      <c r="G2856" s="385" t="s">
        <v>28</v>
      </c>
      <c r="H2856" s="385"/>
      <c r="I2856" s="385"/>
      <c r="J2856" s="30"/>
      <c r="K2856" s="385"/>
      <c r="L2856" s="385"/>
      <c r="M2856" s="385"/>
      <c r="N2856" s="385"/>
      <c r="O2856" s="385"/>
      <c r="P2856" s="385" t="str">
        <f>IFERROR(
    IF(
        OR(ISBLANK(I2856), ISBLANK(L2856)),
        "",
        MAX(
            1,
            IF(
                NETWORKDAYS(I2856, L2856, Holiday_Dates) &lt;= 0,
                1,
                NETWORKDAYS(I2856, L2856, Holiday_Dates) - IF(I2856 = L2856, 0, 1)
            )
        )
    ),
    ""
)</f>
        <v/>
      </c>
      <c r="Q2856" s="385" t="str">
        <f>IF(
    OR(ISBLANK(L2856), ISBLANK(M2856)),
    "",
    MAX(
        1,
        IF(
            NETWORKDAYS(L2856, M2856, Holiday_Dates) &lt;= 0,
            1,
            NETWORKDAYS(L2856, M2856, Holiday_Dates) - IF(L2856 = M2856, 0, 1)
        )
    )
)</f>
        <v/>
      </c>
      <c r="R2856" s="385" t="str">
        <f>IFERROR(
    IF(
        OR(ISBLANK(N2856), AND(ISBLANK(L2856), ISBLANK(M2856))),
        "",
        MAX(
            1,
            IF(
                NETWORKDAYS(IF(NOT(ISBLANK(M2856)), M2856, L2856), N2856, Holiday_Dates) &lt;= 0,
                1,
                NETWORKDAYS(IF(NOT(ISBLANK(M2856)), M2856, L2856), N2856, Holiday_Dates)
                - IF(IF(NOT(ISBLANK(M2856)), M2856, L2856) = N2856, 0, 1)
            )
        )
    ),
    ""
)</f>
        <v/>
      </c>
      <c r="S2856" s="385" t="str">
        <f>IFERROR(
    IF(
        OR(ISBLANK(N2856), ISBLANK(O2856)),
        "",
        MAX(
            1,
            IF(
                NETWORKDAYS(N2856, O2856, Holiday_Dates) &lt;= 0,
                1,
                NETWORKDAYS(N2856, O2856, Holiday_Dates) - IF(N2856 = O2856, 0, 1)
            )
        )
    ),
    ""
)</f>
        <v/>
      </c>
      <c r="T2856" s="385"/>
      <c r="U2856" s="385"/>
      <c r="V2856" s="385"/>
      <c r="W2856" s="385" t="s">
        <v>4710</v>
      </c>
      <c r="X2856" s="1"/>
    </row>
    <row r="2857" spans="1:24">
      <c r="A2857" s="385" t="s">
        <v>52</v>
      </c>
      <c r="B2857" s="385" t="s">
        <v>360</v>
      </c>
      <c r="C2857" s="385" t="s">
        <v>653</v>
      </c>
      <c r="D2857" s="385" t="s">
        <v>88</v>
      </c>
      <c r="E2857" s="385"/>
      <c r="F2857" s="385"/>
      <c r="G2857" s="385"/>
      <c r="H2857" s="385">
        <v>2025</v>
      </c>
      <c r="I2857" s="386">
        <v>45784</v>
      </c>
      <c r="J2857" s="30" t="s">
        <v>5764</v>
      </c>
      <c r="K2857" s="385"/>
      <c r="L2857" s="385"/>
      <c r="M2857" s="385"/>
      <c r="N2857" s="385"/>
      <c r="O2857" s="385"/>
      <c r="P2857" s="385" t="str">
        <f>IFERROR(
    IF(
        OR(ISBLANK(I2857), ISBLANK(L2857)),
        "",
        MAX(
            1,
            IF(
                NETWORKDAYS(I2857, L2857, Holiday_Dates) &lt;= 0,
                1,
                NETWORKDAYS(I2857, L2857, Holiday_Dates) - IF(I2857 = L2857, 0, 1)
            )
        )
    ),
    ""
)</f>
        <v/>
      </c>
      <c r="Q2857" s="385" t="str">
        <f>IF(
    OR(ISBLANK(L2857), ISBLANK(M2857)),
    "",
    MAX(
        1,
        IF(
            NETWORKDAYS(L2857, M2857, Holiday_Dates) &lt;= 0,
            1,
            NETWORKDAYS(L2857, M2857, Holiday_Dates) - IF(L2857 = M2857, 0, 1)
        )
    )
)</f>
        <v/>
      </c>
      <c r="R2857" s="385" t="str">
        <f>IFERROR(
    IF(
        OR(ISBLANK(N2857), AND(ISBLANK(L2857), ISBLANK(M2857))),
        "",
        MAX(
            1,
            IF(
                NETWORKDAYS(IF(NOT(ISBLANK(M2857)), M2857, L2857), N2857, Holiday_Dates) &lt;= 0,
                1,
                NETWORKDAYS(IF(NOT(ISBLANK(M2857)), M2857, L2857), N2857, Holiday_Dates)
                - IF(IF(NOT(ISBLANK(M2857)), M2857, L2857) = N2857, 0, 1)
            )
        )
    ),
    ""
)</f>
        <v/>
      </c>
      <c r="S2857" s="385" t="str">
        <f>IFERROR(
    IF(
        OR(ISBLANK(N2857), ISBLANK(O2857)),
        "",
        MAX(
            1,
            IF(
                NETWORKDAYS(N2857, O2857, Holiday_Dates) &lt;= 0,
                1,
                NETWORKDAYS(N2857, O2857, Holiday_Dates) - IF(N2857 = O2857, 0, 1)
            )
        )
    ),
    ""
)</f>
        <v/>
      </c>
      <c r="T2857" s="385"/>
      <c r="U2857" s="385" t="s">
        <v>672</v>
      </c>
      <c r="V2857" s="385" t="s">
        <v>101</v>
      </c>
      <c r="W2857" s="385" t="s">
        <v>1436</v>
      </c>
      <c r="X2857" s="1"/>
    </row>
    <row r="2858" spans="1:24">
      <c r="A2858" s="385" t="s">
        <v>52</v>
      </c>
      <c r="B2858" s="385" t="s">
        <v>360</v>
      </c>
      <c r="C2858" s="385" t="s">
        <v>2235</v>
      </c>
      <c r="D2858" s="385" t="s">
        <v>88</v>
      </c>
      <c r="E2858" s="385"/>
      <c r="F2858" s="385"/>
      <c r="G2858" s="385"/>
      <c r="H2858" s="385">
        <v>2024</v>
      </c>
      <c r="I2858" s="386">
        <v>45567</v>
      </c>
      <c r="J2858" s="30"/>
      <c r="K2858" s="385"/>
      <c r="L2858" s="385"/>
      <c r="M2858" s="385"/>
      <c r="N2858" s="385"/>
      <c r="O2858" s="385"/>
      <c r="P2858" s="385" t="str">
        <f>IFERROR(
    IF(
        OR(ISBLANK(I2858), ISBLANK(L2858)),
        "",
        MAX(
            1,
            IF(
                NETWORKDAYS(I2858, L2858, Holiday_Dates) &lt;= 0,
                1,
                NETWORKDAYS(I2858, L2858, Holiday_Dates) - IF(I2858 = L2858, 0, 1)
            )
        )
    ),
    ""
)</f>
        <v/>
      </c>
      <c r="Q2858" s="385" t="str">
        <f>IF(
    OR(ISBLANK(L2858), ISBLANK(M2858)),
    "",
    MAX(
        1,
        IF(
            NETWORKDAYS(L2858, M2858, Holiday_Dates) &lt;= 0,
            1,
            NETWORKDAYS(L2858, M2858, Holiday_Dates) - IF(L2858 = M2858, 0, 1)
        )
    )
)</f>
        <v/>
      </c>
      <c r="R2858" s="385" t="str">
        <f>IFERROR(
    IF(
        OR(ISBLANK(N2858), AND(ISBLANK(L2858), ISBLANK(M2858))),
        "",
        MAX(
            1,
            IF(
                NETWORKDAYS(IF(NOT(ISBLANK(M2858)), M2858, L2858), N2858, Holiday_Dates) &lt;= 0,
                1,
                NETWORKDAYS(IF(NOT(ISBLANK(M2858)), M2858, L2858), N2858, Holiday_Dates)
                - IF(IF(NOT(ISBLANK(M2858)), M2858, L2858) = N2858, 0, 1)
            )
        )
    ),
    ""
)</f>
        <v/>
      </c>
      <c r="S2858" s="385" t="str">
        <f>IFERROR(
    IF(
        OR(ISBLANK(N2858), ISBLANK(O2858)),
        "",
        MAX(
            1,
            IF(
                NETWORKDAYS(N2858, O2858, Holiday_Dates) &lt;= 0,
                1,
                NETWORKDAYS(N2858, O2858, Holiday_Dates) - IF(N2858 = O2858, 0, 1)
            )
        )
    ),
    ""
)</f>
        <v/>
      </c>
      <c r="T2858" s="385"/>
      <c r="U2858" s="385" t="s">
        <v>4</v>
      </c>
      <c r="V2858" s="385" t="s">
        <v>101</v>
      </c>
      <c r="W2858" s="385" t="s">
        <v>1436</v>
      </c>
      <c r="X2858" s="1"/>
    </row>
    <row r="2859" spans="1:24">
      <c r="A2859" s="385" t="s">
        <v>52</v>
      </c>
      <c r="B2859" s="385" t="s">
        <v>360</v>
      </c>
      <c r="C2859" s="385" t="s">
        <v>3684</v>
      </c>
      <c r="D2859" s="385" t="s">
        <v>88</v>
      </c>
      <c r="E2859" s="385"/>
      <c r="F2859" s="385"/>
      <c r="G2859" s="385"/>
      <c r="H2859" s="385">
        <v>2025</v>
      </c>
      <c r="I2859" s="386">
        <v>45912</v>
      </c>
      <c r="J2859" s="30" t="s">
        <v>5765</v>
      </c>
      <c r="K2859" s="385"/>
      <c r="L2859" s="385"/>
      <c r="M2859" s="385"/>
      <c r="N2859" s="385"/>
      <c r="O2859" s="385"/>
      <c r="P2859" s="385" t="str">
        <f>IFERROR(
    IF(
        OR(ISBLANK(I2859), ISBLANK(L2859)),
        "",
        MAX(
            1,
            IF(
                NETWORKDAYS(I2859, L2859, Holiday_Dates) &lt;= 0,
                1,
                NETWORKDAYS(I2859, L2859, Holiday_Dates) - IF(I2859 = L2859, 0, 1)
            )
        )
    ),
    ""
)</f>
        <v/>
      </c>
      <c r="Q2859" s="385" t="str">
        <f>IF(
    OR(ISBLANK(L2859), ISBLANK(M2859)),
    "",
    MAX(
        1,
        IF(
            NETWORKDAYS(L2859, M2859, Holiday_Dates) &lt;= 0,
            1,
            NETWORKDAYS(L2859, M2859, Holiday_Dates) - IF(L2859 = M2859, 0, 1)
        )
    )
)</f>
        <v/>
      </c>
      <c r="R2859" s="385" t="str">
        <f>IFERROR(
    IF(
        OR(ISBLANK(N2859), AND(ISBLANK(L2859), ISBLANK(M2859))),
        "",
        MAX(
            1,
            IF(
                NETWORKDAYS(IF(NOT(ISBLANK(M2859)), M2859, L2859), N2859, Holiday_Dates) &lt;= 0,
                1,
                NETWORKDAYS(IF(NOT(ISBLANK(M2859)), M2859, L2859), N2859, Holiday_Dates)
                - IF(IF(NOT(ISBLANK(M2859)), M2859, L2859) = N2859, 0, 1)
            )
        )
    ),
    ""
)</f>
        <v/>
      </c>
      <c r="S2859" s="385" t="str">
        <f>IFERROR(
    IF(
        OR(ISBLANK(N2859), ISBLANK(O2859)),
        "",
        MAX(
            1,
            IF(
                NETWORKDAYS(N2859, O2859, Holiday_Dates) &lt;= 0,
                1,
                NETWORKDAYS(N2859, O2859, Holiday_Dates) - IF(N2859 = O2859, 0, 1)
            )
        )
    ),
    ""
)</f>
        <v/>
      </c>
      <c r="T2859" s="385"/>
      <c r="U2859" s="385" t="s">
        <v>672</v>
      </c>
      <c r="V2859" s="385" t="s">
        <v>101</v>
      </c>
      <c r="W2859" s="385" t="s">
        <v>1436</v>
      </c>
      <c r="X2859" s="1"/>
    </row>
    <row r="2860" spans="1:24">
      <c r="A2860" s="385" t="s">
        <v>53</v>
      </c>
      <c r="B2860" s="385" t="s">
        <v>329</v>
      </c>
      <c r="C2860" s="385" t="s">
        <v>2421</v>
      </c>
      <c r="D2860" s="385" t="s">
        <v>89</v>
      </c>
      <c r="E2860" s="385"/>
      <c r="F2860" s="385"/>
      <c r="G2860" s="385"/>
      <c r="H2860" s="385">
        <v>2024</v>
      </c>
      <c r="I2860" s="386">
        <v>45602</v>
      </c>
      <c r="J2860" s="30"/>
      <c r="K2860" s="385"/>
      <c r="L2860" s="385"/>
      <c r="M2860" s="385"/>
      <c r="N2860" s="385"/>
      <c r="O2860" s="385"/>
      <c r="P2860" s="385" t="str">
        <f>IFERROR(
    IF(
        OR(ISBLANK(I2860), ISBLANK(L2860)),
        "",
        MAX(
            1,
            IF(
                NETWORKDAYS(I2860, L2860, Holiday_Dates) &lt;= 0,
                1,
                NETWORKDAYS(I2860, L2860, Holiday_Dates) - IF(I2860 = L2860, 0, 1)
            )
        )
    ),
    ""
)</f>
        <v/>
      </c>
      <c r="Q2860" s="385" t="str">
        <f>IF(
    OR(ISBLANK(L2860), ISBLANK(M2860)),
    "",
    MAX(
        1,
        IF(
            NETWORKDAYS(L2860, M2860, Holiday_Dates) &lt;= 0,
            1,
            NETWORKDAYS(L2860, M2860, Holiday_Dates) - IF(L2860 = M2860, 0, 1)
        )
    )
)</f>
        <v/>
      </c>
      <c r="R2860" s="385" t="str">
        <f>IFERROR(
    IF(
        OR(ISBLANK(N2860), AND(ISBLANK(L2860), ISBLANK(M2860))),
        "",
        MAX(
            1,
            IF(
                NETWORKDAYS(IF(NOT(ISBLANK(M2860)), M2860, L2860), N2860, Holiday_Dates) &lt;= 0,
                1,
                NETWORKDAYS(IF(NOT(ISBLANK(M2860)), M2860, L2860), N2860, Holiday_Dates)
                - IF(IF(NOT(ISBLANK(M2860)), M2860, L2860) = N2860, 0, 1)
            )
        )
    ),
    ""
)</f>
        <v/>
      </c>
      <c r="S2860" s="385" t="str">
        <f>IFERROR(
    IF(
        OR(ISBLANK(N2860), ISBLANK(O2860)),
        "",
        MAX(
            1,
            IF(
                NETWORKDAYS(N2860, O2860, Holiday_Dates) &lt;= 0,
                1,
                NETWORKDAYS(N2860, O2860, Holiday_Dates) - IF(N2860 = O2860, 0, 1)
            )
        )
    ),
    ""
)</f>
        <v/>
      </c>
      <c r="T2860" s="385"/>
      <c r="U2860" s="385" t="s">
        <v>4</v>
      </c>
      <c r="V2860" s="385" t="s">
        <v>101</v>
      </c>
      <c r="W2860" s="385" t="s">
        <v>1436</v>
      </c>
      <c r="X2860" s="1"/>
    </row>
    <row r="2861" spans="1:24">
      <c r="A2861" s="385" t="s">
        <v>53</v>
      </c>
      <c r="B2861" s="385" t="s">
        <v>329</v>
      </c>
      <c r="C2861" s="385" t="s">
        <v>4313</v>
      </c>
      <c r="D2861" s="385" t="s">
        <v>89</v>
      </c>
      <c r="E2861" s="385"/>
      <c r="F2861" s="385"/>
      <c r="G2861" s="385"/>
      <c r="H2861" s="385">
        <v>2025</v>
      </c>
      <c r="I2861" s="386">
        <v>45937</v>
      </c>
      <c r="J2861" s="30" t="s">
        <v>5766</v>
      </c>
      <c r="K2861" s="385"/>
      <c r="L2861" s="385"/>
      <c r="M2861" s="385"/>
      <c r="N2861" s="385"/>
      <c r="O2861" s="385"/>
      <c r="P2861" s="385" t="str">
        <f>IFERROR(
    IF(
        OR(ISBLANK(I2861), ISBLANK(L2861)),
        "",
        MAX(
            1,
            IF(
                NETWORKDAYS(I2861, L2861, Holiday_Dates) &lt;= 0,
                1,
                NETWORKDAYS(I2861, L2861, Holiday_Dates) - IF(I2861 = L2861, 0, 1)
            )
        )
    ),
    ""
)</f>
        <v/>
      </c>
      <c r="Q2861" s="385" t="str">
        <f>IF(
    OR(ISBLANK(L2861), ISBLANK(M2861)),
    "",
    MAX(
        1,
        IF(
            NETWORKDAYS(L2861, M2861, Holiday_Dates) &lt;= 0,
            1,
            NETWORKDAYS(L2861, M2861, Holiday_Dates) - IF(L2861 = M2861, 0, 1)
        )
    )
)</f>
        <v/>
      </c>
      <c r="R2861" s="385" t="str">
        <f>IFERROR(
    IF(
        OR(ISBLANK(N2861), AND(ISBLANK(L2861), ISBLANK(M2861))),
        "",
        MAX(
            1,
            IF(
                NETWORKDAYS(IF(NOT(ISBLANK(M2861)), M2861, L2861), N2861, Holiday_Dates) &lt;= 0,
                1,
                NETWORKDAYS(IF(NOT(ISBLANK(M2861)), M2861, L2861), N2861, Holiday_Dates)
                - IF(IF(NOT(ISBLANK(M2861)), M2861, L2861) = N2861, 0, 1)
            )
        )
    ),
    ""
)</f>
        <v/>
      </c>
      <c r="S2861" s="385" t="str">
        <f>IFERROR(
    IF(
        OR(ISBLANK(N2861), ISBLANK(O2861)),
        "",
        MAX(
            1,
            IF(
                NETWORKDAYS(N2861, O2861, Holiday_Dates) &lt;= 0,
                1,
                NETWORKDAYS(N2861, O2861, Holiday_Dates) - IF(N2861 = O2861, 0, 1)
            )
        )
    ),
    ""
)</f>
        <v/>
      </c>
      <c r="T2861" s="385"/>
      <c r="U2861" s="385" t="s">
        <v>4</v>
      </c>
      <c r="V2861" s="385" t="s">
        <v>101</v>
      </c>
      <c r="W2861" s="385" t="s">
        <v>1436</v>
      </c>
      <c r="X2861" s="1"/>
    </row>
    <row r="2862" spans="1:24">
      <c r="A2862" s="385" t="s">
        <v>53</v>
      </c>
      <c r="B2862" s="385" t="s">
        <v>329</v>
      </c>
      <c r="C2862" s="385" t="s">
        <v>4314</v>
      </c>
      <c r="D2862" s="385" t="s">
        <v>89</v>
      </c>
      <c r="E2862" s="385"/>
      <c r="F2862" s="385"/>
      <c r="G2862" s="385"/>
      <c r="H2862" s="385">
        <v>2025</v>
      </c>
      <c r="I2862" s="386">
        <v>45910</v>
      </c>
      <c r="J2862" s="30" t="s">
        <v>5767</v>
      </c>
      <c r="K2862" s="385"/>
      <c r="L2862" s="385"/>
      <c r="M2862" s="385"/>
      <c r="N2862" s="385"/>
      <c r="O2862" s="385"/>
      <c r="P2862" s="385" t="str">
        <f>IFERROR(
    IF(
        OR(ISBLANK(I2862), ISBLANK(L2862)),
        "",
        MAX(
            1,
            IF(
                NETWORKDAYS(I2862, L2862, Holiday_Dates) &lt;= 0,
                1,
                NETWORKDAYS(I2862, L2862, Holiday_Dates) - IF(I2862 = L2862, 0, 1)
            )
        )
    ),
    ""
)</f>
        <v/>
      </c>
      <c r="Q2862" s="385" t="str">
        <f>IF(
    OR(ISBLANK(L2862), ISBLANK(M2862)),
    "",
    MAX(
        1,
        IF(
            NETWORKDAYS(L2862, M2862, Holiday_Dates) &lt;= 0,
            1,
            NETWORKDAYS(L2862, M2862, Holiday_Dates) - IF(L2862 = M2862, 0, 1)
        )
    )
)</f>
        <v/>
      </c>
      <c r="R2862" s="385" t="str">
        <f>IFERROR(
    IF(
        OR(ISBLANK(N2862), AND(ISBLANK(L2862), ISBLANK(M2862))),
        "",
        MAX(
            1,
            IF(
                NETWORKDAYS(IF(NOT(ISBLANK(M2862)), M2862, L2862), N2862, Holiday_Dates) &lt;= 0,
                1,
                NETWORKDAYS(IF(NOT(ISBLANK(M2862)), M2862, L2862), N2862, Holiday_Dates)
                - IF(IF(NOT(ISBLANK(M2862)), M2862, L2862) = N2862, 0, 1)
            )
        )
    ),
    ""
)</f>
        <v/>
      </c>
      <c r="S2862" s="385" t="str">
        <f>IFERROR(
    IF(
        OR(ISBLANK(N2862), ISBLANK(O2862)),
        "",
        MAX(
            1,
            IF(
                NETWORKDAYS(N2862, O2862, Holiday_Dates) &lt;= 0,
                1,
                NETWORKDAYS(N2862, O2862, Holiday_Dates) - IF(N2862 = O2862, 0, 1)
            )
        )
    ),
    ""
)</f>
        <v/>
      </c>
      <c r="T2862" s="385"/>
      <c r="U2862" s="385" t="s">
        <v>4</v>
      </c>
      <c r="V2862" s="385" t="s">
        <v>101</v>
      </c>
      <c r="W2862" s="385" t="s">
        <v>1436</v>
      </c>
      <c r="X2862" s="1"/>
    </row>
    <row r="2863" spans="1:24">
      <c r="A2863" s="385" t="s">
        <v>53</v>
      </c>
      <c r="B2863" s="385" t="s">
        <v>329</v>
      </c>
      <c r="C2863" s="385" t="s">
        <v>4333</v>
      </c>
      <c r="D2863" s="385" t="s">
        <v>89</v>
      </c>
      <c r="E2863" s="385"/>
      <c r="F2863" s="385"/>
      <c r="G2863" s="385"/>
      <c r="H2863" s="385">
        <v>2025</v>
      </c>
      <c r="I2863" s="386">
        <v>45883</v>
      </c>
      <c r="J2863" s="30" t="s">
        <v>5768</v>
      </c>
      <c r="K2863" s="385"/>
      <c r="L2863" s="385"/>
      <c r="M2863" s="385"/>
      <c r="N2863" s="385"/>
      <c r="O2863" s="385"/>
      <c r="P2863" s="385" t="str">
        <f>IFERROR(
    IF(
        OR(ISBLANK(I2863), ISBLANK(L2863)),
        "",
        MAX(
            1,
            IF(
                NETWORKDAYS(I2863, L2863, Holiday_Dates) &lt;= 0,
                1,
                NETWORKDAYS(I2863, L2863, Holiday_Dates) - IF(I2863 = L2863, 0, 1)
            )
        )
    ),
    ""
)</f>
        <v/>
      </c>
      <c r="Q2863" s="385" t="str">
        <f>IF(
    OR(ISBLANK(L2863), ISBLANK(M2863)),
    "",
    MAX(
        1,
        IF(
            NETWORKDAYS(L2863, M2863, Holiday_Dates) &lt;= 0,
            1,
            NETWORKDAYS(L2863, M2863, Holiday_Dates) - IF(L2863 = M2863, 0, 1)
        )
    )
)</f>
        <v/>
      </c>
      <c r="R2863" s="385" t="str">
        <f>IFERROR(
    IF(
        OR(ISBLANK(N2863), AND(ISBLANK(L2863), ISBLANK(M2863))),
        "",
        MAX(
            1,
            IF(
                NETWORKDAYS(IF(NOT(ISBLANK(M2863)), M2863, L2863), N2863, Holiday_Dates) &lt;= 0,
                1,
                NETWORKDAYS(IF(NOT(ISBLANK(M2863)), M2863, L2863), N2863, Holiday_Dates)
                - IF(IF(NOT(ISBLANK(M2863)), M2863, L2863) = N2863, 0, 1)
            )
        )
    ),
    ""
)</f>
        <v/>
      </c>
      <c r="S2863" s="385" t="str">
        <f>IFERROR(
    IF(
        OR(ISBLANK(N2863), ISBLANK(O2863)),
        "",
        MAX(
            1,
            IF(
                NETWORKDAYS(N2863, O2863, Holiday_Dates) &lt;= 0,
                1,
                NETWORKDAYS(N2863, O2863, Holiday_Dates) - IF(N2863 = O2863, 0, 1)
            )
        )
    ),
    ""
)</f>
        <v/>
      </c>
      <c r="T2863" s="385"/>
      <c r="U2863" s="385" t="s">
        <v>672</v>
      </c>
      <c r="V2863" s="385" t="s">
        <v>1676</v>
      </c>
      <c r="W2863" s="385" t="s">
        <v>1436</v>
      </c>
      <c r="X2863" s="1"/>
    </row>
    <row r="2864" spans="1:24">
      <c r="A2864" s="385" t="s">
        <v>53</v>
      </c>
      <c r="B2864" s="385" t="s">
        <v>329</v>
      </c>
      <c r="C2864" s="385" t="s">
        <v>4315</v>
      </c>
      <c r="D2864" s="385" t="s">
        <v>89</v>
      </c>
      <c r="E2864" s="385"/>
      <c r="F2864" s="385"/>
      <c r="G2864" s="385"/>
      <c r="H2864" s="385">
        <v>2025</v>
      </c>
      <c r="I2864" s="386">
        <v>45937</v>
      </c>
      <c r="J2864" s="30" t="s">
        <v>5769</v>
      </c>
      <c r="K2864" s="385"/>
      <c r="L2864" s="385"/>
      <c r="M2864" s="385"/>
      <c r="N2864" s="385"/>
      <c r="O2864" s="385"/>
      <c r="P2864" s="385" t="str">
        <f>IFERROR(
    IF(
        OR(ISBLANK(I2864), ISBLANK(L2864)),
        "",
        MAX(
            1,
            IF(
                NETWORKDAYS(I2864, L2864, Holiday_Dates) &lt;= 0,
                1,
                NETWORKDAYS(I2864, L2864, Holiday_Dates) - IF(I2864 = L2864, 0, 1)
            )
        )
    ),
    ""
)</f>
        <v/>
      </c>
      <c r="Q2864" s="385" t="str">
        <f>IF(
    OR(ISBLANK(L2864), ISBLANK(M2864)),
    "",
    MAX(
        1,
        IF(
            NETWORKDAYS(L2864, M2864, Holiday_Dates) &lt;= 0,
            1,
            NETWORKDAYS(L2864, M2864, Holiday_Dates) - IF(L2864 = M2864, 0, 1)
        )
    )
)</f>
        <v/>
      </c>
      <c r="R2864" s="385" t="str">
        <f>IFERROR(
    IF(
        OR(ISBLANK(N2864), AND(ISBLANK(L2864), ISBLANK(M2864))),
        "",
        MAX(
            1,
            IF(
                NETWORKDAYS(IF(NOT(ISBLANK(M2864)), M2864, L2864), N2864, Holiday_Dates) &lt;= 0,
                1,
                NETWORKDAYS(IF(NOT(ISBLANK(M2864)), M2864, L2864), N2864, Holiday_Dates)
                - IF(IF(NOT(ISBLANK(M2864)), M2864, L2864) = N2864, 0, 1)
            )
        )
    ),
    ""
)</f>
        <v/>
      </c>
      <c r="S2864" s="385" t="str">
        <f>IFERROR(
    IF(
        OR(ISBLANK(N2864), ISBLANK(O2864)),
        "",
        MAX(
            1,
            IF(
                NETWORKDAYS(N2864, O2864, Holiday_Dates) &lt;= 0,
                1,
                NETWORKDAYS(N2864, O2864, Holiday_Dates) - IF(N2864 = O2864, 0, 1)
            )
        )
    ),
    ""
)</f>
        <v/>
      </c>
      <c r="T2864" s="385"/>
      <c r="U2864" s="385" t="s">
        <v>4</v>
      </c>
      <c r="V2864" s="385" t="s">
        <v>101</v>
      </c>
      <c r="W2864" s="385" t="s">
        <v>1436</v>
      </c>
      <c r="X2864" s="1"/>
    </row>
    <row r="2865" spans="1:24">
      <c r="A2865" s="385" t="s">
        <v>53</v>
      </c>
      <c r="B2865" s="385" t="s">
        <v>329</v>
      </c>
      <c r="C2865" s="385" t="s">
        <v>4334</v>
      </c>
      <c r="D2865" s="385" t="s">
        <v>89</v>
      </c>
      <c r="E2865" s="385"/>
      <c r="F2865" s="385"/>
      <c r="G2865" s="385"/>
      <c r="H2865" s="385">
        <v>2025</v>
      </c>
      <c r="I2865" s="386">
        <v>45791</v>
      </c>
      <c r="J2865" s="30" t="s">
        <v>5770</v>
      </c>
      <c r="K2865" s="385"/>
      <c r="L2865" s="385"/>
      <c r="M2865" s="385"/>
      <c r="N2865" s="385"/>
      <c r="O2865" s="385"/>
      <c r="P2865" s="385" t="str">
        <f>IFERROR(
    IF(
        OR(ISBLANK(I2865), ISBLANK(L2865)),
        "",
        MAX(
            1,
            IF(
                NETWORKDAYS(I2865, L2865, Holiday_Dates) &lt;= 0,
                1,
                NETWORKDAYS(I2865, L2865, Holiday_Dates) - IF(I2865 = L2865, 0, 1)
            )
        )
    ),
    ""
)</f>
        <v/>
      </c>
      <c r="Q2865" s="385" t="str">
        <f>IF(
    OR(ISBLANK(L2865), ISBLANK(M2865)),
    "",
    MAX(
        1,
        IF(
            NETWORKDAYS(L2865, M2865, Holiday_Dates) &lt;= 0,
            1,
            NETWORKDAYS(L2865, M2865, Holiday_Dates) - IF(L2865 = M2865, 0, 1)
        )
    )
)</f>
        <v/>
      </c>
      <c r="R2865" s="385" t="str">
        <f>IFERROR(
    IF(
        OR(ISBLANK(N2865), AND(ISBLANK(L2865), ISBLANK(M2865))),
        "",
        MAX(
            1,
            IF(
                NETWORKDAYS(IF(NOT(ISBLANK(M2865)), M2865, L2865), N2865, Holiday_Dates) &lt;= 0,
                1,
                NETWORKDAYS(IF(NOT(ISBLANK(M2865)), M2865, L2865), N2865, Holiday_Dates)
                - IF(IF(NOT(ISBLANK(M2865)), M2865, L2865) = N2865, 0, 1)
            )
        )
    ),
    ""
)</f>
        <v/>
      </c>
      <c r="S2865" s="385" t="str">
        <f>IFERROR(
    IF(
        OR(ISBLANK(N2865), ISBLANK(O2865)),
        "",
        MAX(
            1,
            IF(
                NETWORKDAYS(N2865, O2865, Holiday_Dates) &lt;= 0,
                1,
                NETWORKDAYS(N2865, O2865, Holiday_Dates) - IF(N2865 = O2865, 0, 1)
            )
        )
    ),
    ""
)</f>
        <v/>
      </c>
      <c r="T2865" s="385"/>
      <c r="U2865" s="385" t="s">
        <v>4</v>
      </c>
      <c r="V2865" s="385" t="s">
        <v>101</v>
      </c>
      <c r="W2865" s="385" t="s">
        <v>1436</v>
      </c>
      <c r="X2865" s="1"/>
    </row>
    <row r="2866" spans="1:24">
      <c r="A2866" s="385" t="s">
        <v>53</v>
      </c>
      <c r="B2866" s="385" t="s">
        <v>329</v>
      </c>
      <c r="C2866" s="385" t="s">
        <v>1006</v>
      </c>
      <c r="D2866" s="385" t="s">
        <v>89</v>
      </c>
      <c r="E2866" s="385"/>
      <c r="F2866" s="385"/>
      <c r="G2866" s="385"/>
      <c r="H2866" s="385">
        <v>2025</v>
      </c>
      <c r="I2866" s="386">
        <v>45937</v>
      </c>
      <c r="J2866" s="30" t="s">
        <v>5771</v>
      </c>
      <c r="K2866" s="385"/>
      <c r="L2866" s="385"/>
      <c r="M2866" s="385"/>
      <c r="N2866" s="385"/>
      <c r="O2866" s="385"/>
      <c r="P2866" s="385" t="str">
        <f>IFERROR(
    IF(
        OR(ISBLANK(I2866), ISBLANK(L2866)),
        "",
        MAX(
            1,
            IF(
                NETWORKDAYS(I2866, L2866, Holiday_Dates) &lt;= 0,
                1,
                NETWORKDAYS(I2866, L2866, Holiday_Dates) - IF(I2866 = L2866, 0, 1)
            )
        )
    ),
    ""
)</f>
        <v/>
      </c>
      <c r="Q2866" s="385" t="str">
        <f>IF(
    OR(ISBLANK(L2866), ISBLANK(M2866)),
    "",
    MAX(
        1,
        IF(
            NETWORKDAYS(L2866, M2866, Holiday_Dates) &lt;= 0,
            1,
            NETWORKDAYS(L2866, M2866, Holiday_Dates) - IF(L2866 = M2866, 0, 1)
        )
    )
)</f>
        <v/>
      </c>
      <c r="R2866" s="385" t="str">
        <f>IFERROR(
    IF(
        OR(ISBLANK(N2866), AND(ISBLANK(L2866), ISBLANK(M2866))),
        "",
        MAX(
            1,
            IF(
                NETWORKDAYS(IF(NOT(ISBLANK(M2866)), M2866, L2866), N2866, Holiday_Dates) &lt;= 0,
                1,
                NETWORKDAYS(IF(NOT(ISBLANK(M2866)), M2866, L2866), N2866, Holiday_Dates)
                - IF(IF(NOT(ISBLANK(M2866)), M2866, L2866) = N2866, 0, 1)
            )
        )
    ),
    ""
)</f>
        <v/>
      </c>
      <c r="S2866" s="385" t="str">
        <f>IFERROR(
    IF(
        OR(ISBLANK(N2866), ISBLANK(O2866)),
        "",
        MAX(
            1,
            IF(
                NETWORKDAYS(N2866, O2866, Holiday_Dates) &lt;= 0,
                1,
                NETWORKDAYS(N2866, O2866, Holiday_Dates) - IF(N2866 = O2866, 0, 1)
            )
        )
    ),
    ""
)</f>
        <v/>
      </c>
      <c r="T2866" s="385"/>
      <c r="U2866" s="385" t="s">
        <v>672</v>
      </c>
      <c r="V2866" s="385" t="s">
        <v>101</v>
      </c>
      <c r="W2866" s="385" t="s">
        <v>1436</v>
      </c>
      <c r="X2866" s="1"/>
    </row>
    <row r="2867" spans="1:24">
      <c r="A2867" s="385" t="s">
        <v>53</v>
      </c>
      <c r="B2867" s="385" t="s">
        <v>329</v>
      </c>
      <c r="C2867" s="385" t="s">
        <v>2916</v>
      </c>
      <c r="D2867" s="385" t="s">
        <v>89</v>
      </c>
      <c r="E2867" s="385"/>
      <c r="F2867" s="385"/>
      <c r="G2867" s="385"/>
      <c r="H2867" s="385">
        <v>2025</v>
      </c>
      <c r="I2867" s="386">
        <v>45910</v>
      </c>
      <c r="J2867" s="30" t="s">
        <v>5772</v>
      </c>
      <c r="K2867" s="385"/>
      <c r="L2867" s="385"/>
      <c r="M2867" s="385"/>
      <c r="N2867" s="385"/>
      <c r="O2867" s="385"/>
      <c r="P2867" s="385" t="str">
        <f>IFERROR(
    IF(
        OR(ISBLANK(I2867), ISBLANK(L2867)),
        "",
        MAX(
            1,
            IF(
                NETWORKDAYS(I2867, L2867, Holiday_Dates) &lt;= 0,
                1,
                NETWORKDAYS(I2867, L2867, Holiday_Dates) - IF(I2867 = L2867, 0, 1)
            )
        )
    ),
    ""
)</f>
        <v/>
      </c>
      <c r="Q2867" s="385" t="str">
        <f>IF(
    OR(ISBLANK(L2867), ISBLANK(M2867)),
    "",
    MAX(
        1,
        IF(
            NETWORKDAYS(L2867, M2867, Holiday_Dates) &lt;= 0,
            1,
            NETWORKDAYS(L2867, M2867, Holiday_Dates) - IF(L2867 = M2867, 0, 1)
        )
    )
)</f>
        <v/>
      </c>
      <c r="R2867" s="385" t="str">
        <f>IFERROR(
    IF(
        OR(ISBLANK(N2867), AND(ISBLANK(L2867), ISBLANK(M2867))),
        "",
        MAX(
            1,
            IF(
                NETWORKDAYS(IF(NOT(ISBLANK(M2867)), M2867, L2867), N2867, Holiday_Dates) &lt;= 0,
                1,
                NETWORKDAYS(IF(NOT(ISBLANK(M2867)), M2867, L2867), N2867, Holiday_Dates)
                - IF(IF(NOT(ISBLANK(M2867)), M2867, L2867) = N2867, 0, 1)
            )
        )
    ),
    ""
)</f>
        <v/>
      </c>
      <c r="S2867" s="385" t="str">
        <f>IFERROR(
    IF(
        OR(ISBLANK(N2867), ISBLANK(O2867)),
        "",
        MAX(
            1,
            IF(
                NETWORKDAYS(N2867, O2867, Holiday_Dates) &lt;= 0,
                1,
                NETWORKDAYS(N2867, O2867, Holiday_Dates) - IF(N2867 = O2867, 0, 1)
            )
        )
    ),
    ""
)</f>
        <v/>
      </c>
      <c r="T2867" s="385"/>
      <c r="U2867" s="385" t="s">
        <v>672</v>
      </c>
      <c r="V2867" s="385" t="s">
        <v>1676</v>
      </c>
      <c r="W2867" s="385" t="s">
        <v>1436</v>
      </c>
      <c r="X2867" s="1"/>
    </row>
    <row r="2868" spans="1:24">
      <c r="A2868" s="385" t="s">
        <v>53</v>
      </c>
      <c r="B2868" s="385" t="s">
        <v>329</v>
      </c>
      <c r="C2868" s="385" t="s">
        <v>4316</v>
      </c>
      <c r="D2868" s="385" t="s">
        <v>89</v>
      </c>
      <c r="E2868" s="385"/>
      <c r="F2868" s="385"/>
      <c r="G2868" s="385"/>
      <c r="H2868" s="385">
        <v>2025</v>
      </c>
      <c r="I2868" s="386">
        <v>45937</v>
      </c>
      <c r="J2868" s="30" t="s">
        <v>5773</v>
      </c>
      <c r="K2868" s="385"/>
      <c r="L2868" s="385"/>
      <c r="M2868" s="385"/>
      <c r="N2868" s="385"/>
      <c r="O2868" s="385"/>
      <c r="P2868" s="385" t="str">
        <f>IFERROR(
    IF(
        OR(ISBLANK(I2868), ISBLANK(L2868)),
        "",
        MAX(
            1,
            IF(
                NETWORKDAYS(I2868, L2868, Holiday_Dates) &lt;= 0,
                1,
                NETWORKDAYS(I2868, L2868, Holiday_Dates) - IF(I2868 = L2868, 0, 1)
            )
        )
    ),
    ""
)</f>
        <v/>
      </c>
      <c r="Q2868" s="385" t="str">
        <f>IF(
    OR(ISBLANK(L2868), ISBLANK(M2868)),
    "",
    MAX(
        1,
        IF(
            NETWORKDAYS(L2868, M2868, Holiday_Dates) &lt;= 0,
            1,
            NETWORKDAYS(L2868, M2868, Holiday_Dates) - IF(L2868 = M2868, 0, 1)
        )
    )
)</f>
        <v/>
      </c>
      <c r="R2868" s="385" t="str">
        <f>IFERROR(
    IF(
        OR(ISBLANK(N2868), AND(ISBLANK(L2868), ISBLANK(M2868))),
        "",
        MAX(
            1,
            IF(
                NETWORKDAYS(IF(NOT(ISBLANK(M2868)), M2868, L2868), N2868, Holiday_Dates) &lt;= 0,
                1,
                NETWORKDAYS(IF(NOT(ISBLANK(M2868)), M2868, L2868), N2868, Holiday_Dates)
                - IF(IF(NOT(ISBLANK(M2868)), M2868, L2868) = N2868, 0, 1)
            )
        )
    ),
    ""
)</f>
        <v/>
      </c>
      <c r="S2868" s="385" t="str">
        <f>IFERROR(
    IF(
        OR(ISBLANK(N2868), ISBLANK(O2868)),
        "",
        MAX(
            1,
            IF(
                NETWORKDAYS(N2868, O2868, Holiday_Dates) &lt;= 0,
                1,
                NETWORKDAYS(N2868, O2868, Holiday_Dates) - IF(N2868 = O2868, 0, 1)
            )
        )
    ),
    ""
)</f>
        <v/>
      </c>
      <c r="T2868" s="385"/>
      <c r="U2868" s="385" t="s">
        <v>4</v>
      </c>
      <c r="V2868" s="385" t="s">
        <v>101</v>
      </c>
      <c r="W2868" s="385" t="s">
        <v>1436</v>
      </c>
      <c r="X2868" s="1"/>
    </row>
    <row r="2869" spans="1:24">
      <c r="A2869" s="385" t="s">
        <v>53</v>
      </c>
      <c r="B2869" s="385" t="s">
        <v>329</v>
      </c>
      <c r="C2869" s="385" t="s">
        <v>3898</v>
      </c>
      <c r="D2869" s="385" t="s">
        <v>89</v>
      </c>
      <c r="E2869" s="385"/>
      <c r="F2869" s="385"/>
      <c r="G2869" s="385"/>
      <c r="H2869" s="385">
        <v>2025</v>
      </c>
      <c r="I2869" s="386">
        <v>45791</v>
      </c>
      <c r="J2869" s="30" t="s">
        <v>5774</v>
      </c>
      <c r="K2869" s="385"/>
      <c r="L2869" s="385"/>
      <c r="M2869" s="385"/>
      <c r="N2869" s="385"/>
      <c r="O2869" s="385"/>
      <c r="P2869" s="385" t="str">
        <f>IFERROR(
    IF(
        OR(ISBLANK(I2869), ISBLANK(L2869)),
        "",
        MAX(
            1,
            IF(
                NETWORKDAYS(I2869, L2869, Holiday_Dates) &lt;= 0,
                1,
                NETWORKDAYS(I2869, L2869, Holiday_Dates) - IF(I2869 = L2869, 0, 1)
            )
        )
    ),
    ""
)</f>
        <v/>
      </c>
      <c r="Q2869" s="385" t="str">
        <f>IF(
    OR(ISBLANK(L2869), ISBLANK(M2869)),
    "",
    MAX(
        1,
        IF(
            NETWORKDAYS(L2869, M2869, Holiday_Dates) &lt;= 0,
            1,
            NETWORKDAYS(L2869, M2869, Holiday_Dates) - IF(L2869 = M2869, 0, 1)
        )
    )
)</f>
        <v/>
      </c>
      <c r="R2869" s="385" t="str">
        <f>IFERROR(
    IF(
        OR(ISBLANK(N2869), AND(ISBLANK(L2869), ISBLANK(M2869))),
        "",
        MAX(
            1,
            IF(
                NETWORKDAYS(IF(NOT(ISBLANK(M2869)), M2869, L2869), N2869, Holiday_Dates) &lt;= 0,
                1,
                NETWORKDAYS(IF(NOT(ISBLANK(M2869)), M2869, L2869), N2869, Holiday_Dates)
                - IF(IF(NOT(ISBLANK(M2869)), M2869, L2869) = N2869, 0, 1)
            )
        )
    ),
    ""
)</f>
        <v/>
      </c>
      <c r="S2869" s="385" t="str">
        <f>IFERROR(
    IF(
        OR(ISBLANK(N2869), ISBLANK(O2869)),
        "",
        MAX(
            1,
            IF(
                NETWORKDAYS(N2869, O2869, Holiday_Dates) &lt;= 0,
                1,
                NETWORKDAYS(N2869, O2869, Holiday_Dates) - IF(N2869 = O2869, 0, 1)
            )
        )
    ),
    ""
)</f>
        <v/>
      </c>
      <c r="T2869" s="385"/>
      <c r="U2869" s="385" t="s">
        <v>4</v>
      </c>
      <c r="V2869" s="385" t="s">
        <v>101</v>
      </c>
      <c r="W2869" s="385" t="s">
        <v>1436</v>
      </c>
      <c r="X2869" s="1"/>
    </row>
    <row r="2870" spans="1:24">
      <c r="A2870" s="385" t="s">
        <v>53</v>
      </c>
      <c r="B2870" s="385" t="s">
        <v>329</v>
      </c>
      <c r="C2870" s="385" t="s">
        <v>4317</v>
      </c>
      <c r="D2870" s="385" t="s">
        <v>89</v>
      </c>
      <c r="E2870" s="385"/>
      <c r="F2870" s="385"/>
      <c r="G2870" s="385"/>
      <c r="H2870" s="385">
        <v>2025</v>
      </c>
      <c r="I2870" s="386">
        <v>45937</v>
      </c>
      <c r="J2870" s="30" t="s">
        <v>5775</v>
      </c>
      <c r="K2870" s="385"/>
      <c r="L2870" s="385"/>
      <c r="M2870" s="385"/>
      <c r="N2870" s="385"/>
      <c r="O2870" s="385"/>
      <c r="P2870" s="385" t="str">
        <f>IFERROR(
    IF(
        OR(ISBLANK(I2870), ISBLANK(L2870)),
        "",
        MAX(
            1,
            IF(
                NETWORKDAYS(I2870, L2870, Holiday_Dates) &lt;= 0,
                1,
                NETWORKDAYS(I2870, L2870, Holiday_Dates) - IF(I2870 = L2870, 0, 1)
            )
        )
    ),
    ""
)</f>
        <v/>
      </c>
      <c r="Q2870" s="385" t="str">
        <f>IF(
    OR(ISBLANK(L2870), ISBLANK(M2870)),
    "",
    MAX(
        1,
        IF(
            NETWORKDAYS(L2870, M2870, Holiday_Dates) &lt;= 0,
            1,
            NETWORKDAYS(L2870, M2870, Holiday_Dates) - IF(L2870 = M2870, 0, 1)
        )
    )
)</f>
        <v/>
      </c>
      <c r="R2870" s="385" t="str">
        <f>IFERROR(
    IF(
        OR(ISBLANK(N2870), AND(ISBLANK(L2870), ISBLANK(M2870))),
        "",
        MAX(
            1,
            IF(
                NETWORKDAYS(IF(NOT(ISBLANK(M2870)), M2870, L2870), N2870, Holiday_Dates) &lt;= 0,
                1,
                NETWORKDAYS(IF(NOT(ISBLANK(M2870)), M2870, L2870), N2870, Holiday_Dates)
                - IF(IF(NOT(ISBLANK(M2870)), M2870, L2870) = N2870, 0, 1)
            )
        )
    ),
    ""
)</f>
        <v/>
      </c>
      <c r="S2870" s="385" t="str">
        <f>IFERROR(
    IF(
        OR(ISBLANK(N2870), ISBLANK(O2870)),
        "",
        MAX(
            1,
            IF(
                NETWORKDAYS(N2870, O2870, Holiday_Dates) &lt;= 0,
                1,
                NETWORKDAYS(N2870, O2870, Holiday_Dates) - IF(N2870 = O2870, 0, 1)
            )
        )
    ),
    ""
)</f>
        <v/>
      </c>
      <c r="T2870" s="385"/>
      <c r="U2870" s="385" t="s">
        <v>4</v>
      </c>
      <c r="V2870" s="385" t="s">
        <v>101</v>
      </c>
      <c r="W2870" s="385" t="s">
        <v>1436</v>
      </c>
      <c r="X2870" s="1"/>
    </row>
    <row r="2871" spans="1:24">
      <c r="A2871" s="385" t="s">
        <v>53</v>
      </c>
      <c r="B2871" s="385" t="s">
        <v>329</v>
      </c>
      <c r="C2871" s="385" t="s">
        <v>4318</v>
      </c>
      <c r="D2871" s="385" t="s">
        <v>89</v>
      </c>
      <c r="E2871" s="385"/>
      <c r="F2871" s="385"/>
      <c r="G2871" s="385"/>
      <c r="H2871" s="385">
        <v>2025</v>
      </c>
      <c r="I2871" s="386">
        <v>45883</v>
      </c>
      <c r="J2871" s="30" t="s">
        <v>5776</v>
      </c>
      <c r="K2871" s="385"/>
      <c r="L2871" s="385"/>
      <c r="M2871" s="385"/>
      <c r="N2871" s="385"/>
      <c r="O2871" s="385"/>
      <c r="P2871" s="385" t="str">
        <f>IFERROR(
    IF(
        OR(ISBLANK(I2871), ISBLANK(L2871)),
        "",
        MAX(
            1,
            IF(
                NETWORKDAYS(I2871, L2871, Holiday_Dates) &lt;= 0,
                1,
                NETWORKDAYS(I2871, L2871, Holiday_Dates) - IF(I2871 = L2871, 0, 1)
            )
        )
    ),
    ""
)</f>
        <v/>
      </c>
      <c r="Q2871" s="385" t="str">
        <f>IF(
    OR(ISBLANK(L2871), ISBLANK(M2871)),
    "",
    MAX(
        1,
        IF(
            NETWORKDAYS(L2871, M2871, Holiday_Dates) &lt;= 0,
            1,
            NETWORKDAYS(L2871, M2871, Holiday_Dates) - IF(L2871 = M2871, 0, 1)
        )
    )
)</f>
        <v/>
      </c>
      <c r="R2871" s="385" t="str">
        <f>IFERROR(
    IF(
        OR(ISBLANK(N2871), AND(ISBLANK(L2871), ISBLANK(M2871))),
        "",
        MAX(
            1,
            IF(
                NETWORKDAYS(IF(NOT(ISBLANK(M2871)), M2871, L2871), N2871, Holiday_Dates) &lt;= 0,
                1,
                NETWORKDAYS(IF(NOT(ISBLANK(M2871)), M2871, L2871), N2871, Holiday_Dates)
                - IF(IF(NOT(ISBLANK(M2871)), M2871, L2871) = N2871, 0, 1)
            )
        )
    ),
    ""
)</f>
        <v/>
      </c>
      <c r="S2871" s="385" t="str">
        <f>IFERROR(
    IF(
        OR(ISBLANK(N2871), ISBLANK(O2871)),
        "",
        MAX(
            1,
            IF(
                NETWORKDAYS(N2871, O2871, Holiday_Dates) &lt;= 0,
                1,
                NETWORKDAYS(N2871, O2871, Holiday_Dates) - IF(N2871 = O2871, 0, 1)
            )
        )
    ),
    ""
)</f>
        <v/>
      </c>
      <c r="T2871" s="385"/>
      <c r="U2871" s="385" t="s">
        <v>672</v>
      </c>
      <c r="V2871" s="385" t="s">
        <v>101</v>
      </c>
      <c r="W2871" s="385" t="s">
        <v>1436</v>
      </c>
      <c r="X2871" s="1"/>
    </row>
    <row r="2872" spans="1:24">
      <c r="A2872" s="385" t="s">
        <v>53</v>
      </c>
      <c r="B2872" s="385" t="s">
        <v>329</v>
      </c>
      <c r="C2872" s="385" t="s">
        <v>4335</v>
      </c>
      <c r="D2872" s="385" t="s">
        <v>89</v>
      </c>
      <c r="E2872" s="385"/>
      <c r="F2872" s="385"/>
      <c r="G2872" s="385"/>
      <c r="H2872" s="385">
        <v>2025</v>
      </c>
      <c r="I2872" s="386">
        <v>45910</v>
      </c>
      <c r="J2872" s="30" t="s">
        <v>5777</v>
      </c>
      <c r="K2872" s="385"/>
      <c r="L2872" s="385"/>
      <c r="M2872" s="385"/>
      <c r="N2872" s="385"/>
      <c r="O2872" s="385"/>
      <c r="P2872" s="385" t="str">
        <f>IFERROR(
    IF(
        OR(ISBLANK(I2872), ISBLANK(L2872)),
        "",
        MAX(
            1,
            IF(
                NETWORKDAYS(I2872, L2872, Holiday_Dates) &lt;= 0,
                1,
                NETWORKDAYS(I2872, L2872, Holiday_Dates) - IF(I2872 = L2872, 0, 1)
            )
        )
    ),
    ""
)</f>
        <v/>
      </c>
      <c r="Q2872" s="385" t="str">
        <f>IF(
    OR(ISBLANK(L2872), ISBLANK(M2872)),
    "",
    MAX(
        1,
        IF(
            NETWORKDAYS(L2872, M2872, Holiday_Dates) &lt;= 0,
            1,
            NETWORKDAYS(L2872, M2872, Holiday_Dates) - IF(L2872 = M2872, 0, 1)
        )
    )
)</f>
        <v/>
      </c>
      <c r="R2872" s="385" t="str">
        <f>IFERROR(
    IF(
        OR(ISBLANK(N2872), AND(ISBLANK(L2872), ISBLANK(M2872))),
        "",
        MAX(
            1,
            IF(
                NETWORKDAYS(IF(NOT(ISBLANK(M2872)), M2872, L2872), N2872, Holiday_Dates) &lt;= 0,
                1,
                NETWORKDAYS(IF(NOT(ISBLANK(M2872)), M2872, L2872), N2872, Holiday_Dates)
                - IF(IF(NOT(ISBLANK(M2872)), M2872, L2872) = N2872, 0, 1)
            )
        )
    ),
    ""
)</f>
        <v/>
      </c>
      <c r="S2872" s="385" t="str">
        <f>IFERROR(
    IF(
        OR(ISBLANK(N2872), ISBLANK(O2872)),
        "",
        MAX(
            1,
            IF(
                NETWORKDAYS(N2872, O2872, Holiday_Dates) &lt;= 0,
                1,
                NETWORKDAYS(N2872, O2872, Holiday_Dates) - IF(N2872 = O2872, 0, 1)
            )
        )
    ),
    ""
)</f>
        <v/>
      </c>
      <c r="T2872" s="385"/>
      <c r="U2872" s="385" t="s">
        <v>4</v>
      </c>
      <c r="V2872" s="385" t="s">
        <v>101</v>
      </c>
      <c r="W2872" s="385" t="s">
        <v>1436</v>
      </c>
      <c r="X2872" s="1"/>
    </row>
    <row r="2873" spans="1:24">
      <c r="A2873" s="385" t="s">
        <v>53</v>
      </c>
      <c r="B2873" s="385" t="s">
        <v>329</v>
      </c>
      <c r="C2873" s="385" t="s">
        <v>1029</v>
      </c>
      <c r="D2873" s="385" t="s">
        <v>89</v>
      </c>
      <c r="E2873" s="385"/>
      <c r="F2873" s="385"/>
      <c r="G2873" s="385"/>
      <c r="H2873" s="385">
        <v>2025</v>
      </c>
      <c r="I2873" s="386">
        <v>45937</v>
      </c>
      <c r="J2873" s="30" t="s">
        <v>5778</v>
      </c>
      <c r="K2873" s="385"/>
      <c r="L2873" s="385"/>
      <c r="M2873" s="385"/>
      <c r="N2873" s="385"/>
      <c r="O2873" s="385"/>
      <c r="P2873" s="385" t="str">
        <f>IFERROR(
    IF(
        OR(ISBLANK(I2873), ISBLANK(L2873)),
        "",
        MAX(
            1,
            IF(
                NETWORKDAYS(I2873, L2873, Holiday_Dates) &lt;= 0,
                1,
                NETWORKDAYS(I2873, L2873, Holiday_Dates) - IF(I2873 = L2873, 0, 1)
            )
        )
    ),
    ""
)</f>
        <v/>
      </c>
      <c r="Q2873" s="385" t="str">
        <f>IF(
    OR(ISBLANK(L2873), ISBLANK(M2873)),
    "",
    MAX(
        1,
        IF(
            NETWORKDAYS(L2873, M2873, Holiday_Dates) &lt;= 0,
            1,
            NETWORKDAYS(L2873, M2873, Holiday_Dates) - IF(L2873 = M2873, 0, 1)
        )
    )
)</f>
        <v/>
      </c>
      <c r="R2873" s="385" t="str">
        <f>IFERROR(
    IF(
        OR(ISBLANK(N2873), AND(ISBLANK(L2873), ISBLANK(M2873))),
        "",
        MAX(
            1,
            IF(
                NETWORKDAYS(IF(NOT(ISBLANK(M2873)), M2873, L2873), N2873, Holiday_Dates) &lt;= 0,
                1,
                NETWORKDAYS(IF(NOT(ISBLANK(M2873)), M2873, L2873), N2873, Holiday_Dates)
                - IF(IF(NOT(ISBLANK(M2873)), M2873, L2873) = N2873, 0, 1)
            )
        )
    ),
    ""
)</f>
        <v/>
      </c>
      <c r="S2873" s="385" t="str">
        <f>IFERROR(
    IF(
        OR(ISBLANK(N2873), ISBLANK(O2873)),
        "",
        MAX(
            1,
            IF(
                NETWORKDAYS(N2873, O2873, Holiday_Dates) &lt;= 0,
                1,
                NETWORKDAYS(N2873, O2873, Holiday_Dates) - IF(N2873 = O2873, 0, 1)
            )
        )
    ),
    ""
)</f>
        <v/>
      </c>
      <c r="T2873" s="385"/>
      <c r="U2873" s="385" t="s">
        <v>672</v>
      </c>
      <c r="V2873" s="385" t="s">
        <v>101</v>
      </c>
      <c r="W2873" s="385" t="s">
        <v>1436</v>
      </c>
      <c r="X2873" s="1"/>
    </row>
    <row r="2874" spans="1:24">
      <c r="A2874" s="385" t="s">
        <v>53</v>
      </c>
      <c r="B2874" s="385" t="s">
        <v>329</v>
      </c>
      <c r="C2874" s="385" t="s">
        <v>4319</v>
      </c>
      <c r="D2874" s="385" t="s">
        <v>89</v>
      </c>
      <c r="E2874" s="385"/>
      <c r="F2874" s="385"/>
      <c r="G2874" s="385"/>
      <c r="H2874" s="385">
        <v>2025</v>
      </c>
      <c r="I2874" s="386">
        <v>45937</v>
      </c>
      <c r="J2874" s="30" t="s">
        <v>5779</v>
      </c>
      <c r="K2874" s="385"/>
      <c r="L2874" s="385"/>
      <c r="M2874" s="385"/>
      <c r="N2874" s="385"/>
      <c r="O2874" s="385"/>
      <c r="P2874" s="385" t="str">
        <f>IFERROR(
    IF(
        OR(ISBLANK(I2874), ISBLANK(L2874)),
        "",
        MAX(
            1,
            IF(
                NETWORKDAYS(I2874, L2874, Holiday_Dates) &lt;= 0,
                1,
                NETWORKDAYS(I2874, L2874, Holiday_Dates) - IF(I2874 = L2874, 0, 1)
            )
        )
    ),
    ""
)</f>
        <v/>
      </c>
      <c r="Q2874" s="385" t="str">
        <f>IF(
    OR(ISBLANK(L2874), ISBLANK(M2874)),
    "",
    MAX(
        1,
        IF(
            NETWORKDAYS(L2874, M2874, Holiday_Dates) &lt;= 0,
            1,
            NETWORKDAYS(L2874, M2874, Holiday_Dates) - IF(L2874 = M2874, 0, 1)
        )
    )
)</f>
        <v/>
      </c>
      <c r="R2874" s="385" t="str">
        <f>IFERROR(
    IF(
        OR(ISBLANK(N2874), AND(ISBLANK(L2874), ISBLANK(M2874))),
        "",
        MAX(
            1,
            IF(
                NETWORKDAYS(IF(NOT(ISBLANK(M2874)), M2874, L2874), N2874, Holiday_Dates) &lt;= 0,
                1,
                NETWORKDAYS(IF(NOT(ISBLANK(M2874)), M2874, L2874), N2874, Holiday_Dates)
                - IF(IF(NOT(ISBLANK(M2874)), M2874, L2874) = N2874, 0, 1)
            )
        )
    ),
    ""
)</f>
        <v/>
      </c>
      <c r="S2874" s="385" t="str">
        <f>IFERROR(
    IF(
        OR(ISBLANK(N2874), ISBLANK(O2874)),
        "",
        MAX(
            1,
            IF(
                NETWORKDAYS(N2874, O2874, Holiday_Dates) &lt;= 0,
                1,
                NETWORKDAYS(N2874, O2874, Holiday_Dates) - IF(N2874 = O2874, 0, 1)
            )
        )
    ),
    ""
)</f>
        <v/>
      </c>
      <c r="T2874" s="385"/>
      <c r="U2874" s="385" t="s">
        <v>672</v>
      </c>
      <c r="V2874" s="385" t="s">
        <v>101</v>
      </c>
      <c r="W2874" s="385" t="s">
        <v>1436</v>
      </c>
      <c r="X2874" s="1"/>
    </row>
    <row r="2875" spans="1:24">
      <c r="A2875" s="385" t="s">
        <v>53</v>
      </c>
      <c r="B2875" s="385" t="s">
        <v>329</v>
      </c>
      <c r="C2875" s="385" t="s">
        <v>4336</v>
      </c>
      <c r="D2875" s="385" t="s">
        <v>89</v>
      </c>
      <c r="E2875" s="385"/>
      <c r="F2875" s="385"/>
      <c r="G2875" s="385"/>
      <c r="H2875" s="385">
        <v>2025</v>
      </c>
      <c r="I2875" s="386">
        <v>45937</v>
      </c>
      <c r="J2875" s="30" t="s">
        <v>5780</v>
      </c>
      <c r="K2875" s="385"/>
      <c r="L2875" s="385"/>
      <c r="M2875" s="385"/>
      <c r="N2875" s="385"/>
      <c r="O2875" s="385"/>
      <c r="P2875" s="385" t="str">
        <f>IFERROR(
    IF(
        OR(ISBLANK(I2875), ISBLANK(L2875)),
        "",
        MAX(
            1,
            IF(
                NETWORKDAYS(I2875, L2875, Holiday_Dates) &lt;= 0,
                1,
                NETWORKDAYS(I2875, L2875, Holiday_Dates) - IF(I2875 = L2875, 0, 1)
            )
        )
    ),
    ""
)</f>
        <v/>
      </c>
      <c r="Q2875" s="385" t="str">
        <f>IF(
    OR(ISBLANK(L2875), ISBLANK(M2875)),
    "",
    MAX(
        1,
        IF(
            NETWORKDAYS(L2875, M2875, Holiday_Dates) &lt;= 0,
            1,
            NETWORKDAYS(L2875, M2875, Holiday_Dates) - IF(L2875 = M2875, 0, 1)
        )
    )
)</f>
        <v/>
      </c>
      <c r="R2875" s="385" t="str">
        <f>IFERROR(
    IF(
        OR(ISBLANK(N2875), AND(ISBLANK(L2875), ISBLANK(M2875))),
        "",
        MAX(
            1,
            IF(
                NETWORKDAYS(IF(NOT(ISBLANK(M2875)), M2875, L2875), N2875, Holiday_Dates) &lt;= 0,
                1,
                NETWORKDAYS(IF(NOT(ISBLANK(M2875)), M2875, L2875), N2875, Holiday_Dates)
                - IF(IF(NOT(ISBLANK(M2875)), M2875, L2875) = N2875, 0, 1)
            )
        )
    ),
    ""
)</f>
        <v/>
      </c>
      <c r="S2875" s="385" t="str">
        <f>IFERROR(
    IF(
        OR(ISBLANK(N2875), ISBLANK(O2875)),
        "",
        MAX(
            1,
            IF(
                NETWORKDAYS(N2875, O2875, Holiday_Dates) &lt;= 0,
                1,
                NETWORKDAYS(N2875, O2875, Holiday_Dates) - IF(N2875 = O2875, 0, 1)
            )
        )
    ),
    ""
)</f>
        <v/>
      </c>
      <c r="T2875" s="385"/>
      <c r="U2875" s="385" t="s">
        <v>672</v>
      </c>
      <c r="V2875" s="385" t="s">
        <v>101</v>
      </c>
      <c r="W2875" s="385" t="s">
        <v>1436</v>
      </c>
      <c r="X2875" s="1"/>
    </row>
    <row r="2876" spans="1:24">
      <c r="A2876" s="385" t="s">
        <v>53</v>
      </c>
      <c r="B2876" s="385" t="s">
        <v>329</v>
      </c>
      <c r="C2876" s="385" t="s">
        <v>4337</v>
      </c>
      <c r="D2876" s="385" t="s">
        <v>89</v>
      </c>
      <c r="E2876" s="385"/>
      <c r="F2876" s="385"/>
      <c r="G2876" s="385"/>
      <c r="H2876" s="385">
        <v>2025</v>
      </c>
      <c r="I2876" s="386">
        <v>45883</v>
      </c>
      <c r="J2876" s="30" t="s">
        <v>5781</v>
      </c>
      <c r="K2876" s="385"/>
      <c r="L2876" s="385"/>
      <c r="M2876" s="385"/>
      <c r="N2876" s="385"/>
      <c r="O2876" s="385"/>
      <c r="P2876" s="385" t="str">
        <f>IFERROR(
    IF(
        OR(ISBLANK(I2876), ISBLANK(L2876)),
        "",
        MAX(
            1,
            IF(
                NETWORKDAYS(I2876, L2876, Holiday_Dates) &lt;= 0,
                1,
                NETWORKDAYS(I2876, L2876, Holiday_Dates) - IF(I2876 = L2876, 0, 1)
            )
        )
    ),
    ""
)</f>
        <v/>
      </c>
      <c r="Q2876" s="385" t="str">
        <f>IF(
    OR(ISBLANK(L2876), ISBLANK(M2876)),
    "",
    MAX(
        1,
        IF(
            NETWORKDAYS(L2876, M2876, Holiday_Dates) &lt;= 0,
            1,
            NETWORKDAYS(L2876, M2876, Holiday_Dates) - IF(L2876 = M2876, 0, 1)
        )
    )
)</f>
        <v/>
      </c>
      <c r="R2876" s="385" t="str">
        <f>IFERROR(
    IF(
        OR(ISBLANK(N2876), AND(ISBLANK(L2876), ISBLANK(M2876))),
        "",
        MAX(
            1,
            IF(
                NETWORKDAYS(IF(NOT(ISBLANK(M2876)), M2876, L2876), N2876, Holiday_Dates) &lt;= 0,
                1,
                NETWORKDAYS(IF(NOT(ISBLANK(M2876)), M2876, L2876), N2876, Holiday_Dates)
                - IF(IF(NOT(ISBLANK(M2876)), M2876, L2876) = N2876, 0, 1)
            )
        )
    ),
    ""
)</f>
        <v/>
      </c>
      <c r="S2876" s="385" t="str">
        <f>IFERROR(
    IF(
        OR(ISBLANK(N2876), ISBLANK(O2876)),
        "",
        MAX(
            1,
            IF(
                NETWORKDAYS(N2876, O2876, Holiday_Dates) &lt;= 0,
                1,
                NETWORKDAYS(N2876, O2876, Holiday_Dates) - IF(N2876 = O2876, 0, 1)
            )
        )
    ),
    ""
)</f>
        <v/>
      </c>
      <c r="T2876" s="385"/>
      <c r="U2876" s="385" t="s">
        <v>672</v>
      </c>
      <c r="V2876" s="385" t="s">
        <v>1676</v>
      </c>
      <c r="W2876" s="385" t="s">
        <v>1436</v>
      </c>
      <c r="X2876" s="1"/>
    </row>
    <row r="2877" spans="1:24">
      <c r="A2877" s="385" t="s">
        <v>53</v>
      </c>
      <c r="B2877" s="385" t="s">
        <v>329</v>
      </c>
      <c r="C2877" s="385" t="s">
        <v>4320</v>
      </c>
      <c r="D2877" s="385" t="s">
        <v>89</v>
      </c>
      <c r="E2877" s="385"/>
      <c r="F2877" s="385"/>
      <c r="G2877" s="385"/>
      <c r="H2877" s="385">
        <v>2024</v>
      </c>
      <c r="I2877" s="386">
        <v>45602</v>
      </c>
      <c r="J2877" s="30"/>
      <c r="K2877" s="385"/>
      <c r="L2877" s="385"/>
      <c r="M2877" s="385"/>
      <c r="N2877" s="385"/>
      <c r="O2877" s="385"/>
      <c r="P2877" s="385" t="str">
        <f>IFERROR(
    IF(
        OR(ISBLANK(I2877), ISBLANK(L2877)),
        "",
        MAX(
            1,
            IF(
                NETWORKDAYS(I2877, L2877, Holiday_Dates) &lt;= 0,
                1,
                NETWORKDAYS(I2877, L2877, Holiday_Dates) - IF(I2877 = L2877, 0, 1)
            )
        )
    ),
    ""
)</f>
        <v/>
      </c>
      <c r="Q2877" s="385" t="str">
        <f>IF(
    OR(ISBLANK(L2877), ISBLANK(M2877)),
    "",
    MAX(
        1,
        IF(
            NETWORKDAYS(L2877, M2877, Holiday_Dates) &lt;= 0,
            1,
            NETWORKDAYS(L2877, M2877, Holiday_Dates) - IF(L2877 = M2877, 0, 1)
        )
    )
)</f>
        <v/>
      </c>
      <c r="R2877" s="385" t="str">
        <f>IFERROR(
    IF(
        OR(ISBLANK(N2877), AND(ISBLANK(L2877), ISBLANK(M2877))),
        "",
        MAX(
            1,
            IF(
                NETWORKDAYS(IF(NOT(ISBLANK(M2877)), M2877, L2877), N2877, Holiday_Dates) &lt;= 0,
                1,
                NETWORKDAYS(IF(NOT(ISBLANK(M2877)), M2877, L2877), N2877, Holiday_Dates)
                - IF(IF(NOT(ISBLANK(M2877)), M2877, L2877) = N2877, 0, 1)
            )
        )
    ),
    ""
)</f>
        <v/>
      </c>
      <c r="S2877" s="385" t="str">
        <f>IFERROR(
    IF(
        OR(ISBLANK(N2877), ISBLANK(O2877)),
        "",
        MAX(
            1,
            IF(
                NETWORKDAYS(N2877, O2877, Holiday_Dates) &lt;= 0,
                1,
                NETWORKDAYS(N2877, O2877, Holiday_Dates) - IF(N2877 = O2877, 0, 1)
            )
        )
    ),
    ""
)</f>
        <v/>
      </c>
      <c r="T2877" s="385"/>
      <c r="U2877" s="385" t="s">
        <v>4</v>
      </c>
      <c r="V2877" s="385" t="s">
        <v>101</v>
      </c>
      <c r="W2877" s="385" t="s">
        <v>1436</v>
      </c>
      <c r="X2877" s="1"/>
    </row>
    <row r="2878" spans="1:24">
      <c r="A2878" s="385" t="s">
        <v>53</v>
      </c>
      <c r="B2878" s="385" t="s">
        <v>329</v>
      </c>
      <c r="C2878" s="385" t="s">
        <v>4338</v>
      </c>
      <c r="D2878" s="385" t="s">
        <v>89</v>
      </c>
      <c r="E2878" s="385"/>
      <c r="F2878" s="385"/>
      <c r="G2878" s="385"/>
      <c r="H2878" s="385">
        <v>2025</v>
      </c>
      <c r="I2878" s="386">
        <v>45883</v>
      </c>
      <c r="J2878" s="30" t="s">
        <v>5782</v>
      </c>
      <c r="K2878" s="385"/>
      <c r="L2878" s="385"/>
      <c r="M2878" s="385"/>
      <c r="N2878" s="385"/>
      <c r="O2878" s="385"/>
      <c r="P2878" s="385" t="str">
        <f>IFERROR(
    IF(
        OR(ISBLANK(I2878), ISBLANK(L2878)),
        "",
        MAX(
            1,
            IF(
                NETWORKDAYS(I2878, L2878, Holiday_Dates) &lt;= 0,
                1,
                NETWORKDAYS(I2878, L2878, Holiday_Dates) - IF(I2878 = L2878, 0, 1)
            )
        )
    ),
    ""
)</f>
        <v/>
      </c>
      <c r="Q2878" s="385" t="str">
        <f>IF(
    OR(ISBLANK(L2878), ISBLANK(M2878)),
    "",
    MAX(
        1,
        IF(
            NETWORKDAYS(L2878, M2878, Holiday_Dates) &lt;= 0,
            1,
            NETWORKDAYS(L2878, M2878, Holiday_Dates) - IF(L2878 = M2878, 0, 1)
        )
    )
)</f>
        <v/>
      </c>
      <c r="R2878" s="385" t="str">
        <f>IFERROR(
    IF(
        OR(ISBLANK(N2878), AND(ISBLANK(L2878), ISBLANK(M2878))),
        "",
        MAX(
            1,
            IF(
                NETWORKDAYS(IF(NOT(ISBLANK(M2878)), M2878, L2878), N2878, Holiday_Dates) &lt;= 0,
                1,
                NETWORKDAYS(IF(NOT(ISBLANK(M2878)), M2878, L2878), N2878, Holiday_Dates)
                - IF(IF(NOT(ISBLANK(M2878)), M2878, L2878) = N2878, 0, 1)
            )
        )
    ),
    ""
)</f>
        <v/>
      </c>
      <c r="S2878" s="385" t="str">
        <f>IFERROR(
    IF(
        OR(ISBLANK(N2878), ISBLANK(O2878)),
        "",
        MAX(
            1,
            IF(
                NETWORKDAYS(N2878, O2878, Holiday_Dates) &lt;= 0,
                1,
                NETWORKDAYS(N2878, O2878, Holiday_Dates) - IF(N2878 = O2878, 0, 1)
            )
        )
    ),
    ""
)</f>
        <v/>
      </c>
      <c r="T2878" s="385"/>
      <c r="U2878" s="385" t="s">
        <v>4</v>
      </c>
      <c r="V2878" s="385" t="s">
        <v>101</v>
      </c>
      <c r="W2878" s="385" t="s">
        <v>1436</v>
      </c>
      <c r="X2878" s="1"/>
    </row>
    <row r="2879" spans="1:24">
      <c r="A2879" s="385" t="s">
        <v>53</v>
      </c>
      <c r="B2879" s="385" t="s">
        <v>329</v>
      </c>
      <c r="C2879" s="385" t="s">
        <v>718</v>
      </c>
      <c r="D2879" s="385" t="s">
        <v>89</v>
      </c>
      <c r="E2879" s="385"/>
      <c r="F2879" s="385"/>
      <c r="G2879" s="385"/>
      <c r="H2879" s="385">
        <v>2025</v>
      </c>
      <c r="I2879" s="386">
        <v>45910</v>
      </c>
      <c r="J2879" s="30" t="s">
        <v>5783</v>
      </c>
      <c r="K2879" s="385"/>
      <c r="L2879" s="385"/>
      <c r="M2879" s="385"/>
      <c r="N2879" s="385"/>
      <c r="O2879" s="385"/>
      <c r="P2879" s="385" t="str">
        <f>IFERROR(
    IF(
        OR(ISBLANK(I2879), ISBLANK(L2879)),
        "",
        MAX(
            1,
            IF(
                NETWORKDAYS(I2879, L2879, Holiday_Dates) &lt;= 0,
                1,
                NETWORKDAYS(I2879, L2879, Holiday_Dates) - IF(I2879 = L2879, 0, 1)
            )
        )
    ),
    ""
)</f>
        <v/>
      </c>
      <c r="Q2879" s="385" t="str">
        <f>IF(
    OR(ISBLANK(L2879), ISBLANK(M2879)),
    "",
    MAX(
        1,
        IF(
            NETWORKDAYS(L2879, M2879, Holiday_Dates) &lt;= 0,
            1,
            NETWORKDAYS(L2879, M2879, Holiday_Dates) - IF(L2879 = M2879, 0, 1)
        )
    )
)</f>
        <v/>
      </c>
      <c r="R2879" s="385" t="str">
        <f>IFERROR(
    IF(
        OR(ISBLANK(N2879), AND(ISBLANK(L2879), ISBLANK(M2879))),
        "",
        MAX(
            1,
            IF(
                NETWORKDAYS(IF(NOT(ISBLANK(M2879)), M2879, L2879), N2879, Holiday_Dates) &lt;= 0,
                1,
                NETWORKDAYS(IF(NOT(ISBLANK(M2879)), M2879, L2879), N2879, Holiday_Dates)
                - IF(IF(NOT(ISBLANK(M2879)), M2879, L2879) = N2879, 0, 1)
            )
        )
    ),
    ""
)</f>
        <v/>
      </c>
      <c r="S2879" s="385" t="str">
        <f>IFERROR(
    IF(
        OR(ISBLANK(N2879), ISBLANK(O2879)),
        "",
        MAX(
            1,
            IF(
                NETWORKDAYS(N2879, O2879, Holiday_Dates) &lt;= 0,
                1,
                NETWORKDAYS(N2879, O2879, Holiday_Dates) - IF(N2879 = O2879, 0, 1)
            )
        )
    ),
    ""
)</f>
        <v/>
      </c>
      <c r="T2879" s="385"/>
      <c r="U2879" s="385" t="s">
        <v>4</v>
      </c>
      <c r="V2879" s="385" t="s">
        <v>101</v>
      </c>
      <c r="W2879" s="385" t="s">
        <v>1436</v>
      </c>
      <c r="X2879" s="1"/>
    </row>
    <row r="2880" spans="1:24">
      <c r="A2880" s="385" t="s">
        <v>53</v>
      </c>
      <c r="B2880" s="385" t="s">
        <v>329</v>
      </c>
      <c r="C2880" s="385" t="s">
        <v>4322</v>
      </c>
      <c r="D2880" s="385" t="s">
        <v>89</v>
      </c>
      <c r="E2880" s="385"/>
      <c r="F2880" s="385"/>
      <c r="G2880" s="385"/>
      <c r="H2880" s="385">
        <v>2025</v>
      </c>
      <c r="I2880" s="386">
        <v>45937</v>
      </c>
      <c r="J2880" s="30" t="s">
        <v>5784</v>
      </c>
      <c r="K2880" s="385"/>
      <c r="L2880" s="385"/>
      <c r="M2880" s="385"/>
      <c r="N2880" s="385"/>
      <c r="O2880" s="385"/>
      <c r="P2880" s="385" t="str">
        <f>IFERROR(
    IF(
        OR(ISBLANK(I2880), ISBLANK(L2880)),
        "",
        MAX(
            1,
            IF(
                NETWORKDAYS(I2880, L2880, Holiday_Dates) &lt;= 0,
                1,
                NETWORKDAYS(I2880, L2880, Holiday_Dates) - IF(I2880 = L2880, 0, 1)
            )
        )
    ),
    ""
)</f>
        <v/>
      </c>
      <c r="Q2880" s="385" t="str">
        <f>IF(
    OR(ISBLANK(L2880), ISBLANK(M2880)),
    "",
    MAX(
        1,
        IF(
            NETWORKDAYS(L2880, M2880, Holiday_Dates) &lt;= 0,
            1,
            NETWORKDAYS(L2880, M2880, Holiday_Dates) - IF(L2880 = M2880, 0, 1)
        )
    )
)</f>
        <v/>
      </c>
      <c r="R2880" s="385" t="str">
        <f>IFERROR(
    IF(
        OR(ISBLANK(N2880), AND(ISBLANK(L2880), ISBLANK(M2880))),
        "",
        MAX(
            1,
            IF(
                NETWORKDAYS(IF(NOT(ISBLANK(M2880)), M2880, L2880), N2880, Holiday_Dates) &lt;= 0,
                1,
                NETWORKDAYS(IF(NOT(ISBLANK(M2880)), M2880, L2880), N2880, Holiday_Dates)
                - IF(IF(NOT(ISBLANK(M2880)), M2880, L2880) = N2880, 0, 1)
            )
        )
    ),
    ""
)</f>
        <v/>
      </c>
      <c r="S2880" s="385" t="str">
        <f>IFERROR(
    IF(
        OR(ISBLANK(N2880), ISBLANK(O2880)),
        "",
        MAX(
            1,
            IF(
                NETWORKDAYS(N2880, O2880, Holiday_Dates) &lt;= 0,
                1,
                NETWORKDAYS(N2880, O2880, Holiday_Dates) - IF(N2880 = O2880, 0, 1)
            )
        )
    ),
    ""
)</f>
        <v/>
      </c>
      <c r="T2880" s="385"/>
      <c r="U2880" s="385" t="s">
        <v>4</v>
      </c>
      <c r="V2880" s="385" t="s">
        <v>101</v>
      </c>
      <c r="W2880" s="385" t="s">
        <v>1436</v>
      </c>
      <c r="X2880" s="1"/>
    </row>
    <row r="2881" spans="1:24">
      <c r="A2881" s="385" t="s">
        <v>53</v>
      </c>
      <c r="B2881" s="385" t="s">
        <v>329</v>
      </c>
      <c r="C2881" s="385" t="s">
        <v>4323</v>
      </c>
      <c r="D2881" s="385" t="s">
        <v>89</v>
      </c>
      <c r="E2881" s="385"/>
      <c r="F2881" s="385"/>
      <c r="G2881" s="385"/>
      <c r="H2881" s="385">
        <v>2024</v>
      </c>
      <c r="I2881" s="386">
        <v>45602</v>
      </c>
      <c r="J2881" s="30"/>
      <c r="K2881" s="385"/>
      <c r="L2881" s="385"/>
      <c r="M2881" s="385"/>
      <c r="N2881" s="385"/>
      <c r="O2881" s="385"/>
      <c r="P2881" s="385" t="str">
        <f>IFERROR(
    IF(
        OR(ISBLANK(I2881), ISBLANK(L2881)),
        "",
        MAX(
            1,
            IF(
                NETWORKDAYS(I2881, L2881, Holiday_Dates) &lt;= 0,
                1,
                NETWORKDAYS(I2881, L2881, Holiday_Dates) - IF(I2881 = L2881, 0, 1)
            )
        )
    ),
    ""
)</f>
        <v/>
      </c>
      <c r="Q2881" s="385" t="str">
        <f>IF(
    OR(ISBLANK(L2881), ISBLANK(M2881)),
    "",
    MAX(
        1,
        IF(
            NETWORKDAYS(L2881, M2881, Holiday_Dates) &lt;= 0,
            1,
            NETWORKDAYS(L2881, M2881, Holiday_Dates) - IF(L2881 = M2881, 0, 1)
        )
    )
)</f>
        <v/>
      </c>
      <c r="R2881" s="385" t="str">
        <f>IFERROR(
    IF(
        OR(ISBLANK(N2881), AND(ISBLANK(L2881), ISBLANK(M2881))),
        "",
        MAX(
            1,
            IF(
                NETWORKDAYS(IF(NOT(ISBLANK(M2881)), M2881, L2881), N2881, Holiday_Dates) &lt;= 0,
                1,
                NETWORKDAYS(IF(NOT(ISBLANK(M2881)), M2881, L2881), N2881, Holiday_Dates)
                - IF(IF(NOT(ISBLANK(M2881)), M2881, L2881) = N2881, 0, 1)
            )
        )
    ),
    ""
)</f>
        <v/>
      </c>
      <c r="S2881" s="385" t="str">
        <f>IFERROR(
    IF(
        OR(ISBLANK(N2881), ISBLANK(O2881)),
        "",
        MAX(
            1,
            IF(
                NETWORKDAYS(N2881, O2881, Holiday_Dates) &lt;= 0,
                1,
                NETWORKDAYS(N2881, O2881, Holiday_Dates) - IF(N2881 = O2881, 0, 1)
            )
        )
    ),
    ""
)</f>
        <v/>
      </c>
      <c r="T2881" s="385"/>
      <c r="U2881" s="385" t="s">
        <v>4</v>
      </c>
      <c r="V2881" s="385" t="s">
        <v>101</v>
      </c>
      <c r="W2881" s="385" t="s">
        <v>1436</v>
      </c>
      <c r="X2881" s="1"/>
    </row>
    <row r="2882" spans="1:24">
      <c r="A2882" s="385" t="s">
        <v>53</v>
      </c>
      <c r="B2882" s="385" t="s">
        <v>329</v>
      </c>
      <c r="C2882" s="385" t="s">
        <v>4325</v>
      </c>
      <c r="D2882" s="385" t="s">
        <v>89</v>
      </c>
      <c r="E2882" s="385"/>
      <c r="F2882" s="385"/>
      <c r="G2882" s="385"/>
      <c r="H2882" s="385">
        <v>2025</v>
      </c>
      <c r="I2882" s="386">
        <v>45883</v>
      </c>
      <c r="J2882" s="30" t="s">
        <v>5785</v>
      </c>
      <c r="K2882" s="385"/>
      <c r="L2882" s="385"/>
      <c r="M2882" s="385"/>
      <c r="N2882" s="385"/>
      <c r="O2882" s="385"/>
      <c r="P2882" s="385" t="str">
        <f>IFERROR(
    IF(
        OR(ISBLANK(I2882), ISBLANK(L2882)),
        "",
        MAX(
            1,
            IF(
                NETWORKDAYS(I2882, L2882, Holiday_Dates) &lt;= 0,
                1,
                NETWORKDAYS(I2882, L2882, Holiday_Dates) - IF(I2882 = L2882, 0, 1)
            )
        )
    ),
    ""
)</f>
        <v/>
      </c>
      <c r="Q2882" s="385" t="str">
        <f>IF(
    OR(ISBLANK(L2882), ISBLANK(M2882)),
    "",
    MAX(
        1,
        IF(
            NETWORKDAYS(L2882, M2882, Holiday_Dates) &lt;= 0,
            1,
            NETWORKDAYS(L2882, M2882, Holiday_Dates) - IF(L2882 = M2882, 0, 1)
        )
    )
)</f>
        <v/>
      </c>
      <c r="R2882" s="385" t="str">
        <f>IFERROR(
    IF(
        OR(ISBLANK(N2882), AND(ISBLANK(L2882), ISBLANK(M2882))),
        "",
        MAX(
            1,
            IF(
                NETWORKDAYS(IF(NOT(ISBLANK(M2882)), M2882, L2882), N2882, Holiday_Dates) &lt;= 0,
                1,
                NETWORKDAYS(IF(NOT(ISBLANK(M2882)), M2882, L2882), N2882, Holiday_Dates)
                - IF(IF(NOT(ISBLANK(M2882)), M2882, L2882) = N2882, 0, 1)
            )
        )
    ),
    ""
)</f>
        <v/>
      </c>
      <c r="S2882" s="385" t="str">
        <f>IFERROR(
    IF(
        OR(ISBLANK(N2882), ISBLANK(O2882)),
        "",
        MAX(
            1,
            IF(
                NETWORKDAYS(N2882, O2882, Holiday_Dates) &lt;= 0,
                1,
                NETWORKDAYS(N2882, O2882, Holiday_Dates) - IF(N2882 = O2882, 0, 1)
            )
        )
    ),
    ""
)</f>
        <v/>
      </c>
      <c r="T2882" s="385"/>
      <c r="U2882" s="385" t="s">
        <v>672</v>
      </c>
      <c r="V2882" s="385" t="s">
        <v>108</v>
      </c>
      <c r="W2882" s="385" t="s">
        <v>1436</v>
      </c>
      <c r="X2882" s="1"/>
    </row>
    <row r="2883" spans="1:24">
      <c r="A2883" s="385" t="s">
        <v>53</v>
      </c>
      <c r="B2883" s="385" t="s">
        <v>329</v>
      </c>
      <c r="C2883" s="385" t="s">
        <v>416</v>
      </c>
      <c r="D2883" s="385" t="s">
        <v>89</v>
      </c>
      <c r="E2883" s="385"/>
      <c r="F2883" s="385"/>
      <c r="G2883" s="385"/>
      <c r="H2883" s="385">
        <v>2025</v>
      </c>
      <c r="I2883" s="386">
        <v>45937</v>
      </c>
      <c r="J2883" s="30" t="s">
        <v>5786</v>
      </c>
      <c r="K2883" s="385"/>
      <c r="L2883" s="385"/>
      <c r="M2883" s="385"/>
      <c r="N2883" s="385"/>
      <c r="O2883" s="385"/>
      <c r="P2883" s="385" t="str">
        <f>IFERROR(
    IF(
        OR(ISBLANK(I2883), ISBLANK(L2883)),
        "",
        MAX(
            1,
            IF(
                NETWORKDAYS(I2883, L2883, Holiday_Dates) &lt;= 0,
                1,
                NETWORKDAYS(I2883, L2883, Holiday_Dates) - IF(I2883 = L2883, 0, 1)
            )
        )
    ),
    ""
)</f>
        <v/>
      </c>
      <c r="Q2883" s="385" t="str">
        <f>IF(
    OR(ISBLANK(L2883), ISBLANK(M2883)),
    "",
    MAX(
        1,
        IF(
            NETWORKDAYS(L2883, M2883, Holiday_Dates) &lt;= 0,
            1,
            NETWORKDAYS(L2883, M2883, Holiday_Dates) - IF(L2883 = M2883, 0, 1)
        )
    )
)</f>
        <v/>
      </c>
      <c r="R2883" s="385" t="str">
        <f>IFERROR(
    IF(
        OR(ISBLANK(N2883), AND(ISBLANK(L2883), ISBLANK(M2883))),
        "",
        MAX(
            1,
            IF(
                NETWORKDAYS(IF(NOT(ISBLANK(M2883)), M2883, L2883), N2883, Holiday_Dates) &lt;= 0,
                1,
                NETWORKDAYS(IF(NOT(ISBLANK(M2883)), M2883, L2883), N2883, Holiday_Dates)
                - IF(IF(NOT(ISBLANK(M2883)), M2883, L2883) = N2883, 0, 1)
            )
        )
    ),
    ""
)</f>
        <v/>
      </c>
      <c r="S2883" s="385" t="str">
        <f>IFERROR(
    IF(
        OR(ISBLANK(N2883), ISBLANK(O2883)),
        "",
        MAX(
            1,
            IF(
                NETWORKDAYS(N2883, O2883, Holiday_Dates) &lt;= 0,
                1,
                NETWORKDAYS(N2883, O2883, Holiday_Dates) - IF(N2883 = O2883, 0, 1)
            )
        )
    ),
    ""
)</f>
        <v/>
      </c>
      <c r="T2883" s="385"/>
      <c r="U2883" s="385" t="s">
        <v>4</v>
      </c>
      <c r="V2883" s="385" t="s">
        <v>101</v>
      </c>
      <c r="W2883" s="385" t="s">
        <v>1436</v>
      </c>
      <c r="X2883" s="1"/>
    </row>
    <row r="2884" spans="1:24">
      <c r="A2884" s="385" t="s">
        <v>53</v>
      </c>
      <c r="B2884" s="385" t="s">
        <v>329</v>
      </c>
      <c r="C2884" s="385" t="s">
        <v>520</v>
      </c>
      <c r="D2884" s="385" t="s">
        <v>89</v>
      </c>
      <c r="E2884" s="385"/>
      <c r="F2884" s="385"/>
      <c r="G2884" s="385"/>
      <c r="H2884" s="385">
        <v>2024</v>
      </c>
      <c r="I2884" s="386">
        <v>45602</v>
      </c>
      <c r="J2884" s="30"/>
      <c r="K2884" s="385"/>
      <c r="L2884" s="385"/>
      <c r="M2884" s="385"/>
      <c r="N2884" s="385"/>
      <c r="O2884" s="385"/>
      <c r="P2884" s="385" t="str">
        <f>IFERROR(
    IF(
        OR(ISBLANK(I2884), ISBLANK(L2884)),
        "",
        MAX(
            1,
            IF(
                NETWORKDAYS(I2884, L2884, Holiday_Dates) &lt;= 0,
                1,
                NETWORKDAYS(I2884, L2884, Holiday_Dates) - IF(I2884 = L2884, 0, 1)
            )
        )
    ),
    ""
)</f>
        <v/>
      </c>
      <c r="Q2884" s="385" t="str">
        <f>IF(
    OR(ISBLANK(L2884), ISBLANK(M2884)),
    "",
    MAX(
        1,
        IF(
            NETWORKDAYS(L2884, M2884, Holiday_Dates) &lt;= 0,
            1,
            NETWORKDAYS(L2884, M2884, Holiday_Dates) - IF(L2884 = M2884, 0, 1)
        )
    )
)</f>
        <v/>
      </c>
      <c r="R2884" s="385" t="str">
        <f>IFERROR(
    IF(
        OR(ISBLANK(N2884), AND(ISBLANK(L2884), ISBLANK(M2884))),
        "",
        MAX(
            1,
            IF(
                NETWORKDAYS(IF(NOT(ISBLANK(M2884)), M2884, L2884), N2884, Holiday_Dates) &lt;= 0,
                1,
                NETWORKDAYS(IF(NOT(ISBLANK(M2884)), M2884, L2884), N2884, Holiday_Dates)
                - IF(IF(NOT(ISBLANK(M2884)), M2884, L2884) = N2884, 0, 1)
            )
        )
    ),
    ""
)</f>
        <v/>
      </c>
      <c r="S2884" s="385" t="str">
        <f>IFERROR(
    IF(
        OR(ISBLANK(N2884), ISBLANK(O2884)),
        "",
        MAX(
            1,
            IF(
                NETWORKDAYS(N2884, O2884, Holiday_Dates) &lt;= 0,
                1,
                NETWORKDAYS(N2884, O2884, Holiday_Dates) - IF(N2884 = O2884, 0, 1)
            )
        )
    ),
    ""
)</f>
        <v/>
      </c>
      <c r="T2884" s="385"/>
      <c r="U2884" s="385" t="s">
        <v>4</v>
      </c>
      <c r="V2884" s="385" t="s">
        <v>101</v>
      </c>
      <c r="W2884" s="385" t="s">
        <v>1436</v>
      </c>
      <c r="X2884" s="1"/>
    </row>
    <row r="2885" spans="1:24">
      <c r="A2885" s="385" t="s">
        <v>53</v>
      </c>
      <c r="B2885" s="385" t="s">
        <v>329</v>
      </c>
      <c r="C2885" s="385" t="s">
        <v>764</v>
      </c>
      <c r="D2885" s="385" t="s">
        <v>89</v>
      </c>
      <c r="E2885" s="385"/>
      <c r="F2885" s="385"/>
      <c r="G2885" s="385"/>
      <c r="H2885" s="385">
        <v>2024</v>
      </c>
      <c r="I2885" s="386">
        <v>45602</v>
      </c>
      <c r="J2885" s="30"/>
      <c r="K2885" s="385"/>
      <c r="L2885" s="385"/>
      <c r="M2885" s="385"/>
      <c r="N2885" s="385"/>
      <c r="O2885" s="385"/>
      <c r="P2885" s="385" t="str">
        <f>IFERROR(
    IF(
        OR(ISBLANK(I2885), ISBLANK(L2885)),
        "",
        MAX(
            1,
            IF(
                NETWORKDAYS(I2885, L2885, Holiday_Dates) &lt;= 0,
                1,
                NETWORKDAYS(I2885, L2885, Holiday_Dates) - IF(I2885 = L2885, 0, 1)
            )
        )
    ),
    ""
)</f>
        <v/>
      </c>
      <c r="Q2885" s="385" t="str">
        <f>IF(
    OR(ISBLANK(L2885), ISBLANK(M2885)),
    "",
    MAX(
        1,
        IF(
            NETWORKDAYS(L2885, M2885, Holiday_Dates) &lt;= 0,
            1,
            NETWORKDAYS(L2885, M2885, Holiday_Dates) - IF(L2885 = M2885, 0, 1)
        )
    )
)</f>
        <v/>
      </c>
      <c r="R2885" s="385" t="str">
        <f>IFERROR(
    IF(
        OR(ISBLANK(N2885), AND(ISBLANK(L2885), ISBLANK(M2885))),
        "",
        MAX(
            1,
            IF(
                NETWORKDAYS(IF(NOT(ISBLANK(M2885)), M2885, L2885), N2885, Holiday_Dates) &lt;= 0,
                1,
                NETWORKDAYS(IF(NOT(ISBLANK(M2885)), M2885, L2885), N2885, Holiday_Dates)
                - IF(IF(NOT(ISBLANK(M2885)), M2885, L2885) = N2885, 0, 1)
            )
        )
    ),
    ""
)</f>
        <v/>
      </c>
      <c r="S2885" s="385" t="str">
        <f>IFERROR(
    IF(
        OR(ISBLANK(N2885), ISBLANK(O2885)),
        "",
        MAX(
            1,
            IF(
                NETWORKDAYS(N2885, O2885, Holiday_Dates) &lt;= 0,
                1,
                NETWORKDAYS(N2885, O2885, Holiday_Dates) - IF(N2885 = O2885, 0, 1)
            )
        )
    ),
    ""
)</f>
        <v/>
      </c>
      <c r="T2885" s="385"/>
      <c r="U2885" s="385" t="s">
        <v>4</v>
      </c>
      <c r="V2885" s="385" t="s">
        <v>101</v>
      </c>
      <c r="W2885" s="385" t="s">
        <v>1436</v>
      </c>
      <c r="X2885" s="1"/>
    </row>
    <row r="2886" spans="1:24">
      <c r="A2886" s="385" t="s">
        <v>53</v>
      </c>
      <c r="B2886" s="385" t="s">
        <v>329</v>
      </c>
      <c r="C2886" s="385" t="s">
        <v>440</v>
      </c>
      <c r="D2886" s="385" t="s">
        <v>89</v>
      </c>
      <c r="E2886" s="385"/>
      <c r="F2886" s="385"/>
      <c r="G2886" s="385"/>
      <c r="H2886" s="385">
        <v>2024</v>
      </c>
      <c r="I2886" s="386">
        <v>45602</v>
      </c>
      <c r="J2886" s="30"/>
      <c r="K2886" s="385"/>
      <c r="L2886" s="385"/>
      <c r="M2886" s="385"/>
      <c r="N2886" s="385"/>
      <c r="O2886" s="385"/>
      <c r="P2886" s="385" t="str">
        <f>IFERROR(
    IF(
        OR(ISBLANK(I2886), ISBLANK(L2886)),
        "",
        MAX(
            1,
            IF(
                NETWORKDAYS(I2886, L2886, Holiday_Dates) &lt;= 0,
                1,
                NETWORKDAYS(I2886, L2886, Holiday_Dates) - IF(I2886 = L2886, 0, 1)
            )
        )
    ),
    ""
)</f>
        <v/>
      </c>
      <c r="Q2886" s="385" t="str">
        <f>IF(
    OR(ISBLANK(L2886), ISBLANK(M2886)),
    "",
    MAX(
        1,
        IF(
            NETWORKDAYS(L2886, M2886, Holiday_Dates) &lt;= 0,
            1,
            NETWORKDAYS(L2886, M2886, Holiday_Dates) - IF(L2886 = M2886, 0, 1)
        )
    )
)</f>
        <v/>
      </c>
      <c r="R2886" s="385" t="str">
        <f>IFERROR(
    IF(
        OR(ISBLANK(N2886), AND(ISBLANK(L2886), ISBLANK(M2886))),
        "",
        MAX(
            1,
            IF(
                NETWORKDAYS(IF(NOT(ISBLANK(M2886)), M2886, L2886), N2886, Holiday_Dates) &lt;= 0,
                1,
                NETWORKDAYS(IF(NOT(ISBLANK(M2886)), M2886, L2886), N2886, Holiday_Dates)
                - IF(IF(NOT(ISBLANK(M2886)), M2886, L2886) = N2886, 0, 1)
            )
        )
    ),
    ""
)</f>
        <v/>
      </c>
      <c r="S2886" s="385" t="str">
        <f>IFERROR(
    IF(
        OR(ISBLANK(N2886), ISBLANK(O2886)),
        "",
        MAX(
            1,
            IF(
                NETWORKDAYS(N2886, O2886, Holiday_Dates) &lt;= 0,
                1,
                NETWORKDAYS(N2886, O2886, Holiday_Dates) - IF(N2886 = O2886, 0, 1)
            )
        )
    ),
    ""
)</f>
        <v/>
      </c>
      <c r="T2886" s="385"/>
      <c r="U2886" s="385" t="s">
        <v>4</v>
      </c>
      <c r="V2886" s="385" t="s">
        <v>101</v>
      </c>
      <c r="W2886" s="385" t="s">
        <v>1436</v>
      </c>
      <c r="X2886" s="1"/>
    </row>
    <row r="2887" spans="1:24">
      <c r="A2887" s="385" t="s">
        <v>53</v>
      </c>
      <c r="B2887" s="385" t="s">
        <v>329</v>
      </c>
      <c r="C2887" s="385" t="s">
        <v>1020</v>
      </c>
      <c r="D2887" s="385" t="s">
        <v>89</v>
      </c>
      <c r="E2887" s="385"/>
      <c r="F2887" s="385"/>
      <c r="G2887" s="385"/>
      <c r="H2887" s="385">
        <v>2025</v>
      </c>
      <c r="I2887" s="386">
        <v>45910</v>
      </c>
      <c r="J2887" s="30" t="s">
        <v>5787</v>
      </c>
      <c r="K2887" s="385"/>
      <c r="L2887" s="385"/>
      <c r="M2887" s="385"/>
      <c r="N2887" s="385"/>
      <c r="O2887" s="385"/>
      <c r="P2887" s="385" t="str">
        <f>IFERROR(
    IF(
        OR(ISBLANK(I2887), ISBLANK(L2887)),
        "",
        MAX(
            1,
            IF(
                NETWORKDAYS(I2887, L2887, Holiday_Dates) &lt;= 0,
                1,
                NETWORKDAYS(I2887, L2887, Holiday_Dates) - IF(I2887 = L2887, 0, 1)
            )
        )
    ),
    ""
)</f>
        <v/>
      </c>
      <c r="Q2887" s="385" t="str">
        <f>IF(
    OR(ISBLANK(L2887), ISBLANK(M2887)),
    "",
    MAX(
        1,
        IF(
            NETWORKDAYS(L2887, M2887, Holiday_Dates) &lt;= 0,
            1,
            NETWORKDAYS(L2887, M2887, Holiday_Dates) - IF(L2887 = M2887, 0, 1)
        )
    )
)</f>
        <v/>
      </c>
      <c r="R2887" s="385" t="str">
        <f>IFERROR(
    IF(
        OR(ISBLANK(N2887), AND(ISBLANK(L2887), ISBLANK(M2887))),
        "",
        MAX(
            1,
            IF(
                NETWORKDAYS(IF(NOT(ISBLANK(M2887)), M2887, L2887), N2887, Holiday_Dates) &lt;= 0,
                1,
                NETWORKDAYS(IF(NOT(ISBLANK(M2887)), M2887, L2887), N2887, Holiday_Dates)
                - IF(IF(NOT(ISBLANK(M2887)), M2887, L2887) = N2887, 0, 1)
            )
        )
    ),
    ""
)</f>
        <v/>
      </c>
      <c r="S2887" s="385" t="str">
        <f>IFERROR(
    IF(
        OR(ISBLANK(N2887), ISBLANK(O2887)),
        "",
        MAX(
            1,
            IF(
                NETWORKDAYS(N2887, O2887, Holiday_Dates) &lt;= 0,
                1,
                NETWORKDAYS(N2887, O2887, Holiday_Dates) - IF(N2887 = O2887, 0, 1)
            )
        )
    ),
    ""
)</f>
        <v/>
      </c>
      <c r="T2887" s="385"/>
      <c r="U2887" s="385" t="s">
        <v>4</v>
      </c>
      <c r="V2887" s="385" t="s">
        <v>101</v>
      </c>
      <c r="W2887" s="385" t="s">
        <v>1436</v>
      </c>
      <c r="X2887" s="1"/>
    </row>
    <row r="2888" spans="1:24">
      <c r="A2888" s="385" t="s">
        <v>53</v>
      </c>
      <c r="B2888" s="385" t="s">
        <v>329</v>
      </c>
      <c r="C2888" s="385" t="s">
        <v>4329</v>
      </c>
      <c r="D2888" s="385" t="s">
        <v>89</v>
      </c>
      <c r="E2888" s="385"/>
      <c r="F2888" s="385"/>
      <c r="G2888" s="385"/>
      <c r="H2888" s="385">
        <v>2025</v>
      </c>
      <c r="I2888" s="386">
        <v>45910</v>
      </c>
      <c r="J2888" s="30" t="s">
        <v>5788</v>
      </c>
      <c r="K2888" s="385"/>
      <c r="L2888" s="385"/>
      <c r="M2888" s="385"/>
      <c r="N2888" s="385"/>
      <c r="O2888" s="385"/>
      <c r="P2888" s="385" t="str">
        <f>IFERROR(
    IF(
        OR(ISBLANK(I2888), ISBLANK(L2888)),
        "",
        MAX(
            1,
            IF(
                NETWORKDAYS(I2888, L2888, Holiday_Dates) &lt;= 0,
                1,
                NETWORKDAYS(I2888, L2888, Holiday_Dates) - IF(I2888 = L2888, 0, 1)
            )
        )
    ),
    ""
)</f>
        <v/>
      </c>
      <c r="Q2888" s="385" t="str">
        <f>IF(
    OR(ISBLANK(L2888), ISBLANK(M2888)),
    "",
    MAX(
        1,
        IF(
            NETWORKDAYS(L2888, M2888, Holiday_Dates) &lt;= 0,
            1,
            NETWORKDAYS(L2888, M2888, Holiday_Dates) - IF(L2888 = M2888, 0, 1)
        )
    )
)</f>
        <v/>
      </c>
      <c r="R2888" s="385" t="str">
        <f>IFERROR(
    IF(
        OR(ISBLANK(N2888), AND(ISBLANK(L2888), ISBLANK(M2888))),
        "",
        MAX(
            1,
            IF(
                NETWORKDAYS(IF(NOT(ISBLANK(M2888)), M2888, L2888), N2888, Holiday_Dates) &lt;= 0,
                1,
                NETWORKDAYS(IF(NOT(ISBLANK(M2888)), M2888, L2888), N2888, Holiday_Dates)
                - IF(IF(NOT(ISBLANK(M2888)), M2888, L2888) = N2888, 0, 1)
            )
        )
    ),
    ""
)</f>
        <v/>
      </c>
      <c r="S2888" s="385" t="str">
        <f>IFERROR(
    IF(
        OR(ISBLANK(N2888), ISBLANK(O2888)),
        "",
        MAX(
            1,
            IF(
                NETWORKDAYS(N2888, O2888, Holiday_Dates) &lt;= 0,
                1,
                NETWORKDAYS(N2888, O2888, Holiday_Dates) - IF(N2888 = O2888, 0, 1)
            )
        )
    ),
    ""
)</f>
        <v/>
      </c>
      <c r="T2888" s="385"/>
      <c r="U2888" s="385" t="s">
        <v>672</v>
      </c>
      <c r="V2888" s="385" t="s">
        <v>1676</v>
      </c>
      <c r="W2888" s="385" t="s">
        <v>1436</v>
      </c>
      <c r="X2888" s="1"/>
    </row>
    <row r="2889" spans="1:24">
      <c r="A2889" s="385" t="s">
        <v>53</v>
      </c>
      <c r="B2889" s="385" t="s">
        <v>329</v>
      </c>
      <c r="C2889" s="385" t="s">
        <v>1048</v>
      </c>
      <c r="D2889" s="385" t="s">
        <v>89</v>
      </c>
      <c r="E2889" s="385"/>
      <c r="F2889" s="385"/>
      <c r="G2889" s="385"/>
      <c r="H2889" s="385">
        <v>2024</v>
      </c>
      <c r="I2889" s="386">
        <v>45539</v>
      </c>
      <c r="J2889" s="30"/>
      <c r="K2889" s="385"/>
      <c r="L2889" s="385"/>
      <c r="M2889" s="385"/>
      <c r="N2889" s="385"/>
      <c r="O2889" s="385"/>
      <c r="P2889" s="385" t="str">
        <f>IFERROR(
    IF(
        OR(ISBLANK(I2889), ISBLANK(L2889)),
        "",
        MAX(
            1,
            IF(
                NETWORKDAYS(I2889, L2889, Holiday_Dates) &lt;= 0,
                1,
                NETWORKDAYS(I2889, L2889, Holiday_Dates) - IF(I2889 = L2889, 0, 1)
            )
        )
    ),
    ""
)</f>
        <v/>
      </c>
      <c r="Q2889" s="385" t="str">
        <f>IF(
    OR(ISBLANK(L2889), ISBLANK(M2889)),
    "",
    MAX(
        1,
        IF(
            NETWORKDAYS(L2889, M2889, Holiday_Dates) &lt;= 0,
            1,
            NETWORKDAYS(L2889, M2889, Holiday_Dates) - IF(L2889 = M2889, 0, 1)
        )
    )
)</f>
        <v/>
      </c>
      <c r="R2889" s="385" t="str">
        <f>IFERROR(
    IF(
        OR(ISBLANK(N2889), AND(ISBLANK(L2889), ISBLANK(M2889))),
        "",
        MAX(
            1,
            IF(
                NETWORKDAYS(IF(NOT(ISBLANK(M2889)), M2889, L2889), N2889, Holiday_Dates) &lt;= 0,
                1,
                NETWORKDAYS(IF(NOT(ISBLANK(M2889)), M2889, L2889), N2889, Holiday_Dates)
                - IF(IF(NOT(ISBLANK(M2889)), M2889, L2889) = N2889, 0, 1)
            )
        )
    ),
    ""
)</f>
        <v/>
      </c>
      <c r="S2889" s="385" t="str">
        <f>IFERROR(
    IF(
        OR(ISBLANK(N2889), ISBLANK(O2889)),
        "",
        MAX(
            1,
            IF(
                NETWORKDAYS(N2889, O2889, Holiday_Dates) &lt;= 0,
                1,
                NETWORKDAYS(N2889, O2889, Holiday_Dates) - IF(N2889 = O2889, 0, 1)
            )
        )
    ),
    ""
)</f>
        <v/>
      </c>
      <c r="T2889" s="385"/>
      <c r="U2889" s="385" t="s">
        <v>4</v>
      </c>
      <c r="V2889" s="385" t="s">
        <v>101</v>
      </c>
      <c r="W2889" s="385" t="s">
        <v>1436</v>
      </c>
      <c r="X2889" s="1"/>
    </row>
    <row r="2890" spans="1:24">
      <c r="A2890" s="385" t="s">
        <v>53</v>
      </c>
      <c r="B2890" s="385" t="s">
        <v>329</v>
      </c>
      <c r="C2890" s="385" t="s">
        <v>4331</v>
      </c>
      <c r="D2890" s="385" t="s">
        <v>89</v>
      </c>
      <c r="E2890" s="385"/>
      <c r="F2890" s="385"/>
      <c r="G2890" s="385"/>
      <c r="H2890" s="385">
        <v>2025</v>
      </c>
      <c r="I2890" s="386">
        <v>45883</v>
      </c>
      <c r="J2890" s="30" t="s">
        <v>5789</v>
      </c>
      <c r="K2890" s="385"/>
      <c r="L2890" s="385"/>
      <c r="M2890" s="385"/>
      <c r="N2890" s="385"/>
      <c r="O2890" s="385"/>
      <c r="P2890" s="385" t="str">
        <f>IFERROR(
    IF(
        OR(ISBLANK(I2890), ISBLANK(L2890)),
        "",
        MAX(
            1,
            IF(
                NETWORKDAYS(I2890, L2890, Holiday_Dates) &lt;= 0,
                1,
                NETWORKDAYS(I2890, L2890, Holiday_Dates) - IF(I2890 = L2890, 0, 1)
            )
        )
    ),
    ""
)</f>
        <v/>
      </c>
      <c r="Q2890" s="385" t="str">
        <f>IF(
    OR(ISBLANK(L2890), ISBLANK(M2890)),
    "",
    MAX(
        1,
        IF(
            NETWORKDAYS(L2890, M2890, Holiday_Dates) &lt;= 0,
            1,
            NETWORKDAYS(L2890, M2890, Holiday_Dates) - IF(L2890 = M2890, 0, 1)
        )
    )
)</f>
        <v/>
      </c>
      <c r="R2890" s="385" t="str">
        <f>IFERROR(
    IF(
        OR(ISBLANK(N2890), AND(ISBLANK(L2890), ISBLANK(M2890))),
        "",
        MAX(
            1,
            IF(
                NETWORKDAYS(IF(NOT(ISBLANK(M2890)), M2890, L2890), N2890, Holiday_Dates) &lt;= 0,
                1,
                NETWORKDAYS(IF(NOT(ISBLANK(M2890)), M2890, L2890), N2890, Holiday_Dates)
                - IF(IF(NOT(ISBLANK(M2890)), M2890, L2890) = N2890, 0, 1)
            )
        )
    ),
    ""
)</f>
        <v/>
      </c>
      <c r="S2890" s="385" t="str">
        <f>IFERROR(
    IF(
        OR(ISBLANK(N2890), ISBLANK(O2890)),
        "",
        MAX(
            1,
            IF(
                NETWORKDAYS(N2890, O2890, Holiday_Dates) &lt;= 0,
                1,
                NETWORKDAYS(N2890, O2890, Holiday_Dates) - IF(N2890 = O2890, 0, 1)
            )
        )
    ),
    ""
)</f>
        <v/>
      </c>
      <c r="T2890" s="385"/>
      <c r="U2890" s="385" t="s">
        <v>672</v>
      </c>
      <c r="V2890" s="385" t="s">
        <v>1676</v>
      </c>
      <c r="W2890" s="385" t="s">
        <v>1436</v>
      </c>
      <c r="X2890" s="1"/>
    </row>
    <row r="2891" spans="1:24">
      <c r="A2891" s="385" t="s">
        <v>53</v>
      </c>
      <c r="B2891" s="385" t="s">
        <v>544</v>
      </c>
      <c r="C2891" s="385" t="s">
        <v>4339</v>
      </c>
      <c r="D2891" s="385" t="s">
        <v>89</v>
      </c>
      <c r="E2891" s="385"/>
      <c r="F2891" s="385"/>
      <c r="G2891" s="385"/>
      <c r="H2891" s="385">
        <v>2025</v>
      </c>
      <c r="I2891" s="386">
        <v>45792</v>
      </c>
      <c r="J2891" s="30" t="s">
        <v>5790</v>
      </c>
      <c r="K2891" s="385"/>
      <c r="L2891" s="385"/>
      <c r="M2891" s="385"/>
      <c r="N2891" s="385"/>
      <c r="O2891" s="385"/>
      <c r="P2891" s="385" t="str">
        <f>IFERROR(
    IF(
        OR(ISBLANK(I2891), ISBLANK(L2891)),
        "",
        MAX(
            1,
            IF(
                NETWORKDAYS(I2891, L2891, Holiday_Dates) &lt;= 0,
                1,
                NETWORKDAYS(I2891, L2891, Holiday_Dates) - IF(I2891 = L2891, 0, 1)
            )
        )
    ),
    ""
)</f>
        <v/>
      </c>
      <c r="Q2891" s="385" t="str">
        <f>IF(
    OR(ISBLANK(L2891), ISBLANK(M2891)),
    "",
    MAX(
        1,
        IF(
            NETWORKDAYS(L2891, M2891, Holiday_Dates) &lt;= 0,
            1,
            NETWORKDAYS(L2891, M2891, Holiday_Dates) - IF(L2891 = M2891, 0, 1)
        )
    )
)</f>
        <v/>
      </c>
      <c r="R2891" s="385" t="str">
        <f>IFERROR(
    IF(
        OR(ISBLANK(N2891), AND(ISBLANK(L2891), ISBLANK(M2891))),
        "",
        MAX(
            1,
            IF(
                NETWORKDAYS(IF(NOT(ISBLANK(M2891)), M2891, L2891), N2891, Holiday_Dates) &lt;= 0,
                1,
                NETWORKDAYS(IF(NOT(ISBLANK(M2891)), M2891, L2891), N2891, Holiday_Dates)
                - IF(IF(NOT(ISBLANK(M2891)), M2891, L2891) = N2891, 0, 1)
            )
        )
    ),
    ""
)</f>
        <v/>
      </c>
      <c r="S2891" s="385" t="str">
        <f>IFERROR(
    IF(
        OR(ISBLANK(N2891), ISBLANK(O2891)),
        "",
        MAX(
            1,
            IF(
                NETWORKDAYS(N2891, O2891, Holiday_Dates) &lt;= 0,
                1,
                NETWORKDAYS(N2891, O2891, Holiday_Dates) - IF(N2891 = O2891, 0, 1)
            )
        )
    ),
    ""
)</f>
        <v/>
      </c>
      <c r="T2891" s="385"/>
      <c r="U2891" s="385" t="s">
        <v>4</v>
      </c>
      <c r="V2891" s="385" t="s">
        <v>101</v>
      </c>
      <c r="W2891" s="385" t="s">
        <v>1436</v>
      </c>
      <c r="X2891" s="1"/>
    </row>
    <row r="2892" spans="1:24">
      <c r="A2892" s="385" t="s">
        <v>53</v>
      </c>
      <c r="B2892" s="385" t="s">
        <v>544</v>
      </c>
      <c r="C2892" s="385" t="s">
        <v>4340</v>
      </c>
      <c r="D2892" s="385" t="s">
        <v>89</v>
      </c>
      <c r="E2892" s="385"/>
      <c r="F2892" s="385"/>
      <c r="G2892" s="385"/>
      <c r="H2892" s="385">
        <v>2024</v>
      </c>
      <c r="I2892" s="386">
        <v>45582</v>
      </c>
      <c r="J2892" s="30"/>
      <c r="K2892" s="385"/>
      <c r="L2892" s="385"/>
      <c r="M2892" s="385"/>
      <c r="N2892" s="385"/>
      <c r="O2892" s="385"/>
      <c r="P2892" s="385" t="str">
        <f>IFERROR(
    IF(
        OR(ISBLANK(I2892), ISBLANK(L2892)),
        "",
        MAX(
            1,
            IF(
                NETWORKDAYS(I2892, L2892, Holiday_Dates) &lt;= 0,
                1,
                NETWORKDAYS(I2892, L2892, Holiday_Dates) - IF(I2892 = L2892, 0, 1)
            )
        )
    ),
    ""
)</f>
        <v/>
      </c>
      <c r="Q2892" s="385" t="str">
        <f>IF(
    OR(ISBLANK(L2892), ISBLANK(M2892)),
    "",
    MAX(
        1,
        IF(
            NETWORKDAYS(L2892, M2892, Holiday_Dates) &lt;= 0,
            1,
            NETWORKDAYS(L2892, M2892, Holiday_Dates) - IF(L2892 = M2892, 0, 1)
        )
    )
)</f>
        <v/>
      </c>
      <c r="R2892" s="385" t="str">
        <f>IFERROR(
    IF(
        OR(ISBLANK(N2892), AND(ISBLANK(L2892), ISBLANK(M2892))),
        "",
        MAX(
            1,
            IF(
                NETWORKDAYS(IF(NOT(ISBLANK(M2892)), M2892, L2892), N2892, Holiday_Dates) &lt;= 0,
                1,
                NETWORKDAYS(IF(NOT(ISBLANK(M2892)), M2892, L2892), N2892, Holiday_Dates)
                - IF(IF(NOT(ISBLANK(M2892)), M2892, L2892) = N2892, 0, 1)
            )
        )
    ),
    ""
)</f>
        <v/>
      </c>
      <c r="S2892" s="385" t="str">
        <f>IFERROR(
    IF(
        OR(ISBLANK(N2892), ISBLANK(O2892)),
        "",
        MAX(
            1,
            IF(
                NETWORKDAYS(N2892, O2892, Holiday_Dates) &lt;= 0,
                1,
                NETWORKDAYS(N2892, O2892, Holiday_Dates) - IF(N2892 = O2892, 0, 1)
            )
        )
    ),
    ""
)</f>
        <v/>
      </c>
      <c r="T2892" s="385"/>
      <c r="U2892" s="385" t="s">
        <v>4</v>
      </c>
      <c r="V2892" s="385" t="s">
        <v>101</v>
      </c>
      <c r="W2892" s="385" t="s">
        <v>1436</v>
      </c>
      <c r="X2892" s="1"/>
    </row>
    <row r="2893" spans="1:24">
      <c r="A2893" s="385" t="s">
        <v>53</v>
      </c>
      <c r="B2893" s="385" t="s">
        <v>544</v>
      </c>
      <c r="C2893" s="385" t="s">
        <v>4342</v>
      </c>
      <c r="D2893" s="385" t="s">
        <v>89</v>
      </c>
      <c r="E2893" s="385"/>
      <c r="F2893" s="385"/>
      <c r="G2893" s="385"/>
      <c r="H2893" s="385">
        <v>2025</v>
      </c>
      <c r="I2893" s="386">
        <v>45911</v>
      </c>
      <c r="J2893" s="30" t="s">
        <v>5791</v>
      </c>
      <c r="K2893" s="385"/>
      <c r="L2893" s="385"/>
      <c r="M2893" s="385"/>
      <c r="N2893" s="385"/>
      <c r="O2893" s="385"/>
      <c r="P2893" s="385" t="str">
        <f>IFERROR(
    IF(
        OR(ISBLANK(I2893), ISBLANK(L2893)),
        "",
        MAX(
            1,
            IF(
                NETWORKDAYS(I2893, L2893, Holiday_Dates) &lt;= 0,
                1,
                NETWORKDAYS(I2893, L2893, Holiday_Dates) - IF(I2893 = L2893, 0, 1)
            )
        )
    ),
    ""
)</f>
        <v/>
      </c>
      <c r="Q2893" s="385" t="str">
        <f>IF(
    OR(ISBLANK(L2893), ISBLANK(M2893)),
    "",
    MAX(
        1,
        IF(
            NETWORKDAYS(L2893, M2893, Holiday_Dates) &lt;= 0,
            1,
            NETWORKDAYS(L2893, M2893, Holiday_Dates) - IF(L2893 = M2893, 0, 1)
        )
    )
)</f>
        <v/>
      </c>
      <c r="R2893" s="385" t="str">
        <f>IFERROR(
    IF(
        OR(ISBLANK(N2893), AND(ISBLANK(L2893), ISBLANK(M2893))),
        "",
        MAX(
            1,
            IF(
                NETWORKDAYS(IF(NOT(ISBLANK(M2893)), M2893, L2893), N2893, Holiday_Dates) &lt;= 0,
                1,
                NETWORKDAYS(IF(NOT(ISBLANK(M2893)), M2893, L2893), N2893, Holiday_Dates)
                - IF(IF(NOT(ISBLANK(M2893)), M2893, L2893) = N2893, 0, 1)
            )
        )
    ),
    ""
)</f>
        <v/>
      </c>
      <c r="S2893" s="385" t="str">
        <f>IFERROR(
    IF(
        OR(ISBLANK(N2893), ISBLANK(O2893)),
        "",
        MAX(
            1,
            IF(
                NETWORKDAYS(N2893, O2893, Holiday_Dates) &lt;= 0,
                1,
                NETWORKDAYS(N2893, O2893, Holiday_Dates) - IF(N2893 = O2893, 0, 1)
            )
        )
    ),
    ""
)</f>
        <v/>
      </c>
      <c r="T2893" s="385"/>
      <c r="U2893" s="385" t="s">
        <v>4</v>
      </c>
      <c r="V2893" s="385" t="s">
        <v>101</v>
      </c>
      <c r="W2893" s="385" t="s">
        <v>1436</v>
      </c>
      <c r="X2893" s="1"/>
    </row>
    <row r="2894" spans="1:24">
      <c r="A2894" s="385" t="s">
        <v>53</v>
      </c>
      <c r="B2894" s="385" t="s">
        <v>544</v>
      </c>
      <c r="C2894" s="385" t="s">
        <v>4343</v>
      </c>
      <c r="D2894" s="385" t="s">
        <v>89</v>
      </c>
      <c r="E2894" s="385"/>
      <c r="F2894" s="385"/>
      <c r="G2894" s="385"/>
      <c r="H2894" s="385">
        <v>2024</v>
      </c>
      <c r="I2894" s="386">
        <v>45484</v>
      </c>
      <c r="J2894" s="30"/>
      <c r="K2894" s="385"/>
      <c r="L2894" s="385"/>
      <c r="M2894" s="385"/>
      <c r="N2894" s="385"/>
      <c r="O2894" s="385"/>
      <c r="P2894" s="385" t="str">
        <f>IFERROR(
    IF(
        OR(ISBLANK(I2894), ISBLANK(L2894)),
        "",
        MAX(
            1,
            IF(
                NETWORKDAYS(I2894, L2894, Holiday_Dates) &lt;= 0,
                1,
                NETWORKDAYS(I2894, L2894, Holiday_Dates) - IF(I2894 = L2894, 0, 1)
            )
        )
    ),
    ""
)</f>
        <v/>
      </c>
      <c r="Q2894" s="385" t="str">
        <f>IF(
    OR(ISBLANK(L2894), ISBLANK(M2894)),
    "",
    MAX(
        1,
        IF(
            NETWORKDAYS(L2894, M2894, Holiday_Dates) &lt;= 0,
            1,
            NETWORKDAYS(L2894, M2894, Holiday_Dates) - IF(L2894 = M2894, 0, 1)
        )
    )
)</f>
        <v/>
      </c>
      <c r="R2894" s="385" t="str">
        <f>IFERROR(
    IF(
        OR(ISBLANK(N2894), AND(ISBLANK(L2894), ISBLANK(M2894))),
        "",
        MAX(
            1,
            IF(
                NETWORKDAYS(IF(NOT(ISBLANK(M2894)), M2894, L2894), N2894, Holiday_Dates) &lt;= 0,
                1,
                NETWORKDAYS(IF(NOT(ISBLANK(M2894)), M2894, L2894), N2894, Holiday_Dates)
                - IF(IF(NOT(ISBLANK(M2894)), M2894, L2894) = N2894, 0, 1)
            )
        )
    ),
    ""
)</f>
        <v/>
      </c>
      <c r="S2894" s="385" t="str">
        <f>IFERROR(
    IF(
        OR(ISBLANK(N2894), ISBLANK(O2894)),
        "",
        MAX(
            1,
            IF(
                NETWORKDAYS(N2894, O2894, Holiday_Dates) &lt;= 0,
                1,
                NETWORKDAYS(N2894, O2894, Holiday_Dates) - IF(N2894 = O2894, 0, 1)
            )
        )
    ),
    ""
)</f>
        <v/>
      </c>
      <c r="T2894" s="385"/>
      <c r="U2894" s="385" t="s">
        <v>4</v>
      </c>
      <c r="V2894" s="385" t="s">
        <v>101</v>
      </c>
      <c r="W2894" s="385" t="s">
        <v>1436</v>
      </c>
      <c r="X2894" s="1"/>
    </row>
    <row r="2895" spans="1:24">
      <c r="A2895" s="385" t="s">
        <v>53</v>
      </c>
      <c r="B2895" s="385" t="s">
        <v>544</v>
      </c>
      <c r="C2895" s="385" t="s">
        <v>4345</v>
      </c>
      <c r="D2895" s="385" t="s">
        <v>89</v>
      </c>
      <c r="E2895" s="385"/>
      <c r="F2895" s="385"/>
      <c r="G2895" s="385"/>
      <c r="H2895" s="385">
        <v>2025</v>
      </c>
      <c r="I2895" s="386">
        <v>45944</v>
      </c>
      <c r="J2895" s="30" t="s">
        <v>5792</v>
      </c>
      <c r="K2895" s="385"/>
      <c r="L2895" s="385"/>
      <c r="M2895" s="385"/>
      <c r="N2895" s="385"/>
      <c r="O2895" s="385"/>
      <c r="P2895" s="385" t="str">
        <f>IFERROR(
    IF(
        OR(ISBLANK(I2895), ISBLANK(L2895)),
        "",
        MAX(
            1,
            IF(
                NETWORKDAYS(I2895, L2895, Holiday_Dates) &lt;= 0,
                1,
                NETWORKDAYS(I2895, L2895, Holiday_Dates) - IF(I2895 = L2895, 0, 1)
            )
        )
    ),
    ""
)</f>
        <v/>
      </c>
      <c r="Q2895" s="385" t="str">
        <f>IF(
    OR(ISBLANK(L2895), ISBLANK(M2895)),
    "",
    MAX(
        1,
        IF(
            NETWORKDAYS(L2895, M2895, Holiday_Dates) &lt;= 0,
            1,
            NETWORKDAYS(L2895, M2895, Holiday_Dates) - IF(L2895 = M2895, 0, 1)
        )
    )
)</f>
        <v/>
      </c>
      <c r="R2895" s="385" t="str">
        <f>IFERROR(
    IF(
        OR(ISBLANK(N2895), AND(ISBLANK(L2895), ISBLANK(M2895))),
        "",
        MAX(
            1,
            IF(
                NETWORKDAYS(IF(NOT(ISBLANK(M2895)), M2895, L2895), N2895, Holiday_Dates) &lt;= 0,
                1,
                NETWORKDAYS(IF(NOT(ISBLANK(M2895)), M2895, L2895), N2895, Holiday_Dates)
                - IF(IF(NOT(ISBLANK(M2895)), M2895, L2895) = N2895, 0, 1)
            )
        )
    ),
    ""
)</f>
        <v/>
      </c>
      <c r="S2895" s="385" t="str">
        <f>IFERROR(
    IF(
        OR(ISBLANK(N2895), ISBLANK(O2895)),
        "",
        MAX(
            1,
            IF(
                NETWORKDAYS(N2895, O2895, Holiday_Dates) &lt;= 0,
                1,
                NETWORKDAYS(N2895, O2895, Holiday_Dates) - IF(N2895 = O2895, 0, 1)
            )
        )
    ),
    ""
)</f>
        <v/>
      </c>
      <c r="T2895" s="385"/>
      <c r="U2895" s="385" t="s">
        <v>4</v>
      </c>
      <c r="V2895" s="385" t="s">
        <v>101</v>
      </c>
      <c r="W2895" s="385" t="s">
        <v>1436</v>
      </c>
      <c r="X2895" s="1"/>
    </row>
    <row r="2896" spans="1:24">
      <c r="A2896" s="385" t="s">
        <v>53</v>
      </c>
      <c r="B2896" s="385" t="s">
        <v>544</v>
      </c>
      <c r="C2896" s="385" t="s">
        <v>368</v>
      </c>
      <c r="D2896" s="385" t="s">
        <v>89</v>
      </c>
      <c r="E2896" s="385"/>
      <c r="F2896" s="385"/>
      <c r="G2896" s="385"/>
      <c r="H2896" s="385">
        <v>2025</v>
      </c>
      <c r="I2896" s="386">
        <v>45821</v>
      </c>
      <c r="J2896" s="30" t="s">
        <v>5793</v>
      </c>
      <c r="K2896" s="385"/>
      <c r="L2896" s="385"/>
      <c r="M2896" s="385"/>
      <c r="N2896" s="385"/>
      <c r="O2896" s="385"/>
      <c r="P2896" s="385" t="str">
        <f>IFERROR(
    IF(
        OR(ISBLANK(I2896), ISBLANK(L2896)),
        "",
        MAX(
            1,
            IF(
                NETWORKDAYS(I2896, L2896, Holiday_Dates) &lt;= 0,
                1,
                NETWORKDAYS(I2896, L2896, Holiday_Dates) - IF(I2896 = L2896, 0, 1)
            )
        )
    ),
    ""
)</f>
        <v/>
      </c>
      <c r="Q2896" s="385" t="str">
        <f>IF(
    OR(ISBLANK(L2896), ISBLANK(M2896)),
    "",
    MAX(
        1,
        IF(
            NETWORKDAYS(L2896, M2896, Holiday_Dates) &lt;= 0,
            1,
            NETWORKDAYS(L2896, M2896, Holiday_Dates) - IF(L2896 = M2896, 0, 1)
        )
    )
)</f>
        <v/>
      </c>
      <c r="R2896" s="385" t="str">
        <f>IFERROR(
    IF(
        OR(ISBLANK(N2896), AND(ISBLANK(L2896), ISBLANK(M2896))),
        "",
        MAX(
            1,
            IF(
                NETWORKDAYS(IF(NOT(ISBLANK(M2896)), M2896, L2896), N2896, Holiday_Dates) &lt;= 0,
                1,
                NETWORKDAYS(IF(NOT(ISBLANK(M2896)), M2896, L2896), N2896, Holiday_Dates)
                - IF(IF(NOT(ISBLANK(M2896)), M2896, L2896) = N2896, 0, 1)
            )
        )
    ),
    ""
)</f>
        <v/>
      </c>
      <c r="S2896" s="385" t="str">
        <f>IFERROR(
    IF(
        OR(ISBLANK(N2896), ISBLANK(O2896)),
        "",
        MAX(
            1,
            IF(
                NETWORKDAYS(N2896, O2896, Holiday_Dates) &lt;= 0,
                1,
                NETWORKDAYS(N2896, O2896, Holiday_Dates) - IF(N2896 = O2896, 0, 1)
            )
        )
    ),
    ""
)</f>
        <v/>
      </c>
      <c r="T2896" s="385"/>
      <c r="U2896" s="385" t="s">
        <v>4</v>
      </c>
      <c r="V2896" s="385" t="s">
        <v>101</v>
      </c>
      <c r="W2896" s="385" t="s">
        <v>1436</v>
      </c>
      <c r="X2896" s="1"/>
    </row>
    <row r="2897" spans="1:24">
      <c r="A2897" s="385" t="s">
        <v>53</v>
      </c>
      <c r="B2897" s="385" t="s">
        <v>544</v>
      </c>
      <c r="C2897" s="385" t="s">
        <v>4346</v>
      </c>
      <c r="D2897" s="385" t="s">
        <v>89</v>
      </c>
      <c r="E2897" s="385"/>
      <c r="F2897" s="385"/>
      <c r="G2897" s="385"/>
      <c r="H2897" s="385">
        <v>2025</v>
      </c>
      <c r="I2897" s="386">
        <v>45701</v>
      </c>
      <c r="J2897" s="30" t="s">
        <v>5794</v>
      </c>
      <c r="K2897" s="385"/>
      <c r="L2897" s="385"/>
      <c r="M2897" s="385"/>
      <c r="N2897" s="385"/>
      <c r="O2897" s="385"/>
      <c r="P2897" s="385" t="str">
        <f>IFERROR(
    IF(
        OR(ISBLANK(I2897), ISBLANK(L2897)),
        "",
        MAX(
            1,
            IF(
                NETWORKDAYS(I2897, L2897, Holiday_Dates) &lt;= 0,
                1,
                NETWORKDAYS(I2897, L2897, Holiday_Dates) - IF(I2897 = L2897, 0, 1)
            )
        )
    ),
    ""
)</f>
        <v/>
      </c>
      <c r="Q2897" s="385" t="str">
        <f>IF(
    OR(ISBLANK(L2897), ISBLANK(M2897)),
    "",
    MAX(
        1,
        IF(
            NETWORKDAYS(L2897, M2897, Holiday_Dates) &lt;= 0,
            1,
            NETWORKDAYS(L2897, M2897, Holiday_Dates) - IF(L2897 = M2897, 0, 1)
        )
    )
)</f>
        <v/>
      </c>
      <c r="R2897" s="385" t="str">
        <f>IFERROR(
    IF(
        OR(ISBLANK(N2897), AND(ISBLANK(L2897), ISBLANK(M2897))),
        "",
        MAX(
            1,
            IF(
                NETWORKDAYS(IF(NOT(ISBLANK(M2897)), M2897, L2897), N2897, Holiday_Dates) &lt;= 0,
                1,
                NETWORKDAYS(IF(NOT(ISBLANK(M2897)), M2897, L2897), N2897, Holiday_Dates)
                - IF(IF(NOT(ISBLANK(M2897)), M2897, L2897) = N2897, 0, 1)
            )
        )
    ),
    ""
)</f>
        <v/>
      </c>
      <c r="S2897" s="385" t="str">
        <f>IFERROR(
    IF(
        OR(ISBLANK(N2897), ISBLANK(O2897)),
        "",
        MAX(
            1,
            IF(
                NETWORKDAYS(N2897, O2897, Holiday_Dates) &lt;= 0,
                1,
                NETWORKDAYS(N2897, O2897, Holiday_Dates) - IF(N2897 = O2897, 0, 1)
            )
        )
    ),
    ""
)</f>
        <v/>
      </c>
      <c r="T2897" s="385"/>
      <c r="U2897" s="385" t="s">
        <v>4</v>
      </c>
      <c r="V2897" s="385" t="s">
        <v>101</v>
      </c>
      <c r="W2897" s="385" t="s">
        <v>1436</v>
      </c>
      <c r="X2897" s="1"/>
    </row>
    <row r="2898" spans="1:24">
      <c r="A2898" s="385" t="s">
        <v>53</v>
      </c>
      <c r="B2898" s="385" t="s">
        <v>544</v>
      </c>
      <c r="C2898" s="385" t="s">
        <v>4348</v>
      </c>
      <c r="D2898" s="385" t="s">
        <v>89</v>
      </c>
      <c r="E2898" s="385"/>
      <c r="F2898" s="385"/>
      <c r="G2898" s="385"/>
      <c r="H2898" s="385">
        <v>2025</v>
      </c>
      <c r="I2898" s="386">
        <v>45911</v>
      </c>
      <c r="J2898" s="30" t="s">
        <v>5795</v>
      </c>
      <c r="K2898" s="385"/>
      <c r="L2898" s="385"/>
      <c r="M2898" s="385"/>
      <c r="N2898" s="385"/>
      <c r="O2898" s="385"/>
      <c r="P2898" s="385" t="str">
        <f>IFERROR(
    IF(
        OR(ISBLANK(I2898), ISBLANK(L2898)),
        "",
        MAX(
            1,
            IF(
                NETWORKDAYS(I2898, L2898, Holiday_Dates) &lt;= 0,
                1,
                NETWORKDAYS(I2898, L2898, Holiday_Dates) - IF(I2898 = L2898, 0, 1)
            )
        )
    ),
    ""
)</f>
        <v/>
      </c>
      <c r="Q2898" s="385" t="str">
        <f>IF(
    OR(ISBLANK(L2898), ISBLANK(M2898)),
    "",
    MAX(
        1,
        IF(
            NETWORKDAYS(L2898, M2898, Holiday_Dates) &lt;= 0,
            1,
            NETWORKDAYS(L2898, M2898, Holiday_Dates) - IF(L2898 = M2898, 0, 1)
        )
    )
)</f>
        <v/>
      </c>
      <c r="R2898" s="385" t="str">
        <f>IFERROR(
    IF(
        OR(ISBLANK(N2898), AND(ISBLANK(L2898), ISBLANK(M2898))),
        "",
        MAX(
            1,
            IF(
                NETWORKDAYS(IF(NOT(ISBLANK(M2898)), M2898, L2898), N2898, Holiday_Dates) &lt;= 0,
                1,
                NETWORKDAYS(IF(NOT(ISBLANK(M2898)), M2898, L2898), N2898, Holiday_Dates)
                - IF(IF(NOT(ISBLANK(M2898)), M2898, L2898) = N2898, 0, 1)
            )
        )
    ),
    ""
)</f>
        <v/>
      </c>
      <c r="S2898" s="385" t="str">
        <f>IFERROR(
    IF(
        OR(ISBLANK(N2898), ISBLANK(O2898)),
        "",
        MAX(
            1,
            IF(
                NETWORKDAYS(N2898, O2898, Holiday_Dates) &lt;= 0,
                1,
                NETWORKDAYS(N2898, O2898, Holiday_Dates) - IF(N2898 = O2898, 0, 1)
            )
        )
    ),
    ""
)</f>
        <v/>
      </c>
      <c r="T2898" s="385"/>
      <c r="U2898" s="385" t="s">
        <v>4</v>
      </c>
      <c r="V2898" s="385" t="s">
        <v>101</v>
      </c>
      <c r="W2898" s="385" t="s">
        <v>1436</v>
      </c>
      <c r="X2898" s="1"/>
    </row>
    <row r="2899" spans="1:24">
      <c r="A2899" s="385" t="s">
        <v>53</v>
      </c>
      <c r="B2899" s="385" t="s">
        <v>544</v>
      </c>
      <c r="C2899" s="385" t="s">
        <v>4347</v>
      </c>
      <c r="D2899" s="385" t="s">
        <v>89</v>
      </c>
      <c r="E2899" s="385"/>
      <c r="F2899" s="385"/>
      <c r="G2899" s="385"/>
      <c r="H2899" s="385">
        <v>2025</v>
      </c>
      <c r="I2899" s="386">
        <v>45728</v>
      </c>
      <c r="J2899" s="30" t="s">
        <v>5796</v>
      </c>
      <c r="K2899" s="385"/>
      <c r="L2899" s="385"/>
      <c r="M2899" s="385"/>
      <c r="N2899" s="385"/>
      <c r="O2899" s="385"/>
      <c r="P2899" s="385" t="str">
        <f>IFERROR(
    IF(
        OR(ISBLANK(I2899), ISBLANK(L2899)),
        "",
        MAX(
            1,
            IF(
                NETWORKDAYS(I2899, L2899, Holiday_Dates) &lt;= 0,
                1,
                NETWORKDAYS(I2899, L2899, Holiday_Dates) - IF(I2899 = L2899, 0, 1)
            )
        )
    ),
    ""
)</f>
        <v/>
      </c>
      <c r="Q2899" s="385" t="str">
        <f>IF(
    OR(ISBLANK(L2899), ISBLANK(M2899)),
    "",
    MAX(
        1,
        IF(
            NETWORKDAYS(L2899, M2899, Holiday_Dates) &lt;= 0,
            1,
            NETWORKDAYS(L2899, M2899, Holiday_Dates) - IF(L2899 = M2899, 0, 1)
        )
    )
)</f>
        <v/>
      </c>
      <c r="R2899" s="385" t="str">
        <f>IFERROR(
    IF(
        OR(ISBLANK(N2899), AND(ISBLANK(L2899), ISBLANK(M2899))),
        "",
        MAX(
            1,
            IF(
                NETWORKDAYS(IF(NOT(ISBLANK(M2899)), M2899, L2899), N2899, Holiday_Dates) &lt;= 0,
                1,
                NETWORKDAYS(IF(NOT(ISBLANK(M2899)), M2899, L2899), N2899, Holiday_Dates)
                - IF(IF(NOT(ISBLANK(M2899)), M2899, L2899) = N2899, 0, 1)
            )
        )
    ),
    ""
)</f>
        <v/>
      </c>
      <c r="S2899" s="385" t="str">
        <f>IFERROR(
    IF(
        OR(ISBLANK(N2899), ISBLANK(O2899)),
        "",
        MAX(
            1,
            IF(
                NETWORKDAYS(N2899, O2899, Holiday_Dates) &lt;= 0,
                1,
                NETWORKDAYS(N2899, O2899, Holiday_Dates) - IF(N2899 = O2899, 0, 1)
            )
        )
    ),
    ""
)</f>
        <v/>
      </c>
      <c r="T2899" s="385"/>
      <c r="U2899" s="385" t="s">
        <v>4</v>
      </c>
      <c r="V2899" s="385" t="s">
        <v>101</v>
      </c>
      <c r="W2899" s="385" t="s">
        <v>1436</v>
      </c>
      <c r="X2899" s="1"/>
    </row>
    <row r="2900" spans="1:24">
      <c r="A2900" s="385" t="s">
        <v>53</v>
      </c>
      <c r="B2900" s="385" t="s">
        <v>544</v>
      </c>
      <c r="C2900" s="385" t="s">
        <v>4357</v>
      </c>
      <c r="D2900" s="385" t="s">
        <v>89</v>
      </c>
      <c r="E2900" s="385"/>
      <c r="F2900" s="385"/>
      <c r="G2900" s="385"/>
      <c r="H2900" s="385">
        <v>2025</v>
      </c>
      <c r="I2900" s="386">
        <v>45911</v>
      </c>
      <c r="J2900" s="30" t="s">
        <v>5797</v>
      </c>
      <c r="K2900" s="385"/>
      <c r="L2900" s="385"/>
      <c r="M2900" s="385"/>
      <c r="N2900" s="385"/>
      <c r="O2900" s="385"/>
      <c r="P2900" s="385" t="str">
        <f>IFERROR(
    IF(
        OR(ISBLANK(I2900), ISBLANK(L2900)),
        "",
        MAX(
            1,
            IF(
                NETWORKDAYS(I2900, L2900, Holiday_Dates) &lt;= 0,
                1,
                NETWORKDAYS(I2900, L2900, Holiday_Dates) - IF(I2900 = L2900, 0, 1)
            )
        )
    ),
    ""
)</f>
        <v/>
      </c>
      <c r="Q2900" s="385" t="str">
        <f>IF(
    OR(ISBLANK(L2900), ISBLANK(M2900)),
    "",
    MAX(
        1,
        IF(
            NETWORKDAYS(L2900, M2900, Holiday_Dates) &lt;= 0,
            1,
            NETWORKDAYS(L2900, M2900, Holiday_Dates) - IF(L2900 = M2900, 0, 1)
        )
    )
)</f>
        <v/>
      </c>
      <c r="R2900" s="385" t="str">
        <f>IFERROR(
    IF(
        OR(ISBLANK(N2900), AND(ISBLANK(L2900), ISBLANK(M2900))),
        "",
        MAX(
            1,
            IF(
                NETWORKDAYS(IF(NOT(ISBLANK(M2900)), M2900, L2900), N2900, Holiday_Dates) &lt;= 0,
                1,
                NETWORKDAYS(IF(NOT(ISBLANK(M2900)), M2900, L2900), N2900, Holiday_Dates)
                - IF(IF(NOT(ISBLANK(M2900)), M2900, L2900) = N2900, 0, 1)
            )
        )
    ),
    ""
)</f>
        <v/>
      </c>
      <c r="S2900" s="385" t="str">
        <f>IFERROR(
    IF(
        OR(ISBLANK(N2900), ISBLANK(O2900)),
        "",
        MAX(
            1,
            IF(
                NETWORKDAYS(N2900, O2900, Holiday_Dates) &lt;= 0,
                1,
                NETWORKDAYS(N2900, O2900, Holiday_Dates) - IF(N2900 = O2900, 0, 1)
            )
        )
    ),
    ""
)</f>
        <v/>
      </c>
      <c r="T2900" s="385"/>
      <c r="U2900" s="385" t="s">
        <v>4</v>
      </c>
      <c r="V2900" s="385" t="s">
        <v>101</v>
      </c>
      <c r="W2900" s="385" t="s">
        <v>1436</v>
      </c>
      <c r="X2900" s="1"/>
    </row>
    <row r="2901" spans="1:24">
      <c r="A2901" s="385" t="s">
        <v>53</v>
      </c>
      <c r="B2901" s="385" t="s">
        <v>544</v>
      </c>
      <c r="C2901" s="385" t="s">
        <v>4349</v>
      </c>
      <c r="D2901" s="385" t="s">
        <v>89</v>
      </c>
      <c r="E2901" s="385"/>
      <c r="F2901" s="385"/>
      <c r="G2901" s="385"/>
      <c r="H2901" s="385">
        <v>2025</v>
      </c>
      <c r="I2901" s="386">
        <v>45911</v>
      </c>
      <c r="J2901" s="30" t="s">
        <v>5798</v>
      </c>
      <c r="K2901" s="385"/>
      <c r="L2901" s="385"/>
      <c r="M2901" s="385"/>
      <c r="N2901" s="385"/>
      <c r="O2901" s="385"/>
      <c r="P2901" s="385" t="str">
        <f>IFERROR(
    IF(
        OR(ISBLANK(I2901), ISBLANK(L2901)),
        "",
        MAX(
            1,
            IF(
                NETWORKDAYS(I2901, L2901, Holiday_Dates) &lt;= 0,
                1,
                NETWORKDAYS(I2901, L2901, Holiday_Dates) - IF(I2901 = L2901, 0, 1)
            )
        )
    ),
    ""
)</f>
        <v/>
      </c>
      <c r="Q2901" s="385" t="str">
        <f>IF(
    OR(ISBLANK(L2901), ISBLANK(M2901)),
    "",
    MAX(
        1,
        IF(
            NETWORKDAYS(L2901, M2901, Holiday_Dates) &lt;= 0,
            1,
            NETWORKDAYS(L2901, M2901, Holiday_Dates) - IF(L2901 = M2901, 0, 1)
        )
    )
)</f>
        <v/>
      </c>
      <c r="R2901" s="385" t="str">
        <f>IFERROR(
    IF(
        OR(ISBLANK(N2901), AND(ISBLANK(L2901), ISBLANK(M2901))),
        "",
        MAX(
            1,
            IF(
                NETWORKDAYS(IF(NOT(ISBLANK(M2901)), M2901, L2901), N2901, Holiday_Dates) &lt;= 0,
                1,
                NETWORKDAYS(IF(NOT(ISBLANK(M2901)), M2901, L2901), N2901, Holiday_Dates)
                - IF(IF(NOT(ISBLANK(M2901)), M2901, L2901) = N2901, 0, 1)
            )
        )
    ),
    ""
)</f>
        <v/>
      </c>
      <c r="S2901" s="385" t="str">
        <f>IFERROR(
    IF(
        OR(ISBLANK(N2901), ISBLANK(O2901)),
        "",
        MAX(
            1,
            IF(
                NETWORKDAYS(N2901, O2901, Holiday_Dates) &lt;= 0,
                1,
                NETWORKDAYS(N2901, O2901, Holiday_Dates) - IF(N2901 = O2901, 0, 1)
            )
        )
    ),
    ""
)</f>
        <v/>
      </c>
      <c r="T2901" s="385"/>
      <c r="U2901" s="385" t="s">
        <v>4</v>
      </c>
      <c r="V2901" s="385" t="s">
        <v>101</v>
      </c>
      <c r="W2901" s="385" t="s">
        <v>1436</v>
      </c>
      <c r="X2901" s="1"/>
    </row>
    <row r="2902" spans="1:24">
      <c r="A2902" s="385" t="s">
        <v>53</v>
      </c>
      <c r="B2902" s="385" t="s">
        <v>544</v>
      </c>
      <c r="C2902" s="385" t="s">
        <v>3425</v>
      </c>
      <c r="D2902" s="385" t="s">
        <v>89</v>
      </c>
      <c r="E2902" s="385"/>
      <c r="F2902" s="385"/>
      <c r="G2902" s="385"/>
      <c r="H2902" s="385">
        <v>2025</v>
      </c>
      <c r="I2902" s="386">
        <v>45821</v>
      </c>
      <c r="J2902" s="30" t="s">
        <v>5799</v>
      </c>
      <c r="K2902" s="385"/>
      <c r="L2902" s="385"/>
      <c r="M2902" s="385"/>
      <c r="N2902" s="385"/>
      <c r="O2902" s="385"/>
      <c r="P2902" s="385" t="str">
        <f>IFERROR(
    IF(
        OR(ISBLANK(I2902), ISBLANK(L2902)),
        "",
        MAX(
            1,
            IF(
                NETWORKDAYS(I2902, L2902, Holiday_Dates) &lt;= 0,
                1,
                NETWORKDAYS(I2902, L2902, Holiday_Dates) - IF(I2902 = L2902, 0, 1)
            )
        )
    ),
    ""
)</f>
        <v/>
      </c>
      <c r="Q2902" s="385" t="str">
        <f>IF(
    OR(ISBLANK(L2902), ISBLANK(M2902)),
    "",
    MAX(
        1,
        IF(
            NETWORKDAYS(L2902, M2902, Holiday_Dates) &lt;= 0,
            1,
            NETWORKDAYS(L2902, M2902, Holiday_Dates) - IF(L2902 = M2902, 0, 1)
        )
    )
)</f>
        <v/>
      </c>
      <c r="R2902" s="385" t="str">
        <f>IFERROR(
    IF(
        OR(ISBLANK(N2902), AND(ISBLANK(L2902), ISBLANK(M2902))),
        "",
        MAX(
            1,
            IF(
                NETWORKDAYS(IF(NOT(ISBLANK(M2902)), M2902, L2902), N2902, Holiday_Dates) &lt;= 0,
                1,
                NETWORKDAYS(IF(NOT(ISBLANK(M2902)), M2902, L2902), N2902, Holiday_Dates)
                - IF(IF(NOT(ISBLANK(M2902)), M2902, L2902) = N2902, 0, 1)
            )
        )
    ),
    ""
)</f>
        <v/>
      </c>
      <c r="S2902" s="385" t="str">
        <f>IFERROR(
    IF(
        OR(ISBLANK(N2902), ISBLANK(O2902)),
        "",
        MAX(
            1,
            IF(
                NETWORKDAYS(N2902, O2902, Holiday_Dates) &lt;= 0,
                1,
                NETWORKDAYS(N2902, O2902, Holiday_Dates) - IF(N2902 = O2902, 0, 1)
            )
        )
    ),
    ""
)</f>
        <v/>
      </c>
      <c r="T2902" s="385"/>
      <c r="U2902" s="385" t="s">
        <v>4</v>
      </c>
      <c r="V2902" s="385" t="s">
        <v>101</v>
      </c>
      <c r="W2902" s="385" t="s">
        <v>1436</v>
      </c>
      <c r="X2902" s="1"/>
    </row>
    <row r="2903" spans="1:24">
      <c r="A2903" s="385" t="s">
        <v>53</v>
      </c>
      <c r="B2903" s="385" t="s">
        <v>544</v>
      </c>
      <c r="C2903" s="385" t="s">
        <v>1039</v>
      </c>
      <c r="D2903" s="385" t="s">
        <v>89</v>
      </c>
      <c r="E2903" s="385"/>
      <c r="F2903" s="385"/>
      <c r="G2903" s="385"/>
      <c r="H2903" s="385">
        <v>2024</v>
      </c>
      <c r="I2903" s="386">
        <v>45540</v>
      </c>
      <c r="J2903" s="30"/>
      <c r="K2903" s="385"/>
      <c r="L2903" s="385"/>
      <c r="M2903" s="385"/>
      <c r="N2903" s="385"/>
      <c r="O2903" s="385"/>
      <c r="P2903" s="385" t="str">
        <f>IFERROR(
    IF(
        OR(ISBLANK(I2903), ISBLANK(L2903)),
        "",
        MAX(
            1,
            IF(
                NETWORKDAYS(I2903, L2903, Holiday_Dates) &lt;= 0,
                1,
                NETWORKDAYS(I2903, L2903, Holiday_Dates) - IF(I2903 = L2903, 0, 1)
            )
        )
    ),
    ""
)</f>
        <v/>
      </c>
      <c r="Q2903" s="385" t="str">
        <f>IF(
    OR(ISBLANK(L2903), ISBLANK(M2903)),
    "",
    MAX(
        1,
        IF(
            NETWORKDAYS(L2903, M2903, Holiday_Dates) &lt;= 0,
            1,
            NETWORKDAYS(L2903, M2903, Holiday_Dates) - IF(L2903 = M2903, 0, 1)
        )
    )
)</f>
        <v/>
      </c>
      <c r="R2903" s="385" t="str">
        <f>IFERROR(
    IF(
        OR(ISBLANK(N2903), AND(ISBLANK(L2903), ISBLANK(M2903))),
        "",
        MAX(
            1,
            IF(
                NETWORKDAYS(IF(NOT(ISBLANK(M2903)), M2903, L2903), N2903, Holiday_Dates) &lt;= 0,
                1,
                NETWORKDAYS(IF(NOT(ISBLANK(M2903)), M2903, L2903), N2903, Holiday_Dates)
                - IF(IF(NOT(ISBLANK(M2903)), M2903, L2903) = N2903, 0, 1)
            )
        )
    ),
    ""
)</f>
        <v/>
      </c>
      <c r="S2903" s="385" t="str">
        <f>IFERROR(
    IF(
        OR(ISBLANK(N2903), ISBLANK(O2903)),
        "",
        MAX(
            1,
            IF(
                NETWORKDAYS(N2903, O2903, Holiday_Dates) &lt;= 0,
                1,
                NETWORKDAYS(N2903, O2903, Holiday_Dates) - IF(N2903 = O2903, 0, 1)
            )
        )
    ),
    ""
)</f>
        <v/>
      </c>
      <c r="T2903" s="385"/>
      <c r="U2903" s="385" t="s">
        <v>4</v>
      </c>
      <c r="V2903" s="385" t="s">
        <v>101</v>
      </c>
      <c r="W2903" s="385" t="s">
        <v>1436</v>
      </c>
      <c r="X2903" s="1"/>
    </row>
    <row r="2904" spans="1:24">
      <c r="A2904" s="385" t="s">
        <v>53</v>
      </c>
      <c r="B2904" s="385" t="s">
        <v>544</v>
      </c>
      <c r="C2904" s="385" t="s">
        <v>4351</v>
      </c>
      <c r="D2904" s="385" t="s">
        <v>89</v>
      </c>
      <c r="E2904" s="385"/>
      <c r="F2904" s="385"/>
      <c r="G2904" s="385"/>
      <c r="H2904" s="385">
        <v>2025</v>
      </c>
      <c r="I2904" s="386">
        <v>45911</v>
      </c>
      <c r="J2904" s="30" t="s">
        <v>5800</v>
      </c>
      <c r="K2904" s="385"/>
      <c r="L2904" s="385"/>
      <c r="M2904" s="385"/>
      <c r="N2904" s="385"/>
      <c r="O2904" s="385"/>
      <c r="P2904" s="385" t="str">
        <f>IFERROR(
    IF(
        OR(ISBLANK(I2904), ISBLANK(L2904)),
        "",
        MAX(
            1,
            IF(
                NETWORKDAYS(I2904, L2904, Holiday_Dates) &lt;= 0,
                1,
                NETWORKDAYS(I2904, L2904, Holiday_Dates) - IF(I2904 = L2904, 0, 1)
            )
        )
    ),
    ""
)</f>
        <v/>
      </c>
      <c r="Q2904" s="385" t="str">
        <f>IF(
    OR(ISBLANK(L2904), ISBLANK(M2904)),
    "",
    MAX(
        1,
        IF(
            NETWORKDAYS(L2904, M2904, Holiday_Dates) &lt;= 0,
            1,
            NETWORKDAYS(L2904, M2904, Holiday_Dates) - IF(L2904 = M2904, 0, 1)
        )
    )
)</f>
        <v/>
      </c>
      <c r="R2904" s="385" t="str">
        <f>IFERROR(
    IF(
        OR(ISBLANK(N2904), AND(ISBLANK(L2904), ISBLANK(M2904))),
        "",
        MAX(
            1,
            IF(
                NETWORKDAYS(IF(NOT(ISBLANK(M2904)), M2904, L2904), N2904, Holiday_Dates) &lt;= 0,
                1,
                NETWORKDAYS(IF(NOT(ISBLANK(M2904)), M2904, L2904), N2904, Holiday_Dates)
                - IF(IF(NOT(ISBLANK(M2904)), M2904, L2904) = N2904, 0, 1)
            )
        )
    ),
    ""
)</f>
        <v/>
      </c>
      <c r="S2904" s="385" t="str">
        <f>IFERROR(
    IF(
        OR(ISBLANK(N2904), ISBLANK(O2904)),
        "",
        MAX(
            1,
            IF(
                NETWORKDAYS(N2904, O2904, Holiday_Dates) &lt;= 0,
                1,
                NETWORKDAYS(N2904, O2904, Holiday_Dates) - IF(N2904 = O2904, 0, 1)
            )
        )
    ),
    ""
)</f>
        <v/>
      </c>
      <c r="T2904" s="385"/>
      <c r="U2904" s="385" t="s">
        <v>4</v>
      </c>
      <c r="V2904" s="385" t="s">
        <v>101</v>
      </c>
      <c r="W2904" s="385" t="s">
        <v>1436</v>
      </c>
      <c r="X2904" s="1"/>
    </row>
    <row r="2905" spans="1:24">
      <c r="A2905" s="385" t="s">
        <v>53</v>
      </c>
      <c r="B2905" s="385" t="s">
        <v>544</v>
      </c>
      <c r="C2905" s="385" t="s">
        <v>4352</v>
      </c>
      <c r="D2905" s="385" t="s">
        <v>89</v>
      </c>
      <c r="E2905" s="385"/>
      <c r="F2905" s="385"/>
      <c r="G2905" s="385"/>
      <c r="H2905" s="385">
        <v>2025</v>
      </c>
      <c r="I2905" s="386">
        <v>45911</v>
      </c>
      <c r="J2905" s="30" t="s">
        <v>5801</v>
      </c>
      <c r="K2905" s="385"/>
      <c r="L2905" s="385"/>
      <c r="M2905" s="385"/>
      <c r="N2905" s="385"/>
      <c r="O2905" s="385"/>
      <c r="P2905" s="385" t="str">
        <f>IFERROR(
    IF(
        OR(ISBLANK(I2905), ISBLANK(L2905)),
        "",
        MAX(
            1,
            IF(
                NETWORKDAYS(I2905, L2905, Holiday_Dates) &lt;= 0,
                1,
                NETWORKDAYS(I2905, L2905, Holiday_Dates) - IF(I2905 = L2905, 0, 1)
            )
        )
    ),
    ""
)</f>
        <v/>
      </c>
      <c r="Q2905" s="385" t="str">
        <f>IF(
    OR(ISBLANK(L2905), ISBLANK(M2905)),
    "",
    MAX(
        1,
        IF(
            NETWORKDAYS(L2905, M2905, Holiday_Dates) &lt;= 0,
            1,
            NETWORKDAYS(L2905, M2905, Holiday_Dates) - IF(L2905 = M2905, 0, 1)
        )
    )
)</f>
        <v/>
      </c>
      <c r="R2905" s="385" t="str">
        <f>IFERROR(
    IF(
        OR(ISBLANK(N2905), AND(ISBLANK(L2905), ISBLANK(M2905))),
        "",
        MAX(
            1,
            IF(
                NETWORKDAYS(IF(NOT(ISBLANK(M2905)), M2905, L2905), N2905, Holiday_Dates) &lt;= 0,
                1,
                NETWORKDAYS(IF(NOT(ISBLANK(M2905)), M2905, L2905), N2905, Holiday_Dates)
                - IF(IF(NOT(ISBLANK(M2905)), M2905, L2905) = N2905, 0, 1)
            )
        )
    ),
    ""
)</f>
        <v/>
      </c>
      <c r="S2905" s="385" t="str">
        <f>IFERROR(
    IF(
        OR(ISBLANK(N2905), ISBLANK(O2905)),
        "",
        MAX(
            1,
            IF(
                NETWORKDAYS(N2905, O2905, Holiday_Dates) &lt;= 0,
                1,
                NETWORKDAYS(N2905, O2905, Holiday_Dates) - IF(N2905 = O2905, 0, 1)
            )
        )
    ),
    ""
)</f>
        <v/>
      </c>
      <c r="T2905" s="385"/>
      <c r="U2905" s="385" t="s">
        <v>4</v>
      </c>
      <c r="V2905" s="385" t="s">
        <v>101</v>
      </c>
      <c r="W2905" s="385" t="s">
        <v>1436</v>
      </c>
      <c r="X2905" s="1"/>
    </row>
    <row r="2906" spans="1:24">
      <c r="A2906" s="385" t="s">
        <v>53</v>
      </c>
      <c r="B2906" s="385" t="s">
        <v>544</v>
      </c>
      <c r="C2906" s="385" t="s">
        <v>714</v>
      </c>
      <c r="D2906" s="385" t="s">
        <v>89</v>
      </c>
      <c r="E2906" s="385"/>
      <c r="F2906" s="385"/>
      <c r="G2906" s="385"/>
      <c r="H2906" s="385">
        <v>2024</v>
      </c>
      <c r="I2906" s="386">
        <v>45484</v>
      </c>
      <c r="J2906" s="30"/>
      <c r="K2906" s="385"/>
      <c r="L2906" s="385"/>
      <c r="M2906" s="385"/>
      <c r="N2906" s="385"/>
      <c r="O2906" s="385"/>
      <c r="P2906" s="385" t="str">
        <f>IFERROR(
    IF(
        OR(ISBLANK(I2906), ISBLANK(L2906)),
        "",
        MAX(
            1,
            IF(
                NETWORKDAYS(I2906, L2906, Holiday_Dates) &lt;= 0,
                1,
                NETWORKDAYS(I2906, L2906, Holiday_Dates) - IF(I2906 = L2906, 0, 1)
            )
        )
    ),
    ""
)</f>
        <v/>
      </c>
      <c r="Q2906" s="385" t="str">
        <f>IF(
    OR(ISBLANK(L2906), ISBLANK(M2906)),
    "",
    MAX(
        1,
        IF(
            NETWORKDAYS(L2906, M2906, Holiday_Dates) &lt;= 0,
            1,
            NETWORKDAYS(L2906, M2906, Holiday_Dates) - IF(L2906 = M2906, 0, 1)
        )
    )
)</f>
        <v/>
      </c>
      <c r="R2906" s="385" t="str">
        <f>IFERROR(
    IF(
        OR(ISBLANK(N2906), AND(ISBLANK(L2906), ISBLANK(M2906))),
        "",
        MAX(
            1,
            IF(
                NETWORKDAYS(IF(NOT(ISBLANK(M2906)), M2906, L2906), N2906, Holiday_Dates) &lt;= 0,
                1,
                NETWORKDAYS(IF(NOT(ISBLANK(M2906)), M2906, L2906), N2906, Holiday_Dates)
                - IF(IF(NOT(ISBLANK(M2906)), M2906, L2906) = N2906, 0, 1)
            )
        )
    ),
    ""
)</f>
        <v/>
      </c>
      <c r="S2906" s="385" t="str">
        <f>IFERROR(
    IF(
        OR(ISBLANK(N2906), ISBLANK(O2906)),
        "",
        MAX(
            1,
            IF(
                NETWORKDAYS(N2906, O2906, Holiday_Dates) &lt;= 0,
                1,
                NETWORKDAYS(N2906, O2906, Holiday_Dates) - IF(N2906 = O2906, 0, 1)
            )
        )
    ),
    ""
)</f>
        <v/>
      </c>
      <c r="T2906" s="385"/>
      <c r="U2906" s="385" t="s">
        <v>4</v>
      </c>
      <c r="V2906" s="385" t="s">
        <v>101</v>
      </c>
      <c r="W2906" s="385" t="s">
        <v>1436</v>
      </c>
      <c r="X2906" s="1"/>
    </row>
    <row r="2907" spans="1:24">
      <c r="A2907" s="385" t="s">
        <v>53</v>
      </c>
      <c r="B2907" s="385" t="s">
        <v>544</v>
      </c>
      <c r="C2907" s="385" t="s">
        <v>520</v>
      </c>
      <c r="D2907" s="385" t="s">
        <v>89</v>
      </c>
      <c r="E2907" s="385"/>
      <c r="F2907" s="385"/>
      <c r="G2907" s="385"/>
      <c r="H2907" s="385">
        <v>2025</v>
      </c>
      <c r="I2907" s="386">
        <v>45911</v>
      </c>
      <c r="J2907" s="30" t="s">
        <v>5802</v>
      </c>
      <c r="K2907" s="385"/>
      <c r="L2907" s="385"/>
      <c r="M2907" s="385"/>
      <c r="N2907" s="385"/>
      <c r="O2907" s="385"/>
      <c r="P2907" s="385" t="str">
        <f>IFERROR(
    IF(
        OR(ISBLANK(I2907), ISBLANK(L2907)),
        "",
        MAX(
            1,
            IF(
                NETWORKDAYS(I2907, L2907, Holiday_Dates) &lt;= 0,
                1,
                NETWORKDAYS(I2907, L2907, Holiday_Dates) - IF(I2907 = L2907, 0, 1)
            )
        )
    ),
    ""
)</f>
        <v/>
      </c>
      <c r="Q2907" s="385" t="str">
        <f>IF(
    OR(ISBLANK(L2907), ISBLANK(M2907)),
    "",
    MAX(
        1,
        IF(
            NETWORKDAYS(L2907, M2907, Holiday_Dates) &lt;= 0,
            1,
            NETWORKDAYS(L2907, M2907, Holiday_Dates) - IF(L2907 = M2907, 0, 1)
        )
    )
)</f>
        <v/>
      </c>
      <c r="R2907" s="385" t="str">
        <f>IFERROR(
    IF(
        OR(ISBLANK(N2907), AND(ISBLANK(L2907), ISBLANK(M2907))),
        "",
        MAX(
            1,
            IF(
                NETWORKDAYS(IF(NOT(ISBLANK(M2907)), M2907, L2907), N2907, Holiday_Dates) &lt;= 0,
                1,
                NETWORKDAYS(IF(NOT(ISBLANK(M2907)), M2907, L2907), N2907, Holiday_Dates)
                - IF(IF(NOT(ISBLANK(M2907)), M2907, L2907) = N2907, 0, 1)
            )
        )
    ),
    ""
)</f>
        <v/>
      </c>
      <c r="S2907" s="385" t="str">
        <f>IFERROR(
    IF(
        OR(ISBLANK(N2907), ISBLANK(O2907)),
        "",
        MAX(
            1,
            IF(
                NETWORKDAYS(N2907, O2907, Holiday_Dates) &lt;= 0,
                1,
                NETWORKDAYS(N2907, O2907, Holiday_Dates) - IF(N2907 = O2907, 0, 1)
            )
        )
    ),
    ""
)</f>
        <v/>
      </c>
      <c r="T2907" s="385"/>
      <c r="U2907" s="385" t="s">
        <v>4</v>
      </c>
      <c r="V2907" s="385" t="s">
        <v>101</v>
      </c>
      <c r="W2907" s="385" t="s">
        <v>1436</v>
      </c>
      <c r="X2907" s="1"/>
    </row>
    <row r="2908" spans="1:24">
      <c r="A2908" s="385" t="s">
        <v>53</v>
      </c>
      <c r="B2908" s="385" t="s">
        <v>544</v>
      </c>
      <c r="C2908" s="385" t="s">
        <v>2178</v>
      </c>
      <c r="D2908" s="385" t="s">
        <v>89</v>
      </c>
      <c r="E2908" s="385"/>
      <c r="F2908" s="385"/>
      <c r="G2908" s="385"/>
      <c r="H2908" s="385">
        <v>2025</v>
      </c>
      <c r="I2908" s="386">
        <v>45757</v>
      </c>
      <c r="J2908" s="30" t="s">
        <v>5803</v>
      </c>
      <c r="K2908" s="385"/>
      <c r="L2908" s="385"/>
      <c r="M2908" s="385"/>
      <c r="N2908" s="385"/>
      <c r="O2908" s="385"/>
      <c r="P2908" s="385" t="str">
        <f>IFERROR(
    IF(
        OR(ISBLANK(I2908), ISBLANK(L2908)),
        "",
        MAX(
            1,
            IF(
                NETWORKDAYS(I2908, L2908, Holiday_Dates) &lt;= 0,
                1,
                NETWORKDAYS(I2908, L2908, Holiday_Dates) - IF(I2908 = L2908, 0, 1)
            )
        )
    ),
    ""
)</f>
        <v/>
      </c>
      <c r="Q2908" s="385" t="str">
        <f>IF(
    OR(ISBLANK(L2908), ISBLANK(M2908)),
    "",
    MAX(
        1,
        IF(
            NETWORKDAYS(L2908, M2908, Holiday_Dates) &lt;= 0,
            1,
            NETWORKDAYS(L2908, M2908, Holiday_Dates) - IF(L2908 = M2908, 0, 1)
        )
    )
)</f>
        <v/>
      </c>
      <c r="R2908" s="385" t="str">
        <f>IFERROR(
    IF(
        OR(ISBLANK(N2908), AND(ISBLANK(L2908), ISBLANK(M2908))),
        "",
        MAX(
            1,
            IF(
                NETWORKDAYS(IF(NOT(ISBLANK(M2908)), M2908, L2908), N2908, Holiday_Dates) &lt;= 0,
                1,
                NETWORKDAYS(IF(NOT(ISBLANK(M2908)), M2908, L2908), N2908, Holiday_Dates)
                - IF(IF(NOT(ISBLANK(M2908)), M2908, L2908) = N2908, 0, 1)
            )
        )
    ),
    ""
)</f>
        <v/>
      </c>
      <c r="S2908" s="385" t="str">
        <f>IFERROR(
    IF(
        OR(ISBLANK(N2908), ISBLANK(O2908)),
        "",
        MAX(
            1,
            IF(
                NETWORKDAYS(N2908, O2908, Holiday_Dates) &lt;= 0,
                1,
                NETWORKDAYS(N2908, O2908, Holiday_Dates) - IF(N2908 = O2908, 0, 1)
            )
        )
    ),
    ""
)</f>
        <v/>
      </c>
      <c r="T2908" s="385"/>
      <c r="U2908" s="385" t="s">
        <v>4</v>
      </c>
      <c r="V2908" s="385" t="s">
        <v>101</v>
      </c>
      <c r="W2908" s="385" t="s">
        <v>1436</v>
      </c>
      <c r="X2908" s="1"/>
    </row>
    <row r="2909" spans="1:24">
      <c r="A2909" s="385" t="s">
        <v>53</v>
      </c>
      <c r="B2909" s="385" t="s">
        <v>544</v>
      </c>
      <c r="C2909" s="385" t="s">
        <v>378</v>
      </c>
      <c r="D2909" s="385" t="s">
        <v>89</v>
      </c>
      <c r="E2909" s="385"/>
      <c r="F2909" s="385"/>
      <c r="G2909" s="385"/>
      <c r="H2909" s="385">
        <v>2025</v>
      </c>
      <c r="I2909" s="386">
        <v>45944</v>
      </c>
      <c r="J2909" s="30" t="s">
        <v>5804</v>
      </c>
      <c r="K2909" s="385"/>
      <c r="L2909" s="385"/>
      <c r="M2909" s="385"/>
      <c r="N2909" s="385"/>
      <c r="O2909" s="385"/>
      <c r="P2909" s="385" t="str">
        <f>IFERROR(
    IF(
        OR(ISBLANK(I2909), ISBLANK(L2909)),
        "",
        MAX(
            1,
            IF(
                NETWORKDAYS(I2909, L2909, Holiday_Dates) &lt;= 0,
                1,
                NETWORKDAYS(I2909, L2909, Holiday_Dates) - IF(I2909 = L2909, 0, 1)
            )
        )
    ),
    ""
)</f>
        <v/>
      </c>
      <c r="Q2909" s="385" t="str">
        <f>IF(
    OR(ISBLANK(L2909), ISBLANK(M2909)),
    "",
    MAX(
        1,
        IF(
            NETWORKDAYS(L2909, M2909, Holiday_Dates) &lt;= 0,
            1,
            NETWORKDAYS(L2909, M2909, Holiday_Dates) - IF(L2909 = M2909, 0, 1)
        )
    )
)</f>
        <v/>
      </c>
      <c r="R2909" s="385" t="str">
        <f>IFERROR(
    IF(
        OR(ISBLANK(N2909), AND(ISBLANK(L2909), ISBLANK(M2909))),
        "",
        MAX(
            1,
            IF(
                NETWORKDAYS(IF(NOT(ISBLANK(M2909)), M2909, L2909), N2909, Holiday_Dates) &lt;= 0,
                1,
                NETWORKDAYS(IF(NOT(ISBLANK(M2909)), M2909, L2909), N2909, Holiday_Dates)
                - IF(IF(NOT(ISBLANK(M2909)), M2909, L2909) = N2909, 0, 1)
            )
        )
    ),
    ""
)</f>
        <v/>
      </c>
      <c r="S2909" s="385" t="str">
        <f>IFERROR(
    IF(
        OR(ISBLANK(N2909), ISBLANK(O2909)),
        "",
        MAX(
            1,
            IF(
                NETWORKDAYS(N2909, O2909, Holiday_Dates) &lt;= 0,
                1,
                NETWORKDAYS(N2909, O2909, Holiday_Dates) - IF(N2909 = O2909, 0, 1)
            )
        )
    ),
    ""
)</f>
        <v/>
      </c>
      <c r="T2909" s="385"/>
      <c r="U2909" s="385" t="s">
        <v>4</v>
      </c>
      <c r="V2909" s="385" t="s">
        <v>101</v>
      </c>
      <c r="W2909" s="385" t="s">
        <v>1436</v>
      </c>
      <c r="X2909" s="1"/>
    </row>
    <row r="2910" spans="1:24">
      <c r="A2910" s="385" t="s">
        <v>53</v>
      </c>
      <c r="B2910" s="385" t="s">
        <v>544</v>
      </c>
      <c r="C2910" s="385" t="s">
        <v>539</v>
      </c>
      <c r="D2910" s="385" t="s">
        <v>89</v>
      </c>
      <c r="E2910" s="385"/>
      <c r="F2910" s="385"/>
      <c r="G2910" s="385"/>
      <c r="H2910" s="385">
        <v>2024</v>
      </c>
      <c r="I2910" s="386">
        <v>45484</v>
      </c>
      <c r="J2910" s="30"/>
      <c r="K2910" s="385"/>
      <c r="L2910" s="385"/>
      <c r="M2910" s="385"/>
      <c r="N2910" s="385"/>
      <c r="O2910" s="385"/>
      <c r="P2910" s="385" t="str">
        <f>IFERROR(
    IF(
        OR(ISBLANK(I2910), ISBLANK(L2910)),
        "",
        MAX(
            1,
            IF(
                NETWORKDAYS(I2910, L2910, Holiday_Dates) &lt;= 0,
                1,
                NETWORKDAYS(I2910, L2910, Holiday_Dates) - IF(I2910 = L2910, 0, 1)
            )
        )
    ),
    ""
)</f>
        <v/>
      </c>
      <c r="Q2910" s="385" t="str">
        <f>IF(
    OR(ISBLANK(L2910), ISBLANK(M2910)),
    "",
    MAX(
        1,
        IF(
            NETWORKDAYS(L2910, M2910, Holiday_Dates) &lt;= 0,
            1,
            NETWORKDAYS(L2910, M2910, Holiday_Dates) - IF(L2910 = M2910, 0, 1)
        )
    )
)</f>
        <v/>
      </c>
      <c r="R2910" s="385" t="str">
        <f>IFERROR(
    IF(
        OR(ISBLANK(N2910), AND(ISBLANK(L2910), ISBLANK(M2910))),
        "",
        MAX(
            1,
            IF(
                NETWORKDAYS(IF(NOT(ISBLANK(M2910)), M2910, L2910), N2910, Holiday_Dates) &lt;= 0,
                1,
                NETWORKDAYS(IF(NOT(ISBLANK(M2910)), M2910, L2910), N2910, Holiday_Dates)
                - IF(IF(NOT(ISBLANK(M2910)), M2910, L2910) = N2910, 0, 1)
            )
        )
    ),
    ""
)</f>
        <v/>
      </c>
      <c r="S2910" s="385" t="str">
        <f>IFERROR(
    IF(
        OR(ISBLANK(N2910), ISBLANK(O2910)),
        "",
        MAX(
            1,
            IF(
                NETWORKDAYS(N2910, O2910, Holiday_Dates) &lt;= 0,
                1,
                NETWORKDAYS(N2910, O2910, Holiday_Dates) - IF(N2910 = O2910, 0, 1)
            )
        )
    ),
    ""
)</f>
        <v/>
      </c>
      <c r="T2910" s="385"/>
      <c r="U2910" s="385" t="s">
        <v>4</v>
      </c>
      <c r="V2910" s="385" t="s">
        <v>101</v>
      </c>
      <c r="W2910" s="385" t="s">
        <v>1436</v>
      </c>
      <c r="X2910" s="1"/>
    </row>
    <row r="2911" spans="1:24">
      <c r="A2911" s="385" t="s">
        <v>53</v>
      </c>
      <c r="B2911" s="385" t="s">
        <v>544</v>
      </c>
      <c r="C2911" s="385" t="s">
        <v>1879</v>
      </c>
      <c r="D2911" s="385" t="s">
        <v>89</v>
      </c>
      <c r="E2911" s="385"/>
      <c r="F2911" s="385"/>
      <c r="G2911" s="385"/>
      <c r="H2911" s="385">
        <v>2024</v>
      </c>
      <c r="I2911" s="386">
        <v>45582</v>
      </c>
      <c r="J2911" s="30"/>
      <c r="K2911" s="385"/>
      <c r="L2911" s="385"/>
      <c r="M2911" s="385"/>
      <c r="N2911" s="385"/>
      <c r="O2911" s="385"/>
      <c r="P2911" s="385" t="str">
        <f>IFERROR(
    IF(
        OR(ISBLANK(I2911), ISBLANK(L2911)),
        "",
        MAX(
            1,
            IF(
                NETWORKDAYS(I2911, L2911, Holiday_Dates) &lt;= 0,
                1,
                NETWORKDAYS(I2911, L2911, Holiday_Dates) - IF(I2911 = L2911, 0, 1)
            )
        )
    ),
    ""
)</f>
        <v/>
      </c>
      <c r="Q2911" s="385" t="str">
        <f>IF(
    OR(ISBLANK(L2911), ISBLANK(M2911)),
    "",
    MAX(
        1,
        IF(
            NETWORKDAYS(L2911, M2911, Holiday_Dates) &lt;= 0,
            1,
            NETWORKDAYS(L2911, M2911, Holiday_Dates) - IF(L2911 = M2911, 0, 1)
        )
    )
)</f>
        <v/>
      </c>
      <c r="R2911" s="385" t="str">
        <f>IFERROR(
    IF(
        OR(ISBLANK(N2911), AND(ISBLANK(L2911), ISBLANK(M2911))),
        "",
        MAX(
            1,
            IF(
                NETWORKDAYS(IF(NOT(ISBLANK(M2911)), M2911, L2911), N2911, Holiday_Dates) &lt;= 0,
                1,
                NETWORKDAYS(IF(NOT(ISBLANK(M2911)), M2911, L2911), N2911, Holiday_Dates)
                - IF(IF(NOT(ISBLANK(M2911)), M2911, L2911) = N2911, 0, 1)
            )
        )
    ),
    ""
)</f>
        <v/>
      </c>
      <c r="S2911" s="385" t="str">
        <f>IFERROR(
    IF(
        OR(ISBLANK(N2911), ISBLANK(O2911)),
        "",
        MAX(
            1,
            IF(
                NETWORKDAYS(N2911, O2911, Holiday_Dates) &lt;= 0,
                1,
                NETWORKDAYS(N2911, O2911, Holiday_Dates) - IF(N2911 = O2911, 0, 1)
            )
        )
    ),
    ""
)</f>
        <v/>
      </c>
      <c r="T2911" s="385"/>
      <c r="U2911" s="385" t="s">
        <v>4</v>
      </c>
      <c r="V2911" s="385" t="s">
        <v>101</v>
      </c>
      <c r="W2911" s="385" t="s">
        <v>1436</v>
      </c>
      <c r="X2911" s="1"/>
    </row>
    <row r="2912" spans="1:24">
      <c r="A2912" s="385" t="s">
        <v>53</v>
      </c>
      <c r="B2912" s="385" t="s">
        <v>544</v>
      </c>
      <c r="C2912" s="385" t="s">
        <v>4356</v>
      </c>
      <c r="D2912" s="385" t="s">
        <v>89</v>
      </c>
      <c r="E2912" s="385"/>
      <c r="F2912" s="385"/>
      <c r="G2912" s="385"/>
      <c r="H2912" s="385">
        <v>2025</v>
      </c>
      <c r="I2912" s="386">
        <v>45792</v>
      </c>
      <c r="J2912" s="30" t="s">
        <v>5805</v>
      </c>
      <c r="K2912" s="385"/>
      <c r="L2912" s="385"/>
      <c r="M2912" s="385"/>
      <c r="N2912" s="385"/>
      <c r="O2912" s="385"/>
      <c r="P2912" s="385" t="str">
        <f>IFERROR(
    IF(
        OR(ISBLANK(I2912), ISBLANK(L2912)),
        "",
        MAX(
            1,
            IF(
                NETWORKDAYS(I2912, L2912, Holiday_Dates) &lt;= 0,
                1,
                NETWORKDAYS(I2912, L2912, Holiday_Dates) - IF(I2912 = L2912, 0, 1)
            )
        )
    ),
    ""
)</f>
        <v/>
      </c>
      <c r="Q2912" s="385" t="str">
        <f>IF(
    OR(ISBLANK(L2912), ISBLANK(M2912)),
    "",
    MAX(
        1,
        IF(
            NETWORKDAYS(L2912, M2912, Holiday_Dates) &lt;= 0,
            1,
            NETWORKDAYS(L2912, M2912, Holiday_Dates) - IF(L2912 = M2912, 0, 1)
        )
    )
)</f>
        <v/>
      </c>
      <c r="R2912" s="385" t="str">
        <f>IFERROR(
    IF(
        OR(ISBLANK(N2912), AND(ISBLANK(L2912), ISBLANK(M2912))),
        "",
        MAX(
            1,
            IF(
                NETWORKDAYS(IF(NOT(ISBLANK(M2912)), M2912, L2912), N2912, Holiday_Dates) &lt;= 0,
                1,
                NETWORKDAYS(IF(NOT(ISBLANK(M2912)), M2912, L2912), N2912, Holiday_Dates)
                - IF(IF(NOT(ISBLANK(M2912)), M2912, L2912) = N2912, 0, 1)
            )
        )
    ),
    ""
)</f>
        <v/>
      </c>
      <c r="S2912" s="385" t="str">
        <f>IFERROR(
    IF(
        OR(ISBLANK(N2912), ISBLANK(O2912)),
        "",
        MAX(
            1,
            IF(
                NETWORKDAYS(N2912, O2912, Holiday_Dates) &lt;= 0,
                1,
                NETWORKDAYS(N2912, O2912, Holiday_Dates) - IF(N2912 = O2912, 0, 1)
            )
        )
    ),
    ""
)</f>
        <v/>
      </c>
      <c r="T2912" s="385"/>
      <c r="U2912" s="385" t="s">
        <v>4</v>
      </c>
      <c r="V2912" s="385" t="s">
        <v>101</v>
      </c>
      <c r="W2912" s="385" t="s">
        <v>1436</v>
      </c>
      <c r="X2912" s="1"/>
    </row>
    <row r="2913" spans="1:24">
      <c r="A2913" s="385" t="s">
        <v>53</v>
      </c>
      <c r="B2913" s="385" t="s">
        <v>546</v>
      </c>
      <c r="C2913" s="385" t="s">
        <v>4358</v>
      </c>
      <c r="D2913" s="385" t="s">
        <v>89</v>
      </c>
      <c r="E2913" s="385"/>
      <c r="F2913" s="385"/>
      <c r="G2913" s="385"/>
      <c r="H2913" s="385">
        <v>2025</v>
      </c>
      <c r="I2913" s="386">
        <v>45750</v>
      </c>
      <c r="J2913" s="30" t="s">
        <v>5806</v>
      </c>
      <c r="K2913" s="385"/>
      <c r="L2913" s="385"/>
      <c r="M2913" s="385"/>
      <c r="N2913" s="385"/>
      <c r="O2913" s="385"/>
      <c r="P2913" s="385" t="str">
        <f>IFERROR(
    IF(
        OR(ISBLANK(I2913), ISBLANK(L2913)),
        "",
        MAX(
            1,
            IF(
                NETWORKDAYS(I2913, L2913, Holiday_Dates) &lt;= 0,
                1,
                NETWORKDAYS(I2913, L2913, Holiday_Dates) - IF(I2913 = L2913, 0, 1)
            )
        )
    ),
    ""
)</f>
        <v/>
      </c>
      <c r="Q2913" s="385" t="str">
        <f>IF(
    OR(ISBLANK(L2913), ISBLANK(M2913)),
    "",
    MAX(
        1,
        IF(
            NETWORKDAYS(L2913, M2913, Holiday_Dates) &lt;= 0,
            1,
            NETWORKDAYS(L2913, M2913, Holiday_Dates) - IF(L2913 = M2913, 0, 1)
        )
    )
)</f>
        <v/>
      </c>
      <c r="R2913" s="385" t="str">
        <f>IFERROR(
    IF(
        OR(ISBLANK(N2913), AND(ISBLANK(L2913), ISBLANK(M2913))),
        "",
        MAX(
            1,
            IF(
                NETWORKDAYS(IF(NOT(ISBLANK(M2913)), M2913, L2913), N2913, Holiday_Dates) &lt;= 0,
                1,
                NETWORKDAYS(IF(NOT(ISBLANK(M2913)), M2913, L2913), N2913, Holiday_Dates)
                - IF(IF(NOT(ISBLANK(M2913)), M2913, L2913) = N2913, 0, 1)
            )
        )
    ),
    ""
)</f>
        <v/>
      </c>
      <c r="S2913" s="385" t="str">
        <f>IFERROR(
    IF(
        OR(ISBLANK(N2913), ISBLANK(O2913)),
        "",
        MAX(
            1,
            IF(
                NETWORKDAYS(N2913, O2913, Holiday_Dates) &lt;= 0,
                1,
                NETWORKDAYS(N2913, O2913, Holiday_Dates) - IF(N2913 = O2913, 0, 1)
            )
        )
    ),
    ""
)</f>
        <v/>
      </c>
      <c r="T2913" s="385"/>
      <c r="U2913" s="385" t="s">
        <v>4</v>
      </c>
      <c r="V2913" s="385" t="s">
        <v>101</v>
      </c>
      <c r="W2913" s="385" t="s">
        <v>1436</v>
      </c>
      <c r="X2913" s="1"/>
    </row>
    <row r="2914" spans="1:24">
      <c r="A2914" s="385" t="s">
        <v>53</v>
      </c>
      <c r="B2914" s="385" t="s">
        <v>546</v>
      </c>
      <c r="C2914" s="385" t="s">
        <v>4359</v>
      </c>
      <c r="D2914" s="385" t="s">
        <v>89</v>
      </c>
      <c r="E2914" s="385"/>
      <c r="F2914" s="385"/>
      <c r="G2914" s="385"/>
      <c r="H2914" s="385">
        <v>2024</v>
      </c>
      <c r="I2914" s="386">
        <v>45484</v>
      </c>
      <c r="J2914" s="30"/>
      <c r="K2914" s="385"/>
      <c r="L2914" s="385"/>
      <c r="M2914" s="385"/>
      <c r="N2914" s="385"/>
      <c r="O2914" s="385"/>
      <c r="P2914" s="385" t="str">
        <f>IFERROR(
    IF(
        OR(ISBLANK(I2914), ISBLANK(L2914)),
        "",
        MAX(
            1,
            IF(
                NETWORKDAYS(I2914, L2914, Holiday_Dates) &lt;= 0,
                1,
                NETWORKDAYS(I2914, L2914, Holiday_Dates) - IF(I2914 = L2914, 0, 1)
            )
        )
    ),
    ""
)</f>
        <v/>
      </c>
      <c r="Q2914" s="385" t="str">
        <f>IF(
    OR(ISBLANK(L2914), ISBLANK(M2914)),
    "",
    MAX(
        1,
        IF(
            NETWORKDAYS(L2914, M2914, Holiday_Dates) &lt;= 0,
            1,
            NETWORKDAYS(L2914, M2914, Holiday_Dates) - IF(L2914 = M2914, 0, 1)
        )
    )
)</f>
        <v/>
      </c>
      <c r="R2914" s="385" t="str">
        <f>IFERROR(
    IF(
        OR(ISBLANK(N2914), AND(ISBLANK(L2914), ISBLANK(M2914))),
        "",
        MAX(
            1,
            IF(
                NETWORKDAYS(IF(NOT(ISBLANK(M2914)), M2914, L2914), N2914, Holiday_Dates) &lt;= 0,
                1,
                NETWORKDAYS(IF(NOT(ISBLANK(M2914)), M2914, L2914), N2914, Holiday_Dates)
                - IF(IF(NOT(ISBLANK(M2914)), M2914, L2914) = N2914, 0, 1)
            )
        )
    ),
    ""
)</f>
        <v/>
      </c>
      <c r="S2914" s="385" t="str">
        <f>IFERROR(
    IF(
        OR(ISBLANK(N2914), ISBLANK(O2914)),
        "",
        MAX(
            1,
            IF(
                NETWORKDAYS(N2914, O2914, Holiday_Dates) &lt;= 0,
                1,
                NETWORKDAYS(N2914, O2914, Holiday_Dates) - IF(N2914 = O2914, 0, 1)
            )
        )
    ),
    ""
)</f>
        <v/>
      </c>
      <c r="T2914" s="385"/>
      <c r="U2914" s="385" t="s">
        <v>4</v>
      </c>
      <c r="V2914" s="385" t="s">
        <v>101</v>
      </c>
      <c r="W2914" s="385" t="s">
        <v>1436</v>
      </c>
      <c r="X2914" s="1"/>
    </row>
    <row r="2915" spans="1:24">
      <c r="A2915" s="385" t="s">
        <v>53</v>
      </c>
      <c r="B2915" s="385" t="s">
        <v>546</v>
      </c>
      <c r="C2915" s="385" t="s">
        <v>4361</v>
      </c>
      <c r="D2915" s="385" t="s">
        <v>89</v>
      </c>
      <c r="E2915" s="385"/>
      <c r="F2915" s="385"/>
      <c r="G2915" s="385"/>
      <c r="H2915" s="385">
        <v>2024</v>
      </c>
      <c r="I2915" s="386">
        <v>45484</v>
      </c>
      <c r="J2915" s="30"/>
      <c r="K2915" s="385"/>
      <c r="L2915" s="385"/>
      <c r="M2915" s="385"/>
      <c r="N2915" s="385"/>
      <c r="O2915" s="385"/>
      <c r="P2915" s="385" t="str">
        <f>IFERROR(
    IF(
        OR(ISBLANK(I2915), ISBLANK(L2915)),
        "",
        MAX(
            1,
            IF(
                NETWORKDAYS(I2915, L2915, Holiday_Dates) &lt;= 0,
                1,
                NETWORKDAYS(I2915, L2915, Holiday_Dates) - IF(I2915 = L2915, 0, 1)
            )
        )
    ),
    ""
)</f>
        <v/>
      </c>
      <c r="Q2915" s="385" t="str">
        <f>IF(
    OR(ISBLANK(L2915), ISBLANK(M2915)),
    "",
    MAX(
        1,
        IF(
            NETWORKDAYS(L2915, M2915, Holiday_Dates) &lt;= 0,
            1,
            NETWORKDAYS(L2915, M2915, Holiday_Dates) - IF(L2915 = M2915, 0, 1)
        )
    )
)</f>
        <v/>
      </c>
      <c r="R2915" s="385" t="str">
        <f>IFERROR(
    IF(
        OR(ISBLANK(N2915), AND(ISBLANK(L2915), ISBLANK(M2915))),
        "",
        MAX(
            1,
            IF(
                NETWORKDAYS(IF(NOT(ISBLANK(M2915)), M2915, L2915), N2915, Holiday_Dates) &lt;= 0,
                1,
                NETWORKDAYS(IF(NOT(ISBLANK(M2915)), M2915, L2915), N2915, Holiday_Dates)
                - IF(IF(NOT(ISBLANK(M2915)), M2915, L2915) = N2915, 0, 1)
            )
        )
    ),
    ""
)</f>
        <v/>
      </c>
      <c r="S2915" s="385" t="str">
        <f>IFERROR(
    IF(
        OR(ISBLANK(N2915), ISBLANK(O2915)),
        "",
        MAX(
            1,
            IF(
                NETWORKDAYS(N2915, O2915, Holiday_Dates) &lt;= 0,
                1,
                NETWORKDAYS(N2915, O2915, Holiday_Dates) - IF(N2915 = O2915, 0, 1)
            )
        )
    ),
    ""
)</f>
        <v/>
      </c>
      <c r="T2915" s="385"/>
      <c r="U2915" s="385" t="s">
        <v>4</v>
      </c>
      <c r="V2915" s="385" t="s">
        <v>101</v>
      </c>
      <c r="W2915" s="385" t="s">
        <v>1436</v>
      </c>
      <c r="X2915" s="1"/>
    </row>
    <row r="2916" spans="1:24">
      <c r="A2916" s="385" t="s">
        <v>53</v>
      </c>
      <c r="B2916" s="385" t="s">
        <v>546</v>
      </c>
      <c r="C2916" s="385" t="s">
        <v>4363</v>
      </c>
      <c r="D2916" s="385" t="s">
        <v>89</v>
      </c>
      <c r="E2916" s="385"/>
      <c r="F2916" s="385"/>
      <c r="G2916" s="385"/>
      <c r="H2916" s="385">
        <v>2025</v>
      </c>
      <c r="I2916" s="386">
        <v>45722</v>
      </c>
      <c r="J2916" s="30" t="s">
        <v>5807</v>
      </c>
      <c r="K2916" s="385"/>
      <c r="L2916" s="385"/>
      <c r="M2916" s="385"/>
      <c r="N2916" s="385"/>
      <c r="O2916" s="385"/>
      <c r="P2916" s="385" t="str">
        <f>IFERROR(
    IF(
        OR(ISBLANK(I2916), ISBLANK(L2916)),
        "",
        MAX(
            1,
            IF(
                NETWORKDAYS(I2916, L2916, Holiday_Dates) &lt;= 0,
                1,
                NETWORKDAYS(I2916, L2916, Holiday_Dates) - IF(I2916 = L2916, 0, 1)
            )
        )
    ),
    ""
)</f>
        <v/>
      </c>
      <c r="Q2916" s="385" t="str">
        <f>IF(
    OR(ISBLANK(L2916), ISBLANK(M2916)),
    "",
    MAX(
        1,
        IF(
            NETWORKDAYS(L2916, M2916, Holiday_Dates) &lt;= 0,
            1,
            NETWORKDAYS(L2916, M2916, Holiday_Dates) - IF(L2916 = M2916, 0, 1)
        )
    )
)</f>
        <v/>
      </c>
      <c r="R2916" s="385" t="str">
        <f>IFERROR(
    IF(
        OR(ISBLANK(N2916), AND(ISBLANK(L2916), ISBLANK(M2916))),
        "",
        MAX(
            1,
            IF(
                NETWORKDAYS(IF(NOT(ISBLANK(M2916)), M2916, L2916), N2916, Holiday_Dates) &lt;= 0,
                1,
                NETWORKDAYS(IF(NOT(ISBLANK(M2916)), M2916, L2916), N2916, Holiday_Dates)
                - IF(IF(NOT(ISBLANK(M2916)), M2916, L2916) = N2916, 0, 1)
            )
        )
    ),
    ""
)</f>
        <v/>
      </c>
      <c r="S2916" s="385" t="str">
        <f>IFERROR(
    IF(
        OR(ISBLANK(N2916), ISBLANK(O2916)),
        "",
        MAX(
            1,
            IF(
                NETWORKDAYS(N2916, O2916, Holiday_Dates) &lt;= 0,
                1,
                NETWORKDAYS(N2916, O2916, Holiday_Dates) - IF(N2916 = O2916, 0, 1)
            )
        )
    ),
    ""
)</f>
        <v/>
      </c>
      <c r="T2916" s="385"/>
      <c r="U2916" s="385" t="s">
        <v>4</v>
      </c>
      <c r="V2916" s="385" t="s">
        <v>101</v>
      </c>
      <c r="W2916" s="385" t="s">
        <v>1436</v>
      </c>
      <c r="X2916" s="1"/>
    </row>
    <row r="2917" spans="1:24">
      <c r="A2917" s="385" t="s">
        <v>53</v>
      </c>
      <c r="B2917" s="385" t="s">
        <v>546</v>
      </c>
      <c r="C2917" s="385" t="s">
        <v>4364</v>
      </c>
      <c r="D2917" s="385" t="s">
        <v>89</v>
      </c>
      <c r="E2917" s="385"/>
      <c r="F2917" s="385"/>
      <c r="G2917" s="385"/>
      <c r="H2917" s="385">
        <v>2024</v>
      </c>
      <c r="I2917" s="386">
        <v>45484</v>
      </c>
      <c r="J2917" s="30"/>
      <c r="K2917" s="385"/>
      <c r="L2917" s="385"/>
      <c r="M2917" s="385"/>
      <c r="N2917" s="385"/>
      <c r="O2917" s="385"/>
      <c r="P2917" s="385" t="str">
        <f>IFERROR(
    IF(
        OR(ISBLANK(I2917), ISBLANK(L2917)),
        "",
        MAX(
            1,
            IF(
                NETWORKDAYS(I2917, L2917, Holiday_Dates) &lt;= 0,
                1,
                NETWORKDAYS(I2917, L2917, Holiday_Dates) - IF(I2917 = L2917, 0, 1)
            )
        )
    ),
    ""
)</f>
        <v/>
      </c>
      <c r="Q2917" s="385" t="str">
        <f>IF(
    OR(ISBLANK(L2917), ISBLANK(M2917)),
    "",
    MAX(
        1,
        IF(
            NETWORKDAYS(L2917, M2917, Holiday_Dates) &lt;= 0,
            1,
            NETWORKDAYS(L2917, M2917, Holiday_Dates) - IF(L2917 = M2917, 0, 1)
        )
    )
)</f>
        <v/>
      </c>
      <c r="R2917" s="385" t="str">
        <f>IFERROR(
    IF(
        OR(ISBLANK(N2917), AND(ISBLANK(L2917), ISBLANK(M2917))),
        "",
        MAX(
            1,
            IF(
                NETWORKDAYS(IF(NOT(ISBLANK(M2917)), M2917, L2917), N2917, Holiday_Dates) &lt;= 0,
                1,
                NETWORKDAYS(IF(NOT(ISBLANK(M2917)), M2917, L2917), N2917, Holiday_Dates)
                - IF(IF(NOT(ISBLANK(M2917)), M2917, L2917) = N2917, 0, 1)
            )
        )
    ),
    ""
)</f>
        <v/>
      </c>
      <c r="S2917" s="385" t="str">
        <f>IFERROR(
    IF(
        OR(ISBLANK(N2917), ISBLANK(O2917)),
        "",
        MAX(
            1,
            IF(
                NETWORKDAYS(N2917, O2917, Holiday_Dates) &lt;= 0,
                1,
                NETWORKDAYS(N2917, O2917, Holiday_Dates) - IF(N2917 = O2917, 0, 1)
            )
        )
    ),
    ""
)</f>
        <v/>
      </c>
      <c r="T2917" s="385"/>
      <c r="U2917" s="385" t="s">
        <v>4</v>
      </c>
      <c r="V2917" s="385" t="s">
        <v>101</v>
      </c>
      <c r="W2917" s="385" t="s">
        <v>1436</v>
      </c>
      <c r="X2917" s="1"/>
    </row>
    <row r="2918" spans="1:24">
      <c r="A2918" s="385" t="s">
        <v>53</v>
      </c>
      <c r="B2918" s="385" t="s">
        <v>546</v>
      </c>
      <c r="C2918" s="385" t="s">
        <v>4366</v>
      </c>
      <c r="D2918" s="385" t="s">
        <v>89</v>
      </c>
      <c r="E2918" s="385"/>
      <c r="F2918" s="385"/>
      <c r="G2918" s="385"/>
      <c r="H2918" s="385">
        <v>2025</v>
      </c>
      <c r="I2918" s="386">
        <v>45722</v>
      </c>
      <c r="J2918" s="30" t="s">
        <v>5808</v>
      </c>
      <c r="K2918" s="385"/>
      <c r="L2918" s="385"/>
      <c r="M2918" s="385"/>
      <c r="N2918" s="385"/>
      <c r="O2918" s="385"/>
      <c r="P2918" s="385" t="str">
        <f>IFERROR(
    IF(
        OR(ISBLANK(I2918), ISBLANK(L2918)),
        "",
        MAX(
            1,
            IF(
                NETWORKDAYS(I2918, L2918, Holiday_Dates) &lt;= 0,
                1,
                NETWORKDAYS(I2918, L2918, Holiday_Dates) - IF(I2918 = L2918, 0, 1)
            )
        )
    ),
    ""
)</f>
        <v/>
      </c>
      <c r="Q2918" s="385" t="str">
        <f>IF(
    OR(ISBLANK(L2918), ISBLANK(M2918)),
    "",
    MAX(
        1,
        IF(
            NETWORKDAYS(L2918, M2918, Holiday_Dates) &lt;= 0,
            1,
            NETWORKDAYS(L2918, M2918, Holiday_Dates) - IF(L2918 = M2918, 0, 1)
        )
    )
)</f>
        <v/>
      </c>
      <c r="R2918" s="385" t="str">
        <f>IFERROR(
    IF(
        OR(ISBLANK(N2918), AND(ISBLANK(L2918), ISBLANK(M2918))),
        "",
        MAX(
            1,
            IF(
                NETWORKDAYS(IF(NOT(ISBLANK(M2918)), M2918, L2918), N2918, Holiday_Dates) &lt;= 0,
                1,
                NETWORKDAYS(IF(NOT(ISBLANK(M2918)), M2918, L2918), N2918, Holiday_Dates)
                - IF(IF(NOT(ISBLANK(M2918)), M2918, L2918) = N2918, 0, 1)
            )
        )
    ),
    ""
)</f>
        <v/>
      </c>
      <c r="S2918" s="385" t="str">
        <f>IFERROR(
    IF(
        OR(ISBLANK(N2918), ISBLANK(O2918)),
        "",
        MAX(
            1,
            IF(
                NETWORKDAYS(N2918, O2918, Holiday_Dates) &lt;= 0,
                1,
                NETWORKDAYS(N2918, O2918, Holiday_Dates) - IF(N2918 = O2918, 0, 1)
            )
        )
    ),
    ""
)</f>
        <v/>
      </c>
      <c r="T2918" s="385"/>
      <c r="U2918" s="385" t="s">
        <v>4</v>
      </c>
      <c r="V2918" s="385" t="s">
        <v>108</v>
      </c>
      <c r="W2918" s="385" t="s">
        <v>1436</v>
      </c>
      <c r="X2918" s="1"/>
    </row>
    <row r="2919" spans="1:24">
      <c r="A2919" s="385" t="s">
        <v>53</v>
      </c>
      <c r="B2919" s="385" t="s">
        <v>546</v>
      </c>
      <c r="C2919" s="385" t="s">
        <v>4367</v>
      </c>
      <c r="D2919" s="385" t="s">
        <v>89</v>
      </c>
      <c r="E2919" s="385"/>
      <c r="F2919" s="385"/>
      <c r="G2919" s="385"/>
      <c r="H2919" s="385">
        <v>2024</v>
      </c>
      <c r="I2919" s="385" t="s">
        <v>5809</v>
      </c>
      <c r="J2919" s="30"/>
      <c r="K2919" s="385"/>
      <c r="L2919" s="385"/>
      <c r="M2919" s="385"/>
      <c r="N2919" s="385"/>
      <c r="O2919" s="385"/>
      <c r="P2919" s="385" t="str">
        <f>IFERROR(
    IF(
        OR(ISBLANK(I2919), ISBLANK(L2919)),
        "",
        MAX(
            1,
            IF(
                NETWORKDAYS(I2919, L2919, Holiday_Dates) &lt;= 0,
                1,
                NETWORKDAYS(I2919, L2919, Holiday_Dates) - IF(I2919 = L2919, 0, 1)
            )
        )
    ),
    ""
)</f>
        <v/>
      </c>
      <c r="Q2919" s="385" t="str">
        <f>IF(
    OR(ISBLANK(L2919), ISBLANK(M2919)),
    "",
    MAX(
        1,
        IF(
            NETWORKDAYS(L2919, M2919, Holiday_Dates) &lt;= 0,
            1,
            NETWORKDAYS(L2919, M2919, Holiday_Dates) - IF(L2919 = M2919, 0, 1)
        )
    )
)</f>
        <v/>
      </c>
      <c r="R2919" s="385" t="str">
        <f>IFERROR(
    IF(
        OR(ISBLANK(N2919), AND(ISBLANK(L2919), ISBLANK(M2919))),
        "",
        MAX(
            1,
            IF(
                NETWORKDAYS(IF(NOT(ISBLANK(M2919)), M2919, L2919), N2919, Holiday_Dates) &lt;= 0,
                1,
                NETWORKDAYS(IF(NOT(ISBLANK(M2919)), M2919, L2919), N2919, Holiday_Dates)
                - IF(IF(NOT(ISBLANK(M2919)), M2919, L2919) = N2919, 0, 1)
            )
        )
    ),
    ""
)</f>
        <v/>
      </c>
      <c r="S2919" s="385" t="str">
        <f>IFERROR(
    IF(
        OR(ISBLANK(N2919), ISBLANK(O2919)),
        "",
        MAX(
            1,
            IF(
                NETWORKDAYS(N2919, O2919, Holiday_Dates) &lt;= 0,
                1,
                NETWORKDAYS(N2919, O2919, Holiday_Dates) - IF(N2919 = O2919, 0, 1)
            )
        )
    ),
    ""
)</f>
        <v/>
      </c>
      <c r="T2919" s="385"/>
      <c r="U2919" s="385" t="s">
        <v>4</v>
      </c>
      <c r="V2919" s="385" t="s">
        <v>101</v>
      </c>
      <c r="W2919" s="385" t="s">
        <v>1436</v>
      </c>
      <c r="X2919" s="1"/>
    </row>
    <row r="2920" spans="1:24">
      <c r="A2920" s="385" t="s">
        <v>53</v>
      </c>
      <c r="B2920" s="385" t="s">
        <v>546</v>
      </c>
      <c r="C2920" s="385" t="s">
        <v>4369</v>
      </c>
      <c r="D2920" s="385" t="s">
        <v>89</v>
      </c>
      <c r="E2920" s="385"/>
      <c r="F2920" s="385"/>
      <c r="G2920" s="385"/>
      <c r="H2920" s="385">
        <v>2024</v>
      </c>
      <c r="I2920" s="385" t="s">
        <v>5809</v>
      </c>
      <c r="J2920" s="30"/>
      <c r="K2920" s="385"/>
      <c r="L2920" s="385"/>
      <c r="M2920" s="385"/>
      <c r="N2920" s="385"/>
      <c r="O2920" s="385"/>
      <c r="P2920" s="385" t="str">
        <f>IFERROR(
    IF(
        OR(ISBLANK(I2920), ISBLANK(L2920)),
        "",
        MAX(
            1,
            IF(
                NETWORKDAYS(I2920, L2920, Holiday_Dates) &lt;= 0,
                1,
                NETWORKDAYS(I2920, L2920, Holiday_Dates) - IF(I2920 = L2920, 0, 1)
            )
        )
    ),
    ""
)</f>
        <v/>
      </c>
      <c r="Q2920" s="385" t="str">
        <f>IF(
    OR(ISBLANK(L2920), ISBLANK(M2920)),
    "",
    MAX(
        1,
        IF(
            NETWORKDAYS(L2920, M2920, Holiday_Dates) &lt;= 0,
            1,
            NETWORKDAYS(L2920, M2920, Holiday_Dates) - IF(L2920 = M2920, 0, 1)
        )
    )
)</f>
        <v/>
      </c>
      <c r="R2920" s="385" t="str">
        <f>IFERROR(
    IF(
        OR(ISBLANK(N2920), AND(ISBLANK(L2920), ISBLANK(M2920))),
        "",
        MAX(
            1,
            IF(
                NETWORKDAYS(IF(NOT(ISBLANK(M2920)), M2920, L2920), N2920, Holiday_Dates) &lt;= 0,
                1,
                NETWORKDAYS(IF(NOT(ISBLANK(M2920)), M2920, L2920), N2920, Holiday_Dates)
                - IF(IF(NOT(ISBLANK(M2920)), M2920, L2920) = N2920, 0, 1)
            )
        )
    ),
    ""
)</f>
        <v/>
      </c>
      <c r="S2920" s="385" t="str">
        <f>IFERROR(
    IF(
        OR(ISBLANK(N2920), ISBLANK(O2920)),
        "",
        MAX(
            1,
            IF(
                NETWORKDAYS(N2920, O2920, Holiday_Dates) &lt;= 0,
                1,
                NETWORKDAYS(N2920, O2920, Holiday_Dates) - IF(N2920 = O2920, 0, 1)
            )
        )
    ),
    ""
)</f>
        <v/>
      </c>
      <c r="T2920" s="385"/>
      <c r="U2920" s="385" t="s">
        <v>4</v>
      </c>
      <c r="V2920" s="385" t="s">
        <v>101</v>
      </c>
      <c r="W2920" s="385" t="s">
        <v>1436</v>
      </c>
      <c r="X2920" s="1"/>
    </row>
    <row r="2921" spans="1:24">
      <c r="A2921" s="385" t="s">
        <v>53</v>
      </c>
      <c r="B2921" s="385" t="s">
        <v>546</v>
      </c>
      <c r="C2921" s="385" t="s">
        <v>4371</v>
      </c>
      <c r="D2921" s="385" t="s">
        <v>89</v>
      </c>
      <c r="E2921" s="385"/>
      <c r="F2921" s="385"/>
      <c r="G2921" s="385"/>
      <c r="H2921" s="385">
        <v>2024</v>
      </c>
      <c r="I2921" s="386">
        <v>45484</v>
      </c>
      <c r="J2921" s="30"/>
      <c r="K2921" s="385"/>
      <c r="L2921" s="385"/>
      <c r="M2921" s="385"/>
      <c r="N2921" s="385"/>
      <c r="O2921" s="385"/>
      <c r="P2921" s="385" t="str">
        <f>IFERROR(
    IF(
        OR(ISBLANK(I2921), ISBLANK(L2921)),
        "",
        MAX(
            1,
            IF(
                NETWORKDAYS(I2921, L2921, Holiday_Dates) &lt;= 0,
                1,
                NETWORKDAYS(I2921, L2921, Holiday_Dates) - IF(I2921 = L2921, 0, 1)
            )
        )
    ),
    ""
)</f>
        <v/>
      </c>
      <c r="Q2921" s="385" t="str">
        <f>IF(
    OR(ISBLANK(L2921), ISBLANK(M2921)),
    "",
    MAX(
        1,
        IF(
            NETWORKDAYS(L2921, M2921, Holiday_Dates) &lt;= 0,
            1,
            NETWORKDAYS(L2921, M2921, Holiday_Dates) - IF(L2921 = M2921, 0, 1)
        )
    )
)</f>
        <v/>
      </c>
      <c r="R2921" s="385" t="str">
        <f>IFERROR(
    IF(
        OR(ISBLANK(N2921), AND(ISBLANK(L2921), ISBLANK(M2921))),
        "",
        MAX(
            1,
            IF(
                NETWORKDAYS(IF(NOT(ISBLANK(M2921)), M2921, L2921), N2921, Holiday_Dates) &lt;= 0,
                1,
                NETWORKDAYS(IF(NOT(ISBLANK(M2921)), M2921, L2921), N2921, Holiday_Dates)
                - IF(IF(NOT(ISBLANK(M2921)), M2921, L2921) = N2921, 0, 1)
            )
        )
    ),
    ""
)</f>
        <v/>
      </c>
      <c r="S2921" s="385" t="str">
        <f>IFERROR(
    IF(
        OR(ISBLANK(N2921), ISBLANK(O2921)),
        "",
        MAX(
            1,
            IF(
                NETWORKDAYS(N2921, O2921, Holiday_Dates) &lt;= 0,
                1,
                NETWORKDAYS(N2921, O2921, Holiday_Dates) - IF(N2921 = O2921, 0, 1)
            )
        )
    ),
    ""
)</f>
        <v/>
      </c>
      <c r="T2921" s="385"/>
      <c r="U2921" s="385" t="s">
        <v>4</v>
      </c>
      <c r="V2921" s="385" t="s">
        <v>101</v>
      </c>
      <c r="W2921" s="385" t="s">
        <v>1436</v>
      </c>
      <c r="X2921" s="1"/>
    </row>
    <row r="2922" spans="1:24">
      <c r="A2922" s="385" t="s">
        <v>53</v>
      </c>
      <c r="B2922" s="385" t="s">
        <v>546</v>
      </c>
      <c r="C2922" s="385" t="s">
        <v>4373</v>
      </c>
      <c r="D2922" s="385" t="s">
        <v>89</v>
      </c>
      <c r="E2922" s="385"/>
      <c r="F2922" s="385"/>
      <c r="G2922" s="385"/>
      <c r="H2922" s="385">
        <v>2025</v>
      </c>
      <c r="I2922" s="386">
        <v>45967</v>
      </c>
      <c r="J2922" s="30" t="s">
        <v>5810</v>
      </c>
      <c r="K2922" s="385"/>
      <c r="L2922" s="385"/>
      <c r="M2922" s="385"/>
      <c r="N2922" s="385"/>
      <c r="O2922" s="385"/>
      <c r="P2922" s="385" t="str">
        <f>IFERROR(
    IF(
        OR(ISBLANK(I2922), ISBLANK(L2922)),
        "",
        MAX(
            1,
            IF(
                NETWORKDAYS(I2922, L2922, Holiday_Dates) &lt;= 0,
                1,
                NETWORKDAYS(I2922, L2922, Holiday_Dates) - IF(I2922 = L2922, 0, 1)
            )
        )
    ),
    ""
)</f>
        <v/>
      </c>
      <c r="Q2922" s="385" t="str">
        <f>IF(
    OR(ISBLANK(L2922), ISBLANK(M2922)),
    "",
    MAX(
        1,
        IF(
            NETWORKDAYS(L2922, M2922, Holiday_Dates) &lt;= 0,
            1,
            NETWORKDAYS(L2922, M2922, Holiday_Dates) - IF(L2922 = M2922, 0, 1)
        )
    )
)</f>
        <v/>
      </c>
      <c r="R2922" s="385" t="str">
        <f>IFERROR(
    IF(
        OR(ISBLANK(N2922), AND(ISBLANK(L2922), ISBLANK(M2922))),
        "",
        MAX(
            1,
            IF(
                NETWORKDAYS(IF(NOT(ISBLANK(M2922)), M2922, L2922), N2922, Holiday_Dates) &lt;= 0,
                1,
                NETWORKDAYS(IF(NOT(ISBLANK(M2922)), M2922, L2922), N2922, Holiday_Dates)
                - IF(IF(NOT(ISBLANK(M2922)), M2922, L2922) = N2922, 0, 1)
            )
        )
    ),
    ""
)</f>
        <v/>
      </c>
      <c r="S2922" s="385" t="str">
        <f>IFERROR(
    IF(
        OR(ISBLANK(N2922), ISBLANK(O2922)),
        "",
        MAX(
            1,
            IF(
                NETWORKDAYS(N2922, O2922, Holiday_Dates) &lt;= 0,
                1,
                NETWORKDAYS(N2922, O2922, Holiday_Dates) - IF(N2922 = O2922, 0, 1)
            )
        )
    ),
    ""
)</f>
        <v/>
      </c>
      <c r="T2922" s="385"/>
      <c r="U2922" s="385" t="s">
        <v>4</v>
      </c>
      <c r="V2922" s="385" t="s">
        <v>101</v>
      </c>
      <c r="W2922" s="385" t="s">
        <v>1436</v>
      </c>
      <c r="X2922" s="1"/>
    </row>
    <row r="2923" spans="1:24">
      <c r="A2923" s="385" t="s">
        <v>53</v>
      </c>
      <c r="B2923" s="385" t="s">
        <v>546</v>
      </c>
      <c r="C2923" s="385" t="s">
        <v>867</v>
      </c>
      <c r="D2923" s="385" t="s">
        <v>89</v>
      </c>
      <c r="E2923" s="385"/>
      <c r="F2923" s="385"/>
      <c r="G2923" s="385"/>
      <c r="H2923" s="385">
        <v>2025</v>
      </c>
      <c r="I2923" s="386">
        <v>45743</v>
      </c>
      <c r="J2923" s="30" t="s">
        <v>5811</v>
      </c>
      <c r="K2923" s="385"/>
      <c r="L2923" s="385"/>
      <c r="M2923" s="385"/>
      <c r="N2923" s="385"/>
      <c r="O2923" s="385"/>
      <c r="P2923" s="385" t="str">
        <f>IFERROR(
    IF(
        OR(ISBLANK(I2923), ISBLANK(L2923)),
        "",
        MAX(
            1,
            IF(
                NETWORKDAYS(I2923, L2923, Holiday_Dates) &lt;= 0,
                1,
                NETWORKDAYS(I2923, L2923, Holiday_Dates) - IF(I2923 = L2923, 0, 1)
            )
        )
    ),
    ""
)</f>
        <v/>
      </c>
      <c r="Q2923" s="385" t="str">
        <f>IF(
    OR(ISBLANK(L2923), ISBLANK(M2923)),
    "",
    MAX(
        1,
        IF(
            NETWORKDAYS(L2923, M2923, Holiday_Dates) &lt;= 0,
            1,
            NETWORKDAYS(L2923, M2923, Holiday_Dates) - IF(L2923 = M2923, 0, 1)
        )
    )
)</f>
        <v/>
      </c>
      <c r="R2923" s="385" t="str">
        <f>IFERROR(
    IF(
        OR(ISBLANK(N2923), AND(ISBLANK(L2923), ISBLANK(M2923))),
        "",
        MAX(
            1,
            IF(
                NETWORKDAYS(IF(NOT(ISBLANK(M2923)), M2923, L2923), N2923, Holiday_Dates) &lt;= 0,
                1,
                NETWORKDAYS(IF(NOT(ISBLANK(M2923)), M2923, L2923), N2923, Holiday_Dates)
                - IF(IF(NOT(ISBLANK(M2923)), M2923, L2923) = N2923, 0, 1)
            )
        )
    ),
    ""
)</f>
        <v/>
      </c>
      <c r="S2923" s="385" t="str">
        <f>IFERROR(
    IF(
        OR(ISBLANK(N2923), ISBLANK(O2923)),
        "",
        MAX(
            1,
            IF(
                NETWORKDAYS(N2923, O2923, Holiday_Dates) &lt;= 0,
                1,
                NETWORKDAYS(N2923, O2923, Holiday_Dates) - IF(N2923 = O2923, 0, 1)
            )
        )
    ),
    ""
)</f>
        <v/>
      </c>
      <c r="T2923" s="385"/>
      <c r="U2923" s="385" t="s">
        <v>4</v>
      </c>
      <c r="V2923" s="385" t="s">
        <v>101</v>
      </c>
      <c r="W2923" s="385" t="s">
        <v>1436</v>
      </c>
      <c r="X2923" s="1"/>
    </row>
    <row r="2924" spans="1:24">
      <c r="A2924" s="385" t="s">
        <v>53</v>
      </c>
      <c r="B2924" s="385" t="s">
        <v>546</v>
      </c>
      <c r="C2924" s="385" t="s">
        <v>926</v>
      </c>
      <c r="D2924" s="385" t="s">
        <v>89</v>
      </c>
      <c r="E2924" s="385"/>
      <c r="F2924" s="385"/>
      <c r="G2924" s="385"/>
      <c r="H2924" s="385">
        <v>2025</v>
      </c>
      <c r="I2924" s="386">
        <v>45722</v>
      </c>
      <c r="J2924" s="30" t="s">
        <v>5812</v>
      </c>
      <c r="K2924" s="385"/>
      <c r="L2924" s="385"/>
      <c r="M2924" s="385"/>
      <c r="N2924" s="385"/>
      <c r="O2924" s="385"/>
      <c r="P2924" s="385" t="str">
        <f>IFERROR(
    IF(
        OR(ISBLANK(I2924), ISBLANK(L2924)),
        "",
        MAX(
            1,
            IF(
                NETWORKDAYS(I2924, L2924, Holiday_Dates) &lt;= 0,
                1,
                NETWORKDAYS(I2924, L2924, Holiday_Dates) - IF(I2924 = L2924, 0, 1)
            )
        )
    ),
    ""
)</f>
        <v/>
      </c>
      <c r="Q2924" s="385" t="str">
        <f>IF(
    OR(ISBLANK(L2924), ISBLANK(M2924)),
    "",
    MAX(
        1,
        IF(
            NETWORKDAYS(L2924, M2924, Holiday_Dates) &lt;= 0,
            1,
            NETWORKDAYS(L2924, M2924, Holiday_Dates) - IF(L2924 = M2924, 0, 1)
        )
    )
)</f>
        <v/>
      </c>
      <c r="R2924" s="385" t="str">
        <f>IFERROR(
    IF(
        OR(ISBLANK(N2924), AND(ISBLANK(L2924), ISBLANK(M2924))),
        "",
        MAX(
            1,
            IF(
                NETWORKDAYS(IF(NOT(ISBLANK(M2924)), M2924, L2924), N2924, Holiday_Dates) &lt;= 0,
                1,
                NETWORKDAYS(IF(NOT(ISBLANK(M2924)), M2924, L2924), N2924, Holiday_Dates)
                - IF(IF(NOT(ISBLANK(M2924)), M2924, L2924) = N2924, 0, 1)
            )
        )
    ),
    ""
)</f>
        <v/>
      </c>
      <c r="S2924" s="385" t="str">
        <f>IFERROR(
    IF(
        OR(ISBLANK(N2924), ISBLANK(O2924)),
        "",
        MAX(
            1,
            IF(
                NETWORKDAYS(N2924, O2924, Holiday_Dates) &lt;= 0,
                1,
                NETWORKDAYS(N2924, O2924, Holiday_Dates) - IF(N2924 = O2924, 0, 1)
            )
        )
    ),
    ""
)</f>
        <v/>
      </c>
      <c r="T2924" s="385"/>
      <c r="U2924" s="385" t="s">
        <v>672</v>
      </c>
      <c r="V2924" s="385" t="s">
        <v>101</v>
      </c>
      <c r="W2924" s="385" t="s">
        <v>1436</v>
      </c>
      <c r="X2924" s="1"/>
    </row>
    <row r="2925" spans="1:24">
      <c r="A2925" s="385" t="s">
        <v>53</v>
      </c>
      <c r="B2925" s="385" t="s">
        <v>546</v>
      </c>
      <c r="C2925" s="385" t="s">
        <v>4374</v>
      </c>
      <c r="D2925" s="385" t="s">
        <v>89</v>
      </c>
      <c r="E2925" s="385"/>
      <c r="F2925" s="385"/>
      <c r="G2925" s="385"/>
      <c r="H2925" s="385">
        <v>2024</v>
      </c>
      <c r="I2925" s="385" t="s">
        <v>5809</v>
      </c>
      <c r="J2925" s="30"/>
      <c r="K2925" s="385"/>
      <c r="L2925" s="385"/>
      <c r="M2925" s="385"/>
      <c r="N2925" s="385"/>
      <c r="O2925" s="385"/>
      <c r="P2925" s="385" t="str">
        <f>IFERROR(
    IF(
        OR(ISBLANK(I2925), ISBLANK(L2925)),
        "",
        MAX(
            1,
            IF(
                NETWORKDAYS(I2925, L2925, Holiday_Dates) &lt;= 0,
                1,
                NETWORKDAYS(I2925, L2925, Holiday_Dates) - IF(I2925 = L2925, 0, 1)
            )
        )
    ),
    ""
)</f>
        <v/>
      </c>
      <c r="Q2925" s="385" t="str">
        <f>IF(
    OR(ISBLANK(L2925), ISBLANK(M2925)),
    "",
    MAX(
        1,
        IF(
            NETWORKDAYS(L2925, M2925, Holiday_Dates) &lt;= 0,
            1,
            NETWORKDAYS(L2925, M2925, Holiday_Dates) - IF(L2925 = M2925, 0, 1)
        )
    )
)</f>
        <v/>
      </c>
      <c r="R2925" s="385" t="str">
        <f>IFERROR(
    IF(
        OR(ISBLANK(N2925), AND(ISBLANK(L2925), ISBLANK(M2925))),
        "",
        MAX(
            1,
            IF(
                NETWORKDAYS(IF(NOT(ISBLANK(M2925)), M2925, L2925), N2925, Holiday_Dates) &lt;= 0,
                1,
                NETWORKDAYS(IF(NOT(ISBLANK(M2925)), M2925, L2925), N2925, Holiday_Dates)
                - IF(IF(NOT(ISBLANK(M2925)), M2925, L2925) = N2925, 0, 1)
            )
        )
    ),
    ""
)</f>
        <v/>
      </c>
      <c r="S2925" s="385" t="str">
        <f>IFERROR(
    IF(
        OR(ISBLANK(N2925), ISBLANK(O2925)),
        "",
        MAX(
            1,
            IF(
                NETWORKDAYS(N2925, O2925, Holiday_Dates) &lt;= 0,
                1,
                NETWORKDAYS(N2925, O2925, Holiday_Dates) - IF(N2925 = O2925, 0, 1)
            )
        )
    ),
    ""
)</f>
        <v/>
      </c>
      <c r="T2925" s="385"/>
      <c r="U2925" s="385" t="s">
        <v>4</v>
      </c>
      <c r="V2925" s="385" t="s">
        <v>101</v>
      </c>
      <c r="W2925" s="385" t="s">
        <v>1436</v>
      </c>
      <c r="X2925" s="1"/>
    </row>
    <row r="2926" spans="1:24">
      <c r="A2926" s="385" t="s">
        <v>53</v>
      </c>
      <c r="B2926" s="385" t="s">
        <v>546</v>
      </c>
      <c r="C2926" s="385" t="s">
        <v>4376</v>
      </c>
      <c r="D2926" s="385" t="s">
        <v>89</v>
      </c>
      <c r="E2926" s="385"/>
      <c r="F2926" s="385"/>
      <c r="G2926" s="385"/>
      <c r="H2926" s="385">
        <v>2025</v>
      </c>
      <c r="I2926" s="386">
        <v>45750</v>
      </c>
      <c r="J2926" s="30" t="s">
        <v>5813</v>
      </c>
      <c r="K2926" s="385"/>
      <c r="L2926" s="385"/>
      <c r="M2926" s="385"/>
      <c r="N2926" s="385"/>
      <c r="O2926" s="385"/>
      <c r="P2926" s="385" t="str">
        <f>IFERROR(
    IF(
        OR(ISBLANK(I2926), ISBLANK(L2926)),
        "",
        MAX(
            1,
            IF(
                NETWORKDAYS(I2926, L2926, Holiday_Dates) &lt;= 0,
                1,
                NETWORKDAYS(I2926, L2926, Holiday_Dates) - IF(I2926 = L2926, 0, 1)
            )
        )
    ),
    ""
)</f>
        <v/>
      </c>
      <c r="Q2926" s="385" t="str">
        <f>IF(
    OR(ISBLANK(L2926), ISBLANK(M2926)),
    "",
    MAX(
        1,
        IF(
            NETWORKDAYS(L2926, M2926, Holiday_Dates) &lt;= 0,
            1,
            NETWORKDAYS(L2926, M2926, Holiday_Dates) - IF(L2926 = M2926, 0, 1)
        )
    )
)</f>
        <v/>
      </c>
      <c r="R2926" s="385" t="str">
        <f>IFERROR(
    IF(
        OR(ISBLANK(N2926), AND(ISBLANK(L2926), ISBLANK(M2926))),
        "",
        MAX(
            1,
            IF(
                NETWORKDAYS(IF(NOT(ISBLANK(M2926)), M2926, L2926), N2926, Holiday_Dates) &lt;= 0,
                1,
                NETWORKDAYS(IF(NOT(ISBLANK(M2926)), M2926, L2926), N2926, Holiday_Dates)
                - IF(IF(NOT(ISBLANK(M2926)), M2926, L2926) = N2926, 0, 1)
            )
        )
    ),
    ""
)</f>
        <v/>
      </c>
      <c r="S2926" s="385" t="str">
        <f>IFERROR(
    IF(
        OR(ISBLANK(N2926), ISBLANK(O2926)),
        "",
        MAX(
            1,
            IF(
                NETWORKDAYS(N2926, O2926, Holiday_Dates) &lt;= 0,
                1,
                NETWORKDAYS(N2926, O2926, Holiday_Dates) - IF(N2926 = O2926, 0, 1)
            )
        )
    ),
    ""
)</f>
        <v/>
      </c>
      <c r="T2926" s="385"/>
      <c r="U2926" s="385" t="s">
        <v>672</v>
      </c>
      <c r="V2926" s="385" t="s">
        <v>101</v>
      </c>
      <c r="W2926" s="385" t="s">
        <v>1436</v>
      </c>
      <c r="X2926" s="1"/>
    </row>
    <row r="2927" spans="1:24">
      <c r="A2927" s="385" t="s">
        <v>53</v>
      </c>
      <c r="B2927" s="385" t="s">
        <v>546</v>
      </c>
      <c r="C2927" s="385" t="s">
        <v>4377</v>
      </c>
      <c r="D2927" s="385" t="s">
        <v>89</v>
      </c>
      <c r="E2927" s="385"/>
      <c r="F2927" s="385"/>
      <c r="G2927" s="385"/>
      <c r="H2927" s="385">
        <v>2024</v>
      </c>
      <c r="I2927" s="385" t="s">
        <v>5809</v>
      </c>
      <c r="J2927" s="30"/>
      <c r="K2927" s="385"/>
      <c r="L2927" s="385"/>
      <c r="M2927" s="385"/>
      <c r="N2927" s="385"/>
      <c r="O2927" s="385"/>
      <c r="P2927" s="385" t="str">
        <f>IFERROR(
    IF(
        OR(ISBLANK(I2927), ISBLANK(L2927)),
        "",
        MAX(
            1,
            IF(
                NETWORKDAYS(I2927, L2927, Holiday_Dates) &lt;= 0,
                1,
                NETWORKDAYS(I2927, L2927, Holiday_Dates) - IF(I2927 = L2927, 0, 1)
            )
        )
    ),
    ""
)</f>
        <v/>
      </c>
      <c r="Q2927" s="385" t="str">
        <f>IF(
    OR(ISBLANK(L2927), ISBLANK(M2927)),
    "",
    MAX(
        1,
        IF(
            NETWORKDAYS(L2927, M2927, Holiday_Dates) &lt;= 0,
            1,
            NETWORKDAYS(L2927, M2927, Holiday_Dates) - IF(L2927 = M2927, 0, 1)
        )
    )
)</f>
        <v/>
      </c>
      <c r="R2927" s="385" t="str">
        <f>IFERROR(
    IF(
        OR(ISBLANK(N2927), AND(ISBLANK(L2927), ISBLANK(M2927))),
        "",
        MAX(
            1,
            IF(
                NETWORKDAYS(IF(NOT(ISBLANK(M2927)), M2927, L2927), N2927, Holiday_Dates) &lt;= 0,
                1,
                NETWORKDAYS(IF(NOT(ISBLANK(M2927)), M2927, L2927), N2927, Holiday_Dates)
                - IF(IF(NOT(ISBLANK(M2927)), M2927, L2927) = N2927, 0, 1)
            )
        )
    ),
    ""
)</f>
        <v/>
      </c>
      <c r="S2927" s="385" t="str">
        <f>IFERROR(
    IF(
        OR(ISBLANK(N2927), ISBLANK(O2927)),
        "",
        MAX(
            1,
            IF(
                NETWORKDAYS(N2927, O2927, Holiday_Dates) &lt;= 0,
                1,
                NETWORKDAYS(N2927, O2927, Holiday_Dates) - IF(N2927 = O2927, 0, 1)
            )
        )
    ),
    ""
)</f>
        <v/>
      </c>
      <c r="T2927" s="385"/>
      <c r="U2927" s="385" t="s">
        <v>4</v>
      </c>
      <c r="V2927" s="385" t="s">
        <v>101</v>
      </c>
      <c r="W2927" s="385" t="s">
        <v>1436</v>
      </c>
      <c r="X2927" s="1"/>
    </row>
    <row r="2928" spans="1:24">
      <c r="A2928" s="385" t="s">
        <v>53</v>
      </c>
      <c r="B2928" s="385" t="s">
        <v>546</v>
      </c>
      <c r="C2928" s="385" t="s">
        <v>4379</v>
      </c>
      <c r="D2928" s="385" t="s">
        <v>89</v>
      </c>
      <c r="E2928" s="385"/>
      <c r="F2928" s="385"/>
      <c r="G2928" s="385"/>
      <c r="H2928" s="385">
        <v>2024</v>
      </c>
      <c r="I2928" s="386">
        <v>45484</v>
      </c>
      <c r="J2928" s="30"/>
      <c r="K2928" s="385"/>
      <c r="L2928" s="385"/>
      <c r="M2928" s="385"/>
      <c r="N2928" s="385"/>
      <c r="O2928" s="385"/>
      <c r="P2928" s="385" t="str">
        <f>IFERROR(
    IF(
        OR(ISBLANK(I2928), ISBLANK(L2928)),
        "",
        MAX(
            1,
            IF(
                NETWORKDAYS(I2928, L2928, Holiday_Dates) &lt;= 0,
                1,
                NETWORKDAYS(I2928, L2928, Holiday_Dates) - IF(I2928 = L2928, 0, 1)
            )
        )
    ),
    ""
)</f>
        <v/>
      </c>
      <c r="Q2928" s="385" t="str">
        <f>IF(
    OR(ISBLANK(L2928), ISBLANK(M2928)),
    "",
    MAX(
        1,
        IF(
            NETWORKDAYS(L2928, M2928, Holiday_Dates) &lt;= 0,
            1,
            NETWORKDAYS(L2928, M2928, Holiday_Dates) - IF(L2928 = M2928, 0, 1)
        )
    )
)</f>
        <v/>
      </c>
      <c r="R2928" s="385" t="str">
        <f>IFERROR(
    IF(
        OR(ISBLANK(N2928), AND(ISBLANK(L2928), ISBLANK(M2928))),
        "",
        MAX(
            1,
            IF(
                NETWORKDAYS(IF(NOT(ISBLANK(M2928)), M2928, L2928), N2928, Holiday_Dates) &lt;= 0,
                1,
                NETWORKDAYS(IF(NOT(ISBLANK(M2928)), M2928, L2928), N2928, Holiday_Dates)
                - IF(IF(NOT(ISBLANK(M2928)), M2928, L2928) = N2928, 0, 1)
            )
        )
    ),
    ""
)</f>
        <v/>
      </c>
      <c r="S2928" s="385" t="str">
        <f>IFERROR(
    IF(
        OR(ISBLANK(N2928), ISBLANK(O2928)),
        "",
        MAX(
            1,
            IF(
                NETWORKDAYS(N2928, O2928, Holiday_Dates) &lt;= 0,
                1,
                NETWORKDAYS(N2928, O2928, Holiday_Dates) - IF(N2928 = O2928, 0, 1)
            )
        )
    ),
    ""
)</f>
        <v/>
      </c>
      <c r="T2928" s="385"/>
      <c r="U2928" s="385" t="s">
        <v>4</v>
      </c>
      <c r="V2928" s="385" t="s">
        <v>108</v>
      </c>
      <c r="W2928" s="385" t="s">
        <v>1436</v>
      </c>
      <c r="X2928" s="1"/>
    </row>
    <row r="2929" spans="1:24">
      <c r="A2929" s="385" t="s">
        <v>53</v>
      </c>
      <c r="B2929" s="385" t="s">
        <v>397</v>
      </c>
      <c r="C2929" s="385" t="s">
        <v>4381</v>
      </c>
      <c r="D2929" s="385" t="s">
        <v>89</v>
      </c>
      <c r="E2929" s="385"/>
      <c r="F2929" s="385"/>
      <c r="G2929" s="385"/>
      <c r="H2929" s="385">
        <v>2025</v>
      </c>
      <c r="I2929" s="386">
        <v>45883</v>
      </c>
      <c r="J2929" s="30" t="s">
        <v>5814</v>
      </c>
      <c r="K2929" s="385"/>
      <c r="L2929" s="385"/>
      <c r="M2929" s="385"/>
      <c r="N2929" s="385"/>
      <c r="O2929" s="385"/>
      <c r="P2929" s="385" t="str">
        <f>IFERROR(
    IF(
        OR(ISBLANK(I2929), ISBLANK(L2929)),
        "",
        MAX(
            1,
            IF(
                NETWORKDAYS(I2929, L2929, Holiday_Dates) &lt;= 0,
                1,
                NETWORKDAYS(I2929, L2929, Holiday_Dates) - IF(I2929 = L2929, 0, 1)
            )
        )
    ),
    ""
)</f>
        <v/>
      </c>
      <c r="Q2929" s="385" t="str">
        <f>IF(
    OR(ISBLANK(L2929), ISBLANK(M2929)),
    "",
    MAX(
        1,
        IF(
            NETWORKDAYS(L2929, M2929, Holiday_Dates) &lt;= 0,
            1,
            NETWORKDAYS(L2929, M2929, Holiday_Dates) - IF(L2929 = M2929, 0, 1)
        )
    )
)</f>
        <v/>
      </c>
      <c r="R2929" s="385" t="str">
        <f>IFERROR(
    IF(
        OR(ISBLANK(N2929), AND(ISBLANK(L2929), ISBLANK(M2929))),
        "",
        MAX(
            1,
            IF(
                NETWORKDAYS(IF(NOT(ISBLANK(M2929)), M2929, L2929), N2929, Holiday_Dates) &lt;= 0,
                1,
                NETWORKDAYS(IF(NOT(ISBLANK(M2929)), M2929, L2929), N2929, Holiday_Dates)
                - IF(IF(NOT(ISBLANK(M2929)), M2929, L2929) = N2929, 0, 1)
            )
        )
    ),
    ""
)</f>
        <v/>
      </c>
      <c r="S2929" s="385" t="str">
        <f>IFERROR(
    IF(
        OR(ISBLANK(N2929), ISBLANK(O2929)),
        "",
        MAX(
            1,
            IF(
                NETWORKDAYS(N2929, O2929, Holiday_Dates) &lt;= 0,
                1,
                NETWORKDAYS(N2929, O2929, Holiday_Dates) - IF(N2929 = O2929, 0, 1)
            )
        )
    ),
    ""
)</f>
        <v/>
      </c>
      <c r="T2929" s="385"/>
      <c r="U2929" s="385" t="s">
        <v>4</v>
      </c>
      <c r="V2929" s="385" t="s">
        <v>108</v>
      </c>
      <c r="W2929" s="385" t="s">
        <v>1436</v>
      </c>
      <c r="X2929" s="1"/>
    </row>
    <row r="2930" spans="1:24">
      <c r="A2930" s="385" t="s">
        <v>53</v>
      </c>
      <c r="B2930" s="385" t="s">
        <v>397</v>
      </c>
      <c r="C2930" s="385" t="s">
        <v>1557</v>
      </c>
      <c r="D2930" s="385" t="s">
        <v>89</v>
      </c>
      <c r="E2930" s="385"/>
      <c r="F2930" s="385"/>
      <c r="G2930" s="385"/>
      <c r="H2930" s="385">
        <v>2025</v>
      </c>
      <c r="I2930" s="386">
        <v>45883</v>
      </c>
      <c r="J2930" s="30" t="s">
        <v>5815</v>
      </c>
      <c r="K2930" s="385"/>
      <c r="L2930" s="385"/>
      <c r="M2930" s="385"/>
      <c r="N2930" s="385"/>
      <c r="O2930" s="385"/>
      <c r="P2930" s="385" t="str">
        <f>IFERROR(
    IF(
        OR(ISBLANK(I2930), ISBLANK(L2930)),
        "",
        MAX(
            1,
            IF(
                NETWORKDAYS(I2930, L2930, Holiday_Dates) &lt;= 0,
                1,
                NETWORKDAYS(I2930, L2930, Holiday_Dates) - IF(I2930 = L2930, 0, 1)
            )
        )
    ),
    ""
)</f>
        <v/>
      </c>
      <c r="Q2930" s="385" t="str">
        <f>IF(
    OR(ISBLANK(L2930), ISBLANK(M2930)),
    "",
    MAX(
        1,
        IF(
            NETWORKDAYS(L2930, M2930, Holiday_Dates) &lt;= 0,
            1,
            NETWORKDAYS(L2930, M2930, Holiday_Dates) - IF(L2930 = M2930, 0, 1)
        )
    )
)</f>
        <v/>
      </c>
      <c r="R2930" s="385" t="str">
        <f>IFERROR(
    IF(
        OR(ISBLANK(N2930), AND(ISBLANK(L2930), ISBLANK(M2930))),
        "",
        MAX(
            1,
            IF(
                NETWORKDAYS(IF(NOT(ISBLANK(M2930)), M2930, L2930), N2930, Holiday_Dates) &lt;= 0,
                1,
                NETWORKDAYS(IF(NOT(ISBLANK(M2930)), M2930, L2930), N2930, Holiday_Dates)
                - IF(IF(NOT(ISBLANK(M2930)), M2930, L2930) = N2930, 0, 1)
            )
        )
    ),
    ""
)</f>
        <v/>
      </c>
      <c r="S2930" s="385" t="str">
        <f>IFERROR(
    IF(
        OR(ISBLANK(N2930), ISBLANK(O2930)),
        "",
        MAX(
            1,
            IF(
                NETWORKDAYS(N2930, O2930, Holiday_Dates) &lt;= 0,
                1,
                NETWORKDAYS(N2930, O2930, Holiday_Dates) - IF(N2930 = O2930, 0, 1)
            )
        )
    ),
    ""
)</f>
        <v/>
      </c>
      <c r="T2930" s="385"/>
      <c r="U2930" s="385" t="s">
        <v>4</v>
      </c>
      <c r="V2930" s="385" t="s">
        <v>101</v>
      </c>
      <c r="W2930" s="385" t="s">
        <v>1436</v>
      </c>
      <c r="X2930" s="1"/>
    </row>
    <row r="2931" spans="1:24">
      <c r="A2931" s="385" t="s">
        <v>53</v>
      </c>
      <c r="B2931" s="385" t="s">
        <v>397</v>
      </c>
      <c r="C2931" s="385" t="s">
        <v>3268</v>
      </c>
      <c r="D2931" s="385" t="s">
        <v>89</v>
      </c>
      <c r="E2931" s="385"/>
      <c r="F2931" s="385"/>
      <c r="G2931" s="385"/>
      <c r="H2931" s="385">
        <v>2024</v>
      </c>
      <c r="I2931" s="386">
        <v>45568</v>
      </c>
      <c r="J2931" s="30"/>
      <c r="K2931" s="385"/>
      <c r="L2931" s="385"/>
      <c r="M2931" s="385"/>
      <c r="N2931" s="385"/>
      <c r="O2931" s="385"/>
      <c r="P2931" s="385" t="str">
        <f>IFERROR(
    IF(
        OR(ISBLANK(I2931), ISBLANK(L2931)),
        "",
        MAX(
            1,
            IF(
                NETWORKDAYS(I2931, L2931, Holiday_Dates) &lt;= 0,
                1,
                NETWORKDAYS(I2931, L2931, Holiday_Dates) - IF(I2931 = L2931, 0, 1)
            )
        )
    ),
    ""
)</f>
        <v/>
      </c>
      <c r="Q2931" s="385" t="str">
        <f>IF(
    OR(ISBLANK(L2931), ISBLANK(M2931)),
    "",
    MAX(
        1,
        IF(
            NETWORKDAYS(L2931, M2931, Holiday_Dates) &lt;= 0,
            1,
            NETWORKDAYS(L2931, M2931, Holiday_Dates) - IF(L2931 = M2931, 0, 1)
        )
    )
)</f>
        <v/>
      </c>
      <c r="R2931" s="385" t="str">
        <f>IFERROR(
    IF(
        OR(ISBLANK(N2931), AND(ISBLANK(L2931), ISBLANK(M2931))),
        "",
        MAX(
            1,
            IF(
                NETWORKDAYS(IF(NOT(ISBLANK(M2931)), M2931, L2931), N2931, Holiday_Dates) &lt;= 0,
                1,
                NETWORKDAYS(IF(NOT(ISBLANK(M2931)), M2931, L2931), N2931, Holiday_Dates)
                - IF(IF(NOT(ISBLANK(M2931)), M2931, L2931) = N2931, 0, 1)
            )
        )
    ),
    ""
)</f>
        <v/>
      </c>
      <c r="S2931" s="385" t="str">
        <f>IFERROR(
    IF(
        OR(ISBLANK(N2931), ISBLANK(O2931)),
        "",
        MAX(
            1,
            IF(
                NETWORKDAYS(N2931, O2931, Holiday_Dates) &lt;= 0,
                1,
                NETWORKDAYS(N2931, O2931, Holiday_Dates) - IF(N2931 = O2931, 0, 1)
            )
        )
    ),
    ""
)</f>
        <v/>
      </c>
      <c r="T2931" s="385"/>
      <c r="U2931" s="385" t="s">
        <v>4</v>
      </c>
      <c r="V2931" s="385" t="s">
        <v>101</v>
      </c>
      <c r="W2931" s="385" t="s">
        <v>1436</v>
      </c>
      <c r="X2931" s="1"/>
    </row>
    <row r="2932" spans="1:24">
      <c r="A2932" s="385" t="s">
        <v>53</v>
      </c>
      <c r="B2932" s="385" t="s">
        <v>397</v>
      </c>
      <c r="C2932" s="385" t="s">
        <v>4383</v>
      </c>
      <c r="D2932" s="385" t="s">
        <v>89</v>
      </c>
      <c r="E2932" s="385"/>
      <c r="F2932" s="385"/>
      <c r="G2932" s="385"/>
      <c r="H2932" s="385">
        <v>2025</v>
      </c>
      <c r="I2932" s="386">
        <v>45883</v>
      </c>
      <c r="J2932" s="30" t="s">
        <v>5816</v>
      </c>
      <c r="K2932" s="385"/>
      <c r="L2932" s="385"/>
      <c r="M2932" s="385"/>
      <c r="N2932" s="385"/>
      <c r="O2932" s="385"/>
      <c r="P2932" s="385" t="str">
        <f>IFERROR(
    IF(
        OR(ISBLANK(I2932), ISBLANK(L2932)),
        "",
        MAX(
            1,
            IF(
                NETWORKDAYS(I2932, L2932, Holiday_Dates) &lt;= 0,
                1,
                NETWORKDAYS(I2932, L2932, Holiday_Dates) - IF(I2932 = L2932, 0, 1)
            )
        )
    ),
    ""
)</f>
        <v/>
      </c>
      <c r="Q2932" s="385" t="str">
        <f>IF(
    OR(ISBLANK(L2932), ISBLANK(M2932)),
    "",
    MAX(
        1,
        IF(
            NETWORKDAYS(L2932, M2932, Holiday_Dates) &lt;= 0,
            1,
            NETWORKDAYS(L2932, M2932, Holiday_Dates) - IF(L2932 = M2932, 0, 1)
        )
    )
)</f>
        <v/>
      </c>
      <c r="R2932" s="385" t="str">
        <f>IFERROR(
    IF(
        OR(ISBLANK(N2932), AND(ISBLANK(L2932), ISBLANK(M2932))),
        "",
        MAX(
            1,
            IF(
                NETWORKDAYS(IF(NOT(ISBLANK(M2932)), M2932, L2932), N2932, Holiday_Dates) &lt;= 0,
                1,
                NETWORKDAYS(IF(NOT(ISBLANK(M2932)), M2932, L2932), N2932, Holiday_Dates)
                - IF(IF(NOT(ISBLANK(M2932)), M2932, L2932) = N2932, 0, 1)
            )
        )
    ),
    ""
)</f>
        <v/>
      </c>
      <c r="S2932" s="385" t="str">
        <f>IFERROR(
    IF(
        OR(ISBLANK(N2932), ISBLANK(O2932)),
        "",
        MAX(
            1,
            IF(
                NETWORKDAYS(N2932, O2932, Holiday_Dates) &lt;= 0,
                1,
                NETWORKDAYS(N2932, O2932, Holiday_Dates) - IF(N2932 = O2932, 0, 1)
            )
        )
    ),
    ""
)</f>
        <v/>
      </c>
      <c r="T2932" s="385"/>
      <c r="U2932" s="385" t="s">
        <v>4</v>
      </c>
      <c r="V2932" s="385" t="s">
        <v>101</v>
      </c>
      <c r="W2932" s="385" t="s">
        <v>1436</v>
      </c>
      <c r="X2932" s="1"/>
    </row>
    <row r="2933" spans="1:24">
      <c r="A2933" s="385" t="s">
        <v>53</v>
      </c>
      <c r="B2933" s="385" t="s">
        <v>397</v>
      </c>
      <c r="C2933" s="385" t="s">
        <v>1850</v>
      </c>
      <c r="D2933" s="385" t="s">
        <v>89</v>
      </c>
      <c r="E2933" s="385"/>
      <c r="F2933" s="385"/>
      <c r="G2933" s="385"/>
      <c r="H2933" s="385">
        <v>2025</v>
      </c>
      <c r="I2933" s="386">
        <v>45883</v>
      </c>
      <c r="J2933" s="30" t="s">
        <v>5817</v>
      </c>
      <c r="K2933" s="385"/>
      <c r="L2933" s="385"/>
      <c r="M2933" s="385"/>
      <c r="N2933" s="385"/>
      <c r="O2933" s="385"/>
      <c r="P2933" s="385" t="str">
        <f>IFERROR(
    IF(
        OR(ISBLANK(I2933), ISBLANK(L2933)),
        "",
        MAX(
            1,
            IF(
                NETWORKDAYS(I2933, L2933, Holiday_Dates) &lt;= 0,
                1,
                NETWORKDAYS(I2933, L2933, Holiday_Dates) - IF(I2933 = L2933, 0, 1)
            )
        )
    ),
    ""
)</f>
        <v/>
      </c>
      <c r="Q2933" s="385" t="str">
        <f>IF(
    OR(ISBLANK(L2933), ISBLANK(M2933)),
    "",
    MAX(
        1,
        IF(
            NETWORKDAYS(L2933, M2933, Holiday_Dates) &lt;= 0,
            1,
            NETWORKDAYS(L2933, M2933, Holiday_Dates) - IF(L2933 = M2933, 0, 1)
        )
    )
)</f>
        <v/>
      </c>
      <c r="R2933" s="385" t="str">
        <f>IFERROR(
    IF(
        OR(ISBLANK(N2933), AND(ISBLANK(L2933), ISBLANK(M2933))),
        "",
        MAX(
            1,
            IF(
                NETWORKDAYS(IF(NOT(ISBLANK(M2933)), M2933, L2933), N2933, Holiday_Dates) &lt;= 0,
                1,
                NETWORKDAYS(IF(NOT(ISBLANK(M2933)), M2933, L2933), N2933, Holiday_Dates)
                - IF(IF(NOT(ISBLANK(M2933)), M2933, L2933) = N2933, 0, 1)
            )
        )
    ),
    ""
)</f>
        <v/>
      </c>
      <c r="S2933" s="385" t="str">
        <f>IFERROR(
    IF(
        OR(ISBLANK(N2933), ISBLANK(O2933)),
        "",
        MAX(
            1,
            IF(
                NETWORKDAYS(N2933, O2933, Holiday_Dates) &lt;= 0,
                1,
                NETWORKDAYS(N2933, O2933, Holiday_Dates) - IF(N2933 = O2933, 0, 1)
            )
        )
    ),
    ""
)</f>
        <v/>
      </c>
      <c r="T2933" s="385"/>
      <c r="U2933" s="385" t="s">
        <v>4</v>
      </c>
      <c r="V2933" s="385" t="s">
        <v>101</v>
      </c>
      <c r="W2933" s="385" t="s">
        <v>1436</v>
      </c>
      <c r="X2933" s="1"/>
    </row>
    <row r="2934" spans="1:24">
      <c r="A2934" s="385" t="s">
        <v>53</v>
      </c>
      <c r="B2934" s="385" t="s">
        <v>397</v>
      </c>
      <c r="C2934" s="385" t="s">
        <v>747</v>
      </c>
      <c r="D2934" s="385" t="s">
        <v>89</v>
      </c>
      <c r="E2934" s="385"/>
      <c r="F2934" s="385"/>
      <c r="G2934" s="385"/>
      <c r="H2934" s="385">
        <v>2024</v>
      </c>
      <c r="I2934" s="386">
        <v>45610</v>
      </c>
      <c r="J2934" s="30"/>
      <c r="K2934" s="385"/>
      <c r="L2934" s="385"/>
      <c r="M2934" s="385"/>
      <c r="N2934" s="385"/>
      <c r="O2934" s="385"/>
      <c r="P2934" s="385" t="str">
        <f>IFERROR(
    IF(
        OR(ISBLANK(I2934), ISBLANK(L2934)),
        "",
        MAX(
            1,
            IF(
                NETWORKDAYS(I2934, L2934, Holiday_Dates) &lt;= 0,
                1,
                NETWORKDAYS(I2934, L2934, Holiday_Dates) - IF(I2934 = L2934, 0, 1)
            )
        )
    ),
    ""
)</f>
        <v/>
      </c>
      <c r="Q2934" s="385" t="str">
        <f>IF(
    OR(ISBLANK(L2934), ISBLANK(M2934)),
    "",
    MAX(
        1,
        IF(
            NETWORKDAYS(L2934, M2934, Holiday_Dates) &lt;= 0,
            1,
            NETWORKDAYS(L2934, M2934, Holiday_Dates) - IF(L2934 = M2934, 0, 1)
        )
    )
)</f>
        <v/>
      </c>
      <c r="R2934" s="385" t="str">
        <f>IFERROR(
    IF(
        OR(ISBLANK(N2934), AND(ISBLANK(L2934), ISBLANK(M2934))),
        "",
        MAX(
            1,
            IF(
                NETWORKDAYS(IF(NOT(ISBLANK(M2934)), M2934, L2934), N2934, Holiday_Dates) &lt;= 0,
                1,
                NETWORKDAYS(IF(NOT(ISBLANK(M2934)), M2934, L2934), N2934, Holiday_Dates)
                - IF(IF(NOT(ISBLANK(M2934)), M2934, L2934) = N2934, 0, 1)
            )
        )
    ),
    ""
)</f>
        <v/>
      </c>
      <c r="S2934" s="385" t="str">
        <f>IFERROR(
    IF(
        OR(ISBLANK(N2934), ISBLANK(O2934)),
        "",
        MAX(
            1,
            IF(
                NETWORKDAYS(N2934, O2934, Holiday_Dates) &lt;= 0,
                1,
                NETWORKDAYS(N2934, O2934, Holiday_Dates) - IF(N2934 = O2934, 0, 1)
            )
        )
    ),
    ""
)</f>
        <v/>
      </c>
      <c r="T2934" s="385"/>
      <c r="U2934" s="385" t="s">
        <v>4</v>
      </c>
      <c r="V2934" s="385" t="s">
        <v>101</v>
      </c>
      <c r="W2934" s="385" t="s">
        <v>1436</v>
      </c>
      <c r="X2934" s="1"/>
    </row>
    <row r="2935" spans="1:24">
      <c r="A2935" s="385" t="s">
        <v>53</v>
      </c>
      <c r="B2935" s="385" t="s">
        <v>397</v>
      </c>
      <c r="C2935" s="385" t="s">
        <v>4385</v>
      </c>
      <c r="D2935" s="385" t="s">
        <v>89</v>
      </c>
      <c r="E2935" s="385"/>
      <c r="F2935" s="385"/>
      <c r="G2935" s="385"/>
      <c r="H2935" s="385">
        <v>2024</v>
      </c>
      <c r="I2935" s="386">
        <v>45610</v>
      </c>
      <c r="J2935" s="30"/>
      <c r="K2935" s="385"/>
      <c r="L2935" s="385"/>
      <c r="M2935" s="385"/>
      <c r="N2935" s="385"/>
      <c r="O2935" s="385"/>
      <c r="P2935" s="385" t="str">
        <f>IFERROR(
    IF(
        OR(ISBLANK(I2935), ISBLANK(L2935)),
        "",
        MAX(
            1,
            IF(
                NETWORKDAYS(I2935, L2935, Holiday_Dates) &lt;= 0,
                1,
                NETWORKDAYS(I2935, L2935, Holiday_Dates) - IF(I2935 = L2935, 0, 1)
            )
        )
    ),
    ""
)</f>
        <v/>
      </c>
      <c r="Q2935" s="385" t="str">
        <f>IF(
    OR(ISBLANK(L2935), ISBLANK(M2935)),
    "",
    MAX(
        1,
        IF(
            NETWORKDAYS(L2935, M2935, Holiday_Dates) &lt;= 0,
            1,
            NETWORKDAYS(L2935, M2935, Holiday_Dates) - IF(L2935 = M2935, 0, 1)
        )
    )
)</f>
        <v/>
      </c>
      <c r="R2935" s="385" t="str">
        <f>IFERROR(
    IF(
        OR(ISBLANK(N2935), AND(ISBLANK(L2935), ISBLANK(M2935))),
        "",
        MAX(
            1,
            IF(
                NETWORKDAYS(IF(NOT(ISBLANK(M2935)), M2935, L2935), N2935, Holiday_Dates) &lt;= 0,
                1,
                NETWORKDAYS(IF(NOT(ISBLANK(M2935)), M2935, L2935), N2935, Holiday_Dates)
                - IF(IF(NOT(ISBLANK(M2935)), M2935, L2935) = N2935, 0, 1)
            )
        )
    ),
    ""
)</f>
        <v/>
      </c>
      <c r="S2935" s="385" t="str">
        <f>IFERROR(
    IF(
        OR(ISBLANK(N2935), ISBLANK(O2935)),
        "",
        MAX(
            1,
            IF(
                NETWORKDAYS(N2935, O2935, Holiday_Dates) &lt;= 0,
                1,
                NETWORKDAYS(N2935, O2935, Holiday_Dates) - IF(N2935 = O2935, 0, 1)
            )
        )
    ),
    ""
)</f>
        <v/>
      </c>
      <c r="T2935" s="385"/>
      <c r="U2935" s="385" t="s">
        <v>4</v>
      </c>
      <c r="V2935" s="385" t="s">
        <v>101</v>
      </c>
      <c r="W2935" s="385" t="s">
        <v>1436</v>
      </c>
      <c r="X2935" s="1"/>
    </row>
    <row r="2936" spans="1:24">
      <c r="A2936" s="385" t="s">
        <v>53</v>
      </c>
      <c r="B2936" s="385" t="s">
        <v>397</v>
      </c>
      <c r="C2936" s="385" t="s">
        <v>2342</v>
      </c>
      <c r="D2936" s="385" t="s">
        <v>89</v>
      </c>
      <c r="E2936" s="385"/>
      <c r="F2936" s="385"/>
      <c r="G2936" s="385"/>
      <c r="H2936" s="385">
        <v>2025</v>
      </c>
      <c r="I2936" s="386">
        <v>45674</v>
      </c>
      <c r="J2936" s="30" t="s">
        <v>5818</v>
      </c>
      <c r="K2936" s="385"/>
      <c r="L2936" s="385"/>
      <c r="M2936" s="385"/>
      <c r="N2936" s="385"/>
      <c r="O2936" s="385"/>
      <c r="P2936" s="385" t="str">
        <f>IFERROR(
    IF(
        OR(ISBLANK(I2936), ISBLANK(L2936)),
        "",
        MAX(
            1,
            IF(
                NETWORKDAYS(I2936, L2936, Holiday_Dates) &lt;= 0,
                1,
                NETWORKDAYS(I2936, L2936, Holiday_Dates) - IF(I2936 = L2936, 0, 1)
            )
        )
    ),
    ""
)</f>
        <v/>
      </c>
      <c r="Q2936" s="385" t="str">
        <f>IF(
    OR(ISBLANK(L2936), ISBLANK(M2936)),
    "",
    MAX(
        1,
        IF(
            NETWORKDAYS(L2936, M2936, Holiday_Dates) &lt;= 0,
            1,
            NETWORKDAYS(L2936, M2936, Holiday_Dates) - IF(L2936 = M2936, 0, 1)
        )
    )
)</f>
        <v/>
      </c>
      <c r="R2936" s="385" t="str">
        <f>IFERROR(
    IF(
        OR(ISBLANK(N2936), AND(ISBLANK(L2936), ISBLANK(M2936))),
        "",
        MAX(
            1,
            IF(
                NETWORKDAYS(IF(NOT(ISBLANK(M2936)), M2936, L2936), N2936, Holiday_Dates) &lt;= 0,
                1,
                NETWORKDAYS(IF(NOT(ISBLANK(M2936)), M2936, L2936), N2936, Holiday_Dates)
                - IF(IF(NOT(ISBLANK(M2936)), M2936, L2936) = N2936, 0, 1)
            )
        )
    ),
    ""
)</f>
        <v/>
      </c>
      <c r="S2936" s="385" t="str">
        <f>IFERROR(
    IF(
        OR(ISBLANK(N2936), ISBLANK(O2936)),
        "",
        MAX(
            1,
            IF(
                NETWORKDAYS(N2936, O2936, Holiday_Dates) &lt;= 0,
                1,
                NETWORKDAYS(N2936, O2936, Holiday_Dates) - IF(N2936 = O2936, 0, 1)
            )
        )
    ),
    ""
)</f>
        <v/>
      </c>
      <c r="T2936" s="385"/>
      <c r="U2936" s="385" t="s">
        <v>4</v>
      </c>
      <c r="V2936" s="385" t="s">
        <v>101</v>
      </c>
      <c r="W2936" s="385" t="s">
        <v>1436</v>
      </c>
      <c r="X2936" s="1"/>
    </row>
    <row r="2937" spans="1:24">
      <c r="A2937" s="385" t="s">
        <v>53</v>
      </c>
      <c r="B2937" s="385" t="s">
        <v>397</v>
      </c>
      <c r="C2937" s="385" t="s">
        <v>2278</v>
      </c>
      <c r="D2937" s="385" t="s">
        <v>89</v>
      </c>
      <c r="E2937" s="385"/>
      <c r="F2937" s="385"/>
      <c r="G2937" s="385"/>
      <c r="H2937" s="385">
        <v>2024</v>
      </c>
      <c r="I2937" s="386">
        <v>45610</v>
      </c>
      <c r="J2937" s="30"/>
      <c r="K2937" s="385"/>
      <c r="L2937" s="385"/>
      <c r="M2937" s="385"/>
      <c r="N2937" s="385"/>
      <c r="O2937" s="385"/>
      <c r="P2937" s="385" t="str">
        <f>IFERROR(
    IF(
        OR(ISBLANK(I2937), ISBLANK(L2937)),
        "",
        MAX(
            1,
            IF(
                NETWORKDAYS(I2937, L2937, Holiday_Dates) &lt;= 0,
                1,
                NETWORKDAYS(I2937, L2937, Holiday_Dates) - IF(I2937 = L2937, 0, 1)
            )
        )
    ),
    ""
)</f>
        <v/>
      </c>
      <c r="Q2937" s="385" t="str">
        <f>IF(
    OR(ISBLANK(L2937), ISBLANK(M2937)),
    "",
    MAX(
        1,
        IF(
            NETWORKDAYS(L2937, M2937, Holiday_Dates) &lt;= 0,
            1,
            NETWORKDAYS(L2937, M2937, Holiday_Dates) - IF(L2937 = M2937, 0, 1)
        )
    )
)</f>
        <v/>
      </c>
      <c r="R2937" s="385" t="str">
        <f>IFERROR(
    IF(
        OR(ISBLANK(N2937), AND(ISBLANK(L2937), ISBLANK(M2937))),
        "",
        MAX(
            1,
            IF(
                NETWORKDAYS(IF(NOT(ISBLANK(M2937)), M2937, L2937), N2937, Holiday_Dates) &lt;= 0,
                1,
                NETWORKDAYS(IF(NOT(ISBLANK(M2937)), M2937, L2937), N2937, Holiday_Dates)
                - IF(IF(NOT(ISBLANK(M2937)), M2937, L2937) = N2937, 0, 1)
            )
        )
    ),
    ""
)</f>
        <v/>
      </c>
      <c r="S2937" s="385" t="str">
        <f>IFERROR(
    IF(
        OR(ISBLANK(N2937), ISBLANK(O2937)),
        "",
        MAX(
            1,
            IF(
                NETWORKDAYS(N2937, O2937, Holiday_Dates) &lt;= 0,
                1,
                NETWORKDAYS(N2937, O2937, Holiday_Dates) - IF(N2937 = O2937, 0, 1)
            )
        )
    ),
    ""
)</f>
        <v/>
      </c>
      <c r="T2937" s="385"/>
      <c r="U2937" s="385" t="s">
        <v>4</v>
      </c>
      <c r="V2937" s="385" t="s">
        <v>101</v>
      </c>
      <c r="W2937" s="385" t="s">
        <v>1436</v>
      </c>
      <c r="X2937" s="1"/>
    </row>
    <row r="2938" spans="1:24">
      <c r="A2938" s="385" t="s">
        <v>53</v>
      </c>
      <c r="B2938" s="385" t="s">
        <v>397</v>
      </c>
      <c r="C2938" s="385" t="s">
        <v>2178</v>
      </c>
      <c r="D2938" s="385" t="s">
        <v>89</v>
      </c>
      <c r="E2938" s="385"/>
      <c r="F2938" s="385"/>
      <c r="G2938" s="385"/>
      <c r="H2938" s="385">
        <v>2024</v>
      </c>
      <c r="I2938" s="386">
        <v>45568</v>
      </c>
      <c r="J2938" s="30"/>
      <c r="K2938" s="385"/>
      <c r="L2938" s="385"/>
      <c r="M2938" s="385"/>
      <c r="N2938" s="385"/>
      <c r="O2938" s="385"/>
      <c r="P2938" s="385" t="str">
        <f>IFERROR(
    IF(
        OR(ISBLANK(I2938), ISBLANK(L2938)),
        "",
        MAX(
            1,
            IF(
                NETWORKDAYS(I2938, L2938, Holiday_Dates) &lt;= 0,
                1,
                NETWORKDAYS(I2938, L2938, Holiday_Dates) - IF(I2938 = L2938, 0, 1)
            )
        )
    ),
    ""
)</f>
        <v/>
      </c>
      <c r="Q2938" s="385" t="str">
        <f>IF(
    OR(ISBLANK(L2938), ISBLANK(M2938)),
    "",
    MAX(
        1,
        IF(
            NETWORKDAYS(L2938, M2938, Holiday_Dates) &lt;= 0,
            1,
            NETWORKDAYS(L2938, M2938, Holiday_Dates) - IF(L2938 = M2938, 0, 1)
        )
    )
)</f>
        <v/>
      </c>
      <c r="R2938" s="385" t="str">
        <f>IFERROR(
    IF(
        OR(ISBLANK(N2938), AND(ISBLANK(L2938), ISBLANK(M2938))),
        "",
        MAX(
            1,
            IF(
                NETWORKDAYS(IF(NOT(ISBLANK(M2938)), M2938, L2938), N2938, Holiday_Dates) &lt;= 0,
                1,
                NETWORKDAYS(IF(NOT(ISBLANK(M2938)), M2938, L2938), N2938, Holiday_Dates)
                - IF(IF(NOT(ISBLANK(M2938)), M2938, L2938) = N2938, 0, 1)
            )
        )
    ),
    ""
)</f>
        <v/>
      </c>
      <c r="S2938" s="385" t="str">
        <f>IFERROR(
    IF(
        OR(ISBLANK(N2938), ISBLANK(O2938)),
        "",
        MAX(
            1,
            IF(
                NETWORKDAYS(N2938, O2938, Holiday_Dates) &lt;= 0,
                1,
                NETWORKDAYS(N2938, O2938, Holiday_Dates) - IF(N2938 = O2938, 0, 1)
            )
        )
    ),
    ""
)</f>
        <v/>
      </c>
      <c r="T2938" s="385"/>
      <c r="U2938" s="385" t="s">
        <v>4</v>
      </c>
      <c r="V2938" s="385" t="s">
        <v>101</v>
      </c>
      <c r="W2938" s="385" t="s">
        <v>1436</v>
      </c>
      <c r="X2938" s="1"/>
    </row>
    <row r="2939" spans="1:24">
      <c r="A2939" s="385" t="s">
        <v>53</v>
      </c>
      <c r="B2939" s="385" t="s">
        <v>397</v>
      </c>
      <c r="C2939" s="385" t="s">
        <v>717</v>
      </c>
      <c r="D2939" s="385" t="s">
        <v>89</v>
      </c>
      <c r="E2939" s="385"/>
      <c r="F2939" s="385"/>
      <c r="G2939" s="385"/>
      <c r="H2939" s="385">
        <v>2024</v>
      </c>
      <c r="I2939" s="386">
        <v>45610</v>
      </c>
      <c r="J2939" s="30"/>
      <c r="K2939" s="385"/>
      <c r="L2939" s="385"/>
      <c r="M2939" s="385"/>
      <c r="N2939" s="385"/>
      <c r="O2939" s="385"/>
      <c r="P2939" s="385" t="str">
        <f>IFERROR(
    IF(
        OR(ISBLANK(I2939), ISBLANK(L2939)),
        "",
        MAX(
            1,
            IF(
                NETWORKDAYS(I2939, L2939, Holiday_Dates) &lt;= 0,
                1,
                NETWORKDAYS(I2939, L2939, Holiday_Dates) - IF(I2939 = L2939, 0, 1)
            )
        )
    ),
    ""
)</f>
        <v/>
      </c>
      <c r="Q2939" s="385" t="str">
        <f>IF(
    OR(ISBLANK(L2939), ISBLANK(M2939)),
    "",
    MAX(
        1,
        IF(
            NETWORKDAYS(L2939, M2939, Holiday_Dates) &lt;= 0,
            1,
            NETWORKDAYS(L2939, M2939, Holiday_Dates) - IF(L2939 = M2939, 0, 1)
        )
    )
)</f>
        <v/>
      </c>
      <c r="R2939" s="385" t="str">
        <f>IFERROR(
    IF(
        OR(ISBLANK(N2939), AND(ISBLANK(L2939), ISBLANK(M2939))),
        "",
        MAX(
            1,
            IF(
                NETWORKDAYS(IF(NOT(ISBLANK(M2939)), M2939, L2939), N2939, Holiday_Dates) &lt;= 0,
                1,
                NETWORKDAYS(IF(NOT(ISBLANK(M2939)), M2939, L2939), N2939, Holiday_Dates)
                - IF(IF(NOT(ISBLANK(M2939)), M2939, L2939) = N2939, 0, 1)
            )
        )
    ),
    ""
)</f>
        <v/>
      </c>
      <c r="S2939" s="385" t="str">
        <f>IFERROR(
    IF(
        OR(ISBLANK(N2939), ISBLANK(O2939)),
        "",
        MAX(
            1,
            IF(
                NETWORKDAYS(N2939, O2939, Holiday_Dates) &lt;= 0,
                1,
                NETWORKDAYS(N2939, O2939, Holiday_Dates) - IF(N2939 = O2939, 0, 1)
            )
        )
    ),
    ""
)</f>
        <v/>
      </c>
      <c r="T2939" s="385"/>
      <c r="U2939" s="385" t="s">
        <v>4</v>
      </c>
      <c r="V2939" s="385" t="s">
        <v>101</v>
      </c>
      <c r="W2939" s="385" t="s">
        <v>1436</v>
      </c>
      <c r="X2939" s="1"/>
    </row>
    <row r="2940" spans="1:24">
      <c r="A2940" s="385" t="s">
        <v>53</v>
      </c>
      <c r="B2940" s="385" t="s">
        <v>397</v>
      </c>
      <c r="C2940" s="385" t="s">
        <v>3721</v>
      </c>
      <c r="D2940" s="385" t="s">
        <v>89</v>
      </c>
      <c r="E2940" s="385"/>
      <c r="F2940" s="385"/>
      <c r="G2940" s="385"/>
      <c r="H2940" s="385">
        <v>2024</v>
      </c>
      <c r="I2940" s="386">
        <v>45568</v>
      </c>
      <c r="J2940" s="30"/>
      <c r="K2940" s="385"/>
      <c r="L2940" s="385"/>
      <c r="M2940" s="385"/>
      <c r="N2940" s="385"/>
      <c r="O2940" s="385"/>
      <c r="P2940" s="385" t="str">
        <f>IFERROR(
    IF(
        OR(ISBLANK(I2940), ISBLANK(L2940)),
        "",
        MAX(
            1,
            IF(
                NETWORKDAYS(I2940, L2940, Holiday_Dates) &lt;= 0,
                1,
                NETWORKDAYS(I2940, L2940, Holiday_Dates) - IF(I2940 = L2940, 0, 1)
            )
        )
    ),
    ""
)</f>
        <v/>
      </c>
      <c r="Q2940" s="385" t="str">
        <f>IF(
    OR(ISBLANK(L2940), ISBLANK(M2940)),
    "",
    MAX(
        1,
        IF(
            NETWORKDAYS(L2940, M2940, Holiday_Dates) &lt;= 0,
            1,
            NETWORKDAYS(L2940, M2940, Holiday_Dates) - IF(L2940 = M2940, 0, 1)
        )
    )
)</f>
        <v/>
      </c>
      <c r="R2940" s="385" t="str">
        <f>IFERROR(
    IF(
        OR(ISBLANK(N2940), AND(ISBLANK(L2940), ISBLANK(M2940))),
        "",
        MAX(
            1,
            IF(
                NETWORKDAYS(IF(NOT(ISBLANK(M2940)), M2940, L2940), N2940, Holiday_Dates) &lt;= 0,
                1,
                NETWORKDAYS(IF(NOT(ISBLANK(M2940)), M2940, L2940), N2940, Holiday_Dates)
                - IF(IF(NOT(ISBLANK(M2940)), M2940, L2940) = N2940, 0, 1)
            )
        )
    ),
    ""
)</f>
        <v/>
      </c>
      <c r="S2940" s="385" t="str">
        <f>IFERROR(
    IF(
        OR(ISBLANK(N2940), ISBLANK(O2940)),
        "",
        MAX(
            1,
            IF(
                NETWORKDAYS(N2940, O2940, Holiday_Dates) &lt;= 0,
                1,
                NETWORKDAYS(N2940, O2940, Holiday_Dates) - IF(N2940 = O2940, 0, 1)
            )
        )
    ),
    ""
)</f>
        <v/>
      </c>
      <c r="T2940" s="385"/>
      <c r="U2940" s="385" t="s">
        <v>4</v>
      </c>
      <c r="V2940" s="385" t="s">
        <v>101</v>
      </c>
      <c r="W2940" s="385" t="s">
        <v>1436</v>
      </c>
      <c r="X2940" s="1"/>
    </row>
    <row r="2941" spans="1:24">
      <c r="A2941" s="385" t="s">
        <v>53</v>
      </c>
      <c r="B2941" s="385" t="s">
        <v>397</v>
      </c>
      <c r="C2941" s="385" t="s">
        <v>2234</v>
      </c>
      <c r="D2941" s="385" t="s">
        <v>89</v>
      </c>
      <c r="E2941" s="385"/>
      <c r="F2941" s="385"/>
      <c r="G2941" s="385"/>
      <c r="H2941" s="385">
        <v>2024</v>
      </c>
      <c r="I2941" s="386">
        <v>45568</v>
      </c>
      <c r="J2941" s="30"/>
      <c r="K2941" s="385"/>
      <c r="L2941" s="385"/>
      <c r="M2941" s="385"/>
      <c r="N2941" s="385"/>
      <c r="O2941" s="385"/>
      <c r="P2941" s="385" t="str">
        <f>IFERROR(
    IF(
        OR(ISBLANK(I2941), ISBLANK(L2941)),
        "",
        MAX(
            1,
            IF(
                NETWORKDAYS(I2941, L2941, Holiday_Dates) &lt;= 0,
                1,
                NETWORKDAYS(I2941, L2941, Holiday_Dates) - IF(I2941 = L2941, 0, 1)
            )
        )
    ),
    ""
)</f>
        <v/>
      </c>
      <c r="Q2941" s="385" t="str">
        <f>IF(
    OR(ISBLANK(L2941), ISBLANK(M2941)),
    "",
    MAX(
        1,
        IF(
            NETWORKDAYS(L2941, M2941, Holiday_Dates) &lt;= 0,
            1,
            NETWORKDAYS(L2941, M2941, Holiday_Dates) - IF(L2941 = M2941, 0, 1)
        )
    )
)</f>
        <v/>
      </c>
      <c r="R2941" s="385" t="str">
        <f>IFERROR(
    IF(
        OR(ISBLANK(N2941), AND(ISBLANK(L2941), ISBLANK(M2941))),
        "",
        MAX(
            1,
            IF(
                NETWORKDAYS(IF(NOT(ISBLANK(M2941)), M2941, L2941), N2941, Holiday_Dates) &lt;= 0,
                1,
                NETWORKDAYS(IF(NOT(ISBLANK(M2941)), M2941, L2941), N2941, Holiday_Dates)
                - IF(IF(NOT(ISBLANK(M2941)), M2941, L2941) = N2941, 0, 1)
            )
        )
    ),
    ""
)</f>
        <v/>
      </c>
      <c r="S2941" s="385" t="str">
        <f>IFERROR(
    IF(
        OR(ISBLANK(N2941), ISBLANK(O2941)),
        "",
        MAX(
            1,
            IF(
                NETWORKDAYS(N2941, O2941, Holiday_Dates) &lt;= 0,
                1,
                NETWORKDAYS(N2941, O2941, Holiday_Dates) - IF(N2941 = O2941, 0, 1)
            )
        )
    ),
    ""
)</f>
        <v/>
      </c>
      <c r="T2941" s="385"/>
      <c r="U2941" s="385" t="s">
        <v>4</v>
      </c>
      <c r="V2941" s="385" t="s">
        <v>101</v>
      </c>
      <c r="W2941" s="385" t="s">
        <v>1436</v>
      </c>
      <c r="X2941" s="1"/>
    </row>
    <row r="2942" spans="1:24">
      <c r="A2942" s="385" t="s">
        <v>53</v>
      </c>
      <c r="B2942" s="385" t="s">
        <v>397</v>
      </c>
      <c r="C2942" s="385" t="s">
        <v>380</v>
      </c>
      <c r="D2942" s="385" t="s">
        <v>89</v>
      </c>
      <c r="E2942" s="385"/>
      <c r="F2942" s="385"/>
      <c r="G2942" s="385"/>
      <c r="H2942" s="385">
        <v>2024</v>
      </c>
      <c r="I2942" s="386">
        <v>45428</v>
      </c>
      <c r="J2942" s="30"/>
      <c r="K2942" s="385"/>
      <c r="L2942" s="385"/>
      <c r="M2942" s="385"/>
      <c r="N2942" s="385"/>
      <c r="O2942" s="385"/>
      <c r="P2942" s="385" t="str">
        <f>IFERROR(
    IF(
        OR(ISBLANK(I2942), ISBLANK(L2942)),
        "",
        MAX(
            1,
            IF(
                NETWORKDAYS(I2942, L2942, Holiday_Dates) &lt;= 0,
                1,
                NETWORKDAYS(I2942, L2942, Holiday_Dates) - IF(I2942 = L2942, 0, 1)
            )
        )
    ),
    ""
)</f>
        <v/>
      </c>
      <c r="Q2942" s="385" t="str">
        <f>IF(
    OR(ISBLANK(L2942), ISBLANK(M2942)),
    "",
    MAX(
        1,
        IF(
            NETWORKDAYS(L2942, M2942, Holiday_Dates) &lt;= 0,
            1,
            NETWORKDAYS(L2942, M2942, Holiday_Dates) - IF(L2942 = M2942, 0, 1)
        )
    )
)</f>
        <v/>
      </c>
      <c r="R2942" s="385" t="str">
        <f>IFERROR(
    IF(
        OR(ISBLANK(N2942), AND(ISBLANK(L2942), ISBLANK(M2942))),
        "",
        MAX(
            1,
            IF(
                NETWORKDAYS(IF(NOT(ISBLANK(M2942)), M2942, L2942), N2942, Holiday_Dates) &lt;= 0,
                1,
                NETWORKDAYS(IF(NOT(ISBLANK(M2942)), M2942, L2942), N2942, Holiday_Dates)
                - IF(IF(NOT(ISBLANK(M2942)), M2942, L2942) = N2942, 0, 1)
            )
        )
    ),
    ""
)</f>
        <v/>
      </c>
      <c r="S2942" s="385" t="str">
        <f>IFERROR(
    IF(
        OR(ISBLANK(N2942), ISBLANK(O2942)),
        "",
        MAX(
            1,
            IF(
                NETWORKDAYS(N2942, O2942, Holiday_Dates) &lt;= 0,
                1,
                NETWORKDAYS(N2942, O2942, Holiday_Dates) - IF(N2942 = O2942, 0, 1)
            )
        )
    ),
    ""
)</f>
        <v/>
      </c>
      <c r="T2942" s="385"/>
      <c r="U2942" s="385" t="s">
        <v>4</v>
      </c>
      <c r="V2942" s="385" t="s">
        <v>101</v>
      </c>
      <c r="W2942" s="385" t="s">
        <v>1436</v>
      </c>
      <c r="X2942" s="1"/>
    </row>
    <row r="2943" spans="1:24">
      <c r="A2943" s="385" t="s">
        <v>52</v>
      </c>
      <c r="B2943" s="385" t="s">
        <v>4207</v>
      </c>
      <c r="C2943" s="385" t="s">
        <v>4221</v>
      </c>
      <c r="D2943" s="385" t="s">
        <v>89</v>
      </c>
      <c r="E2943" s="385" t="s">
        <v>37</v>
      </c>
      <c r="F2943" s="385"/>
      <c r="G2943" s="385" t="s">
        <v>28</v>
      </c>
      <c r="H2943" s="385"/>
      <c r="I2943" s="385"/>
      <c r="J2943" s="30"/>
      <c r="K2943" s="385"/>
      <c r="L2943" s="385"/>
      <c r="M2943" s="385"/>
      <c r="N2943" s="385"/>
      <c r="O2943" s="385"/>
      <c r="P2943" s="385" t="str">
        <f>IFERROR(
    IF(
        OR(ISBLANK(I2943), ISBLANK(L2943)),
        "",
        MAX(
            1,
            IF(
                NETWORKDAYS(I2943, L2943, Holiday_Dates) &lt;= 0,
                1,
                NETWORKDAYS(I2943, L2943, Holiday_Dates) - IF(I2943 = L2943, 0, 1)
            )
        )
    ),
    ""
)</f>
        <v/>
      </c>
      <c r="Q2943" s="385" t="str">
        <f>IF(
    OR(ISBLANK(L2943), ISBLANK(M2943)),
    "",
    MAX(
        1,
        IF(
            NETWORKDAYS(L2943, M2943, Holiday_Dates) &lt;= 0,
            1,
            NETWORKDAYS(L2943, M2943, Holiday_Dates) - IF(L2943 = M2943, 0, 1)
        )
    )
)</f>
        <v/>
      </c>
      <c r="R2943" s="385" t="str">
        <f>IFERROR(
    IF(
        OR(ISBLANK(N2943), AND(ISBLANK(L2943), ISBLANK(M2943))),
        "",
        MAX(
            1,
            IF(
                NETWORKDAYS(IF(NOT(ISBLANK(M2943)), M2943, L2943), N2943, Holiday_Dates) &lt;= 0,
                1,
                NETWORKDAYS(IF(NOT(ISBLANK(M2943)), M2943, L2943), N2943, Holiday_Dates)
                - IF(IF(NOT(ISBLANK(M2943)), M2943, L2943) = N2943, 0, 1)
            )
        )
    ),
    ""
)</f>
        <v/>
      </c>
      <c r="S2943" s="385" t="str">
        <f>IFERROR(
    IF(
        OR(ISBLANK(N2943), ISBLANK(O2943)),
        "",
        MAX(
            1,
            IF(
                NETWORKDAYS(N2943, O2943, Holiday_Dates) &lt;= 0,
                1,
                NETWORKDAYS(N2943, O2943, Holiday_Dates) - IF(N2943 = O2943, 0, 1)
            )
        )
    ),
    ""
)</f>
        <v/>
      </c>
      <c r="T2943" s="385"/>
      <c r="U2943" s="385"/>
      <c r="V2943" s="385"/>
      <c r="W2943" s="385" t="s">
        <v>4710</v>
      </c>
      <c r="X2943" s="1"/>
    </row>
    <row r="2944" spans="1:24">
      <c r="A2944" s="385" t="s">
        <v>52</v>
      </c>
      <c r="B2944" s="385" t="s">
        <v>4207</v>
      </c>
      <c r="C2944" s="385" t="s">
        <v>4223</v>
      </c>
      <c r="D2944" s="385" t="s">
        <v>89</v>
      </c>
      <c r="E2944" s="385" t="s">
        <v>37</v>
      </c>
      <c r="F2944" s="385"/>
      <c r="G2944" s="385" t="s">
        <v>28</v>
      </c>
      <c r="H2944" s="385"/>
      <c r="I2944" s="385"/>
      <c r="J2944" s="30"/>
      <c r="K2944" s="385"/>
      <c r="L2944" s="385"/>
      <c r="M2944" s="385"/>
      <c r="N2944" s="385"/>
      <c r="O2944" s="385"/>
      <c r="P2944" s="385" t="str">
        <f>IFERROR(
    IF(
        OR(ISBLANK(I2944), ISBLANK(L2944)),
        "",
        MAX(
            1,
            IF(
                NETWORKDAYS(I2944, L2944, Holiday_Dates) &lt;= 0,
                1,
                NETWORKDAYS(I2944, L2944, Holiday_Dates) - IF(I2944 = L2944, 0, 1)
            )
        )
    ),
    ""
)</f>
        <v/>
      </c>
      <c r="Q2944" s="385" t="str">
        <f>IF(
    OR(ISBLANK(L2944), ISBLANK(M2944)),
    "",
    MAX(
        1,
        IF(
            NETWORKDAYS(L2944, M2944, Holiday_Dates) &lt;= 0,
            1,
            NETWORKDAYS(L2944, M2944, Holiday_Dates) - IF(L2944 = M2944, 0, 1)
        )
    )
)</f>
        <v/>
      </c>
      <c r="R2944" s="385" t="str">
        <f>IFERROR(
    IF(
        OR(ISBLANK(N2944), AND(ISBLANK(L2944), ISBLANK(M2944))),
        "",
        MAX(
            1,
            IF(
                NETWORKDAYS(IF(NOT(ISBLANK(M2944)), M2944, L2944), N2944, Holiday_Dates) &lt;= 0,
                1,
                NETWORKDAYS(IF(NOT(ISBLANK(M2944)), M2944, L2944), N2944, Holiday_Dates)
                - IF(IF(NOT(ISBLANK(M2944)), M2944, L2944) = N2944, 0, 1)
            )
        )
    ),
    ""
)</f>
        <v/>
      </c>
      <c r="S2944" s="385" t="str">
        <f>IFERROR(
    IF(
        OR(ISBLANK(N2944), ISBLANK(O2944)),
        "",
        MAX(
            1,
            IF(
                NETWORKDAYS(N2944, O2944, Holiday_Dates) &lt;= 0,
                1,
                NETWORKDAYS(N2944, O2944, Holiday_Dates) - IF(N2944 = O2944, 0, 1)
            )
        )
    ),
    ""
)</f>
        <v/>
      </c>
      <c r="T2944" s="385"/>
      <c r="U2944" s="385"/>
      <c r="V2944" s="385"/>
      <c r="W2944" s="385" t="s">
        <v>4710</v>
      </c>
      <c r="X2944" s="1"/>
    </row>
    <row r="2945" spans="1:24">
      <c r="A2945" s="385" t="s">
        <v>52</v>
      </c>
      <c r="B2945" s="385" t="s">
        <v>4207</v>
      </c>
      <c r="C2945" s="385" t="s">
        <v>4225</v>
      </c>
      <c r="D2945" s="385" t="s">
        <v>89</v>
      </c>
      <c r="E2945" s="385" t="s">
        <v>37</v>
      </c>
      <c r="F2945" s="385"/>
      <c r="G2945" s="385" t="s">
        <v>28</v>
      </c>
      <c r="H2945" s="385"/>
      <c r="I2945" s="385"/>
      <c r="J2945" s="30"/>
      <c r="K2945" s="385"/>
      <c r="L2945" s="385"/>
      <c r="M2945" s="385"/>
      <c r="N2945" s="385"/>
      <c r="O2945" s="385"/>
      <c r="P2945" s="385" t="str">
        <f>IFERROR(
    IF(
        OR(ISBLANK(I2945), ISBLANK(L2945)),
        "",
        MAX(
            1,
            IF(
                NETWORKDAYS(I2945, L2945, Holiday_Dates) &lt;= 0,
                1,
                NETWORKDAYS(I2945, L2945, Holiday_Dates) - IF(I2945 = L2945, 0, 1)
            )
        )
    ),
    ""
)</f>
        <v/>
      </c>
      <c r="Q2945" s="385" t="str">
        <f>IF(
    OR(ISBLANK(L2945), ISBLANK(M2945)),
    "",
    MAX(
        1,
        IF(
            NETWORKDAYS(L2945, M2945, Holiday_Dates) &lt;= 0,
            1,
            NETWORKDAYS(L2945, M2945, Holiday_Dates) - IF(L2945 = M2945, 0, 1)
        )
    )
)</f>
        <v/>
      </c>
      <c r="R2945" s="385" t="str">
        <f>IFERROR(
    IF(
        OR(ISBLANK(N2945), AND(ISBLANK(L2945), ISBLANK(M2945))),
        "",
        MAX(
            1,
            IF(
                NETWORKDAYS(IF(NOT(ISBLANK(M2945)), M2945, L2945), N2945, Holiday_Dates) &lt;= 0,
                1,
                NETWORKDAYS(IF(NOT(ISBLANK(M2945)), M2945, L2945), N2945, Holiday_Dates)
                - IF(IF(NOT(ISBLANK(M2945)), M2945, L2945) = N2945, 0, 1)
            )
        )
    ),
    ""
)</f>
        <v/>
      </c>
      <c r="S2945" s="385" t="str">
        <f>IFERROR(
    IF(
        OR(ISBLANK(N2945), ISBLANK(O2945)),
        "",
        MAX(
            1,
            IF(
                NETWORKDAYS(N2945, O2945, Holiday_Dates) &lt;= 0,
                1,
                NETWORKDAYS(N2945, O2945, Holiday_Dates) - IF(N2945 = O2945, 0, 1)
            )
        )
    ),
    ""
)</f>
        <v/>
      </c>
      <c r="T2945" s="385"/>
      <c r="U2945" s="385"/>
      <c r="V2945" s="385"/>
      <c r="W2945" s="385" t="s">
        <v>4710</v>
      </c>
      <c r="X2945" s="1"/>
    </row>
    <row r="2946" spans="1:24">
      <c r="A2946" s="385" t="s">
        <v>52</v>
      </c>
      <c r="B2946" s="385" t="s">
        <v>4207</v>
      </c>
      <c r="C2946" s="385" t="s">
        <v>4226</v>
      </c>
      <c r="D2946" s="385" t="s">
        <v>89</v>
      </c>
      <c r="E2946" s="385" t="s">
        <v>37</v>
      </c>
      <c r="F2946" s="385"/>
      <c r="G2946" s="385" t="s">
        <v>28</v>
      </c>
      <c r="H2946" s="385"/>
      <c r="I2946" s="385"/>
      <c r="J2946" s="30"/>
      <c r="K2946" s="385"/>
      <c r="L2946" s="385"/>
      <c r="M2946" s="385"/>
      <c r="N2946" s="385"/>
      <c r="O2946" s="385"/>
      <c r="P2946" s="385" t="str">
        <f>IFERROR(
    IF(
        OR(ISBLANK(I2946), ISBLANK(L2946)),
        "",
        MAX(
            1,
            IF(
                NETWORKDAYS(I2946, L2946, Holiday_Dates) &lt;= 0,
                1,
                NETWORKDAYS(I2946, L2946, Holiday_Dates) - IF(I2946 = L2946, 0, 1)
            )
        )
    ),
    ""
)</f>
        <v/>
      </c>
      <c r="Q2946" s="385" t="str">
        <f>IF(
    OR(ISBLANK(L2946), ISBLANK(M2946)),
    "",
    MAX(
        1,
        IF(
            NETWORKDAYS(L2946, M2946, Holiday_Dates) &lt;= 0,
            1,
            NETWORKDAYS(L2946, M2946, Holiday_Dates) - IF(L2946 = M2946, 0, 1)
        )
    )
)</f>
        <v/>
      </c>
      <c r="R2946" s="385" t="str">
        <f>IFERROR(
    IF(
        OR(ISBLANK(N2946), AND(ISBLANK(L2946), ISBLANK(M2946))),
        "",
        MAX(
            1,
            IF(
                NETWORKDAYS(IF(NOT(ISBLANK(M2946)), M2946, L2946), N2946, Holiday_Dates) &lt;= 0,
                1,
                NETWORKDAYS(IF(NOT(ISBLANK(M2946)), M2946, L2946), N2946, Holiday_Dates)
                - IF(IF(NOT(ISBLANK(M2946)), M2946, L2946) = N2946, 0, 1)
            )
        )
    ),
    ""
)</f>
        <v/>
      </c>
      <c r="S2946" s="385" t="str">
        <f>IFERROR(
    IF(
        OR(ISBLANK(N2946), ISBLANK(O2946)),
        "",
        MAX(
            1,
            IF(
                NETWORKDAYS(N2946, O2946, Holiday_Dates) &lt;= 0,
                1,
                NETWORKDAYS(N2946, O2946, Holiday_Dates) - IF(N2946 = O2946, 0, 1)
            )
        )
    ),
    ""
)</f>
        <v/>
      </c>
      <c r="T2946" s="385"/>
      <c r="U2946" s="385"/>
      <c r="V2946" s="385"/>
      <c r="W2946" s="385" t="s">
        <v>4710</v>
      </c>
      <c r="X2946" s="1"/>
    </row>
    <row r="2947" spans="1:24">
      <c r="A2947" s="385" t="s">
        <v>52</v>
      </c>
      <c r="B2947" s="385" t="s">
        <v>4231</v>
      </c>
      <c r="C2947" s="385" t="s">
        <v>1998</v>
      </c>
      <c r="D2947" s="385" t="s">
        <v>88</v>
      </c>
      <c r="E2947" s="385" t="s">
        <v>37</v>
      </c>
      <c r="F2947" s="385"/>
      <c r="G2947" s="385" t="s">
        <v>28</v>
      </c>
      <c r="H2947" s="385"/>
      <c r="I2947" s="385"/>
      <c r="J2947" s="30"/>
      <c r="K2947" s="385"/>
      <c r="L2947" s="385"/>
      <c r="M2947" s="385"/>
      <c r="N2947" s="385"/>
      <c r="O2947" s="385"/>
      <c r="P2947" s="385" t="str">
        <f>IFERROR(
    IF(
        OR(ISBLANK(I2947), ISBLANK(L2947)),
        "",
        MAX(
            1,
            IF(
                NETWORKDAYS(I2947, L2947, Holiday_Dates) &lt;= 0,
                1,
                NETWORKDAYS(I2947, L2947, Holiday_Dates) - IF(I2947 = L2947, 0, 1)
            )
        )
    ),
    ""
)</f>
        <v/>
      </c>
      <c r="Q2947" s="385" t="str">
        <f>IF(
    OR(ISBLANK(L2947), ISBLANK(M2947)),
    "",
    MAX(
        1,
        IF(
            NETWORKDAYS(L2947, M2947, Holiday_Dates) &lt;= 0,
            1,
            NETWORKDAYS(L2947, M2947, Holiday_Dates) - IF(L2947 = M2947, 0, 1)
        )
    )
)</f>
        <v/>
      </c>
      <c r="R2947" s="385" t="str">
        <f>IFERROR(
    IF(
        OR(ISBLANK(N2947), AND(ISBLANK(L2947), ISBLANK(M2947))),
        "",
        MAX(
            1,
            IF(
                NETWORKDAYS(IF(NOT(ISBLANK(M2947)), M2947, L2947), N2947, Holiday_Dates) &lt;= 0,
                1,
                NETWORKDAYS(IF(NOT(ISBLANK(M2947)), M2947, L2947), N2947, Holiday_Dates)
                - IF(IF(NOT(ISBLANK(M2947)), M2947, L2947) = N2947, 0, 1)
            )
        )
    ),
    ""
)</f>
        <v/>
      </c>
      <c r="S2947" s="385" t="str">
        <f>IFERROR(
    IF(
        OR(ISBLANK(N2947), ISBLANK(O2947)),
        "",
        MAX(
            1,
            IF(
                NETWORKDAYS(N2947, O2947, Holiday_Dates) &lt;= 0,
                1,
                NETWORKDAYS(N2947, O2947, Holiday_Dates) - IF(N2947 = O2947, 0, 1)
            )
        )
    ),
    ""
)</f>
        <v/>
      </c>
      <c r="T2947" s="385"/>
      <c r="U2947" s="385"/>
      <c r="V2947" s="385"/>
      <c r="W2947" s="385" t="s">
        <v>4710</v>
      </c>
      <c r="X2947" s="1"/>
    </row>
    <row r="2948" spans="1:24">
      <c r="A2948" s="385" t="s">
        <v>52</v>
      </c>
      <c r="B2948" s="385" t="s">
        <v>4231</v>
      </c>
      <c r="C2948" s="385" t="s">
        <v>2276</v>
      </c>
      <c r="D2948" s="385" t="s">
        <v>88</v>
      </c>
      <c r="E2948" s="385" t="s">
        <v>37</v>
      </c>
      <c r="F2948" s="385"/>
      <c r="G2948" s="385" t="s">
        <v>28</v>
      </c>
      <c r="H2948" s="385"/>
      <c r="I2948" s="385"/>
      <c r="J2948" s="30"/>
      <c r="K2948" s="385"/>
      <c r="L2948" s="385"/>
      <c r="M2948" s="385"/>
      <c r="N2948" s="385"/>
      <c r="O2948" s="385"/>
      <c r="P2948" s="385" t="str">
        <f>IFERROR(
    IF(
        OR(ISBLANK(I2948), ISBLANK(L2948)),
        "",
        MAX(
            1,
            IF(
                NETWORKDAYS(I2948, L2948, Holiday_Dates) &lt;= 0,
                1,
                NETWORKDAYS(I2948, L2948, Holiday_Dates) - IF(I2948 = L2948, 0, 1)
            )
        )
    ),
    ""
)</f>
        <v/>
      </c>
      <c r="Q2948" s="385" t="str">
        <f>IF(
    OR(ISBLANK(L2948), ISBLANK(M2948)),
    "",
    MAX(
        1,
        IF(
            NETWORKDAYS(L2948, M2948, Holiday_Dates) &lt;= 0,
            1,
            NETWORKDAYS(L2948, M2948, Holiday_Dates) - IF(L2948 = M2948, 0, 1)
        )
    )
)</f>
        <v/>
      </c>
      <c r="R2948" s="385" t="str">
        <f>IFERROR(
    IF(
        OR(ISBLANK(N2948), AND(ISBLANK(L2948), ISBLANK(M2948))),
        "",
        MAX(
            1,
            IF(
                NETWORKDAYS(IF(NOT(ISBLANK(M2948)), M2948, L2948), N2948, Holiday_Dates) &lt;= 0,
                1,
                NETWORKDAYS(IF(NOT(ISBLANK(M2948)), M2948, L2948), N2948, Holiday_Dates)
                - IF(IF(NOT(ISBLANK(M2948)), M2948, L2948) = N2948, 0, 1)
            )
        )
    ),
    ""
)</f>
        <v/>
      </c>
      <c r="S2948" s="385" t="str">
        <f>IFERROR(
    IF(
        OR(ISBLANK(N2948), ISBLANK(O2948)),
        "",
        MAX(
            1,
            IF(
                NETWORKDAYS(N2948, O2948, Holiday_Dates) &lt;= 0,
                1,
                NETWORKDAYS(N2948, O2948, Holiday_Dates) - IF(N2948 = O2948, 0, 1)
            )
        )
    ),
    ""
)</f>
        <v/>
      </c>
      <c r="T2948" s="385"/>
      <c r="U2948" s="385"/>
      <c r="V2948" s="385"/>
      <c r="W2948" s="385" t="s">
        <v>4710</v>
      </c>
      <c r="X2948" s="1"/>
    </row>
    <row r="2949" spans="1:24">
      <c r="A2949" s="385" t="s">
        <v>52</v>
      </c>
      <c r="B2949" s="385" t="s">
        <v>4231</v>
      </c>
      <c r="C2949" s="385" t="s">
        <v>4263</v>
      </c>
      <c r="D2949" s="385" t="s">
        <v>88</v>
      </c>
      <c r="E2949" s="385" t="s">
        <v>37</v>
      </c>
      <c r="F2949" s="385"/>
      <c r="G2949" s="385" t="s">
        <v>28</v>
      </c>
      <c r="H2949" s="385"/>
      <c r="I2949" s="385"/>
      <c r="J2949" s="30"/>
      <c r="K2949" s="385"/>
      <c r="L2949" s="385"/>
      <c r="M2949" s="385"/>
      <c r="N2949" s="385"/>
      <c r="O2949" s="385"/>
      <c r="P2949" s="385" t="str">
        <f>IFERROR(
    IF(
        OR(ISBLANK(I2949), ISBLANK(L2949)),
        "",
        MAX(
            1,
            IF(
                NETWORKDAYS(I2949, L2949, Holiday_Dates) &lt;= 0,
                1,
                NETWORKDAYS(I2949, L2949, Holiday_Dates) - IF(I2949 = L2949, 0, 1)
            )
        )
    ),
    ""
)</f>
        <v/>
      </c>
      <c r="Q2949" s="385" t="str">
        <f>IF(
    OR(ISBLANK(L2949), ISBLANK(M2949)),
    "",
    MAX(
        1,
        IF(
            NETWORKDAYS(L2949, M2949, Holiday_Dates) &lt;= 0,
            1,
            NETWORKDAYS(L2949, M2949, Holiday_Dates) - IF(L2949 = M2949, 0, 1)
        )
    )
)</f>
        <v/>
      </c>
      <c r="R2949" s="385" t="str">
        <f>IFERROR(
    IF(
        OR(ISBLANK(N2949), AND(ISBLANK(L2949), ISBLANK(M2949))),
        "",
        MAX(
            1,
            IF(
                NETWORKDAYS(IF(NOT(ISBLANK(M2949)), M2949, L2949), N2949, Holiday_Dates) &lt;= 0,
                1,
                NETWORKDAYS(IF(NOT(ISBLANK(M2949)), M2949, L2949), N2949, Holiday_Dates)
                - IF(IF(NOT(ISBLANK(M2949)), M2949, L2949) = N2949, 0, 1)
            )
        )
    ),
    ""
)</f>
        <v/>
      </c>
      <c r="S2949" s="385" t="str">
        <f>IFERROR(
    IF(
        OR(ISBLANK(N2949), ISBLANK(O2949)),
        "",
        MAX(
            1,
            IF(
                NETWORKDAYS(N2949, O2949, Holiday_Dates) &lt;= 0,
                1,
                NETWORKDAYS(N2949, O2949, Holiday_Dates) - IF(N2949 = O2949, 0, 1)
            )
        )
    ),
    ""
)</f>
        <v/>
      </c>
      <c r="T2949" s="385"/>
      <c r="U2949" s="385"/>
      <c r="V2949" s="385"/>
      <c r="W2949" s="385" t="s">
        <v>4710</v>
      </c>
      <c r="X2949" s="1"/>
    </row>
    <row r="2950" spans="1:24">
      <c r="A2950" s="385" t="s">
        <v>53</v>
      </c>
      <c r="B2950" s="385" t="s">
        <v>4393</v>
      </c>
      <c r="C2950" s="385" t="s">
        <v>858</v>
      </c>
      <c r="D2950" s="385" t="s">
        <v>89</v>
      </c>
      <c r="E2950" s="385"/>
      <c r="F2950" s="385"/>
      <c r="G2950" s="385"/>
      <c r="H2950" s="385">
        <v>2024</v>
      </c>
      <c r="I2950" s="386">
        <v>45427</v>
      </c>
      <c r="J2950" s="30"/>
      <c r="K2950" s="385"/>
      <c r="L2950" s="385"/>
      <c r="M2950" s="385"/>
      <c r="N2950" s="385"/>
      <c r="O2950" s="385"/>
      <c r="P2950" s="385" t="str">
        <f>IFERROR(
    IF(
        OR(ISBLANK(I2950), ISBLANK(L2950)),
        "",
        MAX(
            1,
            IF(
                NETWORKDAYS(I2950, L2950, Holiday_Dates) &lt;= 0,
                1,
                NETWORKDAYS(I2950, L2950, Holiday_Dates) - IF(I2950 = L2950, 0, 1)
            )
        )
    ),
    ""
)</f>
        <v/>
      </c>
      <c r="Q2950" s="385" t="str">
        <f>IF(
    OR(ISBLANK(L2950), ISBLANK(M2950)),
    "",
    MAX(
        1,
        IF(
            NETWORKDAYS(L2950, M2950, Holiday_Dates) &lt;= 0,
            1,
            NETWORKDAYS(L2950, M2950, Holiday_Dates) - IF(L2950 = M2950, 0, 1)
        )
    )
)</f>
        <v/>
      </c>
      <c r="R2950" s="385" t="str">
        <f>IFERROR(
    IF(
        OR(ISBLANK(N2950), AND(ISBLANK(L2950), ISBLANK(M2950))),
        "",
        MAX(
            1,
            IF(
                NETWORKDAYS(IF(NOT(ISBLANK(M2950)), M2950, L2950), N2950, Holiday_Dates) &lt;= 0,
                1,
                NETWORKDAYS(IF(NOT(ISBLANK(M2950)), M2950, L2950), N2950, Holiday_Dates)
                - IF(IF(NOT(ISBLANK(M2950)), M2950, L2950) = N2950, 0, 1)
            )
        )
    ),
    ""
)</f>
        <v/>
      </c>
      <c r="S2950" s="385" t="str">
        <f>IFERROR(
    IF(
        OR(ISBLANK(N2950), ISBLANK(O2950)),
        "",
        MAX(
            1,
            IF(
                NETWORKDAYS(N2950, O2950, Holiday_Dates) &lt;= 0,
                1,
                NETWORKDAYS(N2950, O2950, Holiday_Dates) - IF(N2950 = O2950, 0, 1)
            )
        )
    ),
    ""
)</f>
        <v/>
      </c>
      <c r="T2950" s="385"/>
      <c r="U2950" s="385" t="s">
        <v>4</v>
      </c>
      <c r="V2950" s="385" t="s">
        <v>101</v>
      </c>
      <c r="W2950" s="385" t="s">
        <v>1436</v>
      </c>
      <c r="X2950" s="1"/>
    </row>
    <row r="2951" spans="1:24">
      <c r="A2951" s="385" t="s">
        <v>53</v>
      </c>
      <c r="B2951" s="385" t="s">
        <v>4393</v>
      </c>
      <c r="C2951" s="385" t="s">
        <v>1406</v>
      </c>
      <c r="D2951" s="385" t="s">
        <v>89</v>
      </c>
      <c r="E2951" s="385"/>
      <c r="F2951" s="385"/>
      <c r="G2951" s="385"/>
      <c r="H2951" s="385">
        <v>2024</v>
      </c>
      <c r="I2951" s="386">
        <v>45489</v>
      </c>
      <c r="J2951" s="30"/>
      <c r="K2951" s="385"/>
      <c r="L2951" s="385"/>
      <c r="M2951" s="385"/>
      <c r="N2951" s="385"/>
      <c r="O2951" s="385"/>
      <c r="P2951" s="385" t="str">
        <f>IFERROR(
    IF(
        OR(ISBLANK(I2951), ISBLANK(L2951)),
        "",
        MAX(
            1,
            IF(
                NETWORKDAYS(I2951, L2951, Holiday_Dates) &lt;= 0,
                1,
                NETWORKDAYS(I2951, L2951, Holiday_Dates) - IF(I2951 = L2951, 0, 1)
            )
        )
    ),
    ""
)</f>
        <v/>
      </c>
      <c r="Q2951" s="385" t="str">
        <f>IF(
    OR(ISBLANK(L2951), ISBLANK(M2951)),
    "",
    MAX(
        1,
        IF(
            NETWORKDAYS(L2951, M2951, Holiday_Dates) &lt;= 0,
            1,
            NETWORKDAYS(L2951, M2951, Holiday_Dates) - IF(L2951 = M2951, 0, 1)
        )
    )
)</f>
        <v/>
      </c>
      <c r="R2951" s="385" t="str">
        <f>IFERROR(
    IF(
        OR(ISBLANK(N2951), AND(ISBLANK(L2951), ISBLANK(M2951))),
        "",
        MAX(
            1,
            IF(
                NETWORKDAYS(IF(NOT(ISBLANK(M2951)), M2951, L2951), N2951, Holiday_Dates) &lt;= 0,
                1,
                NETWORKDAYS(IF(NOT(ISBLANK(M2951)), M2951, L2951), N2951, Holiday_Dates)
                - IF(IF(NOT(ISBLANK(M2951)), M2951, L2951) = N2951, 0, 1)
            )
        )
    ),
    ""
)</f>
        <v/>
      </c>
      <c r="S2951" s="385" t="str">
        <f>IFERROR(
    IF(
        OR(ISBLANK(N2951), ISBLANK(O2951)),
        "",
        MAX(
            1,
            IF(
                NETWORKDAYS(N2951, O2951, Holiday_Dates) &lt;= 0,
                1,
                NETWORKDAYS(N2951, O2951, Holiday_Dates) - IF(N2951 = O2951, 0, 1)
            )
        )
    ),
    ""
)</f>
        <v/>
      </c>
      <c r="T2951" s="385"/>
      <c r="U2951" s="385" t="s">
        <v>4</v>
      </c>
      <c r="V2951" s="385" t="s">
        <v>101</v>
      </c>
      <c r="W2951" s="385" t="s">
        <v>1436</v>
      </c>
      <c r="X2951" s="1"/>
    </row>
    <row r="2952" spans="1:24">
      <c r="A2952" s="385" t="s">
        <v>53</v>
      </c>
      <c r="B2952" s="385" t="s">
        <v>4393</v>
      </c>
      <c r="C2952" s="385" t="s">
        <v>954</v>
      </c>
      <c r="D2952" s="385" t="s">
        <v>89</v>
      </c>
      <c r="E2952" s="385"/>
      <c r="F2952" s="385"/>
      <c r="G2952" s="385"/>
      <c r="H2952" s="385">
        <v>2024</v>
      </c>
      <c r="I2952" s="386">
        <v>45427</v>
      </c>
      <c r="J2952" s="30"/>
      <c r="K2952" s="385"/>
      <c r="L2952" s="385"/>
      <c r="M2952" s="385"/>
      <c r="N2952" s="385"/>
      <c r="O2952" s="385"/>
      <c r="P2952" s="385" t="str">
        <f>IFERROR(
    IF(
        OR(ISBLANK(I2952), ISBLANK(L2952)),
        "",
        MAX(
            1,
            IF(
                NETWORKDAYS(I2952, L2952, Holiday_Dates) &lt;= 0,
                1,
                NETWORKDAYS(I2952, L2952, Holiday_Dates) - IF(I2952 = L2952, 0, 1)
            )
        )
    ),
    ""
)</f>
        <v/>
      </c>
      <c r="Q2952" s="385" t="str">
        <f>IF(
    OR(ISBLANK(L2952), ISBLANK(M2952)),
    "",
    MAX(
        1,
        IF(
            NETWORKDAYS(L2952, M2952, Holiday_Dates) &lt;= 0,
            1,
            NETWORKDAYS(L2952, M2952, Holiday_Dates) - IF(L2952 = M2952, 0, 1)
        )
    )
)</f>
        <v/>
      </c>
      <c r="R2952" s="385" t="str">
        <f>IFERROR(
    IF(
        OR(ISBLANK(N2952), AND(ISBLANK(L2952), ISBLANK(M2952))),
        "",
        MAX(
            1,
            IF(
                NETWORKDAYS(IF(NOT(ISBLANK(M2952)), M2952, L2952), N2952, Holiday_Dates) &lt;= 0,
                1,
                NETWORKDAYS(IF(NOT(ISBLANK(M2952)), M2952, L2952), N2952, Holiday_Dates)
                - IF(IF(NOT(ISBLANK(M2952)), M2952, L2952) = N2952, 0, 1)
            )
        )
    ),
    ""
)</f>
        <v/>
      </c>
      <c r="S2952" s="385" t="str">
        <f>IFERROR(
    IF(
        OR(ISBLANK(N2952), ISBLANK(O2952)),
        "",
        MAX(
            1,
            IF(
                NETWORKDAYS(N2952, O2952, Holiday_Dates) &lt;= 0,
                1,
                NETWORKDAYS(N2952, O2952, Holiday_Dates) - IF(N2952 = O2952, 0, 1)
            )
        )
    ),
    ""
)</f>
        <v/>
      </c>
      <c r="T2952" s="385"/>
      <c r="U2952" s="385" t="s">
        <v>4</v>
      </c>
      <c r="V2952" s="385" t="s">
        <v>101</v>
      </c>
      <c r="W2952" s="385" t="s">
        <v>1436</v>
      </c>
      <c r="X2952" s="1"/>
    </row>
    <row r="2953" spans="1:24">
      <c r="A2953" s="385" t="s">
        <v>53</v>
      </c>
      <c r="B2953" s="385" t="s">
        <v>4393</v>
      </c>
      <c r="C2953" s="385" t="s">
        <v>4406</v>
      </c>
      <c r="D2953" s="385" t="s">
        <v>89</v>
      </c>
      <c r="E2953" s="385"/>
      <c r="F2953" s="385"/>
      <c r="G2953" s="385"/>
      <c r="H2953" s="385">
        <v>2024</v>
      </c>
      <c r="I2953" s="386">
        <v>45489</v>
      </c>
      <c r="J2953" s="30"/>
      <c r="K2953" s="385"/>
      <c r="L2953" s="385"/>
      <c r="M2953" s="385"/>
      <c r="N2953" s="385"/>
      <c r="O2953" s="385"/>
      <c r="P2953" s="385" t="str">
        <f>IFERROR(
    IF(
        OR(ISBLANK(I2953), ISBLANK(L2953)),
        "",
        MAX(
            1,
            IF(
                NETWORKDAYS(I2953, L2953, Holiday_Dates) &lt;= 0,
                1,
                NETWORKDAYS(I2953, L2953, Holiday_Dates) - IF(I2953 = L2953, 0, 1)
            )
        )
    ),
    ""
)</f>
        <v/>
      </c>
      <c r="Q2953" s="385" t="str">
        <f>IF(
    OR(ISBLANK(L2953), ISBLANK(M2953)),
    "",
    MAX(
        1,
        IF(
            NETWORKDAYS(L2953, M2953, Holiday_Dates) &lt;= 0,
            1,
            NETWORKDAYS(L2953, M2953, Holiday_Dates) - IF(L2953 = M2953, 0, 1)
        )
    )
)</f>
        <v/>
      </c>
      <c r="R2953" s="385" t="str">
        <f>IFERROR(
    IF(
        OR(ISBLANK(N2953), AND(ISBLANK(L2953), ISBLANK(M2953))),
        "",
        MAX(
            1,
            IF(
                NETWORKDAYS(IF(NOT(ISBLANK(M2953)), M2953, L2953), N2953, Holiday_Dates) &lt;= 0,
                1,
                NETWORKDAYS(IF(NOT(ISBLANK(M2953)), M2953, L2953), N2953, Holiday_Dates)
                - IF(IF(NOT(ISBLANK(M2953)), M2953, L2953) = N2953, 0, 1)
            )
        )
    ),
    ""
)</f>
        <v/>
      </c>
      <c r="S2953" s="385" t="str">
        <f>IFERROR(
    IF(
        OR(ISBLANK(N2953), ISBLANK(O2953)),
        "",
        MAX(
            1,
            IF(
                NETWORKDAYS(N2953, O2953, Holiday_Dates) &lt;= 0,
                1,
                NETWORKDAYS(N2953, O2953, Holiday_Dates) - IF(N2953 = O2953, 0, 1)
            )
        )
    ),
    ""
)</f>
        <v/>
      </c>
      <c r="T2953" s="385"/>
      <c r="U2953" s="385" t="s">
        <v>672</v>
      </c>
      <c r="V2953" s="385" t="s">
        <v>1676</v>
      </c>
      <c r="W2953" s="385" t="s">
        <v>1436</v>
      </c>
      <c r="X2953" s="1"/>
    </row>
    <row r="2954" spans="1:24">
      <c r="A2954" s="385" t="s">
        <v>53</v>
      </c>
      <c r="B2954" s="385" t="s">
        <v>4393</v>
      </c>
      <c r="C2954" s="385" t="s">
        <v>4408</v>
      </c>
      <c r="D2954" s="385" t="s">
        <v>89</v>
      </c>
      <c r="E2954" s="385"/>
      <c r="F2954" s="385"/>
      <c r="G2954" s="385"/>
      <c r="H2954" s="385">
        <v>2024</v>
      </c>
      <c r="I2954" s="386">
        <v>45489</v>
      </c>
      <c r="J2954" s="30"/>
      <c r="K2954" s="385"/>
      <c r="L2954" s="385"/>
      <c r="M2954" s="385"/>
      <c r="N2954" s="385"/>
      <c r="O2954" s="385"/>
      <c r="P2954" s="385" t="str">
        <f>IFERROR(
    IF(
        OR(ISBLANK(I2954), ISBLANK(L2954)),
        "",
        MAX(
            1,
            IF(
                NETWORKDAYS(I2954, L2954, Holiday_Dates) &lt;= 0,
                1,
                NETWORKDAYS(I2954, L2954, Holiday_Dates) - IF(I2954 = L2954, 0, 1)
            )
        )
    ),
    ""
)</f>
        <v/>
      </c>
      <c r="Q2954" s="385" t="str">
        <f>IF(
    OR(ISBLANK(L2954), ISBLANK(M2954)),
    "",
    MAX(
        1,
        IF(
            NETWORKDAYS(L2954, M2954, Holiday_Dates) &lt;= 0,
            1,
            NETWORKDAYS(L2954, M2954, Holiday_Dates) - IF(L2954 = M2954, 0, 1)
        )
    )
)</f>
        <v/>
      </c>
      <c r="R2954" s="385" t="str">
        <f>IFERROR(
    IF(
        OR(ISBLANK(N2954), AND(ISBLANK(L2954), ISBLANK(M2954))),
        "",
        MAX(
            1,
            IF(
                NETWORKDAYS(IF(NOT(ISBLANK(M2954)), M2954, L2954), N2954, Holiday_Dates) &lt;= 0,
                1,
                NETWORKDAYS(IF(NOT(ISBLANK(M2954)), M2954, L2954), N2954, Holiday_Dates)
                - IF(IF(NOT(ISBLANK(M2954)), M2954, L2954) = N2954, 0, 1)
            )
        )
    ),
    ""
)</f>
        <v/>
      </c>
      <c r="S2954" s="385" t="str">
        <f>IFERROR(
    IF(
        OR(ISBLANK(N2954), ISBLANK(O2954)),
        "",
        MAX(
            1,
            IF(
                NETWORKDAYS(N2954, O2954, Holiday_Dates) &lt;= 0,
                1,
                NETWORKDAYS(N2954, O2954, Holiday_Dates) - IF(N2954 = O2954, 0, 1)
            )
        )
    ),
    ""
)</f>
        <v/>
      </c>
      <c r="T2954" s="385"/>
      <c r="U2954" s="385" t="s">
        <v>672</v>
      </c>
      <c r="V2954" s="385" t="s">
        <v>1676</v>
      </c>
      <c r="W2954" s="385" t="s">
        <v>1436</v>
      </c>
      <c r="X2954" s="1"/>
    </row>
    <row r="2955" spans="1:24">
      <c r="A2955" s="385" t="s">
        <v>53</v>
      </c>
      <c r="B2955" s="385" t="s">
        <v>4393</v>
      </c>
      <c r="C2955" s="385" t="s">
        <v>2342</v>
      </c>
      <c r="D2955" s="385" t="s">
        <v>89</v>
      </c>
      <c r="E2955" s="385"/>
      <c r="F2955" s="385"/>
      <c r="G2955" s="385"/>
      <c r="H2955" s="385">
        <v>2024</v>
      </c>
      <c r="I2955" s="386">
        <v>45489</v>
      </c>
      <c r="J2955" s="30"/>
      <c r="K2955" s="385"/>
      <c r="L2955" s="385"/>
      <c r="M2955" s="385"/>
      <c r="N2955" s="385"/>
      <c r="O2955" s="385"/>
      <c r="P2955" s="385" t="str">
        <f>IFERROR(
    IF(
        OR(ISBLANK(I2955), ISBLANK(L2955)),
        "",
        MAX(
            1,
            IF(
                NETWORKDAYS(I2955, L2955, Holiday_Dates) &lt;= 0,
                1,
                NETWORKDAYS(I2955, L2955, Holiday_Dates) - IF(I2955 = L2955, 0, 1)
            )
        )
    ),
    ""
)</f>
        <v/>
      </c>
      <c r="Q2955" s="385" t="str">
        <f>IF(
    OR(ISBLANK(L2955), ISBLANK(M2955)),
    "",
    MAX(
        1,
        IF(
            NETWORKDAYS(L2955, M2955, Holiday_Dates) &lt;= 0,
            1,
            NETWORKDAYS(L2955, M2955, Holiday_Dates) - IF(L2955 = M2955, 0, 1)
        )
    )
)</f>
        <v/>
      </c>
      <c r="R2955" s="385" t="str">
        <f>IFERROR(
    IF(
        OR(ISBLANK(N2955), AND(ISBLANK(L2955), ISBLANK(M2955))),
        "",
        MAX(
            1,
            IF(
                NETWORKDAYS(IF(NOT(ISBLANK(M2955)), M2955, L2955), N2955, Holiday_Dates) &lt;= 0,
                1,
                NETWORKDAYS(IF(NOT(ISBLANK(M2955)), M2955, L2955), N2955, Holiday_Dates)
                - IF(IF(NOT(ISBLANK(M2955)), M2955, L2955) = N2955, 0, 1)
            )
        )
    ),
    ""
)</f>
        <v/>
      </c>
      <c r="S2955" s="385" t="str">
        <f>IFERROR(
    IF(
        OR(ISBLANK(N2955), ISBLANK(O2955)),
        "",
        MAX(
            1,
            IF(
                NETWORKDAYS(N2955, O2955, Holiday_Dates) &lt;= 0,
                1,
                NETWORKDAYS(N2955, O2955, Holiday_Dates) - IF(N2955 = O2955, 0, 1)
            )
        )
    ),
    ""
)</f>
        <v/>
      </c>
      <c r="T2955" s="385"/>
      <c r="U2955" s="385" t="s">
        <v>4</v>
      </c>
      <c r="V2955" s="385" t="s">
        <v>101</v>
      </c>
      <c r="W2955" s="385" t="s">
        <v>1436</v>
      </c>
      <c r="X2955" s="1"/>
    </row>
    <row r="2956" spans="1:24">
      <c r="A2956" s="385" t="s">
        <v>53</v>
      </c>
      <c r="B2956" s="385" t="s">
        <v>4393</v>
      </c>
      <c r="C2956" s="385" t="s">
        <v>2235</v>
      </c>
      <c r="D2956" s="385" t="s">
        <v>89</v>
      </c>
      <c r="E2956" s="385"/>
      <c r="F2956" s="385"/>
      <c r="G2956" s="385"/>
      <c r="H2956" s="385">
        <v>2024</v>
      </c>
      <c r="I2956" s="386">
        <v>45427</v>
      </c>
      <c r="J2956" s="30"/>
      <c r="K2956" s="385"/>
      <c r="L2956" s="385"/>
      <c r="M2956" s="385"/>
      <c r="N2956" s="385"/>
      <c r="O2956" s="385"/>
      <c r="P2956" s="385" t="str">
        <f>IFERROR(
    IF(
        OR(ISBLANK(I2956), ISBLANK(L2956)),
        "",
        MAX(
            1,
            IF(
                NETWORKDAYS(I2956, L2956, Holiday_Dates) &lt;= 0,
                1,
                NETWORKDAYS(I2956, L2956, Holiday_Dates) - IF(I2956 = L2956, 0, 1)
            )
        )
    ),
    ""
)</f>
        <v/>
      </c>
      <c r="Q2956" s="385" t="str">
        <f>IF(
    OR(ISBLANK(L2956), ISBLANK(M2956)),
    "",
    MAX(
        1,
        IF(
            NETWORKDAYS(L2956, M2956, Holiday_Dates) &lt;= 0,
            1,
            NETWORKDAYS(L2956, M2956, Holiday_Dates) - IF(L2956 = M2956, 0, 1)
        )
    )
)</f>
        <v/>
      </c>
      <c r="R2956" s="385" t="str">
        <f>IFERROR(
    IF(
        OR(ISBLANK(N2956), AND(ISBLANK(L2956), ISBLANK(M2956))),
        "",
        MAX(
            1,
            IF(
                NETWORKDAYS(IF(NOT(ISBLANK(M2956)), M2956, L2956), N2956, Holiday_Dates) &lt;= 0,
                1,
                NETWORKDAYS(IF(NOT(ISBLANK(M2956)), M2956, L2956), N2956, Holiday_Dates)
                - IF(IF(NOT(ISBLANK(M2956)), M2956, L2956) = N2956, 0, 1)
            )
        )
    ),
    ""
)</f>
        <v/>
      </c>
      <c r="S2956" s="385" t="str">
        <f>IFERROR(
    IF(
        OR(ISBLANK(N2956), ISBLANK(O2956)),
        "",
        MAX(
            1,
            IF(
                NETWORKDAYS(N2956, O2956, Holiday_Dates) &lt;= 0,
                1,
                NETWORKDAYS(N2956, O2956, Holiday_Dates) - IF(N2956 = O2956, 0, 1)
            )
        )
    ),
    ""
)</f>
        <v/>
      </c>
      <c r="T2956" s="385"/>
      <c r="U2956" s="385" t="s">
        <v>4</v>
      </c>
      <c r="V2956" s="385" t="s">
        <v>101</v>
      </c>
      <c r="W2956" s="385" t="s">
        <v>1436</v>
      </c>
      <c r="X2956" s="1"/>
    </row>
    <row r="2957" spans="1:24">
      <c r="A2957" s="385" t="s">
        <v>53</v>
      </c>
      <c r="B2957" s="385" t="s">
        <v>4393</v>
      </c>
      <c r="C2957" s="385" t="s">
        <v>2347</v>
      </c>
      <c r="D2957" s="385" t="s">
        <v>89</v>
      </c>
      <c r="E2957" s="385"/>
      <c r="F2957" s="385"/>
      <c r="G2957" s="385"/>
      <c r="H2957" s="385">
        <v>2024</v>
      </c>
      <c r="I2957" s="386">
        <v>45552</v>
      </c>
      <c r="J2957" s="30"/>
      <c r="K2957" s="385"/>
      <c r="L2957" s="385"/>
      <c r="M2957" s="385"/>
      <c r="N2957" s="385"/>
      <c r="O2957" s="385"/>
      <c r="P2957" s="385" t="str">
        <f>IFERROR(
    IF(
        OR(ISBLANK(I2957), ISBLANK(L2957)),
        "",
        MAX(
            1,
            IF(
                NETWORKDAYS(I2957, L2957, Holiday_Dates) &lt;= 0,
                1,
                NETWORKDAYS(I2957, L2957, Holiday_Dates) - IF(I2957 = L2957, 0, 1)
            )
        )
    ),
    ""
)</f>
        <v/>
      </c>
      <c r="Q2957" s="385" t="str">
        <f>IF(
    OR(ISBLANK(L2957), ISBLANK(M2957)),
    "",
    MAX(
        1,
        IF(
            NETWORKDAYS(L2957, M2957, Holiday_Dates) &lt;= 0,
            1,
            NETWORKDAYS(L2957, M2957, Holiday_Dates) - IF(L2957 = M2957, 0, 1)
        )
    )
)</f>
        <v/>
      </c>
      <c r="R2957" s="385" t="str">
        <f>IFERROR(
    IF(
        OR(ISBLANK(N2957), AND(ISBLANK(L2957), ISBLANK(M2957))),
        "",
        MAX(
            1,
            IF(
                NETWORKDAYS(IF(NOT(ISBLANK(M2957)), M2957, L2957), N2957, Holiday_Dates) &lt;= 0,
                1,
                NETWORKDAYS(IF(NOT(ISBLANK(M2957)), M2957, L2957), N2957, Holiday_Dates)
                - IF(IF(NOT(ISBLANK(M2957)), M2957, L2957) = N2957, 0, 1)
            )
        )
    ),
    ""
)</f>
        <v/>
      </c>
      <c r="S2957" s="385" t="str">
        <f>IFERROR(
    IF(
        OR(ISBLANK(N2957), ISBLANK(O2957)),
        "",
        MAX(
            1,
            IF(
                NETWORKDAYS(N2957, O2957, Holiday_Dates) &lt;= 0,
                1,
                NETWORKDAYS(N2957, O2957, Holiday_Dates) - IF(N2957 = O2957, 0, 1)
            )
        )
    ),
    ""
)</f>
        <v/>
      </c>
      <c r="T2957" s="385"/>
      <c r="U2957" s="385" t="s">
        <v>672</v>
      </c>
      <c r="V2957" s="385" t="s">
        <v>1676</v>
      </c>
      <c r="W2957" s="385" t="s">
        <v>1436</v>
      </c>
      <c r="X2957" s="1"/>
    </row>
    <row r="2958" spans="1:24">
      <c r="A2958" s="385" t="s">
        <v>53</v>
      </c>
      <c r="B2958" s="385" t="s">
        <v>4393</v>
      </c>
      <c r="C2958" s="385" t="s">
        <v>4404</v>
      </c>
      <c r="D2958" s="385" t="s">
        <v>89</v>
      </c>
      <c r="E2958" s="385"/>
      <c r="F2958" s="385"/>
      <c r="G2958" s="385"/>
      <c r="H2958" s="385">
        <v>2024</v>
      </c>
      <c r="I2958" s="386">
        <v>45552</v>
      </c>
      <c r="J2958" s="30"/>
      <c r="K2958" s="385"/>
      <c r="L2958" s="385"/>
      <c r="M2958" s="385"/>
      <c r="N2958" s="385"/>
      <c r="O2958" s="385"/>
      <c r="P2958" s="385" t="str">
        <f>IFERROR(
    IF(
        OR(ISBLANK(I2958), ISBLANK(L2958)),
        "",
        MAX(
            1,
            IF(
                NETWORKDAYS(I2958, L2958, Holiday_Dates) &lt;= 0,
                1,
                NETWORKDAYS(I2958, L2958, Holiday_Dates) - IF(I2958 = L2958, 0, 1)
            )
        )
    ),
    ""
)</f>
        <v/>
      </c>
      <c r="Q2958" s="385" t="str">
        <f>IF(
    OR(ISBLANK(L2958), ISBLANK(M2958)),
    "",
    MAX(
        1,
        IF(
            NETWORKDAYS(L2958, M2958, Holiday_Dates) &lt;= 0,
            1,
            NETWORKDAYS(L2958, M2958, Holiday_Dates) - IF(L2958 = M2958, 0, 1)
        )
    )
)</f>
        <v/>
      </c>
      <c r="R2958" s="385" t="str">
        <f>IFERROR(
    IF(
        OR(ISBLANK(N2958), AND(ISBLANK(L2958), ISBLANK(M2958))),
        "",
        MAX(
            1,
            IF(
                NETWORKDAYS(IF(NOT(ISBLANK(M2958)), M2958, L2958), N2958, Holiday_Dates) &lt;= 0,
                1,
                NETWORKDAYS(IF(NOT(ISBLANK(M2958)), M2958, L2958), N2958, Holiday_Dates)
                - IF(IF(NOT(ISBLANK(M2958)), M2958, L2958) = N2958, 0, 1)
            )
        )
    ),
    ""
)</f>
        <v/>
      </c>
      <c r="S2958" s="385" t="str">
        <f>IFERROR(
    IF(
        OR(ISBLANK(N2958), ISBLANK(O2958)),
        "",
        MAX(
            1,
            IF(
                NETWORKDAYS(N2958, O2958, Holiday_Dates) &lt;= 0,
                1,
                NETWORKDAYS(N2958, O2958, Holiday_Dates) - IF(N2958 = O2958, 0, 1)
            )
        )
    ),
    ""
)</f>
        <v/>
      </c>
      <c r="T2958" s="385"/>
      <c r="U2958" s="385" t="s">
        <v>672</v>
      </c>
      <c r="V2958" s="385" t="s">
        <v>1676</v>
      </c>
      <c r="W2958" s="385" t="s">
        <v>1436</v>
      </c>
      <c r="X2958" s="1"/>
    </row>
    <row r="2959" spans="1:24">
      <c r="A2959" s="385" t="s">
        <v>53</v>
      </c>
      <c r="B2959" s="385" t="s">
        <v>4393</v>
      </c>
      <c r="C2959" s="385" t="s">
        <v>4395</v>
      </c>
      <c r="D2959" s="385" t="s">
        <v>89</v>
      </c>
      <c r="E2959" s="385"/>
      <c r="F2959" s="385"/>
      <c r="G2959" s="385"/>
      <c r="H2959" s="385">
        <v>2024</v>
      </c>
      <c r="I2959" s="386">
        <v>45581</v>
      </c>
      <c r="J2959" s="30"/>
      <c r="K2959" s="385"/>
      <c r="L2959" s="385"/>
      <c r="M2959" s="385"/>
      <c r="N2959" s="385"/>
      <c r="O2959" s="385"/>
      <c r="P2959" s="385" t="str">
        <f>IFERROR(
    IF(
        OR(ISBLANK(I2959), ISBLANK(L2959)),
        "",
        MAX(
            1,
            IF(
                NETWORKDAYS(I2959, L2959, Holiday_Dates) &lt;= 0,
                1,
                NETWORKDAYS(I2959, L2959, Holiday_Dates) - IF(I2959 = L2959, 0, 1)
            )
        )
    ),
    ""
)</f>
        <v/>
      </c>
      <c r="Q2959" s="385" t="str">
        <f>IF(
    OR(ISBLANK(L2959), ISBLANK(M2959)),
    "",
    MAX(
        1,
        IF(
            NETWORKDAYS(L2959, M2959, Holiday_Dates) &lt;= 0,
            1,
            NETWORKDAYS(L2959, M2959, Holiday_Dates) - IF(L2959 = M2959, 0, 1)
        )
    )
)</f>
        <v/>
      </c>
      <c r="R2959" s="385" t="str">
        <f>IFERROR(
    IF(
        OR(ISBLANK(N2959), AND(ISBLANK(L2959), ISBLANK(M2959))),
        "",
        MAX(
            1,
            IF(
                NETWORKDAYS(IF(NOT(ISBLANK(M2959)), M2959, L2959), N2959, Holiday_Dates) &lt;= 0,
                1,
                NETWORKDAYS(IF(NOT(ISBLANK(M2959)), M2959, L2959), N2959, Holiday_Dates)
                - IF(IF(NOT(ISBLANK(M2959)), M2959, L2959) = N2959, 0, 1)
            )
        )
    ),
    ""
)</f>
        <v/>
      </c>
      <c r="S2959" s="385" t="str">
        <f>IFERROR(
    IF(
        OR(ISBLANK(N2959), ISBLANK(O2959)),
        "",
        MAX(
            1,
            IF(
                NETWORKDAYS(N2959, O2959, Holiday_Dates) &lt;= 0,
                1,
                NETWORKDAYS(N2959, O2959, Holiday_Dates) - IF(N2959 = O2959, 0, 1)
            )
        )
    ),
    ""
)</f>
        <v/>
      </c>
      <c r="T2959" s="385"/>
      <c r="U2959" s="385" t="s">
        <v>672</v>
      </c>
      <c r="V2959" s="385" t="s">
        <v>101</v>
      </c>
      <c r="W2959" s="385" t="s">
        <v>1436</v>
      </c>
      <c r="X2959" s="1"/>
    </row>
    <row r="2960" spans="1:24">
      <c r="A2960" s="385" t="s">
        <v>53</v>
      </c>
      <c r="B2960" s="385" t="s">
        <v>4393</v>
      </c>
      <c r="C2960" s="385" t="s">
        <v>4402</v>
      </c>
      <c r="D2960" s="385" t="s">
        <v>89</v>
      </c>
      <c r="E2960" s="385"/>
      <c r="F2960" s="385"/>
      <c r="G2960" s="385"/>
      <c r="H2960" s="385">
        <v>2024</v>
      </c>
      <c r="I2960" s="386">
        <v>45581</v>
      </c>
      <c r="J2960" s="30"/>
      <c r="K2960" s="385"/>
      <c r="L2960" s="385"/>
      <c r="M2960" s="385"/>
      <c r="N2960" s="385"/>
      <c r="O2960" s="385"/>
      <c r="P2960" s="385" t="str">
        <f>IFERROR(
    IF(
        OR(ISBLANK(I2960), ISBLANK(L2960)),
        "",
        MAX(
            1,
            IF(
                NETWORKDAYS(I2960, L2960, Holiday_Dates) &lt;= 0,
                1,
                NETWORKDAYS(I2960, L2960, Holiday_Dates) - IF(I2960 = L2960, 0, 1)
            )
        )
    ),
    ""
)</f>
        <v/>
      </c>
      <c r="Q2960" s="385" t="str">
        <f>IF(
    OR(ISBLANK(L2960), ISBLANK(M2960)),
    "",
    MAX(
        1,
        IF(
            NETWORKDAYS(L2960, M2960, Holiday_Dates) &lt;= 0,
            1,
            NETWORKDAYS(L2960, M2960, Holiday_Dates) - IF(L2960 = M2960, 0, 1)
        )
    )
)</f>
        <v/>
      </c>
      <c r="R2960" s="385" t="str">
        <f>IFERROR(
    IF(
        OR(ISBLANK(N2960), AND(ISBLANK(L2960), ISBLANK(M2960))),
        "",
        MAX(
            1,
            IF(
                NETWORKDAYS(IF(NOT(ISBLANK(M2960)), M2960, L2960), N2960, Holiday_Dates) &lt;= 0,
                1,
                NETWORKDAYS(IF(NOT(ISBLANK(M2960)), M2960, L2960), N2960, Holiday_Dates)
                - IF(IF(NOT(ISBLANK(M2960)), M2960, L2960) = N2960, 0, 1)
            )
        )
    ),
    ""
)</f>
        <v/>
      </c>
      <c r="S2960" s="385" t="str">
        <f>IFERROR(
    IF(
        OR(ISBLANK(N2960), ISBLANK(O2960)),
        "",
        MAX(
            1,
            IF(
                NETWORKDAYS(N2960, O2960, Holiday_Dates) &lt;= 0,
                1,
                NETWORKDAYS(N2960, O2960, Holiday_Dates) - IF(N2960 = O2960, 0, 1)
            )
        )
    ),
    ""
)</f>
        <v/>
      </c>
      <c r="T2960" s="385"/>
      <c r="U2960" s="385" t="s">
        <v>672</v>
      </c>
      <c r="V2960" s="385" t="s">
        <v>101</v>
      </c>
      <c r="W2960" s="385" t="s">
        <v>1436</v>
      </c>
      <c r="X2960" s="1"/>
    </row>
    <row r="2961" spans="1:24">
      <c r="A2961" s="385" t="s">
        <v>53</v>
      </c>
      <c r="B2961" s="385" t="s">
        <v>4393</v>
      </c>
      <c r="C2961" s="385" t="s">
        <v>4410</v>
      </c>
      <c r="D2961" s="385" t="s">
        <v>89</v>
      </c>
      <c r="E2961" s="385"/>
      <c r="F2961" s="385"/>
      <c r="G2961" s="385"/>
      <c r="H2961" s="385">
        <v>2024</v>
      </c>
      <c r="I2961" s="386">
        <v>45581</v>
      </c>
      <c r="J2961" s="30"/>
      <c r="K2961" s="385"/>
      <c r="L2961" s="385"/>
      <c r="M2961" s="385"/>
      <c r="N2961" s="385"/>
      <c r="O2961" s="385"/>
      <c r="P2961" s="385" t="str">
        <f>IFERROR(
    IF(
        OR(ISBLANK(I2961), ISBLANK(L2961)),
        "",
        MAX(
            1,
            IF(
                NETWORKDAYS(I2961, L2961, Holiday_Dates) &lt;= 0,
                1,
                NETWORKDAYS(I2961, L2961, Holiday_Dates) - IF(I2961 = L2961, 0, 1)
            )
        )
    ),
    ""
)</f>
        <v/>
      </c>
      <c r="Q2961" s="385" t="str">
        <f>IF(
    OR(ISBLANK(L2961), ISBLANK(M2961)),
    "",
    MAX(
        1,
        IF(
            NETWORKDAYS(L2961, M2961, Holiday_Dates) &lt;= 0,
            1,
            NETWORKDAYS(L2961, M2961, Holiday_Dates) - IF(L2961 = M2961, 0, 1)
        )
    )
)</f>
        <v/>
      </c>
      <c r="R2961" s="385" t="str">
        <f>IFERROR(
    IF(
        OR(ISBLANK(N2961), AND(ISBLANK(L2961), ISBLANK(M2961))),
        "",
        MAX(
            1,
            IF(
                NETWORKDAYS(IF(NOT(ISBLANK(M2961)), M2961, L2961), N2961, Holiday_Dates) &lt;= 0,
                1,
                NETWORKDAYS(IF(NOT(ISBLANK(M2961)), M2961, L2961), N2961, Holiday_Dates)
                - IF(IF(NOT(ISBLANK(M2961)), M2961, L2961) = N2961, 0, 1)
            )
        )
    ),
    ""
)</f>
        <v/>
      </c>
      <c r="S2961" s="385" t="str">
        <f>IFERROR(
    IF(
        OR(ISBLANK(N2961), ISBLANK(O2961)),
        "",
        MAX(
            1,
            IF(
                NETWORKDAYS(N2961, O2961, Holiday_Dates) &lt;= 0,
                1,
                NETWORKDAYS(N2961, O2961, Holiday_Dates) - IF(N2961 = O2961, 0, 1)
            )
        )
    ),
    ""
)</f>
        <v/>
      </c>
      <c r="T2961" s="385"/>
      <c r="U2961" s="385" t="s">
        <v>672</v>
      </c>
      <c r="V2961" s="385" t="s">
        <v>101</v>
      </c>
      <c r="W2961" s="385" t="s">
        <v>1436</v>
      </c>
      <c r="X2961" s="1"/>
    </row>
    <row r="2962" spans="1:24">
      <c r="A2962" s="385" t="s">
        <v>53</v>
      </c>
      <c r="B2962" s="385" t="s">
        <v>4393</v>
      </c>
      <c r="C2962" s="385" t="s">
        <v>4397</v>
      </c>
      <c r="D2962" s="385" t="s">
        <v>89</v>
      </c>
      <c r="E2962" s="385"/>
      <c r="F2962" s="385"/>
      <c r="G2962" s="385"/>
      <c r="H2962" s="385">
        <v>2024</v>
      </c>
      <c r="I2962" s="386">
        <v>45581</v>
      </c>
      <c r="J2962" s="30"/>
      <c r="K2962" s="385"/>
      <c r="L2962" s="385"/>
      <c r="M2962" s="385"/>
      <c r="N2962" s="385"/>
      <c r="O2962" s="385"/>
      <c r="P2962" s="385" t="str">
        <f>IFERROR(
    IF(
        OR(ISBLANK(I2962), ISBLANK(L2962)),
        "",
        MAX(
            1,
            IF(
                NETWORKDAYS(I2962, L2962, Holiday_Dates) &lt;= 0,
                1,
                NETWORKDAYS(I2962, L2962, Holiday_Dates) - IF(I2962 = L2962, 0, 1)
            )
        )
    ),
    ""
)</f>
        <v/>
      </c>
      <c r="Q2962" s="385" t="str">
        <f>IF(
    OR(ISBLANK(L2962), ISBLANK(M2962)),
    "",
    MAX(
        1,
        IF(
            NETWORKDAYS(L2962, M2962, Holiday_Dates) &lt;= 0,
            1,
            NETWORKDAYS(L2962, M2962, Holiday_Dates) - IF(L2962 = M2962, 0, 1)
        )
    )
)</f>
        <v/>
      </c>
      <c r="R2962" s="385" t="str">
        <f>IFERROR(
    IF(
        OR(ISBLANK(N2962), AND(ISBLANK(L2962), ISBLANK(M2962))),
        "",
        MAX(
            1,
            IF(
                NETWORKDAYS(IF(NOT(ISBLANK(M2962)), M2962, L2962), N2962, Holiday_Dates) &lt;= 0,
                1,
                NETWORKDAYS(IF(NOT(ISBLANK(M2962)), M2962, L2962), N2962, Holiday_Dates)
                - IF(IF(NOT(ISBLANK(M2962)), M2962, L2962) = N2962, 0, 1)
            )
        )
    ),
    ""
)</f>
        <v/>
      </c>
      <c r="S2962" s="385" t="str">
        <f>IFERROR(
    IF(
        OR(ISBLANK(N2962), ISBLANK(O2962)),
        "",
        MAX(
            1,
            IF(
                NETWORKDAYS(N2962, O2962, Holiday_Dates) &lt;= 0,
                1,
                NETWORKDAYS(N2962, O2962, Holiday_Dates) - IF(N2962 = O2962, 0, 1)
            )
        )
    ),
    ""
)</f>
        <v/>
      </c>
      <c r="T2962" s="385"/>
      <c r="U2962" s="385" t="s">
        <v>672</v>
      </c>
      <c r="V2962" s="385" t="s">
        <v>101</v>
      </c>
      <c r="W2962" s="385" t="s">
        <v>1436</v>
      </c>
      <c r="X2962" s="1"/>
    </row>
    <row r="2963" spans="1:24">
      <c r="A2963" s="385" t="s">
        <v>53</v>
      </c>
      <c r="B2963" s="385" t="s">
        <v>4393</v>
      </c>
      <c r="C2963" s="385" t="s">
        <v>4400</v>
      </c>
      <c r="D2963" s="385" t="s">
        <v>89</v>
      </c>
      <c r="E2963" s="385"/>
      <c r="F2963" s="385"/>
      <c r="G2963" s="385"/>
      <c r="H2963" s="385">
        <v>2024</v>
      </c>
      <c r="I2963" s="386">
        <v>45427</v>
      </c>
      <c r="J2963" s="30"/>
      <c r="K2963" s="385"/>
      <c r="L2963" s="385"/>
      <c r="M2963" s="385"/>
      <c r="N2963" s="385"/>
      <c r="O2963" s="385"/>
      <c r="P2963" s="385" t="str">
        <f>IFERROR(
    IF(
        OR(ISBLANK(I2963), ISBLANK(L2963)),
        "",
        MAX(
            1,
            IF(
                NETWORKDAYS(I2963, L2963, Holiday_Dates) &lt;= 0,
                1,
                NETWORKDAYS(I2963, L2963, Holiday_Dates) - IF(I2963 = L2963, 0, 1)
            )
        )
    ),
    ""
)</f>
        <v/>
      </c>
      <c r="Q2963" s="385" t="str">
        <f>IF(
    OR(ISBLANK(L2963), ISBLANK(M2963)),
    "",
    MAX(
        1,
        IF(
            NETWORKDAYS(L2963, M2963, Holiday_Dates) &lt;= 0,
            1,
            NETWORKDAYS(L2963, M2963, Holiday_Dates) - IF(L2963 = M2963, 0, 1)
        )
    )
)</f>
        <v/>
      </c>
      <c r="R2963" s="385" t="str">
        <f>IFERROR(
    IF(
        OR(ISBLANK(N2963), AND(ISBLANK(L2963), ISBLANK(M2963))),
        "",
        MAX(
            1,
            IF(
                NETWORKDAYS(IF(NOT(ISBLANK(M2963)), M2963, L2963), N2963, Holiday_Dates) &lt;= 0,
                1,
                NETWORKDAYS(IF(NOT(ISBLANK(M2963)), M2963, L2963), N2963, Holiday_Dates)
                - IF(IF(NOT(ISBLANK(M2963)), M2963, L2963) = N2963, 0, 1)
            )
        )
    ),
    ""
)</f>
        <v/>
      </c>
      <c r="S2963" s="385" t="str">
        <f>IFERROR(
    IF(
        OR(ISBLANK(N2963), ISBLANK(O2963)),
        "",
        MAX(
            1,
            IF(
                NETWORKDAYS(N2963, O2963, Holiday_Dates) &lt;= 0,
                1,
                NETWORKDAYS(N2963, O2963, Holiday_Dates) - IF(N2963 = O2963, 0, 1)
            )
        )
    ),
    ""
)</f>
        <v/>
      </c>
      <c r="T2963" s="385"/>
      <c r="U2963" s="385" t="s">
        <v>4</v>
      </c>
      <c r="V2963" s="385" t="s">
        <v>101</v>
      </c>
      <c r="W2963" s="385" t="s">
        <v>1436</v>
      </c>
      <c r="X2963" s="1"/>
    </row>
    <row r="2964" spans="1:24">
      <c r="A2964" s="385" t="s">
        <v>53</v>
      </c>
      <c r="B2964" s="385" t="s">
        <v>456</v>
      </c>
      <c r="C2964" s="385" t="s">
        <v>895</v>
      </c>
      <c r="D2964" s="385" t="s">
        <v>89</v>
      </c>
      <c r="E2964" s="385"/>
      <c r="F2964" s="385"/>
      <c r="G2964" s="385"/>
      <c r="H2964" s="385">
        <v>2025</v>
      </c>
      <c r="I2964" s="386">
        <v>45728</v>
      </c>
      <c r="J2964" s="30" t="s">
        <v>5819</v>
      </c>
      <c r="K2964" s="385"/>
      <c r="L2964" s="385"/>
      <c r="M2964" s="385"/>
      <c r="N2964" s="385"/>
      <c r="O2964" s="385"/>
      <c r="P2964" s="385" t="str">
        <f>IFERROR(
    IF(
        OR(ISBLANK(I2964), ISBLANK(L2964)),
        "",
        MAX(
            1,
            IF(
                NETWORKDAYS(I2964, L2964, Holiday_Dates) &lt;= 0,
                1,
                NETWORKDAYS(I2964, L2964, Holiday_Dates) - IF(I2964 = L2964, 0, 1)
            )
        )
    ),
    ""
)</f>
        <v/>
      </c>
      <c r="Q2964" s="385" t="str">
        <f>IF(
    OR(ISBLANK(L2964), ISBLANK(M2964)),
    "",
    MAX(
        1,
        IF(
            NETWORKDAYS(L2964, M2964, Holiday_Dates) &lt;= 0,
            1,
            NETWORKDAYS(L2964, M2964, Holiday_Dates) - IF(L2964 = M2964, 0, 1)
        )
    )
)</f>
        <v/>
      </c>
      <c r="R2964" s="385" t="str">
        <f>IFERROR(
    IF(
        OR(ISBLANK(N2964), AND(ISBLANK(L2964), ISBLANK(M2964))),
        "",
        MAX(
            1,
            IF(
                NETWORKDAYS(IF(NOT(ISBLANK(M2964)), M2964, L2964), N2964, Holiday_Dates) &lt;= 0,
                1,
                NETWORKDAYS(IF(NOT(ISBLANK(M2964)), M2964, L2964), N2964, Holiday_Dates)
                - IF(IF(NOT(ISBLANK(M2964)), M2964, L2964) = N2964, 0, 1)
            )
        )
    ),
    ""
)</f>
        <v/>
      </c>
      <c r="S2964" s="385" t="str">
        <f>IFERROR(
    IF(
        OR(ISBLANK(N2964), ISBLANK(O2964)),
        "",
        MAX(
            1,
            IF(
                NETWORKDAYS(N2964, O2964, Holiday_Dates) &lt;= 0,
                1,
                NETWORKDAYS(N2964, O2964, Holiday_Dates) - IF(N2964 = O2964, 0, 1)
            )
        )
    ),
    ""
)</f>
        <v/>
      </c>
      <c r="T2964" s="385"/>
      <c r="U2964" s="385" t="s">
        <v>672</v>
      </c>
      <c r="V2964" s="385" t="s">
        <v>1676</v>
      </c>
      <c r="W2964" s="385" t="s">
        <v>1436</v>
      </c>
      <c r="X2964" s="1"/>
    </row>
    <row r="2965" spans="1:24">
      <c r="A2965" s="385" t="s">
        <v>53</v>
      </c>
      <c r="B2965" s="385" t="s">
        <v>456</v>
      </c>
      <c r="C2965" s="385" t="s">
        <v>366</v>
      </c>
      <c r="D2965" s="385" t="s">
        <v>89</v>
      </c>
      <c r="E2965" s="385"/>
      <c r="F2965" s="385"/>
      <c r="G2965" s="385"/>
      <c r="H2965" s="385">
        <v>2025</v>
      </c>
      <c r="I2965" s="386">
        <v>45700</v>
      </c>
      <c r="J2965" s="30" t="s">
        <v>5820</v>
      </c>
      <c r="K2965" s="385"/>
      <c r="L2965" s="385"/>
      <c r="M2965" s="385"/>
      <c r="N2965" s="385"/>
      <c r="O2965" s="385"/>
      <c r="P2965" s="385" t="str">
        <f>IFERROR(
    IF(
        OR(ISBLANK(I2965), ISBLANK(L2965)),
        "",
        MAX(
            1,
            IF(
                NETWORKDAYS(I2965, L2965, Holiday_Dates) &lt;= 0,
                1,
                NETWORKDAYS(I2965, L2965, Holiday_Dates) - IF(I2965 = L2965, 0, 1)
            )
        )
    ),
    ""
)</f>
        <v/>
      </c>
      <c r="Q2965" s="385" t="str">
        <f>IF(
    OR(ISBLANK(L2965), ISBLANK(M2965)),
    "",
    MAX(
        1,
        IF(
            NETWORKDAYS(L2965, M2965, Holiday_Dates) &lt;= 0,
            1,
            NETWORKDAYS(L2965, M2965, Holiday_Dates) - IF(L2965 = M2965, 0, 1)
        )
    )
)</f>
        <v/>
      </c>
      <c r="R2965" s="385" t="str">
        <f>IFERROR(
    IF(
        OR(ISBLANK(N2965), AND(ISBLANK(L2965), ISBLANK(M2965))),
        "",
        MAX(
            1,
            IF(
                NETWORKDAYS(IF(NOT(ISBLANK(M2965)), M2965, L2965), N2965, Holiday_Dates) &lt;= 0,
                1,
                NETWORKDAYS(IF(NOT(ISBLANK(M2965)), M2965, L2965), N2965, Holiday_Dates)
                - IF(IF(NOT(ISBLANK(M2965)), M2965, L2965) = N2965, 0, 1)
            )
        )
    ),
    ""
)</f>
        <v/>
      </c>
      <c r="S2965" s="385" t="str">
        <f>IFERROR(
    IF(
        OR(ISBLANK(N2965), ISBLANK(O2965)),
        "",
        MAX(
            1,
            IF(
                NETWORKDAYS(N2965, O2965, Holiday_Dates) &lt;= 0,
                1,
                NETWORKDAYS(N2965, O2965, Holiday_Dates) - IF(N2965 = O2965, 0, 1)
            )
        )
    ),
    ""
)</f>
        <v/>
      </c>
      <c r="T2965" s="385"/>
      <c r="U2965" s="385" t="s">
        <v>672</v>
      </c>
      <c r="V2965" s="385" t="s">
        <v>101</v>
      </c>
      <c r="W2965" s="385" t="s">
        <v>1436</v>
      </c>
      <c r="X2965" s="1"/>
    </row>
    <row r="2966" spans="1:24">
      <c r="A2966" s="385" t="s">
        <v>53</v>
      </c>
      <c r="B2966" s="385" t="s">
        <v>456</v>
      </c>
      <c r="C2966" s="385" t="s">
        <v>732</v>
      </c>
      <c r="D2966" s="385" t="s">
        <v>89</v>
      </c>
      <c r="E2966" s="385"/>
      <c r="F2966" s="385"/>
      <c r="G2966" s="385"/>
      <c r="H2966" s="385">
        <v>2024</v>
      </c>
      <c r="I2966" s="386">
        <v>45513</v>
      </c>
      <c r="J2966" s="30"/>
      <c r="K2966" s="385"/>
      <c r="L2966" s="385"/>
      <c r="M2966" s="385"/>
      <c r="N2966" s="385"/>
      <c r="O2966" s="385"/>
      <c r="P2966" s="385" t="str">
        <f>IFERROR(
    IF(
        OR(ISBLANK(I2966), ISBLANK(L2966)),
        "",
        MAX(
            1,
            IF(
                NETWORKDAYS(I2966, L2966, Holiday_Dates) &lt;= 0,
                1,
                NETWORKDAYS(I2966, L2966, Holiday_Dates) - IF(I2966 = L2966, 0, 1)
            )
        )
    ),
    ""
)</f>
        <v/>
      </c>
      <c r="Q2966" s="385" t="str">
        <f>IF(
    OR(ISBLANK(L2966), ISBLANK(M2966)),
    "",
    MAX(
        1,
        IF(
            NETWORKDAYS(L2966, M2966, Holiday_Dates) &lt;= 0,
            1,
            NETWORKDAYS(L2966, M2966, Holiday_Dates) - IF(L2966 = M2966, 0, 1)
        )
    )
)</f>
        <v/>
      </c>
      <c r="R2966" s="385" t="str">
        <f>IFERROR(
    IF(
        OR(ISBLANK(N2966), AND(ISBLANK(L2966), ISBLANK(M2966))),
        "",
        MAX(
            1,
            IF(
                NETWORKDAYS(IF(NOT(ISBLANK(M2966)), M2966, L2966), N2966, Holiday_Dates) &lt;= 0,
                1,
                NETWORKDAYS(IF(NOT(ISBLANK(M2966)), M2966, L2966), N2966, Holiday_Dates)
                - IF(IF(NOT(ISBLANK(M2966)), M2966, L2966) = N2966, 0, 1)
            )
        )
    ),
    ""
)</f>
        <v/>
      </c>
      <c r="S2966" s="385" t="str">
        <f>IFERROR(
    IF(
        OR(ISBLANK(N2966), ISBLANK(O2966)),
        "",
        MAX(
            1,
            IF(
                NETWORKDAYS(N2966, O2966, Holiday_Dates) &lt;= 0,
                1,
                NETWORKDAYS(N2966, O2966, Holiday_Dates) - IF(N2966 = O2966, 0, 1)
            )
        )
    ),
    ""
)</f>
        <v/>
      </c>
      <c r="T2966" s="385"/>
      <c r="U2966" s="385" t="s">
        <v>4</v>
      </c>
      <c r="V2966" s="385" t="s">
        <v>101</v>
      </c>
      <c r="W2966" s="385" t="s">
        <v>1436</v>
      </c>
      <c r="X2966" s="1"/>
    </row>
    <row r="2967" spans="1:24">
      <c r="A2967" s="385" t="s">
        <v>53</v>
      </c>
      <c r="B2967" s="385" t="s">
        <v>456</v>
      </c>
      <c r="C2967" s="385" t="s">
        <v>4416</v>
      </c>
      <c r="D2967" s="385" t="s">
        <v>89</v>
      </c>
      <c r="E2967" s="385"/>
      <c r="F2967" s="385"/>
      <c r="G2967" s="385"/>
      <c r="H2967" s="385">
        <v>2025</v>
      </c>
      <c r="I2967" s="386">
        <v>45728</v>
      </c>
      <c r="J2967" s="30" t="s">
        <v>5821</v>
      </c>
      <c r="K2967" s="385"/>
      <c r="L2967" s="385"/>
      <c r="M2967" s="385"/>
      <c r="N2967" s="385"/>
      <c r="O2967" s="385"/>
      <c r="P2967" s="385" t="str">
        <f>IFERROR(
    IF(
        OR(ISBLANK(I2967), ISBLANK(L2967)),
        "",
        MAX(
            1,
            IF(
                NETWORKDAYS(I2967, L2967, Holiday_Dates) &lt;= 0,
                1,
                NETWORKDAYS(I2967, L2967, Holiday_Dates) - IF(I2967 = L2967, 0, 1)
            )
        )
    ),
    ""
)</f>
        <v/>
      </c>
      <c r="Q2967" s="385" t="str">
        <f>IF(
    OR(ISBLANK(L2967), ISBLANK(M2967)),
    "",
    MAX(
        1,
        IF(
            NETWORKDAYS(L2967, M2967, Holiday_Dates) &lt;= 0,
            1,
            NETWORKDAYS(L2967, M2967, Holiday_Dates) - IF(L2967 = M2967, 0, 1)
        )
    )
)</f>
        <v/>
      </c>
      <c r="R2967" s="385" t="str">
        <f>IFERROR(
    IF(
        OR(ISBLANK(N2967), AND(ISBLANK(L2967), ISBLANK(M2967))),
        "",
        MAX(
            1,
            IF(
                NETWORKDAYS(IF(NOT(ISBLANK(M2967)), M2967, L2967), N2967, Holiday_Dates) &lt;= 0,
                1,
                NETWORKDAYS(IF(NOT(ISBLANK(M2967)), M2967, L2967), N2967, Holiday_Dates)
                - IF(IF(NOT(ISBLANK(M2967)), M2967, L2967) = N2967, 0, 1)
            )
        )
    ),
    ""
)</f>
        <v/>
      </c>
      <c r="S2967" s="385" t="str">
        <f>IFERROR(
    IF(
        OR(ISBLANK(N2967), ISBLANK(O2967)),
        "",
        MAX(
            1,
            IF(
                NETWORKDAYS(N2967, O2967, Holiday_Dates) &lt;= 0,
                1,
                NETWORKDAYS(N2967, O2967, Holiday_Dates) - IF(N2967 = O2967, 0, 1)
            )
        )
    ),
    ""
)</f>
        <v/>
      </c>
      <c r="T2967" s="385"/>
      <c r="U2967" s="385" t="s">
        <v>4</v>
      </c>
      <c r="V2967" s="385" t="s">
        <v>101</v>
      </c>
      <c r="W2967" s="385" t="s">
        <v>1436</v>
      </c>
      <c r="X2967" s="1"/>
    </row>
    <row r="2968" spans="1:24">
      <c r="A2968" s="385" t="s">
        <v>53</v>
      </c>
      <c r="B2968" s="385" t="s">
        <v>456</v>
      </c>
      <c r="C2968" s="385" t="s">
        <v>4417</v>
      </c>
      <c r="D2968" s="385" t="s">
        <v>89</v>
      </c>
      <c r="E2968" s="385"/>
      <c r="F2968" s="385"/>
      <c r="G2968" s="385"/>
      <c r="H2968" s="385">
        <v>2025</v>
      </c>
      <c r="I2968" s="386">
        <v>45700</v>
      </c>
      <c r="J2968" s="30" t="s">
        <v>5822</v>
      </c>
      <c r="K2968" s="385"/>
      <c r="L2968" s="385"/>
      <c r="M2968" s="385"/>
      <c r="N2968" s="385"/>
      <c r="O2968" s="385"/>
      <c r="P2968" s="385" t="str">
        <f>IFERROR(
    IF(
        OR(ISBLANK(I2968), ISBLANK(L2968)),
        "",
        MAX(
            1,
            IF(
                NETWORKDAYS(I2968, L2968, Holiday_Dates) &lt;= 0,
                1,
                NETWORKDAYS(I2968, L2968, Holiday_Dates) - IF(I2968 = L2968, 0, 1)
            )
        )
    ),
    ""
)</f>
        <v/>
      </c>
      <c r="Q2968" s="385" t="str">
        <f>IF(
    OR(ISBLANK(L2968), ISBLANK(M2968)),
    "",
    MAX(
        1,
        IF(
            NETWORKDAYS(L2968, M2968, Holiday_Dates) &lt;= 0,
            1,
            NETWORKDAYS(L2968, M2968, Holiday_Dates) - IF(L2968 = M2968, 0, 1)
        )
    )
)</f>
        <v/>
      </c>
      <c r="R2968" s="385" t="str">
        <f>IFERROR(
    IF(
        OR(ISBLANK(N2968), AND(ISBLANK(L2968), ISBLANK(M2968))),
        "",
        MAX(
            1,
            IF(
                NETWORKDAYS(IF(NOT(ISBLANK(M2968)), M2968, L2968), N2968, Holiday_Dates) &lt;= 0,
                1,
                NETWORKDAYS(IF(NOT(ISBLANK(M2968)), M2968, L2968), N2968, Holiday_Dates)
                - IF(IF(NOT(ISBLANK(M2968)), M2968, L2968) = N2968, 0, 1)
            )
        )
    ),
    ""
)</f>
        <v/>
      </c>
      <c r="S2968" s="385" t="str">
        <f>IFERROR(
    IF(
        OR(ISBLANK(N2968), ISBLANK(O2968)),
        "",
        MAX(
            1,
            IF(
                NETWORKDAYS(N2968, O2968, Holiday_Dates) &lt;= 0,
                1,
                NETWORKDAYS(N2968, O2968, Holiday_Dates) - IF(N2968 = O2968, 0, 1)
            )
        )
    ),
    ""
)</f>
        <v/>
      </c>
      <c r="T2968" s="385"/>
      <c r="U2968" s="385" t="s">
        <v>4</v>
      </c>
      <c r="V2968" s="385" t="s">
        <v>101</v>
      </c>
      <c r="W2968" s="385" t="s">
        <v>1436</v>
      </c>
      <c r="X2968" s="1"/>
    </row>
    <row r="2969" spans="1:24">
      <c r="A2969" s="385" t="s">
        <v>53</v>
      </c>
      <c r="B2969" s="385" t="s">
        <v>456</v>
      </c>
      <c r="C2969" s="385" t="s">
        <v>603</v>
      </c>
      <c r="D2969" s="385" t="s">
        <v>89</v>
      </c>
      <c r="E2969" s="385"/>
      <c r="F2969" s="385"/>
      <c r="G2969" s="385"/>
      <c r="H2969" s="385">
        <v>2024</v>
      </c>
      <c r="I2969" s="386">
        <v>45513</v>
      </c>
      <c r="J2969" s="30"/>
      <c r="K2969" s="385"/>
      <c r="L2969" s="385"/>
      <c r="M2969" s="385"/>
      <c r="N2969" s="385"/>
      <c r="O2969" s="385"/>
      <c r="P2969" s="385" t="str">
        <f>IFERROR(
    IF(
        OR(ISBLANK(I2969), ISBLANK(L2969)),
        "",
        MAX(
            1,
            IF(
                NETWORKDAYS(I2969, L2969, Holiday_Dates) &lt;= 0,
                1,
                NETWORKDAYS(I2969, L2969, Holiday_Dates) - IF(I2969 = L2969, 0, 1)
            )
        )
    ),
    ""
)</f>
        <v/>
      </c>
      <c r="Q2969" s="385" t="str">
        <f>IF(
    OR(ISBLANK(L2969), ISBLANK(M2969)),
    "",
    MAX(
        1,
        IF(
            NETWORKDAYS(L2969, M2969, Holiday_Dates) &lt;= 0,
            1,
            NETWORKDAYS(L2969, M2969, Holiday_Dates) - IF(L2969 = M2969, 0, 1)
        )
    )
)</f>
        <v/>
      </c>
      <c r="R2969" s="385" t="str">
        <f>IFERROR(
    IF(
        OR(ISBLANK(N2969), AND(ISBLANK(L2969), ISBLANK(M2969))),
        "",
        MAX(
            1,
            IF(
                NETWORKDAYS(IF(NOT(ISBLANK(M2969)), M2969, L2969), N2969, Holiday_Dates) &lt;= 0,
                1,
                NETWORKDAYS(IF(NOT(ISBLANK(M2969)), M2969, L2969), N2969, Holiday_Dates)
                - IF(IF(NOT(ISBLANK(M2969)), M2969, L2969) = N2969, 0, 1)
            )
        )
    ),
    ""
)</f>
        <v/>
      </c>
      <c r="S2969" s="385" t="str">
        <f>IFERROR(
    IF(
        OR(ISBLANK(N2969), ISBLANK(O2969)),
        "",
        MAX(
            1,
            IF(
                NETWORKDAYS(N2969, O2969, Holiday_Dates) &lt;= 0,
                1,
                NETWORKDAYS(N2969, O2969, Holiday_Dates) - IF(N2969 = O2969, 0, 1)
            )
        )
    ),
    ""
)</f>
        <v/>
      </c>
      <c r="T2969" s="385"/>
      <c r="U2969" s="385" t="s">
        <v>4</v>
      </c>
      <c r="V2969" s="385" t="s">
        <v>101</v>
      </c>
      <c r="W2969" s="385" t="s">
        <v>1436</v>
      </c>
      <c r="X2969" s="1"/>
    </row>
    <row r="2970" spans="1:24">
      <c r="A2970" s="385" t="s">
        <v>53</v>
      </c>
      <c r="B2970" s="385" t="s">
        <v>456</v>
      </c>
      <c r="C2970" s="385" t="s">
        <v>790</v>
      </c>
      <c r="D2970" s="385" t="s">
        <v>89</v>
      </c>
      <c r="E2970" s="385"/>
      <c r="F2970" s="385"/>
      <c r="G2970" s="385"/>
      <c r="H2970" s="385">
        <v>2024</v>
      </c>
      <c r="I2970" s="386">
        <v>45513</v>
      </c>
      <c r="J2970" s="30"/>
      <c r="K2970" s="385"/>
      <c r="L2970" s="385"/>
      <c r="M2970" s="385"/>
      <c r="N2970" s="385"/>
      <c r="O2970" s="385"/>
      <c r="P2970" s="385" t="str">
        <f>IFERROR(
    IF(
        OR(ISBLANK(I2970), ISBLANK(L2970)),
        "",
        MAX(
            1,
            IF(
                NETWORKDAYS(I2970, L2970, Holiday_Dates) &lt;= 0,
                1,
                NETWORKDAYS(I2970, L2970, Holiday_Dates) - IF(I2970 = L2970, 0, 1)
            )
        )
    ),
    ""
)</f>
        <v/>
      </c>
      <c r="Q2970" s="385" t="str">
        <f>IF(
    OR(ISBLANK(L2970), ISBLANK(M2970)),
    "",
    MAX(
        1,
        IF(
            NETWORKDAYS(L2970, M2970, Holiday_Dates) &lt;= 0,
            1,
            NETWORKDAYS(L2970, M2970, Holiday_Dates) - IF(L2970 = M2970, 0, 1)
        )
    )
)</f>
        <v/>
      </c>
      <c r="R2970" s="385" t="str">
        <f>IFERROR(
    IF(
        OR(ISBLANK(N2970), AND(ISBLANK(L2970), ISBLANK(M2970))),
        "",
        MAX(
            1,
            IF(
                NETWORKDAYS(IF(NOT(ISBLANK(M2970)), M2970, L2970), N2970, Holiday_Dates) &lt;= 0,
                1,
                NETWORKDAYS(IF(NOT(ISBLANK(M2970)), M2970, L2970), N2970, Holiday_Dates)
                - IF(IF(NOT(ISBLANK(M2970)), M2970, L2970) = N2970, 0, 1)
            )
        )
    ),
    ""
)</f>
        <v/>
      </c>
      <c r="S2970" s="385" t="str">
        <f>IFERROR(
    IF(
        OR(ISBLANK(N2970), ISBLANK(O2970)),
        "",
        MAX(
            1,
            IF(
                NETWORKDAYS(N2970, O2970, Holiday_Dates) &lt;= 0,
                1,
                NETWORKDAYS(N2970, O2970, Holiday_Dates) - IF(N2970 = O2970, 0, 1)
            )
        )
    ),
    ""
)</f>
        <v/>
      </c>
      <c r="T2970" s="385"/>
      <c r="U2970" s="385" t="s">
        <v>4</v>
      </c>
      <c r="V2970" s="385" t="s">
        <v>101</v>
      </c>
      <c r="W2970" s="385" t="s">
        <v>1436</v>
      </c>
      <c r="X2970" s="1"/>
    </row>
    <row r="2971" spans="1:24">
      <c r="A2971" s="385" t="s">
        <v>52</v>
      </c>
      <c r="B2971" s="385" t="s">
        <v>4231</v>
      </c>
      <c r="C2971" s="385" t="s">
        <v>418</v>
      </c>
      <c r="D2971" s="385" t="s">
        <v>88</v>
      </c>
      <c r="E2971" s="385" t="s">
        <v>37</v>
      </c>
      <c r="F2971" s="385"/>
      <c r="G2971" s="385" t="s">
        <v>28</v>
      </c>
      <c r="H2971" s="385"/>
      <c r="I2971" s="385"/>
      <c r="J2971" s="30"/>
      <c r="K2971" s="385"/>
      <c r="L2971" s="385"/>
      <c r="M2971" s="385"/>
      <c r="N2971" s="385"/>
      <c r="O2971" s="385"/>
      <c r="P2971" s="385" t="str">
        <f>IFERROR(
    IF(
        OR(ISBLANK(I2971), ISBLANK(L2971)),
        "",
        MAX(
            1,
            IF(
                NETWORKDAYS(I2971, L2971, Holiday_Dates) &lt;= 0,
                1,
                NETWORKDAYS(I2971, L2971, Holiday_Dates) - IF(I2971 = L2971, 0, 1)
            )
        )
    ),
    ""
)</f>
        <v/>
      </c>
      <c r="Q2971" s="385" t="str">
        <f>IF(
    OR(ISBLANK(L2971), ISBLANK(M2971)),
    "",
    MAX(
        1,
        IF(
            NETWORKDAYS(L2971, M2971, Holiday_Dates) &lt;= 0,
            1,
            NETWORKDAYS(L2971, M2971, Holiday_Dates) - IF(L2971 = M2971, 0, 1)
        )
    )
)</f>
        <v/>
      </c>
      <c r="R2971" s="385" t="str">
        <f>IFERROR(
    IF(
        OR(ISBLANK(N2971), AND(ISBLANK(L2971), ISBLANK(M2971))),
        "",
        MAX(
            1,
            IF(
                NETWORKDAYS(IF(NOT(ISBLANK(M2971)), M2971, L2971), N2971, Holiday_Dates) &lt;= 0,
                1,
                NETWORKDAYS(IF(NOT(ISBLANK(M2971)), M2971, L2971), N2971, Holiday_Dates)
                - IF(IF(NOT(ISBLANK(M2971)), M2971, L2971) = N2971, 0, 1)
            )
        )
    ),
    ""
)</f>
        <v/>
      </c>
      <c r="S2971" s="385" t="str">
        <f>IFERROR(
    IF(
        OR(ISBLANK(N2971), ISBLANK(O2971)),
        "",
        MAX(
            1,
            IF(
                NETWORKDAYS(N2971, O2971, Holiday_Dates) &lt;= 0,
                1,
                NETWORKDAYS(N2971, O2971, Holiday_Dates) - IF(N2971 = O2971, 0, 1)
            )
        )
    ),
    ""
)</f>
        <v/>
      </c>
      <c r="T2971" s="385"/>
      <c r="U2971" s="385"/>
      <c r="V2971" s="385"/>
      <c r="W2971" s="385" t="s">
        <v>4710</v>
      </c>
      <c r="X2971" s="1"/>
    </row>
    <row r="2972" spans="1:24">
      <c r="A2972" s="385" t="s">
        <v>53</v>
      </c>
      <c r="B2972" s="385" t="s">
        <v>456</v>
      </c>
      <c r="C2972" s="385" t="s">
        <v>539</v>
      </c>
      <c r="D2972" s="385" t="s">
        <v>89</v>
      </c>
      <c r="E2972" s="385"/>
      <c r="F2972" s="385"/>
      <c r="G2972" s="385"/>
      <c r="H2972" s="385">
        <v>2024</v>
      </c>
      <c r="I2972" s="386">
        <v>45513</v>
      </c>
      <c r="J2972" s="30"/>
      <c r="K2972" s="385"/>
      <c r="L2972" s="385"/>
      <c r="M2972" s="385"/>
      <c r="N2972" s="385"/>
      <c r="O2972" s="385"/>
      <c r="P2972" s="385" t="str">
        <f>IFERROR(
    IF(
        OR(ISBLANK(I2972), ISBLANK(L2972)),
        "",
        MAX(
            1,
            IF(
                NETWORKDAYS(I2972, L2972, Holiday_Dates) &lt;= 0,
                1,
                NETWORKDAYS(I2972, L2972, Holiday_Dates) - IF(I2972 = L2972, 0, 1)
            )
        )
    ),
    ""
)</f>
        <v/>
      </c>
      <c r="Q2972" s="385" t="str">
        <f>IF(
    OR(ISBLANK(L2972), ISBLANK(M2972)),
    "",
    MAX(
        1,
        IF(
            NETWORKDAYS(L2972, M2972, Holiday_Dates) &lt;= 0,
            1,
            NETWORKDAYS(L2972, M2972, Holiday_Dates) - IF(L2972 = M2972, 0, 1)
        )
    )
)</f>
        <v/>
      </c>
      <c r="R2972" s="385" t="str">
        <f>IFERROR(
    IF(
        OR(ISBLANK(N2972), AND(ISBLANK(L2972), ISBLANK(M2972))),
        "",
        MAX(
            1,
            IF(
                NETWORKDAYS(IF(NOT(ISBLANK(M2972)), M2972, L2972), N2972, Holiday_Dates) &lt;= 0,
                1,
                NETWORKDAYS(IF(NOT(ISBLANK(M2972)), M2972, L2972), N2972, Holiday_Dates)
                - IF(IF(NOT(ISBLANK(M2972)), M2972, L2972) = N2972, 0, 1)
            )
        )
    ),
    ""
)</f>
        <v/>
      </c>
      <c r="S2972" s="385" t="str">
        <f>IFERROR(
    IF(
        OR(ISBLANK(N2972), ISBLANK(O2972)),
        "",
        MAX(
            1,
            IF(
                NETWORKDAYS(N2972, O2972, Holiday_Dates) &lt;= 0,
                1,
                NETWORKDAYS(N2972, O2972, Holiday_Dates) - IF(N2972 = O2972, 0, 1)
            )
        )
    ),
    ""
)</f>
        <v/>
      </c>
      <c r="T2972" s="385"/>
      <c r="U2972" s="385" t="s">
        <v>4</v>
      </c>
      <c r="V2972" s="385" t="s">
        <v>108</v>
      </c>
      <c r="W2972" s="385" t="s">
        <v>1436</v>
      </c>
      <c r="X2972" s="1"/>
    </row>
    <row r="2973" spans="1:24">
      <c r="A2973" s="385" t="s">
        <v>53</v>
      </c>
      <c r="B2973" s="385" t="s">
        <v>456</v>
      </c>
      <c r="C2973" s="385" t="s">
        <v>2347</v>
      </c>
      <c r="D2973" s="385" t="s">
        <v>89</v>
      </c>
      <c r="E2973" s="385"/>
      <c r="F2973" s="385"/>
      <c r="G2973" s="385"/>
      <c r="H2973" s="385">
        <v>2025</v>
      </c>
      <c r="I2973" s="386">
        <v>45700</v>
      </c>
      <c r="J2973" s="30" t="s">
        <v>5823</v>
      </c>
      <c r="K2973" s="385"/>
      <c r="L2973" s="385"/>
      <c r="M2973" s="385"/>
      <c r="N2973" s="385"/>
      <c r="O2973" s="385"/>
      <c r="P2973" s="385" t="str">
        <f>IFERROR(
    IF(
        OR(ISBLANK(I2973), ISBLANK(L2973)),
        "",
        MAX(
            1,
            IF(
                NETWORKDAYS(I2973, L2973, Holiday_Dates) &lt;= 0,
                1,
                NETWORKDAYS(I2973, L2973, Holiday_Dates) - IF(I2973 = L2973, 0, 1)
            )
        )
    ),
    ""
)</f>
        <v/>
      </c>
      <c r="Q2973" s="385" t="str">
        <f>IF(
    OR(ISBLANK(L2973), ISBLANK(M2973)),
    "",
    MAX(
        1,
        IF(
            NETWORKDAYS(L2973, M2973, Holiday_Dates) &lt;= 0,
            1,
            NETWORKDAYS(L2973, M2973, Holiday_Dates) - IF(L2973 = M2973, 0, 1)
        )
    )
)</f>
        <v/>
      </c>
      <c r="R2973" s="385" t="str">
        <f>IFERROR(
    IF(
        OR(ISBLANK(N2973), AND(ISBLANK(L2973), ISBLANK(M2973))),
        "",
        MAX(
            1,
            IF(
                NETWORKDAYS(IF(NOT(ISBLANK(M2973)), M2973, L2973), N2973, Holiday_Dates) &lt;= 0,
                1,
                NETWORKDAYS(IF(NOT(ISBLANK(M2973)), M2973, L2973), N2973, Holiday_Dates)
                - IF(IF(NOT(ISBLANK(M2973)), M2973, L2973) = N2973, 0, 1)
            )
        )
    ),
    ""
)</f>
        <v/>
      </c>
      <c r="S2973" s="385" t="str">
        <f>IFERROR(
    IF(
        OR(ISBLANK(N2973), ISBLANK(O2973)),
        "",
        MAX(
            1,
            IF(
                NETWORKDAYS(N2973, O2973, Holiday_Dates) &lt;= 0,
                1,
                NETWORKDAYS(N2973, O2973, Holiday_Dates) - IF(N2973 = O2973, 0, 1)
            )
        )
    ),
    ""
)</f>
        <v/>
      </c>
      <c r="T2973" s="385"/>
      <c r="U2973" s="385" t="s">
        <v>672</v>
      </c>
      <c r="V2973" s="385" t="s">
        <v>101</v>
      </c>
      <c r="W2973" s="385" t="s">
        <v>1436</v>
      </c>
      <c r="X2973" s="1"/>
    </row>
    <row r="2974" spans="1:24">
      <c r="A2974" s="385" t="s">
        <v>53</v>
      </c>
      <c r="B2974" s="385" t="s">
        <v>456</v>
      </c>
      <c r="C2974" s="385" t="s">
        <v>607</v>
      </c>
      <c r="D2974" s="385" t="s">
        <v>89</v>
      </c>
      <c r="E2974" s="385"/>
      <c r="F2974" s="385"/>
      <c r="G2974" s="385"/>
      <c r="H2974" s="385">
        <v>2024</v>
      </c>
      <c r="I2974" s="386">
        <v>45513</v>
      </c>
      <c r="J2974" s="30"/>
      <c r="K2974" s="385"/>
      <c r="L2974" s="385"/>
      <c r="M2974" s="385"/>
      <c r="N2974" s="385"/>
      <c r="O2974" s="385"/>
      <c r="P2974" s="385" t="str">
        <f>IFERROR(
    IF(
        OR(ISBLANK(I2974), ISBLANK(L2974)),
        "",
        MAX(
            1,
            IF(
                NETWORKDAYS(I2974, L2974, Holiday_Dates) &lt;= 0,
                1,
                NETWORKDAYS(I2974, L2974, Holiday_Dates) - IF(I2974 = L2974, 0, 1)
            )
        )
    ),
    ""
)</f>
        <v/>
      </c>
      <c r="Q2974" s="385" t="str">
        <f>IF(
    OR(ISBLANK(L2974), ISBLANK(M2974)),
    "",
    MAX(
        1,
        IF(
            NETWORKDAYS(L2974, M2974, Holiday_Dates) &lt;= 0,
            1,
            NETWORKDAYS(L2974, M2974, Holiday_Dates) - IF(L2974 = M2974, 0, 1)
        )
    )
)</f>
        <v/>
      </c>
      <c r="R2974" s="385" t="str">
        <f>IFERROR(
    IF(
        OR(ISBLANK(N2974), AND(ISBLANK(L2974), ISBLANK(M2974))),
        "",
        MAX(
            1,
            IF(
                NETWORKDAYS(IF(NOT(ISBLANK(M2974)), M2974, L2974), N2974, Holiday_Dates) &lt;= 0,
                1,
                NETWORKDAYS(IF(NOT(ISBLANK(M2974)), M2974, L2974), N2974, Holiday_Dates)
                - IF(IF(NOT(ISBLANK(M2974)), M2974, L2974) = N2974, 0, 1)
            )
        )
    ),
    ""
)</f>
        <v/>
      </c>
      <c r="S2974" s="385" t="str">
        <f>IFERROR(
    IF(
        OR(ISBLANK(N2974), ISBLANK(O2974)),
        "",
        MAX(
            1,
            IF(
                NETWORKDAYS(N2974, O2974, Holiday_Dates) &lt;= 0,
                1,
                NETWORKDAYS(N2974, O2974, Holiday_Dates) - IF(N2974 = O2974, 0, 1)
            )
        )
    ),
    ""
)</f>
        <v/>
      </c>
      <c r="T2974" s="385"/>
      <c r="U2974" s="385" t="s">
        <v>4</v>
      </c>
      <c r="V2974" s="385" t="s">
        <v>101</v>
      </c>
      <c r="W2974" s="385" t="s">
        <v>1436</v>
      </c>
      <c r="X2974" s="1"/>
    </row>
    <row r="2975" spans="1:24">
      <c r="A2975" s="385" t="s">
        <v>53</v>
      </c>
      <c r="B2975" s="385" t="s">
        <v>456</v>
      </c>
      <c r="C2975" s="385" t="s">
        <v>792</v>
      </c>
      <c r="D2975" s="385" t="s">
        <v>89</v>
      </c>
      <c r="E2975" s="385"/>
      <c r="F2975" s="385"/>
      <c r="G2975" s="385"/>
      <c r="H2975" s="385">
        <v>2024</v>
      </c>
      <c r="I2975" s="386">
        <v>45513</v>
      </c>
      <c r="J2975" s="30"/>
      <c r="K2975" s="385"/>
      <c r="L2975" s="385"/>
      <c r="M2975" s="385"/>
      <c r="N2975" s="385"/>
      <c r="O2975" s="385"/>
      <c r="P2975" s="385" t="str">
        <f>IFERROR(
    IF(
        OR(ISBLANK(I2975), ISBLANK(L2975)),
        "",
        MAX(
            1,
            IF(
                NETWORKDAYS(I2975, L2975, Holiday_Dates) &lt;= 0,
                1,
                NETWORKDAYS(I2975, L2975, Holiday_Dates) - IF(I2975 = L2975, 0, 1)
            )
        )
    ),
    ""
)</f>
        <v/>
      </c>
      <c r="Q2975" s="385" t="str">
        <f>IF(
    OR(ISBLANK(L2975), ISBLANK(M2975)),
    "",
    MAX(
        1,
        IF(
            NETWORKDAYS(L2975, M2975, Holiday_Dates) &lt;= 0,
            1,
            NETWORKDAYS(L2975, M2975, Holiday_Dates) - IF(L2975 = M2975, 0, 1)
        )
    )
)</f>
        <v/>
      </c>
      <c r="R2975" s="385" t="str">
        <f>IFERROR(
    IF(
        OR(ISBLANK(N2975), AND(ISBLANK(L2975), ISBLANK(M2975))),
        "",
        MAX(
            1,
            IF(
                NETWORKDAYS(IF(NOT(ISBLANK(M2975)), M2975, L2975), N2975, Holiday_Dates) &lt;= 0,
                1,
                NETWORKDAYS(IF(NOT(ISBLANK(M2975)), M2975, L2975), N2975, Holiday_Dates)
                - IF(IF(NOT(ISBLANK(M2975)), M2975, L2975) = N2975, 0, 1)
            )
        )
    ),
    ""
)</f>
        <v/>
      </c>
      <c r="S2975" s="385" t="str">
        <f>IFERROR(
    IF(
        OR(ISBLANK(N2975), ISBLANK(O2975)),
        "",
        MAX(
            1,
            IF(
                NETWORKDAYS(N2975, O2975, Holiday_Dates) &lt;= 0,
                1,
                NETWORKDAYS(N2975, O2975, Holiday_Dates) - IF(N2975 = O2975, 0, 1)
            )
        )
    ),
    ""
)</f>
        <v/>
      </c>
      <c r="T2975" s="385"/>
      <c r="U2975" s="385" t="s">
        <v>4</v>
      </c>
      <c r="V2975" s="385" t="s">
        <v>101</v>
      </c>
      <c r="W2975" s="385" t="s">
        <v>1436</v>
      </c>
      <c r="X2975" s="1"/>
    </row>
    <row r="2976" spans="1:24">
      <c r="A2976" s="385" t="s">
        <v>53</v>
      </c>
      <c r="B2976" s="385" t="s">
        <v>456</v>
      </c>
      <c r="C2976" s="385" t="s">
        <v>719</v>
      </c>
      <c r="D2976" s="385" t="s">
        <v>89</v>
      </c>
      <c r="E2976" s="385"/>
      <c r="F2976" s="385"/>
      <c r="G2976" s="385"/>
      <c r="H2976" s="385">
        <v>2024</v>
      </c>
      <c r="I2976" s="386">
        <v>45513</v>
      </c>
      <c r="J2976" s="30"/>
      <c r="K2976" s="385"/>
      <c r="L2976" s="385"/>
      <c r="M2976" s="385"/>
      <c r="N2976" s="385"/>
      <c r="O2976" s="385"/>
      <c r="P2976" s="385" t="str">
        <f>IFERROR(
    IF(
        OR(ISBLANK(I2976), ISBLANK(L2976)),
        "",
        MAX(
            1,
            IF(
                NETWORKDAYS(I2976, L2976, Holiday_Dates) &lt;= 0,
                1,
                NETWORKDAYS(I2976, L2976, Holiday_Dates) - IF(I2976 = L2976, 0, 1)
            )
        )
    ),
    ""
)</f>
        <v/>
      </c>
      <c r="Q2976" s="385" t="str">
        <f>IF(
    OR(ISBLANK(L2976), ISBLANK(M2976)),
    "",
    MAX(
        1,
        IF(
            NETWORKDAYS(L2976, M2976, Holiday_Dates) &lt;= 0,
            1,
            NETWORKDAYS(L2976, M2976, Holiday_Dates) - IF(L2976 = M2976, 0, 1)
        )
    )
)</f>
        <v/>
      </c>
      <c r="R2976" s="385" t="str">
        <f>IFERROR(
    IF(
        OR(ISBLANK(N2976), AND(ISBLANK(L2976), ISBLANK(M2976))),
        "",
        MAX(
            1,
            IF(
                NETWORKDAYS(IF(NOT(ISBLANK(M2976)), M2976, L2976), N2976, Holiday_Dates) &lt;= 0,
                1,
                NETWORKDAYS(IF(NOT(ISBLANK(M2976)), M2976, L2976), N2976, Holiday_Dates)
                - IF(IF(NOT(ISBLANK(M2976)), M2976, L2976) = N2976, 0, 1)
            )
        )
    ),
    ""
)</f>
        <v/>
      </c>
      <c r="S2976" s="385" t="str">
        <f>IFERROR(
    IF(
        OR(ISBLANK(N2976), ISBLANK(O2976)),
        "",
        MAX(
            1,
            IF(
                NETWORKDAYS(N2976, O2976, Holiday_Dates) &lt;= 0,
                1,
                NETWORKDAYS(N2976, O2976, Holiday_Dates) - IF(N2976 = O2976, 0, 1)
            )
        )
    ),
    ""
)</f>
        <v/>
      </c>
      <c r="T2976" s="385"/>
      <c r="U2976" s="385" t="s">
        <v>4</v>
      </c>
      <c r="V2976" s="385" t="s">
        <v>108</v>
      </c>
      <c r="W2976" s="385" t="s">
        <v>1436</v>
      </c>
      <c r="X2976" s="1"/>
    </row>
    <row r="2977" spans="1:24">
      <c r="A2977" s="385" t="s">
        <v>53</v>
      </c>
      <c r="B2977" s="385" t="s">
        <v>4425</v>
      </c>
      <c r="C2977" s="385" t="s">
        <v>1050</v>
      </c>
      <c r="D2977" s="385" t="s">
        <v>89</v>
      </c>
      <c r="E2977" s="385"/>
      <c r="F2977" s="385"/>
      <c r="G2977" s="385"/>
      <c r="H2977" s="385">
        <v>2025</v>
      </c>
      <c r="I2977" s="396">
        <v>45916</v>
      </c>
      <c r="J2977" s="30" t="s">
        <v>5824</v>
      </c>
      <c r="K2977" s="385"/>
      <c r="L2977" s="385"/>
      <c r="M2977" s="385"/>
      <c r="N2977" s="385"/>
      <c r="O2977" s="385"/>
      <c r="P2977" s="385" t="str">
        <f>IFERROR(
    IF(
        OR(ISBLANK(I2977), ISBLANK(L2977)),
        "",
        MAX(
            1,
            IF(
                NETWORKDAYS(I2977, L2977, Holiday_Dates) &lt;= 0,
                1,
                NETWORKDAYS(I2977, L2977, Holiday_Dates) - IF(I2977 = L2977, 0, 1)
            )
        )
    ),
    ""
)</f>
        <v/>
      </c>
      <c r="Q2977" s="385" t="str">
        <f>IF(
    OR(ISBLANK(L2977), ISBLANK(M2977)),
    "",
    MAX(
        1,
        IF(
            NETWORKDAYS(L2977, M2977, Holiday_Dates) &lt;= 0,
            1,
            NETWORKDAYS(L2977, M2977, Holiday_Dates) - IF(L2977 = M2977, 0, 1)
        )
    )
)</f>
        <v/>
      </c>
      <c r="R2977" s="385" t="str">
        <f>IFERROR(
    IF(
        OR(ISBLANK(N2977), AND(ISBLANK(L2977), ISBLANK(M2977))),
        "",
        MAX(
            1,
            IF(
                NETWORKDAYS(IF(NOT(ISBLANK(M2977)), M2977, L2977), N2977, Holiday_Dates) &lt;= 0,
                1,
                NETWORKDAYS(IF(NOT(ISBLANK(M2977)), M2977, L2977), N2977, Holiday_Dates)
                - IF(IF(NOT(ISBLANK(M2977)), M2977, L2977) = N2977, 0, 1)
            )
        )
    ),
    ""
)</f>
        <v/>
      </c>
      <c r="S2977" s="385" t="str">
        <f>IFERROR(
    IF(
        OR(ISBLANK(N2977), ISBLANK(O2977)),
        "",
        MAX(
            1,
            IF(
                NETWORKDAYS(N2977, O2977, Holiday_Dates) &lt;= 0,
                1,
                NETWORKDAYS(N2977, O2977, Holiday_Dates) - IF(N2977 = O2977, 0, 1)
            )
        )
    ),
    ""
)</f>
        <v/>
      </c>
      <c r="T2977" s="385"/>
      <c r="U2977" s="385" t="s">
        <v>4</v>
      </c>
      <c r="V2977" s="385" t="s">
        <v>101</v>
      </c>
      <c r="W2977" s="385" t="s">
        <v>1436</v>
      </c>
      <c r="X2977" s="1"/>
    </row>
    <row r="2978" spans="1:24">
      <c r="A2978" s="385" t="s">
        <v>53</v>
      </c>
      <c r="B2978" s="385" t="s">
        <v>4425</v>
      </c>
      <c r="C2978" s="385" t="s">
        <v>4426</v>
      </c>
      <c r="D2978" s="385" t="s">
        <v>89</v>
      </c>
      <c r="E2978" s="385"/>
      <c r="F2978" s="385"/>
      <c r="G2978" s="385"/>
      <c r="H2978" s="385">
        <v>2025</v>
      </c>
      <c r="I2978" s="396">
        <v>45916</v>
      </c>
      <c r="J2978" s="30" t="s">
        <v>5825</v>
      </c>
      <c r="K2978" s="385"/>
      <c r="L2978" s="385"/>
      <c r="M2978" s="385"/>
      <c r="N2978" s="385"/>
      <c r="O2978" s="385"/>
      <c r="P2978" s="385" t="str">
        <f>IFERROR(
    IF(
        OR(ISBLANK(I2978), ISBLANK(L2978)),
        "",
        MAX(
            1,
            IF(
                NETWORKDAYS(I2978, L2978, Holiday_Dates) &lt;= 0,
                1,
                NETWORKDAYS(I2978, L2978, Holiday_Dates) - IF(I2978 = L2978, 0, 1)
            )
        )
    ),
    ""
)</f>
        <v/>
      </c>
      <c r="Q2978" s="385" t="str">
        <f>IF(
    OR(ISBLANK(L2978), ISBLANK(M2978)),
    "",
    MAX(
        1,
        IF(
            NETWORKDAYS(L2978, M2978, Holiday_Dates) &lt;= 0,
            1,
            NETWORKDAYS(L2978, M2978, Holiday_Dates) - IF(L2978 = M2978, 0, 1)
        )
    )
)</f>
        <v/>
      </c>
      <c r="R2978" s="385" t="str">
        <f>IFERROR(
    IF(
        OR(ISBLANK(N2978), AND(ISBLANK(L2978), ISBLANK(M2978))),
        "",
        MAX(
            1,
            IF(
                NETWORKDAYS(IF(NOT(ISBLANK(M2978)), M2978, L2978), N2978, Holiday_Dates) &lt;= 0,
                1,
                NETWORKDAYS(IF(NOT(ISBLANK(M2978)), M2978, L2978), N2978, Holiday_Dates)
                - IF(IF(NOT(ISBLANK(M2978)), M2978, L2978) = N2978, 0, 1)
            )
        )
    ),
    ""
)</f>
        <v/>
      </c>
      <c r="S2978" s="385" t="str">
        <f>IFERROR(
    IF(
        OR(ISBLANK(N2978), ISBLANK(O2978)),
        "",
        MAX(
            1,
            IF(
                NETWORKDAYS(N2978, O2978, Holiday_Dates) &lt;= 0,
                1,
                NETWORKDAYS(N2978, O2978, Holiday_Dates) - IF(N2978 = O2978, 0, 1)
            )
        )
    ),
    ""
)</f>
        <v/>
      </c>
      <c r="T2978" s="385"/>
      <c r="U2978" s="385" t="s">
        <v>672</v>
      </c>
      <c r="V2978" s="385" t="s">
        <v>101</v>
      </c>
      <c r="W2978" s="385" t="s">
        <v>1436</v>
      </c>
      <c r="X2978" s="1"/>
    </row>
    <row r="2979" spans="1:24">
      <c r="A2979" s="385" t="s">
        <v>53</v>
      </c>
      <c r="B2979" s="385" t="s">
        <v>4425</v>
      </c>
      <c r="C2979" s="385" t="s">
        <v>4428</v>
      </c>
      <c r="D2979" s="385" t="s">
        <v>89</v>
      </c>
      <c r="E2979" s="385"/>
      <c r="F2979" s="385"/>
      <c r="G2979" s="385"/>
      <c r="H2979" s="385">
        <v>2025</v>
      </c>
      <c r="I2979" s="396">
        <v>45916</v>
      </c>
      <c r="J2979" s="30" t="s">
        <v>5826</v>
      </c>
      <c r="K2979" s="385"/>
      <c r="L2979" s="385"/>
      <c r="M2979" s="385"/>
      <c r="N2979" s="385"/>
      <c r="O2979" s="385"/>
      <c r="P2979" s="385" t="str">
        <f>IFERROR(
    IF(
        OR(ISBLANK(I2979), ISBLANK(L2979)),
        "",
        MAX(
            1,
            IF(
                NETWORKDAYS(I2979, L2979, Holiday_Dates) &lt;= 0,
                1,
                NETWORKDAYS(I2979, L2979, Holiday_Dates) - IF(I2979 = L2979, 0, 1)
            )
        )
    ),
    ""
)</f>
        <v/>
      </c>
      <c r="Q2979" s="385" t="str">
        <f>IF(
    OR(ISBLANK(L2979), ISBLANK(M2979)),
    "",
    MAX(
        1,
        IF(
            NETWORKDAYS(L2979, M2979, Holiday_Dates) &lt;= 0,
            1,
            NETWORKDAYS(L2979, M2979, Holiday_Dates) - IF(L2979 = M2979, 0, 1)
        )
    )
)</f>
        <v/>
      </c>
      <c r="R2979" s="385" t="str">
        <f>IFERROR(
    IF(
        OR(ISBLANK(N2979), AND(ISBLANK(L2979), ISBLANK(M2979))),
        "",
        MAX(
            1,
            IF(
                NETWORKDAYS(IF(NOT(ISBLANK(M2979)), M2979, L2979), N2979, Holiday_Dates) &lt;= 0,
                1,
                NETWORKDAYS(IF(NOT(ISBLANK(M2979)), M2979, L2979), N2979, Holiday_Dates)
                - IF(IF(NOT(ISBLANK(M2979)), M2979, L2979) = N2979, 0, 1)
            )
        )
    ),
    ""
)</f>
        <v/>
      </c>
      <c r="S2979" s="385" t="str">
        <f>IFERROR(
    IF(
        OR(ISBLANK(N2979), ISBLANK(O2979)),
        "",
        MAX(
            1,
            IF(
                NETWORKDAYS(N2979, O2979, Holiday_Dates) &lt;= 0,
                1,
                NETWORKDAYS(N2979, O2979, Holiday_Dates) - IF(N2979 = O2979, 0, 1)
            )
        )
    ),
    ""
)</f>
        <v/>
      </c>
      <c r="T2979" s="385"/>
      <c r="U2979" s="385" t="s">
        <v>672</v>
      </c>
      <c r="V2979" s="385" t="s">
        <v>101</v>
      </c>
      <c r="W2979" s="385" t="s">
        <v>1436</v>
      </c>
      <c r="X2979" s="1"/>
    </row>
    <row r="2980" spans="1:24">
      <c r="A2980" s="385" t="s">
        <v>53</v>
      </c>
      <c r="B2980" s="385" t="s">
        <v>4425</v>
      </c>
      <c r="C2980" s="385" t="s">
        <v>4429</v>
      </c>
      <c r="D2980" s="385" t="s">
        <v>89</v>
      </c>
      <c r="E2980" s="385"/>
      <c r="F2980" s="385"/>
      <c r="G2980" s="385"/>
      <c r="H2980" s="385">
        <v>2025</v>
      </c>
      <c r="I2980" s="396">
        <v>45916</v>
      </c>
      <c r="J2980" s="30" t="s">
        <v>5827</v>
      </c>
      <c r="K2980" s="385"/>
      <c r="L2980" s="385"/>
      <c r="M2980" s="385"/>
      <c r="N2980" s="385"/>
      <c r="O2980" s="385"/>
      <c r="P2980" s="385" t="str">
        <f>IFERROR(
    IF(
        OR(ISBLANK(I2980), ISBLANK(L2980)),
        "",
        MAX(
            1,
            IF(
                NETWORKDAYS(I2980, L2980, Holiday_Dates) &lt;= 0,
                1,
                NETWORKDAYS(I2980, L2980, Holiday_Dates) - IF(I2980 = L2980, 0, 1)
            )
        )
    ),
    ""
)</f>
        <v/>
      </c>
      <c r="Q2980" s="385" t="str">
        <f>IF(
    OR(ISBLANK(L2980), ISBLANK(M2980)),
    "",
    MAX(
        1,
        IF(
            NETWORKDAYS(L2980, M2980, Holiday_Dates) &lt;= 0,
            1,
            NETWORKDAYS(L2980, M2980, Holiday_Dates) - IF(L2980 = M2980, 0, 1)
        )
    )
)</f>
        <v/>
      </c>
      <c r="R2980" s="385" t="str">
        <f>IFERROR(
    IF(
        OR(ISBLANK(N2980), AND(ISBLANK(L2980), ISBLANK(M2980))),
        "",
        MAX(
            1,
            IF(
                NETWORKDAYS(IF(NOT(ISBLANK(M2980)), M2980, L2980), N2980, Holiday_Dates) &lt;= 0,
                1,
                NETWORKDAYS(IF(NOT(ISBLANK(M2980)), M2980, L2980), N2980, Holiday_Dates)
                - IF(IF(NOT(ISBLANK(M2980)), M2980, L2980) = N2980, 0, 1)
            )
        )
    ),
    ""
)</f>
        <v/>
      </c>
      <c r="S2980" s="385" t="str">
        <f>IFERROR(
    IF(
        OR(ISBLANK(N2980), ISBLANK(O2980)),
        "",
        MAX(
            1,
            IF(
                NETWORKDAYS(N2980, O2980, Holiday_Dates) &lt;= 0,
                1,
                NETWORKDAYS(N2980, O2980, Holiday_Dates) - IF(N2980 = O2980, 0, 1)
            )
        )
    ),
    ""
)</f>
        <v/>
      </c>
      <c r="T2980" s="385"/>
      <c r="U2980" s="385" t="s">
        <v>672</v>
      </c>
      <c r="V2980" s="385" t="s">
        <v>101</v>
      </c>
      <c r="W2980" s="385" t="s">
        <v>1436</v>
      </c>
      <c r="X2980" s="1"/>
    </row>
    <row r="2981" spans="1:24">
      <c r="A2981" s="385" t="s">
        <v>53</v>
      </c>
      <c r="B2981" s="385" t="s">
        <v>4425</v>
      </c>
      <c r="C2981" s="385" t="s">
        <v>4434</v>
      </c>
      <c r="D2981" s="385" t="s">
        <v>89</v>
      </c>
      <c r="E2981" s="385"/>
      <c r="F2981" s="385"/>
      <c r="G2981" s="385"/>
      <c r="H2981" s="385">
        <v>2025</v>
      </c>
      <c r="I2981" s="396">
        <v>45916</v>
      </c>
      <c r="J2981" s="530" t="s">
        <v>5828</v>
      </c>
      <c r="K2981" s="385"/>
      <c r="L2981" s="385"/>
      <c r="M2981" s="385"/>
      <c r="N2981" s="385"/>
      <c r="O2981" s="385"/>
      <c r="P2981" s="385" t="str">
        <f>IFERROR(
    IF(
        OR(ISBLANK(I2981), ISBLANK(L2981)),
        "",
        MAX(
            1,
            IF(
                NETWORKDAYS(I2981, L2981, Holiday_Dates) &lt;= 0,
                1,
                NETWORKDAYS(I2981, L2981, Holiday_Dates) - IF(I2981 = L2981, 0, 1)
            )
        )
    ),
    ""
)</f>
        <v/>
      </c>
      <c r="Q2981" s="385" t="str">
        <f>IF(
    OR(ISBLANK(L2981), ISBLANK(M2981)),
    "",
    MAX(
        1,
        IF(
            NETWORKDAYS(L2981, M2981, Holiday_Dates) &lt;= 0,
            1,
            NETWORKDAYS(L2981, M2981, Holiday_Dates) - IF(L2981 = M2981, 0, 1)
        )
    )
)</f>
        <v/>
      </c>
      <c r="R2981" s="385" t="str">
        <f>IFERROR(
    IF(
        OR(ISBLANK(N2981), AND(ISBLANK(L2981), ISBLANK(M2981))),
        "",
        MAX(
            1,
            IF(
                NETWORKDAYS(IF(NOT(ISBLANK(M2981)), M2981, L2981), N2981, Holiday_Dates) &lt;= 0,
                1,
                NETWORKDAYS(IF(NOT(ISBLANK(M2981)), M2981, L2981), N2981, Holiday_Dates)
                - IF(IF(NOT(ISBLANK(M2981)), M2981, L2981) = N2981, 0, 1)
            )
        )
    ),
    ""
)</f>
        <v/>
      </c>
      <c r="S2981" s="385" t="str">
        <f>IFERROR(
    IF(
        OR(ISBLANK(N2981), ISBLANK(O2981)),
        "",
        MAX(
            1,
            IF(
                NETWORKDAYS(N2981, O2981, Holiday_Dates) &lt;= 0,
                1,
                NETWORKDAYS(N2981, O2981, Holiday_Dates) - IF(N2981 = O2981, 0, 1)
            )
        )
    ),
    ""
)</f>
        <v/>
      </c>
      <c r="T2981" s="385"/>
      <c r="U2981" s="390" t="s">
        <v>672</v>
      </c>
      <c r="V2981" s="390" t="s">
        <v>101</v>
      </c>
      <c r="W2981" s="385" t="s">
        <v>1436</v>
      </c>
      <c r="X2981" s="1"/>
    </row>
    <row r="2982" spans="1:24">
      <c r="A2982" s="385" t="s">
        <v>53</v>
      </c>
      <c r="B2982" s="385" t="s">
        <v>4425</v>
      </c>
      <c r="C2982" s="385" t="s">
        <v>4435</v>
      </c>
      <c r="D2982" s="385" t="s">
        <v>89</v>
      </c>
      <c r="E2982" s="385"/>
      <c r="F2982" s="385"/>
      <c r="G2982" s="385"/>
      <c r="H2982" s="385">
        <v>2025</v>
      </c>
      <c r="I2982" s="396">
        <v>45916</v>
      </c>
      <c r="J2982" s="530" t="s">
        <v>5829</v>
      </c>
      <c r="K2982" s="385"/>
      <c r="L2982" s="385"/>
      <c r="M2982" s="385"/>
      <c r="N2982" s="385"/>
      <c r="O2982" s="385"/>
      <c r="P2982" s="385" t="str">
        <f>IFERROR(
    IF(
        OR(ISBLANK(I2982), ISBLANK(L2982)),
        "",
        MAX(
            1,
            IF(
                NETWORKDAYS(I2982, L2982, Holiday_Dates) &lt;= 0,
                1,
                NETWORKDAYS(I2982, L2982, Holiday_Dates) - IF(I2982 = L2982, 0, 1)
            )
        )
    ),
    ""
)</f>
        <v/>
      </c>
      <c r="Q2982" s="385" t="str">
        <f>IF(
    OR(ISBLANK(L2982), ISBLANK(M2982)),
    "",
    MAX(
        1,
        IF(
            NETWORKDAYS(L2982, M2982, Holiday_Dates) &lt;= 0,
            1,
            NETWORKDAYS(L2982, M2982, Holiday_Dates) - IF(L2982 = M2982, 0, 1)
        )
    )
)</f>
        <v/>
      </c>
      <c r="R2982" s="385" t="str">
        <f>IFERROR(
    IF(
        OR(ISBLANK(N2982), AND(ISBLANK(L2982), ISBLANK(M2982))),
        "",
        MAX(
            1,
            IF(
                NETWORKDAYS(IF(NOT(ISBLANK(M2982)), M2982, L2982), N2982, Holiday_Dates) &lt;= 0,
                1,
                NETWORKDAYS(IF(NOT(ISBLANK(M2982)), M2982, L2982), N2982, Holiday_Dates)
                - IF(IF(NOT(ISBLANK(M2982)), M2982, L2982) = N2982, 0, 1)
            )
        )
    ),
    ""
)</f>
        <v/>
      </c>
      <c r="S2982" s="385" t="str">
        <f>IFERROR(
    IF(
        OR(ISBLANK(N2982), ISBLANK(O2982)),
        "",
        MAX(
            1,
            IF(
                NETWORKDAYS(N2982, O2982, Holiday_Dates) &lt;= 0,
                1,
                NETWORKDAYS(N2982, O2982, Holiday_Dates) - IF(N2982 = O2982, 0, 1)
            )
        )
    ),
    ""
)</f>
        <v/>
      </c>
      <c r="T2982" s="385"/>
      <c r="U2982" s="390" t="s">
        <v>672</v>
      </c>
      <c r="V2982" s="390" t="s">
        <v>101</v>
      </c>
      <c r="W2982" s="385" t="s">
        <v>1436</v>
      </c>
      <c r="X2982" s="1"/>
    </row>
    <row r="2983" spans="1:24">
      <c r="A2983" s="385" t="s">
        <v>53</v>
      </c>
      <c r="B2983" s="385" t="s">
        <v>4425</v>
      </c>
      <c r="C2983" s="385" t="s">
        <v>4432</v>
      </c>
      <c r="D2983" s="385" t="s">
        <v>89</v>
      </c>
      <c r="E2983" s="385"/>
      <c r="F2983" s="385"/>
      <c r="G2983" s="385"/>
      <c r="H2983" s="385">
        <v>2025</v>
      </c>
      <c r="I2983" s="396">
        <v>45916</v>
      </c>
      <c r="J2983" s="530" t="s">
        <v>5830</v>
      </c>
      <c r="K2983" s="385"/>
      <c r="L2983" s="385"/>
      <c r="M2983" s="385"/>
      <c r="N2983" s="385"/>
      <c r="O2983" s="385"/>
      <c r="P2983" s="385" t="str">
        <f>IFERROR(
    IF(
        OR(ISBLANK(I2983), ISBLANK(L2983)),
        "",
        MAX(
            1,
            IF(
                NETWORKDAYS(I2983, L2983, Holiday_Dates) &lt;= 0,
                1,
                NETWORKDAYS(I2983, L2983, Holiday_Dates) - IF(I2983 = L2983, 0, 1)
            )
        )
    ),
    ""
)</f>
        <v/>
      </c>
      <c r="Q2983" s="385" t="str">
        <f>IF(
    OR(ISBLANK(L2983), ISBLANK(M2983)),
    "",
    MAX(
        1,
        IF(
            NETWORKDAYS(L2983, M2983, Holiday_Dates) &lt;= 0,
            1,
            NETWORKDAYS(L2983, M2983, Holiday_Dates) - IF(L2983 = M2983, 0, 1)
        )
    )
)</f>
        <v/>
      </c>
      <c r="R2983" s="385" t="str">
        <f>IFERROR(
    IF(
        OR(ISBLANK(N2983), AND(ISBLANK(L2983), ISBLANK(M2983))),
        "",
        MAX(
            1,
            IF(
                NETWORKDAYS(IF(NOT(ISBLANK(M2983)), M2983, L2983), N2983, Holiday_Dates) &lt;= 0,
                1,
                NETWORKDAYS(IF(NOT(ISBLANK(M2983)), M2983, L2983), N2983, Holiday_Dates)
                - IF(IF(NOT(ISBLANK(M2983)), M2983, L2983) = N2983, 0, 1)
            )
        )
    ),
    ""
)</f>
        <v/>
      </c>
      <c r="S2983" s="385" t="str">
        <f>IFERROR(
    IF(
        OR(ISBLANK(N2983), ISBLANK(O2983)),
        "",
        MAX(
            1,
            IF(
                NETWORKDAYS(N2983, O2983, Holiday_Dates) &lt;= 0,
                1,
                NETWORKDAYS(N2983, O2983, Holiday_Dates) - IF(N2983 = O2983, 0, 1)
            )
        )
    ),
    ""
)</f>
        <v/>
      </c>
      <c r="T2983" s="385"/>
      <c r="U2983" s="390" t="s">
        <v>672</v>
      </c>
      <c r="V2983" s="390" t="s">
        <v>101</v>
      </c>
      <c r="W2983" s="385" t="s">
        <v>1436</v>
      </c>
      <c r="X2983" s="1"/>
    </row>
    <row r="2984" spans="1:24">
      <c r="A2984" s="385" t="s">
        <v>53</v>
      </c>
      <c r="B2984" s="385" t="s">
        <v>4425</v>
      </c>
      <c r="C2984" s="385" t="s">
        <v>1013</v>
      </c>
      <c r="D2984" s="385" t="s">
        <v>89</v>
      </c>
      <c r="E2984" s="385"/>
      <c r="F2984" s="385"/>
      <c r="G2984" s="385"/>
      <c r="H2984" s="385">
        <v>2025</v>
      </c>
      <c r="I2984" s="396">
        <v>45916</v>
      </c>
      <c r="J2984" s="530" t="s">
        <v>5831</v>
      </c>
      <c r="K2984" s="385"/>
      <c r="L2984" s="385"/>
      <c r="M2984" s="385"/>
      <c r="N2984" s="385"/>
      <c r="O2984" s="385"/>
      <c r="P2984" s="385" t="str">
        <f>IFERROR(
    IF(
        OR(ISBLANK(I2984), ISBLANK(L2984)),
        "",
        MAX(
            1,
            IF(
                NETWORKDAYS(I2984, L2984, Holiday_Dates) &lt;= 0,
                1,
                NETWORKDAYS(I2984, L2984, Holiday_Dates) - IF(I2984 = L2984, 0, 1)
            )
        )
    ),
    ""
)</f>
        <v/>
      </c>
      <c r="Q2984" s="385" t="str">
        <f>IF(
    OR(ISBLANK(L2984), ISBLANK(M2984)),
    "",
    MAX(
        1,
        IF(
            NETWORKDAYS(L2984, M2984, Holiday_Dates) &lt;= 0,
            1,
            NETWORKDAYS(L2984, M2984, Holiday_Dates) - IF(L2984 = M2984, 0, 1)
        )
    )
)</f>
        <v/>
      </c>
      <c r="R2984" s="385" t="str">
        <f>IFERROR(
    IF(
        OR(ISBLANK(N2984), AND(ISBLANK(L2984), ISBLANK(M2984))),
        "",
        MAX(
            1,
            IF(
                NETWORKDAYS(IF(NOT(ISBLANK(M2984)), M2984, L2984), N2984, Holiday_Dates) &lt;= 0,
                1,
                NETWORKDAYS(IF(NOT(ISBLANK(M2984)), M2984, L2984), N2984, Holiday_Dates)
                - IF(IF(NOT(ISBLANK(M2984)), M2984, L2984) = N2984, 0, 1)
            )
        )
    ),
    ""
)</f>
        <v/>
      </c>
      <c r="S2984" s="385" t="str">
        <f>IFERROR(
    IF(
        OR(ISBLANK(N2984), ISBLANK(O2984)),
        "",
        MAX(
            1,
            IF(
                NETWORKDAYS(N2984, O2984, Holiday_Dates) &lt;= 0,
                1,
                NETWORKDAYS(N2984, O2984, Holiday_Dates) - IF(N2984 = O2984, 0, 1)
            )
        )
    ),
    ""
)</f>
        <v/>
      </c>
      <c r="T2984" s="385"/>
      <c r="U2984" s="385" t="s">
        <v>4</v>
      </c>
      <c r="V2984" s="385" t="s">
        <v>101</v>
      </c>
      <c r="W2984" s="385" t="s">
        <v>1436</v>
      </c>
      <c r="X2984" s="1"/>
    </row>
    <row r="2985" spans="1:24">
      <c r="A2985" s="385" t="s">
        <v>53</v>
      </c>
      <c r="B2985" s="385" t="s">
        <v>4425</v>
      </c>
      <c r="C2985" s="385" t="s">
        <v>4436</v>
      </c>
      <c r="D2985" s="385" t="s">
        <v>89</v>
      </c>
      <c r="E2985" s="385"/>
      <c r="F2985" s="385"/>
      <c r="G2985" s="385"/>
      <c r="H2985" s="385">
        <v>2025</v>
      </c>
      <c r="I2985" s="396">
        <v>45916</v>
      </c>
      <c r="J2985" s="530" t="s">
        <v>5832</v>
      </c>
      <c r="K2985" s="385"/>
      <c r="L2985" s="385"/>
      <c r="M2985" s="385"/>
      <c r="N2985" s="385"/>
      <c r="O2985" s="385"/>
      <c r="P2985" s="385" t="str">
        <f>IFERROR(
    IF(
        OR(ISBLANK(I2985), ISBLANK(L2985)),
        "",
        MAX(
            1,
            IF(
                NETWORKDAYS(I2985, L2985, Holiday_Dates) &lt;= 0,
                1,
                NETWORKDAYS(I2985, L2985, Holiday_Dates) - IF(I2985 = L2985, 0, 1)
            )
        )
    ),
    ""
)</f>
        <v/>
      </c>
      <c r="Q2985" s="385" t="str">
        <f>IF(
    OR(ISBLANK(L2985), ISBLANK(M2985)),
    "",
    MAX(
        1,
        IF(
            NETWORKDAYS(L2985, M2985, Holiday_Dates) &lt;= 0,
            1,
            NETWORKDAYS(L2985, M2985, Holiday_Dates) - IF(L2985 = M2985, 0, 1)
        )
    )
)</f>
        <v/>
      </c>
      <c r="R2985" s="385" t="str">
        <f>IFERROR(
    IF(
        OR(ISBLANK(N2985), AND(ISBLANK(L2985), ISBLANK(M2985))),
        "",
        MAX(
            1,
            IF(
                NETWORKDAYS(IF(NOT(ISBLANK(M2985)), M2985, L2985), N2985, Holiday_Dates) &lt;= 0,
                1,
                NETWORKDAYS(IF(NOT(ISBLANK(M2985)), M2985, L2985), N2985, Holiday_Dates)
                - IF(IF(NOT(ISBLANK(M2985)), M2985, L2985) = N2985, 0, 1)
            )
        )
    ),
    ""
)</f>
        <v/>
      </c>
      <c r="S2985" s="385" t="str">
        <f>IFERROR(
    IF(
        OR(ISBLANK(N2985), ISBLANK(O2985)),
        "",
        MAX(
            1,
            IF(
                NETWORKDAYS(N2985, O2985, Holiday_Dates) &lt;= 0,
                1,
                NETWORKDAYS(N2985, O2985, Holiday_Dates) - IF(N2985 = O2985, 0, 1)
            )
        )
    ),
    ""
)</f>
        <v/>
      </c>
      <c r="T2985" s="385"/>
      <c r="U2985" s="385" t="s">
        <v>672</v>
      </c>
      <c r="V2985" s="385" t="s">
        <v>101</v>
      </c>
      <c r="W2985" s="385" t="s">
        <v>1436</v>
      </c>
      <c r="X2985" s="1"/>
    </row>
    <row r="2986" spans="1:24">
      <c r="A2986" s="385" t="s">
        <v>53</v>
      </c>
      <c r="B2986" s="385" t="s">
        <v>4425</v>
      </c>
      <c r="C2986" s="385" t="s">
        <v>4437</v>
      </c>
      <c r="D2986" s="385" t="s">
        <v>89</v>
      </c>
      <c r="E2986" s="385"/>
      <c r="F2986" s="385"/>
      <c r="G2986" s="385"/>
      <c r="H2986" s="385">
        <v>2025</v>
      </c>
      <c r="I2986" s="396">
        <v>45916</v>
      </c>
      <c r="J2986" s="530" t="s">
        <v>5833</v>
      </c>
      <c r="K2986" s="385"/>
      <c r="L2986" s="385"/>
      <c r="M2986" s="385"/>
      <c r="N2986" s="385"/>
      <c r="O2986" s="385"/>
      <c r="P2986" s="385" t="str">
        <f>IFERROR(
    IF(
        OR(ISBLANK(I2986), ISBLANK(L2986)),
        "",
        MAX(
            1,
            IF(
                NETWORKDAYS(I2986, L2986, Holiday_Dates) &lt;= 0,
                1,
                NETWORKDAYS(I2986, L2986, Holiday_Dates) - IF(I2986 = L2986, 0, 1)
            )
        )
    ),
    ""
)</f>
        <v/>
      </c>
      <c r="Q2986" s="385" t="str">
        <f>IF(
    OR(ISBLANK(L2986), ISBLANK(M2986)),
    "",
    MAX(
        1,
        IF(
            NETWORKDAYS(L2986, M2986, Holiday_Dates) &lt;= 0,
            1,
            NETWORKDAYS(L2986, M2986, Holiday_Dates) - IF(L2986 = M2986, 0, 1)
        )
    )
)</f>
        <v/>
      </c>
      <c r="R2986" s="385" t="str">
        <f>IFERROR(
    IF(
        OR(ISBLANK(N2986), AND(ISBLANK(L2986), ISBLANK(M2986))),
        "",
        MAX(
            1,
            IF(
                NETWORKDAYS(IF(NOT(ISBLANK(M2986)), M2986, L2986), N2986, Holiday_Dates) &lt;= 0,
                1,
                NETWORKDAYS(IF(NOT(ISBLANK(M2986)), M2986, L2986), N2986, Holiday_Dates)
                - IF(IF(NOT(ISBLANK(M2986)), M2986, L2986) = N2986, 0, 1)
            )
        )
    ),
    ""
)</f>
        <v/>
      </c>
      <c r="S2986" s="385" t="str">
        <f>IFERROR(
    IF(
        OR(ISBLANK(N2986), ISBLANK(O2986)),
        "",
        MAX(
            1,
            IF(
                NETWORKDAYS(N2986, O2986, Holiday_Dates) &lt;= 0,
                1,
                NETWORKDAYS(N2986, O2986, Holiday_Dates) - IF(N2986 = O2986, 0, 1)
            )
        )
    ),
    ""
)</f>
        <v/>
      </c>
      <c r="T2986" s="385"/>
      <c r="U2986" s="385" t="s">
        <v>672</v>
      </c>
      <c r="V2986" s="385" t="s">
        <v>101</v>
      </c>
      <c r="W2986" s="385" t="s">
        <v>1436</v>
      </c>
      <c r="X2986" s="1"/>
    </row>
    <row r="2987" spans="1:24">
      <c r="A2987" s="385" t="s">
        <v>53</v>
      </c>
      <c r="B2987" s="385" t="s">
        <v>733</v>
      </c>
      <c r="C2987" s="385" t="s">
        <v>4439</v>
      </c>
      <c r="D2987" s="385" t="s">
        <v>89</v>
      </c>
      <c r="E2987" s="385"/>
      <c r="F2987" s="385"/>
      <c r="G2987" s="385"/>
      <c r="H2987" s="385">
        <v>2024</v>
      </c>
      <c r="I2987" s="386">
        <v>45447</v>
      </c>
      <c r="J2987" s="30"/>
      <c r="K2987" s="385"/>
      <c r="L2987" s="385"/>
      <c r="M2987" s="385"/>
      <c r="N2987" s="385"/>
      <c r="O2987" s="385"/>
      <c r="P2987" s="385" t="str">
        <f>IFERROR(
    IF(
        OR(ISBLANK(I2987), ISBLANK(L2987)),
        "",
        MAX(
            1,
            IF(
                NETWORKDAYS(I2987, L2987, Holiday_Dates) &lt;= 0,
                1,
                NETWORKDAYS(I2987, L2987, Holiday_Dates) - IF(I2987 = L2987, 0, 1)
            )
        )
    ),
    ""
)</f>
        <v/>
      </c>
      <c r="Q2987" s="385" t="str">
        <f>IF(
    OR(ISBLANK(L2987), ISBLANK(M2987)),
    "",
    MAX(
        1,
        IF(
            NETWORKDAYS(L2987, M2987, Holiday_Dates) &lt;= 0,
            1,
            NETWORKDAYS(L2987, M2987, Holiday_Dates) - IF(L2987 = M2987, 0, 1)
        )
    )
)</f>
        <v/>
      </c>
      <c r="R2987" s="385" t="str">
        <f>IFERROR(
    IF(
        OR(ISBLANK(N2987), AND(ISBLANK(L2987), ISBLANK(M2987))),
        "",
        MAX(
            1,
            IF(
                NETWORKDAYS(IF(NOT(ISBLANK(M2987)), M2987, L2987), N2987, Holiday_Dates) &lt;= 0,
                1,
                NETWORKDAYS(IF(NOT(ISBLANK(M2987)), M2987, L2987), N2987, Holiday_Dates)
                - IF(IF(NOT(ISBLANK(M2987)), M2987, L2987) = N2987, 0, 1)
            )
        )
    ),
    ""
)</f>
        <v/>
      </c>
      <c r="S2987" s="385" t="str">
        <f>IFERROR(
    IF(
        OR(ISBLANK(N2987), ISBLANK(O2987)),
        "",
        MAX(
            1,
            IF(
                NETWORKDAYS(N2987, O2987, Holiday_Dates) &lt;= 0,
                1,
                NETWORKDAYS(N2987, O2987, Holiday_Dates) - IF(N2987 = O2987, 0, 1)
            )
        )
    ),
    ""
)</f>
        <v/>
      </c>
      <c r="T2987" s="385"/>
      <c r="U2987" s="385" t="s">
        <v>672</v>
      </c>
      <c r="V2987" s="385" t="s">
        <v>108</v>
      </c>
      <c r="W2987" s="385" t="s">
        <v>1436</v>
      </c>
      <c r="X2987" s="1"/>
    </row>
    <row r="2988" spans="1:24">
      <c r="A2988" s="385" t="s">
        <v>53</v>
      </c>
      <c r="B2988" s="385" t="s">
        <v>733</v>
      </c>
      <c r="C2988" s="385" t="s">
        <v>4442</v>
      </c>
      <c r="D2988" s="385" t="s">
        <v>89</v>
      </c>
      <c r="E2988" s="385"/>
      <c r="F2988" s="385"/>
      <c r="G2988" s="385"/>
      <c r="H2988" s="385">
        <v>2024</v>
      </c>
      <c r="I2988" s="386">
        <v>45447</v>
      </c>
      <c r="J2988" s="30"/>
      <c r="K2988" s="385"/>
      <c r="L2988" s="385"/>
      <c r="M2988" s="385"/>
      <c r="N2988" s="385"/>
      <c r="O2988" s="385"/>
      <c r="P2988" s="385" t="str">
        <f>IFERROR(
    IF(
        OR(ISBLANK(I2988), ISBLANK(L2988)),
        "",
        MAX(
            1,
            IF(
                NETWORKDAYS(I2988, L2988, Holiday_Dates) &lt;= 0,
                1,
                NETWORKDAYS(I2988, L2988, Holiday_Dates) - IF(I2988 = L2988, 0, 1)
            )
        )
    ),
    ""
)</f>
        <v/>
      </c>
      <c r="Q2988" s="385" t="str">
        <f>IF(
    OR(ISBLANK(L2988), ISBLANK(M2988)),
    "",
    MAX(
        1,
        IF(
            NETWORKDAYS(L2988, M2988, Holiday_Dates) &lt;= 0,
            1,
            NETWORKDAYS(L2988, M2988, Holiday_Dates) - IF(L2988 = M2988, 0, 1)
        )
    )
)</f>
        <v/>
      </c>
      <c r="R2988" s="385" t="str">
        <f>IFERROR(
    IF(
        OR(ISBLANK(N2988), AND(ISBLANK(L2988), ISBLANK(M2988))),
        "",
        MAX(
            1,
            IF(
                NETWORKDAYS(IF(NOT(ISBLANK(M2988)), M2988, L2988), N2988, Holiday_Dates) &lt;= 0,
                1,
                NETWORKDAYS(IF(NOT(ISBLANK(M2988)), M2988, L2988), N2988, Holiday_Dates)
                - IF(IF(NOT(ISBLANK(M2988)), M2988, L2988) = N2988, 0, 1)
            )
        )
    ),
    ""
)</f>
        <v/>
      </c>
      <c r="S2988" s="385" t="str">
        <f>IFERROR(
    IF(
        OR(ISBLANK(N2988), ISBLANK(O2988)),
        "",
        MAX(
            1,
            IF(
                NETWORKDAYS(N2988, O2988, Holiday_Dates) &lt;= 0,
                1,
                NETWORKDAYS(N2988, O2988, Holiday_Dates) - IF(N2988 = O2988, 0, 1)
            )
        )
    ),
    ""
)</f>
        <v/>
      </c>
      <c r="T2988" s="385"/>
      <c r="U2988" s="385" t="s">
        <v>672</v>
      </c>
      <c r="V2988" s="385" t="s">
        <v>1676</v>
      </c>
      <c r="W2988" s="385" t="s">
        <v>1436</v>
      </c>
      <c r="X2988" s="1"/>
    </row>
    <row r="2989" spans="1:24">
      <c r="A2989" s="385" t="s">
        <v>53</v>
      </c>
      <c r="B2989" s="385" t="s">
        <v>733</v>
      </c>
      <c r="C2989" s="385" t="s">
        <v>4444</v>
      </c>
      <c r="D2989" s="385" t="s">
        <v>89</v>
      </c>
      <c r="E2989" s="385"/>
      <c r="F2989" s="385"/>
      <c r="G2989" s="385"/>
      <c r="H2989" s="385">
        <v>2025</v>
      </c>
      <c r="I2989" s="386">
        <v>45678</v>
      </c>
      <c r="J2989" s="30" t="s">
        <v>5834</v>
      </c>
      <c r="K2989" s="385"/>
      <c r="L2989" s="385"/>
      <c r="M2989" s="385"/>
      <c r="N2989" s="385"/>
      <c r="O2989" s="385"/>
      <c r="P2989" s="385" t="str">
        <f>IFERROR(
    IF(
        OR(ISBLANK(I2989), ISBLANK(L2989)),
        "",
        MAX(
            1,
            IF(
                NETWORKDAYS(I2989, L2989, Holiday_Dates) &lt;= 0,
                1,
                NETWORKDAYS(I2989, L2989, Holiday_Dates) - IF(I2989 = L2989, 0, 1)
            )
        )
    ),
    ""
)</f>
        <v/>
      </c>
      <c r="Q2989" s="385" t="str">
        <f>IF(
    OR(ISBLANK(L2989), ISBLANK(M2989)),
    "",
    MAX(
        1,
        IF(
            NETWORKDAYS(L2989, M2989, Holiday_Dates) &lt;= 0,
            1,
            NETWORKDAYS(L2989, M2989, Holiday_Dates) - IF(L2989 = M2989, 0, 1)
        )
    )
)</f>
        <v/>
      </c>
      <c r="R2989" s="385" t="str">
        <f>IFERROR(
    IF(
        OR(ISBLANK(N2989), AND(ISBLANK(L2989), ISBLANK(M2989))),
        "",
        MAX(
            1,
            IF(
                NETWORKDAYS(IF(NOT(ISBLANK(M2989)), M2989, L2989), N2989, Holiday_Dates) &lt;= 0,
                1,
                NETWORKDAYS(IF(NOT(ISBLANK(M2989)), M2989, L2989), N2989, Holiday_Dates)
                - IF(IF(NOT(ISBLANK(M2989)), M2989, L2989) = N2989, 0, 1)
            )
        )
    ),
    ""
)</f>
        <v/>
      </c>
      <c r="S2989" s="385" t="str">
        <f>IFERROR(
    IF(
        OR(ISBLANK(N2989), ISBLANK(O2989)),
        "",
        MAX(
            1,
            IF(
                NETWORKDAYS(N2989, O2989, Holiday_Dates) &lt;= 0,
                1,
                NETWORKDAYS(N2989, O2989, Holiday_Dates) - IF(N2989 = O2989, 0, 1)
            )
        )
    ),
    ""
)</f>
        <v/>
      </c>
      <c r="T2989" s="385"/>
      <c r="U2989" s="385" t="s">
        <v>672</v>
      </c>
      <c r="V2989" s="385" t="s">
        <v>1676</v>
      </c>
      <c r="W2989" s="385" t="s">
        <v>1436</v>
      </c>
      <c r="X2989" s="1"/>
    </row>
    <row r="2990" spans="1:24">
      <c r="A2990" s="385" t="s">
        <v>53</v>
      </c>
      <c r="B2990" s="385" t="s">
        <v>733</v>
      </c>
      <c r="C2990" s="385" t="s">
        <v>4445</v>
      </c>
      <c r="D2990" s="385" t="s">
        <v>89</v>
      </c>
      <c r="E2990" s="385"/>
      <c r="F2990" s="385"/>
      <c r="G2990" s="385"/>
      <c r="H2990" s="385">
        <v>2024</v>
      </c>
      <c r="I2990" s="386">
        <v>45616</v>
      </c>
      <c r="J2990" s="30"/>
      <c r="K2990" s="385"/>
      <c r="L2990" s="385"/>
      <c r="M2990" s="385"/>
      <c r="N2990" s="385"/>
      <c r="O2990" s="385"/>
      <c r="P2990" s="385" t="str">
        <f>IFERROR(
    IF(
        OR(ISBLANK(I2990), ISBLANK(L2990)),
        "",
        MAX(
            1,
            IF(
                NETWORKDAYS(I2990, L2990, Holiday_Dates) &lt;= 0,
                1,
                NETWORKDAYS(I2990, L2990, Holiday_Dates) - IF(I2990 = L2990, 0, 1)
            )
        )
    ),
    ""
)</f>
        <v/>
      </c>
      <c r="Q2990" s="385" t="str">
        <f>IF(
    OR(ISBLANK(L2990), ISBLANK(M2990)),
    "",
    MAX(
        1,
        IF(
            NETWORKDAYS(L2990, M2990, Holiday_Dates) &lt;= 0,
            1,
            NETWORKDAYS(L2990, M2990, Holiday_Dates) - IF(L2990 = M2990, 0, 1)
        )
    )
)</f>
        <v/>
      </c>
      <c r="R2990" s="385" t="str">
        <f>IFERROR(
    IF(
        OR(ISBLANK(N2990), AND(ISBLANK(L2990), ISBLANK(M2990))),
        "",
        MAX(
            1,
            IF(
                NETWORKDAYS(IF(NOT(ISBLANK(M2990)), M2990, L2990), N2990, Holiday_Dates) &lt;= 0,
                1,
                NETWORKDAYS(IF(NOT(ISBLANK(M2990)), M2990, L2990), N2990, Holiday_Dates)
                - IF(IF(NOT(ISBLANK(M2990)), M2990, L2990) = N2990, 0, 1)
            )
        )
    ),
    ""
)</f>
        <v/>
      </c>
      <c r="S2990" s="385" t="str">
        <f>IFERROR(
    IF(
        OR(ISBLANK(N2990), ISBLANK(O2990)),
        "",
        MAX(
            1,
            IF(
                NETWORKDAYS(N2990, O2990, Holiday_Dates) &lt;= 0,
                1,
                NETWORKDAYS(N2990, O2990, Holiday_Dates) - IF(N2990 = O2990, 0, 1)
            )
        )
    ),
    ""
)</f>
        <v/>
      </c>
      <c r="T2990" s="385"/>
      <c r="U2990" s="385" t="s">
        <v>4</v>
      </c>
      <c r="V2990" s="385" t="s">
        <v>101</v>
      </c>
      <c r="W2990" s="385" t="s">
        <v>1436</v>
      </c>
      <c r="X2990" s="1"/>
    </row>
    <row r="2991" spans="1:24">
      <c r="A2991" s="385" t="s">
        <v>53</v>
      </c>
      <c r="B2991" s="385" t="s">
        <v>733</v>
      </c>
      <c r="C2991" s="385" t="s">
        <v>4461</v>
      </c>
      <c r="D2991" s="385" t="s">
        <v>89</v>
      </c>
      <c r="E2991" s="385"/>
      <c r="F2991" s="385"/>
      <c r="G2991" s="385"/>
      <c r="H2991" s="385">
        <v>2024</v>
      </c>
      <c r="I2991" s="386">
        <v>45539</v>
      </c>
      <c r="J2991" s="30"/>
      <c r="K2991" s="385"/>
      <c r="L2991" s="385"/>
      <c r="M2991" s="385"/>
      <c r="N2991" s="385"/>
      <c r="O2991" s="385"/>
      <c r="P2991" s="385" t="str">
        <f>IFERROR(
    IF(
        OR(ISBLANK(I2991), ISBLANK(L2991)),
        "",
        MAX(
            1,
            IF(
                NETWORKDAYS(I2991, L2991, Holiday_Dates) &lt;= 0,
                1,
                NETWORKDAYS(I2991, L2991, Holiday_Dates) - IF(I2991 = L2991, 0, 1)
            )
        )
    ),
    ""
)</f>
        <v/>
      </c>
      <c r="Q2991" s="385" t="str">
        <f>IF(
    OR(ISBLANK(L2991), ISBLANK(M2991)),
    "",
    MAX(
        1,
        IF(
            NETWORKDAYS(L2991, M2991, Holiday_Dates) &lt;= 0,
            1,
            NETWORKDAYS(L2991, M2991, Holiday_Dates) - IF(L2991 = M2991, 0, 1)
        )
    )
)</f>
        <v/>
      </c>
      <c r="R2991" s="385" t="str">
        <f>IFERROR(
    IF(
        OR(ISBLANK(N2991), AND(ISBLANK(L2991), ISBLANK(M2991))),
        "",
        MAX(
            1,
            IF(
                NETWORKDAYS(IF(NOT(ISBLANK(M2991)), M2991, L2991), N2991, Holiday_Dates) &lt;= 0,
                1,
                NETWORKDAYS(IF(NOT(ISBLANK(M2991)), M2991, L2991), N2991, Holiday_Dates)
                - IF(IF(NOT(ISBLANK(M2991)), M2991, L2991) = N2991, 0, 1)
            )
        )
    ),
    ""
)</f>
        <v/>
      </c>
      <c r="S2991" s="385" t="str">
        <f>IFERROR(
    IF(
        OR(ISBLANK(N2991), ISBLANK(O2991)),
        "",
        MAX(
            1,
            IF(
                NETWORKDAYS(N2991, O2991, Holiday_Dates) &lt;= 0,
                1,
                NETWORKDAYS(N2991, O2991, Holiday_Dates) - IF(N2991 = O2991, 0, 1)
            )
        )
    ),
    ""
)</f>
        <v/>
      </c>
      <c r="T2991" s="385"/>
      <c r="U2991" s="385" t="s">
        <v>672</v>
      </c>
      <c r="V2991" s="385" t="s">
        <v>101</v>
      </c>
      <c r="W2991" s="385" t="s">
        <v>1436</v>
      </c>
      <c r="X2991" s="1"/>
    </row>
    <row r="2992" spans="1:24">
      <c r="A2992" s="385" t="s">
        <v>53</v>
      </c>
      <c r="B2992" s="385" t="s">
        <v>733</v>
      </c>
      <c r="C2992" s="385" t="s">
        <v>4448</v>
      </c>
      <c r="D2992" s="385" t="s">
        <v>89</v>
      </c>
      <c r="E2992" s="385"/>
      <c r="F2992" s="385"/>
      <c r="G2992" s="385"/>
      <c r="H2992" s="385">
        <v>2024</v>
      </c>
      <c r="I2992" s="386">
        <v>45616</v>
      </c>
      <c r="J2992" s="30"/>
      <c r="K2992" s="385"/>
      <c r="L2992" s="385"/>
      <c r="M2992" s="385"/>
      <c r="N2992" s="385"/>
      <c r="O2992" s="385"/>
      <c r="P2992" s="385" t="str">
        <f>IFERROR(
    IF(
        OR(ISBLANK(I2992), ISBLANK(L2992)),
        "",
        MAX(
            1,
            IF(
                NETWORKDAYS(I2992, L2992, Holiday_Dates) &lt;= 0,
                1,
                NETWORKDAYS(I2992, L2992, Holiday_Dates) - IF(I2992 = L2992, 0, 1)
            )
        )
    ),
    ""
)</f>
        <v/>
      </c>
      <c r="Q2992" s="385" t="str">
        <f>IF(
    OR(ISBLANK(L2992), ISBLANK(M2992)),
    "",
    MAX(
        1,
        IF(
            NETWORKDAYS(L2992, M2992, Holiday_Dates) &lt;= 0,
            1,
            NETWORKDAYS(L2992, M2992, Holiday_Dates) - IF(L2992 = M2992, 0, 1)
        )
    )
)</f>
        <v/>
      </c>
      <c r="R2992" s="385" t="str">
        <f>IFERROR(
    IF(
        OR(ISBLANK(N2992), AND(ISBLANK(L2992), ISBLANK(M2992))),
        "",
        MAX(
            1,
            IF(
                NETWORKDAYS(IF(NOT(ISBLANK(M2992)), M2992, L2992), N2992, Holiday_Dates) &lt;= 0,
                1,
                NETWORKDAYS(IF(NOT(ISBLANK(M2992)), M2992, L2992), N2992, Holiday_Dates)
                - IF(IF(NOT(ISBLANK(M2992)), M2992, L2992) = N2992, 0, 1)
            )
        )
    ),
    ""
)</f>
        <v/>
      </c>
      <c r="S2992" s="385" t="str">
        <f>IFERROR(
    IF(
        OR(ISBLANK(N2992), ISBLANK(O2992)),
        "",
        MAX(
            1,
            IF(
                NETWORKDAYS(N2992, O2992, Holiday_Dates) &lt;= 0,
                1,
                NETWORKDAYS(N2992, O2992, Holiday_Dates) - IF(N2992 = O2992, 0, 1)
            )
        )
    ),
    ""
)</f>
        <v/>
      </c>
      <c r="T2992" s="385"/>
      <c r="U2992" s="385" t="s">
        <v>672</v>
      </c>
      <c r="V2992" s="385" t="s">
        <v>1676</v>
      </c>
      <c r="W2992" s="385" t="s">
        <v>1436</v>
      </c>
      <c r="X2992" s="1"/>
    </row>
    <row r="2993" spans="1:24">
      <c r="A2993" s="385" t="s">
        <v>53</v>
      </c>
      <c r="B2993" s="385" t="s">
        <v>733</v>
      </c>
      <c r="C2993" s="385" t="s">
        <v>4450</v>
      </c>
      <c r="D2993" s="385" t="s">
        <v>89</v>
      </c>
      <c r="E2993" s="385"/>
      <c r="F2993" s="385"/>
      <c r="G2993" s="385"/>
      <c r="H2993" s="385">
        <v>2024</v>
      </c>
      <c r="I2993" s="386">
        <v>45539</v>
      </c>
      <c r="J2993" s="30"/>
      <c r="K2993" s="385"/>
      <c r="L2993" s="385"/>
      <c r="M2993" s="385"/>
      <c r="N2993" s="385"/>
      <c r="O2993" s="385"/>
      <c r="P2993" s="385" t="str">
        <f>IFERROR(
    IF(
        OR(ISBLANK(I2993), ISBLANK(L2993)),
        "",
        MAX(
            1,
            IF(
                NETWORKDAYS(I2993, L2993, Holiday_Dates) &lt;= 0,
                1,
                NETWORKDAYS(I2993, L2993, Holiday_Dates) - IF(I2993 = L2993, 0, 1)
            )
        )
    ),
    ""
)</f>
        <v/>
      </c>
      <c r="Q2993" s="385" t="str">
        <f>IF(
    OR(ISBLANK(L2993), ISBLANK(M2993)),
    "",
    MAX(
        1,
        IF(
            NETWORKDAYS(L2993, M2993, Holiday_Dates) &lt;= 0,
            1,
            NETWORKDAYS(L2993, M2993, Holiday_Dates) - IF(L2993 = M2993, 0, 1)
        )
    )
)</f>
        <v/>
      </c>
      <c r="R2993" s="385" t="str">
        <f>IFERROR(
    IF(
        OR(ISBLANK(N2993), AND(ISBLANK(L2993), ISBLANK(M2993))),
        "",
        MAX(
            1,
            IF(
                NETWORKDAYS(IF(NOT(ISBLANK(M2993)), M2993, L2993), N2993, Holiday_Dates) &lt;= 0,
                1,
                NETWORKDAYS(IF(NOT(ISBLANK(M2993)), M2993, L2993), N2993, Holiday_Dates)
                - IF(IF(NOT(ISBLANK(M2993)), M2993, L2993) = N2993, 0, 1)
            )
        )
    ),
    ""
)</f>
        <v/>
      </c>
      <c r="S2993" s="385" t="str">
        <f>IFERROR(
    IF(
        OR(ISBLANK(N2993), ISBLANK(O2993)),
        "",
        MAX(
            1,
            IF(
                NETWORKDAYS(N2993, O2993, Holiday_Dates) &lt;= 0,
                1,
                NETWORKDAYS(N2993, O2993, Holiday_Dates) - IF(N2993 = O2993, 0, 1)
            )
        )
    ),
    ""
)</f>
        <v/>
      </c>
      <c r="T2993" s="385"/>
      <c r="U2993" s="385" t="s">
        <v>672</v>
      </c>
      <c r="V2993" s="385" t="s">
        <v>101</v>
      </c>
      <c r="W2993" s="385" t="s">
        <v>1436</v>
      </c>
      <c r="X2993" s="1"/>
    </row>
    <row r="2994" spans="1:24">
      <c r="A2994" s="385" t="s">
        <v>53</v>
      </c>
      <c r="B2994" s="385" t="s">
        <v>733</v>
      </c>
      <c r="C2994" s="385" t="s">
        <v>4452</v>
      </c>
      <c r="D2994" s="385" t="s">
        <v>89</v>
      </c>
      <c r="E2994" s="385"/>
      <c r="F2994" s="385"/>
      <c r="G2994" s="385"/>
      <c r="H2994" s="385">
        <v>2025</v>
      </c>
      <c r="I2994" s="386">
        <v>45699</v>
      </c>
      <c r="J2994" s="30" t="s">
        <v>5835</v>
      </c>
      <c r="K2994" s="385"/>
      <c r="L2994" s="385"/>
      <c r="M2994" s="385"/>
      <c r="N2994" s="385"/>
      <c r="O2994" s="385"/>
      <c r="P2994" s="385" t="str">
        <f>IFERROR(
    IF(
        OR(ISBLANK(I2994), ISBLANK(L2994)),
        "",
        MAX(
            1,
            IF(
                NETWORKDAYS(I2994, L2994, Holiday_Dates) &lt;= 0,
                1,
                NETWORKDAYS(I2994, L2994, Holiday_Dates) - IF(I2994 = L2994, 0, 1)
            )
        )
    ),
    ""
)</f>
        <v/>
      </c>
      <c r="Q2994" s="385" t="str">
        <f>IF(
    OR(ISBLANK(L2994), ISBLANK(M2994)),
    "",
    MAX(
        1,
        IF(
            NETWORKDAYS(L2994, M2994, Holiday_Dates) &lt;= 0,
            1,
            NETWORKDAYS(L2994, M2994, Holiday_Dates) - IF(L2994 = M2994, 0, 1)
        )
    )
)</f>
        <v/>
      </c>
      <c r="R2994" s="385" t="str">
        <f>IFERROR(
    IF(
        OR(ISBLANK(N2994), AND(ISBLANK(L2994), ISBLANK(M2994))),
        "",
        MAX(
            1,
            IF(
                NETWORKDAYS(IF(NOT(ISBLANK(M2994)), M2994, L2994), N2994, Holiday_Dates) &lt;= 0,
                1,
                NETWORKDAYS(IF(NOT(ISBLANK(M2994)), M2994, L2994), N2994, Holiday_Dates)
                - IF(IF(NOT(ISBLANK(M2994)), M2994, L2994) = N2994, 0, 1)
            )
        )
    ),
    ""
)</f>
        <v/>
      </c>
      <c r="S2994" s="385" t="str">
        <f>IFERROR(
    IF(
        OR(ISBLANK(N2994), ISBLANK(O2994)),
        "",
        MAX(
            1,
            IF(
                NETWORKDAYS(N2994, O2994, Holiday_Dates) &lt;= 0,
                1,
                NETWORKDAYS(N2994, O2994, Holiday_Dates) - IF(N2994 = O2994, 0, 1)
            )
        )
    ),
    ""
)</f>
        <v/>
      </c>
      <c r="T2994" s="385"/>
      <c r="U2994" s="385" t="s">
        <v>672</v>
      </c>
      <c r="V2994" s="385" t="s">
        <v>101</v>
      </c>
      <c r="W2994" s="385" t="s">
        <v>1436</v>
      </c>
      <c r="X2994" s="1"/>
    </row>
    <row r="2995" spans="1:24">
      <c r="A2995" s="385" t="s">
        <v>53</v>
      </c>
      <c r="B2995" s="385" t="s">
        <v>733</v>
      </c>
      <c r="C2995" s="385" t="s">
        <v>4453</v>
      </c>
      <c r="D2995" s="385" t="s">
        <v>89</v>
      </c>
      <c r="E2995" s="385"/>
      <c r="F2995" s="385"/>
      <c r="G2995" s="385"/>
      <c r="H2995" s="385">
        <v>2025</v>
      </c>
      <c r="I2995" s="386">
        <v>45699</v>
      </c>
      <c r="J2995" s="30" t="s">
        <v>5836</v>
      </c>
      <c r="K2995" s="385"/>
      <c r="L2995" s="385"/>
      <c r="M2995" s="385"/>
      <c r="N2995" s="385"/>
      <c r="O2995" s="385"/>
      <c r="P2995" s="385" t="str">
        <f>IFERROR(
    IF(
        OR(ISBLANK(I2995), ISBLANK(L2995)),
        "",
        MAX(
            1,
            IF(
                NETWORKDAYS(I2995, L2995, Holiday_Dates) &lt;= 0,
                1,
                NETWORKDAYS(I2995, L2995, Holiday_Dates) - IF(I2995 = L2995, 0, 1)
            )
        )
    ),
    ""
)</f>
        <v/>
      </c>
      <c r="Q2995" s="385" t="str">
        <f>IF(
    OR(ISBLANK(L2995), ISBLANK(M2995)),
    "",
    MAX(
        1,
        IF(
            NETWORKDAYS(L2995, M2995, Holiday_Dates) &lt;= 0,
            1,
            NETWORKDAYS(L2995, M2995, Holiday_Dates) - IF(L2995 = M2995, 0, 1)
        )
    )
)</f>
        <v/>
      </c>
      <c r="R2995" s="385" t="str">
        <f>IFERROR(
    IF(
        OR(ISBLANK(N2995), AND(ISBLANK(L2995), ISBLANK(M2995))),
        "",
        MAX(
            1,
            IF(
                NETWORKDAYS(IF(NOT(ISBLANK(M2995)), M2995, L2995), N2995, Holiday_Dates) &lt;= 0,
                1,
                NETWORKDAYS(IF(NOT(ISBLANK(M2995)), M2995, L2995), N2995, Holiday_Dates)
                - IF(IF(NOT(ISBLANK(M2995)), M2995, L2995) = N2995, 0, 1)
            )
        )
    ),
    ""
)</f>
        <v/>
      </c>
      <c r="S2995" s="385" t="str">
        <f>IFERROR(
    IF(
        OR(ISBLANK(N2995), ISBLANK(O2995)),
        "",
        MAX(
            1,
            IF(
                NETWORKDAYS(N2995, O2995, Holiday_Dates) &lt;= 0,
                1,
                NETWORKDAYS(N2995, O2995, Holiday_Dates) - IF(N2995 = O2995, 0, 1)
            )
        )
    ),
    ""
)</f>
        <v/>
      </c>
      <c r="T2995" s="385"/>
      <c r="U2995" s="385" t="s">
        <v>672</v>
      </c>
      <c r="V2995" s="385" t="s">
        <v>1676</v>
      </c>
      <c r="W2995" s="385" t="s">
        <v>1436</v>
      </c>
      <c r="X2995" s="1"/>
    </row>
    <row r="2996" spans="1:24">
      <c r="A2996" s="385" t="s">
        <v>53</v>
      </c>
      <c r="B2996" s="385" t="s">
        <v>733</v>
      </c>
      <c r="C2996" s="385" t="s">
        <v>4454</v>
      </c>
      <c r="D2996" s="385" t="s">
        <v>89</v>
      </c>
      <c r="E2996" s="385"/>
      <c r="F2996" s="385"/>
      <c r="G2996" s="385"/>
      <c r="H2996" s="385">
        <v>2025</v>
      </c>
      <c r="I2996" s="386">
        <v>45699</v>
      </c>
      <c r="J2996" s="30" t="s">
        <v>5837</v>
      </c>
      <c r="K2996" s="385"/>
      <c r="L2996" s="385"/>
      <c r="M2996" s="385"/>
      <c r="N2996" s="385"/>
      <c r="O2996" s="385"/>
      <c r="P2996" s="385" t="str">
        <f>IFERROR(
    IF(
        OR(ISBLANK(I2996), ISBLANK(L2996)),
        "",
        MAX(
            1,
            IF(
                NETWORKDAYS(I2996, L2996, Holiday_Dates) &lt;= 0,
                1,
                NETWORKDAYS(I2996, L2996, Holiday_Dates) - IF(I2996 = L2996, 0, 1)
            )
        )
    ),
    ""
)</f>
        <v/>
      </c>
      <c r="Q2996" s="385" t="str">
        <f>IF(
    OR(ISBLANK(L2996), ISBLANK(M2996)),
    "",
    MAX(
        1,
        IF(
            NETWORKDAYS(L2996, M2996, Holiday_Dates) &lt;= 0,
            1,
            NETWORKDAYS(L2996, M2996, Holiday_Dates) - IF(L2996 = M2996, 0, 1)
        )
    )
)</f>
        <v/>
      </c>
      <c r="R2996" s="385" t="str">
        <f>IFERROR(
    IF(
        OR(ISBLANK(N2996), AND(ISBLANK(L2996), ISBLANK(M2996))),
        "",
        MAX(
            1,
            IF(
                NETWORKDAYS(IF(NOT(ISBLANK(M2996)), M2996, L2996), N2996, Holiday_Dates) &lt;= 0,
                1,
                NETWORKDAYS(IF(NOT(ISBLANK(M2996)), M2996, L2996), N2996, Holiday_Dates)
                - IF(IF(NOT(ISBLANK(M2996)), M2996, L2996) = N2996, 0, 1)
            )
        )
    ),
    ""
)</f>
        <v/>
      </c>
      <c r="S2996" s="385" t="str">
        <f>IFERROR(
    IF(
        OR(ISBLANK(N2996), ISBLANK(O2996)),
        "",
        MAX(
            1,
            IF(
                NETWORKDAYS(N2996, O2996, Holiday_Dates) &lt;= 0,
                1,
                NETWORKDAYS(N2996, O2996, Holiday_Dates) - IF(N2996 = O2996, 0, 1)
            )
        )
    ),
    ""
)</f>
        <v/>
      </c>
      <c r="T2996" s="385"/>
      <c r="U2996" s="385" t="s">
        <v>672</v>
      </c>
      <c r="V2996" s="385" t="s">
        <v>101</v>
      </c>
      <c r="W2996" s="385" t="s">
        <v>1436</v>
      </c>
      <c r="X2996" s="1"/>
    </row>
    <row r="2997" spans="1:24">
      <c r="A2997" s="385" t="s">
        <v>53</v>
      </c>
      <c r="B2997" s="385" t="s">
        <v>733</v>
      </c>
      <c r="C2997" s="385" t="s">
        <v>4455</v>
      </c>
      <c r="D2997" s="385" t="s">
        <v>89</v>
      </c>
      <c r="E2997" s="385"/>
      <c r="F2997" s="385"/>
      <c r="G2997" s="385"/>
      <c r="H2997" s="385">
        <v>2024</v>
      </c>
      <c r="I2997" s="386">
        <v>45447</v>
      </c>
      <c r="J2997" s="30"/>
      <c r="K2997" s="385"/>
      <c r="L2997" s="385"/>
      <c r="M2997" s="385"/>
      <c r="N2997" s="385"/>
      <c r="O2997" s="385"/>
      <c r="P2997" s="385" t="str">
        <f>IFERROR(
    IF(
        OR(ISBLANK(I2997), ISBLANK(L2997)),
        "",
        MAX(
            1,
            IF(
                NETWORKDAYS(I2997, L2997, Holiday_Dates) &lt;= 0,
                1,
                NETWORKDAYS(I2997, L2997, Holiday_Dates) - IF(I2997 = L2997, 0, 1)
            )
        )
    ),
    ""
)</f>
        <v/>
      </c>
      <c r="Q2997" s="385" t="str">
        <f>IF(
    OR(ISBLANK(L2997), ISBLANK(M2997)),
    "",
    MAX(
        1,
        IF(
            NETWORKDAYS(L2997, M2997, Holiday_Dates) &lt;= 0,
            1,
            NETWORKDAYS(L2997, M2997, Holiday_Dates) - IF(L2997 = M2997, 0, 1)
        )
    )
)</f>
        <v/>
      </c>
      <c r="R2997" s="385" t="str">
        <f>IFERROR(
    IF(
        OR(ISBLANK(N2997), AND(ISBLANK(L2997), ISBLANK(M2997))),
        "",
        MAX(
            1,
            IF(
                NETWORKDAYS(IF(NOT(ISBLANK(M2997)), M2997, L2997), N2997, Holiday_Dates) &lt;= 0,
                1,
                NETWORKDAYS(IF(NOT(ISBLANK(M2997)), M2997, L2997), N2997, Holiday_Dates)
                - IF(IF(NOT(ISBLANK(M2997)), M2997, L2997) = N2997, 0, 1)
            )
        )
    ),
    ""
)</f>
        <v/>
      </c>
      <c r="S2997" s="385" t="str">
        <f>IFERROR(
    IF(
        OR(ISBLANK(N2997), ISBLANK(O2997)),
        "",
        MAX(
            1,
            IF(
                NETWORKDAYS(N2997, O2997, Holiday_Dates) &lt;= 0,
                1,
                NETWORKDAYS(N2997, O2997, Holiday_Dates) - IF(N2997 = O2997, 0, 1)
            )
        )
    ),
    ""
)</f>
        <v/>
      </c>
      <c r="T2997" s="385"/>
      <c r="U2997" s="385" t="s">
        <v>672</v>
      </c>
      <c r="V2997" s="385" t="s">
        <v>108</v>
      </c>
      <c r="W2997" s="385" t="s">
        <v>1436</v>
      </c>
      <c r="X2997" s="1"/>
    </row>
    <row r="2998" spans="1:24">
      <c r="A2998" s="385" t="s">
        <v>53</v>
      </c>
      <c r="B2998" s="385" t="s">
        <v>242</v>
      </c>
      <c r="C2998" s="385" t="s">
        <v>4427</v>
      </c>
      <c r="D2998" s="385" t="s">
        <v>89</v>
      </c>
      <c r="E2998" s="385" t="s">
        <v>246</v>
      </c>
      <c r="F2998" s="385"/>
      <c r="G2998" s="385" t="s">
        <v>133</v>
      </c>
      <c r="H2998" s="385"/>
      <c r="I2998" s="385"/>
      <c r="J2998" s="30"/>
      <c r="K2998" s="385"/>
      <c r="L2998" s="385"/>
      <c r="M2998" s="385"/>
      <c r="N2998" s="385"/>
      <c r="O2998" s="385"/>
      <c r="P2998" s="385" t="str">
        <f>IFERROR(
    IF(
        OR(ISBLANK(I2998), ISBLANK(L2998)),
        "",
        MAX(
            1,
            IF(
                NETWORKDAYS(I2998, L2998, Holiday_Dates) &lt;= 0,
                1,
                NETWORKDAYS(I2998, L2998, Holiday_Dates) - IF(I2998 = L2998, 0, 1)
            )
        )
    ),
    ""
)</f>
        <v/>
      </c>
      <c r="Q2998" s="385" t="str">
        <f>IF(
    OR(ISBLANK(L2998), ISBLANK(M2998)),
    "",
    MAX(
        1,
        IF(
            NETWORKDAYS(L2998, M2998, Holiday_Dates) &lt;= 0,
            1,
            NETWORKDAYS(L2998, M2998, Holiday_Dates) - IF(L2998 = M2998, 0, 1)
        )
    )
)</f>
        <v/>
      </c>
      <c r="R2998" s="385" t="str">
        <f>IFERROR(
    IF(
        OR(ISBLANK(N2998), AND(ISBLANK(L2998), ISBLANK(M2998))),
        "",
        MAX(
            1,
            IF(
                NETWORKDAYS(IF(NOT(ISBLANK(M2998)), M2998, L2998), N2998, Holiday_Dates) &lt;= 0,
                1,
                NETWORKDAYS(IF(NOT(ISBLANK(M2998)), M2998, L2998), N2998, Holiday_Dates)
                - IF(IF(NOT(ISBLANK(M2998)), M2998, L2998) = N2998, 0, 1)
            )
        )
    ),
    ""
)</f>
        <v/>
      </c>
      <c r="S2998" s="385" t="str">
        <f>IFERROR(
    IF(
        OR(ISBLANK(N2998), ISBLANK(O2998)),
        "",
        MAX(
            1,
            IF(
                NETWORKDAYS(N2998, O2998, Holiday_Dates) &lt;= 0,
                1,
                NETWORKDAYS(N2998, O2998, Holiday_Dates) - IF(N2998 = O2998, 0, 1)
            )
        )
    ),
    ""
)</f>
        <v/>
      </c>
      <c r="T2998" s="385"/>
      <c r="U2998" s="385"/>
      <c r="V2998" s="385"/>
      <c r="W2998" s="385" t="s">
        <v>4710</v>
      </c>
      <c r="X2998" s="1"/>
    </row>
    <row r="2999" spans="1:24">
      <c r="A2999" s="385" t="s">
        <v>53</v>
      </c>
      <c r="B2999" s="385" t="s">
        <v>733</v>
      </c>
      <c r="C2999" s="385" t="s">
        <v>4459</v>
      </c>
      <c r="D2999" s="385" t="s">
        <v>89</v>
      </c>
      <c r="E2999" s="385"/>
      <c r="F2999" s="385"/>
      <c r="G2999" s="385"/>
      <c r="H2999" s="385">
        <v>2024</v>
      </c>
      <c r="I2999" s="386">
        <v>45539</v>
      </c>
      <c r="J2999" s="30"/>
      <c r="K2999" s="385"/>
      <c r="L2999" s="385"/>
      <c r="M2999" s="385"/>
      <c r="N2999" s="385"/>
      <c r="O2999" s="385"/>
      <c r="P2999" s="385" t="str">
        <f>IFERROR(
    IF(
        OR(ISBLANK(I2999), ISBLANK(L2999)),
        "",
        MAX(
            1,
            IF(
                NETWORKDAYS(I2999, L2999, Holiday_Dates) &lt;= 0,
                1,
                NETWORKDAYS(I2999, L2999, Holiday_Dates) - IF(I2999 = L2999, 0, 1)
            )
        )
    ),
    ""
)</f>
        <v/>
      </c>
      <c r="Q2999" s="385" t="str">
        <f>IF(
    OR(ISBLANK(L2999), ISBLANK(M2999)),
    "",
    MAX(
        1,
        IF(
            NETWORKDAYS(L2999, M2999, Holiday_Dates) &lt;= 0,
            1,
            NETWORKDAYS(L2999, M2999, Holiday_Dates) - IF(L2999 = M2999, 0, 1)
        )
    )
)</f>
        <v/>
      </c>
      <c r="R2999" s="385" t="str">
        <f>IFERROR(
    IF(
        OR(ISBLANK(N2999), AND(ISBLANK(L2999), ISBLANK(M2999))),
        "",
        MAX(
            1,
            IF(
                NETWORKDAYS(IF(NOT(ISBLANK(M2999)), M2999, L2999), N2999, Holiday_Dates) &lt;= 0,
                1,
                NETWORKDAYS(IF(NOT(ISBLANK(M2999)), M2999, L2999), N2999, Holiday_Dates)
                - IF(IF(NOT(ISBLANK(M2999)), M2999, L2999) = N2999, 0, 1)
            )
        )
    ),
    ""
)</f>
        <v/>
      </c>
      <c r="S2999" s="385" t="str">
        <f>IFERROR(
    IF(
        OR(ISBLANK(N2999), ISBLANK(O2999)),
        "",
        MAX(
            1,
            IF(
                NETWORKDAYS(N2999, O2999, Holiday_Dates) &lt;= 0,
                1,
                NETWORKDAYS(N2999, O2999, Holiday_Dates) - IF(N2999 = O2999, 0, 1)
            )
        )
    ),
    ""
)</f>
        <v/>
      </c>
      <c r="T2999" s="385"/>
      <c r="U2999" s="385" t="s">
        <v>672</v>
      </c>
      <c r="V2999" s="385" t="s">
        <v>101</v>
      </c>
      <c r="W2999" s="385" t="s">
        <v>1436</v>
      </c>
      <c r="X2999" s="1"/>
    </row>
    <row r="3000" spans="1:24">
      <c r="A3000" s="385" t="s">
        <v>53</v>
      </c>
      <c r="B3000" s="385" t="s">
        <v>733</v>
      </c>
      <c r="C3000" s="385" t="s">
        <v>734</v>
      </c>
      <c r="D3000" s="385" t="s">
        <v>89</v>
      </c>
      <c r="E3000" s="385"/>
      <c r="F3000" s="385"/>
      <c r="G3000" s="385"/>
      <c r="H3000" s="385">
        <v>2024</v>
      </c>
      <c r="I3000" s="386">
        <v>45539</v>
      </c>
      <c r="J3000" s="30"/>
      <c r="K3000" s="385"/>
      <c r="L3000" s="385"/>
      <c r="M3000" s="385"/>
      <c r="N3000" s="385"/>
      <c r="O3000" s="385"/>
      <c r="P3000" s="385" t="str">
        <f>IFERROR(
    IF(
        OR(ISBLANK(I3000), ISBLANK(L3000)),
        "",
        MAX(
            1,
            IF(
                NETWORKDAYS(I3000, L3000, Holiday_Dates) &lt;= 0,
                1,
                NETWORKDAYS(I3000, L3000, Holiday_Dates) - IF(I3000 = L3000, 0, 1)
            )
        )
    ),
    ""
)</f>
        <v/>
      </c>
      <c r="Q3000" s="385" t="str">
        <f>IF(
    OR(ISBLANK(L3000), ISBLANK(M3000)),
    "",
    MAX(
        1,
        IF(
            NETWORKDAYS(L3000, M3000, Holiday_Dates) &lt;= 0,
            1,
            NETWORKDAYS(L3000, M3000, Holiday_Dates) - IF(L3000 = M3000, 0, 1)
        )
    )
)</f>
        <v/>
      </c>
      <c r="R3000" s="385" t="str">
        <f>IFERROR(
    IF(
        OR(ISBLANK(N3000), AND(ISBLANK(L3000), ISBLANK(M3000))),
        "",
        MAX(
            1,
            IF(
                NETWORKDAYS(IF(NOT(ISBLANK(M3000)), M3000, L3000), N3000, Holiday_Dates) &lt;= 0,
                1,
                NETWORKDAYS(IF(NOT(ISBLANK(M3000)), M3000, L3000), N3000, Holiday_Dates)
                - IF(IF(NOT(ISBLANK(M3000)), M3000, L3000) = N3000, 0, 1)
            )
        )
    ),
    ""
)</f>
        <v/>
      </c>
      <c r="S3000" s="385" t="str">
        <f>IFERROR(
    IF(
        OR(ISBLANK(N3000), ISBLANK(O3000)),
        "",
        MAX(
            1,
            IF(
                NETWORKDAYS(N3000, O3000, Holiday_Dates) &lt;= 0,
                1,
                NETWORKDAYS(N3000, O3000, Holiday_Dates) - IF(N3000 = O3000, 0, 1)
            )
        )
    ),
    ""
)</f>
        <v/>
      </c>
      <c r="T3000" s="385"/>
      <c r="U3000" s="385" t="s">
        <v>672</v>
      </c>
      <c r="V3000" s="385" t="s">
        <v>101</v>
      </c>
      <c r="W3000" s="385" t="s">
        <v>1436</v>
      </c>
      <c r="X3000" s="1"/>
    </row>
    <row r="3001" spans="1:24">
      <c r="A3001" s="385" t="s">
        <v>53</v>
      </c>
      <c r="B3001" s="385" t="s">
        <v>733</v>
      </c>
      <c r="C3001" s="385" t="s">
        <v>764</v>
      </c>
      <c r="D3001" s="385" t="s">
        <v>89</v>
      </c>
      <c r="E3001" s="385"/>
      <c r="F3001" s="385"/>
      <c r="G3001" s="385"/>
      <c r="H3001" s="385">
        <v>2024</v>
      </c>
      <c r="I3001" s="386">
        <v>45539</v>
      </c>
      <c r="J3001" s="30"/>
      <c r="K3001" s="385"/>
      <c r="L3001" s="385"/>
      <c r="M3001" s="385"/>
      <c r="N3001" s="385"/>
      <c r="O3001" s="385"/>
      <c r="P3001" s="385" t="str">
        <f>IFERROR(
    IF(
        OR(ISBLANK(I3001), ISBLANK(L3001)),
        "",
        MAX(
            1,
            IF(
                NETWORKDAYS(I3001, L3001, Holiday_Dates) &lt;= 0,
                1,
                NETWORKDAYS(I3001, L3001, Holiday_Dates) - IF(I3001 = L3001, 0, 1)
            )
        )
    ),
    ""
)</f>
        <v/>
      </c>
      <c r="Q3001" s="385" t="str">
        <f>IF(
    OR(ISBLANK(L3001), ISBLANK(M3001)),
    "",
    MAX(
        1,
        IF(
            NETWORKDAYS(L3001, M3001, Holiday_Dates) &lt;= 0,
            1,
            NETWORKDAYS(L3001, M3001, Holiday_Dates) - IF(L3001 = M3001, 0, 1)
        )
    )
)</f>
        <v/>
      </c>
      <c r="R3001" s="385" t="str">
        <f>IFERROR(
    IF(
        OR(ISBLANK(N3001), AND(ISBLANK(L3001), ISBLANK(M3001))),
        "",
        MAX(
            1,
            IF(
                NETWORKDAYS(IF(NOT(ISBLANK(M3001)), M3001, L3001), N3001, Holiday_Dates) &lt;= 0,
                1,
                NETWORKDAYS(IF(NOT(ISBLANK(M3001)), M3001, L3001), N3001, Holiday_Dates)
                - IF(IF(NOT(ISBLANK(M3001)), M3001, L3001) = N3001, 0, 1)
            )
        )
    ),
    ""
)</f>
        <v/>
      </c>
      <c r="S3001" s="385" t="str">
        <f>IFERROR(
    IF(
        OR(ISBLANK(N3001), ISBLANK(O3001)),
        "",
        MAX(
            1,
            IF(
                NETWORKDAYS(N3001, O3001, Holiday_Dates) &lt;= 0,
                1,
                NETWORKDAYS(N3001, O3001, Holiday_Dates) - IF(N3001 = O3001, 0, 1)
            )
        )
    ),
    ""
)</f>
        <v/>
      </c>
      <c r="T3001" s="385"/>
      <c r="U3001" s="385" t="s">
        <v>672</v>
      </c>
      <c r="V3001" s="385" t="s">
        <v>101</v>
      </c>
      <c r="W3001" s="385" t="s">
        <v>1436</v>
      </c>
      <c r="X3001" s="1"/>
    </row>
    <row r="3002" spans="1:24">
      <c r="A3002" s="385" t="s">
        <v>53</v>
      </c>
      <c r="B3002" s="385" t="s">
        <v>733</v>
      </c>
      <c r="C3002" s="385" t="s">
        <v>1879</v>
      </c>
      <c r="D3002" s="385" t="s">
        <v>89</v>
      </c>
      <c r="E3002" s="385"/>
      <c r="F3002" s="385"/>
      <c r="G3002" s="385"/>
      <c r="H3002" s="385">
        <v>2025</v>
      </c>
      <c r="I3002" s="386">
        <v>45699</v>
      </c>
      <c r="J3002" s="30" t="s">
        <v>5838</v>
      </c>
      <c r="K3002" s="385"/>
      <c r="L3002" s="385"/>
      <c r="M3002" s="385"/>
      <c r="N3002" s="385"/>
      <c r="O3002" s="385"/>
      <c r="P3002" s="385" t="str">
        <f>IFERROR(
    IF(
        OR(ISBLANK(I3002), ISBLANK(L3002)),
        "",
        MAX(
            1,
            IF(
                NETWORKDAYS(I3002, L3002, Holiday_Dates) &lt;= 0,
                1,
                NETWORKDAYS(I3002, L3002, Holiday_Dates) - IF(I3002 = L3002, 0, 1)
            )
        )
    ),
    ""
)</f>
        <v/>
      </c>
      <c r="Q3002" s="385" t="str">
        <f>IF(
    OR(ISBLANK(L3002), ISBLANK(M3002)),
    "",
    MAX(
        1,
        IF(
            NETWORKDAYS(L3002, M3002, Holiday_Dates) &lt;= 0,
            1,
            NETWORKDAYS(L3002, M3002, Holiday_Dates) - IF(L3002 = M3002, 0, 1)
        )
    )
)</f>
        <v/>
      </c>
      <c r="R3002" s="385" t="str">
        <f>IFERROR(
    IF(
        OR(ISBLANK(N3002), AND(ISBLANK(L3002), ISBLANK(M3002))),
        "",
        MAX(
            1,
            IF(
                NETWORKDAYS(IF(NOT(ISBLANK(M3002)), M3002, L3002), N3002, Holiday_Dates) &lt;= 0,
                1,
                NETWORKDAYS(IF(NOT(ISBLANK(M3002)), M3002, L3002), N3002, Holiday_Dates)
                - IF(IF(NOT(ISBLANK(M3002)), M3002, L3002) = N3002, 0, 1)
            )
        )
    ),
    ""
)</f>
        <v/>
      </c>
      <c r="S3002" s="385" t="str">
        <f>IFERROR(
    IF(
        OR(ISBLANK(N3002), ISBLANK(O3002)),
        "",
        MAX(
            1,
            IF(
                NETWORKDAYS(N3002, O3002, Holiday_Dates) &lt;= 0,
                1,
                NETWORKDAYS(N3002, O3002, Holiday_Dates) - IF(N3002 = O3002, 0, 1)
            )
        )
    ),
    ""
)</f>
        <v/>
      </c>
      <c r="T3002" s="385"/>
      <c r="U3002" s="385" t="s">
        <v>672</v>
      </c>
      <c r="V3002" s="385" t="s">
        <v>1676</v>
      </c>
      <c r="W3002" s="385" t="s">
        <v>1436</v>
      </c>
      <c r="X3002" s="1"/>
    </row>
    <row r="3003" spans="1:24">
      <c r="A3003" s="385" t="s">
        <v>53</v>
      </c>
      <c r="B3003" s="385" t="s">
        <v>733</v>
      </c>
      <c r="C3003" s="385" t="s">
        <v>1658</v>
      </c>
      <c r="D3003" s="385" t="s">
        <v>89</v>
      </c>
      <c r="E3003" s="385"/>
      <c r="F3003" s="385"/>
      <c r="G3003" s="385"/>
      <c r="H3003" s="385">
        <v>2024</v>
      </c>
      <c r="I3003" s="386">
        <v>45447</v>
      </c>
      <c r="J3003" s="30"/>
      <c r="K3003" s="385"/>
      <c r="L3003" s="385"/>
      <c r="M3003" s="385"/>
      <c r="N3003" s="385"/>
      <c r="O3003" s="385"/>
      <c r="P3003" s="385" t="str">
        <f>IFERROR(
    IF(
        OR(ISBLANK(I3003), ISBLANK(L3003)),
        "",
        MAX(
            1,
            IF(
                NETWORKDAYS(I3003, L3003, Holiday_Dates) &lt;= 0,
                1,
                NETWORKDAYS(I3003, L3003, Holiday_Dates) - IF(I3003 = L3003, 0, 1)
            )
        )
    ),
    ""
)</f>
        <v/>
      </c>
      <c r="Q3003" s="385" t="str">
        <f>IF(
    OR(ISBLANK(L3003), ISBLANK(M3003)),
    "",
    MAX(
        1,
        IF(
            NETWORKDAYS(L3003, M3003, Holiday_Dates) &lt;= 0,
            1,
            NETWORKDAYS(L3003, M3003, Holiday_Dates) - IF(L3003 = M3003, 0, 1)
        )
    )
)</f>
        <v/>
      </c>
      <c r="R3003" s="385" t="str">
        <f>IFERROR(
    IF(
        OR(ISBLANK(N3003), AND(ISBLANK(L3003), ISBLANK(M3003))),
        "",
        MAX(
            1,
            IF(
                NETWORKDAYS(IF(NOT(ISBLANK(M3003)), M3003, L3003), N3003, Holiday_Dates) &lt;= 0,
                1,
                NETWORKDAYS(IF(NOT(ISBLANK(M3003)), M3003, L3003), N3003, Holiday_Dates)
                - IF(IF(NOT(ISBLANK(M3003)), M3003, L3003) = N3003, 0, 1)
            )
        )
    ),
    ""
)</f>
        <v/>
      </c>
      <c r="S3003" s="385" t="str">
        <f>IFERROR(
    IF(
        OR(ISBLANK(N3003), ISBLANK(O3003)),
        "",
        MAX(
            1,
            IF(
                NETWORKDAYS(N3003, O3003, Holiday_Dates) &lt;= 0,
                1,
                NETWORKDAYS(N3003, O3003, Holiday_Dates) - IF(N3003 = O3003, 0, 1)
            )
        )
    ),
    ""
)</f>
        <v/>
      </c>
      <c r="T3003" s="385"/>
      <c r="U3003" s="385" t="s">
        <v>4</v>
      </c>
      <c r="V3003" s="385" t="s">
        <v>108</v>
      </c>
      <c r="W3003" s="385" t="s">
        <v>1436</v>
      </c>
      <c r="X3003" s="1"/>
    </row>
    <row r="3004" spans="1:24">
      <c r="A3004" s="385" t="s">
        <v>53</v>
      </c>
      <c r="B3004" s="385" t="s">
        <v>733</v>
      </c>
      <c r="C3004" s="385" t="s">
        <v>5839</v>
      </c>
      <c r="D3004" s="385" t="s">
        <v>89</v>
      </c>
      <c r="E3004" s="385"/>
      <c r="F3004" s="385"/>
      <c r="G3004" s="385"/>
      <c r="H3004" s="385">
        <v>2025</v>
      </c>
      <c r="I3004" s="386">
        <v>45720</v>
      </c>
      <c r="J3004" s="30" t="s">
        <v>5840</v>
      </c>
      <c r="K3004" s="385"/>
      <c r="L3004" s="385"/>
      <c r="M3004" s="385"/>
      <c r="N3004" s="385"/>
      <c r="O3004" s="385"/>
      <c r="P3004" s="385" t="str">
        <f>IFERROR(
    IF(
        OR(ISBLANK(I3004), ISBLANK(L3004)),
        "",
        MAX(
            1,
            IF(
                NETWORKDAYS(I3004, L3004, Holiday_Dates) &lt;= 0,
                1,
                NETWORKDAYS(I3004, L3004, Holiday_Dates) - IF(I3004 = L3004, 0, 1)
            )
        )
    ),
    ""
)</f>
        <v/>
      </c>
      <c r="Q3004" s="385" t="str">
        <f>IF(
    OR(ISBLANK(L3004), ISBLANK(M3004)),
    "",
    MAX(
        1,
        IF(
            NETWORKDAYS(L3004, M3004, Holiday_Dates) &lt;= 0,
            1,
            NETWORKDAYS(L3004, M3004, Holiday_Dates) - IF(L3004 = M3004, 0, 1)
        )
    )
)</f>
        <v/>
      </c>
      <c r="R3004" s="385" t="str">
        <f>IFERROR(
    IF(
        OR(ISBLANK(N3004), AND(ISBLANK(L3004), ISBLANK(M3004))),
        "",
        MAX(
            1,
            IF(
                NETWORKDAYS(IF(NOT(ISBLANK(M3004)), M3004, L3004), N3004, Holiday_Dates) &lt;= 0,
                1,
                NETWORKDAYS(IF(NOT(ISBLANK(M3004)), M3004, L3004), N3004, Holiday_Dates)
                - IF(IF(NOT(ISBLANK(M3004)), M3004, L3004) = N3004, 0, 1)
            )
        )
    ),
    ""
)</f>
        <v/>
      </c>
      <c r="S3004" s="385" t="str">
        <f>IFERROR(
    IF(
        OR(ISBLANK(N3004), ISBLANK(O3004)),
        "",
        MAX(
            1,
            IF(
                NETWORKDAYS(N3004, O3004, Holiday_Dates) &lt;= 0,
                1,
                NETWORKDAYS(N3004, O3004, Holiday_Dates) - IF(N3004 = O3004, 0, 1)
            )
        )
    ),
    ""
)</f>
        <v/>
      </c>
      <c r="T3004" s="385"/>
      <c r="U3004" s="385" t="s">
        <v>672</v>
      </c>
      <c r="V3004" s="385" t="s">
        <v>108</v>
      </c>
      <c r="W3004" s="385" t="s">
        <v>1436</v>
      </c>
      <c r="X3004" s="1"/>
    </row>
    <row r="3005" spans="1:24">
      <c r="A3005" s="385" t="s">
        <v>53</v>
      </c>
      <c r="B3005" s="385" t="s">
        <v>733</v>
      </c>
      <c r="C3005" s="385" t="s">
        <v>3203</v>
      </c>
      <c r="D3005" s="385" t="s">
        <v>89</v>
      </c>
      <c r="E3005" s="385"/>
      <c r="F3005" s="385"/>
      <c r="G3005" s="385"/>
      <c r="H3005" s="385">
        <v>2024</v>
      </c>
      <c r="I3005" s="386">
        <v>45616</v>
      </c>
      <c r="J3005" s="30"/>
      <c r="K3005" s="385"/>
      <c r="L3005" s="385"/>
      <c r="M3005" s="385"/>
      <c r="N3005" s="385"/>
      <c r="O3005" s="385"/>
      <c r="P3005" s="385" t="str">
        <f>IFERROR(
    IF(
        OR(ISBLANK(I3005), ISBLANK(L3005)),
        "",
        MAX(
            1,
            IF(
                NETWORKDAYS(I3005, L3005, Holiday_Dates) &lt;= 0,
                1,
                NETWORKDAYS(I3005, L3005, Holiday_Dates) - IF(I3005 = L3005, 0, 1)
            )
        )
    ),
    ""
)</f>
        <v/>
      </c>
      <c r="Q3005" s="385" t="str">
        <f>IF(
    OR(ISBLANK(L3005), ISBLANK(M3005)),
    "",
    MAX(
        1,
        IF(
            NETWORKDAYS(L3005, M3005, Holiday_Dates) &lt;= 0,
            1,
            NETWORKDAYS(L3005, M3005, Holiday_Dates) - IF(L3005 = M3005, 0, 1)
        )
    )
)</f>
        <v/>
      </c>
      <c r="R3005" s="385" t="str">
        <f>IFERROR(
    IF(
        OR(ISBLANK(N3005), AND(ISBLANK(L3005), ISBLANK(M3005))),
        "",
        MAX(
            1,
            IF(
                NETWORKDAYS(IF(NOT(ISBLANK(M3005)), M3005, L3005), N3005, Holiday_Dates) &lt;= 0,
                1,
                NETWORKDAYS(IF(NOT(ISBLANK(M3005)), M3005, L3005), N3005, Holiday_Dates)
                - IF(IF(NOT(ISBLANK(M3005)), M3005, L3005) = N3005, 0, 1)
            )
        )
    ),
    ""
)</f>
        <v/>
      </c>
      <c r="S3005" s="385" t="str">
        <f>IFERROR(
    IF(
        OR(ISBLANK(N3005), ISBLANK(O3005)),
        "",
        MAX(
            1,
            IF(
                NETWORKDAYS(N3005, O3005, Holiday_Dates) &lt;= 0,
                1,
                NETWORKDAYS(N3005, O3005, Holiday_Dates) - IF(N3005 = O3005, 0, 1)
            )
        )
    ),
    ""
)</f>
        <v/>
      </c>
      <c r="T3005" s="385"/>
      <c r="U3005" s="385" t="s">
        <v>672</v>
      </c>
      <c r="V3005" s="385" t="s">
        <v>1676</v>
      </c>
      <c r="W3005" s="385" t="s">
        <v>1436</v>
      </c>
      <c r="X3005" s="1"/>
    </row>
    <row r="3006" spans="1:24">
      <c r="A3006" s="385" t="s">
        <v>53</v>
      </c>
      <c r="B3006" s="385" t="s">
        <v>548</v>
      </c>
      <c r="C3006" s="385" t="s">
        <v>4468</v>
      </c>
      <c r="D3006" s="385" t="s">
        <v>89</v>
      </c>
      <c r="E3006" s="385"/>
      <c r="F3006" s="385"/>
      <c r="G3006" s="385"/>
      <c r="H3006" s="385">
        <v>2025</v>
      </c>
      <c r="I3006" s="386">
        <v>45855</v>
      </c>
      <c r="J3006" s="30" t="s">
        <v>5841</v>
      </c>
      <c r="K3006" s="385"/>
      <c r="L3006" s="385"/>
      <c r="M3006" s="385"/>
      <c r="N3006" s="385"/>
      <c r="O3006" s="385"/>
      <c r="P3006" s="385" t="str">
        <f>IFERROR(
    IF(
        OR(ISBLANK(I3006), ISBLANK(L3006)),
        "",
        MAX(
            1,
            IF(
                NETWORKDAYS(I3006, L3006, Holiday_Dates) &lt;= 0,
                1,
                NETWORKDAYS(I3006, L3006, Holiday_Dates) - IF(I3006 = L3006, 0, 1)
            )
        )
    ),
    ""
)</f>
        <v/>
      </c>
      <c r="Q3006" s="385" t="str">
        <f>IF(
    OR(ISBLANK(L3006), ISBLANK(M3006)),
    "",
    MAX(
        1,
        IF(
            NETWORKDAYS(L3006, M3006, Holiday_Dates) &lt;= 0,
            1,
            NETWORKDAYS(L3006, M3006, Holiday_Dates) - IF(L3006 = M3006, 0, 1)
        )
    )
)</f>
        <v/>
      </c>
      <c r="R3006" s="385" t="str">
        <f>IFERROR(
    IF(
        OR(ISBLANK(N3006), AND(ISBLANK(L3006), ISBLANK(M3006))),
        "",
        MAX(
            1,
            IF(
                NETWORKDAYS(IF(NOT(ISBLANK(M3006)), M3006, L3006), N3006, Holiday_Dates) &lt;= 0,
                1,
                NETWORKDAYS(IF(NOT(ISBLANK(M3006)), M3006, L3006), N3006, Holiday_Dates)
                - IF(IF(NOT(ISBLANK(M3006)), M3006, L3006) = N3006, 0, 1)
            )
        )
    ),
    ""
)</f>
        <v/>
      </c>
      <c r="S3006" s="385" t="str">
        <f>IFERROR(
    IF(
        OR(ISBLANK(N3006), ISBLANK(O3006)),
        "",
        MAX(
            1,
            IF(
                NETWORKDAYS(N3006, O3006, Holiday_Dates) &lt;= 0,
                1,
                NETWORKDAYS(N3006, O3006, Holiday_Dates) - IF(N3006 = O3006, 0, 1)
            )
        )
    ),
    ""
)</f>
        <v/>
      </c>
      <c r="T3006" s="385"/>
      <c r="U3006" s="385" t="s">
        <v>4</v>
      </c>
      <c r="V3006" s="385" t="s">
        <v>101</v>
      </c>
      <c r="W3006" s="385" t="s">
        <v>1436</v>
      </c>
      <c r="X3006" s="1"/>
    </row>
    <row r="3007" spans="1:24">
      <c r="A3007" s="385" t="s">
        <v>53</v>
      </c>
      <c r="B3007" s="385" t="s">
        <v>548</v>
      </c>
      <c r="C3007" s="385" t="s">
        <v>4469</v>
      </c>
      <c r="D3007" s="385" t="s">
        <v>89</v>
      </c>
      <c r="E3007" s="385"/>
      <c r="F3007" s="385"/>
      <c r="G3007" s="385"/>
      <c r="H3007" s="385">
        <v>2025</v>
      </c>
      <c r="I3007" s="386">
        <v>45855</v>
      </c>
      <c r="J3007" s="30" t="s">
        <v>5842</v>
      </c>
      <c r="K3007" s="385"/>
      <c r="L3007" s="385"/>
      <c r="M3007" s="385"/>
      <c r="N3007" s="385"/>
      <c r="O3007" s="385"/>
      <c r="P3007" s="385" t="str">
        <f>IFERROR(
    IF(
        OR(ISBLANK(I3007), ISBLANK(L3007)),
        "",
        MAX(
            1,
            IF(
                NETWORKDAYS(I3007, L3007, Holiday_Dates) &lt;= 0,
                1,
                NETWORKDAYS(I3007, L3007, Holiday_Dates) - IF(I3007 = L3007, 0, 1)
            )
        )
    ),
    ""
)</f>
        <v/>
      </c>
      <c r="Q3007" s="385" t="str">
        <f>IF(
    OR(ISBLANK(L3007), ISBLANK(M3007)),
    "",
    MAX(
        1,
        IF(
            NETWORKDAYS(L3007, M3007, Holiday_Dates) &lt;= 0,
            1,
            NETWORKDAYS(L3007, M3007, Holiday_Dates) - IF(L3007 = M3007, 0, 1)
        )
    )
)</f>
        <v/>
      </c>
      <c r="R3007" s="385" t="str">
        <f>IFERROR(
    IF(
        OR(ISBLANK(N3007), AND(ISBLANK(L3007), ISBLANK(M3007))),
        "",
        MAX(
            1,
            IF(
                NETWORKDAYS(IF(NOT(ISBLANK(M3007)), M3007, L3007), N3007, Holiday_Dates) &lt;= 0,
                1,
                NETWORKDAYS(IF(NOT(ISBLANK(M3007)), M3007, L3007), N3007, Holiday_Dates)
                - IF(IF(NOT(ISBLANK(M3007)), M3007, L3007) = N3007, 0, 1)
            )
        )
    ),
    ""
)</f>
        <v/>
      </c>
      <c r="S3007" s="385" t="str">
        <f>IFERROR(
    IF(
        OR(ISBLANK(N3007), ISBLANK(O3007)),
        "",
        MAX(
            1,
            IF(
                NETWORKDAYS(N3007, O3007, Holiday_Dates) &lt;= 0,
                1,
                NETWORKDAYS(N3007, O3007, Holiday_Dates) - IF(N3007 = O3007, 0, 1)
            )
        )
    ),
    ""
)</f>
        <v/>
      </c>
      <c r="T3007" s="385"/>
      <c r="U3007" s="385" t="s">
        <v>672</v>
      </c>
      <c r="V3007" s="385" t="s">
        <v>101</v>
      </c>
      <c r="W3007" s="385" t="s">
        <v>1436</v>
      </c>
      <c r="X3007" s="1"/>
    </row>
    <row r="3008" spans="1:24">
      <c r="A3008" s="385" t="s">
        <v>53</v>
      </c>
      <c r="B3008" s="385" t="s">
        <v>548</v>
      </c>
      <c r="C3008" s="385" t="s">
        <v>1817</v>
      </c>
      <c r="D3008" s="385" t="s">
        <v>89</v>
      </c>
      <c r="E3008" s="385"/>
      <c r="F3008" s="385"/>
      <c r="G3008" s="385"/>
      <c r="H3008" s="385">
        <v>2024</v>
      </c>
      <c r="I3008" s="386">
        <v>45569</v>
      </c>
      <c r="J3008" s="30"/>
      <c r="K3008" s="385"/>
      <c r="L3008" s="385"/>
      <c r="M3008" s="385"/>
      <c r="N3008" s="385"/>
      <c r="O3008" s="385"/>
      <c r="P3008" s="385" t="str">
        <f>IFERROR(
    IF(
        OR(ISBLANK(I3008), ISBLANK(L3008)),
        "",
        MAX(
            1,
            IF(
                NETWORKDAYS(I3008, L3008, Holiday_Dates) &lt;= 0,
                1,
                NETWORKDAYS(I3008, L3008, Holiday_Dates) - IF(I3008 = L3008, 0, 1)
            )
        )
    ),
    ""
)</f>
        <v/>
      </c>
      <c r="Q3008" s="385" t="str">
        <f>IF(
    OR(ISBLANK(L3008), ISBLANK(M3008)),
    "",
    MAX(
        1,
        IF(
            NETWORKDAYS(L3008, M3008, Holiday_Dates) &lt;= 0,
            1,
            NETWORKDAYS(L3008, M3008, Holiday_Dates) - IF(L3008 = M3008, 0, 1)
        )
    )
)</f>
        <v/>
      </c>
      <c r="R3008" s="385" t="str">
        <f>IFERROR(
    IF(
        OR(ISBLANK(N3008), AND(ISBLANK(L3008), ISBLANK(M3008))),
        "",
        MAX(
            1,
            IF(
                NETWORKDAYS(IF(NOT(ISBLANK(M3008)), M3008, L3008), N3008, Holiday_Dates) &lt;= 0,
                1,
                NETWORKDAYS(IF(NOT(ISBLANK(M3008)), M3008, L3008), N3008, Holiday_Dates)
                - IF(IF(NOT(ISBLANK(M3008)), M3008, L3008) = N3008, 0, 1)
            )
        )
    ),
    ""
)</f>
        <v/>
      </c>
      <c r="S3008" s="385" t="str">
        <f>IFERROR(
    IF(
        OR(ISBLANK(N3008), ISBLANK(O3008)),
        "",
        MAX(
            1,
            IF(
                NETWORKDAYS(N3008, O3008, Holiday_Dates) &lt;= 0,
                1,
                NETWORKDAYS(N3008, O3008, Holiday_Dates) - IF(N3008 = O3008, 0, 1)
            )
        )
    ),
    ""
)</f>
        <v/>
      </c>
      <c r="T3008" s="385"/>
      <c r="U3008" s="385" t="s">
        <v>4</v>
      </c>
      <c r="V3008" s="385" t="s">
        <v>101</v>
      </c>
      <c r="W3008" s="385" t="s">
        <v>1436</v>
      </c>
      <c r="X3008" s="1"/>
    </row>
    <row r="3009" spans="1:24">
      <c r="A3009" s="385" t="s">
        <v>53</v>
      </c>
      <c r="B3009" s="385" t="s">
        <v>548</v>
      </c>
      <c r="C3009" s="385" t="s">
        <v>4474</v>
      </c>
      <c r="D3009" s="385" t="s">
        <v>89</v>
      </c>
      <c r="E3009" s="385"/>
      <c r="F3009" s="385"/>
      <c r="G3009" s="385"/>
      <c r="H3009" s="30">
        <v>2025</v>
      </c>
      <c r="I3009" s="386">
        <v>45855</v>
      </c>
      <c r="J3009" s="30" t="s">
        <v>5843</v>
      </c>
      <c r="K3009" s="385"/>
      <c r="L3009" s="385"/>
      <c r="M3009" s="385"/>
      <c r="N3009" s="385"/>
      <c r="O3009" s="385"/>
      <c r="P3009" s="385" t="str">
        <f>IFERROR(
    IF(
        OR(ISBLANK(I3009), ISBLANK(L3009)),
        "",
        MAX(
            1,
            IF(
                NETWORKDAYS(I3009, L3009, Holiday_Dates) &lt;= 0,
                1,
                NETWORKDAYS(I3009, L3009, Holiday_Dates) - IF(I3009 = L3009, 0, 1)
            )
        )
    ),
    ""
)</f>
        <v/>
      </c>
      <c r="Q3009" s="385" t="str">
        <f>IF(
    OR(ISBLANK(L3009), ISBLANK(M3009)),
    "",
    MAX(
        1,
        IF(
            NETWORKDAYS(L3009, M3009, Holiday_Dates) &lt;= 0,
            1,
            NETWORKDAYS(L3009, M3009, Holiday_Dates) - IF(L3009 = M3009, 0, 1)
        )
    )
)</f>
        <v/>
      </c>
      <c r="R3009" s="385" t="str">
        <f>IFERROR(
    IF(
        OR(ISBLANK(N3009), AND(ISBLANK(L3009), ISBLANK(M3009))),
        "",
        MAX(
            1,
            IF(
                NETWORKDAYS(IF(NOT(ISBLANK(M3009)), M3009, L3009), N3009, Holiday_Dates) &lt;= 0,
                1,
                NETWORKDAYS(IF(NOT(ISBLANK(M3009)), M3009, L3009), N3009, Holiday_Dates)
                - IF(IF(NOT(ISBLANK(M3009)), M3009, L3009) = N3009, 0, 1)
            )
        )
    ),
    ""
)</f>
        <v/>
      </c>
      <c r="S3009" s="385" t="str">
        <f>IFERROR(
    IF(
        OR(ISBLANK(N3009), ISBLANK(O3009)),
        "",
        MAX(
            1,
            IF(
                NETWORKDAYS(N3009, O3009, Holiday_Dates) &lt;= 0,
                1,
                NETWORKDAYS(N3009, O3009, Holiday_Dates) - IF(N3009 = O3009, 0, 1)
            )
        )
    ),
    ""
)</f>
        <v/>
      </c>
      <c r="T3009" s="385"/>
      <c r="U3009" s="385" t="s">
        <v>4</v>
      </c>
      <c r="V3009" s="385" t="s">
        <v>101</v>
      </c>
      <c r="W3009" s="385" t="s">
        <v>1436</v>
      </c>
      <c r="X3009" s="1"/>
    </row>
    <row r="3010" spans="1:24">
      <c r="A3010" s="385" t="s">
        <v>53</v>
      </c>
      <c r="B3010" s="385" t="s">
        <v>548</v>
      </c>
      <c r="C3010" s="385" t="s">
        <v>4476</v>
      </c>
      <c r="D3010" s="385" t="s">
        <v>89</v>
      </c>
      <c r="E3010" s="385"/>
      <c r="F3010" s="385"/>
      <c r="G3010" s="385"/>
      <c r="H3010" s="385">
        <v>2025</v>
      </c>
      <c r="I3010" s="386">
        <v>45855</v>
      </c>
      <c r="J3010" s="30" t="s">
        <v>5844</v>
      </c>
      <c r="K3010" s="385"/>
      <c r="L3010" s="385"/>
      <c r="M3010" s="385"/>
      <c r="N3010" s="385"/>
      <c r="O3010" s="385"/>
      <c r="P3010" s="385" t="str">
        <f>IFERROR(
    IF(
        OR(ISBLANK(I3010), ISBLANK(L3010)),
        "",
        MAX(
            1,
            IF(
                NETWORKDAYS(I3010, L3010, Holiday_Dates) &lt;= 0,
                1,
                NETWORKDAYS(I3010, L3010, Holiday_Dates) - IF(I3010 = L3010, 0, 1)
            )
        )
    ),
    ""
)</f>
        <v/>
      </c>
      <c r="Q3010" s="385" t="str">
        <f>IF(
    OR(ISBLANK(L3010), ISBLANK(M3010)),
    "",
    MAX(
        1,
        IF(
            NETWORKDAYS(L3010, M3010, Holiday_Dates) &lt;= 0,
            1,
            NETWORKDAYS(L3010, M3010, Holiday_Dates) - IF(L3010 = M3010, 0, 1)
        )
    )
)</f>
        <v/>
      </c>
      <c r="R3010" s="385" t="str">
        <f>IFERROR(
    IF(
        OR(ISBLANK(N3010), AND(ISBLANK(L3010), ISBLANK(M3010))),
        "",
        MAX(
            1,
            IF(
                NETWORKDAYS(IF(NOT(ISBLANK(M3010)), M3010, L3010), N3010, Holiday_Dates) &lt;= 0,
                1,
                NETWORKDAYS(IF(NOT(ISBLANK(M3010)), M3010, L3010), N3010, Holiday_Dates)
                - IF(IF(NOT(ISBLANK(M3010)), M3010, L3010) = N3010, 0, 1)
            )
        )
    ),
    ""
)</f>
        <v/>
      </c>
      <c r="S3010" s="385" t="str">
        <f>IFERROR(
    IF(
        OR(ISBLANK(N3010), ISBLANK(O3010)),
        "",
        MAX(
            1,
            IF(
                NETWORKDAYS(N3010, O3010, Holiday_Dates) &lt;= 0,
                1,
                NETWORKDAYS(N3010, O3010, Holiday_Dates) - IF(N3010 = O3010, 0, 1)
            )
        )
    ),
    ""
)</f>
        <v/>
      </c>
      <c r="T3010" s="385"/>
      <c r="U3010" s="385" t="s">
        <v>4</v>
      </c>
      <c r="V3010" s="385" t="s">
        <v>101</v>
      </c>
      <c r="W3010" s="385" t="s">
        <v>1436</v>
      </c>
      <c r="X3010" s="1"/>
    </row>
    <row r="3011" spans="1:24">
      <c r="A3011" s="385" t="s">
        <v>53</v>
      </c>
      <c r="B3011" s="385" t="s">
        <v>548</v>
      </c>
      <c r="C3011" s="385" t="s">
        <v>4477</v>
      </c>
      <c r="D3011" s="385" t="s">
        <v>89</v>
      </c>
      <c r="E3011" s="385"/>
      <c r="F3011" s="385"/>
      <c r="G3011" s="385"/>
      <c r="H3011" s="385">
        <v>2024</v>
      </c>
      <c r="I3011" s="386">
        <v>45427</v>
      </c>
      <c r="J3011" s="30"/>
      <c r="K3011" s="385"/>
      <c r="L3011" s="385"/>
      <c r="M3011" s="385"/>
      <c r="N3011" s="385"/>
      <c r="O3011" s="385"/>
      <c r="P3011" s="385" t="str">
        <f>IFERROR(
    IF(
        OR(ISBLANK(I3011), ISBLANK(L3011)),
        "",
        MAX(
            1,
            IF(
                NETWORKDAYS(I3011, L3011, Holiday_Dates) &lt;= 0,
                1,
                NETWORKDAYS(I3011, L3011, Holiday_Dates) - IF(I3011 = L3011, 0, 1)
            )
        )
    ),
    ""
)</f>
        <v/>
      </c>
      <c r="Q3011" s="385" t="str">
        <f>IF(
    OR(ISBLANK(L3011), ISBLANK(M3011)),
    "",
    MAX(
        1,
        IF(
            NETWORKDAYS(L3011, M3011, Holiday_Dates) &lt;= 0,
            1,
            NETWORKDAYS(L3011, M3011, Holiday_Dates) - IF(L3011 = M3011, 0, 1)
        )
    )
)</f>
        <v/>
      </c>
      <c r="R3011" s="385" t="str">
        <f>IFERROR(
    IF(
        OR(ISBLANK(N3011), AND(ISBLANK(L3011), ISBLANK(M3011))),
        "",
        MAX(
            1,
            IF(
                NETWORKDAYS(IF(NOT(ISBLANK(M3011)), M3011, L3011), N3011, Holiday_Dates) &lt;= 0,
                1,
                NETWORKDAYS(IF(NOT(ISBLANK(M3011)), M3011, L3011), N3011, Holiday_Dates)
                - IF(IF(NOT(ISBLANK(M3011)), M3011, L3011) = N3011, 0, 1)
            )
        )
    ),
    ""
)</f>
        <v/>
      </c>
      <c r="S3011" s="385" t="str">
        <f>IFERROR(
    IF(
        OR(ISBLANK(N3011), ISBLANK(O3011)),
        "",
        MAX(
            1,
            IF(
                NETWORKDAYS(N3011, O3011, Holiday_Dates) &lt;= 0,
                1,
                NETWORKDAYS(N3011, O3011, Holiday_Dates) - IF(N3011 = O3011, 0, 1)
            )
        )
    ),
    ""
)</f>
        <v/>
      </c>
      <c r="T3011" s="385"/>
      <c r="U3011" s="385" t="s">
        <v>4</v>
      </c>
      <c r="V3011" s="385" t="s">
        <v>101</v>
      </c>
      <c r="W3011" s="385" t="s">
        <v>1436</v>
      </c>
      <c r="X3011" s="1"/>
    </row>
    <row r="3012" spans="1:24">
      <c r="A3012" s="385" t="s">
        <v>53</v>
      </c>
      <c r="B3012" s="385" t="s">
        <v>548</v>
      </c>
      <c r="C3012" s="385" t="s">
        <v>444</v>
      </c>
      <c r="D3012" s="385" t="s">
        <v>89</v>
      </c>
      <c r="E3012" s="385"/>
      <c r="F3012" s="385"/>
      <c r="G3012" s="385"/>
      <c r="H3012" s="385">
        <v>2024</v>
      </c>
      <c r="I3012" s="386">
        <v>45427</v>
      </c>
      <c r="J3012" s="30"/>
      <c r="K3012" s="385"/>
      <c r="L3012" s="385"/>
      <c r="M3012" s="385"/>
      <c r="N3012" s="385"/>
      <c r="O3012" s="385"/>
      <c r="P3012" s="385" t="str">
        <f>IFERROR(
    IF(
        OR(ISBLANK(I3012), ISBLANK(L3012)),
        "",
        MAX(
            1,
            IF(
                NETWORKDAYS(I3012, L3012, Holiday_Dates) &lt;= 0,
                1,
                NETWORKDAYS(I3012, L3012, Holiday_Dates) - IF(I3012 = L3012, 0, 1)
            )
        )
    ),
    ""
)</f>
        <v/>
      </c>
      <c r="Q3012" s="385" t="str">
        <f>IF(
    OR(ISBLANK(L3012), ISBLANK(M3012)),
    "",
    MAX(
        1,
        IF(
            NETWORKDAYS(L3012, M3012, Holiday_Dates) &lt;= 0,
            1,
            NETWORKDAYS(L3012, M3012, Holiday_Dates) - IF(L3012 = M3012, 0, 1)
        )
    )
)</f>
        <v/>
      </c>
      <c r="R3012" s="385" t="str">
        <f>IFERROR(
    IF(
        OR(ISBLANK(N3012), AND(ISBLANK(L3012), ISBLANK(M3012))),
        "",
        MAX(
            1,
            IF(
                NETWORKDAYS(IF(NOT(ISBLANK(M3012)), M3012, L3012), N3012, Holiday_Dates) &lt;= 0,
                1,
                NETWORKDAYS(IF(NOT(ISBLANK(M3012)), M3012, L3012), N3012, Holiday_Dates)
                - IF(IF(NOT(ISBLANK(M3012)), M3012, L3012) = N3012, 0, 1)
            )
        )
    ),
    ""
)</f>
        <v/>
      </c>
      <c r="S3012" s="385" t="str">
        <f>IFERROR(
    IF(
        OR(ISBLANK(N3012), ISBLANK(O3012)),
        "",
        MAX(
            1,
            IF(
                NETWORKDAYS(N3012, O3012, Holiday_Dates) &lt;= 0,
                1,
                NETWORKDAYS(N3012, O3012, Holiday_Dates) - IF(N3012 = O3012, 0, 1)
            )
        )
    ),
    ""
)</f>
        <v/>
      </c>
      <c r="T3012" s="385"/>
      <c r="U3012" s="385" t="s">
        <v>4</v>
      </c>
      <c r="V3012" s="385" t="s">
        <v>101</v>
      </c>
      <c r="W3012" s="385" t="s">
        <v>1436</v>
      </c>
      <c r="X3012" s="1"/>
    </row>
    <row r="3013" spans="1:24">
      <c r="A3013" s="385" t="s">
        <v>53</v>
      </c>
      <c r="B3013" s="385" t="s">
        <v>548</v>
      </c>
      <c r="C3013" s="385" t="s">
        <v>3278</v>
      </c>
      <c r="D3013" s="385" t="s">
        <v>89</v>
      </c>
      <c r="E3013" s="385"/>
      <c r="F3013" s="385"/>
      <c r="G3013" s="385"/>
      <c r="H3013" s="385">
        <v>2025</v>
      </c>
      <c r="I3013" s="386">
        <v>45855</v>
      </c>
      <c r="J3013" s="30" t="s">
        <v>5845</v>
      </c>
      <c r="K3013" s="385"/>
      <c r="L3013" s="385"/>
      <c r="M3013" s="385"/>
      <c r="N3013" s="385"/>
      <c r="O3013" s="385"/>
      <c r="P3013" s="385" t="str">
        <f>IFERROR(
    IF(
        OR(ISBLANK(I3013), ISBLANK(L3013)),
        "",
        MAX(
            1,
            IF(
                NETWORKDAYS(I3013, L3013, Holiday_Dates) &lt;= 0,
                1,
                NETWORKDAYS(I3013, L3013, Holiday_Dates) - IF(I3013 = L3013, 0, 1)
            )
        )
    ),
    ""
)</f>
        <v/>
      </c>
      <c r="Q3013" s="385" t="str">
        <f>IF(
    OR(ISBLANK(L3013), ISBLANK(M3013)),
    "",
    MAX(
        1,
        IF(
            NETWORKDAYS(L3013, M3013, Holiday_Dates) &lt;= 0,
            1,
            NETWORKDAYS(L3013, M3013, Holiday_Dates) - IF(L3013 = M3013, 0, 1)
        )
    )
)</f>
        <v/>
      </c>
      <c r="R3013" s="385" t="str">
        <f>IFERROR(
    IF(
        OR(ISBLANK(N3013), AND(ISBLANK(L3013), ISBLANK(M3013))),
        "",
        MAX(
            1,
            IF(
                NETWORKDAYS(IF(NOT(ISBLANK(M3013)), M3013, L3013), N3013, Holiday_Dates) &lt;= 0,
                1,
                NETWORKDAYS(IF(NOT(ISBLANK(M3013)), M3013, L3013), N3013, Holiday_Dates)
                - IF(IF(NOT(ISBLANK(M3013)), M3013, L3013) = N3013, 0, 1)
            )
        )
    ),
    ""
)</f>
        <v/>
      </c>
      <c r="S3013" s="385" t="str">
        <f>IFERROR(
    IF(
        OR(ISBLANK(N3013), ISBLANK(O3013)),
        "",
        MAX(
            1,
            IF(
                NETWORKDAYS(N3013, O3013, Holiday_Dates) &lt;= 0,
                1,
                NETWORKDAYS(N3013, O3013, Holiday_Dates) - IF(N3013 = O3013, 0, 1)
            )
        )
    ),
    ""
)</f>
        <v/>
      </c>
      <c r="T3013" s="385"/>
      <c r="U3013" s="385" t="s">
        <v>4</v>
      </c>
      <c r="V3013" s="385" t="s">
        <v>101</v>
      </c>
      <c r="W3013" s="385" t="s">
        <v>1436</v>
      </c>
      <c r="X3013" s="1"/>
    </row>
    <row r="3014" spans="1:24">
      <c r="A3014" s="385" t="s">
        <v>53</v>
      </c>
      <c r="B3014" s="385" t="s">
        <v>548</v>
      </c>
      <c r="C3014" s="385" t="s">
        <v>4479</v>
      </c>
      <c r="D3014" s="385" t="s">
        <v>89</v>
      </c>
      <c r="E3014" s="385"/>
      <c r="F3014" s="385"/>
      <c r="G3014" s="385"/>
      <c r="H3014" s="385">
        <v>2025</v>
      </c>
      <c r="I3014" s="386">
        <v>45855</v>
      </c>
      <c r="J3014" s="30" t="s">
        <v>5846</v>
      </c>
      <c r="K3014" s="385"/>
      <c r="L3014" s="385"/>
      <c r="M3014" s="385"/>
      <c r="N3014" s="385"/>
      <c r="O3014" s="385"/>
      <c r="P3014" s="385" t="str">
        <f>IFERROR(
    IF(
        OR(ISBLANK(I3014), ISBLANK(L3014)),
        "",
        MAX(
            1,
            IF(
                NETWORKDAYS(I3014, L3014, Holiday_Dates) &lt;= 0,
                1,
                NETWORKDAYS(I3014, L3014, Holiday_Dates) - IF(I3014 = L3014, 0, 1)
            )
        )
    ),
    ""
)</f>
        <v/>
      </c>
      <c r="Q3014" s="385" t="str">
        <f>IF(
    OR(ISBLANK(L3014), ISBLANK(M3014)),
    "",
    MAX(
        1,
        IF(
            NETWORKDAYS(L3014, M3014, Holiday_Dates) &lt;= 0,
            1,
            NETWORKDAYS(L3014, M3014, Holiday_Dates) - IF(L3014 = M3014, 0, 1)
        )
    )
)</f>
        <v/>
      </c>
      <c r="R3014" s="385" t="str">
        <f>IFERROR(
    IF(
        OR(ISBLANK(N3014), AND(ISBLANK(L3014), ISBLANK(M3014))),
        "",
        MAX(
            1,
            IF(
                NETWORKDAYS(IF(NOT(ISBLANK(M3014)), M3014, L3014), N3014, Holiday_Dates) &lt;= 0,
                1,
                NETWORKDAYS(IF(NOT(ISBLANK(M3014)), M3014, L3014), N3014, Holiday_Dates)
                - IF(IF(NOT(ISBLANK(M3014)), M3014, L3014) = N3014, 0, 1)
            )
        )
    ),
    ""
)</f>
        <v/>
      </c>
      <c r="S3014" s="385" t="str">
        <f>IFERROR(
    IF(
        OR(ISBLANK(N3014), ISBLANK(O3014)),
        "",
        MAX(
            1,
            IF(
                NETWORKDAYS(N3014, O3014, Holiday_Dates) &lt;= 0,
                1,
                NETWORKDAYS(N3014, O3014, Holiday_Dates) - IF(N3014 = O3014, 0, 1)
            )
        )
    ),
    ""
)</f>
        <v/>
      </c>
      <c r="T3014" s="385"/>
      <c r="U3014" s="385" t="s">
        <v>672</v>
      </c>
      <c r="V3014" s="385" t="s">
        <v>101</v>
      </c>
      <c r="W3014" s="385" t="s">
        <v>1436</v>
      </c>
      <c r="X3014" s="1"/>
    </row>
    <row r="3015" spans="1:24">
      <c r="A3015" s="385" t="s">
        <v>53</v>
      </c>
      <c r="B3015" s="385" t="s">
        <v>548</v>
      </c>
      <c r="C3015" s="385" t="s">
        <v>2178</v>
      </c>
      <c r="D3015" s="385" t="s">
        <v>89</v>
      </c>
      <c r="E3015" s="385"/>
      <c r="F3015" s="385"/>
      <c r="G3015" s="385"/>
      <c r="H3015" s="385">
        <v>2024</v>
      </c>
      <c r="I3015" s="386">
        <v>45611</v>
      </c>
      <c r="J3015" s="30"/>
      <c r="K3015" s="385"/>
      <c r="L3015" s="385"/>
      <c r="M3015" s="385"/>
      <c r="N3015" s="385"/>
      <c r="O3015" s="385"/>
      <c r="P3015" s="385" t="str">
        <f>IFERROR(
    IF(
        OR(ISBLANK(I3015), ISBLANK(L3015)),
        "",
        MAX(
            1,
            IF(
                NETWORKDAYS(I3015, L3015, Holiday_Dates) &lt;= 0,
                1,
                NETWORKDAYS(I3015, L3015, Holiday_Dates) - IF(I3015 = L3015, 0, 1)
            )
        )
    ),
    ""
)</f>
        <v/>
      </c>
      <c r="Q3015" s="385" t="str">
        <f>IF(
    OR(ISBLANK(L3015), ISBLANK(M3015)),
    "",
    MAX(
        1,
        IF(
            NETWORKDAYS(L3015, M3015, Holiday_Dates) &lt;= 0,
            1,
            NETWORKDAYS(L3015, M3015, Holiday_Dates) - IF(L3015 = M3015, 0, 1)
        )
    )
)</f>
        <v/>
      </c>
      <c r="R3015" s="385" t="str">
        <f>IFERROR(
    IF(
        OR(ISBLANK(N3015), AND(ISBLANK(L3015), ISBLANK(M3015))),
        "",
        MAX(
            1,
            IF(
                NETWORKDAYS(IF(NOT(ISBLANK(M3015)), M3015, L3015), N3015, Holiday_Dates) &lt;= 0,
                1,
                NETWORKDAYS(IF(NOT(ISBLANK(M3015)), M3015, L3015), N3015, Holiday_Dates)
                - IF(IF(NOT(ISBLANK(M3015)), M3015, L3015) = N3015, 0, 1)
            )
        )
    ),
    ""
)</f>
        <v/>
      </c>
      <c r="S3015" s="385" t="str">
        <f>IFERROR(
    IF(
        OR(ISBLANK(N3015), ISBLANK(O3015)),
        "",
        MAX(
            1,
            IF(
                NETWORKDAYS(N3015, O3015, Holiday_Dates) &lt;= 0,
                1,
                NETWORKDAYS(N3015, O3015, Holiday_Dates) - IF(N3015 = O3015, 0, 1)
            )
        )
    ),
    ""
)</f>
        <v/>
      </c>
      <c r="T3015" s="385"/>
      <c r="U3015" s="385" t="s">
        <v>4</v>
      </c>
      <c r="V3015" s="385" t="s">
        <v>101</v>
      </c>
      <c r="W3015" s="385" t="s">
        <v>1436</v>
      </c>
      <c r="X3015" s="1"/>
    </row>
    <row r="3016" spans="1:24">
      <c r="A3016" s="385" t="s">
        <v>53</v>
      </c>
      <c r="B3016" s="385" t="s">
        <v>548</v>
      </c>
      <c r="C3016" s="385" t="s">
        <v>440</v>
      </c>
      <c r="D3016" s="385" t="s">
        <v>89</v>
      </c>
      <c r="E3016" s="385"/>
      <c r="F3016" s="385"/>
      <c r="G3016" s="385"/>
      <c r="H3016" s="385">
        <v>2024</v>
      </c>
      <c r="I3016" s="386">
        <v>45602</v>
      </c>
      <c r="J3016" s="30"/>
      <c r="K3016" s="385"/>
      <c r="L3016" s="385"/>
      <c r="M3016" s="385"/>
      <c r="N3016" s="385"/>
      <c r="O3016" s="385"/>
      <c r="P3016" s="385" t="str">
        <f>IFERROR(
    IF(
        OR(ISBLANK(I3016), ISBLANK(L3016)),
        "",
        MAX(
            1,
            IF(
                NETWORKDAYS(I3016, L3016, Holiday_Dates) &lt;= 0,
                1,
                NETWORKDAYS(I3016, L3016, Holiday_Dates) - IF(I3016 = L3016, 0, 1)
            )
        )
    ),
    ""
)</f>
        <v/>
      </c>
      <c r="Q3016" s="385" t="str">
        <f>IF(
    OR(ISBLANK(L3016), ISBLANK(M3016)),
    "",
    MAX(
        1,
        IF(
            NETWORKDAYS(L3016, M3016, Holiday_Dates) &lt;= 0,
            1,
            NETWORKDAYS(L3016, M3016, Holiday_Dates) - IF(L3016 = M3016, 0, 1)
        )
    )
)</f>
        <v/>
      </c>
      <c r="R3016" s="385" t="str">
        <f>IFERROR(
    IF(
        OR(ISBLANK(N3016), AND(ISBLANK(L3016), ISBLANK(M3016))),
        "",
        MAX(
            1,
            IF(
                NETWORKDAYS(IF(NOT(ISBLANK(M3016)), M3016, L3016), N3016, Holiday_Dates) &lt;= 0,
                1,
                NETWORKDAYS(IF(NOT(ISBLANK(M3016)), M3016, L3016), N3016, Holiday_Dates)
                - IF(IF(NOT(ISBLANK(M3016)), M3016, L3016) = N3016, 0, 1)
            )
        )
    ),
    ""
)</f>
        <v/>
      </c>
      <c r="S3016" s="385" t="str">
        <f>IFERROR(
    IF(
        OR(ISBLANK(N3016), ISBLANK(O3016)),
        "",
        MAX(
            1,
            IF(
                NETWORKDAYS(N3016, O3016, Holiday_Dates) &lt;= 0,
                1,
                NETWORKDAYS(N3016, O3016, Holiday_Dates) - IF(N3016 = O3016, 0, 1)
            )
        )
    ),
    ""
)</f>
        <v/>
      </c>
      <c r="T3016" s="385"/>
      <c r="U3016" s="385" t="s">
        <v>4</v>
      </c>
      <c r="V3016" s="385" t="s">
        <v>101</v>
      </c>
      <c r="W3016" s="385" t="s">
        <v>1436</v>
      </c>
      <c r="X3016" s="1"/>
    </row>
    <row r="3017" spans="1:24">
      <c r="A3017" s="385" t="s">
        <v>53</v>
      </c>
      <c r="B3017" s="385" t="s">
        <v>548</v>
      </c>
      <c r="C3017" s="385" t="s">
        <v>3749</v>
      </c>
      <c r="D3017" s="385" t="s">
        <v>89</v>
      </c>
      <c r="E3017" s="385"/>
      <c r="F3017" s="385"/>
      <c r="G3017" s="385"/>
      <c r="H3017" s="385">
        <v>2025</v>
      </c>
      <c r="I3017" s="386">
        <v>45855</v>
      </c>
      <c r="J3017" s="30" t="s">
        <v>5847</v>
      </c>
      <c r="K3017" s="385"/>
      <c r="L3017" s="385"/>
      <c r="M3017" s="385"/>
      <c r="N3017" s="385"/>
      <c r="O3017" s="385"/>
      <c r="P3017" s="385" t="str">
        <f>IFERROR(
    IF(
        OR(ISBLANK(I3017), ISBLANK(L3017)),
        "",
        MAX(
            1,
            IF(
                NETWORKDAYS(I3017, L3017, Holiday_Dates) &lt;= 0,
                1,
                NETWORKDAYS(I3017, L3017, Holiday_Dates) - IF(I3017 = L3017, 0, 1)
            )
        )
    ),
    ""
)</f>
        <v/>
      </c>
      <c r="Q3017" s="385" t="str">
        <f>IF(
    OR(ISBLANK(L3017), ISBLANK(M3017)),
    "",
    MAX(
        1,
        IF(
            NETWORKDAYS(L3017, M3017, Holiday_Dates) &lt;= 0,
            1,
            NETWORKDAYS(L3017, M3017, Holiday_Dates) - IF(L3017 = M3017, 0, 1)
        )
    )
)</f>
        <v/>
      </c>
      <c r="R3017" s="385" t="str">
        <f>IFERROR(
    IF(
        OR(ISBLANK(N3017), AND(ISBLANK(L3017), ISBLANK(M3017))),
        "",
        MAX(
            1,
            IF(
                NETWORKDAYS(IF(NOT(ISBLANK(M3017)), M3017, L3017), N3017, Holiday_Dates) &lt;= 0,
                1,
                NETWORKDAYS(IF(NOT(ISBLANK(M3017)), M3017, L3017), N3017, Holiday_Dates)
                - IF(IF(NOT(ISBLANK(M3017)), M3017, L3017) = N3017, 0, 1)
            )
        )
    ),
    ""
)</f>
        <v/>
      </c>
      <c r="S3017" s="385" t="str">
        <f>IFERROR(
    IF(
        OR(ISBLANK(N3017), ISBLANK(O3017)),
        "",
        MAX(
            1,
            IF(
                NETWORKDAYS(N3017, O3017, Holiday_Dates) &lt;= 0,
                1,
                NETWORKDAYS(N3017, O3017, Holiday_Dates) - IF(N3017 = O3017, 0, 1)
            )
        )
    ),
    ""
)</f>
        <v/>
      </c>
      <c r="T3017" s="385"/>
      <c r="U3017" s="385" t="s">
        <v>672</v>
      </c>
      <c r="V3017" s="385" t="s">
        <v>101</v>
      </c>
      <c r="W3017" s="385" t="s">
        <v>1436</v>
      </c>
      <c r="X3017" s="1"/>
    </row>
    <row r="3018" spans="1:24">
      <c r="A3018" s="385" t="s">
        <v>53</v>
      </c>
      <c r="B3018" s="385" t="s">
        <v>548</v>
      </c>
      <c r="C3018" s="385" t="s">
        <v>4472</v>
      </c>
      <c r="D3018" s="385" t="s">
        <v>89</v>
      </c>
      <c r="E3018" s="385"/>
      <c r="F3018" s="385"/>
      <c r="G3018" s="385"/>
      <c r="H3018" s="385">
        <v>2024</v>
      </c>
      <c r="I3018" s="386">
        <v>45569</v>
      </c>
      <c r="J3018" s="30"/>
      <c r="K3018" s="385"/>
      <c r="L3018" s="385"/>
      <c r="M3018" s="385"/>
      <c r="N3018" s="385"/>
      <c r="O3018" s="385"/>
      <c r="P3018" s="385" t="str">
        <f>IFERROR(
    IF(
        OR(ISBLANK(I3018), ISBLANK(L3018)),
        "",
        MAX(
            1,
            IF(
                NETWORKDAYS(I3018, L3018, Holiday_Dates) &lt;= 0,
                1,
                NETWORKDAYS(I3018, L3018, Holiday_Dates) - IF(I3018 = L3018, 0, 1)
            )
        )
    ),
    ""
)</f>
        <v/>
      </c>
      <c r="Q3018" s="385" t="str">
        <f>IF(
    OR(ISBLANK(L3018), ISBLANK(M3018)),
    "",
    MAX(
        1,
        IF(
            NETWORKDAYS(L3018, M3018, Holiday_Dates) &lt;= 0,
            1,
            NETWORKDAYS(L3018, M3018, Holiday_Dates) - IF(L3018 = M3018, 0, 1)
        )
    )
)</f>
        <v/>
      </c>
      <c r="R3018" s="385" t="str">
        <f>IFERROR(
    IF(
        OR(ISBLANK(N3018), AND(ISBLANK(L3018), ISBLANK(M3018))),
        "",
        MAX(
            1,
            IF(
                NETWORKDAYS(IF(NOT(ISBLANK(M3018)), M3018, L3018), N3018, Holiday_Dates) &lt;= 0,
                1,
                NETWORKDAYS(IF(NOT(ISBLANK(M3018)), M3018, L3018), N3018, Holiday_Dates)
                - IF(IF(NOT(ISBLANK(M3018)), M3018, L3018) = N3018, 0, 1)
            )
        )
    ),
    ""
)</f>
        <v/>
      </c>
      <c r="S3018" s="385" t="str">
        <f>IFERROR(
    IF(
        OR(ISBLANK(N3018), ISBLANK(O3018)),
        "",
        MAX(
            1,
            IF(
                NETWORKDAYS(N3018, O3018, Holiday_Dates) &lt;= 0,
                1,
                NETWORKDAYS(N3018, O3018, Holiday_Dates) - IF(N3018 = O3018, 0, 1)
            )
        )
    ),
    ""
)</f>
        <v/>
      </c>
      <c r="T3018" s="385"/>
      <c r="U3018" s="385" t="s">
        <v>4</v>
      </c>
      <c r="V3018" s="385" t="s">
        <v>101</v>
      </c>
      <c r="W3018" s="385" t="s">
        <v>1436</v>
      </c>
      <c r="X3018" s="1"/>
    </row>
    <row r="3019" spans="1:24">
      <c r="A3019" s="385" t="s">
        <v>53</v>
      </c>
      <c r="B3019" s="385" t="s">
        <v>242</v>
      </c>
      <c r="C3019" s="385" t="s">
        <v>4430</v>
      </c>
      <c r="D3019" s="385" t="s">
        <v>89</v>
      </c>
      <c r="E3019" s="385" t="s">
        <v>246</v>
      </c>
      <c r="F3019" s="385"/>
      <c r="G3019" s="385" t="s">
        <v>133</v>
      </c>
      <c r="H3019" s="385"/>
      <c r="I3019" s="385"/>
      <c r="J3019" s="30"/>
      <c r="K3019" s="385"/>
      <c r="L3019" s="385"/>
      <c r="M3019" s="385"/>
      <c r="N3019" s="385"/>
      <c r="O3019" s="385"/>
      <c r="P3019" s="385" t="str">
        <f>IFERROR(
    IF(
        OR(ISBLANK(I3019), ISBLANK(L3019)),
        "",
        MAX(
            1,
            IF(
                NETWORKDAYS(I3019, L3019, Holiday_Dates) &lt;= 0,
                1,
                NETWORKDAYS(I3019, L3019, Holiday_Dates) - IF(I3019 = L3019, 0, 1)
            )
        )
    ),
    ""
)</f>
        <v/>
      </c>
      <c r="Q3019" s="385" t="str">
        <f>IF(
    OR(ISBLANK(L3019), ISBLANK(M3019)),
    "",
    MAX(
        1,
        IF(
            NETWORKDAYS(L3019, M3019, Holiday_Dates) &lt;= 0,
            1,
            NETWORKDAYS(L3019, M3019, Holiday_Dates) - IF(L3019 = M3019, 0, 1)
        )
    )
)</f>
        <v/>
      </c>
      <c r="R3019" s="385" t="str">
        <f>IFERROR(
    IF(
        OR(ISBLANK(N3019), AND(ISBLANK(L3019), ISBLANK(M3019))),
        "",
        MAX(
            1,
            IF(
                NETWORKDAYS(IF(NOT(ISBLANK(M3019)), M3019, L3019), N3019, Holiday_Dates) &lt;= 0,
                1,
                NETWORKDAYS(IF(NOT(ISBLANK(M3019)), M3019, L3019), N3019, Holiday_Dates)
                - IF(IF(NOT(ISBLANK(M3019)), M3019, L3019) = N3019, 0, 1)
            )
        )
    ),
    ""
)</f>
        <v/>
      </c>
      <c r="S3019" s="385" t="str">
        <f>IFERROR(
    IF(
        OR(ISBLANK(N3019), ISBLANK(O3019)),
        "",
        MAX(
            1,
            IF(
                NETWORKDAYS(N3019, O3019, Holiday_Dates) &lt;= 0,
                1,
                NETWORKDAYS(N3019, O3019, Holiday_Dates) - IF(N3019 = O3019, 0, 1)
            )
        )
    ),
    ""
)</f>
        <v/>
      </c>
      <c r="T3019" s="385"/>
      <c r="U3019" s="385"/>
      <c r="V3019" s="385"/>
      <c r="W3019" s="385" t="s">
        <v>4710</v>
      </c>
      <c r="X3019" s="1"/>
    </row>
    <row r="3020" spans="1:24">
      <c r="A3020" s="385" t="s">
        <v>53</v>
      </c>
      <c r="B3020" s="385" t="s">
        <v>550</v>
      </c>
      <c r="C3020" s="385" t="s">
        <v>4482</v>
      </c>
      <c r="D3020" s="385" t="s">
        <v>89</v>
      </c>
      <c r="E3020" s="385"/>
      <c r="F3020" s="385"/>
      <c r="G3020" s="385"/>
      <c r="H3020" s="385">
        <v>2025</v>
      </c>
      <c r="I3020" s="386">
        <v>45945</v>
      </c>
      <c r="J3020" s="30" t="s">
        <v>5848</v>
      </c>
      <c r="K3020" s="385"/>
      <c r="L3020" s="385"/>
      <c r="M3020" s="385"/>
      <c r="N3020" s="385"/>
      <c r="O3020" s="385"/>
      <c r="P3020" s="385" t="str">
        <f>IFERROR(
    IF(
        OR(ISBLANK(I3020), ISBLANK(L3020)),
        "",
        MAX(
            1,
            IF(
                NETWORKDAYS(I3020, L3020, Holiday_Dates) &lt;= 0,
                1,
                NETWORKDAYS(I3020, L3020, Holiday_Dates) - IF(I3020 = L3020, 0, 1)
            )
        )
    ),
    ""
)</f>
        <v/>
      </c>
      <c r="Q3020" s="385" t="str">
        <f>IF(
    OR(ISBLANK(L3020), ISBLANK(M3020)),
    "",
    MAX(
        1,
        IF(
            NETWORKDAYS(L3020, M3020, Holiday_Dates) &lt;= 0,
            1,
            NETWORKDAYS(L3020, M3020, Holiday_Dates) - IF(L3020 = M3020, 0, 1)
        )
    )
)</f>
        <v/>
      </c>
      <c r="R3020" s="385" t="str">
        <f>IFERROR(
    IF(
        OR(ISBLANK(N3020), AND(ISBLANK(L3020), ISBLANK(M3020))),
        "",
        MAX(
            1,
            IF(
                NETWORKDAYS(IF(NOT(ISBLANK(M3020)), M3020, L3020), N3020, Holiday_Dates) &lt;= 0,
                1,
                NETWORKDAYS(IF(NOT(ISBLANK(M3020)), M3020, L3020), N3020, Holiday_Dates)
                - IF(IF(NOT(ISBLANK(M3020)), M3020, L3020) = N3020, 0, 1)
            )
        )
    ),
    ""
)</f>
        <v/>
      </c>
      <c r="S3020" s="385" t="str">
        <f>IFERROR(
    IF(
        OR(ISBLANK(N3020), ISBLANK(O3020)),
        "",
        MAX(
            1,
            IF(
                NETWORKDAYS(N3020, O3020, Holiday_Dates) &lt;= 0,
                1,
                NETWORKDAYS(N3020, O3020, Holiday_Dates) - IF(N3020 = O3020, 0, 1)
            )
        )
    ),
    ""
)</f>
        <v/>
      </c>
      <c r="T3020" s="385"/>
      <c r="U3020" s="385" t="s">
        <v>672</v>
      </c>
      <c r="V3020" s="385" t="s">
        <v>101</v>
      </c>
      <c r="W3020" s="385" t="s">
        <v>1436</v>
      </c>
      <c r="X3020" s="1"/>
    </row>
    <row r="3021" spans="1:24">
      <c r="A3021" s="385" t="s">
        <v>53</v>
      </c>
      <c r="B3021" s="385" t="s">
        <v>550</v>
      </c>
      <c r="C3021" s="385" t="s">
        <v>4483</v>
      </c>
      <c r="D3021" s="385" t="s">
        <v>89</v>
      </c>
      <c r="E3021" s="385"/>
      <c r="F3021" s="385"/>
      <c r="G3021" s="385"/>
      <c r="H3021" s="385">
        <v>2025</v>
      </c>
      <c r="I3021" s="386">
        <v>45758</v>
      </c>
      <c r="J3021" s="30" t="s">
        <v>5849</v>
      </c>
      <c r="K3021" s="385"/>
      <c r="L3021" s="385"/>
      <c r="M3021" s="385"/>
      <c r="N3021" s="385"/>
      <c r="O3021" s="385"/>
      <c r="P3021" s="385" t="str">
        <f>IFERROR(
    IF(
        OR(ISBLANK(I3021), ISBLANK(L3021)),
        "",
        MAX(
            1,
            IF(
                NETWORKDAYS(I3021, L3021, Holiday_Dates) &lt;= 0,
                1,
                NETWORKDAYS(I3021, L3021, Holiday_Dates) - IF(I3021 = L3021, 0, 1)
            )
        )
    ),
    ""
)</f>
        <v/>
      </c>
      <c r="Q3021" s="385" t="str">
        <f>IF(
    OR(ISBLANK(L3021), ISBLANK(M3021)),
    "",
    MAX(
        1,
        IF(
            NETWORKDAYS(L3021, M3021, Holiday_Dates) &lt;= 0,
            1,
            NETWORKDAYS(L3021, M3021, Holiday_Dates) - IF(L3021 = M3021, 0, 1)
        )
    )
)</f>
        <v/>
      </c>
      <c r="R3021" s="385" t="str">
        <f>IFERROR(
    IF(
        OR(ISBLANK(N3021), AND(ISBLANK(L3021), ISBLANK(M3021))),
        "",
        MAX(
            1,
            IF(
                NETWORKDAYS(IF(NOT(ISBLANK(M3021)), M3021, L3021), N3021, Holiday_Dates) &lt;= 0,
                1,
                NETWORKDAYS(IF(NOT(ISBLANK(M3021)), M3021, L3021), N3021, Holiday_Dates)
                - IF(IF(NOT(ISBLANK(M3021)), M3021, L3021) = N3021, 0, 1)
            )
        )
    ),
    ""
)</f>
        <v/>
      </c>
      <c r="S3021" s="385" t="str">
        <f>IFERROR(
    IF(
        OR(ISBLANK(N3021), ISBLANK(O3021)),
        "",
        MAX(
            1,
            IF(
                NETWORKDAYS(N3021, O3021, Holiday_Dates) &lt;= 0,
                1,
                NETWORKDAYS(N3021, O3021, Holiday_Dates) - IF(N3021 = O3021, 0, 1)
            )
        )
    ),
    ""
)</f>
        <v/>
      </c>
      <c r="T3021" s="385"/>
      <c r="U3021" s="385" t="s">
        <v>4</v>
      </c>
      <c r="V3021" s="385" t="s">
        <v>101</v>
      </c>
      <c r="W3021" s="385" t="s">
        <v>1436</v>
      </c>
      <c r="X3021" s="1"/>
    </row>
    <row r="3022" spans="1:24">
      <c r="A3022" s="385" t="s">
        <v>53</v>
      </c>
      <c r="B3022" s="385" t="s">
        <v>550</v>
      </c>
      <c r="C3022" s="385" t="s">
        <v>4484</v>
      </c>
      <c r="D3022" s="385" t="s">
        <v>89</v>
      </c>
      <c r="E3022" s="385"/>
      <c r="F3022" s="385"/>
      <c r="G3022" s="385"/>
      <c r="H3022" s="385">
        <v>2025</v>
      </c>
      <c r="I3022" s="386">
        <v>45972</v>
      </c>
      <c r="J3022" s="30" t="s">
        <v>5850</v>
      </c>
      <c r="K3022" s="385"/>
      <c r="L3022" s="385"/>
      <c r="M3022" s="385"/>
      <c r="N3022" s="385"/>
      <c r="O3022" s="385"/>
      <c r="P3022" s="385" t="str">
        <f>IFERROR(
    IF(
        OR(ISBLANK(I3022), ISBLANK(L3022)),
        "",
        MAX(
            1,
            IF(
                NETWORKDAYS(I3022, L3022, Holiday_Dates) &lt;= 0,
                1,
                NETWORKDAYS(I3022, L3022, Holiday_Dates) - IF(I3022 = L3022, 0, 1)
            )
        )
    ),
    ""
)</f>
        <v/>
      </c>
      <c r="Q3022" s="385" t="str">
        <f>IF(
    OR(ISBLANK(L3022), ISBLANK(M3022)),
    "",
    MAX(
        1,
        IF(
            NETWORKDAYS(L3022, M3022, Holiday_Dates) &lt;= 0,
            1,
            NETWORKDAYS(L3022, M3022, Holiday_Dates) - IF(L3022 = M3022, 0, 1)
        )
    )
)</f>
        <v/>
      </c>
      <c r="R3022" s="385" t="str">
        <f>IFERROR(
    IF(
        OR(ISBLANK(N3022), AND(ISBLANK(L3022), ISBLANK(M3022))),
        "",
        MAX(
            1,
            IF(
                NETWORKDAYS(IF(NOT(ISBLANK(M3022)), M3022, L3022), N3022, Holiday_Dates) &lt;= 0,
                1,
                NETWORKDAYS(IF(NOT(ISBLANK(M3022)), M3022, L3022), N3022, Holiday_Dates)
                - IF(IF(NOT(ISBLANK(M3022)), M3022, L3022) = N3022, 0, 1)
            )
        )
    ),
    ""
)</f>
        <v/>
      </c>
      <c r="S3022" s="385" t="str">
        <f>IFERROR(
    IF(
        OR(ISBLANK(N3022), ISBLANK(O3022)),
        "",
        MAX(
            1,
            IF(
                NETWORKDAYS(N3022, O3022, Holiday_Dates) &lt;= 0,
                1,
                NETWORKDAYS(N3022, O3022, Holiday_Dates) - IF(N3022 = O3022, 0, 1)
            )
        )
    ),
    ""
)</f>
        <v/>
      </c>
      <c r="T3022" s="385"/>
      <c r="U3022" s="385" t="s">
        <v>4</v>
      </c>
      <c r="V3022" s="385" t="s">
        <v>101</v>
      </c>
      <c r="W3022" s="385" t="s">
        <v>1436</v>
      </c>
      <c r="X3022" s="1"/>
    </row>
    <row r="3023" spans="1:24">
      <c r="A3023" s="385" t="s">
        <v>53</v>
      </c>
      <c r="B3023" s="385" t="s">
        <v>550</v>
      </c>
      <c r="C3023" s="385" t="s">
        <v>4485</v>
      </c>
      <c r="D3023" s="385" t="s">
        <v>89</v>
      </c>
      <c r="E3023" s="385"/>
      <c r="F3023" s="385"/>
      <c r="G3023" s="385"/>
      <c r="H3023" s="385">
        <v>2024</v>
      </c>
      <c r="I3023" s="386">
        <v>45457</v>
      </c>
      <c r="J3023" s="30"/>
      <c r="K3023" s="385"/>
      <c r="L3023" s="385"/>
      <c r="M3023" s="385"/>
      <c r="N3023" s="385"/>
      <c r="O3023" s="385"/>
      <c r="P3023" s="385" t="str">
        <f>IFERROR(
    IF(
        OR(ISBLANK(I3023), ISBLANK(L3023)),
        "",
        MAX(
            1,
            IF(
                NETWORKDAYS(I3023, L3023, Holiday_Dates) &lt;= 0,
                1,
                NETWORKDAYS(I3023, L3023, Holiday_Dates) - IF(I3023 = L3023, 0, 1)
            )
        )
    ),
    ""
)</f>
        <v/>
      </c>
      <c r="Q3023" s="385" t="str">
        <f>IF(
    OR(ISBLANK(L3023), ISBLANK(M3023)),
    "",
    MAX(
        1,
        IF(
            NETWORKDAYS(L3023, M3023, Holiday_Dates) &lt;= 0,
            1,
            NETWORKDAYS(L3023, M3023, Holiday_Dates) - IF(L3023 = M3023, 0, 1)
        )
    )
)</f>
        <v/>
      </c>
      <c r="R3023" s="385" t="str">
        <f>IFERROR(
    IF(
        OR(ISBLANK(N3023), AND(ISBLANK(L3023), ISBLANK(M3023))),
        "",
        MAX(
            1,
            IF(
                NETWORKDAYS(IF(NOT(ISBLANK(M3023)), M3023, L3023), N3023, Holiday_Dates) &lt;= 0,
                1,
                NETWORKDAYS(IF(NOT(ISBLANK(M3023)), M3023, L3023), N3023, Holiday_Dates)
                - IF(IF(NOT(ISBLANK(M3023)), M3023, L3023) = N3023, 0, 1)
            )
        )
    ),
    ""
)</f>
        <v/>
      </c>
      <c r="S3023" s="385" t="str">
        <f>IFERROR(
    IF(
        OR(ISBLANK(N3023), ISBLANK(O3023)),
        "",
        MAX(
            1,
            IF(
                NETWORKDAYS(N3023, O3023, Holiday_Dates) &lt;= 0,
                1,
                NETWORKDAYS(N3023, O3023, Holiday_Dates) - IF(N3023 = O3023, 0, 1)
            )
        )
    ),
    ""
)</f>
        <v/>
      </c>
      <c r="T3023" s="385"/>
      <c r="U3023" s="385" t="s">
        <v>4</v>
      </c>
      <c r="V3023" s="385" t="s">
        <v>101</v>
      </c>
      <c r="W3023" s="385" t="s">
        <v>1436</v>
      </c>
      <c r="X3023" s="1"/>
    </row>
    <row r="3024" spans="1:24">
      <c r="A3024" s="385" t="s">
        <v>53</v>
      </c>
      <c r="B3024" s="385" t="s">
        <v>550</v>
      </c>
      <c r="C3024" s="385" t="s">
        <v>4487</v>
      </c>
      <c r="D3024" s="385" t="s">
        <v>89</v>
      </c>
      <c r="E3024" s="385"/>
      <c r="F3024" s="385"/>
      <c r="G3024" s="385"/>
      <c r="H3024" s="385">
        <v>2025</v>
      </c>
      <c r="I3024" s="386">
        <v>45945</v>
      </c>
      <c r="J3024" s="30" t="s">
        <v>5851</v>
      </c>
      <c r="K3024" s="385"/>
      <c r="L3024" s="385"/>
      <c r="M3024" s="385"/>
      <c r="N3024" s="385"/>
      <c r="O3024" s="385"/>
      <c r="P3024" s="385" t="str">
        <f>IFERROR(
    IF(
        OR(ISBLANK(I3024), ISBLANK(L3024)),
        "",
        MAX(
            1,
            IF(
                NETWORKDAYS(I3024, L3024, Holiday_Dates) &lt;= 0,
                1,
                NETWORKDAYS(I3024, L3024, Holiday_Dates) - IF(I3024 = L3024, 0, 1)
            )
        )
    ),
    ""
)</f>
        <v/>
      </c>
      <c r="Q3024" s="385" t="str">
        <f>IF(
    OR(ISBLANK(L3024), ISBLANK(M3024)),
    "",
    MAX(
        1,
        IF(
            NETWORKDAYS(L3024, M3024, Holiday_Dates) &lt;= 0,
            1,
            NETWORKDAYS(L3024, M3024, Holiday_Dates) - IF(L3024 = M3024, 0, 1)
        )
    )
)</f>
        <v/>
      </c>
      <c r="R3024" s="385" t="str">
        <f>IFERROR(
    IF(
        OR(ISBLANK(N3024), AND(ISBLANK(L3024), ISBLANK(M3024))),
        "",
        MAX(
            1,
            IF(
                NETWORKDAYS(IF(NOT(ISBLANK(M3024)), M3024, L3024), N3024, Holiday_Dates) &lt;= 0,
                1,
                NETWORKDAYS(IF(NOT(ISBLANK(M3024)), M3024, L3024), N3024, Holiday_Dates)
                - IF(IF(NOT(ISBLANK(M3024)), M3024, L3024) = N3024, 0, 1)
            )
        )
    ),
    ""
)</f>
        <v/>
      </c>
      <c r="S3024" s="385" t="str">
        <f>IFERROR(
    IF(
        OR(ISBLANK(N3024), ISBLANK(O3024)),
        "",
        MAX(
            1,
            IF(
                NETWORKDAYS(N3024, O3024, Holiday_Dates) &lt;= 0,
                1,
                NETWORKDAYS(N3024, O3024, Holiday_Dates) - IF(N3024 = O3024, 0, 1)
            )
        )
    ),
    ""
)</f>
        <v/>
      </c>
      <c r="T3024" s="385"/>
      <c r="U3024" s="385" t="s">
        <v>672</v>
      </c>
      <c r="V3024" s="385" t="s">
        <v>101</v>
      </c>
      <c r="W3024" s="385" t="s">
        <v>1436</v>
      </c>
      <c r="X3024" s="1"/>
    </row>
    <row r="3025" spans="1:24">
      <c r="A3025" s="385" t="s">
        <v>53</v>
      </c>
      <c r="B3025" s="385" t="s">
        <v>550</v>
      </c>
      <c r="C3025" s="385" t="s">
        <v>4488</v>
      </c>
      <c r="D3025" s="385" t="s">
        <v>89</v>
      </c>
      <c r="E3025" s="385"/>
      <c r="F3025" s="385"/>
      <c r="G3025" s="385"/>
      <c r="H3025" s="385">
        <v>2024</v>
      </c>
      <c r="I3025" s="386">
        <v>45457</v>
      </c>
      <c r="J3025" s="30"/>
      <c r="K3025" s="385"/>
      <c r="L3025" s="385"/>
      <c r="M3025" s="385"/>
      <c r="N3025" s="385"/>
      <c r="O3025" s="385"/>
      <c r="P3025" s="385" t="str">
        <f>IFERROR(
    IF(
        OR(ISBLANK(I3025), ISBLANK(L3025)),
        "",
        MAX(
            1,
            IF(
                NETWORKDAYS(I3025, L3025, Holiday_Dates) &lt;= 0,
                1,
                NETWORKDAYS(I3025, L3025, Holiday_Dates) - IF(I3025 = L3025, 0, 1)
            )
        )
    ),
    ""
)</f>
        <v/>
      </c>
      <c r="Q3025" s="385" t="str">
        <f>IF(
    OR(ISBLANK(L3025), ISBLANK(M3025)),
    "",
    MAX(
        1,
        IF(
            NETWORKDAYS(L3025, M3025, Holiday_Dates) &lt;= 0,
            1,
            NETWORKDAYS(L3025, M3025, Holiday_Dates) - IF(L3025 = M3025, 0, 1)
        )
    )
)</f>
        <v/>
      </c>
      <c r="R3025" s="385" t="str">
        <f>IFERROR(
    IF(
        OR(ISBLANK(N3025), AND(ISBLANK(L3025), ISBLANK(M3025))),
        "",
        MAX(
            1,
            IF(
                NETWORKDAYS(IF(NOT(ISBLANK(M3025)), M3025, L3025), N3025, Holiday_Dates) &lt;= 0,
                1,
                NETWORKDAYS(IF(NOT(ISBLANK(M3025)), M3025, L3025), N3025, Holiday_Dates)
                - IF(IF(NOT(ISBLANK(M3025)), M3025, L3025) = N3025, 0, 1)
            )
        )
    ),
    ""
)</f>
        <v/>
      </c>
      <c r="S3025" s="385" t="str">
        <f>IFERROR(
    IF(
        OR(ISBLANK(N3025), ISBLANK(O3025)),
        "",
        MAX(
            1,
            IF(
                NETWORKDAYS(N3025, O3025, Holiday_Dates) &lt;= 0,
                1,
                NETWORKDAYS(N3025, O3025, Holiday_Dates) - IF(N3025 = O3025, 0, 1)
            )
        )
    ),
    ""
)</f>
        <v/>
      </c>
      <c r="T3025" s="385"/>
      <c r="U3025" s="385" t="s">
        <v>4</v>
      </c>
      <c r="V3025" s="385" t="s">
        <v>101</v>
      </c>
      <c r="W3025" s="385" t="s">
        <v>1436</v>
      </c>
      <c r="X3025" s="1"/>
    </row>
    <row r="3026" spans="1:24">
      <c r="A3026" s="385" t="s">
        <v>53</v>
      </c>
      <c r="B3026" s="385" t="s">
        <v>550</v>
      </c>
      <c r="C3026" s="385" t="s">
        <v>4490</v>
      </c>
      <c r="D3026" s="385" t="s">
        <v>89</v>
      </c>
      <c r="E3026" s="385"/>
      <c r="F3026" s="385"/>
      <c r="G3026" s="385"/>
      <c r="H3026" s="385">
        <v>2025</v>
      </c>
      <c r="I3026" s="386">
        <v>45793</v>
      </c>
      <c r="J3026" s="30" t="s">
        <v>5852</v>
      </c>
      <c r="K3026" s="385"/>
      <c r="L3026" s="385"/>
      <c r="M3026" s="385"/>
      <c r="N3026" s="385"/>
      <c r="O3026" s="385"/>
      <c r="P3026" s="385" t="str">
        <f>IFERROR(
    IF(
        OR(ISBLANK(I3026), ISBLANK(L3026)),
        "",
        MAX(
            1,
            IF(
                NETWORKDAYS(I3026, L3026, Holiday_Dates) &lt;= 0,
                1,
                NETWORKDAYS(I3026, L3026, Holiday_Dates) - IF(I3026 = L3026, 0, 1)
            )
        )
    ),
    ""
)</f>
        <v/>
      </c>
      <c r="Q3026" s="385" t="str">
        <f>IF(
    OR(ISBLANK(L3026), ISBLANK(M3026)),
    "",
    MAX(
        1,
        IF(
            NETWORKDAYS(L3026, M3026, Holiday_Dates) &lt;= 0,
            1,
            NETWORKDAYS(L3026, M3026, Holiday_Dates) - IF(L3026 = M3026, 0, 1)
        )
    )
)</f>
        <v/>
      </c>
      <c r="R3026" s="385" t="str">
        <f>IFERROR(
    IF(
        OR(ISBLANK(N3026), AND(ISBLANK(L3026), ISBLANK(M3026))),
        "",
        MAX(
            1,
            IF(
                NETWORKDAYS(IF(NOT(ISBLANK(M3026)), M3026, L3026), N3026, Holiday_Dates) &lt;= 0,
                1,
                NETWORKDAYS(IF(NOT(ISBLANK(M3026)), M3026, L3026), N3026, Holiday_Dates)
                - IF(IF(NOT(ISBLANK(M3026)), M3026, L3026) = N3026, 0, 1)
            )
        )
    ),
    ""
)</f>
        <v/>
      </c>
      <c r="S3026" s="385" t="str">
        <f>IFERROR(
    IF(
        OR(ISBLANK(N3026), ISBLANK(O3026)),
        "",
        MAX(
            1,
            IF(
                NETWORKDAYS(N3026, O3026, Holiday_Dates) &lt;= 0,
                1,
                NETWORKDAYS(N3026, O3026, Holiday_Dates) - IF(N3026 = O3026, 0, 1)
            )
        )
    ),
    ""
)</f>
        <v/>
      </c>
      <c r="T3026" s="385"/>
      <c r="U3026" s="385" t="s">
        <v>672</v>
      </c>
      <c r="V3026" s="385" t="s">
        <v>1676</v>
      </c>
      <c r="W3026" s="385" t="s">
        <v>1436</v>
      </c>
      <c r="X3026" s="1"/>
    </row>
    <row r="3027" spans="1:24">
      <c r="A3027" s="385" t="s">
        <v>53</v>
      </c>
      <c r="B3027" s="385" t="s">
        <v>550</v>
      </c>
      <c r="C3027" s="385" t="s">
        <v>4491</v>
      </c>
      <c r="D3027" s="385" t="s">
        <v>89</v>
      </c>
      <c r="E3027" s="385"/>
      <c r="F3027" s="385"/>
      <c r="G3027" s="385"/>
      <c r="H3027" s="385">
        <v>2024</v>
      </c>
      <c r="I3027" s="386">
        <v>45457</v>
      </c>
      <c r="J3027" s="30"/>
      <c r="K3027" s="385"/>
      <c r="L3027" s="385"/>
      <c r="M3027" s="385"/>
      <c r="N3027" s="385"/>
      <c r="O3027" s="385"/>
      <c r="P3027" s="385" t="str">
        <f>IFERROR(
    IF(
        OR(ISBLANK(I3027), ISBLANK(L3027)),
        "",
        MAX(
            1,
            IF(
                NETWORKDAYS(I3027, L3027, Holiday_Dates) &lt;= 0,
                1,
                NETWORKDAYS(I3027, L3027, Holiday_Dates) - IF(I3027 = L3027, 0, 1)
            )
        )
    ),
    ""
)</f>
        <v/>
      </c>
      <c r="Q3027" s="385" t="str">
        <f>IF(
    OR(ISBLANK(L3027), ISBLANK(M3027)),
    "",
    MAX(
        1,
        IF(
            NETWORKDAYS(L3027, M3027, Holiday_Dates) &lt;= 0,
            1,
            NETWORKDAYS(L3027, M3027, Holiday_Dates) - IF(L3027 = M3027, 0, 1)
        )
    )
)</f>
        <v/>
      </c>
      <c r="R3027" s="385" t="str">
        <f>IFERROR(
    IF(
        OR(ISBLANK(N3027), AND(ISBLANK(L3027), ISBLANK(M3027))),
        "",
        MAX(
            1,
            IF(
                NETWORKDAYS(IF(NOT(ISBLANK(M3027)), M3027, L3027), N3027, Holiday_Dates) &lt;= 0,
                1,
                NETWORKDAYS(IF(NOT(ISBLANK(M3027)), M3027, L3027), N3027, Holiday_Dates)
                - IF(IF(NOT(ISBLANK(M3027)), M3027, L3027) = N3027, 0, 1)
            )
        )
    ),
    ""
)</f>
        <v/>
      </c>
      <c r="S3027" s="385" t="str">
        <f>IFERROR(
    IF(
        OR(ISBLANK(N3027), ISBLANK(O3027)),
        "",
        MAX(
            1,
            IF(
                NETWORKDAYS(N3027, O3027, Holiday_Dates) &lt;= 0,
                1,
                NETWORKDAYS(N3027, O3027, Holiday_Dates) - IF(N3027 = O3027, 0, 1)
            )
        )
    ),
    ""
)</f>
        <v/>
      </c>
      <c r="T3027" s="385"/>
      <c r="U3027" s="385" t="s">
        <v>4</v>
      </c>
      <c r="V3027" s="385" t="s">
        <v>1676</v>
      </c>
      <c r="W3027" s="385" t="s">
        <v>1436</v>
      </c>
      <c r="X3027" s="1"/>
    </row>
    <row r="3028" spans="1:24">
      <c r="A3028" s="385" t="s">
        <v>53</v>
      </c>
      <c r="B3028" s="385" t="s">
        <v>550</v>
      </c>
      <c r="C3028" s="385" t="s">
        <v>378</v>
      </c>
      <c r="D3028" s="385" t="s">
        <v>89</v>
      </c>
      <c r="E3028" s="385"/>
      <c r="F3028" s="385"/>
      <c r="G3028" s="385"/>
      <c r="H3028" s="385">
        <v>2025</v>
      </c>
      <c r="I3028" s="386">
        <v>45793</v>
      </c>
      <c r="J3028" s="30" t="s">
        <v>5853</v>
      </c>
      <c r="K3028" s="385"/>
      <c r="L3028" s="385"/>
      <c r="M3028" s="385"/>
      <c r="N3028" s="385"/>
      <c r="O3028" s="385"/>
      <c r="P3028" s="385" t="str">
        <f>IFERROR(
    IF(
        OR(ISBLANK(I3028), ISBLANK(L3028)),
        "",
        MAX(
            1,
            IF(
                NETWORKDAYS(I3028, L3028, Holiday_Dates) &lt;= 0,
                1,
                NETWORKDAYS(I3028, L3028, Holiday_Dates) - IF(I3028 = L3028, 0, 1)
            )
        )
    ),
    ""
)</f>
        <v/>
      </c>
      <c r="Q3028" s="385" t="str">
        <f>IF(
    OR(ISBLANK(L3028), ISBLANK(M3028)),
    "",
    MAX(
        1,
        IF(
            NETWORKDAYS(L3028, M3028, Holiday_Dates) &lt;= 0,
            1,
            NETWORKDAYS(L3028, M3028, Holiday_Dates) - IF(L3028 = M3028, 0, 1)
        )
    )
)</f>
        <v/>
      </c>
      <c r="R3028" s="385" t="str">
        <f>IFERROR(
    IF(
        OR(ISBLANK(N3028), AND(ISBLANK(L3028), ISBLANK(M3028))),
        "",
        MAX(
            1,
            IF(
                NETWORKDAYS(IF(NOT(ISBLANK(M3028)), M3028, L3028), N3028, Holiday_Dates) &lt;= 0,
                1,
                NETWORKDAYS(IF(NOT(ISBLANK(M3028)), M3028, L3028), N3028, Holiday_Dates)
                - IF(IF(NOT(ISBLANK(M3028)), M3028, L3028) = N3028, 0, 1)
            )
        )
    ),
    ""
)</f>
        <v/>
      </c>
      <c r="S3028" s="385" t="str">
        <f>IFERROR(
    IF(
        OR(ISBLANK(N3028), ISBLANK(O3028)),
        "",
        MAX(
            1,
            IF(
                NETWORKDAYS(N3028, O3028, Holiday_Dates) &lt;= 0,
                1,
                NETWORKDAYS(N3028, O3028, Holiday_Dates) - IF(N3028 = O3028, 0, 1)
            )
        )
    ),
    ""
)</f>
        <v/>
      </c>
      <c r="T3028" s="385"/>
      <c r="U3028" s="385" t="s">
        <v>4</v>
      </c>
      <c r="V3028" s="385" t="s">
        <v>101</v>
      </c>
      <c r="W3028" s="385" t="s">
        <v>1436</v>
      </c>
      <c r="X3028" s="1"/>
    </row>
    <row r="3029" spans="1:24">
      <c r="A3029" s="385" t="s">
        <v>53</v>
      </c>
      <c r="B3029" s="385" t="s">
        <v>550</v>
      </c>
      <c r="C3029" s="385" t="s">
        <v>1879</v>
      </c>
      <c r="D3029" s="385" t="s">
        <v>89</v>
      </c>
      <c r="E3029" s="385"/>
      <c r="F3029" s="385"/>
      <c r="G3029" s="385"/>
      <c r="H3029" s="385">
        <v>2025</v>
      </c>
      <c r="I3029" s="386">
        <v>45793</v>
      </c>
      <c r="J3029" s="30" t="s">
        <v>5854</v>
      </c>
      <c r="K3029" s="385"/>
      <c r="L3029" s="385"/>
      <c r="M3029" s="385"/>
      <c r="N3029" s="385"/>
      <c r="O3029" s="385"/>
      <c r="P3029" s="385" t="str">
        <f>IFERROR(
    IF(
        OR(ISBLANK(I3029), ISBLANK(L3029)),
        "",
        MAX(
            1,
            IF(
                NETWORKDAYS(I3029, L3029, Holiday_Dates) &lt;= 0,
                1,
                NETWORKDAYS(I3029, L3029, Holiday_Dates) - IF(I3029 = L3029, 0, 1)
            )
        )
    ),
    ""
)</f>
        <v/>
      </c>
      <c r="Q3029" s="385" t="str">
        <f>IF(
    OR(ISBLANK(L3029), ISBLANK(M3029)),
    "",
    MAX(
        1,
        IF(
            NETWORKDAYS(L3029, M3029, Holiday_Dates) &lt;= 0,
            1,
            NETWORKDAYS(L3029, M3029, Holiday_Dates) - IF(L3029 = M3029, 0, 1)
        )
    )
)</f>
        <v/>
      </c>
      <c r="R3029" s="385" t="str">
        <f>IFERROR(
    IF(
        OR(ISBLANK(N3029), AND(ISBLANK(L3029), ISBLANK(M3029))),
        "",
        MAX(
            1,
            IF(
                NETWORKDAYS(IF(NOT(ISBLANK(M3029)), M3029, L3029), N3029, Holiday_Dates) &lt;= 0,
                1,
                NETWORKDAYS(IF(NOT(ISBLANK(M3029)), M3029, L3029), N3029, Holiday_Dates)
                - IF(IF(NOT(ISBLANK(M3029)), M3029, L3029) = N3029, 0, 1)
            )
        )
    ),
    ""
)</f>
        <v/>
      </c>
      <c r="S3029" s="385" t="str">
        <f>IFERROR(
    IF(
        OR(ISBLANK(N3029), ISBLANK(O3029)),
        "",
        MAX(
            1,
            IF(
                NETWORKDAYS(N3029, O3029, Holiday_Dates) &lt;= 0,
                1,
                NETWORKDAYS(N3029, O3029, Holiday_Dates) - IF(N3029 = O3029, 0, 1)
            )
        )
    ),
    ""
)</f>
        <v/>
      </c>
      <c r="T3029" s="385"/>
      <c r="U3029" s="385" t="s">
        <v>672</v>
      </c>
      <c r="V3029" s="385" t="s">
        <v>101</v>
      </c>
      <c r="W3029" s="385" t="s">
        <v>1436</v>
      </c>
      <c r="X3029" s="1"/>
    </row>
    <row r="3030" spans="1:24">
      <c r="A3030" s="385" t="s">
        <v>53</v>
      </c>
      <c r="B3030" s="385" t="s">
        <v>550</v>
      </c>
      <c r="C3030" s="385" t="s">
        <v>4494</v>
      </c>
      <c r="D3030" s="385" t="s">
        <v>89</v>
      </c>
      <c r="E3030" s="385"/>
      <c r="F3030" s="385"/>
      <c r="G3030" s="385"/>
      <c r="H3030" s="385">
        <v>2025</v>
      </c>
      <c r="I3030" s="386">
        <v>45945</v>
      </c>
      <c r="J3030" s="30" t="s">
        <v>5855</v>
      </c>
      <c r="K3030" s="385"/>
      <c r="L3030" s="385"/>
      <c r="M3030" s="385"/>
      <c r="N3030" s="385"/>
      <c r="O3030" s="385"/>
      <c r="P3030" s="385" t="str">
        <f>IFERROR(
    IF(
        OR(ISBLANK(I3030), ISBLANK(L3030)),
        "",
        MAX(
            1,
            IF(
                NETWORKDAYS(I3030, L3030, Holiday_Dates) &lt;= 0,
                1,
                NETWORKDAYS(I3030, L3030, Holiday_Dates) - IF(I3030 = L3030, 0, 1)
            )
        )
    ),
    ""
)</f>
        <v/>
      </c>
      <c r="Q3030" s="385" t="str">
        <f>IF(
    OR(ISBLANK(L3030), ISBLANK(M3030)),
    "",
    MAX(
        1,
        IF(
            NETWORKDAYS(L3030, M3030, Holiday_Dates) &lt;= 0,
            1,
            NETWORKDAYS(L3030, M3030, Holiday_Dates) - IF(L3030 = M3030, 0, 1)
        )
    )
)</f>
        <v/>
      </c>
      <c r="R3030" s="385" t="str">
        <f>IFERROR(
    IF(
        OR(ISBLANK(N3030), AND(ISBLANK(L3030), ISBLANK(M3030))),
        "",
        MAX(
            1,
            IF(
                NETWORKDAYS(IF(NOT(ISBLANK(M3030)), M3030, L3030), N3030, Holiday_Dates) &lt;= 0,
                1,
                NETWORKDAYS(IF(NOT(ISBLANK(M3030)), M3030, L3030), N3030, Holiday_Dates)
                - IF(IF(NOT(ISBLANK(M3030)), M3030, L3030) = N3030, 0, 1)
            )
        )
    ),
    ""
)</f>
        <v/>
      </c>
      <c r="S3030" s="385" t="str">
        <f>IFERROR(
    IF(
        OR(ISBLANK(N3030), ISBLANK(O3030)),
        "",
        MAX(
            1,
            IF(
                NETWORKDAYS(N3030, O3030, Holiday_Dates) &lt;= 0,
                1,
                NETWORKDAYS(N3030, O3030, Holiday_Dates) - IF(N3030 = O3030, 0, 1)
            )
        )
    ),
    ""
)</f>
        <v/>
      </c>
      <c r="T3030" s="385"/>
      <c r="U3030" s="385" t="s">
        <v>4</v>
      </c>
      <c r="V3030" s="385" t="s">
        <v>101</v>
      </c>
      <c r="W3030" s="385" t="s">
        <v>1436</v>
      </c>
      <c r="X3030" s="1"/>
    </row>
    <row r="3031" spans="1:24">
      <c r="A3031" s="385" t="s">
        <v>53</v>
      </c>
      <c r="B3031" s="385" t="s">
        <v>355</v>
      </c>
      <c r="C3031" s="385" t="s">
        <v>4495</v>
      </c>
      <c r="D3031" s="385" t="s">
        <v>89</v>
      </c>
      <c r="E3031" s="385"/>
      <c r="F3031" s="385"/>
      <c r="G3031" s="385"/>
      <c r="H3031" s="385">
        <v>2024</v>
      </c>
      <c r="I3031" s="386">
        <v>45454</v>
      </c>
      <c r="J3031" s="30"/>
      <c r="K3031" s="385"/>
      <c r="L3031" s="385"/>
      <c r="M3031" s="385"/>
      <c r="N3031" s="385"/>
      <c r="O3031" s="385"/>
      <c r="P3031" s="385" t="str">
        <f>IFERROR(
    IF(
        OR(ISBLANK(I3031), ISBLANK(L3031)),
        "",
        MAX(
            1,
            IF(
                NETWORKDAYS(I3031, L3031, Holiday_Dates) &lt;= 0,
                1,
                NETWORKDAYS(I3031, L3031, Holiday_Dates) - IF(I3031 = L3031, 0, 1)
            )
        )
    ),
    ""
)</f>
        <v/>
      </c>
      <c r="Q3031" s="385" t="str">
        <f>IF(
    OR(ISBLANK(L3031), ISBLANK(M3031)),
    "",
    MAX(
        1,
        IF(
            NETWORKDAYS(L3031, M3031, Holiday_Dates) &lt;= 0,
            1,
            NETWORKDAYS(L3031, M3031, Holiday_Dates) - IF(L3031 = M3031, 0, 1)
        )
    )
)</f>
        <v/>
      </c>
      <c r="R3031" s="385" t="str">
        <f>IFERROR(
    IF(
        OR(ISBLANK(N3031), AND(ISBLANK(L3031), ISBLANK(M3031))),
        "",
        MAX(
            1,
            IF(
                NETWORKDAYS(IF(NOT(ISBLANK(M3031)), M3031, L3031), N3031, Holiday_Dates) &lt;= 0,
                1,
                NETWORKDAYS(IF(NOT(ISBLANK(M3031)), M3031, L3031), N3031, Holiday_Dates)
                - IF(IF(NOT(ISBLANK(M3031)), M3031, L3031) = N3031, 0, 1)
            )
        )
    ),
    ""
)</f>
        <v/>
      </c>
      <c r="S3031" s="385" t="str">
        <f>IFERROR(
    IF(
        OR(ISBLANK(N3031), ISBLANK(O3031)),
        "",
        MAX(
            1,
            IF(
                NETWORKDAYS(N3031, O3031, Holiday_Dates) &lt;= 0,
                1,
                NETWORKDAYS(N3031, O3031, Holiday_Dates) - IF(N3031 = O3031, 0, 1)
            )
        )
    ),
    ""
)</f>
        <v/>
      </c>
      <c r="T3031" s="385"/>
      <c r="U3031" s="385" t="s">
        <v>4</v>
      </c>
      <c r="V3031" s="385" t="s">
        <v>101</v>
      </c>
      <c r="W3031" s="385" t="s">
        <v>1436</v>
      </c>
      <c r="X3031" s="1"/>
    </row>
    <row r="3032" spans="1:24">
      <c r="A3032" s="385" t="s">
        <v>53</v>
      </c>
      <c r="B3032" s="385" t="s">
        <v>355</v>
      </c>
      <c r="C3032" s="385" t="s">
        <v>4497</v>
      </c>
      <c r="D3032" s="385" t="s">
        <v>89</v>
      </c>
      <c r="E3032" s="385"/>
      <c r="F3032" s="385"/>
      <c r="G3032" s="385"/>
      <c r="H3032" s="385">
        <v>2024</v>
      </c>
      <c r="I3032" s="386">
        <v>45448</v>
      </c>
      <c r="J3032" s="30"/>
      <c r="K3032" s="385"/>
      <c r="L3032" s="385"/>
      <c r="M3032" s="385"/>
      <c r="N3032" s="385"/>
      <c r="O3032" s="385"/>
      <c r="P3032" s="385" t="str">
        <f>IFERROR(
    IF(
        OR(ISBLANK(I3032), ISBLANK(L3032)),
        "",
        MAX(
            1,
            IF(
                NETWORKDAYS(I3032, L3032, Holiday_Dates) &lt;= 0,
                1,
                NETWORKDAYS(I3032, L3032, Holiday_Dates) - IF(I3032 = L3032, 0, 1)
            )
        )
    ),
    ""
)</f>
        <v/>
      </c>
      <c r="Q3032" s="385" t="str">
        <f>IF(
    OR(ISBLANK(L3032), ISBLANK(M3032)),
    "",
    MAX(
        1,
        IF(
            NETWORKDAYS(L3032, M3032, Holiday_Dates) &lt;= 0,
            1,
            NETWORKDAYS(L3032, M3032, Holiday_Dates) - IF(L3032 = M3032, 0, 1)
        )
    )
)</f>
        <v/>
      </c>
      <c r="R3032" s="385" t="str">
        <f>IFERROR(
    IF(
        OR(ISBLANK(N3032), AND(ISBLANK(L3032), ISBLANK(M3032))),
        "",
        MAX(
            1,
            IF(
                NETWORKDAYS(IF(NOT(ISBLANK(M3032)), M3032, L3032), N3032, Holiday_Dates) &lt;= 0,
                1,
                NETWORKDAYS(IF(NOT(ISBLANK(M3032)), M3032, L3032), N3032, Holiday_Dates)
                - IF(IF(NOT(ISBLANK(M3032)), M3032, L3032) = N3032, 0, 1)
            )
        )
    ),
    ""
)</f>
        <v/>
      </c>
      <c r="S3032" s="385" t="str">
        <f>IFERROR(
    IF(
        OR(ISBLANK(N3032), ISBLANK(O3032)),
        "",
        MAX(
            1,
            IF(
                NETWORKDAYS(N3032, O3032, Holiday_Dates) &lt;= 0,
                1,
                NETWORKDAYS(N3032, O3032, Holiday_Dates) - IF(N3032 = O3032, 0, 1)
            )
        )
    ),
    ""
)</f>
        <v/>
      </c>
      <c r="T3032" s="385"/>
      <c r="U3032" s="385" t="s">
        <v>4</v>
      </c>
      <c r="V3032" s="385" t="s">
        <v>101</v>
      </c>
      <c r="W3032" s="385" t="s">
        <v>1436</v>
      </c>
      <c r="X3032" s="1"/>
    </row>
    <row r="3033" spans="1:24">
      <c r="A3033" s="385" t="s">
        <v>53</v>
      </c>
      <c r="B3033" s="385" t="s">
        <v>355</v>
      </c>
      <c r="C3033" s="385" t="s">
        <v>1817</v>
      </c>
      <c r="D3033" s="385" t="s">
        <v>89</v>
      </c>
      <c r="E3033" s="385"/>
      <c r="F3033" s="385"/>
      <c r="G3033" s="385"/>
      <c r="H3033" s="385">
        <v>2024</v>
      </c>
      <c r="I3033" s="386">
        <v>45569</v>
      </c>
      <c r="J3033" s="30"/>
      <c r="K3033" s="385"/>
      <c r="L3033" s="385"/>
      <c r="M3033" s="385"/>
      <c r="N3033" s="385"/>
      <c r="O3033" s="385"/>
      <c r="P3033" s="385" t="str">
        <f>IFERROR(
    IF(
        OR(ISBLANK(I3033), ISBLANK(L3033)),
        "",
        MAX(
            1,
            IF(
                NETWORKDAYS(I3033, L3033, Holiday_Dates) &lt;= 0,
                1,
                NETWORKDAYS(I3033, L3033, Holiday_Dates) - IF(I3033 = L3033, 0, 1)
            )
        )
    ),
    ""
)</f>
        <v/>
      </c>
      <c r="Q3033" s="385" t="str">
        <f>IF(
    OR(ISBLANK(L3033), ISBLANK(M3033)),
    "",
    MAX(
        1,
        IF(
            NETWORKDAYS(L3033, M3033, Holiday_Dates) &lt;= 0,
            1,
            NETWORKDAYS(L3033, M3033, Holiday_Dates) - IF(L3033 = M3033, 0, 1)
        )
    )
)</f>
        <v/>
      </c>
      <c r="R3033" s="385" t="str">
        <f>IFERROR(
    IF(
        OR(ISBLANK(N3033), AND(ISBLANK(L3033), ISBLANK(M3033))),
        "",
        MAX(
            1,
            IF(
                NETWORKDAYS(IF(NOT(ISBLANK(M3033)), M3033, L3033), N3033, Holiday_Dates) &lt;= 0,
                1,
                NETWORKDAYS(IF(NOT(ISBLANK(M3033)), M3033, L3033), N3033, Holiday_Dates)
                - IF(IF(NOT(ISBLANK(M3033)), M3033, L3033) = N3033, 0, 1)
            )
        )
    ),
    ""
)</f>
        <v/>
      </c>
      <c r="S3033" s="385" t="str">
        <f>IFERROR(
    IF(
        OR(ISBLANK(N3033), ISBLANK(O3033)),
        "",
        MAX(
            1,
            IF(
                NETWORKDAYS(N3033, O3033, Holiday_Dates) &lt;= 0,
                1,
                NETWORKDAYS(N3033, O3033, Holiday_Dates) - IF(N3033 = O3033, 0, 1)
            )
        )
    ),
    ""
)</f>
        <v/>
      </c>
      <c r="T3033" s="385"/>
      <c r="U3033" s="385" t="s">
        <v>4</v>
      </c>
      <c r="V3033" s="385" t="s">
        <v>101</v>
      </c>
      <c r="W3033" s="385" t="s">
        <v>1436</v>
      </c>
      <c r="X3033" s="1"/>
    </row>
    <row r="3034" spans="1:24">
      <c r="A3034" s="385" t="s">
        <v>53</v>
      </c>
      <c r="B3034" s="385" t="s">
        <v>355</v>
      </c>
      <c r="C3034" s="385" t="s">
        <v>4512</v>
      </c>
      <c r="D3034" s="385" t="s">
        <v>89</v>
      </c>
      <c r="E3034" s="385"/>
      <c r="F3034" s="385"/>
      <c r="G3034" s="385"/>
      <c r="H3034" s="385">
        <v>2025</v>
      </c>
      <c r="I3034" s="386">
        <v>45884</v>
      </c>
      <c r="J3034" s="30" t="s">
        <v>5856</v>
      </c>
      <c r="K3034" s="385"/>
      <c r="L3034" s="385"/>
      <c r="M3034" s="385"/>
      <c r="N3034" s="385"/>
      <c r="O3034" s="385"/>
      <c r="P3034" s="385" t="str">
        <f>IFERROR(
    IF(
        OR(ISBLANK(I3034), ISBLANK(L3034)),
        "",
        MAX(
            1,
            IF(
                NETWORKDAYS(I3034, L3034, Holiday_Dates) &lt;= 0,
                1,
                NETWORKDAYS(I3034, L3034, Holiday_Dates) - IF(I3034 = L3034, 0, 1)
            )
        )
    ),
    ""
)</f>
        <v/>
      </c>
      <c r="Q3034" s="385" t="str">
        <f>IF(
    OR(ISBLANK(L3034), ISBLANK(M3034)),
    "",
    MAX(
        1,
        IF(
            NETWORKDAYS(L3034, M3034, Holiday_Dates) &lt;= 0,
            1,
            NETWORKDAYS(L3034, M3034, Holiday_Dates) - IF(L3034 = M3034, 0, 1)
        )
    )
)</f>
        <v/>
      </c>
      <c r="R3034" s="385" t="str">
        <f>IFERROR(
    IF(
        OR(ISBLANK(N3034), AND(ISBLANK(L3034), ISBLANK(M3034))),
        "",
        MAX(
            1,
            IF(
                NETWORKDAYS(IF(NOT(ISBLANK(M3034)), M3034, L3034), N3034, Holiday_Dates) &lt;= 0,
                1,
                NETWORKDAYS(IF(NOT(ISBLANK(M3034)), M3034, L3034), N3034, Holiday_Dates)
                - IF(IF(NOT(ISBLANK(M3034)), M3034, L3034) = N3034, 0, 1)
            )
        )
    ),
    ""
)</f>
        <v/>
      </c>
      <c r="S3034" s="385" t="str">
        <f>IFERROR(
    IF(
        OR(ISBLANK(N3034), ISBLANK(O3034)),
        "",
        MAX(
            1,
            IF(
                NETWORKDAYS(N3034, O3034, Holiday_Dates) &lt;= 0,
                1,
                NETWORKDAYS(N3034, O3034, Holiday_Dates) - IF(N3034 = O3034, 0, 1)
            )
        )
    ),
    ""
)</f>
        <v/>
      </c>
      <c r="T3034" s="385"/>
      <c r="U3034" s="385" t="s">
        <v>672</v>
      </c>
      <c r="V3034" s="385" t="s">
        <v>101</v>
      </c>
      <c r="W3034" s="385" t="s">
        <v>1436</v>
      </c>
      <c r="X3034" s="1"/>
    </row>
    <row r="3035" spans="1:24">
      <c r="A3035" s="385" t="s">
        <v>53</v>
      </c>
      <c r="B3035" s="385" t="s">
        <v>355</v>
      </c>
      <c r="C3035" s="385" t="s">
        <v>4500</v>
      </c>
      <c r="D3035" s="385" t="s">
        <v>89</v>
      </c>
      <c r="E3035" s="385"/>
      <c r="F3035" s="385"/>
      <c r="G3035" s="385"/>
      <c r="H3035" s="385">
        <v>2024</v>
      </c>
      <c r="I3035" s="386">
        <v>45569</v>
      </c>
      <c r="J3035" s="30"/>
      <c r="K3035" s="385"/>
      <c r="L3035" s="385"/>
      <c r="M3035" s="385"/>
      <c r="N3035" s="385"/>
      <c r="O3035" s="385"/>
      <c r="P3035" s="385" t="str">
        <f>IFERROR(
    IF(
        OR(ISBLANK(I3035), ISBLANK(L3035)),
        "",
        MAX(
            1,
            IF(
                NETWORKDAYS(I3035, L3035, Holiday_Dates) &lt;= 0,
                1,
                NETWORKDAYS(I3035, L3035, Holiday_Dates) - IF(I3035 = L3035, 0, 1)
            )
        )
    ),
    ""
)</f>
        <v/>
      </c>
      <c r="Q3035" s="385" t="str">
        <f>IF(
    OR(ISBLANK(L3035), ISBLANK(M3035)),
    "",
    MAX(
        1,
        IF(
            NETWORKDAYS(L3035, M3035, Holiday_Dates) &lt;= 0,
            1,
            NETWORKDAYS(L3035, M3035, Holiday_Dates) - IF(L3035 = M3035, 0, 1)
        )
    )
)</f>
        <v/>
      </c>
      <c r="R3035" s="385" t="str">
        <f>IFERROR(
    IF(
        OR(ISBLANK(N3035), AND(ISBLANK(L3035), ISBLANK(M3035))),
        "",
        MAX(
            1,
            IF(
                NETWORKDAYS(IF(NOT(ISBLANK(M3035)), M3035, L3035), N3035, Holiday_Dates) &lt;= 0,
                1,
                NETWORKDAYS(IF(NOT(ISBLANK(M3035)), M3035, L3035), N3035, Holiday_Dates)
                - IF(IF(NOT(ISBLANK(M3035)), M3035, L3035) = N3035, 0, 1)
            )
        )
    ),
    ""
)</f>
        <v/>
      </c>
      <c r="S3035" s="385" t="str">
        <f>IFERROR(
    IF(
        OR(ISBLANK(N3035), ISBLANK(O3035)),
        "",
        MAX(
            1,
            IF(
                NETWORKDAYS(N3035, O3035, Holiday_Dates) &lt;= 0,
                1,
                NETWORKDAYS(N3035, O3035, Holiday_Dates) - IF(N3035 = O3035, 0, 1)
            )
        )
    ),
    ""
)</f>
        <v/>
      </c>
      <c r="T3035" s="385"/>
      <c r="U3035" s="385" t="s">
        <v>4</v>
      </c>
      <c r="V3035" s="385" t="s">
        <v>101</v>
      </c>
      <c r="W3035" s="385" t="s">
        <v>1436</v>
      </c>
      <c r="X3035" s="1"/>
    </row>
    <row r="3036" spans="1:24">
      <c r="A3036" s="385" t="s">
        <v>53</v>
      </c>
      <c r="B3036" s="385" t="s">
        <v>355</v>
      </c>
      <c r="C3036" s="385" t="s">
        <v>4502</v>
      </c>
      <c r="D3036" s="385" t="s">
        <v>89</v>
      </c>
      <c r="E3036" s="385"/>
      <c r="F3036" s="385"/>
      <c r="G3036" s="385"/>
      <c r="H3036" s="385">
        <v>2025</v>
      </c>
      <c r="I3036" s="386">
        <v>45884</v>
      </c>
      <c r="J3036" s="30" t="s">
        <v>5857</v>
      </c>
      <c r="K3036" s="385"/>
      <c r="L3036" s="385"/>
      <c r="M3036" s="385"/>
      <c r="N3036" s="385"/>
      <c r="O3036" s="385"/>
      <c r="P3036" s="385" t="str">
        <f>IFERROR(
    IF(
        OR(ISBLANK(I3036), ISBLANK(L3036)),
        "",
        MAX(
            1,
            IF(
                NETWORKDAYS(I3036, L3036, Holiday_Dates) &lt;= 0,
                1,
                NETWORKDAYS(I3036, L3036, Holiday_Dates) - IF(I3036 = L3036, 0, 1)
            )
        )
    ),
    ""
)</f>
        <v/>
      </c>
      <c r="Q3036" s="385" t="str">
        <f>IF(
    OR(ISBLANK(L3036), ISBLANK(M3036)),
    "",
    MAX(
        1,
        IF(
            NETWORKDAYS(L3036, M3036, Holiday_Dates) &lt;= 0,
            1,
            NETWORKDAYS(L3036, M3036, Holiday_Dates) - IF(L3036 = M3036, 0, 1)
        )
    )
)</f>
        <v/>
      </c>
      <c r="R3036" s="385" t="str">
        <f>IFERROR(
    IF(
        OR(ISBLANK(N3036), AND(ISBLANK(L3036), ISBLANK(M3036))),
        "",
        MAX(
            1,
            IF(
                NETWORKDAYS(IF(NOT(ISBLANK(M3036)), M3036, L3036), N3036, Holiday_Dates) &lt;= 0,
                1,
                NETWORKDAYS(IF(NOT(ISBLANK(M3036)), M3036, L3036), N3036, Holiday_Dates)
                - IF(IF(NOT(ISBLANK(M3036)), M3036, L3036) = N3036, 0, 1)
            )
        )
    ),
    ""
)</f>
        <v/>
      </c>
      <c r="S3036" s="385" t="str">
        <f>IFERROR(
    IF(
        OR(ISBLANK(N3036), ISBLANK(O3036)),
        "",
        MAX(
            1,
            IF(
                NETWORKDAYS(N3036, O3036, Holiday_Dates) &lt;= 0,
                1,
                NETWORKDAYS(N3036, O3036, Holiday_Dates) - IF(N3036 = O3036, 0, 1)
            )
        )
    ),
    ""
)</f>
        <v/>
      </c>
      <c r="T3036" s="385"/>
      <c r="U3036" s="385" t="s">
        <v>4</v>
      </c>
      <c r="V3036" s="385" t="s">
        <v>101</v>
      </c>
      <c r="W3036" s="385" t="s">
        <v>1436</v>
      </c>
      <c r="X3036" s="1"/>
    </row>
    <row r="3037" spans="1:24">
      <c r="A3037" s="385" t="s">
        <v>53</v>
      </c>
      <c r="B3037" s="385" t="s">
        <v>355</v>
      </c>
      <c r="C3037" s="385" t="s">
        <v>4503</v>
      </c>
      <c r="D3037" s="385" t="s">
        <v>89</v>
      </c>
      <c r="E3037" s="385"/>
      <c r="F3037" s="385"/>
      <c r="G3037" s="385"/>
      <c r="H3037" s="385">
        <v>2025</v>
      </c>
      <c r="I3037" s="386">
        <v>45884</v>
      </c>
      <c r="J3037" s="30" t="s">
        <v>5858</v>
      </c>
      <c r="K3037" s="385"/>
      <c r="L3037" s="385"/>
      <c r="M3037" s="385"/>
      <c r="N3037" s="385"/>
      <c r="O3037" s="385"/>
      <c r="P3037" s="385" t="str">
        <f>IFERROR(
    IF(
        OR(ISBLANK(I3037), ISBLANK(L3037)),
        "",
        MAX(
            1,
            IF(
                NETWORKDAYS(I3037, L3037, Holiday_Dates) &lt;= 0,
                1,
                NETWORKDAYS(I3037, L3037, Holiday_Dates) - IF(I3037 = L3037, 0, 1)
            )
        )
    ),
    ""
)</f>
        <v/>
      </c>
      <c r="Q3037" s="385" t="str">
        <f>IF(
    OR(ISBLANK(L3037), ISBLANK(M3037)),
    "",
    MAX(
        1,
        IF(
            NETWORKDAYS(L3037, M3037, Holiday_Dates) &lt;= 0,
            1,
            NETWORKDAYS(L3037, M3037, Holiday_Dates) - IF(L3037 = M3037, 0, 1)
        )
    )
)</f>
        <v/>
      </c>
      <c r="R3037" s="385" t="str">
        <f>IFERROR(
    IF(
        OR(ISBLANK(N3037), AND(ISBLANK(L3037), ISBLANK(M3037))),
        "",
        MAX(
            1,
            IF(
                NETWORKDAYS(IF(NOT(ISBLANK(M3037)), M3037, L3037), N3037, Holiday_Dates) &lt;= 0,
                1,
                NETWORKDAYS(IF(NOT(ISBLANK(M3037)), M3037, L3037), N3037, Holiday_Dates)
                - IF(IF(NOT(ISBLANK(M3037)), M3037, L3037) = N3037, 0, 1)
            )
        )
    ),
    ""
)</f>
        <v/>
      </c>
      <c r="S3037" s="385" t="str">
        <f>IFERROR(
    IF(
        OR(ISBLANK(N3037), ISBLANK(O3037)),
        "",
        MAX(
            1,
            IF(
                NETWORKDAYS(N3037, O3037, Holiday_Dates) &lt;= 0,
                1,
                NETWORKDAYS(N3037, O3037, Holiday_Dates) - IF(N3037 = O3037, 0, 1)
            )
        )
    ),
    ""
)</f>
        <v/>
      </c>
      <c r="T3037" s="385"/>
      <c r="U3037" s="385" t="s">
        <v>4</v>
      </c>
      <c r="V3037" s="385" t="s">
        <v>101</v>
      </c>
      <c r="W3037" s="385" t="s">
        <v>1436</v>
      </c>
      <c r="X3037" s="1"/>
    </row>
    <row r="3038" spans="1:24">
      <c r="A3038" s="385" t="s">
        <v>53</v>
      </c>
      <c r="B3038" s="385" t="s">
        <v>355</v>
      </c>
      <c r="C3038" s="385" t="s">
        <v>4349</v>
      </c>
      <c r="D3038" s="385" t="s">
        <v>89</v>
      </c>
      <c r="E3038" s="385"/>
      <c r="F3038" s="385"/>
      <c r="G3038" s="385"/>
      <c r="H3038" s="385">
        <v>2025</v>
      </c>
      <c r="I3038" s="386">
        <v>45884</v>
      </c>
      <c r="J3038" s="30" t="s">
        <v>5859</v>
      </c>
      <c r="K3038" s="385"/>
      <c r="L3038" s="385"/>
      <c r="M3038" s="385"/>
      <c r="N3038" s="385"/>
      <c r="O3038" s="385"/>
      <c r="P3038" s="385" t="str">
        <f>IFERROR(
    IF(
        OR(ISBLANK(I3038), ISBLANK(L3038)),
        "",
        MAX(
            1,
            IF(
                NETWORKDAYS(I3038, L3038, Holiday_Dates) &lt;= 0,
                1,
                NETWORKDAYS(I3038, L3038, Holiday_Dates) - IF(I3038 = L3038, 0, 1)
            )
        )
    ),
    ""
)</f>
        <v/>
      </c>
      <c r="Q3038" s="385" t="str">
        <f>IF(
    OR(ISBLANK(L3038), ISBLANK(M3038)),
    "",
    MAX(
        1,
        IF(
            NETWORKDAYS(L3038, M3038, Holiday_Dates) &lt;= 0,
            1,
            NETWORKDAYS(L3038, M3038, Holiday_Dates) - IF(L3038 = M3038, 0, 1)
        )
    )
)</f>
        <v/>
      </c>
      <c r="R3038" s="385" t="str">
        <f>IFERROR(
    IF(
        OR(ISBLANK(N3038), AND(ISBLANK(L3038), ISBLANK(M3038))),
        "",
        MAX(
            1,
            IF(
                NETWORKDAYS(IF(NOT(ISBLANK(M3038)), M3038, L3038), N3038, Holiday_Dates) &lt;= 0,
                1,
                NETWORKDAYS(IF(NOT(ISBLANK(M3038)), M3038, L3038), N3038, Holiday_Dates)
                - IF(IF(NOT(ISBLANK(M3038)), M3038, L3038) = N3038, 0, 1)
            )
        )
    ),
    ""
)</f>
        <v/>
      </c>
      <c r="S3038" s="385" t="str">
        <f>IFERROR(
    IF(
        OR(ISBLANK(N3038), ISBLANK(O3038)),
        "",
        MAX(
            1,
            IF(
                NETWORKDAYS(N3038, O3038, Holiday_Dates) &lt;= 0,
                1,
                NETWORKDAYS(N3038, O3038, Holiday_Dates) - IF(N3038 = O3038, 0, 1)
            )
        )
    ),
    ""
)</f>
        <v/>
      </c>
      <c r="T3038" s="385"/>
      <c r="U3038" s="385" t="s">
        <v>4</v>
      </c>
      <c r="V3038" s="385" t="s">
        <v>101</v>
      </c>
      <c r="W3038" s="385" t="s">
        <v>1436</v>
      </c>
      <c r="X3038" s="1"/>
    </row>
    <row r="3039" spans="1:24">
      <c r="A3039" s="385" t="s">
        <v>53</v>
      </c>
      <c r="B3039" s="385" t="s">
        <v>355</v>
      </c>
      <c r="C3039" s="385" t="s">
        <v>1090</v>
      </c>
      <c r="D3039" s="385" t="s">
        <v>89</v>
      </c>
      <c r="E3039" s="385"/>
      <c r="F3039" s="385"/>
      <c r="G3039" s="385"/>
      <c r="H3039" s="385">
        <v>2025</v>
      </c>
      <c r="I3039" s="386">
        <v>45884</v>
      </c>
      <c r="J3039" s="30" t="s">
        <v>5860</v>
      </c>
      <c r="K3039" s="385"/>
      <c r="L3039" s="385"/>
      <c r="M3039" s="385"/>
      <c r="N3039" s="385"/>
      <c r="O3039" s="385"/>
      <c r="P3039" s="385" t="str">
        <f>IFERROR(
    IF(
        OR(ISBLANK(I3039), ISBLANK(L3039)),
        "",
        MAX(
            1,
            IF(
                NETWORKDAYS(I3039, L3039, Holiday_Dates) &lt;= 0,
                1,
                NETWORKDAYS(I3039, L3039, Holiday_Dates) - IF(I3039 = L3039, 0, 1)
            )
        )
    ),
    ""
)</f>
        <v/>
      </c>
      <c r="Q3039" s="385" t="str">
        <f>IF(
    OR(ISBLANK(L3039), ISBLANK(M3039)),
    "",
    MAX(
        1,
        IF(
            NETWORKDAYS(L3039, M3039, Holiday_Dates) &lt;= 0,
            1,
            NETWORKDAYS(L3039, M3039, Holiday_Dates) - IF(L3039 = M3039, 0, 1)
        )
    )
)</f>
        <v/>
      </c>
      <c r="R3039" s="385" t="str">
        <f>IFERROR(
    IF(
        OR(ISBLANK(N3039), AND(ISBLANK(L3039), ISBLANK(M3039))),
        "",
        MAX(
            1,
            IF(
                NETWORKDAYS(IF(NOT(ISBLANK(M3039)), M3039, L3039), N3039, Holiday_Dates) &lt;= 0,
                1,
                NETWORKDAYS(IF(NOT(ISBLANK(M3039)), M3039, L3039), N3039, Holiday_Dates)
                - IF(IF(NOT(ISBLANK(M3039)), M3039, L3039) = N3039, 0, 1)
            )
        )
    ),
    ""
)</f>
        <v/>
      </c>
      <c r="S3039" s="385" t="str">
        <f>IFERROR(
    IF(
        OR(ISBLANK(N3039), ISBLANK(O3039)),
        "",
        MAX(
            1,
            IF(
                NETWORKDAYS(N3039, O3039, Holiday_Dates) &lt;= 0,
                1,
                NETWORKDAYS(N3039, O3039, Holiday_Dates) - IF(N3039 = O3039, 0, 1)
            )
        )
    ),
    ""
)</f>
        <v/>
      </c>
      <c r="T3039" s="385"/>
      <c r="U3039" s="385" t="s">
        <v>4</v>
      </c>
      <c r="V3039" s="385" t="s">
        <v>101</v>
      </c>
      <c r="W3039" s="385" t="s">
        <v>1436</v>
      </c>
      <c r="X3039" s="1"/>
    </row>
    <row r="3040" spans="1:24">
      <c r="A3040" s="385" t="s">
        <v>53</v>
      </c>
      <c r="B3040" s="385" t="s">
        <v>355</v>
      </c>
      <c r="C3040" s="385" t="s">
        <v>4504</v>
      </c>
      <c r="D3040" s="385" t="s">
        <v>89</v>
      </c>
      <c r="E3040" s="385"/>
      <c r="F3040" s="385"/>
      <c r="G3040" s="385"/>
      <c r="H3040" s="385">
        <v>2025</v>
      </c>
      <c r="I3040" s="386">
        <v>45884</v>
      </c>
      <c r="J3040" s="30" t="s">
        <v>5861</v>
      </c>
      <c r="K3040" s="385"/>
      <c r="L3040" s="385"/>
      <c r="M3040" s="385"/>
      <c r="N3040" s="385"/>
      <c r="O3040" s="385"/>
      <c r="P3040" s="385" t="str">
        <f>IFERROR(
    IF(
        OR(ISBLANK(I3040), ISBLANK(L3040)),
        "",
        MAX(
            1,
            IF(
                NETWORKDAYS(I3040, L3040, Holiday_Dates) &lt;= 0,
                1,
                NETWORKDAYS(I3040, L3040, Holiday_Dates) - IF(I3040 = L3040, 0, 1)
            )
        )
    ),
    ""
)</f>
        <v/>
      </c>
      <c r="Q3040" s="385" t="str">
        <f>IF(
    OR(ISBLANK(L3040), ISBLANK(M3040)),
    "",
    MAX(
        1,
        IF(
            NETWORKDAYS(L3040, M3040, Holiday_Dates) &lt;= 0,
            1,
            NETWORKDAYS(L3040, M3040, Holiday_Dates) - IF(L3040 = M3040, 0, 1)
        )
    )
)</f>
        <v/>
      </c>
      <c r="R3040" s="385" t="str">
        <f>IFERROR(
    IF(
        OR(ISBLANK(N3040), AND(ISBLANK(L3040), ISBLANK(M3040))),
        "",
        MAX(
            1,
            IF(
                NETWORKDAYS(IF(NOT(ISBLANK(M3040)), M3040, L3040), N3040, Holiday_Dates) &lt;= 0,
                1,
                NETWORKDAYS(IF(NOT(ISBLANK(M3040)), M3040, L3040), N3040, Holiday_Dates)
                - IF(IF(NOT(ISBLANK(M3040)), M3040, L3040) = N3040, 0, 1)
            )
        )
    ),
    ""
)</f>
        <v/>
      </c>
      <c r="S3040" s="385" t="str">
        <f>IFERROR(
    IF(
        OR(ISBLANK(N3040), ISBLANK(O3040)),
        "",
        MAX(
            1,
            IF(
                NETWORKDAYS(N3040, O3040, Holiday_Dates) &lt;= 0,
                1,
                NETWORKDAYS(N3040, O3040, Holiday_Dates) - IF(N3040 = O3040, 0, 1)
            )
        )
    ),
    ""
)</f>
        <v/>
      </c>
      <c r="T3040" s="385"/>
      <c r="U3040" s="385" t="s">
        <v>4</v>
      </c>
      <c r="V3040" s="385" t="s">
        <v>101</v>
      </c>
      <c r="W3040" s="385" t="s">
        <v>1436</v>
      </c>
      <c r="X3040" s="1"/>
    </row>
    <row r="3041" spans="1:24">
      <c r="A3041" s="385" t="s">
        <v>53</v>
      </c>
      <c r="B3041" s="385" t="s">
        <v>242</v>
      </c>
      <c r="C3041" s="385" t="s">
        <v>831</v>
      </c>
      <c r="D3041" s="385" t="s">
        <v>89</v>
      </c>
      <c r="E3041" s="385" t="s">
        <v>246</v>
      </c>
      <c r="F3041" s="385"/>
      <c r="G3041" s="385" t="s">
        <v>133</v>
      </c>
      <c r="H3041" s="385"/>
      <c r="I3041" s="385"/>
      <c r="J3041" s="30"/>
      <c r="K3041" s="385"/>
      <c r="L3041" s="385"/>
      <c r="M3041" s="385"/>
      <c r="N3041" s="385"/>
      <c r="O3041" s="385"/>
      <c r="P3041" s="385" t="str">
        <f>IFERROR(
    IF(
        OR(ISBLANK(I3041), ISBLANK(L3041)),
        "",
        MAX(
            1,
            IF(
                NETWORKDAYS(I3041, L3041, Holiday_Dates) &lt;= 0,
                1,
                NETWORKDAYS(I3041, L3041, Holiday_Dates) - IF(I3041 = L3041, 0, 1)
            )
        )
    ),
    ""
)</f>
        <v/>
      </c>
      <c r="Q3041" s="385" t="str">
        <f>IF(
    OR(ISBLANK(L3041), ISBLANK(M3041)),
    "",
    MAX(
        1,
        IF(
            NETWORKDAYS(L3041, M3041, Holiday_Dates) &lt;= 0,
            1,
            NETWORKDAYS(L3041, M3041, Holiday_Dates) - IF(L3041 = M3041, 0, 1)
        )
    )
)</f>
        <v/>
      </c>
      <c r="R3041" s="385" t="str">
        <f>IFERROR(
    IF(
        OR(ISBLANK(N3041), AND(ISBLANK(L3041), ISBLANK(M3041))),
        "",
        MAX(
            1,
            IF(
                NETWORKDAYS(IF(NOT(ISBLANK(M3041)), M3041, L3041), N3041, Holiday_Dates) &lt;= 0,
                1,
                NETWORKDAYS(IF(NOT(ISBLANK(M3041)), M3041, L3041), N3041, Holiday_Dates)
                - IF(IF(NOT(ISBLANK(M3041)), M3041, L3041) = N3041, 0, 1)
            )
        )
    ),
    ""
)</f>
        <v/>
      </c>
      <c r="S3041" s="385" t="str">
        <f>IFERROR(
    IF(
        OR(ISBLANK(N3041), ISBLANK(O3041)),
        "",
        MAX(
            1,
            IF(
                NETWORKDAYS(N3041, O3041, Holiday_Dates) &lt;= 0,
                1,
                NETWORKDAYS(N3041, O3041, Holiday_Dates) - IF(N3041 = O3041, 0, 1)
            )
        )
    ),
    ""
)</f>
        <v/>
      </c>
      <c r="T3041" s="385"/>
      <c r="U3041" s="385"/>
      <c r="V3041" s="385"/>
      <c r="W3041" s="385" t="s">
        <v>4710</v>
      </c>
      <c r="X3041" s="1"/>
    </row>
    <row r="3042" spans="1:24">
      <c r="A3042" s="385" t="s">
        <v>53</v>
      </c>
      <c r="B3042" s="385" t="s">
        <v>355</v>
      </c>
      <c r="C3042" s="385" t="s">
        <v>4385</v>
      </c>
      <c r="D3042" s="385" t="s">
        <v>89</v>
      </c>
      <c r="E3042" s="385"/>
      <c r="F3042" s="385"/>
      <c r="G3042" s="385"/>
      <c r="H3042" s="385">
        <v>2025</v>
      </c>
      <c r="I3042" s="386">
        <v>45825</v>
      </c>
      <c r="J3042" s="30" t="s">
        <v>5862</v>
      </c>
      <c r="K3042" s="385"/>
      <c r="L3042" s="385"/>
      <c r="M3042" s="385"/>
      <c r="N3042" s="385"/>
      <c r="O3042" s="385"/>
      <c r="P3042" s="385" t="str">
        <f>IFERROR(
    IF(
        OR(ISBLANK(I3042), ISBLANK(L3042)),
        "",
        MAX(
            1,
            IF(
                NETWORKDAYS(I3042, L3042, Holiday_Dates) &lt;= 0,
                1,
                NETWORKDAYS(I3042, L3042, Holiday_Dates) - IF(I3042 = L3042, 0, 1)
            )
        )
    ),
    ""
)</f>
        <v/>
      </c>
      <c r="Q3042" s="385" t="str">
        <f>IF(
    OR(ISBLANK(L3042), ISBLANK(M3042)),
    "",
    MAX(
        1,
        IF(
            NETWORKDAYS(L3042, M3042, Holiday_Dates) &lt;= 0,
            1,
            NETWORKDAYS(L3042, M3042, Holiday_Dates) - IF(L3042 = M3042, 0, 1)
        )
    )
)</f>
        <v/>
      </c>
      <c r="R3042" s="385" t="str">
        <f>IFERROR(
    IF(
        OR(ISBLANK(N3042), AND(ISBLANK(L3042), ISBLANK(M3042))),
        "",
        MAX(
            1,
            IF(
                NETWORKDAYS(IF(NOT(ISBLANK(M3042)), M3042, L3042), N3042, Holiday_Dates) &lt;= 0,
                1,
                NETWORKDAYS(IF(NOT(ISBLANK(M3042)), M3042, L3042), N3042, Holiday_Dates)
                - IF(IF(NOT(ISBLANK(M3042)), M3042, L3042) = N3042, 0, 1)
            )
        )
    ),
    ""
)</f>
        <v/>
      </c>
      <c r="S3042" s="385" t="str">
        <f>IFERROR(
    IF(
        OR(ISBLANK(N3042), ISBLANK(O3042)),
        "",
        MAX(
            1,
            IF(
                NETWORKDAYS(N3042, O3042, Holiday_Dates) &lt;= 0,
                1,
                NETWORKDAYS(N3042, O3042, Holiday_Dates) - IF(N3042 = O3042, 0, 1)
            )
        )
    ),
    ""
)</f>
        <v/>
      </c>
      <c r="T3042" s="385"/>
      <c r="U3042" s="385" t="s">
        <v>4</v>
      </c>
      <c r="V3042" s="385" t="s">
        <v>101</v>
      </c>
      <c r="W3042" s="385" t="s">
        <v>1436</v>
      </c>
      <c r="X3042" s="1"/>
    </row>
    <row r="3043" spans="1:24">
      <c r="A3043" s="385" t="s">
        <v>53</v>
      </c>
      <c r="B3043" s="385" t="s">
        <v>355</v>
      </c>
      <c r="C3043" s="385" t="s">
        <v>4513</v>
      </c>
      <c r="D3043" s="385" t="s">
        <v>89</v>
      </c>
      <c r="E3043" s="385"/>
      <c r="F3043" s="385"/>
      <c r="G3043" s="385"/>
      <c r="H3043" s="385">
        <v>2025</v>
      </c>
      <c r="I3043" s="386">
        <v>45884</v>
      </c>
      <c r="J3043" s="30" t="s">
        <v>5863</v>
      </c>
      <c r="K3043" s="385"/>
      <c r="L3043" s="385"/>
      <c r="M3043" s="385"/>
      <c r="N3043" s="385"/>
      <c r="O3043" s="385"/>
      <c r="P3043" s="385" t="str">
        <f>IFERROR(
    IF(
        OR(ISBLANK(I3043), ISBLANK(L3043)),
        "",
        MAX(
            1,
            IF(
                NETWORKDAYS(I3043, L3043, Holiday_Dates) &lt;= 0,
                1,
                NETWORKDAYS(I3043, L3043, Holiday_Dates) - IF(I3043 = L3043, 0, 1)
            )
        )
    ),
    ""
)</f>
        <v/>
      </c>
      <c r="Q3043" s="385" t="str">
        <f>IF(
    OR(ISBLANK(L3043), ISBLANK(M3043)),
    "",
    MAX(
        1,
        IF(
            NETWORKDAYS(L3043, M3043, Holiday_Dates) &lt;= 0,
            1,
            NETWORKDAYS(L3043, M3043, Holiday_Dates) - IF(L3043 = M3043, 0, 1)
        )
    )
)</f>
        <v/>
      </c>
      <c r="R3043" s="385" t="str">
        <f>IFERROR(
    IF(
        OR(ISBLANK(N3043), AND(ISBLANK(L3043), ISBLANK(M3043))),
        "",
        MAX(
            1,
            IF(
                NETWORKDAYS(IF(NOT(ISBLANK(M3043)), M3043, L3043), N3043, Holiday_Dates) &lt;= 0,
                1,
                NETWORKDAYS(IF(NOT(ISBLANK(M3043)), M3043, L3043), N3043, Holiday_Dates)
                - IF(IF(NOT(ISBLANK(M3043)), M3043, L3043) = N3043, 0, 1)
            )
        )
    ),
    ""
)</f>
        <v/>
      </c>
      <c r="S3043" s="385" t="str">
        <f>IFERROR(
    IF(
        OR(ISBLANK(N3043), ISBLANK(O3043)),
        "",
        MAX(
            1,
            IF(
                NETWORKDAYS(N3043, O3043, Holiday_Dates) &lt;= 0,
                1,
                NETWORKDAYS(N3043, O3043, Holiday_Dates) - IF(N3043 = O3043, 0, 1)
            )
        )
    ),
    ""
)</f>
        <v/>
      </c>
      <c r="T3043" s="385"/>
      <c r="U3043" s="385" t="s">
        <v>4</v>
      </c>
      <c r="V3043" s="385" t="s">
        <v>101</v>
      </c>
      <c r="W3043" s="385" t="s">
        <v>1436</v>
      </c>
      <c r="X3043" s="1"/>
    </row>
    <row r="3044" spans="1:24">
      <c r="A3044" s="385" t="s">
        <v>53</v>
      </c>
      <c r="B3044" s="385" t="s">
        <v>355</v>
      </c>
      <c r="C3044" s="385" t="s">
        <v>1862</v>
      </c>
      <c r="D3044" s="385" t="s">
        <v>89</v>
      </c>
      <c r="E3044" s="385"/>
      <c r="F3044" s="385"/>
      <c r="G3044" s="385"/>
      <c r="H3044" s="385">
        <v>2025</v>
      </c>
      <c r="I3044" s="386">
        <v>45825</v>
      </c>
      <c r="J3044" s="30" t="s">
        <v>5864</v>
      </c>
      <c r="K3044" s="385"/>
      <c r="L3044" s="385"/>
      <c r="M3044" s="385"/>
      <c r="N3044" s="385"/>
      <c r="O3044" s="385"/>
      <c r="P3044" s="385" t="str">
        <f>IFERROR(
    IF(
        OR(ISBLANK(I3044), ISBLANK(L3044)),
        "",
        MAX(
            1,
            IF(
                NETWORKDAYS(I3044, L3044, Holiday_Dates) &lt;= 0,
                1,
                NETWORKDAYS(I3044, L3044, Holiday_Dates) - IF(I3044 = L3044, 0, 1)
            )
        )
    ),
    ""
)</f>
        <v/>
      </c>
      <c r="Q3044" s="385" t="str">
        <f>IF(
    OR(ISBLANK(L3044), ISBLANK(M3044)),
    "",
    MAX(
        1,
        IF(
            NETWORKDAYS(L3044, M3044, Holiday_Dates) &lt;= 0,
            1,
            NETWORKDAYS(L3044, M3044, Holiday_Dates) - IF(L3044 = M3044, 0, 1)
        )
    )
)</f>
        <v/>
      </c>
      <c r="R3044" s="385" t="str">
        <f>IFERROR(
    IF(
        OR(ISBLANK(N3044), AND(ISBLANK(L3044), ISBLANK(M3044))),
        "",
        MAX(
            1,
            IF(
                NETWORKDAYS(IF(NOT(ISBLANK(M3044)), M3044, L3044), N3044, Holiday_Dates) &lt;= 0,
                1,
                NETWORKDAYS(IF(NOT(ISBLANK(M3044)), M3044, L3044), N3044, Holiday_Dates)
                - IF(IF(NOT(ISBLANK(M3044)), M3044, L3044) = N3044, 0, 1)
            )
        )
    ),
    ""
)</f>
        <v/>
      </c>
      <c r="S3044" s="385" t="str">
        <f>IFERROR(
    IF(
        OR(ISBLANK(N3044), ISBLANK(O3044)),
        "",
        MAX(
            1,
            IF(
                NETWORKDAYS(N3044, O3044, Holiday_Dates) &lt;= 0,
                1,
                NETWORKDAYS(N3044, O3044, Holiday_Dates) - IF(N3044 = O3044, 0, 1)
            )
        )
    ),
    ""
)</f>
        <v/>
      </c>
      <c r="T3044" s="385"/>
      <c r="U3044" s="385" t="s">
        <v>4</v>
      </c>
      <c r="V3044" s="385" t="s">
        <v>101</v>
      </c>
      <c r="W3044" s="385" t="s">
        <v>1436</v>
      </c>
      <c r="X3044" s="1"/>
    </row>
    <row r="3045" spans="1:24">
      <c r="A3045" s="385" t="s">
        <v>53</v>
      </c>
      <c r="B3045" s="385" t="s">
        <v>355</v>
      </c>
      <c r="C3045" s="385" t="s">
        <v>4508</v>
      </c>
      <c r="D3045" s="385" t="s">
        <v>89</v>
      </c>
      <c r="E3045" s="385"/>
      <c r="F3045" s="385"/>
      <c r="G3045" s="385"/>
      <c r="H3045" s="385">
        <v>2025</v>
      </c>
      <c r="I3045" s="386">
        <v>45825</v>
      </c>
      <c r="J3045" s="30" t="s">
        <v>5865</v>
      </c>
      <c r="K3045" s="385"/>
      <c r="L3045" s="385"/>
      <c r="M3045" s="385"/>
      <c r="N3045" s="385"/>
      <c r="O3045" s="385"/>
      <c r="P3045" s="385" t="str">
        <f>IFERROR(
    IF(
        OR(ISBLANK(I3045), ISBLANK(L3045)),
        "",
        MAX(
            1,
            IF(
                NETWORKDAYS(I3045, L3045, Holiday_Dates) &lt;= 0,
                1,
                NETWORKDAYS(I3045, L3045, Holiday_Dates) - IF(I3045 = L3045, 0, 1)
            )
        )
    ),
    ""
)</f>
        <v/>
      </c>
      <c r="Q3045" s="385" t="str">
        <f>IF(
    OR(ISBLANK(L3045), ISBLANK(M3045)),
    "",
    MAX(
        1,
        IF(
            NETWORKDAYS(L3045, M3045, Holiday_Dates) &lt;= 0,
            1,
            NETWORKDAYS(L3045, M3045, Holiday_Dates) - IF(L3045 = M3045, 0, 1)
        )
    )
)</f>
        <v/>
      </c>
      <c r="R3045" s="385" t="str">
        <f>IFERROR(
    IF(
        OR(ISBLANK(N3045), AND(ISBLANK(L3045), ISBLANK(M3045))),
        "",
        MAX(
            1,
            IF(
                NETWORKDAYS(IF(NOT(ISBLANK(M3045)), M3045, L3045), N3045, Holiday_Dates) &lt;= 0,
                1,
                NETWORKDAYS(IF(NOT(ISBLANK(M3045)), M3045, L3045), N3045, Holiday_Dates)
                - IF(IF(NOT(ISBLANK(M3045)), M3045, L3045) = N3045, 0, 1)
            )
        )
    ),
    ""
)</f>
        <v/>
      </c>
      <c r="S3045" s="385" t="str">
        <f>IFERROR(
    IF(
        OR(ISBLANK(N3045), ISBLANK(O3045)),
        "",
        MAX(
            1,
            IF(
                NETWORKDAYS(N3045, O3045, Holiday_Dates) &lt;= 0,
                1,
                NETWORKDAYS(N3045, O3045, Holiday_Dates) - IF(N3045 = O3045, 0, 1)
            )
        )
    ),
    ""
)</f>
        <v/>
      </c>
      <c r="T3045" s="385"/>
      <c r="U3045" s="385" t="s">
        <v>4</v>
      </c>
      <c r="V3045" s="385" t="s">
        <v>108</v>
      </c>
      <c r="W3045" s="385" t="s">
        <v>1436</v>
      </c>
      <c r="X3045" s="1"/>
    </row>
    <row r="3046" spans="1:24">
      <c r="A3046" s="385" t="s">
        <v>53</v>
      </c>
      <c r="B3046" s="385" t="s">
        <v>355</v>
      </c>
      <c r="C3046" s="385" t="s">
        <v>1869</v>
      </c>
      <c r="D3046" s="385" t="s">
        <v>89</v>
      </c>
      <c r="E3046" s="385"/>
      <c r="F3046" s="385"/>
      <c r="G3046" s="385"/>
      <c r="H3046" s="385">
        <v>2024</v>
      </c>
      <c r="I3046" s="386">
        <v>45456</v>
      </c>
      <c r="J3046" s="30"/>
      <c r="K3046" s="385"/>
      <c r="L3046" s="385"/>
      <c r="M3046" s="385"/>
      <c r="N3046" s="385"/>
      <c r="O3046" s="385"/>
      <c r="P3046" s="385" t="str">
        <f>IFERROR(
    IF(
        OR(ISBLANK(I3046), ISBLANK(L3046)),
        "",
        MAX(
            1,
            IF(
                NETWORKDAYS(I3046, L3046, Holiday_Dates) &lt;= 0,
                1,
                NETWORKDAYS(I3046, L3046, Holiday_Dates) - IF(I3046 = L3046, 0, 1)
            )
        )
    ),
    ""
)</f>
        <v/>
      </c>
      <c r="Q3046" s="385" t="str">
        <f>IF(
    OR(ISBLANK(L3046), ISBLANK(M3046)),
    "",
    MAX(
        1,
        IF(
            NETWORKDAYS(L3046, M3046, Holiday_Dates) &lt;= 0,
            1,
            NETWORKDAYS(L3046, M3046, Holiday_Dates) - IF(L3046 = M3046, 0, 1)
        )
    )
)</f>
        <v/>
      </c>
      <c r="R3046" s="385" t="str">
        <f>IFERROR(
    IF(
        OR(ISBLANK(N3046), AND(ISBLANK(L3046), ISBLANK(M3046))),
        "",
        MAX(
            1,
            IF(
                NETWORKDAYS(IF(NOT(ISBLANK(M3046)), M3046, L3046), N3046, Holiday_Dates) &lt;= 0,
                1,
                NETWORKDAYS(IF(NOT(ISBLANK(M3046)), M3046, L3046), N3046, Holiday_Dates)
                - IF(IF(NOT(ISBLANK(M3046)), M3046, L3046) = N3046, 0, 1)
            )
        )
    ),
    ""
)</f>
        <v/>
      </c>
      <c r="S3046" s="385" t="str">
        <f>IFERROR(
    IF(
        OR(ISBLANK(N3046), ISBLANK(O3046)),
        "",
        MAX(
            1,
            IF(
                NETWORKDAYS(N3046, O3046, Holiday_Dates) &lt;= 0,
                1,
                NETWORKDAYS(N3046, O3046, Holiday_Dates) - IF(N3046 = O3046, 0, 1)
            )
        )
    ),
    ""
)</f>
        <v/>
      </c>
      <c r="T3046" s="385"/>
      <c r="U3046" s="385" t="s">
        <v>4</v>
      </c>
      <c r="V3046" s="385" t="s">
        <v>101</v>
      </c>
      <c r="W3046" s="385" t="s">
        <v>1436</v>
      </c>
      <c r="X3046" s="1"/>
    </row>
    <row r="3047" spans="1:24">
      <c r="A3047" s="385" t="s">
        <v>53</v>
      </c>
      <c r="B3047" s="385" t="s">
        <v>355</v>
      </c>
      <c r="C3047" s="385" t="s">
        <v>378</v>
      </c>
      <c r="D3047" s="385" t="s">
        <v>89</v>
      </c>
      <c r="E3047" s="385"/>
      <c r="F3047" s="385"/>
      <c r="G3047" s="385"/>
      <c r="H3047" s="385">
        <v>2024</v>
      </c>
      <c r="I3047" s="386">
        <v>45461</v>
      </c>
      <c r="J3047" s="30"/>
      <c r="K3047" s="385"/>
      <c r="L3047" s="385"/>
      <c r="M3047" s="385"/>
      <c r="N3047" s="385"/>
      <c r="O3047" s="385"/>
      <c r="P3047" s="385" t="str">
        <f>IFERROR(
    IF(
        OR(ISBLANK(I3047), ISBLANK(L3047)),
        "",
        MAX(
            1,
            IF(
                NETWORKDAYS(I3047, L3047, Holiday_Dates) &lt;= 0,
                1,
                NETWORKDAYS(I3047, L3047, Holiday_Dates) - IF(I3047 = L3047, 0, 1)
            )
        )
    ),
    ""
)</f>
        <v/>
      </c>
      <c r="Q3047" s="385" t="str">
        <f>IF(
    OR(ISBLANK(L3047), ISBLANK(M3047)),
    "",
    MAX(
        1,
        IF(
            NETWORKDAYS(L3047, M3047, Holiday_Dates) &lt;= 0,
            1,
            NETWORKDAYS(L3047, M3047, Holiday_Dates) - IF(L3047 = M3047, 0, 1)
        )
    )
)</f>
        <v/>
      </c>
      <c r="R3047" s="385" t="str">
        <f>IFERROR(
    IF(
        OR(ISBLANK(N3047), AND(ISBLANK(L3047), ISBLANK(M3047))),
        "",
        MAX(
            1,
            IF(
                NETWORKDAYS(IF(NOT(ISBLANK(M3047)), M3047, L3047), N3047, Holiday_Dates) &lt;= 0,
                1,
                NETWORKDAYS(IF(NOT(ISBLANK(M3047)), M3047, L3047), N3047, Holiday_Dates)
                - IF(IF(NOT(ISBLANK(M3047)), M3047, L3047) = N3047, 0, 1)
            )
        )
    ),
    ""
)</f>
        <v/>
      </c>
      <c r="S3047" s="385" t="str">
        <f>IFERROR(
    IF(
        OR(ISBLANK(N3047), ISBLANK(O3047)),
        "",
        MAX(
            1,
            IF(
                NETWORKDAYS(N3047, O3047, Holiday_Dates) &lt;= 0,
                1,
                NETWORKDAYS(N3047, O3047, Holiday_Dates) - IF(N3047 = O3047, 0, 1)
            )
        )
    ),
    ""
)</f>
        <v/>
      </c>
      <c r="T3047" s="385"/>
      <c r="U3047" s="385" t="s">
        <v>4</v>
      </c>
      <c r="V3047" s="385" t="s">
        <v>101</v>
      </c>
      <c r="W3047" s="385" t="s">
        <v>1436</v>
      </c>
      <c r="X3047" s="1"/>
    </row>
    <row r="3048" spans="1:24">
      <c r="A3048" s="385" t="s">
        <v>53</v>
      </c>
      <c r="B3048" s="385" t="s">
        <v>355</v>
      </c>
      <c r="C3048" s="385" t="s">
        <v>4511</v>
      </c>
      <c r="D3048" s="385" t="s">
        <v>89</v>
      </c>
      <c r="E3048" s="385"/>
      <c r="F3048" s="385"/>
      <c r="G3048" s="385"/>
      <c r="H3048" s="385">
        <v>2025</v>
      </c>
      <c r="I3048" s="386">
        <v>45884</v>
      </c>
      <c r="J3048" s="30" t="s">
        <v>5866</v>
      </c>
      <c r="K3048" s="385"/>
      <c r="L3048" s="385"/>
      <c r="M3048" s="385"/>
      <c r="N3048" s="385"/>
      <c r="O3048" s="385"/>
      <c r="P3048" s="385" t="str">
        <f>IFERROR(
    IF(
        OR(ISBLANK(I3048), ISBLANK(L3048)),
        "",
        MAX(
            1,
            IF(
                NETWORKDAYS(I3048, L3048, Holiday_Dates) &lt;= 0,
                1,
                NETWORKDAYS(I3048, L3048, Holiday_Dates) - IF(I3048 = L3048, 0, 1)
            )
        )
    ),
    ""
)</f>
        <v/>
      </c>
      <c r="Q3048" s="385" t="str">
        <f>IF(
    OR(ISBLANK(L3048), ISBLANK(M3048)),
    "",
    MAX(
        1,
        IF(
            NETWORKDAYS(L3048, M3048, Holiday_Dates) &lt;= 0,
            1,
            NETWORKDAYS(L3048, M3048, Holiday_Dates) - IF(L3048 = M3048, 0, 1)
        )
    )
)</f>
        <v/>
      </c>
      <c r="R3048" s="385" t="str">
        <f>IFERROR(
    IF(
        OR(ISBLANK(N3048), AND(ISBLANK(L3048), ISBLANK(M3048))),
        "",
        MAX(
            1,
            IF(
                NETWORKDAYS(IF(NOT(ISBLANK(M3048)), M3048, L3048), N3048, Holiday_Dates) &lt;= 0,
                1,
                NETWORKDAYS(IF(NOT(ISBLANK(M3048)), M3048, L3048), N3048, Holiday_Dates)
                - IF(IF(NOT(ISBLANK(M3048)), M3048, L3048) = N3048, 0, 1)
            )
        )
    ),
    ""
)</f>
        <v/>
      </c>
      <c r="S3048" s="385" t="str">
        <f>IFERROR(
    IF(
        OR(ISBLANK(N3048), ISBLANK(O3048)),
        "",
        MAX(
            1,
            IF(
                NETWORKDAYS(N3048, O3048, Holiday_Dates) &lt;= 0,
                1,
                NETWORKDAYS(N3048, O3048, Holiday_Dates) - IF(N3048 = O3048, 0, 1)
            )
        )
    ),
    ""
)</f>
        <v/>
      </c>
      <c r="T3048" s="385"/>
      <c r="U3048" s="385" t="s">
        <v>4</v>
      </c>
      <c r="V3048" s="385" t="s">
        <v>101</v>
      </c>
      <c r="W3048" s="385" t="s">
        <v>1436</v>
      </c>
      <c r="X3048" s="1"/>
    </row>
    <row r="3049" spans="1:24">
      <c r="A3049" s="385" t="s">
        <v>53</v>
      </c>
      <c r="B3049" s="385" t="s">
        <v>552</v>
      </c>
      <c r="C3049" s="385" t="s">
        <v>4514</v>
      </c>
      <c r="D3049" s="385" t="s">
        <v>89</v>
      </c>
      <c r="E3049" s="385"/>
      <c r="F3049" s="385"/>
      <c r="G3049" s="385"/>
      <c r="H3049" s="385">
        <v>2025</v>
      </c>
      <c r="I3049" s="386">
        <v>45702</v>
      </c>
      <c r="J3049" s="30" t="s">
        <v>5867</v>
      </c>
      <c r="K3049" s="385"/>
      <c r="L3049" s="385"/>
      <c r="M3049" s="385"/>
      <c r="N3049" s="385"/>
      <c r="O3049" s="385"/>
      <c r="P3049" s="385" t="str">
        <f>IFERROR(
    IF(
        OR(ISBLANK(I3049), ISBLANK(L3049)),
        "",
        MAX(
            1,
            IF(
                NETWORKDAYS(I3049, L3049, Holiday_Dates) &lt;= 0,
                1,
                NETWORKDAYS(I3049, L3049, Holiday_Dates) - IF(I3049 = L3049, 0, 1)
            )
        )
    ),
    ""
)</f>
        <v/>
      </c>
      <c r="Q3049" s="385" t="str">
        <f>IF(
    OR(ISBLANK(L3049), ISBLANK(M3049)),
    "",
    MAX(
        1,
        IF(
            NETWORKDAYS(L3049, M3049, Holiday_Dates) &lt;= 0,
            1,
            NETWORKDAYS(L3049, M3049, Holiday_Dates) - IF(L3049 = M3049, 0, 1)
        )
    )
)</f>
        <v/>
      </c>
      <c r="R3049" s="385" t="str">
        <f>IFERROR(
    IF(
        OR(ISBLANK(N3049), AND(ISBLANK(L3049), ISBLANK(M3049))),
        "",
        MAX(
            1,
            IF(
                NETWORKDAYS(IF(NOT(ISBLANK(M3049)), M3049, L3049), N3049, Holiday_Dates) &lt;= 0,
                1,
                NETWORKDAYS(IF(NOT(ISBLANK(M3049)), M3049, L3049), N3049, Holiday_Dates)
                - IF(IF(NOT(ISBLANK(M3049)), M3049, L3049) = N3049, 0, 1)
            )
        )
    ),
    ""
)</f>
        <v/>
      </c>
      <c r="S3049" s="385" t="str">
        <f>IFERROR(
    IF(
        OR(ISBLANK(N3049), ISBLANK(O3049)),
        "",
        MAX(
            1,
            IF(
                NETWORKDAYS(N3049, O3049, Holiday_Dates) &lt;= 0,
                1,
                NETWORKDAYS(N3049, O3049, Holiday_Dates) - IF(N3049 = O3049, 0, 1)
            )
        )
    ),
    ""
)</f>
        <v/>
      </c>
      <c r="T3049" s="385"/>
      <c r="U3049" s="385" t="s">
        <v>4</v>
      </c>
      <c r="V3049" s="385" t="s">
        <v>101</v>
      </c>
      <c r="W3049" s="385" t="s">
        <v>1436</v>
      </c>
      <c r="X3049" s="1"/>
    </row>
    <row r="3050" spans="1:24">
      <c r="A3050" s="385" t="s">
        <v>53</v>
      </c>
      <c r="B3050" s="385" t="s">
        <v>552</v>
      </c>
      <c r="C3050" s="385" t="s">
        <v>4515</v>
      </c>
      <c r="D3050" s="385" t="s">
        <v>89</v>
      </c>
      <c r="E3050" s="385"/>
      <c r="F3050" s="385"/>
      <c r="G3050" s="385"/>
      <c r="H3050" s="385">
        <v>2024</v>
      </c>
      <c r="I3050" s="386">
        <v>45511</v>
      </c>
      <c r="J3050" s="30"/>
      <c r="K3050" s="385"/>
      <c r="L3050" s="385"/>
      <c r="M3050" s="385"/>
      <c r="N3050" s="385"/>
      <c r="O3050" s="385"/>
      <c r="P3050" s="385" t="str">
        <f>IFERROR(
    IF(
        OR(ISBLANK(I3050), ISBLANK(L3050)),
        "",
        MAX(
            1,
            IF(
                NETWORKDAYS(I3050, L3050, Holiday_Dates) &lt;= 0,
                1,
                NETWORKDAYS(I3050, L3050, Holiday_Dates) - IF(I3050 = L3050, 0, 1)
            )
        )
    ),
    ""
)</f>
        <v/>
      </c>
      <c r="Q3050" s="385" t="str">
        <f>IF(
    OR(ISBLANK(L3050), ISBLANK(M3050)),
    "",
    MAX(
        1,
        IF(
            NETWORKDAYS(L3050, M3050, Holiday_Dates) &lt;= 0,
            1,
            NETWORKDAYS(L3050, M3050, Holiday_Dates) - IF(L3050 = M3050, 0, 1)
        )
    )
)</f>
        <v/>
      </c>
      <c r="R3050" s="385" t="str">
        <f>IFERROR(
    IF(
        OR(ISBLANK(N3050), AND(ISBLANK(L3050), ISBLANK(M3050))),
        "",
        MAX(
            1,
            IF(
                NETWORKDAYS(IF(NOT(ISBLANK(M3050)), M3050, L3050), N3050, Holiday_Dates) &lt;= 0,
                1,
                NETWORKDAYS(IF(NOT(ISBLANK(M3050)), M3050, L3050), N3050, Holiday_Dates)
                - IF(IF(NOT(ISBLANK(M3050)), M3050, L3050) = N3050, 0, 1)
            )
        )
    ),
    ""
)</f>
        <v/>
      </c>
      <c r="S3050" s="385" t="str">
        <f>IFERROR(
    IF(
        OR(ISBLANK(N3050), ISBLANK(O3050)),
        "",
        MAX(
            1,
            IF(
                NETWORKDAYS(N3050, O3050, Holiday_Dates) &lt;= 0,
                1,
                NETWORKDAYS(N3050, O3050, Holiday_Dates) - IF(N3050 = O3050, 0, 1)
            )
        )
    ),
    ""
)</f>
        <v/>
      </c>
      <c r="T3050" s="385"/>
      <c r="U3050" s="385" t="s">
        <v>4</v>
      </c>
      <c r="V3050" s="385" t="s">
        <v>101</v>
      </c>
      <c r="W3050" s="385" t="s">
        <v>1436</v>
      </c>
      <c r="X3050" s="1"/>
    </row>
    <row r="3051" spans="1:24">
      <c r="A3051" s="385" t="s">
        <v>53</v>
      </c>
      <c r="B3051" s="385" t="s">
        <v>552</v>
      </c>
      <c r="C3051" s="385" t="s">
        <v>4517</v>
      </c>
      <c r="D3051" s="385" t="s">
        <v>89</v>
      </c>
      <c r="E3051" s="385"/>
      <c r="F3051" s="385"/>
      <c r="G3051" s="385"/>
      <c r="H3051" s="385">
        <v>2025</v>
      </c>
      <c r="I3051" s="386">
        <v>45848</v>
      </c>
      <c r="J3051" s="30" t="s">
        <v>5868</v>
      </c>
      <c r="K3051" s="385"/>
      <c r="L3051" s="385"/>
      <c r="M3051" s="385"/>
      <c r="N3051" s="385"/>
      <c r="O3051" s="385"/>
      <c r="P3051" s="385" t="str">
        <f>IFERROR(
    IF(
        OR(ISBLANK(I3051), ISBLANK(L3051)),
        "",
        MAX(
            1,
            IF(
                NETWORKDAYS(I3051, L3051, Holiday_Dates) &lt;= 0,
                1,
                NETWORKDAYS(I3051, L3051, Holiday_Dates) - IF(I3051 = L3051, 0, 1)
            )
        )
    ),
    ""
)</f>
        <v/>
      </c>
      <c r="Q3051" s="385" t="str">
        <f>IF(
    OR(ISBLANK(L3051), ISBLANK(M3051)),
    "",
    MAX(
        1,
        IF(
            NETWORKDAYS(L3051, M3051, Holiday_Dates) &lt;= 0,
            1,
            NETWORKDAYS(L3051, M3051, Holiday_Dates) - IF(L3051 = M3051, 0, 1)
        )
    )
)</f>
        <v/>
      </c>
      <c r="R3051" s="385" t="str">
        <f>IFERROR(
    IF(
        OR(ISBLANK(N3051), AND(ISBLANK(L3051), ISBLANK(M3051))),
        "",
        MAX(
            1,
            IF(
                NETWORKDAYS(IF(NOT(ISBLANK(M3051)), M3051, L3051), N3051, Holiday_Dates) &lt;= 0,
                1,
                NETWORKDAYS(IF(NOT(ISBLANK(M3051)), M3051, L3051), N3051, Holiday_Dates)
                - IF(IF(NOT(ISBLANK(M3051)), M3051, L3051) = N3051, 0, 1)
            )
        )
    ),
    ""
)</f>
        <v/>
      </c>
      <c r="S3051" s="385" t="str">
        <f>IFERROR(
    IF(
        OR(ISBLANK(N3051), ISBLANK(O3051)),
        "",
        MAX(
            1,
            IF(
                NETWORKDAYS(N3051, O3051, Holiday_Dates) &lt;= 0,
                1,
                NETWORKDAYS(N3051, O3051, Holiday_Dates) - IF(N3051 = O3051, 0, 1)
            )
        )
    ),
    ""
)</f>
        <v/>
      </c>
      <c r="T3051" s="385"/>
      <c r="U3051" s="385" t="s">
        <v>4</v>
      </c>
      <c r="V3051" s="385" t="s">
        <v>101</v>
      </c>
      <c r="W3051" s="385" t="s">
        <v>1436</v>
      </c>
      <c r="X3051" s="1"/>
    </row>
    <row r="3052" spans="1:24">
      <c r="A3052" s="385" t="s">
        <v>53</v>
      </c>
      <c r="B3052" s="385" t="s">
        <v>552</v>
      </c>
      <c r="C3052" s="385" t="s">
        <v>4518</v>
      </c>
      <c r="D3052" s="385" t="s">
        <v>89</v>
      </c>
      <c r="E3052" s="385"/>
      <c r="F3052" s="385"/>
      <c r="G3052" s="385"/>
      <c r="H3052" s="385">
        <v>2024</v>
      </c>
      <c r="I3052" s="386">
        <v>45511</v>
      </c>
      <c r="J3052" s="30"/>
      <c r="K3052" s="385"/>
      <c r="L3052" s="385"/>
      <c r="M3052" s="385"/>
      <c r="N3052" s="385"/>
      <c r="O3052" s="385"/>
      <c r="P3052" s="385" t="str">
        <f>IFERROR(
    IF(
        OR(ISBLANK(I3052), ISBLANK(L3052)),
        "",
        MAX(
            1,
            IF(
                NETWORKDAYS(I3052, L3052, Holiday_Dates) &lt;= 0,
                1,
                NETWORKDAYS(I3052, L3052, Holiday_Dates) - IF(I3052 = L3052, 0, 1)
            )
        )
    ),
    ""
)</f>
        <v/>
      </c>
      <c r="Q3052" s="385" t="str">
        <f>IF(
    OR(ISBLANK(L3052), ISBLANK(M3052)),
    "",
    MAX(
        1,
        IF(
            NETWORKDAYS(L3052, M3052, Holiday_Dates) &lt;= 0,
            1,
            NETWORKDAYS(L3052, M3052, Holiday_Dates) - IF(L3052 = M3052, 0, 1)
        )
    )
)</f>
        <v/>
      </c>
      <c r="R3052" s="385" t="str">
        <f>IFERROR(
    IF(
        OR(ISBLANK(N3052), AND(ISBLANK(L3052), ISBLANK(M3052))),
        "",
        MAX(
            1,
            IF(
                NETWORKDAYS(IF(NOT(ISBLANK(M3052)), M3052, L3052), N3052, Holiday_Dates) &lt;= 0,
                1,
                NETWORKDAYS(IF(NOT(ISBLANK(M3052)), M3052, L3052), N3052, Holiday_Dates)
                - IF(IF(NOT(ISBLANK(M3052)), M3052, L3052) = N3052, 0, 1)
            )
        )
    ),
    ""
)</f>
        <v/>
      </c>
      <c r="S3052" s="385" t="str">
        <f>IFERROR(
    IF(
        OR(ISBLANK(N3052), ISBLANK(O3052)),
        "",
        MAX(
            1,
            IF(
                NETWORKDAYS(N3052, O3052, Holiday_Dates) &lt;= 0,
                1,
                NETWORKDAYS(N3052, O3052, Holiday_Dates) - IF(N3052 = O3052, 0, 1)
            )
        )
    ),
    ""
)</f>
        <v/>
      </c>
      <c r="T3052" s="385"/>
      <c r="U3052" s="385" t="s">
        <v>4</v>
      </c>
      <c r="V3052" s="385" t="s">
        <v>101</v>
      </c>
      <c r="W3052" s="385" t="s">
        <v>1436</v>
      </c>
      <c r="X3052" s="1"/>
    </row>
    <row r="3053" spans="1:24">
      <c r="A3053" s="385" t="s">
        <v>53</v>
      </c>
      <c r="B3053" s="385" t="s">
        <v>552</v>
      </c>
      <c r="C3053" s="385" t="s">
        <v>4520</v>
      </c>
      <c r="D3053" s="385" t="s">
        <v>89</v>
      </c>
      <c r="E3053" s="385"/>
      <c r="F3053" s="385"/>
      <c r="G3053" s="385"/>
      <c r="H3053" s="385">
        <v>2024</v>
      </c>
      <c r="I3053" s="386">
        <v>45511</v>
      </c>
      <c r="J3053" s="30"/>
      <c r="K3053" s="385"/>
      <c r="L3053" s="385"/>
      <c r="M3053" s="385"/>
      <c r="N3053" s="385"/>
      <c r="O3053" s="385"/>
      <c r="P3053" s="385" t="str">
        <f>IFERROR(
    IF(
        OR(ISBLANK(I3053), ISBLANK(L3053)),
        "",
        MAX(
            1,
            IF(
                NETWORKDAYS(I3053, L3053, Holiday_Dates) &lt;= 0,
                1,
                NETWORKDAYS(I3053, L3053, Holiday_Dates) - IF(I3053 = L3053, 0, 1)
            )
        )
    ),
    ""
)</f>
        <v/>
      </c>
      <c r="Q3053" s="385" t="str">
        <f>IF(
    OR(ISBLANK(L3053), ISBLANK(M3053)),
    "",
    MAX(
        1,
        IF(
            NETWORKDAYS(L3053, M3053, Holiday_Dates) &lt;= 0,
            1,
            NETWORKDAYS(L3053, M3053, Holiday_Dates) - IF(L3053 = M3053, 0, 1)
        )
    )
)</f>
        <v/>
      </c>
      <c r="R3053" s="385" t="str">
        <f>IFERROR(
    IF(
        OR(ISBLANK(N3053), AND(ISBLANK(L3053), ISBLANK(M3053))),
        "",
        MAX(
            1,
            IF(
                NETWORKDAYS(IF(NOT(ISBLANK(M3053)), M3053, L3053), N3053, Holiday_Dates) &lt;= 0,
                1,
                NETWORKDAYS(IF(NOT(ISBLANK(M3053)), M3053, L3053), N3053, Holiday_Dates)
                - IF(IF(NOT(ISBLANK(M3053)), M3053, L3053) = N3053, 0, 1)
            )
        )
    ),
    ""
)</f>
        <v/>
      </c>
      <c r="S3053" s="385" t="str">
        <f>IFERROR(
    IF(
        OR(ISBLANK(N3053), ISBLANK(O3053)),
        "",
        MAX(
            1,
            IF(
                NETWORKDAYS(N3053, O3053, Holiday_Dates) &lt;= 0,
                1,
                NETWORKDAYS(N3053, O3053, Holiday_Dates) - IF(N3053 = O3053, 0, 1)
            )
        )
    ),
    ""
)</f>
        <v/>
      </c>
      <c r="T3053" s="385"/>
      <c r="U3053" s="385" t="s">
        <v>4</v>
      </c>
      <c r="V3053" s="385" t="s">
        <v>101</v>
      </c>
      <c r="W3053" s="385" t="s">
        <v>1436</v>
      </c>
      <c r="X3053" s="1"/>
    </row>
    <row r="3054" spans="1:24">
      <c r="A3054" s="385" t="s">
        <v>53</v>
      </c>
      <c r="B3054" s="385" t="s">
        <v>552</v>
      </c>
      <c r="C3054" s="385" t="s">
        <v>318</v>
      </c>
      <c r="D3054" s="385" t="s">
        <v>89</v>
      </c>
      <c r="E3054" s="385"/>
      <c r="F3054" s="385"/>
      <c r="G3054" s="385"/>
      <c r="H3054" s="385">
        <v>2024</v>
      </c>
      <c r="I3054" s="386">
        <v>45511</v>
      </c>
      <c r="J3054" s="30"/>
      <c r="K3054" s="385"/>
      <c r="L3054" s="385"/>
      <c r="M3054" s="385"/>
      <c r="N3054" s="385"/>
      <c r="O3054" s="385"/>
      <c r="P3054" s="385" t="str">
        <f>IFERROR(
    IF(
        OR(ISBLANK(I3054), ISBLANK(L3054)),
        "",
        MAX(
            1,
            IF(
                NETWORKDAYS(I3054, L3054, Holiday_Dates) &lt;= 0,
                1,
                NETWORKDAYS(I3054, L3054, Holiday_Dates) - IF(I3054 = L3054, 0, 1)
            )
        )
    ),
    ""
)</f>
        <v/>
      </c>
      <c r="Q3054" s="385" t="str">
        <f>IF(
    OR(ISBLANK(L3054), ISBLANK(M3054)),
    "",
    MAX(
        1,
        IF(
            NETWORKDAYS(L3054, M3054, Holiday_Dates) &lt;= 0,
            1,
            NETWORKDAYS(L3054, M3054, Holiday_Dates) - IF(L3054 = M3054, 0, 1)
        )
    )
)</f>
        <v/>
      </c>
      <c r="R3054" s="385" t="str">
        <f>IFERROR(
    IF(
        OR(ISBLANK(N3054), AND(ISBLANK(L3054), ISBLANK(M3054))),
        "",
        MAX(
            1,
            IF(
                NETWORKDAYS(IF(NOT(ISBLANK(M3054)), M3054, L3054), N3054, Holiday_Dates) &lt;= 0,
                1,
                NETWORKDAYS(IF(NOT(ISBLANK(M3054)), M3054, L3054), N3054, Holiday_Dates)
                - IF(IF(NOT(ISBLANK(M3054)), M3054, L3054) = N3054, 0, 1)
            )
        )
    ),
    ""
)</f>
        <v/>
      </c>
      <c r="S3054" s="385" t="str">
        <f>IFERROR(
    IF(
        OR(ISBLANK(N3054), ISBLANK(O3054)),
        "",
        MAX(
            1,
            IF(
                NETWORKDAYS(N3054, O3054, Holiday_Dates) &lt;= 0,
                1,
                NETWORKDAYS(N3054, O3054, Holiday_Dates) - IF(N3054 = O3054, 0, 1)
            )
        )
    ),
    ""
)</f>
        <v/>
      </c>
      <c r="T3054" s="385"/>
      <c r="U3054" s="385" t="s">
        <v>4</v>
      </c>
      <c r="V3054" s="385" t="s">
        <v>101</v>
      </c>
      <c r="W3054" s="385" t="s">
        <v>1436</v>
      </c>
      <c r="X3054" s="1"/>
    </row>
    <row r="3055" spans="1:24">
      <c r="A3055" s="385" t="s">
        <v>53</v>
      </c>
      <c r="B3055" s="385" t="s">
        <v>552</v>
      </c>
      <c r="C3055" s="385" t="s">
        <v>4523</v>
      </c>
      <c r="D3055" s="385" t="s">
        <v>89</v>
      </c>
      <c r="E3055" s="385"/>
      <c r="F3055" s="385"/>
      <c r="G3055" s="385"/>
      <c r="H3055" s="385">
        <v>2025</v>
      </c>
      <c r="I3055" s="386">
        <v>45730</v>
      </c>
      <c r="J3055" s="30" t="s">
        <v>5869</v>
      </c>
      <c r="K3055" s="385"/>
      <c r="L3055" s="385"/>
      <c r="M3055" s="385"/>
      <c r="N3055" s="385"/>
      <c r="O3055" s="385"/>
      <c r="P3055" s="385" t="str">
        <f>IFERROR(
    IF(
        OR(ISBLANK(I3055), ISBLANK(L3055)),
        "",
        MAX(
            1,
            IF(
                NETWORKDAYS(I3055, L3055, Holiday_Dates) &lt;= 0,
                1,
                NETWORKDAYS(I3055, L3055, Holiday_Dates) - IF(I3055 = L3055, 0, 1)
            )
        )
    ),
    ""
)</f>
        <v/>
      </c>
      <c r="Q3055" s="385" t="str">
        <f>IF(
    OR(ISBLANK(L3055), ISBLANK(M3055)),
    "",
    MAX(
        1,
        IF(
            NETWORKDAYS(L3055, M3055, Holiday_Dates) &lt;= 0,
            1,
            NETWORKDAYS(L3055, M3055, Holiday_Dates) - IF(L3055 = M3055, 0, 1)
        )
    )
)</f>
        <v/>
      </c>
      <c r="R3055" s="385" t="str">
        <f>IFERROR(
    IF(
        OR(ISBLANK(N3055), AND(ISBLANK(L3055), ISBLANK(M3055))),
        "",
        MAX(
            1,
            IF(
                NETWORKDAYS(IF(NOT(ISBLANK(M3055)), M3055, L3055), N3055, Holiday_Dates) &lt;= 0,
                1,
                NETWORKDAYS(IF(NOT(ISBLANK(M3055)), M3055, L3055), N3055, Holiday_Dates)
                - IF(IF(NOT(ISBLANK(M3055)), M3055, L3055) = N3055, 0, 1)
            )
        )
    ),
    ""
)</f>
        <v/>
      </c>
      <c r="S3055" s="385" t="str">
        <f>IFERROR(
    IF(
        OR(ISBLANK(N3055), ISBLANK(O3055)),
        "",
        MAX(
            1,
            IF(
                NETWORKDAYS(N3055, O3055, Holiday_Dates) &lt;= 0,
                1,
                NETWORKDAYS(N3055, O3055, Holiday_Dates) - IF(N3055 = O3055, 0, 1)
            )
        )
    ),
    ""
)</f>
        <v/>
      </c>
      <c r="T3055" s="385"/>
      <c r="U3055" s="385" t="s">
        <v>4</v>
      </c>
      <c r="V3055" s="385" t="s">
        <v>101</v>
      </c>
      <c r="W3055" s="385" t="s">
        <v>1436</v>
      </c>
      <c r="X3055" s="1"/>
    </row>
    <row r="3056" spans="1:24">
      <c r="A3056" s="385" t="s">
        <v>53</v>
      </c>
      <c r="B3056" s="385" t="s">
        <v>552</v>
      </c>
      <c r="C3056" s="385" t="s">
        <v>4524</v>
      </c>
      <c r="D3056" s="385" t="s">
        <v>89</v>
      </c>
      <c r="E3056" s="385"/>
      <c r="F3056" s="385"/>
      <c r="G3056" s="385"/>
      <c r="H3056" s="385">
        <v>2024</v>
      </c>
      <c r="I3056" s="386">
        <v>45511</v>
      </c>
      <c r="J3056" s="30"/>
      <c r="K3056" s="385"/>
      <c r="L3056" s="385"/>
      <c r="M3056" s="385"/>
      <c r="N3056" s="385"/>
      <c r="O3056" s="385"/>
      <c r="P3056" s="385" t="str">
        <f>IFERROR(
    IF(
        OR(ISBLANK(I3056), ISBLANK(L3056)),
        "",
        MAX(
            1,
            IF(
                NETWORKDAYS(I3056, L3056, Holiday_Dates) &lt;= 0,
                1,
                NETWORKDAYS(I3056, L3056, Holiday_Dates) - IF(I3056 = L3056, 0, 1)
            )
        )
    ),
    ""
)</f>
        <v/>
      </c>
      <c r="Q3056" s="385" t="str">
        <f>IF(
    OR(ISBLANK(L3056), ISBLANK(M3056)),
    "",
    MAX(
        1,
        IF(
            NETWORKDAYS(L3056, M3056, Holiday_Dates) &lt;= 0,
            1,
            NETWORKDAYS(L3056, M3056, Holiday_Dates) - IF(L3056 = M3056, 0, 1)
        )
    )
)</f>
        <v/>
      </c>
      <c r="R3056" s="385" t="str">
        <f>IFERROR(
    IF(
        OR(ISBLANK(N3056), AND(ISBLANK(L3056), ISBLANK(M3056))),
        "",
        MAX(
            1,
            IF(
                NETWORKDAYS(IF(NOT(ISBLANK(M3056)), M3056, L3056), N3056, Holiday_Dates) &lt;= 0,
                1,
                NETWORKDAYS(IF(NOT(ISBLANK(M3056)), M3056, L3056), N3056, Holiday_Dates)
                - IF(IF(NOT(ISBLANK(M3056)), M3056, L3056) = N3056, 0, 1)
            )
        )
    ),
    ""
)</f>
        <v/>
      </c>
      <c r="S3056" s="385" t="str">
        <f>IFERROR(
    IF(
        OR(ISBLANK(N3056), ISBLANK(O3056)),
        "",
        MAX(
            1,
            IF(
                NETWORKDAYS(N3056, O3056, Holiday_Dates) &lt;= 0,
                1,
                NETWORKDAYS(N3056, O3056, Holiday_Dates) - IF(N3056 = O3056, 0, 1)
            )
        )
    ),
    ""
)</f>
        <v/>
      </c>
      <c r="T3056" s="385"/>
      <c r="U3056" s="385" t="s">
        <v>4</v>
      </c>
      <c r="V3056" s="385" t="s">
        <v>101</v>
      </c>
      <c r="W3056" s="385" t="s">
        <v>1436</v>
      </c>
      <c r="X3056" s="1"/>
    </row>
    <row r="3057" spans="1:24">
      <c r="A3057" s="385" t="s">
        <v>53</v>
      </c>
      <c r="B3057" s="385" t="s">
        <v>552</v>
      </c>
      <c r="C3057" s="385" t="s">
        <v>4526</v>
      </c>
      <c r="D3057" s="385" t="s">
        <v>89</v>
      </c>
      <c r="E3057" s="385"/>
      <c r="F3057" s="385"/>
      <c r="G3057" s="385"/>
      <c r="H3057" s="385">
        <v>2025</v>
      </c>
      <c r="I3057" s="386">
        <v>45848</v>
      </c>
      <c r="J3057" s="30" t="s">
        <v>5870</v>
      </c>
      <c r="K3057" s="385"/>
      <c r="L3057" s="385"/>
      <c r="M3057" s="385"/>
      <c r="N3057" s="385"/>
      <c r="O3057" s="385"/>
      <c r="P3057" s="385" t="str">
        <f>IFERROR(
    IF(
        OR(ISBLANK(I3057), ISBLANK(L3057)),
        "",
        MAX(
            1,
            IF(
                NETWORKDAYS(I3057, L3057, Holiday_Dates) &lt;= 0,
                1,
                NETWORKDAYS(I3057, L3057, Holiday_Dates) - IF(I3057 = L3057, 0, 1)
            )
        )
    ),
    ""
)</f>
        <v/>
      </c>
      <c r="Q3057" s="385" t="str">
        <f>IF(
    OR(ISBLANK(L3057), ISBLANK(M3057)),
    "",
    MAX(
        1,
        IF(
            NETWORKDAYS(L3057, M3057, Holiday_Dates) &lt;= 0,
            1,
            NETWORKDAYS(L3057, M3057, Holiday_Dates) - IF(L3057 = M3057, 0, 1)
        )
    )
)</f>
        <v/>
      </c>
      <c r="R3057" s="385" t="str">
        <f>IFERROR(
    IF(
        OR(ISBLANK(N3057), AND(ISBLANK(L3057), ISBLANK(M3057))),
        "",
        MAX(
            1,
            IF(
                NETWORKDAYS(IF(NOT(ISBLANK(M3057)), M3057, L3057), N3057, Holiday_Dates) &lt;= 0,
                1,
                NETWORKDAYS(IF(NOT(ISBLANK(M3057)), M3057, L3057), N3057, Holiday_Dates)
                - IF(IF(NOT(ISBLANK(M3057)), M3057, L3057) = N3057, 0, 1)
            )
        )
    ),
    ""
)</f>
        <v/>
      </c>
      <c r="S3057" s="385" t="str">
        <f>IFERROR(
    IF(
        OR(ISBLANK(N3057), ISBLANK(O3057)),
        "",
        MAX(
            1,
            IF(
                NETWORKDAYS(N3057, O3057, Holiday_Dates) &lt;= 0,
                1,
                NETWORKDAYS(N3057, O3057, Holiday_Dates) - IF(N3057 = O3057, 0, 1)
            )
        )
    ),
    ""
)</f>
        <v/>
      </c>
      <c r="T3057" s="385"/>
      <c r="U3057" s="385" t="s">
        <v>4</v>
      </c>
      <c r="V3057" s="385" t="s">
        <v>101</v>
      </c>
      <c r="W3057" s="385" t="s">
        <v>1436</v>
      </c>
      <c r="X3057" s="1"/>
    </row>
    <row r="3058" spans="1:24">
      <c r="A3058" s="385" t="s">
        <v>53</v>
      </c>
      <c r="B3058" s="385" t="s">
        <v>552</v>
      </c>
      <c r="C3058" s="385" t="s">
        <v>4534</v>
      </c>
      <c r="D3058" s="385" t="s">
        <v>89</v>
      </c>
      <c r="E3058" s="385"/>
      <c r="F3058" s="385"/>
      <c r="G3058" s="385"/>
      <c r="H3058" s="385">
        <v>2024</v>
      </c>
      <c r="I3058" s="386">
        <v>45511</v>
      </c>
      <c r="J3058" s="30"/>
      <c r="K3058" s="385"/>
      <c r="L3058" s="385"/>
      <c r="M3058" s="385"/>
      <c r="N3058" s="385"/>
      <c r="O3058" s="385"/>
      <c r="P3058" s="385" t="str">
        <f>IFERROR(
    IF(
        OR(ISBLANK(I3058), ISBLANK(L3058)),
        "",
        MAX(
            1,
            IF(
                NETWORKDAYS(I3058, L3058, Holiday_Dates) &lt;= 0,
                1,
                NETWORKDAYS(I3058, L3058, Holiday_Dates) - IF(I3058 = L3058, 0, 1)
            )
        )
    ),
    ""
)</f>
        <v/>
      </c>
      <c r="Q3058" s="385" t="str">
        <f>IF(
    OR(ISBLANK(L3058), ISBLANK(M3058)),
    "",
    MAX(
        1,
        IF(
            NETWORKDAYS(L3058, M3058, Holiday_Dates) &lt;= 0,
            1,
            NETWORKDAYS(L3058, M3058, Holiday_Dates) - IF(L3058 = M3058, 0, 1)
        )
    )
)</f>
        <v/>
      </c>
      <c r="R3058" s="385" t="str">
        <f>IFERROR(
    IF(
        OR(ISBLANK(N3058), AND(ISBLANK(L3058), ISBLANK(M3058))),
        "",
        MAX(
            1,
            IF(
                NETWORKDAYS(IF(NOT(ISBLANK(M3058)), M3058, L3058), N3058, Holiday_Dates) &lt;= 0,
                1,
                NETWORKDAYS(IF(NOT(ISBLANK(M3058)), M3058, L3058), N3058, Holiday_Dates)
                - IF(IF(NOT(ISBLANK(M3058)), M3058, L3058) = N3058, 0, 1)
            )
        )
    ),
    ""
)</f>
        <v/>
      </c>
      <c r="S3058" s="385" t="str">
        <f>IFERROR(
    IF(
        OR(ISBLANK(N3058), ISBLANK(O3058)),
        "",
        MAX(
            1,
            IF(
                NETWORKDAYS(N3058, O3058, Holiday_Dates) &lt;= 0,
                1,
                NETWORKDAYS(N3058, O3058, Holiday_Dates) - IF(N3058 = O3058, 0, 1)
            )
        )
    ),
    ""
)</f>
        <v/>
      </c>
      <c r="T3058" s="385"/>
      <c r="U3058" s="385" t="s">
        <v>4</v>
      </c>
      <c r="V3058" s="385" t="s">
        <v>101</v>
      </c>
      <c r="W3058" s="385" t="s">
        <v>1436</v>
      </c>
      <c r="X3058" s="1"/>
    </row>
    <row r="3059" spans="1:24">
      <c r="A3059" s="385" t="s">
        <v>53</v>
      </c>
      <c r="B3059" s="385" t="s">
        <v>552</v>
      </c>
      <c r="C3059" s="385" t="s">
        <v>4527</v>
      </c>
      <c r="D3059" s="385" t="s">
        <v>89</v>
      </c>
      <c r="E3059" s="385"/>
      <c r="F3059" s="385"/>
      <c r="G3059" s="385"/>
      <c r="H3059" s="385">
        <v>2024</v>
      </c>
      <c r="I3059" s="386">
        <v>45511</v>
      </c>
      <c r="J3059" s="30"/>
      <c r="K3059" s="385"/>
      <c r="L3059" s="385"/>
      <c r="M3059" s="385"/>
      <c r="N3059" s="385"/>
      <c r="O3059" s="385"/>
      <c r="P3059" s="385" t="str">
        <f>IFERROR(
    IF(
        OR(ISBLANK(I3059), ISBLANK(L3059)),
        "",
        MAX(
            1,
            IF(
                NETWORKDAYS(I3059, L3059, Holiday_Dates) &lt;= 0,
                1,
                NETWORKDAYS(I3059, L3059, Holiday_Dates) - IF(I3059 = L3059, 0, 1)
            )
        )
    ),
    ""
)</f>
        <v/>
      </c>
      <c r="Q3059" s="385" t="str">
        <f>IF(
    OR(ISBLANK(L3059), ISBLANK(M3059)),
    "",
    MAX(
        1,
        IF(
            NETWORKDAYS(L3059, M3059, Holiday_Dates) &lt;= 0,
            1,
            NETWORKDAYS(L3059, M3059, Holiday_Dates) - IF(L3059 = M3059, 0, 1)
        )
    )
)</f>
        <v/>
      </c>
      <c r="R3059" s="385" t="str">
        <f>IFERROR(
    IF(
        OR(ISBLANK(N3059), AND(ISBLANK(L3059), ISBLANK(M3059))),
        "",
        MAX(
            1,
            IF(
                NETWORKDAYS(IF(NOT(ISBLANK(M3059)), M3059, L3059), N3059, Holiday_Dates) &lt;= 0,
                1,
                NETWORKDAYS(IF(NOT(ISBLANK(M3059)), M3059, L3059), N3059, Holiday_Dates)
                - IF(IF(NOT(ISBLANK(M3059)), M3059, L3059) = N3059, 0, 1)
            )
        )
    ),
    ""
)</f>
        <v/>
      </c>
      <c r="S3059" s="385" t="str">
        <f>IFERROR(
    IF(
        OR(ISBLANK(N3059), ISBLANK(O3059)),
        "",
        MAX(
            1,
            IF(
                NETWORKDAYS(N3059, O3059, Holiday_Dates) &lt;= 0,
                1,
                NETWORKDAYS(N3059, O3059, Holiday_Dates) - IF(N3059 = O3059, 0, 1)
            )
        )
    ),
    ""
)</f>
        <v/>
      </c>
      <c r="T3059" s="385"/>
      <c r="U3059" s="385" t="s">
        <v>4</v>
      </c>
      <c r="V3059" s="385" t="s">
        <v>101</v>
      </c>
      <c r="W3059" s="385" t="s">
        <v>1436</v>
      </c>
      <c r="X3059" s="1"/>
    </row>
    <row r="3060" spans="1:24">
      <c r="A3060" s="385" t="s">
        <v>53</v>
      </c>
      <c r="B3060" s="385" t="s">
        <v>552</v>
      </c>
      <c r="C3060" s="385" t="s">
        <v>4529</v>
      </c>
      <c r="D3060" s="385" t="s">
        <v>89</v>
      </c>
      <c r="E3060" s="385"/>
      <c r="F3060" s="385"/>
      <c r="G3060" s="385"/>
      <c r="H3060" s="385">
        <v>2025</v>
      </c>
      <c r="I3060" s="386">
        <v>45848</v>
      </c>
      <c r="J3060" s="30" t="s">
        <v>5871</v>
      </c>
      <c r="K3060" s="385"/>
      <c r="L3060" s="385"/>
      <c r="M3060" s="385"/>
      <c r="N3060" s="385"/>
      <c r="O3060" s="385"/>
      <c r="P3060" s="385" t="str">
        <f>IFERROR(
    IF(
        OR(ISBLANK(I3060), ISBLANK(L3060)),
        "",
        MAX(
            1,
            IF(
                NETWORKDAYS(I3060, L3060, Holiday_Dates) &lt;= 0,
                1,
                NETWORKDAYS(I3060, L3060, Holiday_Dates) - IF(I3060 = L3060, 0, 1)
            )
        )
    ),
    ""
)</f>
        <v/>
      </c>
      <c r="Q3060" s="385" t="str">
        <f>IF(
    OR(ISBLANK(L3060), ISBLANK(M3060)),
    "",
    MAX(
        1,
        IF(
            NETWORKDAYS(L3060, M3060, Holiday_Dates) &lt;= 0,
            1,
            NETWORKDAYS(L3060, M3060, Holiday_Dates) - IF(L3060 = M3060, 0, 1)
        )
    )
)</f>
        <v/>
      </c>
      <c r="R3060" s="385" t="str">
        <f>IFERROR(
    IF(
        OR(ISBLANK(N3060), AND(ISBLANK(L3060), ISBLANK(M3060))),
        "",
        MAX(
            1,
            IF(
                NETWORKDAYS(IF(NOT(ISBLANK(M3060)), M3060, L3060), N3060, Holiday_Dates) &lt;= 0,
                1,
                NETWORKDAYS(IF(NOT(ISBLANK(M3060)), M3060, L3060), N3060, Holiday_Dates)
                - IF(IF(NOT(ISBLANK(M3060)), M3060, L3060) = N3060, 0, 1)
            )
        )
    ),
    ""
)</f>
        <v/>
      </c>
      <c r="S3060" s="385" t="str">
        <f>IFERROR(
    IF(
        OR(ISBLANK(N3060), ISBLANK(O3060)),
        "",
        MAX(
            1,
            IF(
                NETWORKDAYS(N3060, O3060, Holiday_Dates) &lt;= 0,
                1,
                NETWORKDAYS(N3060, O3060, Holiday_Dates) - IF(N3060 = O3060, 0, 1)
            )
        )
    ),
    ""
)</f>
        <v/>
      </c>
      <c r="T3060" s="385"/>
      <c r="U3060" s="385" t="s">
        <v>672</v>
      </c>
      <c r="V3060" s="385" t="s">
        <v>101</v>
      </c>
      <c r="W3060" s="385" t="s">
        <v>1436</v>
      </c>
      <c r="X3060" s="1"/>
    </row>
    <row r="3061" spans="1:24">
      <c r="A3061" s="385" t="s">
        <v>53</v>
      </c>
      <c r="B3061" s="385" t="s">
        <v>552</v>
      </c>
      <c r="C3061" s="385" t="s">
        <v>2278</v>
      </c>
      <c r="D3061" s="385" t="s">
        <v>89</v>
      </c>
      <c r="E3061" s="385"/>
      <c r="F3061" s="385"/>
      <c r="G3061" s="385"/>
      <c r="H3061" s="385">
        <v>2025</v>
      </c>
      <c r="I3061" s="386">
        <v>45848</v>
      </c>
      <c r="J3061" s="30" t="s">
        <v>5872</v>
      </c>
      <c r="K3061" s="385"/>
      <c r="L3061" s="385"/>
      <c r="M3061" s="385"/>
      <c r="N3061" s="385"/>
      <c r="O3061" s="385"/>
      <c r="P3061" s="385" t="str">
        <f>IFERROR(
    IF(
        OR(ISBLANK(I3061), ISBLANK(L3061)),
        "",
        MAX(
            1,
            IF(
                NETWORKDAYS(I3061, L3061, Holiday_Dates) &lt;= 0,
                1,
                NETWORKDAYS(I3061, L3061, Holiday_Dates) - IF(I3061 = L3061, 0, 1)
            )
        )
    ),
    ""
)</f>
        <v/>
      </c>
      <c r="Q3061" s="385" t="str">
        <f>IF(
    OR(ISBLANK(L3061), ISBLANK(M3061)),
    "",
    MAX(
        1,
        IF(
            NETWORKDAYS(L3061, M3061, Holiday_Dates) &lt;= 0,
            1,
            NETWORKDAYS(L3061, M3061, Holiday_Dates) - IF(L3061 = M3061, 0, 1)
        )
    )
)</f>
        <v/>
      </c>
      <c r="R3061" s="385" t="str">
        <f>IFERROR(
    IF(
        OR(ISBLANK(N3061), AND(ISBLANK(L3061), ISBLANK(M3061))),
        "",
        MAX(
            1,
            IF(
                NETWORKDAYS(IF(NOT(ISBLANK(M3061)), M3061, L3061), N3061, Holiday_Dates) &lt;= 0,
                1,
                NETWORKDAYS(IF(NOT(ISBLANK(M3061)), M3061, L3061), N3061, Holiday_Dates)
                - IF(IF(NOT(ISBLANK(M3061)), M3061, L3061) = N3061, 0, 1)
            )
        )
    ),
    ""
)</f>
        <v/>
      </c>
      <c r="S3061" s="385" t="str">
        <f>IFERROR(
    IF(
        OR(ISBLANK(N3061), ISBLANK(O3061)),
        "",
        MAX(
            1,
            IF(
                NETWORKDAYS(N3061, O3061, Holiday_Dates) &lt;= 0,
                1,
                NETWORKDAYS(N3061, O3061, Holiday_Dates) - IF(N3061 = O3061, 0, 1)
            )
        )
    ),
    ""
)</f>
        <v/>
      </c>
      <c r="T3061" s="385"/>
      <c r="U3061" s="385" t="s">
        <v>4</v>
      </c>
      <c r="V3061" s="385" t="s">
        <v>101</v>
      </c>
      <c r="W3061" s="385" t="s">
        <v>1436</v>
      </c>
      <c r="X3061" s="1"/>
    </row>
    <row r="3062" spans="1:24">
      <c r="A3062" s="385" t="s">
        <v>53</v>
      </c>
      <c r="B3062" s="385" t="s">
        <v>552</v>
      </c>
      <c r="C3062" s="385" t="s">
        <v>2178</v>
      </c>
      <c r="D3062" s="385" t="s">
        <v>89</v>
      </c>
      <c r="E3062" s="385"/>
      <c r="F3062" s="385"/>
      <c r="G3062" s="385"/>
      <c r="H3062" s="385">
        <v>2025</v>
      </c>
      <c r="I3062" s="386">
        <v>45848</v>
      </c>
      <c r="J3062" s="30" t="s">
        <v>5873</v>
      </c>
      <c r="K3062" s="385"/>
      <c r="L3062" s="385"/>
      <c r="M3062" s="385"/>
      <c r="N3062" s="385"/>
      <c r="O3062" s="385"/>
      <c r="P3062" s="385" t="str">
        <f>IFERROR(
    IF(
        OR(ISBLANK(I3062), ISBLANK(L3062)),
        "",
        MAX(
            1,
            IF(
                NETWORKDAYS(I3062, L3062, Holiday_Dates) &lt;= 0,
                1,
                NETWORKDAYS(I3062, L3062, Holiday_Dates) - IF(I3062 = L3062, 0, 1)
            )
        )
    ),
    ""
)</f>
        <v/>
      </c>
      <c r="Q3062" s="385" t="str">
        <f>IF(
    OR(ISBLANK(L3062), ISBLANK(M3062)),
    "",
    MAX(
        1,
        IF(
            NETWORKDAYS(L3062, M3062, Holiday_Dates) &lt;= 0,
            1,
            NETWORKDAYS(L3062, M3062, Holiday_Dates) - IF(L3062 = M3062, 0, 1)
        )
    )
)</f>
        <v/>
      </c>
      <c r="R3062" s="385" t="str">
        <f>IFERROR(
    IF(
        OR(ISBLANK(N3062), AND(ISBLANK(L3062), ISBLANK(M3062))),
        "",
        MAX(
            1,
            IF(
                NETWORKDAYS(IF(NOT(ISBLANK(M3062)), M3062, L3062), N3062, Holiday_Dates) &lt;= 0,
                1,
                NETWORKDAYS(IF(NOT(ISBLANK(M3062)), M3062, L3062), N3062, Holiday_Dates)
                - IF(IF(NOT(ISBLANK(M3062)), M3062, L3062) = N3062, 0, 1)
            )
        )
    ),
    ""
)</f>
        <v/>
      </c>
      <c r="S3062" s="385" t="str">
        <f>IFERROR(
    IF(
        OR(ISBLANK(N3062), ISBLANK(O3062)),
        "",
        MAX(
            1,
            IF(
                NETWORKDAYS(N3062, O3062, Holiday_Dates) &lt;= 0,
                1,
                NETWORKDAYS(N3062, O3062, Holiday_Dates) - IF(N3062 = O3062, 0, 1)
            )
        )
    ),
    ""
)</f>
        <v/>
      </c>
      <c r="T3062" s="385"/>
      <c r="U3062" s="385" t="s">
        <v>4</v>
      </c>
      <c r="V3062" s="385" t="s">
        <v>101</v>
      </c>
      <c r="W3062" s="385" t="s">
        <v>1436</v>
      </c>
      <c r="X3062" s="1"/>
    </row>
    <row r="3063" spans="1:24">
      <c r="A3063" s="385" t="s">
        <v>53</v>
      </c>
      <c r="B3063" s="385" t="s">
        <v>552</v>
      </c>
      <c r="C3063" s="385" t="s">
        <v>4530</v>
      </c>
      <c r="D3063" s="385" t="s">
        <v>89</v>
      </c>
      <c r="E3063" s="385"/>
      <c r="F3063" s="385"/>
      <c r="G3063" s="385"/>
      <c r="H3063" s="385">
        <v>2025</v>
      </c>
      <c r="I3063" s="386">
        <v>45730</v>
      </c>
      <c r="J3063" s="30" t="s">
        <v>5874</v>
      </c>
      <c r="K3063" s="385"/>
      <c r="L3063" s="385"/>
      <c r="M3063" s="385"/>
      <c r="N3063" s="385"/>
      <c r="O3063" s="385"/>
      <c r="P3063" s="385" t="str">
        <f>IFERROR(
    IF(
        OR(ISBLANK(I3063), ISBLANK(L3063)),
        "",
        MAX(
            1,
            IF(
                NETWORKDAYS(I3063, L3063, Holiday_Dates) &lt;= 0,
                1,
                NETWORKDAYS(I3063, L3063, Holiday_Dates) - IF(I3063 = L3063, 0, 1)
            )
        )
    ),
    ""
)</f>
        <v/>
      </c>
      <c r="Q3063" s="385" t="str">
        <f>IF(
    OR(ISBLANK(L3063), ISBLANK(M3063)),
    "",
    MAX(
        1,
        IF(
            NETWORKDAYS(L3063, M3063, Holiday_Dates) &lt;= 0,
            1,
            NETWORKDAYS(L3063, M3063, Holiday_Dates) - IF(L3063 = M3063, 0, 1)
        )
    )
)</f>
        <v/>
      </c>
      <c r="R3063" s="385" t="str">
        <f>IFERROR(
    IF(
        OR(ISBLANK(N3063), AND(ISBLANK(L3063), ISBLANK(M3063))),
        "",
        MAX(
            1,
            IF(
                NETWORKDAYS(IF(NOT(ISBLANK(M3063)), M3063, L3063), N3063, Holiday_Dates) &lt;= 0,
                1,
                NETWORKDAYS(IF(NOT(ISBLANK(M3063)), M3063, L3063), N3063, Holiday_Dates)
                - IF(IF(NOT(ISBLANK(M3063)), M3063, L3063) = N3063, 0, 1)
            )
        )
    ),
    ""
)</f>
        <v/>
      </c>
      <c r="S3063" s="385" t="str">
        <f>IFERROR(
    IF(
        OR(ISBLANK(N3063), ISBLANK(O3063)),
        "",
        MAX(
            1,
            IF(
                NETWORKDAYS(N3063, O3063, Holiday_Dates) &lt;= 0,
                1,
                NETWORKDAYS(N3063, O3063, Holiday_Dates) - IF(N3063 = O3063, 0, 1)
            )
        )
    ),
    ""
)</f>
        <v/>
      </c>
      <c r="T3063" s="385"/>
      <c r="U3063" s="385" t="s">
        <v>4</v>
      </c>
      <c r="V3063" s="385" t="s">
        <v>101</v>
      </c>
      <c r="W3063" s="385" t="s">
        <v>1436</v>
      </c>
      <c r="X3063" s="1"/>
    </row>
    <row r="3064" spans="1:24">
      <c r="A3064" s="385" t="s">
        <v>53</v>
      </c>
      <c r="B3064" s="385" t="s">
        <v>552</v>
      </c>
      <c r="C3064" s="385" t="s">
        <v>4531</v>
      </c>
      <c r="D3064" s="385" t="s">
        <v>89</v>
      </c>
      <c r="E3064" s="385"/>
      <c r="F3064" s="385"/>
      <c r="G3064" s="385"/>
      <c r="H3064" s="385">
        <v>2025</v>
      </c>
      <c r="I3064" s="386">
        <v>45848</v>
      </c>
      <c r="J3064" s="30" t="s">
        <v>5875</v>
      </c>
      <c r="K3064" s="385"/>
      <c r="L3064" s="385"/>
      <c r="M3064" s="385"/>
      <c r="N3064" s="385"/>
      <c r="O3064" s="385"/>
      <c r="P3064" s="385" t="str">
        <f>IFERROR(
    IF(
        OR(ISBLANK(I3064), ISBLANK(L3064)),
        "",
        MAX(
            1,
            IF(
                NETWORKDAYS(I3064, L3064, Holiday_Dates) &lt;= 0,
                1,
                NETWORKDAYS(I3064, L3064, Holiday_Dates) - IF(I3064 = L3064, 0, 1)
            )
        )
    ),
    ""
)</f>
        <v/>
      </c>
      <c r="Q3064" s="385" t="str">
        <f>IF(
    OR(ISBLANK(L3064), ISBLANK(M3064)),
    "",
    MAX(
        1,
        IF(
            NETWORKDAYS(L3064, M3064, Holiday_Dates) &lt;= 0,
            1,
            NETWORKDAYS(L3064, M3064, Holiday_Dates) - IF(L3064 = M3064, 0, 1)
        )
    )
)</f>
        <v/>
      </c>
      <c r="R3064" s="385" t="str">
        <f>IFERROR(
    IF(
        OR(ISBLANK(N3064), AND(ISBLANK(L3064), ISBLANK(M3064))),
        "",
        MAX(
            1,
            IF(
                NETWORKDAYS(IF(NOT(ISBLANK(M3064)), M3064, L3064), N3064, Holiday_Dates) &lt;= 0,
                1,
                NETWORKDAYS(IF(NOT(ISBLANK(M3064)), M3064, L3064), N3064, Holiday_Dates)
                - IF(IF(NOT(ISBLANK(M3064)), M3064, L3064) = N3064, 0, 1)
            )
        )
    ),
    ""
)</f>
        <v/>
      </c>
      <c r="S3064" s="385" t="str">
        <f>IFERROR(
    IF(
        OR(ISBLANK(N3064), ISBLANK(O3064)),
        "",
        MAX(
            1,
            IF(
                NETWORKDAYS(N3064, O3064, Holiday_Dates) &lt;= 0,
                1,
                NETWORKDAYS(N3064, O3064, Holiday_Dates) - IF(N3064 = O3064, 0, 1)
            )
        )
    ),
    ""
)</f>
        <v/>
      </c>
      <c r="T3064" s="385"/>
      <c r="U3064" s="385" t="s">
        <v>4</v>
      </c>
      <c r="V3064" s="385" t="s">
        <v>101</v>
      </c>
      <c r="W3064" s="385" t="s">
        <v>1436</v>
      </c>
      <c r="X3064" s="1"/>
    </row>
    <row r="3065" spans="1:24">
      <c r="A3065" s="385" t="s">
        <v>53</v>
      </c>
      <c r="B3065" s="385" t="s">
        <v>552</v>
      </c>
      <c r="C3065" s="385" t="s">
        <v>4532</v>
      </c>
      <c r="D3065" s="385" t="s">
        <v>89</v>
      </c>
      <c r="E3065" s="385"/>
      <c r="F3065" s="385"/>
      <c r="G3065" s="385"/>
      <c r="H3065" s="385">
        <v>2024</v>
      </c>
      <c r="I3065" s="386">
        <v>45511</v>
      </c>
      <c r="J3065" s="30"/>
      <c r="K3065" s="385"/>
      <c r="L3065" s="385"/>
      <c r="M3065" s="385"/>
      <c r="N3065" s="385"/>
      <c r="O3065" s="385"/>
      <c r="P3065" s="385" t="str">
        <f>IFERROR(
    IF(
        OR(ISBLANK(I3065), ISBLANK(L3065)),
        "",
        MAX(
            1,
            IF(
                NETWORKDAYS(I3065, L3065, Holiday_Dates) &lt;= 0,
                1,
                NETWORKDAYS(I3065, L3065, Holiday_Dates) - IF(I3065 = L3065, 0, 1)
            )
        )
    ),
    ""
)</f>
        <v/>
      </c>
      <c r="Q3065" s="385" t="str">
        <f>IF(
    OR(ISBLANK(L3065), ISBLANK(M3065)),
    "",
    MAX(
        1,
        IF(
            NETWORKDAYS(L3065, M3065, Holiday_Dates) &lt;= 0,
            1,
            NETWORKDAYS(L3065, M3065, Holiday_Dates) - IF(L3065 = M3065, 0, 1)
        )
    )
)</f>
        <v/>
      </c>
      <c r="R3065" s="385" t="str">
        <f>IFERROR(
    IF(
        OR(ISBLANK(N3065), AND(ISBLANK(L3065), ISBLANK(M3065))),
        "",
        MAX(
            1,
            IF(
                NETWORKDAYS(IF(NOT(ISBLANK(M3065)), M3065, L3065), N3065, Holiday_Dates) &lt;= 0,
                1,
                NETWORKDAYS(IF(NOT(ISBLANK(M3065)), M3065, L3065), N3065, Holiday_Dates)
                - IF(IF(NOT(ISBLANK(M3065)), M3065, L3065) = N3065, 0, 1)
            )
        )
    ),
    ""
)</f>
        <v/>
      </c>
      <c r="S3065" s="385" t="str">
        <f>IFERROR(
    IF(
        OR(ISBLANK(N3065), ISBLANK(O3065)),
        "",
        MAX(
            1,
            IF(
                NETWORKDAYS(N3065, O3065, Holiday_Dates) &lt;= 0,
                1,
                NETWORKDAYS(N3065, O3065, Holiday_Dates) - IF(N3065 = O3065, 0, 1)
            )
        )
    ),
    ""
)</f>
        <v/>
      </c>
      <c r="T3065" s="385"/>
      <c r="U3065" s="385" t="s">
        <v>4</v>
      </c>
      <c r="V3065" s="385" t="s">
        <v>101</v>
      </c>
      <c r="W3065" s="385" t="s">
        <v>1436</v>
      </c>
      <c r="X3065" s="1"/>
    </row>
    <row r="3066" spans="1:24">
      <c r="A3066" s="385" t="s">
        <v>53</v>
      </c>
      <c r="B3066" s="385" t="s">
        <v>242</v>
      </c>
      <c r="C3066" s="385" t="s">
        <v>539</v>
      </c>
      <c r="D3066" s="385" t="s">
        <v>89</v>
      </c>
      <c r="E3066" s="385" t="s">
        <v>246</v>
      </c>
      <c r="F3066" s="385"/>
      <c r="G3066" s="385" t="s">
        <v>133</v>
      </c>
      <c r="H3066" s="385"/>
      <c r="I3066" s="385"/>
      <c r="J3066" s="530"/>
      <c r="K3066" s="385"/>
      <c r="L3066" s="385"/>
      <c r="M3066" s="385"/>
      <c r="N3066" s="385"/>
      <c r="O3066" s="385"/>
      <c r="P3066" s="385" t="str">
        <f>IFERROR(
    IF(
        OR(ISBLANK(I3066), ISBLANK(L3066)),
        "",
        MAX(
            1,
            IF(
                NETWORKDAYS(I3066, L3066, Holiday_Dates) &lt;= 0,
                1,
                NETWORKDAYS(I3066, L3066, Holiday_Dates) - IF(I3066 = L3066, 0, 1)
            )
        )
    ),
    ""
)</f>
        <v/>
      </c>
      <c r="Q3066" s="385" t="str">
        <f>IF(
    OR(ISBLANK(L3066), ISBLANK(M3066)),
    "",
    MAX(
        1,
        IF(
            NETWORKDAYS(L3066, M3066, Holiday_Dates) &lt;= 0,
            1,
            NETWORKDAYS(L3066, M3066, Holiday_Dates) - IF(L3066 = M3066, 0, 1)
        )
    )
)</f>
        <v/>
      </c>
      <c r="R3066" s="385" t="str">
        <f>IFERROR(
    IF(
        OR(ISBLANK(N3066), AND(ISBLANK(L3066), ISBLANK(M3066))),
        "",
        MAX(
            1,
            IF(
                NETWORKDAYS(IF(NOT(ISBLANK(M3066)), M3066, L3066), N3066, Holiday_Dates) &lt;= 0,
                1,
                NETWORKDAYS(IF(NOT(ISBLANK(M3066)), M3066, L3066), N3066, Holiday_Dates)
                - IF(IF(NOT(ISBLANK(M3066)), M3066, L3066) = N3066, 0, 1)
            )
        )
    ),
    ""
)</f>
        <v/>
      </c>
      <c r="S3066" s="385" t="str">
        <f>IFERROR(
    IF(
        OR(ISBLANK(N3066), ISBLANK(O3066)),
        "",
        MAX(
            1,
            IF(
                NETWORKDAYS(N3066, O3066, Holiday_Dates) &lt;= 0,
                1,
                NETWORKDAYS(N3066, O3066, Holiday_Dates) - IF(N3066 = O3066, 0, 1)
            )
        )
    ),
    ""
)</f>
        <v/>
      </c>
      <c r="T3066" s="385"/>
      <c r="U3066" s="385"/>
      <c r="V3066" s="385"/>
      <c r="W3066" s="385" t="s">
        <v>4710</v>
      </c>
      <c r="X3066" s="1"/>
    </row>
    <row r="3067" spans="1:24">
      <c r="A3067" s="385" t="s">
        <v>53</v>
      </c>
      <c r="B3067" s="385" t="s">
        <v>4536</v>
      </c>
      <c r="C3067" s="385" t="s">
        <v>4539</v>
      </c>
      <c r="D3067" s="385" t="s">
        <v>89</v>
      </c>
      <c r="E3067" s="385"/>
      <c r="F3067" s="385"/>
      <c r="G3067" s="385"/>
      <c r="H3067" s="385">
        <v>2024</v>
      </c>
      <c r="I3067" s="386">
        <v>45581</v>
      </c>
      <c r="J3067" s="30"/>
      <c r="K3067" s="385"/>
      <c r="L3067" s="385"/>
      <c r="M3067" s="385"/>
      <c r="N3067" s="385"/>
      <c r="O3067" s="385"/>
      <c r="P3067" s="385" t="str">
        <f>IFERROR(
    IF(
        OR(ISBLANK(I3067), ISBLANK(L3067)),
        "",
        MAX(
            1,
            IF(
                NETWORKDAYS(I3067, L3067, Holiday_Dates) &lt;= 0,
                1,
                NETWORKDAYS(I3067, L3067, Holiday_Dates) - IF(I3067 = L3067, 0, 1)
            )
        )
    ),
    ""
)</f>
        <v/>
      </c>
      <c r="Q3067" s="385" t="str">
        <f>IF(
    OR(ISBLANK(L3067), ISBLANK(M3067)),
    "",
    MAX(
        1,
        IF(
            NETWORKDAYS(L3067, M3067, Holiday_Dates) &lt;= 0,
            1,
            NETWORKDAYS(L3067, M3067, Holiday_Dates) - IF(L3067 = M3067, 0, 1)
        )
    )
)</f>
        <v/>
      </c>
      <c r="R3067" s="385" t="str">
        <f>IFERROR(
    IF(
        OR(ISBLANK(N3067), AND(ISBLANK(L3067), ISBLANK(M3067))),
        "",
        MAX(
            1,
            IF(
                NETWORKDAYS(IF(NOT(ISBLANK(M3067)), M3067, L3067), N3067, Holiday_Dates) &lt;= 0,
                1,
                NETWORKDAYS(IF(NOT(ISBLANK(M3067)), M3067, L3067), N3067, Holiday_Dates)
                - IF(IF(NOT(ISBLANK(M3067)), M3067, L3067) = N3067, 0, 1)
            )
        )
    ),
    ""
)</f>
        <v/>
      </c>
      <c r="S3067" s="385" t="str">
        <f>IFERROR(
    IF(
        OR(ISBLANK(N3067), ISBLANK(O3067)),
        "",
        MAX(
            1,
            IF(
                NETWORKDAYS(N3067, O3067, Holiday_Dates) &lt;= 0,
                1,
                NETWORKDAYS(N3067, O3067, Holiday_Dates) - IF(N3067 = O3067, 0, 1)
            )
        )
    ),
    ""
)</f>
        <v/>
      </c>
      <c r="T3067" s="385"/>
      <c r="U3067" s="385" t="s">
        <v>672</v>
      </c>
      <c r="V3067" s="385" t="s">
        <v>101</v>
      </c>
      <c r="W3067" s="385" t="s">
        <v>1436</v>
      </c>
      <c r="X3067" s="1"/>
    </row>
    <row r="3068" spans="1:24">
      <c r="A3068" s="385" t="s">
        <v>53</v>
      </c>
      <c r="B3068" s="385" t="s">
        <v>4536</v>
      </c>
      <c r="C3068" s="385" t="s">
        <v>4541</v>
      </c>
      <c r="D3068" s="385" t="s">
        <v>89</v>
      </c>
      <c r="E3068" s="385"/>
      <c r="F3068" s="385"/>
      <c r="G3068" s="385"/>
      <c r="H3068" s="385">
        <v>2025</v>
      </c>
      <c r="I3068" s="386">
        <v>45730</v>
      </c>
      <c r="J3068" s="30" t="s">
        <v>5876</v>
      </c>
      <c r="K3068" s="385"/>
      <c r="L3068" s="385"/>
      <c r="M3068" s="385"/>
      <c r="N3068" s="385"/>
      <c r="O3068" s="385"/>
      <c r="P3068" s="385" t="str">
        <f>IFERROR(
    IF(
        OR(ISBLANK(I3068), ISBLANK(L3068)),
        "",
        MAX(
            1,
            IF(
                NETWORKDAYS(I3068, L3068, Holiday_Dates) &lt;= 0,
                1,
                NETWORKDAYS(I3068, L3068, Holiday_Dates) - IF(I3068 = L3068, 0, 1)
            )
        )
    ),
    ""
)</f>
        <v/>
      </c>
      <c r="Q3068" s="385" t="str">
        <f>IF(
    OR(ISBLANK(L3068), ISBLANK(M3068)),
    "",
    MAX(
        1,
        IF(
            NETWORKDAYS(L3068, M3068, Holiday_Dates) &lt;= 0,
            1,
            NETWORKDAYS(L3068, M3068, Holiday_Dates) - IF(L3068 = M3068, 0, 1)
        )
    )
)</f>
        <v/>
      </c>
      <c r="R3068" s="385" t="str">
        <f>IFERROR(
    IF(
        OR(ISBLANK(N3068), AND(ISBLANK(L3068), ISBLANK(M3068))),
        "",
        MAX(
            1,
            IF(
                NETWORKDAYS(IF(NOT(ISBLANK(M3068)), M3068, L3068), N3068, Holiday_Dates) &lt;= 0,
                1,
                NETWORKDAYS(IF(NOT(ISBLANK(M3068)), M3068, L3068), N3068, Holiday_Dates)
                - IF(IF(NOT(ISBLANK(M3068)), M3068, L3068) = N3068, 0, 1)
            )
        )
    ),
    ""
)</f>
        <v/>
      </c>
      <c r="S3068" s="385" t="str">
        <f>IFERROR(
    IF(
        OR(ISBLANK(N3068), ISBLANK(O3068)),
        "",
        MAX(
            1,
            IF(
                NETWORKDAYS(N3068, O3068, Holiday_Dates) &lt;= 0,
                1,
                NETWORKDAYS(N3068, O3068, Holiday_Dates) - IF(N3068 = O3068, 0, 1)
            )
        )
    ),
    ""
)</f>
        <v/>
      </c>
      <c r="T3068" s="385"/>
      <c r="U3068" s="385" t="s">
        <v>672</v>
      </c>
      <c r="V3068" s="385" t="s">
        <v>101</v>
      </c>
      <c r="W3068" s="385" t="s">
        <v>1436</v>
      </c>
      <c r="X3068" s="1"/>
    </row>
    <row r="3069" spans="1:24">
      <c r="A3069" s="385" t="s">
        <v>53</v>
      </c>
      <c r="B3069" s="385" t="s">
        <v>4536</v>
      </c>
      <c r="C3069" s="385" t="s">
        <v>4542</v>
      </c>
      <c r="D3069" s="385" t="s">
        <v>89</v>
      </c>
      <c r="E3069" s="385"/>
      <c r="F3069" s="385"/>
      <c r="G3069" s="385"/>
      <c r="H3069" s="385">
        <v>2024</v>
      </c>
      <c r="I3069" s="386">
        <v>45428</v>
      </c>
      <c r="J3069" s="30"/>
      <c r="K3069" s="385"/>
      <c r="L3069" s="385"/>
      <c r="M3069" s="385"/>
      <c r="N3069" s="385"/>
      <c r="O3069" s="385"/>
      <c r="P3069" s="385" t="str">
        <f>IFERROR(
    IF(
        OR(ISBLANK(I3069), ISBLANK(L3069)),
        "",
        MAX(
            1,
            IF(
                NETWORKDAYS(I3069, L3069, Holiday_Dates) &lt;= 0,
                1,
                NETWORKDAYS(I3069, L3069, Holiday_Dates) - IF(I3069 = L3069, 0, 1)
            )
        )
    ),
    ""
)</f>
        <v/>
      </c>
      <c r="Q3069" s="385" t="str">
        <f>IF(
    OR(ISBLANK(L3069), ISBLANK(M3069)),
    "",
    MAX(
        1,
        IF(
            NETWORKDAYS(L3069, M3069, Holiday_Dates) &lt;= 0,
            1,
            NETWORKDAYS(L3069, M3069, Holiday_Dates) - IF(L3069 = M3069, 0, 1)
        )
    )
)</f>
        <v/>
      </c>
      <c r="R3069" s="385" t="str">
        <f>IFERROR(
    IF(
        OR(ISBLANK(N3069), AND(ISBLANK(L3069), ISBLANK(M3069))),
        "",
        MAX(
            1,
            IF(
                NETWORKDAYS(IF(NOT(ISBLANK(M3069)), M3069, L3069), N3069, Holiday_Dates) &lt;= 0,
                1,
                NETWORKDAYS(IF(NOT(ISBLANK(M3069)), M3069, L3069), N3069, Holiday_Dates)
                - IF(IF(NOT(ISBLANK(M3069)), M3069, L3069) = N3069, 0, 1)
            )
        )
    ),
    ""
)</f>
        <v/>
      </c>
      <c r="S3069" s="385" t="str">
        <f>IFERROR(
    IF(
        OR(ISBLANK(N3069), ISBLANK(O3069)),
        "",
        MAX(
            1,
            IF(
                NETWORKDAYS(N3069, O3069, Holiday_Dates) &lt;= 0,
                1,
                NETWORKDAYS(N3069, O3069, Holiday_Dates) - IF(N3069 = O3069, 0, 1)
            )
        )
    ),
    ""
)</f>
        <v/>
      </c>
      <c r="T3069" s="385"/>
      <c r="U3069" s="385" t="s">
        <v>672</v>
      </c>
      <c r="V3069" s="385" t="s">
        <v>101</v>
      </c>
      <c r="W3069" s="385" t="s">
        <v>1436</v>
      </c>
      <c r="X3069" s="1"/>
    </row>
    <row r="3070" spans="1:24">
      <c r="A3070" s="385" t="s">
        <v>53</v>
      </c>
      <c r="B3070" s="385" t="s">
        <v>4536</v>
      </c>
      <c r="C3070" s="385" t="s">
        <v>4538</v>
      </c>
      <c r="D3070" s="385" t="s">
        <v>89</v>
      </c>
      <c r="E3070" s="385"/>
      <c r="F3070" s="385"/>
      <c r="G3070" s="385"/>
      <c r="H3070" s="385">
        <v>2025</v>
      </c>
      <c r="I3070" s="386">
        <v>45793</v>
      </c>
      <c r="J3070" s="30" t="s">
        <v>5877</v>
      </c>
      <c r="K3070" s="385"/>
      <c r="L3070" s="385"/>
      <c r="M3070" s="385"/>
      <c r="N3070" s="385"/>
      <c r="O3070" s="385"/>
      <c r="P3070" s="385" t="str">
        <f>IFERROR(
    IF(
        OR(ISBLANK(I3070), ISBLANK(L3070)),
        "",
        MAX(
            1,
            IF(
                NETWORKDAYS(I3070, L3070, Holiday_Dates) &lt;= 0,
                1,
                NETWORKDAYS(I3070, L3070, Holiday_Dates) - IF(I3070 = L3070, 0, 1)
            )
        )
    ),
    ""
)</f>
        <v/>
      </c>
      <c r="Q3070" s="385" t="str">
        <f>IF(
    OR(ISBLANK(L3070), ISBLANK(M3070)),
    "",
    MAX(
        1,
        IF(
            NETWORKDAYS(L3070, M3070, Holiday_Dates) &lt;= 0,
            1,
            NETWORKDAYS(L3070, M3070, Holiday_Dates) - IF(L3070 = M3070, 0, 1)
        )
    )
)</f>
        <v/>
      </c>
      <c r="R3070" s="385" t="str">
        <f>IFERROR(
    IF(
        OR(ISBLANK(N3070), AND(ISBLANK(L3070), ISBLANK(M3070))),
        "",
        MAX(
            1,
            IF(
                NETWORKDAYS(IF(NOT(ISBLANK(M3070)), M3070, L3070), N3070, Holiday_Dates) &lt;= 0,
                1,
                NETWORKDAYS(IF(NOT(ISBLANK(M3070)), M3070, L3070), N3070, Holiday_Dates)
                - IF(IF(NOT(ISBLANK(M3070)), M3070, L3070) = N3070, 0, 1)
            )
        )
    ),
    ""
)</f>
        <v/>
      </c>
      <c r="S3070" s="385" t="str">
        <f>IFERROR(
    IF(
        OR(ISBLANK(N3070), ISBLANK(O3070)),
        "",
        MAX(
            1,
            IF(
                NETWORKDAYS(N3070, O3070, Holiday_Dates) &lt;= 0,
                1,
                NETWORKDAYS(N3070, O3070, Holiday_Dates) - IF(N3070 = O3070, 0, 1)
            )
        )
    ),
    ""
)</f>
        <v/>
      </c>
      <c r="T3070" s="385"/>
      <c r="U3070" s="385" t="s">
        <v>672</v>
      </c>
      <c r="V3070" s="385" t="s">
        <v>101</v>
      </c>
      <c r="W3070" s="385" t="s">
        <v>1436</v>
      </c>
      <c r="X3070" s="1"/>
    </row>
    <row r="3071" spans="1:24">
      <c r="A3071" s="385" t="s">
        <v>53</v>
      </c>
      <c r="B3071" s="385" t="s">
        <v>4536</v>
      </c>
      <c r="C3071" s="385" t="s">
        <v>4563</v>
      </c>
      <c r="D3071" s="385" t="s">
        <v>89</v>
      </c>
      <c r="E3071" s="385"/>
      <c r="F3071" s="385"/>
      <c r="G3071" s="385"/>
      <c r="H3071" s="385">
        <v>2024</v>
      </c>
      <c r="I3071" s="386">
        <v>45581</v>
      </c>
      <c r="J3071" s="30"/>
      <c r="K3071" s="385"/>
      <c r="L3071" s="385"/>
      <c r="M3071" s="385"/>
      <c r="N3071" s="385"/>
      <c r="O3071" s="385"/>
      <c r="P3071" s="385" t="str">
        <f>IFERROR(
    IF(
        OR(ISBLANK(I3071), ISBLANK(L3071)),
        "",
        MAX(
            1,
            IF(
                NETWORKDAYS(I3071, L3071, Holiday_Dates) &lt;= 0,
                1,
                NETWORKDAYS(I3071, L3071, Holiday_Dates) - IF(I3071 = L3071, 0, 1)
            )
        )
    ),
    ""
)</f>
        <v/>
      </c>
      <c r="Q3071" s="385" t="str">
        <f>IF(
    OR(ISBLANK(L3071), ISBLANK(M3071)),
    "",
    MAX(
        1,
        IF(
            NETWORKDAYS(L3071, M3071, Holiday_Dates) &lt;= 0,
            1,
            NETWORKDAYS(L3071, M3071, Holiday_Dates) - IF(L3071 = M3071, 0, 1)
        )
    )
)</f>
        <v/>
      </c>
      <c r="R3071" s="385" t="str">
        <f>IFERROR(
    IF(
        OR(ISBLANK(N3071), AND(ISBLANK(L3071), ISBLANK(M3071))),
        "",
        MAX(
            1,
            IF(
                NETWORKDAYS(IF(NOT(ISBLANK(M3071)), M3071, L3071), N3071, Holiday_Dates) &lt;= 0,
                1,
                NETWORKDAYS(IF(NOT(ISBLANK(M3071)), M3071, L3071), N3071, Holiday_Dates)
                - IF(IF(NOT(ISBLANK(M3071)), M3071, L3071) = N3071, 0, 1)
            )
        )
    ),
    ""
)</f>
        <v/>
      </c>
      <c r="S3071" s="385" t="str">
        <f>IFERROR(
    IF(
        OR(ISBLANK(N3071), ISBLANK(O3071)),
        "",
        MAX(
            1,
            IF(
                NETWORKDAYS(N3071, O3071, Holiday_Dates) &lt;= 0,
                1,
                NETWORKDAYS(N3071, O3071, Holiday_Dates) - IF(N3071 = O3071, 0, 1)
            )
        )
    ),
    ""
)</f>
        <v/>
      </c>
      <c r="T3071" s="385"/>
      <c r="U3071" s="385" t="s">
        <v>4</v>
      </c>
      <c r="V3071" s="385" t="s">
        <v>101</v>
      </c>
      <c r="W3071" s="385" t="s">
        <v>1436</v>
      </c>
      <c r="X3071" s="1"/>
    </row>
    <row r="3072" spans="1:24">
      <c r="A3072" s="385" t="s">
        <v>53</v>
      </c>
      <c r="B3072" s="385" t="s">
        <v>4536</v>
      </c>
      <c r="C3072" s="385" t="s">
        <v>4544</v>
      </c>
      <c r="D3072" s="385" t="s">
        <v>89</v>
      </c>
      <c r="E3072" s="385"/>
      <c r="F3072" s="385"/>
      <c r="G3072" s="385"/>
      <c r="H3072" s="385">
        <v>2025</v>
      </c>
      <c r="I3072" s="386">
        <v>45793</v>
      </c>
      <c r="J3072" s="30" t="s">
        <v>5878</v>
      </c>
      <c r="K3072" s="385"/>
      <c r="L3072" s="385"/>
      <c r="M3072" s="385"/>
      <c r="N3072" s="385"/>
      <c r="O3072" s="385"/>
      <c r="P3072" s="385" t="str">
        <f>IFERROR(
    IF(
        OR(ISBLANK(I3072), ISBLANK(L3072)),
        "",
        MAX(
            1,
            IF(
                NETWORKDAYS(I3072, L3072, Holiday_Dates) &lt;= 0,
                1,
                NETWORKDAYS(I3072, L3072, Holiday_Dates) - IF(I3072 = L3072, 0, 1)
            )
        )
    ),
    ""
)</f>
        <v/>
      </c>
      <c r="Q3072" s="385" t="str">
        <f>IF(
    OR(ISBLANK(L3072), ISBLANK(M3072)),
    "",
    MAX(
        1,
        IF(
            NETWORKDAYS(L3072, M3072, Holiday_Dates) &lt;= 0,
            1,
            NETWORKDAYS(L3072, M3072, Holiday_Dates) - IF(L3072 = M3072, 0, 1)
        )
    )
)</f>
        <v/>
      </c>
      <c r="R3072" s="385" t="str">
        <f>IFERROR(
    IF(
        OR(ISBLANK(N3072), AND(ISBLANK(L3072), ISBLANK(M3072))),
        "",
        MAX(
            1,
            IF(
                NETWORKDAYS(IF(NOT(ISBLANK(M3072)), M3072, L3072), N3072, Holiday_Dates) &lt;= 0,
                1,
                NETWORKDAYS(IF(NOT(ISBLANK(M3072)), M3072, L3072), N3072, Holiday_Dates)
                - IF(IF(NOT(ISBLANK(M3072)), M3072, L3072) = N3072, 0, 1)
            )
        )
    ),
    ""
)</f>
        <v/>
      </c>
      <c r="S3072" s="385" t="str">
        <f>IFERROR(
    IF(
        OR(ISBLANK(N3072), ISBLANK(O3072)),
        "",
        MAX(
            1,
            IF(
                NETWORKDAYS(N3072, O3072, Holiday_Dates) &lt;= 0,
                1,
                NETWORKDAYS(N3072, O3072, Holiday_Dates) - IF(N3072 = O3072, 0, 1)
            )
        )
    ),
    ""
)</f>
        <v/>
      </c>
      <c r="T3072" s="385"/>
      <c r="U3072" s="385" t="s">
        <v>672</v>
      </c>
      <c r="V3072" s="385" t="s">
        <v>101</v>
      </c>
      <c r="W3072" s="385" t="s">
        <v>1436</v>
      </c>
      <c r="X3072" s="1"/>
    </row>
    <row r="3073" spans="1:24">
      <c r="A3073" s="385" t="s">
        <v>53</v>
      </c>
      <c r="B3073" s="385" t="s">
        <v>4536</v>
      </c>
      <c r="C3073" s="385" t="s">
        <v>4545</v>
      </c>
      <c r="D3073" s="385" t="s">
        <v>89</v>
      </c>
      <c r="E3073" s="385"/>
      <c r="F3073" s="385"/>
      <c r="G3073" s="385"/>
      <c r="H3073" s="385">
        <v>2025</v>
      </c>
      <c r="I3073" s="386">
        <v>45751</v>
      </c>
      <c r="J3073" s="30" t="s">
        <v>5879</v>
      </c>
      <c r="K3073" s="385"/>
      <c r="L3073" s="385"/>
      <c r="M3073" s="385"/>
      <c r="N3073" s="385"/>
      <c r="O3073" s="385"/>
      <c r="P3073" s="385" t="str">
        <f>IFERROR(
    IF(
        OR(ISBLANK(I3073), ISBLANK(L3073)),
        "",
        MAX(
            1,
            IF(
                NETWORKDAYS(I3073, L3073, Holiday_Dates) &lt;= 0,
                1,
                NETWORKDAYS(I3073, L3073, Holiday_Dates) - IF(I3073 = L3073, 0, 1)
            )
        )
    ),
    ""
)</f>
        <v/>
      </c>
      <c r="Q3073" s="385" t="str">
        <f>IF(
    OR(ISBLANK(L3073), ISBLANK(M3073)),
    "",
    MAX(
        1,
        IF(
            NETWORKDAYS(L3073, M3073, Holiday_Dates) &lt;= 0,
            1,
            NETWORKDAYS(L3073, M3073, Holiday_Dates) - IF(L3073 = M3073, 0, 1)
        )
    )
)</f>
        <v/>
      </c>
      <c r="R3073" s="385" t="str">
        <f>IFERROR(
    IF(
        OR(ISBLANK(N3073), AND(ISBLANK(L3073), ISBLANK(M3073))),
        "",
        MAX(
            1,
            IF(
                NETWORKDAYS(IF(NOT(ISBLANK(M3073)), M3073, L3073), N3073, Holiday_Dates) &lt;= 0,
                1,
                NETWORKDAYS(IF(NOT(ISBLANK(M3073)), M3073, L3073), N3073, Holiday_Dates)
                - IF(IF(NOT(ISBLANK(M3073)), M3073, L3073) = N3073, 0, 1)
            )
        )
    ),
    ""
)</f>
        <v/>
      </c>
      <c r="S3073" s="385" t="str">
        <f>IFERROR(
    IF(
        OR(ISBLANK(N3073), ISBLANK(O3073)),
        "",
        MAX(
            1,
            IF(
                NETWORKDAYS(N3073, O3073, Holiday_Dates) &lt;= 0,
                1,
                NETWORKDAYS(N3073, O3073, Holiday_Dates) - IF(N3073 = O3073, 0, 1)
            )
        )
    ),
    ""
)</f>
        <v/>
      </c>
      <c r="T3073" s="385"/>
      <c r="U3073" s="385" t="s">
        <v>672</v>
      </c>
      <c r="V3073" s="385" t="s">
        <v>101</v>
      </c>
      <c r="W3073" s="385" t="s">
        <v>1436</v>
      </c>
      <c r="X3073" s="1"/>
    </row>
    <row r="3074" spans="1:24">
      <c r="A3074" s="385" t="s">
        <v>53</v>
      </c>
      <c r="B3074" s="385" t="s">
        <v>4536</v>
      </c>
      <c r="C3074" s="385" t="s">
        <v>4546</v>
      </c>
      <c r="D3074" s="385" t="s">
        <v>89</v>
      </c>
      <c r="E3074" s="385"/>
      <c r="F3074" s="385"/>
      <c r="G3074" s="385"/>
      <c r="H3074" s="385">
        <v>2025</v>
      </c>
      <c r="I3074" s="386">
        <v>45825</v>
      </c>
      <c r="J3074" s="30" t="s">
        <v>5880</v>
      </c>
      <c r="K3074" s="385"/>
      <c r="L3074" s="385"/>
      <c r="M3074" s="385"/>
      <c r="N3074" s="385"/>
      <c r="O3074" s="385"/>
      <c r="P3074" s="385" t="str">
        <f>IFERROR(
    IF(
        OR(ISBLANK(I3074), ISBLANK(L3074)),
        "",
        MAX(
            1,
            IF(
                NETWORKDAYS(I3074, L3074, Holiday_Dates) &lt;= 0,
                1,
                NETWORKDAYS(I3074, L3074, Holiday_Dates) - IF(I3074 = L3074, 0, 1)
            )
        )
    ),
    ""
)</f>
        <v/>
      </c>
      <c r="Q3074" s="385" t="str">
        <f>IF(
    OR(ISBLANK(L3074), ISBLANK(M3074)),
    "",
    MAX(
        1,
        IF(
            NETWORKDAYS(L3074, M3074, Holiday_Dates) &lt;= 0,
            1,
            NETWORKDAYS(L3074, M3074, Holiday_Dates) - IF(L3074 = M3074, 0, 1)
        )
    )
)</f>
        <v/>
      </c>
      <c r="R3074" s="385" t="str">
        <f>IFERROR(
    IF(
        OR(ISBLANK(N3074), AND(ISBLANK(L3074), ISBLANK(M3074))),
        "",
        MAX(
            1,
            IF(
                NETWORKDAYS(IF(NOT(ISBLANK(M3074)), M3074, L3074), N3074, Holiday_Dates) &lt;= 0,
                1,
                NETWORKDAYS(IF(NOT(ISBLANK(M3074)), M3074, L3074), N3074, Holiday_Dates)
                - IF(IF(NOT(ISBLANK(M3074)), M3074, L3074) = N3074, 0, 1)
            )
        )
    ),
    ""
)</f>
        <v/>
      </c>
      <c r="S3074" s="385" t="str">
        <f>IFERROR(
    IF(
        OR(ISBLANK(N3074), ISBLANK(O3074)),
        "",
        MAX(
            1,
            IF(
                NETWORKDAYS(N3074, O3074, Holiday_Dates) &lt;= 0,
                1,
                NETWORKDAYS(N3074, O3074, Holiday_Dates) - IF(N3074 = O3074, 0, 1)
            )
        )
    ),
    ""
)</f>
        <v/>
      </c>
      <c r="T3074" s="385"/>
      <c r="U3074" s="385" t="s">
        <v>4</v>
      </c>
      <c r="V3074" s="385" t="s">
        <v>101</v>
      </c>
      <c r="W3074" s="385" t="s">
        <v>1436</v>
      </c>
      <c r="X3074" s="1"/>
    </row>
    <row r="3075" spans="1:24">
      <c r="A3075" s="385" t="s">
        <v>53</v>
      </c>
      <c r="B3075" s="385" t="s">
        <v>4536</v>
      </c>
      <c r="C3075" s="385" t="s">
        <v>4547</v>
      </c>
      <c r="D3075" s="385" t="s">
        <v>89</v>
      </c>
      <c r="E3075" s="385"/>
      <c r="F3075" s="385"/>
      <c r="G3075" s="385"/>
      <c r="H3075" s="385">
        <v>2025</v>
      </c>
      <c r="I3075" s="386">
        <v>45825</v>
      </c>
      <c r="J3075" s="30" t="s">
        <v>5881</v>
      </c>
      <c r="K3075" s="385"/>
      <c r="L3075" s="385"/>
      <c r="M3075" s="385"/>
      <c r="N3075" s="385"/>
      <c r="O3075" s="385"/>
      <c r="P3075" s="385" t="str">
        <f>IFERROR(
    IF(
        OR(ISBLANK(I3075), ISBLANK(L3075)),
        "",
        MAX(
            1,
            IF(
                NETWORKDAYS(I3075, L3075, Holiday_Dates) &lt;= 0,
                1,
                NETWORKDAYS(I3075, L3075, Holiday_Dates) - IF(I3075 = L3075, 0, 1)
            )
        )
    ),
    ""
)</f>
        <v/>
      </c>
      <c r="Q3075" s="385" t="str">
        <f>IF(
    OR(ISBLANK(L3075), ISBLANK(M3075)),
    "",
    MAX(
        1,
        IF(
            NETWORKDAYS(L3075, M3075, Holiday_Dates) &lt;= 0,
            1,
            NETWORKDAYS(L3075, M3075, Holiday_Dates) - IF(L3075 = M3075, 0, 1)
        )
    )
)</f>
        <v/>
      </c>
      <c r="R3075" s="385" t="str">
        <f>IFERROR(
    IF(
        OR(ISBLANK(N3075), AND(ISBLANK(L3075), ISBLANK(M3075))),
        "",
        MAX(
            1,
            IF(
                NETWORKDAYS(IF(NOT(ISBLANK(M3075)), M3075, L3075), N3075, Holiday_Dates) &lt;= 0,
                1,
                NETWORKDAYS(IF(NOT(ISBLANK(M3075)), M3075, L3075), N3075, Holiday_Dates)
                - IF(IF(NOT(ISBLANK(M3075)), M3075, L3075) = N3075, 0, 1)
            )
        )
    ),
    ""
)</f>
        <v/>
      </c>
      <c r="S3075" s="385" t="str">
        <f>IFERROR(
    IF(
        OR(ISBLANK(N3075), ISBLANK(O3075)),
        "",
        MAX(
            1,
            IF(
                NETWORKDAYS(N3075, O3075, Holiday_Dates) &lt;= 0,
                1,
                NETWORKDAYS(N3075, O3075, Holiday_Dates) - IF(N3075 = O3075, 0, 1)
            )
        )
    ),
    ""
)</f>
        <v/>
      </c>
      <c r="T3075" s="385"/>
      <c r="U3075" s="385" t="s">
        <v>672</v>
      </c>
      <c r="V3075" s="385" t="s">
        <v>1676</v>
      </c>
      <c r="W3075" s="385" t="s">
        <v>1436</v>
      </c>
      <c r="X3075" s="1"/>
    </row>
    <row r="3076" spans="1:24">
      <c r="A3076" s="385" t="s">
        <v>53</v>
      </c>
      <c r="B3076" s="385" t="s">
        <v>4536</v>
      </c>
      <c r="C3076" s="385" t="s">
        <v>4453</v>
      </c>
      <c r="D3076" s="385" t="s">
        <v>89</v>
      </c>
      <c r="E3076" s="385"/>
      <c r="F3076" s="385"/>
      <c r="G3076" s="385"/>
      <c r="H3076" s="385">
        <v>2025</v>
      </c>
      <c r="I3076" s="386">
        <v>45751</v>
      </c>
      <c r="J3076" s="30" t="s">
        <v>5882</v>
      </c>
      <c r="K3076" s="385"/>
      <c r="L3076" s="385"/>
      <c r="M3076" s="385"/>
      <c r="N3076" s="385"/>
      <c r="O3076" s="385"/>
      <c r="P3076" s="385" t="str">
        <f>IFERROR(
    IF(
        OR(ISBLANK(I3076), ISBLANK(L3076)),
        "",
        MAX(
            1,
            IF(
                NETWORKDAYS(I3076, L3076, Holiday_Dates) &lt;= 0,
                1,
                NETWORKDAYS(I3076, L3076, Holiday_Dates) - IF(I3076 = L3076, 0, 1)
            )
        )
    ),
    ""
)</f>
        <v/>
      </c>
      <c r="Q3076" s="385" t="str">
        <f>IF(
    OR(ISBLANK(L3076), ISBLANK(M3076)),
    "",
    MAX(
        1,
        IF(
            NETWORKDAYS(L3076, M3076, Holiday_Dates) &lt;= 0,
            1,
            NETWORKDAYS(L3076, M3076, Holiday_Dates) - IF(L3076 = M3076, 0, 1)
        )
    )
)</f>
        <v/>
      </c>
      <c r="R3076" s="385" t="str">
        <f>IFERROR(
    IF(
        OR(ISBLANK(N3076), AND(ISBLANK(L3076), ISBLANK(M3076))),
        "",
        MAX(
            1,
            IF(
                NETWORKDAYS(IF(NOT(ISBLANK(M3076)), M3076, L3076), N3076, Holiday_Dates) &lt;= 0,
                1,
                NETWORKDAYS(IF(NOT(ISBLANK(M3076)), M3076, L3076), N3076, Holiday_Dates)
                - IF(IF(NOT(ISBLANK(M3076)), M3076, L3076) = N3076, 0, 1)
            )
        )
    ),
    ""
)</f>
        <v/>
      </c>
      <c r="S3076" s="385" t="str">
        <f>IFERROR(
    IF(
        OR(ISBLANK(N3076), ISBLANK(O3076)),
        "",
        MAX(
            1,
            IF(
                NETWORKDAYS(N3076, O3076, Holiday_Dates) &lt;= 0,
                1,
                NETWORKDAYS(N3076, O3076, Holiday_Dates) - IF(N3076 = O3076, 0, 1)
            )
        )
    ),
    ""
)</f>
        <v/>
      </c>
      <c r="T3076" s="385"/>
      <c r="U3076" s="385" t="s">
        <v>672</v>
      </c>
      <c r="V3076" s="385" t="s">
        <v>101</v>
      </c>
      <c r="W3076" s="385" t="s">
        <v>1436</v>
      </c>
      <c r="X3076" s="1"/>
    </row>
    <row r="3077" spans="1:24">
      <c r="A3077" s="385" t="s">
        <v>53</v>
      </c>
      <c r="B3077" s="385" t="s">
        <v>4536</v>
      </c>
      <c r="C3077" s="385" t="s">
        <v>3425</v>
      </c>
      <c r="D3077" s="385" t="s">
        <v>89</v>
      </c>
      <c r="E3077" s="385"/>
      <c r="F3077" s="385"/>
      <c r="G3077" s="385"/>
      <c r="H3077" s="385">
        <v>2025</v>
      </c>
      <c r="I3077" s="386">
        <v>45825</v>
      </c>
      <c r="J3077" s="30" t="s">
        <v>5883</v>
      </c>
      <c r="K3077" s="385"/>
      <c r="L3077" s="385"/>
      <c r="M3077" s="385"/>
      <c r="N3077" s="385"/>
      <c r="O3077" s="385"/>
      <c r="P3077" s="385" t="str">
        <f>IFERROR(
    IF(
        OR(ISBLANK(I3077), ISBLANK(L3077)),
        "",
        MAX(
            1,
            IF(
                NETWORKDAYS(I3077, L3077, Holiday_Dates) &lt;= 0,
                1,
                NETWORKDAYS(I3077, L3077, Holiday_Dates) - IF(I3077 = L3077, 0, 1)
            )
        )
    ),
    ""
)</f>
        <v/>
      </c>
      <c r="Q3077" s="385" t="str">
        <f>IF(
    OR(ISBLANK(L3077), ISBLANK(M3077)),
    "",
    MAX(
        1,
        IF(
            NETWORKDAYS(L3077, M3077, Holiday_Dates) &lt;= 0,
            1,
            NETWORKDAYS(L3077, M3077, Holiday_Dates) - IF(L3077 = M3077, 0, 1)
        )
    )
)</f>
        <v/>
      </c>
      <c r="R3077" s="385" t="str">
        <f>IFERROR(
    IF(
        OR(ISBLANK(N3077), AND(ISBLANK(L3077), ISBLANK(M3077))),
        "",
        MAX(
            1,
            IF(
                NETWORKDAYS(IF(NOT(ISBLANK(M3077)), M3077, L3077), N3077, Holiday_Dates) &lt;= 0,
                1,
                NETWORKDAYS(IF(NOT(ISBLANK(M3077)), M3077, L3077), N3077, Holiday_Dates)
                - IF(IF(NOT(ISBLANK(M3077)), M3077, L3077) = N3077, 0, 1)
            )
        )
    ),
    ""
)</f>
        <v/>
      </c>
      <c r="S3077" s="385" t="str">
        <f>IFERROR(
    IF(
        OR(ISBLANK(N3077), ISBLANK(O3077)),
        "",
        MAX(
            1,
            IF(
                NETWORKDAYS(N3077, O3077, Holiday_Dates) &lt;= 0,
                1,
                NETWORKDAYS(N3077, O3077, Holiday_Dates) - IF(N3077 = O3077, 0, 1)
            )
        )
    ),
    ""
)</f>
        <v/>
      </c>
      <c r="T3077" s="385"/>
      <c r="U3077" s="385" t="s">
        <v>672</v>
      </c>
      <c r="V3077" s="385" t="s">
        <v>1676</v>
      </c>
      <c r="W3077" s="385" t="s">
        <v>1436</v>
      </c>
      <c r="X3077" s="1"/>
    </row>
    <row r="3078" spans="1:24">
      <c r="A3078" s="385" t="s">
        <v>53</v>
      </c>
      <c r="B3078" s="385" t="s">
        <v>4536</v>
      </c>
      <c r="C3078" s="385" t="s">
        <v>4548</v>
      </c>
      <c r="D3078" s="385" t="s">
        <v>89</v>
      </c>
      <c r="E3078" s="385"/>
      <c r="F3078" s="385"/>
      <c r="G3078" s="385"/>
      <c r="H3078" s="385">
        <v>2024</v>
      </c>
      <c r="I3078" s="386">
        <v>45428</v>
      </c>
      <c r="J3078" s="30"/>
      <c r="K3078" s="385"/>
      <c r="L3078" s="385"/>
      <c r="M3078" s="385"/>
      <c r="N3078" s="385"/>
      <c r="O3078" s="385"/>
      <c r="P3078" s="385" t="str">
        <f>IFERROR(
    IF(
        OR(ISBLANK(I3078), ISBLANK(L3078)),
        "",
        MAX(
            1,
            IF(
                NETWORKDAYS(I3078, L3078, Holiday_Dates) &lt;= 0,
                1,
                NETWORKDAYS(I3078, L3078, Holiday_Dates) - IF(I3078 = L3078, 0, 1)
            )
        )
    ),
    ""
)</f>
        <v/>
      </c>
      <c r="Q3078" s="385" t="str">
        <f>IF(
    OR(ISBLANK(L3078), ISBLANK(M3078)),
    "",
    MAX(
        1,
        IF(
            NETWORKDAYS(L3078, M3078, Holiday_Dates) &lt;= 0,
            1,
            NETWORKDAYS(L3078, M3078, Holiday_Dates) - IF(L3078 = M3078, 0, 1)
        )
    )
)</f>
        <v/>
      </c>
      <c r="R3078" s="385" t="str">
        <f>IFERROR(
    IF(
        OR(ISBLANK(N3078), AND(ISBLANK(L3078), ISBLANK(M3078))),
        "",
        MAX(
            1,
            IF(
                NETWORKDAYS(IF(NOT(ISBLANK(M3078)), M3078, L3078), N3078, Holiday_Dates) &lt;= 0,
                1,
                NETWORKDAYS(IF(NOT(ISBLANK(M3078)), M3078, L3078), N3078, Holiday_Dates)
                - IF(IF(NOT(ISBLANK(M3078)), M3078, L3078) = N3078, 0, 1)
            )
        )
    ),
    ""
)</f>
        <v/>
      </c>
      <c r="S3078" s="385" t="str">
        <f>IFERROR(
    IF(
        OR(ISBLANK(N3078), ISBLANK(O3078)),
        "",
        MAX(
            1,
            IF(
                NETWORKDAYS(N3078, O3078, Holiday_Dates) &lt;= 0,
                1,
                NETWORKDAYS(N3078, O3078, Holiday_Dates) - IF(N3078 = O3078, 0, 1)
            )
        )
    ),
    ""
)</f>
        <v/>
      </c>
      <c r="T3078" s="385"/>
      <c r="U3078" s="385" t="s">
        <v>672</v>
      </c>
      <c r="V3078" s="385" t="s">
        <v>101</v>
      </c>
      <c r="W3078" s="385" t="s">
        <v>1436</v>
      </c>
      <c r="X3078" s="1"/>
    </row>
    <row r="3079" spans="1:24">
      <c r="A3079" s="385" t="s">
        <v>53</v>
      </c>
      <c r="B3079" s="385" t="s">
        <v>4536</v>
      </c>
      <c r="C3079" s="385" t="s">
        <v>4550</v>
      </c>
      <c r="D3079" s="385" t="s">
        <v>89</v>
      </c>
      <c r="E3079" s="385"/>
      <c r="F3079" s="385"/>
      <c r="G3079" s="385"/>
      <c r="H3079" s="385">
        <v>2024</v>
      </c>
      <c r="I3079" s="386">
        <v>45428</v>
      </c>
      <c r="J3079" s="30"/>
      <c r="K3079" s="385"/>
      <c r="L3079" s="385"/>
      <c r="M3079" s="385"/>
      <c r="N3079" s="385"/>
      <c r="O3079" s="385"/>
      <c r="P3079" s="385" t="str">
        <f>IFERROR(
    IF(
        OR(ISBLANK(I3079), ISBLANK(L3079)),
        "",
        MAX(
            1,
            IF(
                NETWORKDAYS(I3079, L3079, Holiday_Dates) &lt;= 0,
                1,
                NETWORKDAYS(I3079, L3079, Holiday_Dates) - IF(I3079 = L3079, 0, 1)
            )
        )
    ),
    ""
)</f>
        <v/>
      </c>
      <c r="Q3079" s="385" t="str">
        <f>IF(
    OR(ISBLANK(L3079), ISBLANK(M3079)),
    "",
    MAX(
        1,
        IF(
            NETWORKDAYS(L3079, M3079, Holiday_Dates) &lt;= 0,
            1,
            NETWORKDAYS(L3079, M3079, Holiday_Dates) - IF(L3079 = M3079, 0, 1)
        )
    )
)</f>
        <v/>
      </c>
      <c r="R3079" s="385" t="str">
        <f>IFERROR(
    IF(
        OR(ISBLANK(N3079), AND(ISBLANK(L3079), ISBLANK(M3079))),
        "",
        MAX(
            1,
            IF(
                NETWORKDAYS(IF(NOT(ISBLANK(M3079)), M3079, L3079), N3079, Holiday_Dates) &lt;= 0,
                1,
                NETWORKDAYS(IF(NOT(ISBLANK(M3079)), M3079, L3079), N3079, Holiday_Dates)
                - IF(IF(NOT(ISBLANK(M3079)), M3079, L3079) = N3079, 0, 1)
            )
        )
    ),
    ""
)</f>
        <v/>
      </c>
      <c r="S3079" s="385" t="str">
        <f>IFERROR(
    IF(
        OR(ISBLANK(N3079), ISBLANK(O3079)),
        "",
        MAX(
            1,
            IF(
                NETWORKDAYS(N3079, O3079, Holiday_Dates) &lt;= 0,
                1,
                NETWORKDAYS(N3079, O3079, Holiday_Dates) - IF(N3079 = O3079, 0, 1)
            )
        )
    ),
    ""
)</f>
        <v/>
      </c>
      <c r="T3079" s="385"/>
      <c r="U3079" s="385" t="s">
        <v>672</v>
      </c>
      <c r="V3079" s="385" t="s">
        <v>101</v>
      </c>
      <c r="W3079" s="385" t="s">
        <v>1436</v>
      </c>
      <c r="X3079" s="1"/>
    </row>
    <row r="3080" spans="1:24">
      <c r="A3080" s="385" t="s">
        <v>53</v>
      </c>
      <c r="B3080" s="385" t="s">
        <v>4536</v>
      </c>
      <c r="C3080" s="385" t="s">
        <v>4552</v>
      </c>
      <c r="D3080" s="385" t="s">
        <v>89</v>
      </c>
      <c r="E3080" s="385"/>
      <c r="F3080" s="385"/>
      <c r="G3080" s="385"/>
      <c r="H3080" s="385">
        <v>2024</v>
      </c>
      <c r="I3080" s="386">
        <v>45581</v>
      </c>
      <c r="J3080" s="30"/>
      <c r="K3080" s="385"/>
      <c r="L3080" s="385"/>
      <c r="M3080" s="385"/>
      <c r="N3080" s="385"/>
      <c r="O3080" s="385"/>
      <c r="P3080" s="385" t="str">
        <f>IFERROR(
    IF(
        OR(ISBLANK(I3080), ISBLANK(L3080)),
        "",
        MAX(
            1,
            IF(
                NETWORKDAYS(I3080, L3080, Holiday_Dates) &lt;= 0,
                1,
                NETWORKDAYS(I3080, L3080, Holiday_Dates) - IF(I3080 = L3080, 0, 1)
            )
        )
    ),
    ""
)</f>
        <v/>
      </c>
      <c r="Q3080" s="385" t="str">
        <f>IF(
    OR(ISBLANK(L3080), ISBLANK(M3080)),
    "",
    MAX(
        1,
        IF(
            NETWORKDAYS(L3080, M3080, Holiday_Dates) &lt;= 0,
            1,
            NETWORKDAYS(L3080, M3080, Holiday_Dates) - IF(L3080 = M3080, 0, 1)
        )
    )
)</f>
        <v/>
      </c>
      <c r="R3080" s="385" t="str">
        <f>IFERROR(
    IF(
        OR(ISBLANK(N3080), AND(ISBLANK(L3080), ISBLANK(M3080))),
        "",
        MAX(
            1,
            IF(
                NETWORKDAYS(IF(NOT(ISBLANK(M3080)), M3080, L3080), N3080, Holiday_Dates) &lt;= 0,
                1,
                NETWORKDAYS(IF(NOT(ISBLANK(M3080)), M3080, L3080), N3080, Holiday_Dates)
                - IF(IF(NOT(ISBLANK(M3080)), M3080, L3080) = N3080, 0, 1)
            )
        )
    ),
    ""
)</f>
        <v/>
      </c>
      <c r="S3080" s="385" t="str">
        <f>IFERROR(
    IF(
        OR(ISBLANK(N3080), ISBLANK(O3080)),
        "",
        MAX(
            1,
            IF(
                NETWORKDAYS(N3080, O3080, Holiday_Dates) &lt;= 0,
                1,
                NETWORKDAYS(N3080, O3080, Holiday_Dates) - IF(N3080 = O3080, 0, 1)
            )
        )
    ),
    ""
)</f>
        <v/>
      </c>
      <c r="T3080" s="385"/>
      <c r="U3080" s="385" t="s">
        <v>672</v>
      </c>
      <c r="V3080" s="385" t="s">
        <v>1676</v>
      </c>
      <c r="W3080" s="385" t="s">
        <v>1436</v>
      </c>
      <c r="X3080" s="1"/>
    </row>
    <row r="3081" spans="1:24">
      <c r="A3081" s="385" t="s">
        <v>53</v>
      </c>
      <c r="B3081" s="385" t="s">
        <v>4536</v>
      </c>
      <c r="C3081" s="385" t="s">
        <v>4554</v>
      </c>
      <c r="D3081" s="385" t="s">
        <v>89</v>
      </c>
      <c r="E3081" s="385"/>
      <c r="F3081" s="385"/>
      <c r="G3081" s="385"/>
      <c r="H3081" s="385">
        <v>2024</v>
      </c>
      <c r="I3081" s="386">
        <v>45428</v>
      </c>
      <c r="J3081" s="30"/>
      <c r="K3081" s="385"/>
      <c r="L3081" s="385"/>
      <c r="M3081" s="385"/>
      <c r="N3081" s="385"/>
      <c r="O3081" s="385"/>
      <c r="P3081" s="385" t="str">
        <f>IFERROR(
    IF(
        OR(ISBLANK(I3081), ISBLANK(L3081)),
        "",
        MAX(
            1,
            IF(
                NETWORKDAYS(I3081, L3081, Holiday_Dates) &lt;= 0,
                1,
                NETWORKDAYS(I3081, L3081, Holiday_Dates) - IF(I3081 = L3081, 0, 1)
            )
        )
    ),
    ""
)</f>
        <v/>
      </c>
      <c r="Q3081" s="385" t="str">
        <f>IF(
    OR(ISBLANK(L3081), ISBLANK(M3081)),
    "",
    MAX(
        1,
        IF(
            NETWORKDAYS(L3081, M3081, Holiday_Dates) &lt;= 0,
            1,
            NETWORKDAYS(L3081, M3081, Holiday_Dates) - IF(L3081 = M3081, 0, 1)
        )
    )
)</f>
        <v/>
      </c>
      <c r="R3081" s="385" t="str">
        <f>IFERROR(
    IF(
        OR(ISBLANK(N3081), AND(ISBLANK(L3081), ISBLANK(M3081))),
        "",
        MAX(
            1,
            IF(
                NETWORKDAYS(IF(NOT(ISBLANK(M3081)), M3081, L3081), N3081, Holiday_Dates) &lt;= 0,
                1,
                NETWORKDAYS(IF(NOT(ISBLANK(M3081)), M3081, L3081), N3081, Holiday_Dates)
                - IF(IF(NOT(ISBLANK(M3081)), M3081, L3081) = N3081, 0, 1)
            )
        )
    ),
    ""
)</f>
        <v/>
      </c>
      <c r="S3081" s="385" t="str">
        <f>IFERROR(
    IF(
        OR(ISBLANK(N3081), ISBLANK(O3081)),
        "",
        MAX(
            1,
            IF(
                NETWORKDAYS(N3081, O3081, Holiday_Dates) &lt;= 0,
                1,
                NETWORKDAYS(N3081, O3081, Holiday_Dates) - IF(N3081 = O3081, 0, 1)
            )
        )
    ),
    ""
)</f>
        <v/>
      </c>
      <c r="T3081" s="385"/>
      <c r="U3081" s="385" t="s">
        <v>672</v>
      </c>
      <c r="V3081" s="385" t="s">
        <v>101</v>
      </c>
      <c r="W3081" s="385" t="s">
        <v>1436</v>
      </c>
      <c r="X3081" s="1"/>
    </row>
    <row r="3082" spans="1:24">
      <c r="A3082" s="385" t="s">
        <v>53</v>
      </c>
      <c r="B3082" s="385" t="s">
        <v>4536</v>
      </c>
      <c r="C3082" s="385" t="s">
        <v>4557</v>
      </c>
      <c r="D3082" s="385" t="s">
        <v>89</v>
      </c>
      <c r="E3082" s="385"/>
      <c r="F3082" s="385"/>
      <c r="G3082" s="385"/>
      <c r="H3082" s="385">
        <v>2024</v>
      </c>
      <c r="I3082" s="386">
        <v>45581</v>
      </c>
      <c r="J3082" s="30"/>
      <c r="K3082" s="385"/>
      <c r="L3082" s="385"/>
      <c r="M3082" s="385"/>
      <c r="N3082" s="385"/>
      <c r="O3082" s="385"/>
      <c r="P3082" s="385" t="str">
        <f>IFERROR(
    IF(
        OR(ISBLANK(I3082), ISBLANK(L3082)),
        "",
        MAX(
            1,
            IF(
                NETWORKDAYS(I3082, L3082, Holiday_Dates) &lt;= 0,
                1,
                NETWORKDAYS(I3082, L3082, Holiday_Dates) - IF(I3082 = L3082, 0, 1)
            )
        )
    ),
    ""
)</f>
        <v/>
      </c>
      <c r="Q3082" s="385" t="str">
        <f>IF(
    OR(ISBLANK(L3082), ISBLANK(M3082)),
    "",
    MAX(
        1,
        IF(
            NETWORKDAYS(L3082, M3082, Holiday_Dates) &lt;= 0,
            1,
            NETWORKDAYS(L3082, M3082, Holiday_Dates) - IF(L3082 = M3082, 0, 1)
        )
    )
)</f>
        <v/>
      </c>
      <c r="R3082" s="385" t="str">
        <f>IFERROR(
    IF(
        OR(ISBLANK(N3082), AND(ISBLANK(L3082), ISBLANK(M3082))),
        "",
        MAX(
            1,
            IF(
                NETWORKDAYS(IF(NOT(ISBLANK(M3082)), M3082, L3082), N3082, Holiday_Dates) &lt;= 0,
                1,
                NETWORKDAYS(IF(NOT(ISBLANK(M3082)), M3082, L3082), N3082, Holiday_Dates)
                - IF(IF(NOT(ISBLANK(M3082)), M3082, L3082) = N3082, 0, 1)
            )
        )
    ),
    ""
)</f>
        <v/>
      </c>
      <c r="S3082" s="385" t="str">
        <f>IFERROR(
    IF(
        OR(ISBLANK(N3082), ISBLANK(O3082)),
        "",
        MAX(
            1,
            IF(
                NETWORKDAYS(N3082, O3082, Holiday_Dates) &lt;= 0,
                1,
                NETWORKDAYS(N3082, O3082, Holiday_Dates) - IF(N3082 = O3082, 0, 1)
            )
        )
    ),
    ""
)</f>
        <v/>
      </c>
      <c r="T3082" s="385"/>
      <c r="U3082" s="385" t="s">
        <v>672</v>
      </c>
      <c r="V3082" s="385" t="s">
        <v>1676</v>
      </c>
      <c r="W3082" s="385" t="s">
        <v>1436</v>
      </c>
      <c r="X3082" s="1"/>
    </row>
    <row r="3083" spans="1:24">
      <c r="A3083" s="385" t="s">
        <v>53</v>
      </c>
      <c r="B3083" s="385" t="s">
        <v>4536</v>
      </c>
      <c r="C3083" s="385" t="s">
        <v>4559</v>
      </c>
      <c r="D3083" s="385" t="s">
        <v>89</v>
      </c>
      <c r="E3083" s="385"/>
      <c r="F3083" s="385"/>
      <c r="G3083" s="385"/>
      <c r="H3083" s="385">
        <v>2025</v>
      </c>
      <c r="I3083" s="386">
        <v>45793</v>
      </c>
      <c r="J3083" s="30" t="s">
        <v>5884</v>
      </c>
      <c r="K3083" s="385"/>
      <c r="L3083" s="385"/>
      <c r="M3083" s="385"/>
      <c r="N3083" s="385"/>
      <c r="O3083" s="385"/>
      <c r="P3083" s="385" t="str">
        <f>IFERROR(
    IF(
        OR(ISBLANK(I3083), ISBLANK(L3083)),
        "",
        MAX(
            1,
            IF(
                NETWORKDAYS(I3083, L3083, Holiday_Dates) &lt;= 0,
                1,
                NETWORKDAYS(I3083, L3083, Holiday_Dates) - IF(I3083 = L3083, 0, 1)
            )
        )
    ),
    ""
)</f>
        <v/>
      </c>
      <c r="Q3083" s="385" t="str">
        <f>IF(
    OR(ISBLANK(L3083), ISBLANK(M3083)),
    "",
    MAX(
        1,
        IF(
            NETWORKDAYS(L3083, M3083, Holiday_Dates) &lt;= 0,
            1,
            NETWORKDAYS(L3083, M3083, Holiday_Dates) - IF(L3083 = M3083, 0, 1)
        )
    )
)</f>
        <v/>
      </c>
      <c r="R3083" s="385" t="str">
        <f>IFERROR(
    IF(
        OR(ISBLANK(N3083), AND(ISBLANK(L3083), ISBLANK(M3083))),
        "",
        MAX(
            1,
            IF(
                NETWORKDAYS(IF(NOT(ISBLANK(M3083)), M3083, L3083), N3083, Holiday_Dates) &lt;= 0,
                1,
                NETWORKDAYS(IF(NOT(ISBLANK(M3083)), M3083, L3083), N3083, Holiday_Dates)
                - IF(IF(NOT(ISBLANK(M3083)), M3083, L3083) = N3083, 0, 1)
            )
        )
    ),
    ""
)</f>
        <v/>
      </c>
      <c r="S3083" s="385" t="str">
        <f>IFERROR(
    IF(
        OR(ISBLANK(N3083), ISBLANK(O3083)),
        "",
        MAX(
            1,
            IF(
                NETWORKDAYS(N3083, O3083, Holiday_Dates) &lt;= 0,
                1,
                NETWORKDAYS(N3083, O3083, Holiday_Dates) - IF(N3083 = O3083, 0, 1)
            )
        )
    ),
    ""
)</f>
        <v/>
      </c>
      <c r="T3083" s="385"/>
      <c r="U3083" s="385" t="s">
        <v>672</v>
      </c>
      <c r="V3083" s="385" t="s">
        <v>101</v>
      </c>
      <c r="W3083" s="385" t="s">
        <v>1436</v>
      </c>
      <c r="X3083" s="1"/>
    </row>
    <row r="3084" spans="1:24">
      <c r="A3084" s="385" t="s">
        <v>53</v>
      </c>
      <c r="B3084" s="385" t="s">
        <v>4536</v>
      </c>
      <c r="C3084" s="385" t="s">
        <v>3157</v>
      </c>
      <c r="D3084" s="385" t="s">
        <v>89</v>
      </c>
      <c r="E3084" s="385"/>
      <c r="F3084" s="385"/>
      <c r="G3084" s="385"/>
      <c r="H3084" s="385">
        <v>2024</v>
      </c>
      <c r="I3084" s="386">
        <v>45581</v>
      </c>
      <c r="J3084" s="30"/>
      <c r="K3084" s="385"/>
      <c r="L3084" s="385"/>
      <c r="M3084" s="385"/>
      <c r="N3084" s="385"/>
      <c r="O3084" s="385"/>
      <c r="P3084" s="385" t="str">
        <f>IFERROR(
    IF(
        OR(ISBLANK(I3084), ISBLANK(L3084)),
        "",
        MAX(
            1,
            IF(
                NETWORKDAYS(I3084, L3084, Holiday_Dates) &lt;= 0,
                1,
                NETWORKDAYS(I3084, L3084, Holiday_Dates) - IF(I3084 = L3084, 0, 1)
            )
        )
    ),
    ""
)</f>
        <v/>
      </c>
      <c r="Q3084" s="385" t="str">
        <f>IF(
    OR(ISBLANK(L3084), ISBLANK(M3084)),
    "",
    MAX(
        1,
        IF(
            NETWORKDAYS(L3084, M3084, Holiday_Dates) &lt;= 0,
            1,
            NETWORKDAYS(L3084, M3084, Holiday_Dates) - IF(L3084 = M3084, 0, 1)
        )
    )
)</f>
        <v/>
      </c>
      <c r="R3084" s="385" t="str">
        <f>IFERROR(
    IF(
        OR(ISBLANK(N3084), AND(ISBLANK(L3084), ISBLANK(M3084))),
        "",
        MAX(
            1,
            IF(
                NETWORKDAYS(IF(NOT(ISBLANK(M3084)), M3084, L3084), N3084, Holiday_Dates) &lt;= 0,
                1,
                NETWORKDAYS(IF(NOT(ISBLANK(M3084)), M3084, L3084), N3084, Holiday_Dates)
                - IF(IF(NOT(ISBLANK(M3084)), M3084, L3084) = N3084, 0, 1)
            )
        )
    ),
    ""
)</f>
        <v/>
      </c>
      <c r="S3084" s="385" t="str">
        <f>IFERROR(
    IF(
        OR(ISBLANK(N3084), ISBLANK(O3084)),
        "",
        MAX(
            1,
            IF(
                NETWORKDAYS(N3084, O3084, Holiday_Dates) &lt;= 0,
                1,
                NETWORKDAYS(N3084, O3084, Holiday_Dates) - IF(N3084 = O3084, 0, 1)
            )
        )
    ),
    ""
)</f>
        <v/>
      </c>
      <c r="T3084" s="385"/>
      <c r="U3084" s="385" t="s">
        <v>672</v>
      </c>
      <c r="V3084" s="385" t="s">
        <v>1676</v>
      </c>
      <c r="W3084" s="385" t="s">
        <v>1436</v>
      </c>
      <c r="X3084" s="1"/>
    </row>
    <row r="3085" spans="1:24">
      <c r="A3085" s="385" t="s">
        <v>53</v>
      </c>
      <c r="B3085" s="385" t="s">
        <v>4536</v>
      </c>
      <c r="C3085" s="385" t="s">
        <v>1091</v>
      </c>
      <c r="D3085" s="385" t="s">
        <v>89</v>
      </c>
      <c r="E3085" s="385"/>
      <c r="F3085" s="385"/>
      <c r="G3085" s="385"/>
      <c r="H3085" s="385">
        <v>2025</v>
      </c>
      <c r="I3085" s="386">
        <v>45758</v>
      </c>
      <c r="J3085" s="30" t="s">
        <v>5885</v>
      </c>
      <c r="K3085" s="385"/>
      <c r="L3085" s="385"/>
      <c r="M3085" s="385"/>
      <c r="N3085" s="385"/>
      <c r="O3085" s="385"/>
      <c r="P3085" s="385" t="str">
        <f>IFERROR(
    IF(
        OR(ISBLANK(I3085), ISBLANK(L3085)),
        "",
        MAX(
            1,
            IF(
                NETWORKDAYS(I3085, L3085, Holiday_Dates) &lt;= 0,
                1,
                NETWORKDAYS(I3085, L3085, Holiday_Dates) - IF(I3085 = L3085, 0, 1)
            )
        )
    ),
    ""
)</f>
        <v/>
      </c>
      <c r="Q3085" s="385" t="str">
        <f>IF(
    OR(ISBLANK(L3085), ISBLANK(M3085)),
    "",
    MAX(
        1,
        IF(
            NETWORKDAYS(L3085, M3085, Holiday_Dates) &lt;= 0,
            1,
            NETWORKDAYS(L3085, M3085, Holiday_Dates) - IF(L3085 = M3085, 0, 1)
        )
    )
)</f>
        <v/>
      </c>
      <c r="R3085" s="385" t="str">
        <f>IFERROR(
    IF(
        OR(ISBLANK(N3085), AND(ISBLANK(L3085), ISBLANK(M3085))),
        "",
        MAX(
            1,
            IF(
                NETWORKDAYS(IF(NOT(ISBLANK(M3085)), M3085, L3085), N3085, Holiday_Dates) &lt;= 0,
                1,
                NETWORKDAYS(IF(NOT(ISBLANK(M3085)), M3085, L3085), N3085, Holiday_Dates)
                - IF(IF(NOT(ISBLANK(M3085)), M3085, L3085) = N3085, 0, 1)
            )
        )
    ),
    ""
)</f>
        <v/>
      </c>
      <c r="S3085" s="385" t="str">
        <f>IFERROR(
    IF(
        OR(ISBLANK(N3085), ISBLANK(O3085)),
        "",
        MAX(
            1,
            IF(
                NETWORKDAYS(N3085, O3085, Holiday_Dates) &lt;= 0,
                1,
                NETWORKDAYS(N3085, O3085, Holiday_Dates) - IF(N3085 = O3085, 0, 1)
            )
        )
    ),
    ""
)</f>
        <v/>
      </c>
      <c r="T3085" s="385"/>
      <c r="U3085" s="385" t="s">
        <v>672</v>
      </c>
      <c r="V3085" s="385" t="s">
        <v>1676</v>
      </c>
      <c r="W3085" s="385" t="s">
        <v>1436</v>
      </c>
      <c r="X3085" s="1"/>
    </row>
    <row r="3086" spans="1:24">
      <c r="A3086" s="385" t="s">
        <v>53</v>
      </c>
      <c r="B3086" s="385" t="s">
        <v>4536</v>
      </c>
      <c r="C3086" s="385" t="s">
        <v>794</v>
      </c>
      <c r="D3086" s="385" t="s">
        <v>89</v>
      </c>
      <c r="E3086" s="385"/>
      <c r="F3086" s="385"/>
      <c r="G3086" s="385"/>
      <c r="H3086" s="385">
        <v>2025</v>
      </c>
      <c r="I3086" s="386">
        <v>45793</v>
      </c>
      <c r="J3086" s="30" t="s">
        <v>5886</v>
      </c>
      <c r="K3086" s="385"/>
      <c r="L3086" s="385"/>
      <c r="M3086" s="385"/>
      <c r="N3086" s="385"/>
      <c r="O3086" s="385"/>
      <c r="P3086" s="385" t="str">
        <f>IFERROR(
    IF(
        OR(ISBLANK(I3086), ISBLANK(L3086)),
        "",
        MAX(
            1,
            IF(
                NETWORKDAYS(I3086, L3086, Holiday_Dates) &lt;= 0,
                1,
                NETWORKDAYS(I3086, L3086, Holiday_Dates) - IF(I3086 = L3086, 0, 1)
            )
        )
    ),
    ""
)</f>
        <v/>
      </c>
      <c r="Q3086" s="385" t="str">
        <f>IF(
    OR(ISBLANK(L3086), ISBLANK(M3086)),
    "",
    MAX(
        1,
        IF(
            NETWORKDAYS(L3086, M3086, Holiday_Dates) &lt;= 0,
            1,
            NETWORKDAYS(L3086, M3086, Holiday_Dates) - IF(L3086 = M3086, 0, 1)
        )
    )
)</f>
        <v/>
      </c>
      <c r="R3086" s="385" t="str">
        <f>IFERROR(
    IF(
        OR(ISBLANK(N3086), AND(ISBLANK(L3086), ISBLANK(M3086))),
        "",
        MAX(
            1,
            IF(
                NETWORKDAYS(IF(NOT(ISBLANK(M3086)), M3086, L3086), N3086, Holiday_Dates) &lt;= 0,
                1,
                NETWORKDAYS(IF(NOT(ISBLANK(M3086)), M3086, L3086), N3086, Holiday_Dates)
                - IF(IF(NOT(ISBLANK(M3086)), M3086, L3086) = N3086, 0, 1)
            )
        )
    ),
    ""
)</f>
        <v/>
      </c>
      <c r="S3086" s="385" t="str">
        <f>IFERROR(
    IF(
        OR(ISBLANK(N3086), ISBLANK(O3086)),
        "",
        MAX(
            1,
            IF(
                NETWORKDAYS(N3086, O3086, Holiday_Dates) &lt;= 0,
                1,
                NETWORKDAYS(N3086, O3086, Holiday_Dates) - IF(N3086 = O3086, 0, 1)
            )
        )
    ),
    ""
)</f>
        <v/>
      </c>
      <c r="T3086" s="385"/>
      <c r="U3086" s="385" t="s">
        <v>672</v>
      </c>
      <c r="V3086" s="385" t="s">
        <v>101</v>
      </c>
      <c r="W3086" s="385" t="s">
        <v>1436</v>
      </c>
      <c r="X3086" s="1"/>
    </row>
    <row r="3087" spans="1:24">
      <c r="A3087" s="385" t="s">
        <v>53</v>
      </c>
      <c r="B3087" s="385" t="s">
        <v>4536</v>
      </c>
      <c r="C3087" s="385" t="s">
        <v>3110</v>
      </c>
      <c r="D3087" s="385" t="s">
        <v>89</v>
      </c>
      <c r="E3087" s="385"/>
      <c r="F3087" s="385"/>
      <c r="G3087" s="385"/>
      <c r="H3087" s="385">
        <v>2025</v>
      </c>
      <c r="I3087" s="386">
        <v>45825</v>
      </c>
      <c r="J3087" s="30" t="s">
        <v>5887</v>
      </c>
      <c r="K3087" s="385"/>
      <c r="L3087" s="385"/>
      <c r="M3087" s="385"/>
      <c r="N3087" s="385"/>
      <c r="O3087" s="385"/>
      <c r="P3087" s="385" t="str">
        <f>IFERROR(
    IF(
        OR(ISBLANK(I3087), ISBLANK(L3087)),
        "",
        MAX(
            1,
            IF(
                NETWORKDAYS(I3087, L3087, Holiday_Dates) &lt;= 0,
                1,
                NETWORKDAYS(I3087, L3087, Holiday_Dates) - IF(I3087 = L3087, 0, 1)
            )
        )
    ),
    ""
)</f>
        <v/>
      </c>
      <c r="Q3087" s="385" t="str">
        <f>IF(
    OR(ISBLANK(L3087), ISBLANK(M3087)),
    "",
    MAX(
        1,
        IF(
            NETWORKDAYS(L3087, M3087, Holiday_Dates) &lt;= 0,
            1,
            NETWORKDAYS(L3087, M3087, Holiday_Dates) - IF(L3087 = M3087, 0, 1)
        )
    )
)</f>
        <v/>
      </c>
      <c r="R3087" s="385" t="str">
        <f>IFERROR(
    IF(
        OR(ISBLANK(N3087), AND(ISBLANK(L3087), ISBLANK(M3087))),
        "",
        MAX(
            1,
            IF(
                NETWORKDAYS(IF(NOT(ISBLANK(M3087)), M3087, L3087), N3087, Holiday_Dates) &lt;= 0,
                1,
                NETWORKDAYS(IF(NOT(ISBLANK(M3087)), M3087, L3087), N3087, Holiday_Dates)
                - IF(IF(NOT(ISBLANK(M3087)), M3087, L3087) = N3087, 0, 1)
            )
        )
    ),
    ""
)</f>
        <v/>
      </c>
      <c r="S3087" s="385" t="str">
        <f>IFERROR(
    IF(
        OR(ISBLANK(N3087), ISBLANK(O3087)),
        "",
        MAX(
            1,
            IF(
                NETWORKDAYS(N3087, O3087, Holiday_Dates) &lt;= 0,
                1,
                NETWORKDAYS(N3087, O3087, Holiday_Dates) - IF(N3087 = O3087, 0, 1)
            )
        )
    ),
    ""
)</f>
        <v/>
      </c>
      <c r="T3087" s="385"/>
      <c r="U3087" s="385" t="s">
        <v>672</v>
      </c>
      <c r="V3087" s="385" t="s">
        <v>108</v>
      </c>
      <c r="W3087" s="385" t="s">
        <v>1436</v>
      </c>
      <c r="X3087" s="1"/>
    </row>
    <row r="3088" spans="1:24">
      <c r="A3088" s="385" t="s">
        <v>53</v>
      </c>
      <c r="B3088" s="385" t="s">
        <v>4536</v>
      </c>
      <c r="C3088" s="385" t="s">
        <v>4560</v>
      </c>
      <c r="D3088" s="385" t="s">
        <v>89</v>
      </c>
      <c r="E3088" s="385"/>
      <c r="F3088" s="385"/>
      <c r="G3088" s="385"/>
      <c r="H3088" s="385">
        <v>2025</v>
      </c>
      <c r="I3088" s="386">
        <v>45751</v>
      </c>
      <c r="J3088" s="30" t="s">
        <v>5888</v>
      </c>
      <c r="K3088" s="385"/>
      <c r="L3088" s="385"/>
      <c r="M3088" s="385"/>
      <c r="N3088" s="385"/>
      <c r="O3088" s="385"/>
      <c r="P3088" s="385" t="str">
        <f>IFERROR(
    IF(
        OR(ISBLANK(I3088), ISBLANK(L3088)),
        "",
        MAX(
            1,
            IF(
                NETWORKDAYS(I3088, L3088, Holiday_Dates) &lt;= 0,
                1,
                NETWORKDAYS(I3088, L3088, Holiday_Dates) - IF(I3088 = L3088, 0, 1)
            )
        )
    ),
    ""
)</f>
        <v/>
      </c>
      <c r="Q3088" s="385" t="str">
        <f>IF(
    OR(ISBLANK(L3088), ISBLANK(M3088)),
    "",
    MAX(
        1,
        IF(
            NETWORKDAYS(L3088, M3088, Holiday_Dates) &lt;= 0,
            1,
            NETWORKDAYS(L3088, M3088, Holiday_Dates) - IF(L3088 = M3088, 0, 1)
        )
    )
)</f>
        <v/>
      </c>
      <c r="R3088" s="385" t="str">
        <f>IFERROR(
    IF(
        OR(ISBLANK(N3088), AND(ISBLANK(L3088), ISBLANK(M3088))),
        "",
        MAX(
            1,
            IF(
                NETWORKDAYS(IF(NOT(ISBLANK(M3088)), M3088, L3088), N3088, Holiday_Dates) &lt;= 0,
                1,
                NETWORKDAYS(IF(NOT(ISBLANK(M3088)), M3088, L3088), N3088, Holiday_Dates)
                - IF(IF(NOT(ISBLANK(M3088)), M3088, L3088) = N3088, 0, 1)
            )
        )
    ),
    ""
)</f>
        <v/>
      </c>
      <c r="S3088" s="385" t="str">
        <f>IFERROR(
    IF(
        OR(ISBLANK(N3088), ISBLANK(O3088)),
        "",
        MAX(
            1,
            IF(
                NETWORKDAYS(N3088, O3088, Holiday_Dates) &lt;= 0,
                1,
                NETWORKDAYS(N3088, O3088, Holiday_Dates) - IF(N3088 = O3088, 0, 1)
            )
        )
    ),
    ""
)</f>
        <v/>
      </c>
      <c r="T3088" s="385"/>
      <c r="U3088" s="385" t="s">
        <v>672</v>
      </c>
      <c r="V3088" s="385" t="s">
        <v>101</v>
      </c>
      <c r="W3088" s="385" t="s">
        <v>1436</v>
      </c>
      <c r="X3088" s="1"/>
    </row>
    <row r="3089" spans="1:24">
      <c r="A3089" s="385" t="s">
        <v>53</v>
      </c>
      <c r="B3089" s="385" t="s">
        <v>4536</v>
      </c>
      <c r="C3089" s="385" t="s">
        <v>4561</v>
      </c>
      <c r="D3089" s="385" t="s">
        <v>89</v>
      </c>
      <c r="E3089" s="385"/>
      <c r="F3089" s="385"/>
      <c r="G3089" s="385"/>
      <c r="H3089" s="385">
        <v>2025</v>
      </c>
      <c r="I3089" s="386">
        <v>45825</v>
      </c>
      <c r="J3089" s="30" t="s">
        <v>5889</v>
      </c>
      <c r="K3089" s="385"/>
      <c r="L3089" s="385"/>
      <c r="M3089" s="385"/>
      <c r="N3089" s="385"/>
      <c r="O3089" s="385"/>
      <c r="P3089" s="385" t="str">
        <f>IFERROR(
    IF(
        OR(ISBLANK(I3089), ISBLANK(L3089)),
        "",
        MAX(
            1,
            IF(
                NETWORKDAYS(I3089, L3089, Holiday_Dates) &lt;= 0,
                1,
                NETWORKDAYS(I3089, L3089, Holiday_Dates) - IF(I3089 = L3089, 0, 1)
            )
        )
    ),
    ""
)</f>
        <v/>
      </c>
      <c r="Q3089" s="385" t="str">
        <f>IF(
    OR(ISBLANK(L3089), ISBLANK(M3089)),
    "",
    MAX(
        1,
        IF(
            NETWORKDAYS(L3089, M3089, Holiday_Dates) &lt;= 0,
            1,
            NETWORKDAYS(L3089, M3089, Holiday_Dates) - IF(L3089 = M3089, 0, 1)
        )
    )
)</f>
        <v/>
      </c>
      <c r="R3089" s="385" t="str">
        <f>IFERROR(
    IF(
        OR(ISBLANK(N3089), AND(ISBLANK(L3089), ISBLANK(M3089))),
        "",
        MAX(
            1,
            IF(
                NETWORKDAYS(IF(NOT(ISBLANK(M3089)), M3089, L3089), N3089, Holiday_Dates) &lt;= 0,
                1,
                NETWORKDAYS(IF(NOT(ISBLANK(M3089)), M3089, L3089), N3089, Holiday_Dates)
                - IF(IF(NOT(ISBLANK(M3089)), M3089, L3089) = N3089, 0, 1)
            )
        )
    ),
    ""
)</f>
        <v/>
      </c>
      <c r="S3089" s="385" t="str">
        <f>IFERROR(
    IF(
        OR(ISBLANK(N3089), ISBLANK(O3089)),
        "",
        MAX(
            1,
            IF(
                NETWORKDAYS(N3089, O3089, Holiday_Dates) &lt;= 0,
                1,
                NETWORKDAYS(N3089, O3089, Holiday_Dates) - IF(N3089 = O3089, 0, 1)
            )
        )
    ),
    ""
)</f>
        <v/>
      </c>
      <c r="T3089" s="385"/>
      <c r="U3089" s="385" t="s">
        <v>672</v>
      </c>
      <c r="V3089" s="385" t="s">
        <v>101</v>
      </c>
      <c r="W3089" s="385" t="s">
        <v>1436</v>
      </c>
      <c r="X3089" s="1"/>
    </row>
    <row r="3090" spans="1:24">
      <c r="A3090" s="385" t="s">
        <v>53</v>
      </c>
      <c r="B3090" s="385" t="s">
        <v>4536</v>
      </c>
      <c r="C3090" s="385" t="s">
        <v>4562</v>
      </c>
      <c r="D3090" s="385" t="s">
        <v>89</v>
      </c>
      <c r="E3090" s="385"/>
      <c r="F3090" s="385"/>
      <c r="G3090" s="385"/>
      <c r="H3090" s="385">
        <v>2025</v>
      </c>
      <c r="I3090" s="386">
        <v>45972</v>
      </c>
      <c r="J3090" s="397" t="s">
        <v>5890</v>
      </c>
      <c r="K3090" s="385"/>
      <c r="L3090" s="385"/>
      <c r="M3090" s="385"/>
      <c r="N3090" s="385"/>
      <c r="O3090" s="385"/>
      <c r="P3090" s="385" t="str">
        <f>IFERROR(
    IF(
        OR(ISBLANK(I3090), ISBLANK(L3090)),
        "",
        MAX(
            1,
            IF(
                NETWORKDAYS(I3090, L3090, Holiday_Dates) &lt;= 0,
                1,
                NETWORKDAYS(I3090, L3090, Holiday_Dates) - IF(I3090 = L3090, 0, 1)
            )
        )
    ),
    ""
)</f>
        <v/>
      </c>
      <c r="Q3090" s="385" t="str">
        <f>IF(
    OR(ISBLANK(L3090), ISBLANK(M3090)),
    "",
    MAX(
        1,
        IF(
            NETWORKDAYS(L3090, M3090, Holiday_Dates) &lt;= 0,
            1,
            NETWORKDAYS(L3090, M3090, Holiday_Dates) - IF(L3090 = M3090, 0, 1)
        )
    )
)</f>
        <v/>
      </c>
      <c r="R3090" s="385" t="str">
        <f>IFERROR(
    IF(
        OR(ISBLANK(N3090), AND(ISBLANK(L3090), ISBLANK(M3090))),
        "",
        MAX(
            1,
            IF(
                NETWORKDAYS(IF(NOT(ISBLANK(M3090)), M3090, L3090), N3090, Holiday_Dates) &lt;= 0,
                1,
                NETWORKDAYS(IF(NOT(ISBLANK(M3090)), M3090, L3090), N3090, Holiday_Dates)
                - IF(IF(NOT(ISBLANK(M3090)), M3090, L3090) = N3090, 0, 1)
            )
        )
    ),
    ""
)</f>
        <v/>
      </c>
      <c r="S3090" s="385" t="str">
        <f>IFERROR(
    IF(
        OR(ISBLANK(N3090), ISBLANK(O3090)),
        "",
        MAX(
            1,
            IF(
                NETWORKDAYS(N3090, O3090, Holiday_Dates) &lt;= 0,
                1,
                NETWORKDAYS(N3090, O3090, Holiday_Dates) - IF(N3090 = O3090, 0, 1)
            )
        )
    ),
    ""
)</f>
        <v/>
      </c>
      <c r="T3090" s="385"/>
      <c r="U3090" s="385" t="s">
        <v>672</v>
      </c>
      <c r="V3090" s="385" t="s">
        <v>108</v>
      </c>
      <c r="W3090" s="385" t="s">
        <v>1436</v>
      </c>
      <c r="X3090" s="1"/>
    </row>
    <row r="3091" spans="1:24">
      <c r="A3091" s="385" t="s">
        <v>53</v>
      </c>
      <c r="B3091" s="385" t="s">
        <v>1049</v>
      </c>
      <c r="C3091" s="385" t="s">
        <v>4565</v>
      </c>
      <c r="D3091" s="385" t="s">
        <v>89</v>
      </c>
      <c r="E3091" s="385"/>
      <c r="F3091" s="385"/>
      <c r="G3091" s="385"/>
      <c r="H3091" s="385">
        <v>2024</v>
      </c>
      <c r="I3091" s="386">
        <v>45545</v>
      </c>
      <c r="J3091" s="30"/>
      <c r="K3091" s="385"/>
      <c r="L3091" s="385"/>
      <c r="M3091" s="385"/>
      <c r="N3091" s="385"/>
      <c r="O3091" s="385"/>
      <c r="P3091" s="385" t="str">
        <f>IFERROR(
    IF(
        OR(ISBLANK(I3091), ISBLANK(L3091)),
        "",
        MAX(
            1,
            IF(
                NETWORKDAYS(I3091, L3091, Holiday_Dates) &lt;= 0,
                1,
                NETWORKDAYS(I3091, L3091, Holiday_Dates) - IF(I3091 = L3091, 0, 1)
            )
        )
    ),
    ""
)</f>
        <v/>
      </c>
      <c r="Q3091" s="385" t="str">
        <f>IF(
    OR(ISBLANK(L3091), ISBLANK(M3091)),
    "",
    MAX(
        1,
        IF(
            NETWORKDAYS(L3091, M3091, Holiday_Dates) &lt;= 0,
            1,
            NETWORKDAYS(L3091, M3091, Holiday_Dates) - IF(L3091 = M3091, 0, 1)
        )
    )
)</f>
        <v/>
      </c>
      <c r="R3091" s="385" t="str">
        <f>IFERROR(
    IF(
        OR(ISBLANK(N3091), AND(ISBLANK(L3091), ISBLANK(M3091))),
        "",
        MAX(
            1,
            IF(
                NETWORKDAYS(IF(NOT(ISBLANK(M3091)), M3091, L3091), N3091, Holiday_Dates) &lt;= 0,
                1,
                NETWORKDAYS(IF(NOT(ISBLANK(M3091)), M3091, L3091), N3091, Holiday_Dates)
                - IF(IF(NOT(ISBLANK(M3091)), M3091, L3091) = N3091, 0, 1)
            )
        )
    ),
    ""
)</f>
        <v/>
      </c>
      <c r="S3091" s="385" t="str">
        <f>IFERROR(
    IF(
        OR(ISBLANK(N3091), ISBLANK(O3091)),
        "",
        MAX(
            1,
            IF(
                NETWORKDAYS(N3091, O3091, Holiday_Dates) &lt;= 0,
                1,
                NETWORKDAYS(N3091, O3091, Holiday_Dates) - IF(N3091 = O3091, 0, 1)
            )
        )
    ),
    ""
)</f>
        <v/>
      </c>
      <c r="T3091" s="385"/>
      <c r="U3091" s="385" t="s">
        <v>4</v>
      </c>
      <c r="V3091" s="385" t="s">
        <v>101</v>
      </c>
      <c r="W3091" s="385" t="s">
        <v>1436</v>
      </c>
      <c r="X3091" s="1"/>
    </row>
    <row r="3092" spans="1:24">
      <c r="A3092" s="385" t="s">
        <v>53</v>
      </c>
      <c r="B3092" s="385" t="s">
        <v>1049</v>
      </c>
      <c r="C3092" s="385" t="s">
        <v>4567</v>
      </c>
      <c r="D3092" s="385" t="s">
        <v>89</v>
      </c>
      <c r="E3092" s="385"/>
      <c r="F3092" s="385"/>
      <c r="G3092" s="385"/>
      <c r="H3092" s="385">
        <v>2025</v>
      </c>
      <c r="I3092" s="386">
        <v>45938</v>
      </c>
      <c r="J3092" s="30" t="s">
        <v>5891</v>
      </c>
      <c r="K3092" s="385"/>
      <c r="L3092" s="385"/>
      <c r="M3092" s="385"/>
      <c r="N3092" s="385"/>
      <c r="O3092" s="385"/>
      <c r="P3092" s="385" t="str">
        <f>IFERROR(
    IF(
        OR(ISBLANK(I3092), ISBLANK(L3092)),
        "",
        MAX(
            1,
            IF(
                NETWORKDAYS(I3092, L3092, Holiday_Dates) &lt;= 0,
                1,
                NETWORKDAYS(I3092, L3092, Holiday_Dates) - IF(I3092 = L3092, 0, 1)
            )
        )
    ),
    ""
)</f>
        <v/>
      </c>
      <c r="Q3092" s="385" t="str">
        <f>IF(
    OR(ISBLANK(L3092), ISBLANK(M3092)),
    "",
    MAX(
        1,
        IF(
            NETWORKDAYS(L3092, M3092, Holiday_Dates) &lt;= 0,
            1,
            NETWORKDAYS(L3092, M3092, Holiday_Dates) - IF(L3092 = M3092, 0, 1)
        )
    )
)</f>
        <v/>
      </c>
      <c r="R3092" s="385" t="str">
        <f>IFERROR(
    IF(
        OR(ISBLANK(N3092), AND(ISBLANK(L3092), ISBLANK(M3092))),
        "",
        MAX(
            1,
            IF(
                NETWORKDAYS(IF(NOT(ISBLANK(M3092)), M3092, L3092), N3092, Holiday_Dates) &lt;= 0,
                1,
                NETWORKDAYS(IF(NOT(ISBLANK(M3092)), M3092, L3092), N3092, Holiday_Dates)
                - IF(IF(NOT(ISBLANK(M3092)), M3092, L3092) = N3092, 0, 1)
            )
        )
    ),
    ""
)</f>
        <v/>
      </c>
      <c r="S3092" s="385" t="str">
        <f>IFERROR(
    IF(
        OR(ISBLANK(N3092), ISBLANK(O3092)),
        "",
        MAX(
            1,
            IF(
                NETWORKDAYS(N3092, O3092, Holiday_Dates) &lt;= 0,
                1,
                NETWORKDAYS(N3092, O3092, Holiday_Dates) - IF(N3092 = O3092, 0, 1)
            )
        )
    ),
    ""
)</f>
        <v/>
      </c>
      <c r="T3092" s="385"/>
      <c r="U3092" s="385" t="s">
        <v>4</v>
      </c>
      <c r="V3092" s="385" t="s">
        <v>108</v>
      </c>
      <c r="W3092" s="385" t="s">
        <v>1436</v>
      </c>
      <c r="X3092" s="1"/>
    </row>
    <row r="3093" spans="1:24">
      <c r="A3093" s="385" t="s">
        <v>53</v>
      </c>
      <c r="B3093" s="385" t="s">
        <v>1049</v>
      </c>
      <c r="C3093" s="385" t="s">
        <v>4568</v>
      </c>
      <c r="D3093" s="385" t="s">
        <v>89</v>
      </c>
      <c r="E3093" s="385"/>
      <c r="F3093" s="385"/>
      <c r="G3093" s="385"/>
      <c r="H3093" s="385">
        <v>2025</v>
      </c>
      <c r="I3093" s="386">
        <v>45939</v>
      </c>
      <c r="J3093" s="30" t="s">
        <v>5892</v>
      </c>
      <c r="K3093" s="385"/>
      <c r="L3093" s="385"/>
      <c r="M3093" s="385"/>
      <c r="N3093" s="385"/>
      <c r="O3093" s="385"/>
      <c r="P3093" s="385" t="str">
        <f>IFERROR(
    IF(
        OR(ISBLANK(I3093), ISBLANK(L3093)),
        "",
        MAX(
            1,
            IF(
                NETWORKDAYS(I3093, L3093, Holiday_Dates) &lt;= 0,
                1,
                NETWORKDAYS(I3093, L3093, Holiday_Dates) - IF(I3093 = L3093, 0, 1)
            )
        )
    ),
    ""
)</f>
        <v/>
      </c>
      <c r="Q3093" s="385" t="str">
        <f>IF(
    OR(ISBLANK(L3093), ISBLANK(M3093)),
    "",
    MAX(
        1,
        IF(
            NETWORKDAYS(L3093, M3093, Holiday_Dates) &lt;= 0,
            1,
            NETWORKDAYS(L3093, M3093, Holiday_Dates) - IF(L3093 = M3093, 0, 1)
        )
    )
)</f>
        <v/>
      </c>
      <c r="R3093" s="385" t="str">
        <f>IFERROR(
    IF(
        OR(ISBLANK(N3093), AND(ISBLANK(L3093), ISBLANK(M3093))),
        "",
        MAX(
            1,
            IF(
                NETWORKDAYS(IF(NOT(ISBLANK(M3093)), M3093, L3093), N3093, Holiday_Dates) &lt;= 0,
                1,
                NETWORKDAYS(IF(NOT(ISBLANK(M3093)), M3093, L3093), N3093, Holiday_Dates)
                - IF(IF(NOT(ISBLANK(M3093)), M3093, L3093) = N3093, 0, 1)
            )
        )
    ),
    ""
)</f>
        <v/>
      </c>
      <c r="S3093" s="385" t="str">
        <f>IFERROR(
    IF(
        OR(ISBLANK(N3093), ISBLANK(O3093)),
        "",
        MAX(
            1,
            IF(
                NETWORKDAYS(N3093, O3093, Holiday_Dates) &lt;= 0,
                1,
                NETWORKDAYS(N3093, O3093, Holiday_Dates) - IF(N3093 = O3093, 0, 1)
            )
        )
    ),
    ""
)</f>
        <v/>
      </c>
      <c r="T3093" s="385"/>
      <c r="U3093" s="385" t="s">
        <v>4</v>
      </c>
      <c r="V3093" s="385" t="s">
        <v>101</v>
      </c>
      <c r="W3093" s="385" t="s">
        <v>1436</v>
      </c>
      <c r="X3093" s="1"/>
    </row>
    <row r="3094" spans="1:24">
      <c r="A3094" s="385" t="s">
        <v>53</v>
      </c>
      <c r="B3094" s="385" t="s">
        <v>1049</v>
      </c>
      <c r="C3094" s="385" t="s">
        <v>4569</v>
      </c>
      <c r="D3094" s="385" t="s">
        <v>89</v>
      </c>
      <c r="E3094" s="385"/>
      <c r="F3094" s="385"/>
      <c r="G3094" s="385"/>
      <c r="H3094" s="385">
        <v>2025</v>
      </c>
      <c r="I3094" s="386">
        <v>45939</v>
      </c>
      <c r="J3094" s="30" t="s">
        <v>5893</v>
      </c>
      <c r="K3094" s="385"/>
      <c r="L3094" s="385"/>
      <c r="M3094" s="385"/>
      <c r="N3094" s="385"/>
      <c r="O3094" s="385"/>
      <c r="P3094" s="385" t="str">
        <f>IFERROR(
    IF(
        OR(ISBLANK(I3094), ISBLANK(L3094)),
        "",
        MAX(
            1,
            IF(
                NETWORKDAYS(I3094, L3094, Holiday_Dates) &lt;= 0,
                1,
                NETWORKDAYS(I3094, L3094, Holiday_Dates) - IF(I3094 = L3094, 0, 1)
            )
        )
    ),
    ""
)</f>
        <v/>
      </c>
      <c r="Q3094" s="385" t="str">
        <f>IF(
    OR(ISBLANK(L3094), ISBLANK(M3094)),
    "",
    MAX(
        1,
        IF(
            NETWORKDAYS(L3094, M3094, Holiday_Dates) &lt;= 0,
            1,
            NETWORKDAYS(L3094, M3094, Holiday_Dates) - IF(L3094 = M3094, 0, 1)
        )
    )
)</f>
        <v/>
      </c>
      <c r="R3094" s="385" t="str">
        <f>IFERROR(
    IF(
        OR(ISBLANK(N3094), AND(ISBLANK(L3094), ISBLANK(M3094))),
        "",
        MAX(
            1,
            IF(
                NETWORKDAYS(IF(NOT(ISBLANK(M3094)), M3094, L3094), N3094, Holiday_Dates) &lt;= 0,
                1,
                NETWORKDAYS(IF(NOT(ISBLANK(M3094)), M3094, L3094), N3094, Holiday_Dates)
                - IF(IF(NOT(ISBLANK(M3094)), M3094, L3094) = N3094, 0, 1)
            )
        )
    ),
    ""
)</f>
        <v/>
      </c>
      <c r="S3094" s="385" t="str">
        <f>IFERROR(
    IF(
        OR(ISBLANK(N3094), ISBLANK(O3094)),
        "",
        MAX(
            1,
            IF(
                NETWORKDAYS(N3094, O3094, Holiday_Dates) &lt;= 0,
                1,
                NETWORKDAYS(N3094, O3094, Holiday_Dates) - IF(N3094 = O3094, 0, 1)
            )
        )
    ),
    ""
)</f>
        <v/>
      </c>
      <c r="T3094" s="385"/>
      <c r="U3094" s="385" t="s">
        <v>4</v>
      </c>
      <c r="V3094" s="385" t="s">
        <v>108</v>
      </c>
      <c r="W3094" s="385" t="s">
        <v>1436</v>
      </c>
      <c r="X3094" s="1"/>
    </row>
    <row r="3095" spans="1:24">
      <c r="A3095" s="385" t="s">
        <v>53</v>
      </c>
      <c r="B3095" s="385" t="s">
        <v>1049</v>
      </c>
      <c r="C3095" s="385" t="s">
        <v>4570</v>
      </c>
      <c r="D3095" s="385" t="s">
        <v>89</v>
      </c>
      <c r="E3095" s="385" t="s">
        <v>246</v>
      </c>
      <c r="F3095" s="385"/>
      <c r="G3095" s="385" t="s">
        <v>133</v>
      </c>
      <c r="H3095" s="385"/>
      <c r="I3095" s="385"/>
      <c r="J3095" s="30"/>
      <c r="K3095" s="385"/>
      <c r="L3095" s="385"/>
      <c r="M3095" s="385"/>
      <c r="N3095" s="385"/>
      <c r="O3095" s="385"/>
      <c r="P3095" s="385" t="str">
        <f>IFERROR(
    IF(
        OR(ISBLANK(I3095), ISBLANK(L3095)),
        "",
        MAX(
            1,
            IF(
                NETWORKDAYS(I3095, L3095, Holiday_Dates) &lt;= 0,
                1,
                NETWORKDAYS(I3095, L3095, Holiday_Dates) - IF(I3095 = L3095, 0, 1)
            )
        )
    ),
    ""
)</f>
        <v/>
      </c>
      <c r="Q3095" s="385" t="str">
        <f>IF(
    OR(ISBLANK(L3095), ISBLANK(M3095)),
    "",
    MAX(
        1,
        IF(
            NETWORKDAYS(L3095, M3095, Holiday_Dates) &lt;= 0,
            1,
            NETWORKDAYS(L3095, M3095, Holiday_Dates) - IF(L3095 = M3095, 0, 1)
        )
    )
)</f>
        <v/>
      </c>
      <c r="R3095" s="385" t="str">
        <f>IFERROR(
    IF(
        OR(ISBLANK(N3095), AND(ISBLANK(L3095), ISBLANK(M3095))),
        "",
        MAX(
            1,
            IF(
                NETWORKDAYS(IF(NOT(ISBLANK(M3095)), M3095, L3095), N3095, Holiday_Dates) &lt;= 0,
                1,
                NETWORKDAYS(IF(NOT(ISBLANK(M3095)), M3095, L3095), N3095, Holiday_Dates)
                - IF(IF(NOT(ISBLANK(M3095)), M3095, L3095) = N3095, 0, 1)
            )
        )
    ),
    ""
)</f>
        <v/>
      </c>
      <c r="S3095" s="385" t="str">
        <f>IFERROR(
    IF(
        OR(ISBLANK(N3095), ISBLANK(O3095)),
        "",
        MAX(
            1,
            IF(
                NETWORKDAYS(N3095, O3095, Holiday_Dates) &lt;= 0,
                1,
                NETWORKDAYS(N3095, O3095, Holiday_Dates) - IF(N3095 = O3095, 0, 1)
            )
        )
    ),
    ""
)</f>
        <v/>
      </c>
      <c r="T3095" s="385"/>
      <c r="U3095" s="385"/>
      <c r="V3095" s="385"/>
      <c r="W3095" s="385" t="s">
        <v>4710</v>
      </c>
      <c r="X3095" s="1"/>
    </row>
    <row r="3096" spans="1:24">
      <c r="A3096" s="385" t="s">
        <v>53</v>
      </c>
      <c r="B3096" s="385" t="s">
        <v>1049</v>
      </c>
      <c r="C3096" s="385" t="s">
        <v>4571</v>
      </c>
      <c r="D3096" s="385" t="s">
        <v>89</v>
      </c>
      <c r="E3096" s="385"/>
      <c r="F3096" s="385"/>
      <c r="G3096" s="385"/>
      <c r="H3096" s="385">
        <v>2025</v>
      </c>
      <c r="I3096" s="386">
        <v>45965</v>
      </c>
      <c r="J3096" s="30" t="s">
        <v>5894</v>
      </c>
      <c r="K3096" s="385"/>
      <c r="L3096" s="385"/>
      <c r="M3096" s="385"/>
      <c r="N3096" s="385"/>
      <c r="O3096" s="385"/>
      <c r="P3096" s="385" t="str">
        <f>IFERROR(
    IF(
        OR(ISBLANK(I3096), ISBLANK(L3096)),
        "",
        MAX(
            1,
            IF(
                NETWORKDAYS(I3096, L3096, Holiday_Dates) &lt;= 0,
                1,
                NETWORKDAYS(I3096, L3096, Holiday_Dates) - IF(I3096 = L3096, 0, 1)
            )
        )
    ),
    ""
)</f>
        <v/>
      </c>
      <c r="Q3096" s="385" t="str">
        <f>IF(
    OR(ISBLANK(L3096), ISBLANK(M3096)),
    "",
    MAX(
        1,
        IF(
            NETWORKDAYS(L3096, M3096, Holiday_Dates) &lt;= 0,
            1,
            NETWORKDAYS(L3096, M3096, Holiday_Dates) - IF(L3096 = M3096, 0, 1)
        )
    )
)</f>
        <v/>
      </c>
      <c r="R3096" s="385" t="str">
        <f>IFERROR(
    IF(
        OR(ISBLANK(N3096), AND(ISBLANK(L3096), ISBLANK(M3096))),
        "",
        MAX(
            1,
            IF(
                NETWORKDAYS(IF(NOT(ISBLANK(M3096)), M3096, L3096), N3096, Holiday_Dates) &lt;= 0,
                1,
                NETWORKDAYS(IF(NOT(ISBLANK(M3096)), M3096, L3096), N3096, Holiday_Dates)
                - IF(IF(NOT(ISBLANK(M3096)), M3096, L3096) = N3096, 0, 1)
            )
        )
    ),
    ""
)</f>
        <v/>
      </c>
      <c r="S3096" s="385" t="str">
        <f>IFERROR(
    IF(
        OR(ISBLANK(N3096), ISBLANK(O3096)),
        "",
        MAX(
            1,
            IF(
                NETWORKDAYS(N3096, O3096, Holiday_Dates) &lt;= 0,
                1,
                NETWORKDAYS(N3096, O3096, Holiday_Dates) - IF(N3096 = O3096, 0, 1)
            )
        )
    ),
    ""
)</f>
        <v/>
      </c>
      <c r="T3096" s="385"/>
      <c r="U3096" s="385" t="s">
        <v>672</v>
      </c>
      <c r="V3096" s="385" t="s">
        <v>1676</v>
      </c>
      <c r="W3096" s="385" t="s">
        <v>1436</v>
      </c>
      <c r="X3096" s="1"/>
    </row>
    <row r="3097" spans="1:24">
      <c r="A3097" s="385" t="s">
        <v>53</v>
      </c>
      <c r="B3097" s="385" t="s">
        <v>1049</v>
      </c>
      <c r="C3097" s="385" t="s">
        <v>4572</v>
      </c>
      <c r="D3097" s="385" t="s">
        <v>89</v>
      </c>
      <c r="E3097" s="385"/>
      <c r="F3097" s="385"/>
      <c r="G3097" s="385"/>
      <c r="H3097" s="385">
        <v>2025</v>
      </c>
      <c r="I3097" s="386">
        <v>45965</v>
      </c>
      <c r="J3097" s="30" t="s">
        <v>5895</v>
      </c>
      <c r="K3097" s="385"/>
      <c r="L3097" s="385"/>
      <c r="M3097" s="385"/>
      <c r="N3097" s="385"/>
      <c r="O3097" s="385"/>
      <c r="P3097" s="385" t="str">
        <f>IFERROR(
    IF(
        OR(ISBLANK(I3097), ISBLANK(L3097)),
        "",
        MAX(
            1,
            IF(
                NETWORKDAYS(I3097, L3097, Holiday_Dates) &lt;= 0,
                1,
                NETWORKDAYS(I3097, L3097, Holiday_Dates) - IF(I3097 = L3097, 0, 1)
            )
        )
    ),
    ""
)</f>
        <v/>
      </c>
      <c r="Q3097" s="385" t="str">
        <f>IF(
    OR(ISBLANK(L3097), ISBLANK(M3097)),
    "",
    MAX(
        1,
        IF(
            NETWORKDAYS(L3097, M3097, Holiday_Dates) &lt;= 0,
            1,
            NETWORKDAYS(L3097, M3097, Holiday_Dates) - IF(L3097 = M3097, 0, 1)
        )
    )
)</f>
        <v/>
      </c>
      <c r="R3097" s="385" t="str">
        <f>IFERROR(
    IF(
        OR(ISBLANK(N3097), AND(ISBLANK(L3097), ISBLANK(M3097))),
        "",
        MAX(
            1,
            IF(
                NETWORKDAYS(IF(NOT(ISBLANK(M3097)), M3097, L3097), N3097, Holiday_Dates) &lt;= 0,
                1,
                NETWORKDAYS(IF(NOT(ISBLANK(M3097)), M3097, L3097), N3097, Holiday_Dates)
                - IF(IF(NOT(ISBLANK(M3097)), M3097, L3097) = N3097, 0, 1)
            )
        )
    ),
    ""
)</f>
        <v/>
      </c>
      <c r="S3097" s="385" t="str">
        <f>IFERROR(
    IF(
        OR(ISBLANK(N3097), ISBLANK(O3097)),
        "",
        MAX(
            1,
            IF(
                NETWORKDAYS(N3097, O3097, Holiday_Dates) &lt;= 0,
                1,
                NETWORKDAYS(N3097, O3097, Holiday_Dates) - IF(N3097 = O3097, 0, 1)
            )
        )
    ),
    ""
)</f>
        <v/>
      </c>
      <c r="T3097" s="385"/>
      <c r="U3097" s="385" t="s">
        <v>672</v>
      </c>
      <c r="V3097" s="385" t="s">
        <v>101</v>
      </c>
      <c r="W3097" s="385" t="s">
        <v>1436</v>
      </c>
      <c r="X3097" s="1"/>
    </row>
    <row r="3098" spans="1:24">
      <c r="A3098" s="385" t="s">
        <v>53</v>
      </c>
      <c r="B3098" s="385" t="s">
        <v>1049</v>
      </c>
      <c r="C3098" s="385" t="s">
        <v>4573</v>
      </c>
      <c r="D3098" s="385" t="s">
        <v>89</v>
      </c>
      <c r="E3098" s="385"/>
      <c r="F3098" s="385"/>
      <c r="G3098" s="385"/>
      <c r="H3098" s="385">
        <v>2025</v>
      </c>
      <c r="I3098" s="386">
        <v>45939</v>
      </c>
      <c r="J3098" s="30" t="s">
        <v>5896</v>
      </c>
      <c r="K3098" s="385"/>
      <c r="L3098" s="385"/>
      <c r="M3098" s="385"/>
      <c r="N3098" s="385"/>
      <c r="O3098" s="385"/>
      <c r="P3098" s="385" t="str">
        <f>IFERROR(
    IF(
        OR(ISBLANK(I3098), ISBLANK(L3098)),
        "",
        MAX(
            1,
            IF(
                NETWORKDAYS(I3098, L3098, Holiday_Dates) &lt;= 0,
                1,
                NETWORKDAYS(I3098, L3098, Holiday_Dates) - IF(I3098 = L3098, 0, 1)
            )
        )
    ),
    ""
)</f>
        <v/>
      </c>
      <c r="Q3098" s="385" t="str">
        <f>IF(
    OR(ISBLANK(L3098), ISBLANK(M3098)),
    "",
    MAX(
        1,
        IF(
            NETWORKDAYS(L3098, M3098, Holiday_Dates) &lt;= 0,
            1,
            NETWORKDAYS(L3098, M3098, Holiday_Dates) - IF(L3098 = M3098, 0, 1)
        )
    )
)</f>
        <v/>
      </c>
      <c r="R3098" s="385" t="str">
        <f>IFERROR(
    IF(
        OR(ISBLANK(N3098), AND(ISBLANK(L3098), ISBLANK(M3098))),
        "",
        MAX(
            1,
            IF(
                NETWORKDAYS(IF(NOT(ISBLANK(M3098)), M3098, L3098), N3098, Holiday_Dates) &lt;= 0,
                1,
                NETWORKDAYS(IF(NOT(ISBLANK(M3098)), M3098, L3098), N3098, Holiday_Dates)
                - IF(IF(NOT(ISBLANK(M3098)), M3098, L3098) = N3098, 0, 1)
            )
        )
    ),
    ""
)</f>
        <v/>
      </c>
      <c r="S3098" s="385" t="str">
        <f>IFERROR(
    IF(
        OR(ISBLANK(N3098), ISBLANK(O3098)),
        "",
        MAX(
            1,
            IF(
                NETWORKDAYS(N3098, O3098, Holiday_Dates) &lt;= 0,
                1,
                NETWORKDAYS(N3098, O3098, Holiday_Dates) - IF(N3098 = O3098, 0, 1)
            )
        )
    ),
    ""
)</f>
        <v/>
      </c>
      <c r="T3098" s="385"/>
      <c r="U3098" s="385" t="s">
        <v>4</v>
      </c>
      <c r="V3098" s="385" t="s">
        <v>101</v>
      </c>
      <c r="W3098" s="385" t="s">
        <v>1436</v>
      </c>
      <c r="X3098" s="1"/>
    </row>
    <row r="3099" spans="1:24">
      <c r="A3099" s="385" t="s">
        <v>53</v>
      </c>
      <c r="B3099" s="385" t="s">
        <v>1049</v>
      </c>
      <c r="C3099" s="385" t="s">
        <v>4574</v>
      </c>
      <c r="D3099" s="385" t="s">
        <v>89</v>
      </c>
      <c r="E3099" s="385"/>
      <c r="F3099" s="385"/>
      <c r="G3099" s="385"/>
      <c r="H3099" s="385">
        <v>2025</v>
      </c>
      <c r="I3099" s="386">
        <v>45965</v>
      </c>
      <c r="J3099" s="30" t="s">
        <v>5897</v>
      </c>
      <c r="K3099" s="385"/>
      <c r="L3099" s="385"/>
      <c r="M3099" s="385"/>
      <c r="N3099" s="385"/>
      <c r="O3099" s="385"/>
      <c r="P3099" s="385" t="str">
        <f>IFERROR(
    IF(
        OR(ISBLANK(I3099), ISBLANK(L3099)),
        "",
        MAX(
            1,
            IF(
                NETWORKDAYS(I3099, L3099, Holiday_Dates) &lt;= 0,
                1,
                NETWORKDAYS(I3099, L3099, Holiday_Dates) - IF(I3099 = L3099, 0, 1)
            )
        )
    ),
    ""
)</f>
        <v/>
      </c>
      <c r="Q3099" s="385" t="str">
        <f>IF(
    OR(ISBLANK(L3099), ISBLANK(M3099)),
    "",
    MAX(
        1,
        IF(
            NETWORKDAYS(L3099, M3099, Holiday_Dates) &lt;= 0,
            1,
            NETWORKDAYS(L3099, M3099, Holiday_Dates) - IF(L3099 = M3099, 0, 1)
        )
    )
)</f>
        <v/>
      </c>
      <c r="R3099" s="385" t="str">
        <f>IFERROR(
    IF(
        OR(ISBLANK(N3099), AND(ISBLANK(L3099), ISBLANK(M3099))),
        "",
        MAX(
            1,
            IF(
                NETWORKDAYS(IF(NOT(ISBLANK(M3099)), M3099, L3099), N3099, Holiday_Dates) &lt;= 0,
                1,
                NETWORKDAYS(IF(NOT(ISBLANK(M3099)), M3099, L3099), N3099, Holiday_Dates)
                - IF(IF(NOT(ISBLANK(M3099)), M3099, L3099) = N3099, 0, 1)
            )
        )
    ),
    ""
)</f>
        <v/>
      </c>
      <c r="S3099" s="385" t="str">
        <f>IFERROR(
    IF(
        OR(ISBLANK(N3099), ISBLANK(O3099)),
        "",
        MAX(
            1,
            IF(
                NETWORKDAYS(N3099, O3099, Holiday_Dates) &lt;= 0,
                1,
                NETWORKDAYS(N3099, O3099, Holiday_Dates) - IF(N3099 = O3099, 0, 1)
            )
        )
    ),
    ""
)</f>
        <v/>
      </c>
      <c r="T3099" s="385"/>
      <c r="U3099" s="385" t="s">
        <v>4</v>
      </c>
      <c r="V3099" s="385" t="s">
        <v>113</v>
      </c>
      <c r="W3099" s="385" t="s">
        <v>1436</v>
      </c>
      <c r="X3099" s="1"/>
    </row>
    <row r="3100" spans="1:24">
      <c r="A3100" s="385" t="s">
        <v>53</v>
      </c>
      <c r="B3100" s="385" t="s">
        <v>1049</v>
      </c>
      <c r="C3100" s="385" t="s">
        <v>4575</v>
      </c>
      <c r="D3100" s="385" t="s">
        <v>89</v>
      </c>
      <c r="E3100" s="385"/>
      <c r="F3100" s="385"/>
      <c r="G3100" s="385"/>
      <c r="H3100" s="385">
        <v>2025</v>
      </c>
      <c r="I3100" s="386">
        <v>45939</v>
      </c>
      <c r="J3100" s="30" t="s">
        <v>5898</v>
      </c>
      <c r="K3100" s="385"/>
      <c r="L3100" s="385"/>
      <c r="M3100" s="385"/>
      <c r="N3100" s="385"/>
      <c r="O3100" s="385"/>
      <c r="P3100" s="385" t="str">
        <f>IFERROR(
    IF(
        OR(ISBLANK(I3100), ISBLANK(L3100)),
        "",
        MAX(
            1,
            IF(
                NETWORKDAYS(I3100, L3100, Holiday_Dates) &lt;= 0,
                1,
                NETWORKDAYS(I3100, L3100, Holiday_Dates) - IF(I3100 = L3100, 0, 1)
            )
        )
    ),
    ""
)</f>
        <v/>
      </c>
      <c r="Q3100" s="385" t="str">
        <f>IF(
    OR(ISBLANK(L3100), ISBLANK(M3100)),
    "",
    MAX(
        1,
        IF(
            NETWORKDAYS(L3100, M3100, Holiday_Dates) &lt;= 0,
            1,
            NETWORKDAYS(L3100, M3100, Holiday_Dates) - IF(L3100 = M3100, 0, 1)
        )
    )
)</f>
        <v/>
      </c>
      <c r="R3100" s="385" t="str">
        <f>IFERROR(
    IF(
        OR(ISBLANK(N3100), AND(ISBLANK(L3100), ISBLANK(M3100))),
        "",
        MAX(
            1,
            IF(
                NETWORKDAYS(IF(NOT(ISBLANK(M3100)), M3100, L3100), N3100, Holiday_Dates) &lt;= 0,
                1,
                NETWORKDAYS(IF(NOT(ISBLANK(M3100)), M3100, L3100), N3100, Holiday_Dates)
                - IF(IF(NOT(ISBLANK(M3100)), M3100, L3100) = N3100, 0, 1)
            )
        )
    ),
    ""
)</f>
        <v/>
      </c>
      <c r="S3100" s="385" t="str">
        <f>IFERROR(
    IF(
        OR(ISBLANK(N3100), ISBLANK(O3100)),
        "",
        MAX(
            1,
            IF(
                NETWORKDAYS(N3100, O3100, Holiday_Dates) &lt;= 0,
                1,
                NETWORKDAYS(N3100, O3100, Holiday_Dates) - IF(N3100 = O3100, 0, 1)
            )
        )
    ),
    ""
)</f>
        <v/>
      </c>
      <c r="T3100" s="385"/>
      <c r="U3100" s="385" t="s">
        <v>672</v>
      </c>
      <c r="V3100" s="385" t="s">
        <v>1676</v>
      </c>
      <c r="W3100" s="385" t="s">
        <v>1436</v>
      </c>
      <c r="X3100" s="1"/>
    </row>
    <row r="3101" spans="1:24">
      <c r="A3101" s="385" t="s">
        <v>53</v>
      </c>
      <c r="B3101" s="385" t="s">
        <v>1049</v>
      </c>
      <c r="C3101" s="385" t="s">
        <v>4576</v>
      </c>
      <c r="D3101" s="385" t="s">
        <v>89</v>
      </c>
      <c r="E3101" s="385"/>
      <c r="F3101" s="385"/>
      <c r="G3101" s="385"/>
      <c r="H3101" s="385">
        <v>2025</v>
      </c>
      <c r="I3101" s="386">
        <v>45965</v>
      </c>
      <c r="J3101" s="30" t="s">
        <v>5899</v>
      </c>
      <c r="K3101" s="385"/>
      <c r="L3101" s="385"/>
      <c r="M3101" s="385"/>
      <c r="N3101" s="385"/>
      <c r="O3101" s="385"/>
      <c r="P3101" s="385" t="str">
        <f>IFERROR(
    IF(
        OR(ISBLANK(I3101), ISBLANK(L3101)),
        "",
        MAX(
            1,
            IF(
                NETWORKDAYS(I3101, L3101, Holiday_Dates) &lt;= 0,
                1,
                NETWORKDAYS(I3101, L3101, Holiday_Dates) - IF(I3101 = L3101, 0, 1)
            )
        )
    ),
    ""
)</f>
        <v/>
      </c>
      <c r="Q3101" s="385" t="str">
        <f>IF(
    OR(ISBLANK(L3101), ISBLANK(M3101)),
    "",
    MAX(
        1,
        IF(
            NETWORKDAYS(L3101, M3101, Holiday_Dates) &lt;= 0,
            1,
            NETWORKDAYS(L3101, M3101, Holiday_Dates) - IF(L3101 = M3101, 0, 1)
        )
    )
)</f>
        <v/>
      </c>
      <c r="R3101" s="385" t="str">
        <f>IFERROR(
    IF(
        OR(ISBLANK(N3101), AND(ISBLANK(L3101), ISBLANK(M3101))),
        "",
        MAX(
            1,
            IF(
                NETWORKDAYS(IF(NOT(ISBLANK(M3101)), M3101, L3101), N3101, Holiday_Dates) &lt;= 0,
                1,
                NETWORKDAYS(IF(NOT(ISBLANK(M3101)), M3101, L3101), N3101, Holiday_Dates)
                - IF(IF(NOT(ISBLANK(M3101)), M3101, L3101) = N3101, 0, 1)
            )
        )
    ),
    ""
)</f>
        <v/>
      </c>
      <c r="S3101" s="385" t="str">
        <f>IFERROR(
    IF(
        OR(ISBLANK(N3101), ISBLANK(O3101)),
        "",
        MAX(
            1,
            IF(
                NETWORKDAYS(N3101, O3101, Holiday_Dates) &lt;= 0,
                1,
                NETWORKDAYS(N3101, O3101, Holiday_Dates) - IF(N3101 = O3101, 0, 1)
            )
        )
    ),
    ""
)</f>
        <v/>
      </c>
      <c r="T3101" s="385"/>
      <c r="U3101" s="385" t="s">
        <v>4</v>
      </c>
      <c r="V3101" s="385" t="s">
        <v>101</v>
      </c>
      <c r="W3101" s="385" t="s">
        <v>1436</v>
      </c>
      <c r="X3101" s="1"/>
    </row>
    <row r="3102" spans="1:24">
      <c r="A3102" s="385" t="s">
        <v>53</v>
      </c>
      <c r="B3102" s="385" t="s">
        <v>1049</v>
      </c>
      <c r="C3102" s="385" t="s">
        <v>1416</v>
      </c>
      <c r="D3102" s="385" t="s">
        <v>89</v>
      </c>
      <c r="E3102" s="385"/>
      <c r="F3102" s="385"/>
      <c r="G3102" s="385"/>
      <c r="H3102" s="385">
        <v>2024</v>
      </c>
      <c r="I3102" s="386">
        <v>45545</v>
      </c>
      <c r="J3102" s="30"/>
      <c r="K3102" s="385"/>
      <c r="L3102" s="385"/>
      <c r="M3102" s="385"/>
      <c r="N3102" s="385"/>
      <c r="O3102" s="385"/>
      <c r="P3102" s="385" t="str">
        <f>IFERROR(
    IF(
        OR(ISBLANK(I3102), ISBLANK(L3102)),
        "",
        MAX(
            1,
            IF(
                NETWORKDAYS(I3102, L3102, Holiday_Dates) &lt;= 0,
                1,
                NETWORKDAYS(I3102, L3102, Holiday_Dates) - IF(I3102 = L3102, 0, 1)
            )
        )
    ),
    ""
)</f>
        <v/>
      </c>
      <c r="Q3102" s="385" t="str">
        <f>IF(
    OR(ISBLANK(L3102), ISBLANK(M3102)),
    "",
    MAX(
        1,
        IF(
            NETWORKDAYS(L3102, M3102, Holiday_Dates) &lt;= 0,
            1,
            NETWORKDAYS(L3102, M3102, Holiday_Dates) - IF(L3102 = M3102, 0, 1)
        )
    )
)</f>
        <v/>
      </c>
      <c r="R3102" s="385" t="str">
        <f>IFERROR(
    IF(
        OR(ISBLANK(N3102), AND(ISBLANK(L3102), ISBLANK(M3102))),
        "",
        MAX(
            1,
            IF(
                NETWORKDAYS(IF(NOT(ISBLANK(M3102)), M3102, L3102), N3102, Holiday_Dates) &lt;= 0,
                1,
                NETWORKDAYS(IF(NOT(ISBLANK(M3102)), M3102, L3102), N3102, Holiday_Dates)
                - IF(IF(NOT(ISBLANK(M3102)), M3102, L3102) = N3102, 0, 1)
            )
        )
    ),
    ""
)</f>
        <v/>
      </c>
      <c r="S3102" s="385" t="str">
        <f>IFERROR(
    IF(
        OR(ISBLANK(N3102), ISBLANK(O3102)),
        "",
        MAX(
            1,
            IF(
                NETWORKDAYS(N3102, O3102, Holiday_Dates) &lt;= 0,
                1,
                NETWORKDAYS(N3102, O3102, Holiday_Dates) - IF(N3102 = O3102, 0, 1)
            )
        )
    ),
    ""
)</f>
        <v/>
      </c>
      <c r="T3102" s="385"/>
      <c r="U3102" s="385" t="s">
        <v>4</v>
      </c>
      <c r="V3102" s="385" t="s">
        <v>101</v>
      </c>
      <c r="W3102" s="385" t="s">
        <v>1436</v>
      </c>
      <c r="X3102" s="1"/>
    </row>
    <row r="3103" spans="1:24">
      <c r="A3103" s="385" t="s">
        <v>53</v>
      </c>
      <c r="B3103" s="385" t="s">
        <v>1049</v>
      </c>
      <c r="C3103" s="385" t="s">
        <v>4578</v>
      </c>
      <c r="D3103" s="385" t="s">
        <v>89</v>
      </c>
      <c r="E3103" s="385"/>
      <c r="F3103" s="385"/>
      <c r="G3103" s="385"/>
      <c r="H3103" s="385">
        <v>2024</v>
      </c>
      <c r="I3103" s="386">
        <v>45545</v>
      </c>
      <c r="J3103" s="30"/>
      <c r="K3103" s="385"/>
      <c r="L3103" s="385"/>
      <c r="M3103" s="385"/>
      <c r="N3103" s="385"/>
      <c r="O3103" s="385"/>
      <c r="P3103" s="385" t="str">
        <f>IFERROR(
    IF(
        OR(ISBLANK(I3103), ISBLANK(L3103)),
        "",
        MAX(
            1,
            IF(
                NETWORKDAYS(I3103, L3103, Holiday_Dates) &lt;= 0,
                1,
                NETWORKDAYS(I3103, L3103, Holiday_Dates) - IF(I3103 = L3103, 0, 1)
            )
        )
    ),
    ""
)</f>
        <v/>
      </c>
      <c r="Q3103" s="385" t="str">
        <f>IF(
    OR(ISBLANK(L3103), ISBLANK(M3103)),
    "",
    MAX(
        1,
        IF(
            NETWORKDAYS(L3103, M3103, Holiday_Dates) &lt;= 0,
            1,
            NETWORKDAYS(L3103, M3103, Holiday_Dates) - IF(L3103 = M3103, 0, 1)
        )
    )
)</f>
        <v/>
      </c>
      <c r="R3103" s="385" t="str">
        <f>IFERROR(
    IF(
        OR(ISBLANK(N3103), AND(ISBLANK(L3103), ISBLANK(M3103))),
        "",
        MAX(
            1,
            IF(
                NETWORKDAYS(IF(NOT(ISBLANK(M3103)), M3103, L3103), N3103, Holiday_Dates) &lt;= 0,
                1,
                NETWORKDAYS(IF(NOT(ISBLANK(M3103)), M3103, L3103), N3103, Holiday_Dates)
                - IF(IF(NOT(ISBLANK(M3103)), M3103, L3103) = N3103, 0, 1)
            )
        )
    ),
    ""
)</f>
        <v/>
      </c>
      <c r="S3103" s="385" t="str">
        <f>IFERROR(
    IF(
        OR(ISBLANK(N3103), ISBLANK(O3103)),
        "",
        MAX(
            1,
            IF(
                NETWORKDAYS(N3103, O3103, Holiday_Dates) &lt;= 0,
                1,
                NETWORKDAYS(N3103, O3103, Holiday_Dates) - IF(N3103 = O3103, 0, 1)
            )
        )
    ),
    ""
)</f>
        <v/>
      </c>
      <c r="T3103" s="385"/>
      <c r="U3103" s="385" t="s">
        <v>4</v>
      </c>
      <c r="V3103" s="385" t="s">
        <v>101</v>
      </c>
      <c r="W3103" s="385" t="s">
        <v>1436</v>
      </c>
      <c r="X3103" s="1"/>
    </row>
    <row r="3104" spans="1:24">
      <c r="A3104" s="385" t="s">
        <v>53</v>
      </c>
      <c r="B3104" s="385" t="s">
        <v>1049</v>
      </c>
      <c r="C3104" s="385" t="s">
        <v>520</v>
      </c>
      <c r="D3104" s="385" t="s">
        <v>89</v>
      </c>
      <c r="E3104" s="385"/>
      <c r="F3104" s="385"/>
      <c r="G3104" s="385"/>
      <c r="H3104" s="385">
        <v>2024</v>
      </c>
      <c r="I3104" s="386">
        <v>45545</v>
      </c>
      <c r="J3104" s="30"/>
      <c r="K3104" s="385"/>
      <c r="L3104" s="385"/>
      <c r="M3104" s="385"/>
      <c r="N3104" s="385"/>
      <c r="O3104" s="385"/>
      <c r="P3104" s="385" t="str">
        <f>IFERROR(
    IF(
        OR(ISBLANK(I3104), ISBLANK(L3104)),
        "",
        MAX(
            1,
            IF(
                NETWORKDAYS(I3104, L3104, Holiday_Dates) &lt;= 0,
                1,
                NETWORKDAYS(I3104, L3104, Holiday_Dates) - IF(I3104 = L3104, 0, 1)
            )
        )
    ),
    ""
)</f>
        <v/>
      </c>
      <c r="Q3104" s="385" t="str">
        <f>IF(
    OR(ISBLANK(L3104), ISBLANK(M3104)),
    "",
    MAX(
        1,
        IF(
            NETWORKDAYS(L3104, M3104, Holiday_Dates) &lt;= 0,
            1,
            NETWORKDAYS(L3104, M3104, Holiday_Dates) - IF(L3104 = M3104, 0, 1)
        )
    )
)</f>
        <v/>
      </c>
      <c r="R3104" s="385" t="str">
        <f>IFERROR(
    IF(
        OR(ISBLANK(N3104), AND(ISBLANK(L3104), ISBLANK(M3104))),
        "",
        MAX(
            1,
            IF(
                NETWORKDAYS(IF(NOT(ISBLANK(M3104)), M3104, L3104), N3104, Holiday_Dates) &lt;= 0,
                1,
                NETWORKDAYS(IF(NOT(ISBLANK(M3104)), M3104, L3104), N3104, Holiday_Dates)
                - IF(IF(NOT(ISBLANK(M3104)), M3104, L3104) = N3104, 0, 1)
            )
        )
    ),
    ""
)</f>
        <v/>
      </c>
      <c r="S3104" s="385" t="str">
        <f>IFERROR(
    IF(
        OR(ISBLANK(N3104), ISBLANK(O3104)),
        "",
        MAX(
            1,
            IF(
                NETWORKDAYS(N3104, O3104, Holiday_Dates) &lt;= 0,
                1,
                NETWORKDAYS(N3104, O3104, Holiday_Dates) - IF(N3104 = O3104, 0, 1)
            )
        )
    ),
    ""
)</f>
        <v/>
      </c>
      <c r="T3104" s="385"/>
      <c r="U3104" s="385" t="s">
        <v>4</v>
      </c>
      <c r="V3104" s="385" t="s">
        <v>101</v>
      </c>
      <c r="W3104" s="385" t="s">
        <v>1436</v>
      </c>
      <c r="X3104" s="1"/>
    </row>
    <row r="3105" spans="1:24">
      <c r="A3105" s="385" t="s">
        <v>53</v>
      </c>
      <c r="B3105" s="385" t="s">
        <v>1049</v>
      </c>
      <c r="C3105" s="385" t="s">
        <v>1658</v>
      </c>
      <c r="D3105" s="385" t="s">
        <v>89</v>
      </c>
      <c r="E3105" s="385"/>
      <c r="F3105" s="385"/>
      <c r="G3105" s="385"/>
      <c r="H3105" s="385">
        <v>2024</v>
      </c>
      <c r="I3105" s="386">
        <v>45545</v>
      </c>
      <c r="J3105" s="30"/>
      <c r="K3105" s="385"/>
      <c r="L3105" s="385"/>
      <c r="M3105" s="385"/>
      <c r="N3105" s="385"/>
      <c r="O3105" s="385"/>
      <c r="P3105" s="385" t="str">
        <f>IFERROR(
    IF(
        OR(ISBLANK(I3105), ISBLANK(L3105)),
        "",
        MAX(
            1,
            IF(
                NETWORKDAYS(I3105, L3105, Holiday_Dates) &lt;= 0,
                1,
                NETWORKDAYS(I3105, L3105, Holiday_Dates) - IF(I3105 = L3105, 0, 1)
            )
        )
    ),
    ""
)</f>
        <v/>
      </c>
      <c r="Q3105" s="385" t="str">
        <f>IF(
    OR(ISBLANK(L3105), ISBLANK(M3105)),
    "",
    MAX(
        1,
        IF(
            NETWORKDAYS(L3105, M3105, Holiday_Dates) &lt;= 0,
            1,
            NETWORKDAYS(L3105, M3105, Holiday_Dates) - IF(L3105 = M3105, 0, 1)
        )
    )
)</f>
        <v/>
      </c>
      <c r="R3105" s="385" t="str">
        <f>IFERROR(
    IF(
        OR(ISBLANK(N3105), AND(ISBLANK(L3105), ISBLANK(M3105))),
        "",
        MAX(
            1,
            IF(
                NETWORKDAYS(IF(NOT(ISBLANK(M3105)), M3105, L3105), N3105, Holiday_Dates) &lt;= 0,
                1,
                NETWORKDAYS(IF(NOT(ISBLANK(M3105)), M3105, L3105), N3105, Holiday_Dates)
                - IF(IF(NOT(ISBLANK(M3105)), M3105, L3105) = N3105, 0, 1)
            )
        )
    ),
    ""
)</f>
        <v/>
      </c>
      <c r="S3105" s="385" t="str">
        <f>IFERROR(
    IF(
        OR(ISBLANK(N3105), ISBLANK(O3105)),
        "",
        MAX(
            1,
            IF(
                NETWORKDAYS(N3105, O3105, Holiday_Dates) &lt;= 0,
                1,
                NETWORKDAYS(N3105, O3105, Holiday_Dates) - IF(N3105 = O3105, 0, 1)
            )
        )
    ),
    ""
)</f>
        <v/>
      </c>
      <c r="T3105" s="385"/>
      <c r="U3105" s="385" t="s">
        <v>4</v>
      </c>
      <c r="V3105" s="385" t="s">
        <v>101</v>
      </c>
      <c r="W3105" s="385" t="s">
        <v>1436</v>
      </c>
      <c r="X3105" s="1"/>
    </row>
    <row r="3106" spans="1:24">
      <c r="A3106" s="385" t="s">
        <v>53</v>
      </c>
      <c r="B3106" s="385" t="s">
        <v>1049</v>
      </c>
      <c r="C3106" s="385" t="s">
        <v>4582</v>
      </c>
      <c r="D3106" s="385" t="s">
        <v>89</v>
      </c>
      <c r="E3106" s="385"/>
      <c r="F3106" s="385"/>
      <c r="G3106" s="385"/>
      <c r="H3106" s="385">
        <v>2025</v>
      </c>
      <c r="I3106" s="386">
        <v>45939</v>
      </c>
      <c r="J3106" s="30" t="s">
        <v>5900</v>
      </c>
      <c r="K3106" s="385"/>
      <c r="L3106" s="385"/>
      <c r="M3106" s="385"/>
      <c r="N3106" s="385"/>
      <c r="O3106" s="385"/>
      <c r="P3106" s="385" t="str">
        <f>IFERROR(
    IF(
        OR(ISBLANK(I3106), ISBLANK(L3106)),
        "",
        MAX(
            1,
            IF(
                NETWORKDAYS(I3106, L3106, Holiday_Dates) &lt;= 0,
                1,
                NETWORKDAYS(I3106, L3106, Holiday_Dates) - IF(I3106 = L3106, 0, 1)
            )
        )
    ),
    ""
)</f>
        <v/>
      </c>
      <c r="Q3106" s="385" t="str">
        <f>IF(
    OR(ISBLANK(L3106), ISBLANK(M3106)),
    "",
    MAX(
        1,
        IF(
            NETWORKDAYS(L3106, M3106, Holiday_Dates) &lt;= 0,
            1,
            NETWORKDAYS(L3106, M3106, Holiday_Dates) - IF(L3106 = M3106, 0, 1)
        )
    )
)</f>
        <v/>
      </c>
      <c r="R3106" s="385" t="str">
        <f>IFERROR(
    IF(
        OR(ISBLANK(N3106), AND(ISBLANK(L3106), ISBLANK(M3106))),
        "",
        MAX(
            1,
            IF(
                NETWORKDAYS(IF(NOT(ISBLANK(M3106)), M3106, L3106), N3106, Holiday_Dates) &lt;= 0,
                1,
                NETWORKDAYS(IF(NOT(ISBLANK(M3106)), M3106, L3106), N3106, Holiday_Dates)
                - IF(IF(NOT(ISBLANK(M3106)), M3106, L3106) = N3106, 0, 1)
            )
        )
    ),
    ""
)</f>
        <v/>
      </c>
      <c r="S3106" s="385" t="str">
        <f>IFERROR(
    IF(
        OR(ISBLANK(N3106), ISBLANK(O3106)),
        "",
        MAX(
            1,
            IF(
                NETWORKDAYS(N3106, O3106, Holiday_Dates) &lt;= 0,
                1,
                NETWORKDAYS(N3106, O3106, Holiday_Dates) - IF(N3106 = O3106, 0, 1)
            )
        )
    ),
    ""
)</f>
        <v/>
      </c>
      <c r="T3106" s="385"/>
      <c r="U3106" s="385" t="s">
        <v>4</v>
      </c>
      <c r="V3106" s="385" t="s">
        <v>101</v>
      </c>
      <c r="W3106" s="385" t="s">
        <v>1436</v>
      </c>
      <c r="X3106" s="1"/>
    </row>
    <row r="3111" spans="1:24">
      <c r="B3111" s="587"/>
      <c r="C3111" s="587"/>
    </row>
    <row r="3112" spans="1:24">
      <c r="B3112" s="587"/>
      <c r="C3112" s="587"/>
    </row>
  </sheetData>
  <sheetProtection formatCells="0" formatColumns="0" formatRows="0" sort="0" autoFilter="0" pivotTables="0"/>
  <protectedRanges>
    <protectedRange algorithmName="SHA-512" hashValue="UhJV8Hq9FKGmHYH1NSlFWxRp+US18GJ4Mg6zbgGwjSNaEAW5+yhYJ212mYMKCYj4ZMik2OOczUMMgs2gxSMraQ==" saltValue="i21yu6Bn82Waap0fNX/sZw==" spinCount="100000" sqref="K1:K1048576" name="TARGET_MONTH"/>
    <protectedRange sqref="W2:W3106" name="For monitoring"/>
    <protectedRange sqref="U2:W3200" name="swm_data_1"/>
    <protectedRange algorithmName="SHA-512" hashValue="8yCqMAsZsoxz2RttW7SyvDfoK0zDy3OMH9RieAq1pPa+WAlpXdUlk8XbdgAE/yYfRszhQ0+UTc/RKxc4HKGKPA==" saltValue="eHLo9F1S6fqbSlORuOPEiw==" spinCount="100000" sqref="T2:T3200" name="planning"/>
    <protectedRange sqref="E2:O3106" name="enmo_staff"/>
  </protectedRanges>
  <autoFilter ref="A1:X3106" xr:uid="{4C62B15E-AE38-4478-88D1-5607D232037D}"/>
  <conditionalFormatting sqref="J2979:J2981">
    <cfRule type="duplicateValues" dxfId="7" priority="1"/>
  </conditionalFormatting>
  <conditionalFormatting sqref="J2983">
    <cfRule type="duplicateValues" dxfId="6" priority="2"/>
  </conditionalFormatting>
  <conditionalFormatting sqref="J2984:J2986">
    <cfRule type="duplicateValues" dxfId="5" priority="3"/>
  </conditionalFormatting>
  <dataValidations count="4">
    <dataValidation type="list" allowBlank="1" showInputMessage="1" showErrorMessage="1" sqref="A2:A3106" xr:uid="{FD017F64-6191-441E-A6A9-8742DD5AD1BD}">
      <formula1>"Aurora, Bataan, Bulacan, Nueva_Ecija, Pampanga, Tarlac, Zambales"</formula1>
    </dataValidation>
    <dataValidation type="list" allowBlank="1" showInputMessage="1" showErrorMessage="1" sqref="E2:F1048576" xr:uid="{009E9D2D-3F20-4509-BA1F-BDDEEC33F565}">
      <formula1>ENMO</formula1>
    </dataValidation>
    <dataValidation type="list" allowBlank="1" showInputMessage="1" showErrorMessage="1" sqref="G2:G1048576" xr:uid="{5AE74655-7BF1-4DFF-B4A9-5F4909F4BE7F}">
      <formula1>ESWM_FOCAL</formula1>
    </dataValidation>
    <dataValidation allowBlank="1" showInputMessage="1" showErrorMessage="1" sqref="I505 L513:L558 I1141 I489:I490 N487:N488 N506:N507 L2:L511 L560:L630 L632 L634:L635 L637 L640:L644 L646:L657 L662 L879:L916 L664:L877 L1056:L1048576 L918:L969 L973:L996 N991:N993 L998:L1036 L1038:L1053" xr:uid="{C60E0176-8804-4235-BD67-C3ACA2F4F59D}"/>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8EC7810-249C-4A4B-857D-90E5877C6960}">
          <x14:formula1>
            <xm:f>'Data Validation'!$A$13:$A$24</xm:f>
          </x14:formula1>
          <xm:sqref>K3107 K2189:K3095 K415:K2187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58D4-96AB-4E10-A5DE-DABF995AA736}">
  <sheetPr codeName="Sheet17"/>
  <dimension ref="A1:AQ81"/>
  <sheetViews>
    <sheetView zoomScale="80" zoomScaleNormal="80" workbookViewId="0">
      <pane xSplit="3" ySplit="1" topLeftCell="D4" activePane="bottomRight" state="frozen"/>
      <selection pane="topRight"/>
      <selection pane="bottomLeft"/>
      <selection pane="bottomRight" activeCell="J7" sqref="J7"/>
    </sheetView>
  </sheetViews>
  <sheetFormatPr defaultColWidth="9.140625" defaultRowHeight="15" customHeight="1"/>
  <cols>
    <col min="1" max="1" width="15.7109375" style="43" customWidth="1"/>
    <col min="2" max="2" width="31.140625" style="43" customWidth="1"/>
    <col min="3" max="3" width="21.7109375" style="43" customWidth="1"/>
    <col min="4" max="4" width="30" style="41" customWidth="1"/>
    <col min="5" max="5" width="12.5703125" style="41" customWidth="1"/>
    <col min="6" max="6" width="20.85546875" style="41" customWidth="1"/>
    <col min="7" max="7" width="23" style="41" customWidth="1"/>
    <col min="8" max="8" width="22.7109375" style="41" customWidth="1"/>
    <col min="9" max="9" width="28.140625" style="41" customWidth="1"/>
    <col min="10" max="10" width="14.28515625" style="41" customWidth="1"/>
    <col min="11" max="12" width="28.7109375" style="41" customWidth="1"/>
    <col min="13" max="13" width="28.140625" style="41" customWidth="1"/>
    <col min="14" max="14" width="20.42578125" style="41" customWidth="1"/>
    <col min="15" max="15" width="17.5703125" style="41" customWidth="1"/>
    <col min="16" max="16" width="18.140625" style="41" customWidth="1"/>
    <col min="17" max="17" width="17.42578125" style="41" customWidth="1"/>
    <col min="18" max="18" width="18.42578125" style="41" customWidth="1"/>
    <col min="19" max="19" width="21.5703125" style="41" customWidth="1"/>
    <col min="20" max="20" width="13.7109375" style="41" customWidth="1"/>
    <col min="21" max="21" width="15.85546875" style="41" customWidth="1"/>
    <col min="22" max="22" width="14.140625" style="41" customWidth="1"/>
    <col min="23" max="23" width="19.85546875" style="41" customWidth="1"/>
    <col min="24" max="24" width="20.140625" style="41" customWidth="1"/>
    <col min="25" max="25" width="13.85546875" style="41" customWidth="1"/>
    <col min="26" max="26" width="55.7109375" style="43" customWidth="1"/>
    <col min="27" max="27" width="36.7109375" style="43" customWidth="1"/>
    <col min="28" max="28" width="18.42578125" style="41" customWidth="1"/>
    <col min="29" max="29" width="16" style="41" customWidth="1"/>
    <col min="30" max="30" width="16.42578125" style="41" customWidth="1"/>
    <col min="31" max="31" width="30" style="41" bestFit="1" customWidth="1"/>
    <col min="32" max="32" width="71.5703125" style="41" customWidth="1"/>
    <col min="33" max="33" width="19.85546875" style="43" customWidth="1"/>
    <col min="34" max="34" width="54.85546875" style="43" customWidth="1"/>
    <col min="35" max="35" width="18.7109375" style="41" customWidth="1"/>
    <col min="36" max="36" width="53.42578125" style="41" customWidth="1"/>
    <col min="37" max="38" width="24" style="41" customWidth="1"/>
    <col min="39" max="39" width="25.7109375" style="41" customWidth="1"/>
    <col min="40" max="40" width="22.28515625" style="43" customWidth="1"/>
    <col min="41" max="41" width="16.42578125" style="41" customWidth="1"/>
    <col min="42" max="42" width="34.28515625" style="254" customWidth="1"/>
    <col min="43" max="43" width="134" style="41" bestFit="1" customWidth="1"/>
    <col min="44" max="16380" width="9.140625" style="41"/>
    <col min="16381" max="16381" width="9.140625" style="41" bestFit="1" customWidth="1"/>
    <col min="16382" max="16384" width="9.140625" style="41"/>
  </cols>
  <sheetData>
    <row r="1" spans="1:43" s="557" customFormat="1" ht="57">
      <c r="A1" s="554" t="s">
        <v>44</v>
      </c>
      <c r="B1" s="555" t="s">
        <v>158</v>
      </c>
      <c r="C1" s="556" t="s">
        <v>556</v>
      </c>
      <c r="D1" s="555" t="s">
        <v>160</v>
      </c>
      <c r="E1" s="555" t="s">
        <v>161</v>
      </c>
      <c r="F1" s="555" t="s">
        <v>557</v>
      </c>
      <c r="G1" s="555" t="s">
        <v>558</v>
      </c>
      <c r="H1" s="555" t="s">
        <v>559</v>
      </c>
      <c r="I1" s="555" t="s">
        <v>119</v>
      </c>
      <c r="J1" s="555" t="s">
        <v>43</v>
      </c>
      <c r="K1" s="555" t="s">
        <v>171</v>
      </c>
      <c r="L1" s="555" t="s">
        <v>172</v>
      </c>
      <c r="M1" s="555" t="s">
        <v>173</v>
      </c>
      <c r="N1" s="555" t="s">
        <v>174</v>
      </c>
      <c r="O1" s="555" t="s">
        <v>175</v>
      </c>
      <c r="P1" s="555" t="s">
        <v>176</v>
      </c>
      <c r="Q1" s="555" t="s">
        <v>177</v>
      </c>
      <c r="R1" s="555" t="s">
        <v>178</v>
      </c>
      <c r="S1" s="555" t="s">
        <v>179</v>
      </c>
      <c r="T1" s="555" t="s">
        <v>180</v>
      </c>
      <c r="U1" s="555" t="s">
        <v>181</v>
      </c>
      <c r="V1" s="555" t="s">
        <v>182</v>
      </c>
      <c r="W1" s="555" t="s">
        <v>183</v>
      </c>
      <c r="X1" s="555" t="s">
        <v>563</v>
      </c>
      <c r="Y1" s="555" t="s">
        <v>564</v>
      </c>
      <c r="Z1" s="555" t="s">
        <v>565</v>
      </c>
      <c r="AA1" s="555" t="s">
        <v>566</v>
      </c>
      <c r="AB1" s="555" t="s">
        <v>567</v>
      </c>
      <c r="AC1" s="555" t="s">
        <v>568</v>
      </c>
      <c r="AD1" s="555" t="s">
        <v>569</v>
      </c>
      <c r="AE1" s="555" t="s">
        <v>570</v>
      </c>
      <c r="AF1" s="555" t="s">
        <v>571</v>
      </c>
      <c r="AG1" s="555" t="s">
        <v>189</v>
      </c>
      <c r="AH1" s="555" t="s">
        <v>572</v>
      </c>
      <c r="AI1" s="555" t="s">
        <v>196</v>
      </c>
      <c r="AJ1" s="555" t="s">
        <v>573</v>
      </c>
      <c r="AK1" s="555" t="s">
        <v>574</v>
      </c>
      <c r="AL1" s="555" t="s">
        <v>575</v>
      </c>
      <c r="AM1" s="555" t="s">
        <v>576</v>
      </c>
      <c r="AN1" s="555" t="s">
        <v>577</v>
      </c>
      <c r="AO1" s="555" t="s">
        <v>578</v>
      </c>
      <c r="AP1" s="581" t="s">
        <v>5901</v>
      </c>
      <c r="AQ1" s="72" t="s">
        <v>211</v>
      </c>
    </row>
    <row r="2" spans="1:43" ht="30">
      <c r="A2" s="73" t="s">
        <v>47</v>
      </c>
      <c r="B2" s="73" t="s">
        <v>468</v>
      </c>
      <c r="C2" s="73" t="s">
        <v>1059</v>
      </c>
      <c r="D2" s="47" t="s">
        <v>89</v>
      </c>
      <c r="E2" s="383" t="s">
        <v>259</v>
      </c>
      <c r="F2" s="47">
        <v>16.391200000000001</v>
      </c>
      <c r="G2" s="47">
        <v>122.211</v>
      </c>
      <c r="H2" s="47" t="str">
        <f t="shared" ref="H2:H32" si="0">CONCATENATE(F2,",",G2)</f>
        <v>16.3912,122.211</v>
      </c>
      <c r="I2" s="47" t="s">
        <v>123</v>
      </c>
      <c r="J2" s="540" t="s">
        <v>92</v>
      </c>
      <c r="K2" s="47" t="s">
        <v>335</v>
      </c>
      <c r="L2" s="47" t="s">
        <v>5902</v>
      </c>
      <c r="M2" s="47" t="s">
        <v>128</v>
      </c>
      <c r="N2" s="276" t="s">
        <v>5903</v>
      </c>
      <c r="O2" s="48">
        <v>46042</v>
      </c>
      <c r="P2" s="48">
        <v>46043</v>
      </c>
      <c r="Q2" s="48">
        <v>46043</v>
      </c>
      <c r="R2" s="48">
        <v>46043</v>
      </c>
      <c r="S2" s="48">
        <v>46045</v>
      </c>
      <c r="T2" s="259">
        <f t="shared" ref="T2:T25" si="1">IF(
    OR(ISBLANK(O2), ISBLANK(P2)),
    "",
    MAX(1, IF(
        NETWORKDAYS(O2, P2) &lt;= 0,
        1,
        NETWORKDAYS(O2, P2) - IF(O2 = P2, 0, 1)
    ))
)</f>
        <v>1</v>
      </c>
      <c r="U2" s="259">
        <f t="shared" ref="U2:U25" si="2">IF(
    OR(ISBLANK(P2), ISBLANK(Q2)),
    "",
    MAX(1, IF(
        NETWORKDAYS(P2, Q2) &lt;= 0,
        1,
        NETWORKDAYS(P2, Q2) - IF(P2 = Q2, 0, 1)
    ))
)</f>
        <v>1</v>
      </c>
      <c r="V2" s="259">
        <f t="shared" ref="V2:V25" si="3">IF(
    OR(ISBLANK(P2), ISBLANK(R2)),
    "",
    MAX(1, IF(
        NETWORKDAYS(P2, R2) &lt;= 0,
        1,
        NETWORKDAYS(P2, R2) - IF(P2 = R2, 0, 1)
    ))
)</f>
        <v>1</v>
      </c>
      <c r="W2" s="259">
        <f t="shared" ref="W2:W25" si="4">IF(
    OR(ISBLANK(R2), ISBLANK(S2)),
    "",
    MAX(1, IF(
        NETWORKDAYS(R2, S2) &lt;= 0,
        1,
        NETWORKDAYS(R2, S2) - IF(R2 = S2, 0, 1)
    ))
)</f>
        <v>2</v>
      </c>
      <c r="X2" s="6" t="s">
        <v>219</v>
      </c>
      <c r="Y2" s="47">
        <v>11</v>
      </c>
      <c r="Z2" s="73" t="s">
        <v>5904</v>
      </c>
      <c r="AA2" s="73" t="s">
        <v>623</v>
      </c>
      <c r="AB2" s="47" t="s">
        <v>599</v>
      </c>
      <c r="AC2" s="47" t="s">
        <v>599</v>
      </c>
      <c r="AD2" s="272" t="s">
        <v>599</v>
      </c>
      <c r="AE2" s="47" t="s">
        <v>101</v>
      </c>
      <c r="AF2" s="47"/>
      <c r="AG2" s="73"/>
      <c r="AH2" s="73"/>
      <c r="AI2" s="47"/>
      <c r="AJ2" s="47"/>
      <c r="AK2" s="47"/>
      <c r="AL2" s="47"/>
      <c r="AM2" s="47"/>
      <c r="AN2" s="73"/>
      <c r="AO2" s="47"/>
      <c r="AP2" s="582"/>
      <c r="AQ2" s="575" t="s">
        <v>5905</v>
      </c>
    </row>
    <row r="3" spans="1:43" ht="30">
      <c r="A3" s="6" t="s">
        <v>49</v>
      </c>
      <c r="B3" s="6" t="s">
        <v>497</v>
      </c>
      <c r="C3" s="6" t="s">
        <v>926</v>
      </c>
      <c r="D3" s="9" t="s">
        <v>88</v>
      </c>
      <c r="E3" s="39" t="s">
        <v>402</v>
      </c>
      <c r="F3" s="9">
        <v>14.824199999999999</v>
      </c>
      <c r="G3" s="9">
        <v>120.88</v>
      </c>
      <c r="H3" s="9" t="str">
        <f t="shared" si="0"/>
        <v>14.8242,120.88</v>
      </c>
      <c r="I3" s="9" t="s">
        <v>123</v>
      </c>
      <c r="J3" s="274" t="s">
        <v>92</v>
      </c>
      <c r="K3" s="9" t="s">
        <v>135</v>
      </c>
      <c r="L3" s="9"/>
      <c r="M3" s="9" t="s">
        <v>128</v>
      </c>
      <c r="N3" s="9" t="s">
        <v>5906</v>
      </c>
      <c r="O3" s="22">
        <v>46035</v>
      </c>
      <c r="P3" s="22">
        <v>46036</v>
      </c>
      <c r="Q3" s="22"/>
      <c r="R3" s="22">
        <v>46043</v>
      </c>
      <c r="S3" s="22">
        <v>46043</v>
      </c>
      <c r="T3" s="24">
        <f t="shared" si="1"/>
        <v>1</v>
      </c>
      <c r="U3" s="24" t="str">
        <f t="shared" si="2"/>
        <v/>
      </c>
      <c r="V3" s="24">
        <f t="shared" si="3"/>
        <v>5</v>
      </c>
      <c r="W3" s="24">
        <f t="shared" si="4"/>
        <v>1</v>
      </c>
      <c r="X3" s="6" t="s">
        <v>219</v>
      </c>
      <c r="Y3" s="9">
        <v>14</v>
      </c>
      <c r="Z3" s="6" t="s">
        <v>5907</v>
      </c>
      <c r="AA3" s="6" t="s">
        <v>619</v>
      </c>
      <c r="AB3" s="9">
        <v>8350</v>
      </c>
      <c r="AC3" s="9">
        <v>60000</v>
      </c>
      <c r="AD3" s="272">
        <v>0.1391</v>
      </c>
      <c r="AE3" s="9" t="s">
        <v>101</v>
      </c>
      <c r="AF3" s="9"/>
      <c r="AG3" s="6"/>
      <c r="AH3" s="6"/>
      <c r="AI3" s="9"/>
      <c r="AJ3" s="9"/>
      <c r="AK3" s="9"/>
      <c r="AL3" s="9"/>
      <c r="AM3" s="9"/>
      <c r="AN3" s="6"/>
      <c r="AO3" s="9"/>
      <c r="AP3" s="583"/>
      <c r="AQ3" s="575" t="s">
        <v>5908</v>
      </c>
    </row>
    <row r="4" spans="1:43" ht="35.25" customHeight="1">
      <c r="A4" s="6" t="s">
        <v>50</v>
      </c>
      <c r="B4" s="6" t="s">
        <v>1335</v>
      </c>
      <c r="C4" s="6" t="s">
        <v>1052</v>
      </c>
      <c r="D4" s="9" t="s">
        <v>88</v>
      </c>
      <c r="E4" s="39" t="s">
        <v>213</v>
      </c>
      <c r="F4" s="9">
        <v>15.5624</v>
      </c>
      <c r="G4" s="9">
        <v>121.098</v>
      </c>
      <c r="H4" s="9" t="str">
        <f t="shared" si="0"/>
        <v>15.5624,121.098</v>
      </c>
      <c r="I4" s="9" t="s">
        <v>123</v>
      </c>
      <c r="J4" s="274" t="s">
        <v>92</v>
      </c>
      <c r="K4" s="9" t="s">
        <v>26</v>
      </c>
      <c r="L4" s="9"/>
      <c r="M4" s="9" t="s">
        <v>130</v>
      </c>
      <c r="N4" s="276" t="s">
        <v>5909</v>
      </c>
      <c r="O4" s="22">
        <v>46042</v>
      </c>
      <c r="P4" s="22">
        <v>46044</v>
      </c>
      <c r="Q4" s="22"/>
      <c r="R4" s="22">
        <v>46044</v>
      </c>
      <c r="S4" s="22">
        <v>46045</v>
      </c>
      <c r="T4" s="24">
        <f t="shared" si="1"/>
        <v>2</v>
      </c>
      <c r="U4" s="24" t="str">
        <f t="shared" si="2"/>
        <v/>
      </c>
      <c r="V4" s="24">
        <f t="shared" si="3"/>
        <v>1</v>
      </c>
      <c r="W4" s="24">
        <f t="shared" si="4"/>
        <v>1</v>
      </c>
      <c r="X4" s="6" t="s">
        <v>219</v>
      </c>
      <c r="Y4" s="9">
        <v>19</v>
      </c>
      <c r="Z4" s="6" t="s">
        <v>5910</v>
      </c>
      <c r="AA4" s="6" t="s">
        <v>5911</v>
      </c>
      <c r="AB4" s="277">
        <v>7982.03</v>
      </c>
      <c r="AC4" s="277">
        <v>15482.03</v>
      </c>
      <c r="AD4" s="272">
        <f>AB4/AC4</f>
        <v>0.51556740298268378</v>
      </c>
      <c r="AE4" s="9" t="s">
        <v>101</v>
      </c>
      <c r="AF4" s="6"/>
      <c r="AG4" s="6"/>
      <c r="AH4" s="6"/>
      <c r="AI4" s="9"/>
      <c r="AJ4" s="9"/>
      <c r="AK4" s="9"/>
      <c r="AL4" s="9"/>
      <c r="AM4" s="9"/>
      <c r="AN4" s="6"/>
      <c r="AO4" s="9"/>
      <c r="AP4" s="583"/>
      <c r="AQ4" s="575" t="s">
        <v>5912</v>
      </c>
    </row>
    <row r="5" spans="1:43" ht="21" customHeight="1">
      <c r="A5" s="6" t="s">
        <v>51</v>
      </c>
      <c r="B5" s="6" t="s">
        <v>5913</v>
      </c>
      <c r="C5" s="6" t="s">
        <v>946</v>
      </c>
      <c r="D5" s="9" t="s">
        <v>88</v>
      </c>
      <c r="E5" s="39" t="s">
        <v>213</v>
      </c>
      <c r="F5" s="9">
        <v>15.082090000000001</v>
      </c>
      <c r="G5" s="9">
        <v>120.61205</v>
      </c>
      <c r="H5" s="9" t="str">
        <f t="shared" si="0"/>
        <v>15.08209,120.61205</v>
      </c>
      <c r="I5" s="9" t="s">
        <v>123</v>
      </c>
      <c r="J5" s="274" t="s">
        <v>92</v>
      </c>
      <c r="K5" s="9" t="s">
        <v>33</v>
      </c>
      <c r="L5" s="9"/>
      <c r="M5" s="9" t="s">
        <v>239</v>
      </c>
      <c r="N5" s="9" t="s">
        <v>5914</v>
      </c>
      <c r="O5" s="22">
        <v>46035</v>
      </c>
      <c r="P5" s="22">
        <v>46038</v>
      </c>
      <c r="Q5" s="22"/>
      <c r="R5" s="22">
        <v>46042</v>
      </c>
      <c r="S5" s="22">
        <v>46043</v>
      </c>
      <c r="T5" s="24">
        <f t="shared" si="1"/>
        <v>3</v>
      </c>
      <c r="U5" s="24" t="str">
        <f t="shared" si="2"/>
        <v/>
      </c>
      <c r="V5" s="24">
        <f t="shared" si="3"/>
        <v>2</v>
      </c>
      <c r="W5" s="24">
        <f t="shared" si="4"/>
        <v>1</v>
      </c>
      <c r="X5" s="6" t="s">
        <v>219</v>
      </c>
      <c r="Y5" s="9">
        <v>35</v>
      </c>
      <c r="Z5" s="6" t="s">
        <v>5915</v>
      </c>
      <c r="AA5" s="6" t="s">
        <v>5916</v>
      </c>
      <c r="AB5" s="6" t="s">
        <v>599</v>
      </c>
      <c r="AC5" s="44">
        <v>160663.70000000001</v>
      </c>
      <c r="AD5" s="272" t="s">
        <v>599</v>
      </c>
      <c r="AE5" s="9" t="s">
        <v>101</v>
      </c>
      <c r="AF5" s="9"/>
      <c r="AG5" s="6" t="s">
        <v>5917</v>
      </c>
      <c r="AH5" s="6" t="s">
        <v>5918</v>
      </c>
      <c r="AI5" s="9"/>
      <c r="AJ5" s="9"/>
      <c r="AK5" s="9"/>
      <c r="AL5" s="9"/>
      <c r="AM5" s="9"/>
      <c r="AN5" s="6"/>
      <c r="AO5" s="9"/>
      <c r="AP5" s="583"/>
      <c r="AQ5" s="575" t="s">
        <v>5919</v>
      </c>
    </row>
    <row r="6" spans="1:43" ht="24" customHeight="1">
      <c r="A6" s="6" t="s">
        <v>52</v>
      </c>
      <c r="B6" s="6" t="s">
        <v>324</v>
      </c>
      <c r="C6" s="6" t="s">
        <v>1006</v>
      </c>
      <c r="D6" s="9" t="s">
        <v>89</v>
      </c>
      <c r="E6" s="7" t="s">
        <v>243</v>
      </c>
      <c r="F6" s="9">
        <v>15.7326</v>
      </c>
      <c r="G6" s="9">
        <v>120.584</v>
      </c>
      <c r="H6" s="9" t="str">
        <f t="shared" si="0"/>
        <v>15.7326,120.584</v>
      </c>
      <c r="I6" s="9" t="s">
        <v>123</v>
      </c>
      <c r="J6" s="274" t="s">
        <v>92</v>
      </c>
      <c r="K6" s="9" t="s">
        <v>37</v>
      </c>
      <c r="L6" s="9"/>
      <c r="M6" s="9" t="s">
        <v>28</v>
      </c>
      <c r="N6" s="9" t="s">
        <v>5920</v>
      </c>
      <c r="O6" s="22">
        <v>46037</v>
      </c>
      <c r="P6" s="22">
        <v>46037</v>
      </c>
      <c r="Q6" s="22"/>
      <c r="R6" s="22">
        <v>46042</v>
      </c>
      <c r="S6" s="22">
        <v>46042</v>
      </c>
      <c r="T6" s="24">
        <f t="shared" si="1"/>
        <v>1</v>
      </c>
      <c r="U6" s="24" t="str">
        <f t="shared" si="2"/>
        <v/>
      </c>
      <c r="V6" s="24">
        <f t="shared" si="3"/>
        <v>3</v>
      </c>
      <c r="W6" s="24">
        <f t="shared" si="4"/>
        <v>1</v>
      </c>
      <c r="X6" s="6" t="s">
        <v>219</v>
      </c>
      <c r="Y6" s="9">
        <v>37</v>
      </c>
      <c r="Z6" s="6" t="s">
        <v>5921</v>
      </c>
      <c r="AA6" s="6" t="s">
        <v>5922</v>
      </c>
      <c r="AB6" s="277">
        <v>33580</v>
      </c>
      <c r="AC6" s="277">
        <v>59045</v>
      </c>
      <c r="AD6" s="272">
        <v>0.56000000000000005</v>
      </c>
      <c r="AE6" s="9" t="s">
        <v>101</v>
      </c>
      <c r="AF6" s="9"/>
      <c r="AG6" s="6"/>
      <c r="AH6" s="6"/>
      <c r="AI6" s="9"/>
      <c r="AJ6" s="9"/>
      <c r="AK6" s="9"/>
      <c r="AL6" s="9"/>
      <c r="AM6" s="9"/>
      <c r="AN6" s="6"/>
      <c r="AO6" s="9"/>
      <c r="AP6" s="584"/>
      <c r="AQ6" s="575" t="s">
        <v>5923</v>
      </c>
    </row>
    <row r="7" spans="1:43" ht="15" customHeight="1">
      <c r="A7" s="6" t="s">
        <v>53</v>
      </c>
      <c r="B7" s="6" t="s">
        <v>546</v>
      </c>
      <c r="C7" s="6" t="s">
        <v>867</v>
      </c>
      <c r="D7" s="9" t="s">
        <v>89</v>
      </c>
      <c r="E7" s="32" t="s">
        <v>271</v>
      </c>
      <c r="F7" s="9">
        <v>15.598236</v>
      </c>
      <c r="G7" s="9">
        <v>119.974841</v>
      </c>
      <c r="H7" s="9" t="str">
        <f t="shared" si="0"/>
        <v>15.598236,119.974841</v>
      </c>
      <c r="I7" s="9" t="s">
        <v>123</v>
      </c>
      <c r="J7" s="274" t="s">
        <v>92</v>
      </c>
      <c r="K7" s="9" t="s">
        <v>42</v>
      </c>
      <c r="L7" s="9"/>
      <c r="M7" s="9" t="s">
        <v>133</v>
      </c>
      <c r="N7" s="9" t="s">
        <v>5924</v>
      </c>
      <c r="O7" s="22">
        <v>46036</v>
      </c>
      <c r="P7" s="22">
        <v>46038</v>
      </c>
      <c r="Q7" s="22"/>
      <c r="R7" s="22">
        <v>46040</v>
      </c>
      <c r="S7" s="22">
        <v>46041</v>
      </c>
      <c r="T7" s="24">
        <f t="shared" si="1"/>
        <v>2</v>
      </c>
      <c r="U7" s="24" t="str">
        <f t="shared" si="2"/>
        <v/>
      </c>
      <c r="V7" s="24">
        <f t="shared" si="3"/>
        <v>1</v>
      </c>
      <c r="W7" s="24">
        <f t="shared" si="4"/>
        <v>1</v>
      </c>
      <c r="X7" s="6" t="s">
        <v>219</v>
      </c>
      <c r="Y7" s="9">
        <v>16</v>
      </c>
      <c r="Z7" s="6" t="s">
        <v>5925</v>
      </c>
      <c r="AA7" s="6" t="s">
        <v>5926</v>
      </c>
      <c r="AB7" s="6" t="s">
        <v>599</v>
      </c>
      <c r="AC7" s="6" t="s">
        <v>599</v>
      </c>
      <c r="AD7" s="272" t="s">
        <v>599</v>
      </c>
      <c r="AE7" s="9" t="s">
        <v>101</v>
      </c>
      <c r="AF7" s="9"/>
      <c r="AG7" s="6"/>
      <c r="AH7" s="6"/>
      <c r="AI7" s="9"/>
      <c r="AJ7" s="9"/>
      <c r="AK7" s="9"/>
      <c r="AL7" s="9"/>
      <c r="AM7" s="9"/>
      <c r="AN7" s="6"/>
      <c r="AO7" s="9"/>
      <c r="AP7" s="71"/>
      <c r="AQ7" s="575" t="s">
        <v>5927</v>
      </c>
    </row>
    <row r="8" spans="1:43" ht="28.5" customHeight="1">
      <c r="A8" s="6" t="s">
        <v>48</v>
      </c>
      <c r="B8" s="6" t="s">
        <v>905</v>
      </c>
      <c r="C8" s="6" t="s">
        <v>1061</v>
      </c>
      <c r="D8" s="9" t="s">
        <v>88</v>
      </c>
      <c r="E8" s="39" t="s">
        <v>271</v>
      </c>
      <c r="F8" s="9">
        <v>14.678100000000001</v>
      </c>
      <c r="G8" s="9">
        <v>120.477</v>
      </c>
      <c r="H8" s="9" t="str">
        <f t="shared" si="0"/>
        <v>14.6781,120.477</v>
      </c>
      <c r="I8" s="9" t="s">
        <v>123</v>
      </c>
      <c r="J8" s="9" t="s">
        <v>62</v>
      </c>
      <c r="K8" s="9" t="s">
        <v>273</v>
      </c>
      <c r="L8" s="9"/>
      <c r="M8" s="9" t="s">
        <v>129</v>
      </c>
      <c r="N8" s="9" t="s">
        <v>5928</v>
      </c>
      <c r="O8" s="22">
        <v>46057</v>
      </c>
      <c r="P8" s="22">
        <v>46061</v>
      </c>
      <c r="Q8" s="22"/>
      <c r="R8" s="22">
        <v>46062</v>
      </c>
      <c r="S8" s="22">
        <v>46062</v>
      </c>
      <c r="T8" s="24">
        <f t="shared" si="1"/>
        <v>2</v>
      </c>
      <c r="U8" s="24" t="str">
        <f t="shared" si="2"/>
        <v/>
      </c>
      <c r="V8" s="24">
        <f t="shared" si="3"/>
        <v>1</v>
      </c>
      <c r="W8" s="24">
        <f t="shared" si="4"/>
        <v>1</v>
      </c>
      <c r="X8" s="6" t="s">
        <v>219</v>
      </c>
      <c r="Y8" s="9">
        <v>25</v>
      </c>
      <c r="Z8" s="6" t="s">
        <v>5929</v>
      </c>
      <c r="AA8" s="6" t="s">
        <v>623</v>
      </c>
      <c r="AB8" s="44">
        <v>24281.55</v>
      </c>
      <c r="AC8" s="44">
        <v>46893.23</v>
      </c>
      <c r="AD8" s="272">
        <v>0.51780000000000004</v>
      </c>
      <c r="AE8" s="9" t="s">
        <v>101</v>
      </c>
      <c r="AF8" s="9"/>
      <c r="AG8" s="6"/>
      <c r="AH8" s="6"/>
      <c r="AI8" s="9"/>
      <c r="AJ8" s="9"/>
      <c r="AK8" s="9"/>
      <c r="AL8" s="9"/>
      <c r="AM8" s="9"/>
      <c r="AN8" s="6"/>
      <c r="AO8" s="9"/>
      <c r="AP8" s="583"/>
      <c r="AQ8" s="575" t="s">
        <v>5930</v>
      </c>
    </row>
    <row r="9" spans="1:43" s="257" customFormat="1" ht="28.5" customHeight="1">
      <c r="A9" s="6" t="s">
        <v>49</v>
      </c>
      <c r="B9" s="6" t="s">
        <v>5931</v>
      </c>
      <c r="C9" s="6" t="s">
        <v>1029</v>
      </c>
      <c r="D9" s="9" t="s">
        <v>88</v>
      </c>
      <c r="E9" s="39" t="s">
        <v>243</v>
      </c>
      <c r="F9" s="9">
        <v>14.8081</v>
      </c>
      <c r="G9" s="9">
        <v>120.84439999999999</v>
      </c>
      <c r="H9" s="9" t="str">
        <f>CONCATENATE(F9,",",G9)</f>
        <v>14.8081,120.8444</v>
      </c>
      <c r="I9" s="9" t="s">
        <v>123</v>
      </c>
      <c r="J9" s="9" t="s">
        <v>62</v>
      </c>
      <c r="K9" s="9" t="s">
        <v>344</v>
      </c>
      <c r="L9" s="9"/>
      <c r="M9" s="9" t="s">
        <v>128</v>
      </c>
      <c r="N9" s="9" t="s">
        <v>5932</v>
      </c>
      <c r="O9" s="22">
        <v>46064</v>
      </c>
      <c r="P9" s="22">
        <v>46066</v>
      </c>
      <c r="Q9" s="22"/>
      <c r="R9" s="22">
        <v>46067</v>
      </c>
      <c r="S9" s="22">
        <v>46069</v>
      </c>
      <c r="T9" s="24">
        <f t="shared" si="1"/>
        <v>2</v>
      </c>
      <c r="U9" s="24" t="str">
        <f t="shared" si="2"/>
        <v/>
      </c>
      <c r="V9" s="24">
        <f t="shared" si="3"/>
        <v>1</v>
      </c>
      <c r="W9" s="24">
        <f t="shared" si="4"/>
        <v>1</v>
      </c>
      <c r="X9" s="9"/>
      <c r="Y9" s="9"/>
      <c r="Z9" s="6" t="s">
        <v>5933</v>
      </c>
      <c r="AA9" s="6" t="s">
        <v>5922</v>
      </c>
      <c r="AB9" s="66">
        <v>900</v>
      </c>
      <c r="AC9" s="9">
        <v>85000</v>
      </c>
      <c r="AD9" s="272">
        <v>1.0500000000000001E-2</v>
      </c>
      <c r="AE9" s="9" t="s">
        <v>101</v>
      </c>
      <c r="AF9" s="9"/>
      <c r="AG9" s="6"/>
      <c r="AH9" s="6"/>
      <c r="AI9" s="9"/>
      <c r="AJ9" s="9"/>
      <c r="AK9" s="9"/>
      <c r="AL9" s="9"/>
      <c r="AM9" s="9"/>
      <c r="AN9" s="6"/>
      <c r="AO9" s="9"/>
      <c r="AP9" s="71"/>
      <c r="AQ9" s="629" t="s">
        <v>5934</v>
      </c>
    </row>
    <row r="10" spans="1:43" ht="28.5" customHeight="1">
      <c r="A10" s="6" t="s">
        <v>50</v>
      </c>
      <c r="B10" s="6" t="s">
        <v>5935</v>
      </c>
      <c r="C10" s="6" t="s">
        <v>1070</v>
      </c>
      <c r="D10" s="9" t="s">
        <v>88</v>
      </c>
      <c r="E10" s="39" t="s">
        <v>271</v>
      </c>
      <c r="F10" s="9">
        <v>15.956899999999999</v>
      </c>
      <c r="G10" s="9">
        <v>121.078</v>
      </c>
      <c r="H10" s="9" t="str">
        <f>CONCATENATE(F10,",",G10)</f>
        <v>15.9569,121.078</v>
      </c>
      <c r="I10" s="9" t="s">
        <v>123</v>
      </c>
      <c r="J10" s="9" t="s">
        <v>62</v>
      </c>
      <c r="K10" s="9" t="s">
        <v>29</v>
      </c>
      <c r="L10" s="9"/>
      <c r="M10" s="9" t="s">
        <v>130</v>
      </c>
      <c r="N10" s="9" t="s">
        <v>5936</v>
      </c>
      <c r="O10" s="22">
        <v>46055</v>
      </c>
      <c r="P10" s="22">
        <v>46059</v>
      </c>
      <c r="Q10" s="22"/>
      <c r="R10" s="22">
        <v>46062</v>
      </c>
      <c r="S10" s="22">
        <v>46063</v>
      </c>
      <c r="T10" s="24">
        <f t="shared" si="1"/>
        <v>4</v>
      </c>
      <c r="U10" s="24" t="str">
        <f t="shared" si="2"/>
        <v/>
      </c>
      <c r="V10" s="24">
        <f t="shared" si="3"/>
        <v>1</v>
      </c>
      <c r="W10" s="24">
        <f t="shared" si="4"/>
        <v>1</v>
      </c>
      <c r="X10" s="6" t="s">
        <v>219</v>
      </c>
      <c r="Y10" s="9">
        <v>17</v>
      </c>
      <c r="Z10" s="6" t="s">
        <v>5937</v>
      </c>
      <c r="AA10" s="6" t="s">
        <v>623</v>
      </c>
      <c r="AB10" s="9">
        <v>131</v>
      </c>
      <c r="AC10" s="66">
        <v>10924</v>
      </c>
      <c r="AD10" s="272">
        <v>1.1900000000000001E-2</v>
      </c>
      <c r="AE10" s="9" t="s">
        <v>101</v>
      </c>
      <c r="AF10" s="9"/>
      <c r="AG10" s="6"/>
      <c r="AH10" s="6"/>
      <c r="AI10" s="9"/>
      <c r="AJ10" s="9"/>
      <c r="AK10" s="9"/>
      <c r="AL10" s="9"/>
      <c r="AM10" s="9"/>
      <c r="AN10" s="6"/>
      <c r="AO10" s="9"/>
      <c r="AP10" s="71"/>
      <c r="AQ10" s="575" t="s">
        <v>5938</v>
      </c>
    </row>
    <row r="11" spans="1:43" ht="28.5" customHeight="1">
      <c r="A11" s="6" t="s">
        <v>50</v>
      </c>
      <c r="B11" s="6" t="s">
        <v>410</v>
      </c>
      <c r="C11" s="6" t="s">
        <v>5939</v>
      </c>
      <c r="D11" s="9" t="s">
        <v>88</v>
      </c>
      <c r="E11" s="39" t="s">
        <v>243</v>
      </c>
      <c r="F11" s="9">
        <v>15.54444</v>
      </c>
      <c r="G11" s="9">
        <v>120.80889000000001</v>
      </c>
      <c r="H11" s="9" t="str">
        <f>CONCATENATE(F11,",",G11)</f>
        <v>15.54444,120.80889</v>
      </c>
      <c r="I11" s="9" t="s">
        <v>123</v>
      </c>
      <c r="J11" s="9" t="s">
        <v>62</v>
      </c>
      <c r="K11" s="9" t="s">
        <v>140</v>
      </c>
      <c r="L11" s="9"/>
      <c r="M11" s="9" t="s">
        <v>130</v>
      </c>
      <c r="N11" s="9" t="s">
        <v>5940</v>
      </c>
      <c r="O11" s="22">
        <v>46065</v>
      </c>
      <c r="P11" s="22">
        <v>46066</v>
      </c>
      <c r="Q11" s="22"/>
      <c r="R11" s="22">
        <v>46071</v>
      </c>
      <c r="S11" s="22">
        <v>46071</v>
      </c>
      <c r="T11" s="24">
        <f t="shared" si="1"/>
        <v>1</v>
      </c>
      <c r="U11" s="24" t="str">
        <f t="shared" si="2"/>
        <v/>
      </c>
      <c r="V11" s="24">
        <f t="shared" si="3"/>
        <v>3</v>
      </c>
      <c r="W11" s="24">
        <f t="shared" si="4"/>
        <v>1</v>
      </c>
      <c r="X11" s="6" t="s">
        <v>219</v>
      </c>
      <c r="Y11" s="9">
        <v>16</v>
      </c>
      <c r="Z11" s="6" t="s">
        <v>5941</v>
      </c>
      <c r="AA11" s="6" t="s">
        <v>5922</v>
      </c>
      <c r="AB11" s="6" t="s">
        <v>599</v>
      </c>
      <c r="AC11" s="6" t="s">
        <v>599</v>
      </c>
      <c r="AD11" s="272" t="s">
        <v>599</v>
      </c>
      <c r="AE11" s="9" t="s">
        <v>101</v>
      </c>
      <c r="AF11" s="9"/>
      <c r="AG11" s="6"/>
      <c r="AH11" s="6" t="s">
        <v>5942</v>
      </c>
      <c r="AI11" s="9"/>
      <c r="AJ11" s="9"/>
      <c r="AK11" s="9"/>
      <c r="AL11" s="9"/>
      <c r="AM11" s="9"/>
      <c r="AN11" s="6"/>
      <c r="AO11" s="9"/>
      <c r="AP11" s="71"/>
      <c r="AQ11" s="575" t="s">
        <v>5943</v>
      </c>
    </row>
    <row r="12" spans="1:43" ht="28.5" customHeight="1">
      <c r="A12" s="6" t="s">
        <v>51</v>
      </c>
      <c r="B12" s="6" t="s">
        <v>537</v>
      </c>
      <c r="C12" s="6" t="s">
        <v>1033</v>
      </c>
      <c r="D12" s="9" t="s">
        <v>88</v>
      </c>
      <c r="E12" s="7" t="s">
        <v>213</v>
      </c>
      <c r="F12" s="9">
        <v>15.1351</v>
      </c>
      <c r="G12" s="9">
        <v>120.65</v>
      </c>
      <c r="H12" s="9" t="str">
        <f t="shared" si="0"/>
        <v>15.1351,120.65</v>
      </c>
      <c r="I12" s="9" t="s">
        <v>123</v>
      </c>
      <c r="J12" s="9" t="s">
        <v>62</v>
      </c>
      <c r="K12" s="9" t="s">
        <v>32</v>
      </c>
      <c r="L12" s="9"/>
      <c r="M12" s="9" t="s">
        <v>133</v>
      </c>
      <c r="N12" s="9" t="s">
        <v>5944</v>
      </c>
      <c r="O12" s="22">
        <v>46055</v>
      </c>
      <c r="P12" s="22">
        <v>46058</v>
      </c>
      <c r="Q12" s="22"/>
      <c r="R12" s="22">
        <v>46062</v>
      </c>
      <c r="S12" s="22">
        <v>46063</v>
      </c>
      <c r="T12" s="24">
        <f t="shared" si="1"/>
        <v>3</v>
      </c>
      <c r="U12" s="24" t="str">
        <f t="shared" si="2"/>
        <v/>
      </c>
      <c r="V12" s="24">
        <f t="shared" si="3"/>
        <v>2</v>
      </c>
      <c r="W12" s="24">
        <f t="shared" si="4"/>
        <v>1</v>
      </c>
      <c r="X12" s="6" t="s">
        <v>219</v>
      </c>
      <c r="Y12" s="9">
        <v>43</v>
      </c>
      <c r="Z12" s="6" t="s">
        <v>5929</v>
      </c>
      <c r="AA12" s="6" t="s">
        <v>5922</v>
      </c>
      <c r="AB12" s="9">
        <v>1526.89</v>
      </c>
      <c r="AC12" s="9">
        <v>1766.29</v>
      </c>
      <c r="AD12" s="272">
        <v>2.01E-2</v>
      </c>
      <c r="AE12" s="9" t="s">
        <v>101</v>
      </c>
      <c r="AF12" s="9"/>
      <c r="AG12" s="6"/>
      <c r="AH12" s="6"/>
      <c r="AI12" s="9"/>
      <c r="AJ12" s="7"/>
      <c r="AK12" s="9"/>
      <c r="AL12" s="6" t="s">
        <v>5945</v>
      </c>
      <c r="AM12" s="9"/>
      <c r="AN12" s="6"/>
      <c r="AO12" s="9"/>
      <c r="AP12" s="583"/>
      <c r="AQ12" s="575" t="s">
        <v>5946</v>
      </c>
    </row>
    <row r="13" spans="1:43" ht="28.5" customHeight="1">
      <c r="A13" s="6" t="s">
        <v>52</v>
      </c>
      <c r="B13" s="6" t="s">
        <v>250</v>
      </c>
      <c r="C13" s="6" t="s">
        <v>5947</v>
      </c>
      <c r="D13" s="9" t="s">
        <v>88</v>
      </c>
      <c r="E13" s="7" t="s">
        <v>213</v>
      </c>
      <c r="F13" s="9">
        <v>15.3026</v>
      </c>
      <c r="G13" s="9">
        <v>120.652</v>
      </c>
      <c r="H13" s="9" t="str">
        <f t="shared" si="0"/>
        <v>15.3026,120.652</v>
      </c>
      <c r="I13" s="9" t="s">
        <v>123</v>
      </c>
      <c r="J13" s="9" t="s">
        <v>62</v>
      </c>
      <c r="K13" s="9" t="s">
        <v>39</v>
      </c>
      <c r="L13" s="9"/>
      <c r="M13" s="9" t="s">
        <v>28</v>
      </c>
      <c r="N13" s="46" t="s">
        <v>5948</v>
      </c>
      <c r="O13" s="22">
        <v>46037</v>
      </c>
      <c r="P13" s="22">
        <v>46037</v>
      </c>
      <c r="Q13" s="22"/>
      <c r="R13" s="22">
        <v>46051</v>
      </c>
      <c r="S13" s="22">
        <v>46055</v>
      </c>
      <c r="T13" s="24">
        <f t="shared" si="1"/>
        <v>1</v>
      </c>
      <c r="U13" s="24" t="str">
        <f t="shared" si="2"/>
        <v/>
      </c>
      <c r="V13" s="24">
        <f t="shared" si="3"/>
        <v>10</v>
      </c>
      <c r="W13" s="24">
        <f t="shared" si="4"/>
        <v>2</v>
      </c>
      <c r="X13" s="6" t="s">
        <v>219</v>
      </c>
      <c r="Y13" s="9">
        <v>45</v>
      </c>
      <c r="Z13" s="6" t="s">
        <v>5949</v>
      </c>
      <c r="AA13" s="6" t="s">
        <v>5922</v>
      </c>
      <c r="AB13" s="9">
        <v>266</v>
      </c>
      <c r="AC13" s="6">
        <v>89631.13</v>
      </c>
      <c r="AD13" s="272">
        <f>AB13/AC13</f>
        <v>2.9677189164077256E-3</v>
      </c>
      <c r="AE13" s="9" t="s">
        <v>101</v>
      </c>
      <c r="AF13" s="9"/>
      <c r="AG13" s="6"/>
      <c r="AH13" s="6"/>
      <c r="AI13" s="9"/>
      <c r="AJ13" s="9"/>
      <c r="AK13" s="9"/>
      <c r="AL13" s="9"/>
      <c r="AM13" s="9"/>
      <c r="AN13" s="6"/>
      <c r="AO13" s="9"/>
      <c r="AP13" s="583"/>
      <c r="AQ13" s="575" t="s">
        <v>5950</v>
      </c>
    </row>
    <row r="14" spans="1:43" ht="28.5" customHeight="1">
      <c r="A14" s="6" t="s">
        <v>53</v>
      </c>
      <c r="B14" s="6" t="s">
        <v>422</v>
      </c>
      <c r="C14" s="6" t="s">
        <v>858</v>
      </c>
      <c r="D14" s="9" t="s">
        <v>89</v>
      </c>
      <c r="E14" s="32" t="s">
        <v>271</v>
      </c>
      <c r="F14" s="9">
        <v>15.3963</v>
      </c>
      <c r="G14" s="9">
        <v>120.02500000000001</v>
      </c>
      <c r="H14" s="9" t="str">
        <f t="shared" si="0"/>
        <v>15.3963,120.025</v>
      </c>
      <c r="I14" s="9" t="s">
        <v>123</v>
      </c>
      <c r="J14" s="9" t="s">
        <v>62</v>
      </c>
      <c r="K14" s="9" t="s">
        <v>697</v>
      </c>
      <c r="L14" s="9"/>
      <c r="M14" s="71" t="s">
        <v>133</v>
      </c>
      <c r="N14" s="9" t="s">
        <v>5951</v>
      </c>
      <c r="O14" s="420">
        <v>46069</v>
      </c>
      <c r="P14" s="22">
        <v>46071</v>
      </c>
      <c r="Q14" s="22"/>
      <c r="R14" s="22">
        <v>46071</v>
      </c>
      <c r="S14" s="22">
        <v>46071</v>
      </c>
      <c r="T14" s="24">
        <f t="shared" si="1"/>
        <v>2</v>
      </c>
      <c r="U14" s="24" t="str">
        <f t="shared" si="2"/>
        <v/>
      </c>
      <c r="V14" s="24">
        <f t="shared" si="3"/>
        <v>1</v>
      </c>
      <c r="W14" s="24">
        <f t="shared" si="4"/>
        <v>1</v>
      </c>
      <c r="X14" s="6"/>
      <c r="Y14" s="9">
        <v>14</v>
      </c>
      <c r="Z14" s="6" t="s">
        <v>5952</v>
      </c>
      <c r="AA14" s="6" t="s">
        <v>5953</v>
      </c>
      <c r="AB14" s="9"/>
      <c r="AC14" s="9"/>
      <c r="AD14" s="272"/>
      <c r="AE14" s="9" t="s">
        <v>101</v>
      </c>
      <c r="AF14" s="9" t="s">
        <v>5954</v>
      </c>
      <c r="AG14" s="6"/>
      <c r="AH14" s="6"/>
      <c r="AI14" s="9"/>
      <c r="AJ14" s="9"/>
      <c r="AK14" s="9"/>
      <c r="AL14" s="9"/>
      <c r="AM14" s="9"/>
      <c r="AN14" s="6"/>
      <c r="AO14" s="9"/>
      <c r="AP14" s="583"/>
      <c r="AQ14" s="575" t="s">
        <v>5955</v>
      </c>
    </row>
    <row r="15" spans="1:43" ht="15" customHeight="1">
      <c r="A15" s="6" t="s">
        <v>49</v>
      </c>
      <c r="B15" s="6" t="s">
        <v>5956</v>
      </c>
      <c r="C15" s="6" t="s">
        <v>1066</v>
      </c>
      <c r="D15" s="9" t="s">
        <v>88</v>
      </c>
      <c r="E15" s="39" t="s">
        <v>224</v>
      </c>
      <c r="F15" s="9">
        <v>14.7743</v>
      </c>
      <c r="G15" s="9">
        <v>121.0086</v>
      </c>
      <c r="H15" s="9" t="str">
        <f t="shared" si="0"/>
        <v>14.7743,121.0086</v>
      </c>
      <c r="I15" s="9" t="s">
        <v>123</v>
      </c>
      <c r="J15" s="64" t="s">
        <v>45</v>
      </c>
      <c r="K15" s="9" t="s">
        <v>227</v>
      </c>
      <c r="L15" s="9"/>
      <c r="M15" s="71" t="s">
        <v>128</v>
      </c>
      <c r="N15" s="47"/>
      <c r="O15" s="420"/>
      <c r="P15" s="22"/>
      <c r="Q15" s="22"/>
      <c r="R15" s="22"/>
      <c r="S15" s="22"/>
      <c r="T15" s="24" t="str">
        <f t="shared" si="1"/>
        <v/>
      </c>
      <c r="U15" s="24" t="str">
        <f t="shared" si="2"/>
        <v/>
      </c>
      <c r="V15" s="24" t="str">
        <f t="shared" si="3"/>
        <v/>
      </c>
      <c r="W15" s="24" t="str">
        <f t="shared" si="4"/>
        <v/>
      </c>
      <c r="X15" s="9"/>
      <c r="Y15" s="9"/>
      <c r="Z15" s="6"/>
      <c r="AA15" s="6"/>
      <c r="AB15" s="9"/>
      <c r="AC15" s="9"/>
      <c r="AD15" s="272"/>
      <c r="AE15" s="9"/>
      <c r="AF15" s="9"/>
      <c r="AG15" s="6"/>
      <c r="AH15" s="6"/>
      <c r="AI15" s="9"/>
      <c r="AJ15" s="9"/>
      <c r="AK15" s="9"/>
      <c r="AL15" s="9"/>
      <c r="AM15" s="9"/>
      <c r="AN15" s="6"/>
      <c r="AO15" s="9"/>
      <c r="AP15" s="9"/>
    </row>
    <row r="16" spans="1:43" ht="48.75" customHeight="1">
      <c r="A16" s="6" t="s">
        <v>50</v>
      </c>
      <c r="B16" s="6" t="s">
        <v>1314</v>
      </c>
      <c r="C16" s="6" t="s">
        <v>520</v>
      </c>
      <c r="D16" s="9" t="s">
        <v>88</v>
      </c>
      <c r="E16" s="39" t="s">
        <v>213</v>
      </c>
      <c r="F16" s="9">
        <v>15.489699999999999</v>
      </c>
      <c r="G16" s="9">
        <v>120.994</v>
      </c>
      <c r="H16" s="9" t="str">
        <f t="shared" si="0"/>
        <v>15.4897,120.994</v>
      </c>
      <c r="I16" s="9" t="s">
        <v>123</v>
      </c>
      <c r="J16" s="64" t="s">
        <v>45</v>
      </c>
      <c r="K16" s="9" t="s">
        <v>141</v>
      </c>
      <c r="L16" s="9"/>
      <c r="M16" s="71" t="s">
        <v>130</v>
      </c>
      <c r="N16" s="9"/>
      <c r="O16" s="420"/>
      <c r="P16" s="22"/>
      <c r="Q16" s="22"/>
      <c r="R16" s="22"/>
      <c r="S16" s="22"/>
      <c r="T16" s="24" t="str">
        <f t="shared" si="1"/>
        <v/>
      </c>
      <c r="U16" s="24" t="str">
        <f t="shared" si="2"/>
        <v/>
      </c>
      <c r="V16" s="24" t="str">
        <f t="shared" si="3"/>
        <v/>
      </c>
      <c r="W16" s="24" t="str">
        <f t="shared" si="4"/>
        <v/>
      </c>
      <c r="X16" s="6"/>
      <c r="Y16" s="9"/>
      <c r="Z16" s="6"/>
      <c r="AA16" s="6"/>
      <c r="AB16" s="9"/>
      <c r="AC16" s="9"/>
      <c r="AD16" s="272"/>
      <c r="AE16" s="9"/>
      <c r="AF16" s="9"/>
      <c r="AG16" s="6"/>
      <c r="AH16" s="6"/>
      <c r="AI16" s="9"/>
      <c r="AJ16" s="9"/>
      <c r="AK16" s="9"/>
      <c r="AL16" s="9"/>
      <c r="AM16" s="9"/>
      <c r="AN16" s="6"/>
      <c r="AO16" s="9"/>
      <c r="AP16" s="271"/>
    </row>
    <row r="17" spans="1:42" ht="15" customHeight="1">
      <c r="A17" s="6" t="s">
        <v>50</v>
      </c>
      <c r="B17" s="6" t="s">
        <v>714</v>
      </c>
      <c r="C17" s="6" t="s">
        <v>5957</v>
      </c>
      <c r="D17" s="9" t="s">
        <v>88</v>
      </c>
      <c r="E17" s="39" t="s">
        <v>224</v>
      </c>
      <c r="F17" s="9">
        <v>15.309699999999999</v>
      </c>
      <c r="G17" s="9">
        <v>120.845</v>
      </c>
      <c r="H17" s="9" t="str">
        <f t="shared" si="0"/>
        <v>15.3097,120.845</v>
      </c>
      <c r="I17" s="9" t="s">
        <v>123</v>
      </c>
      <c r="J17" s="64" t="s">
        <v>45</v>
      </c>
      <c r="K17" s="9" t="s">
        <v>30</v>
      </c>
      <c r="L17" s="9"/>
      <c r="M17" s="71" t="s">
        <v>130</v>
      </c>
      <c r="N17" s="9"/>
      <c r="O17" s="420"/>
      <c r="P17" s="22"/>
      <c r="Q17" s="22"/>
      <c r="R17" s="22"/>
      <c r="S17" s="22"/>
      <c r="T17" s="24" t="str">
        <f t="shared" si="1"/>
        <v/>
      </c>
      <c r="U17" s="24" t="str">
        <f t="shared" si="2"/>
        <v/>
      </c>
      <c r="V17" s="24" t="str">
        <f t="shared" si="3"/>
        <v/>
      </c>
      <c r="W17" s="24" t="str">
        <f t="shared" si="4"/>
        <v/>
      </c>
      <c r="X17" s="9"/>
      <c r="Y17" s="9"/>
      <c r="Z17" s="6"/>
      <c r="AA17" s="6"/>
      <c r="AB17" s="9"/>
      <c r="AC17" s="9"/>
      <c r="AD17" s="272"/>
      <c r="AE17" s="9"/>
      <c r="AF17" s="9"/>
      <c r="AG17" s="6"/>
      <c r="AH17" s="6"/>
      <c r="AI17" s="9"/>
      <c r="AJ17" s="9"/>
      <c r="AK17" s="9"/>
      <c r="AL17" s="9"/>
      <c r="AM17" s="9"/>
      <c r="AN17" s="6"/>
      <c r="AO17" s="9"/>
      <c r="AP17" s="9"/>
    </row>
    <row r="18" spans="1:42" ht="15" customHeight="1">
      <c r="A18" s="6" t="s">
        <v>50</v>
      </c>
      <c r="B18" s="6" t="s">
        <v>3162</v>
      </c>
      <c r="C18" s="6" t="s">
        <v>1053</v>
      </c>
      <c r="D18" s="9" t="s">
        <v>88</v>
      </c>
      <c r="E18" s="39" t="s">
        <v>213</v>
      </c>
      <c r="F18" s="9">
        <v>15.76</v>
      </c>
      <c r="G18" s="9">
        <v>120.89700000000001</v>
      </c>
      <c r="H18" s="9" t="str">
        <f t="shared" si="0"/>
        <v>15.76,120.897</v>
      </c>
      <c r="I18" s="9" t="s">
        <v>123</v>
      </c>
      <c r="J18" s="64" t="s">
        <v>45</v>
      </c>
      <c r="K18" s="9" t="s">
        <v>29</v>
      </c>
      <c r="L18" s="9"/>
      <c r="M18" s="71" t="s">
        <v>130</v>
      </c>
      <c r="N18" s="9"/>
      <c r="O18" s="420"/>
      <c r="P18" s="22"/>
      <c r="Q18" s="22"/>
      <c r="R18" s="22"/>
      <c r="S18" s="22"/>
      <c r="T18" s="24" t="str">
        <f t="shared" si="1"/>
        <v/>
      </c>
      <c r="U18" s="24" t="str">
        <f t="shared" si="2"/>
        <v/>
      </c>
      <c r="V18" s="24" t="str">
        <f t="shared" si="3"/>
        <v/>
      </c>
      <c r="W18" s="24" t="str">
        <f t="shared" si="4"/>
        <v/>
      </c>
      <c r="X18" s="9"/>
      <c r="Y18" s="9"/>
      <c r="Z18" s="6"/>
      <c r="AA18" s="6"/>
      <c r="AB18" s="9"/>
      <c r="AC18" s="9"/>
      <c r="AD18" s="272"/>
      <c r="AE18" s="9"/>
      <c r="AF18" s="9"/>
      <c r="AG18" s="6"/>
      <c r="AH18" s="6"/>
      <c r="AI18" s="9"/>
      <c r="AJ18" s="9"/>
      <c r="AK18" s="9"/>
      <c r="AL18" s="9"/>
      <c r="AM18" s="9"/>
      <c r="AN18" s="6"/>
      <c r="AO18" s="9"/>
      <c r="AP18" s="9"/>
    </row>
    <row r="19" spans="1:42" ht="15" customHeight="1">
      <c r="A19" s="6" t="s">
        <v>51</v>
      </c>
      <c r="B19" s="6" t="s">
        <v>312</v>
      </c>
      <c r="C19" s="6" t="s">
        <v>5958</v>
      </c>
      <c r="D19" s="9" t="s">
        <v>88</v>
      </c>
      <c r="E19" s="7" t="s">
        <v>224</v>
      </c>
      <c r="F19" s="9">
        <v>14.8825</v>
      </c>
      <c r="G19" s="9">
        <v>120.711</v>
      </c>
      <c r="H19" s="9" t="str">
        <f t="shared" si="0"/>
        <v>14.8825,120.711</v>
      </c>
      <c r="I19" s="9" t="s">
        <v>123</v>
      </c>
      <c r="J19" s="64" t="s">
        <v>45</v>
      </c>
      <c r="K19" s="9" t="s">
        <v>142</v>
      </c>
      <c r="L19" s="9"/>
      <c r="M19" s="71" t="s">
        <v>239</v>
      </c>
      <c r="N19" s="9"/>
      <c r="O19" s="420"/>
      <c r="P19" s="22"/>
      <c r="Q19" s="22"/>
      <c r="R19" s="22"/>
      <c r="S19" s="22"/>
      <c r="T19" s="24" t="str">
        <f t="shared" si="1"/>
        <v/>
      </c>
      <c r="U19" s="24" t="str">
        <f t="shared" si="2"/>
        <v/>
      </c>
      <c r="V19" s="24" t="str">
        <f t="shared" si="3"/>
        <v/>
      </c>
      <c r="W19" s="24" t="str">
        <f t="shared" si="4"/>
        <v/>
      </c>
      <c r="X19" s="9"/>
      <c r="Y19" s="9"/>
      <c r="Z19" s="6"/>
      <c r="AA19" s="6"/>
      <c r="AB19" s="9"/>
      <c r="AC19" s="280"/>
      <c r="AD19" s="272"/>
      <c r="AE19" s="9"/>
      <c r="AF19" s="9"/>
      <c r="AG19" s="6"/>
      <c r="AH19" s="6"/>
      <c r="AI19" s="9"/>
      <c r="AJ19" s="9"/>
      <c r="AK19" s="9"/>
      <c r="AL19" s="9"/>
      <c r="AM19" s="9"/>
      <c r="AN19" s="6"/>
      <c r="AO19" s="9"/>
      <c r="AP19" s="9"/>
    </row>
    <row r="20" spans="1:42" ht="15" customHeight="1">
      <c r="A20" s="6" t="s">
        <v>52</v>
      </c>
      <c r="B20" s="6" t="s">
        <v>542</v>
      </c>
      <c r="C20" s="6" t="s">
        <v>4187</v>
      </c>
      <c r="D20" s="9" t="s">
        <v>89</v>
      </c>
      <c r="E20" s="7" t="s">
        <v>243</v>
      </c>
      <c r="F20" s="9">
        <v>15.6845</v>
      </c>
      <c r="G20" s="9">
        <v>120.361</v>
      </c>
      <c r="H20" s="9" t="str">
        <f t="shared" si="0"/>
        <v>15.6845,120.361</v>
      </c>
      <c r="I20" s="9" t="s">
        <v>123</v>
      </c>
      <c r="J20" s="64" t="s">
        <v>45</v>
      </c>
      <c r="K20" s="9" t="s">
        <v>38</v>
      </c>
      <c r="L20" s="9"/>
      <c r="M20" s="71" t="s">
        <v>28</v>
      </c>
      <c r="N20" s="9" t="s">
        <v>5959</v>
      </c>
      <c r="O20" s="420">
        <v>46085</v>
      </c>
      <c r="P20" s="22">
        <v>46086</v>
      </c>
      <c r="Q20" s="22"/>
      <c r="R20" s="22">
        <v>46090</v>
      </c>
      <c r="S20" s="22">
        <v>46090</v>
      </c>
      <c r="T20" s="24">
        <f t="shared" si="1"/>
        <v>1</v>
      </c>
      <c r="U20" s="24" t="str">
        <f t="shared" si="2"/>
        <v/>
      </c>
      <c r="V20" s="24">
        <f t="shared" si="3"/>
        <v>2</v>
      </c>
      <c r="W20" s="24">
        <f t="shared" si="4"/>
        <v>1</v>
      </c>
      <c r="X20" s="9"/>
      <c r="Y20" s="9"/>
      <c r="Z20" s="6" t="s">
        <v>5960</v>
      </c>
      <c r="AA20" s="6" t="s">
        <v>5922</v>
      </c>
      <c r="AB20" s="9" t="s">
        <v>5961</v>
      </c>
      <c r="AC20" s="66">
        <v>1716.48</v>
      </c>
      <c r="AD20" s="272"/>
      <c r="AE20" s="9" t="s">
        <v>101</v>
      </c>
      <c r="AF20" s="9"/>
      <c r="AG20" s="6"/>
      <c r="AH20" s="6"/>
      <c r="AI20" s="9"/>
      <c r="AJ20" s="9"/>
      <c r="AK20" s="9"/>
      <c r="AL20" s="9"/>
      <c r="AM20" s="9"/>
      <c r="AN20" s="6"/>
      <c r="AO20" s="9"/>
      <c r="AP20" s="9"/>
    </row>
    <row r="21" spans="1:42" ht="15" customHeight="1">
      <c r="A21" s="6" t="s">
        <v>52</v>
      </c>
      <c r="B21" s="6" t="s">
        <v>5962</v>
      </c>
      <c r="C21" s="6" t="s">
        <v>5963</v>
      </c>
      <c r="D21" s="9" t="s">
        <v>89</v>
      </c>
      <c r="E21" s="7" t="s">
        <v>243</v>
      </c>
      <c r="F21" s="9">
        <v>15.606</v>
      </c>
      <c r="G21" s="9">
        <v>120.437</v>
      </c>
      <c r="H21" s="9" t="str">
        <f t="shared" si="0"/>
        <v>15.606,120.437</v>
      </c>
      <c r="I21" s="9" t="s">
        <v>123</v>
      </c>
      <c r="J21" s="64" t="s">
        <v>45</v>
      </c>
      <c r="K21" s="9" t="s">
        <v>37</v>
      </c>
      <c r="L21" s="9"/>
      <c r="M21" s="71" t="s">
        <v>28</v>
      </c>
      <c r="N21" s="9" t="s">
        <v>5964</v>
      </c>
      <c r="O21" s="420">
        <v>46085</v>
      </c>
      <c r="P21" s="22">
        <v>46086</v>
      </c>
      <c r="Q21" s="22"/>
      <c r="R21" s="22">
        <v>46090</v>
      </c>
      <c r="S21" s="22">
        <v>46090</v>
      </c>
      <c r="T21" s="24">
        <f t="shared" si="1"/>
        <v>1</v>
      </c>
      <c r="U21" s="24" t="str">
        <f t="shared" si="2"/>
        <v/>
      </c>
      <c r="V21" s="24">
        <f t="shared" si="3"/>
        <v>2</v>
      </c>
      <c r="W21" s="24">
        <f t="shared" si="4"/>
        <v>1</v>
      </c>
      <c r="X21" s="9"/>
      <c r="Y21" s="9"/>
      <c r="Z21" s="6" t="s">
        <v>5965</v>
      </c>
      <c r="AA21" s="6" t="s">
        <v>5922</v>
      </c>
      <c r="AB21" s="9">
        <v>8155.25</v>
      </c>
      <c r="AC21" s="9">
        <v>18740.238000000001</v>
      </c>
      <c r="AD21" s="272">
        <v>0.43590000000000001</v>
      </c>
      <c r="AE21" s="9" t="s">
        <v>101</v>
      </c>
      <c r="AF21" s="9"/>
      <c r="AG21" s="6"/>
      <c r="AH21" s="6"/>
      <c r="AI21" s="9"/>
      <c r="AJ21" s="9"/>
      <c r="AK21" s="9"/>
      <c r="AL21" s="9"/>
      <c r="AM21" s="9"/>
      <c r="AN21" s="6"/>
      <c r="AO21" s="9"/>
      <c r="AP21" s="9"/>
    </row>
    <row r="22" spans="1:42" ht="15" customHeight="1">
      <c r="A22" s="6" t="s">
        <v>48</v>
      </c>
      <c r="B22" s="6" t="s">
        <v>373</v>
      </c>
      <c r="C22" s="6" t="s">
        <v>1273</v>
      </c>
      <c r="D22" s="9" t="s">
        <v>88</v>
      </c>
      <c r="E22" s="39" t="s">
        <v>271</v>
      </c>
      <c r="F22" s="9">
        <v>14.5871</v>
      </c>
      <c r="G22" s="9">
        <v>120.527</v>
      </c>
      <c r="H22" s="9" t="str">
        <f t="shared" si="0"/>
        <v>14.5871,120.527</v>
      </c>
      <c r="I22" s="9" t="s">
        <v>123</v>
      </c>
      <c r="J22" s="9" t="s">
        <v>57</v>
      </c>
      <c r="K22" s="9" t="s">
        <v>273</v>
      </c>
      <c r="L22" s="9"/>
      <c r="M22" s="71" t="s">
        <v>129</v>
      </c>
      <c r="N22" s="9"/>
      <c r="O22" s="420"/>
      <c r="P22" s="22"/>
      <c r="Q22" s="22"/>
      <c r="R22" s="22"/>
      <c r="S22" s="22"/>
      <c r="T22" s="24" t="str">
        <f t="shared" si="1"/>
        <v/>
      </c>
      <c r="U22" s="24" t="str">
        <f t="shared" si="2"/>
        <v/>
      </c>
      <c r="V22" s="24" t="str">
        <f t="shared" si="3"/>
        <v/>
      </c>
      <c r="W22" s="24" t="str">
        <f t="shared" si="4"/>
        <v/>
      </c>
      <c r="X22" s="9"/>
      <c r="Y22" s="9"/>
      <c r="Z22" s="6"/>
      <c r="AA22" s="6"/>
      <c r="AB22" s="66"/>
      <c r="AC22" s="44"/>
      <c r="AD22" s="272"/>
      <c r="AE22" s="9"/>
      <c r="AF22" s="9"/>
      <c r="AG22" s="6"/>
      <c r="AH22" s="6"/>
      <c r="AI22" s="9"/>
      <c r="AJ22" s="9"/>
      <c r="AK22" s="9"/>
      <c r="AL22" s="9"/>
      <c r="AM22" s="9"/>
      <c r="AN22" s="6"/>
      <c r="AO22" s="9"/>
      <c r="AP22" s="9"/>
    </row>
    <row r="23" spans="1:42" ht="15" customHeight="1">
      <c r="A23" s="3" t="s">
        <v>49</v>
      </c>
      <c r="B23" s="3" t="s">
        <v>5966</v>
      </c>
      <c r="C23" s="3" t="s">
        <v>5967</v>
      </c>
      <c r="D23" s="7" t="s">
        <v>88</v>
      </c>
      <c r="E23" s="32" t="s">
        <v>271</v>
      </c>
      <c r="F23" s="7">
        <v>14.9405</v>
      </c>
      <c r="G23" s="7">
        <v>120.86799999999999</v>
      </c>
      <c r="H23" s="7" t="str">
        <f t="shared" si="0"/>
        <v>14.9405,120.868</v>
      </c>
      <c r="I23" s="7" t="s">
        <v>123</v>
      </c>
      <c r="J23" s="7" t="s">
        <v>57</v>
      </c>
      <c r="K23" s="9" t="s">
        <v>23</v>
      </c>
      <c r="L23" s="9"/>
      <c r="M23" s="71" t="s">
        <v>128</v>
      </c>
      <c r="N23" s="441"/>
      <c r="O23" s="552"/>
      <c r="P23" s="313"/>
      <c r="Q23" s="313"/>
      <c r="R23" s="313"/>
      <c r="S23" s="313"/>
      <c r="T23" s="442" t="str">
        <f t="shared" si="1"/>
        <v/>
      </c>
      <c r="U23" s="442" t="str">
        <f t="shared" si="2"/>
        <v/>
      </c>
      <c r="V23" s="442" t="str">
        <f t="shared" si="3"/>
        <v/>
      </c>
      <c r="W23" s="442" t="str">
        <f t="shared" si="4"/>
        <v/>
      </c>
      <c r="X23" s="7"/>
      <c r="Y23" s="7"/>
      <c r="Z23" s="3"/>
      <c r="AA23" s="3"/>
      <c r="AB23" s="7"/>
      <c r="AC23" s="315"/>
      <c r="AD23" s="314"/>
      <c r="AE23" s="7"/>
      <c r="AF23" s="7"/>
      <c r="AG23" s="3"/>
      <c r="AH23" s="3"/>
      <c r="AI23" s="7"/>
      <c r="AJ23" s="7"/>
      <c r="AK23" s="7"/>
      <c r="AL23" s="7"/>
      <c r="AM23" s="7"/>
      <c r="AN23" s="3"/>
      <c r="AO23" s="7"/>
      <c r="AP23" s="7"/>
    </row>
    <row r="24" spans="1:42" ht="15" customHeight="1">
      <c r="A24" s="6" t="s">
        <v>50</v>
      </c>
      <c r="B24" s="6" t="s">
        <v>384</v>
      </c>
      <c r="C24" s="6" t="s">
        <v>1041</v>
      </c>
      <c r="D24" s="9" t="s">
        <v>88</v>
      </c>
      <c r="E24" s="39" t="s">
        <v>213</v>
      </c>
      <c r="F24" s="9">
        <v>15.6434</v>
      </c>
      <c r="G24" s="9">
        <v>121.188</v>
      </c>
      <c r="H24" s="9" t="str">
        <f t="shared" si="0"/>
        <v>15.6434,121.188</v>
      </c>
      <c r="I24" s="9" t="s">
        <v>123</v>
      </c>
      <c r="J24" s="9" t="s">
        <v>57</v>
      </c>
      <c r="K24" s="9" t="s">
        <v>141</v>
      </c>
      <c r="L24" s="9"/>
      <c r="M24" s="9" t="s">
        <v>130</v>
      </c>
      <c r="N24" s="47"/>
      <c r="O24" s="22"/>
      <c r="P24" s="22"/>
      <c r="Q24" s="22"/>
      <c r="R24" s="22"/>
      <c r="S24" s="22"/>
      <c r="T24" s="24" t="str">
        <f t="shared" si="1"/>
        <v/>
      </c>
      <c r="U24" s="24" t="str">
        <f t="shared" si="2"/>
        <v/>
      </c>
      <c r="V24" s="24" t="str">
        <f t="shared" si="3"/>
        <v/>
      </c>
      <c r="W24" s="24" t="str">
        <f t="shared" si="4"/>
        <v/>
      </c>
      <c r="X24" s="6"/>
      <c r="Y24" s="9"/>
      <c r="Z24" s="6"/>
      <c r="AA24" s="6"/>
      <c r="AB24" s="9"/>
      <c r="AC24" s="44"/>
      <c r="AD24" s="272"/>
      <c r="AE24" s="9"/>
      <c r="AF24" s="9"/>
      <c r="AG24" s="6"/>
      <c r="AH24" s="9"/>
      <c r="AI24" s="9"/>
      <c r="AJ24" s="9"/>
      <c r="AK24" s="9" t="s">
        <v>120</v>
      </c>
      <c r="AL24" s="9" t="s">
        <v>120</v>
      </c>
      <c r="AM24" s="9" t="s">
        <v>120</v>
      </c>
      <c r="AN24" s="9" t="s">
        <v>120</v>
      </c>
      <c r="AO24" s="9" t="s">
        <v>120</v>
      </c>
      <c r="AP24" s="271"/>
    </row>
    <row r="25" spans="1:42" ht="15" customHeight="1">
      <c r="A25" s="345" t="s">
        <v>50</v>
      </c>
      <c r="B25" s="345" t="s">
        <v>386</v>
      </c>
      <c r="C25" s="345" t="s">
        <v>2750</v>
      </c>
      <c r="D25" s="346" t="s">
        <v>88</v>
      </c>
      <c r="E25" s="347" t="s">
        <v>213</v>
      </c>
      <c r="F25" s="346">
        <v>15.470800000000001</v>
      </c>
      <c r="G25" s="346">
        <v>121.34350000000001</v>
      </c>
      <c r="H25" s="346" t="str">
        <f t="shared" si="0"/>
        <v>15.4708,121.3435</v>
      </c>
      <c r="I25" s="346" t="s">
        <v>123</v>
      </c>
      <c r="J25" s="346" t="s">
        <v>57</v>
      </c>
      <c r="K25" s="346" t="s">
        <v>141</v>
      </c>
      <c r="L25" s="346"/>
      <c r="M25" s="346" t="s">
        <v>130</v>
      </c>
      <c r="N25" s="553"/>
      <c r="O25" s="348"/>
      <c r="P25" s="348"/>
      <c r="Q25" s="348"/>
      <c r="R25" s="348"/>
      <c r="S25" s="348"/>
      <c r="T25" s="443" t="str">
        <f t="shared" si="1"/>
        <v/>
      </c>
      <c r="U25" s="443" t="str">
        <f t="shared" si="2"/>
        <v/>
      </c>
      <c r="V25" s="443" t="str">
        <f t="shared" si="3"/>
        <v/>
      </c>
      <c r="W25" s="443" t="str">
        <f t="shared" si="4"/>
        <v/>
      </c>
      <c r="X25" s="346"/>
      <c r="Y25" s="346"/>
      <c r="Z25" s="345"/>
      <c r="AA25" s="345"/>
      <c r="AB25" s="349"/>
      <c r="AC25" s="350"/>
      <c r="AD25" s="351"/>
      <c r="AE25" s="346"/>
      <c r="AF25" s="345"/>
      <c r="AG25" s="345"/>
      <c r="AH25" s="345"/>
      <c r="AI25" s="346"/>
      <c r="AJ25" s="346"/>
      <c r="AK25" s="346"/>
      <c r="AL25" s="346"/>
      <c r="AM25" s="346"/>
      <c r="AN25" s="345"/>
      <c r="AO25" s="346"/>
      <c r="AP25" s="346"/>
    </row>
    <row r="26" spans="1:42" ht="15" customHeight="1">
      <c r="A26" s="6" t="s">
        <v>51</v>
      </c>
      <c r="B26" s="6" t="s">
        <v>5947</v>
      </c>
      <c r="C26" s="6" t="s">
        <v>5968</v>
      </c>
      <c r="D26" s="9" t="s">
        <v>88</v>
      </c>
      <c r="E26" s="7" t="s">
        <v>271</v>
      </c>
      <c r="F26" s="9">
        <v>15.021699999999999</v>
      </c>
      <c r="G26" s="9">
        <v>120.568</v>
      </c>
      <c r="H26" s="9" t="str">
        <f t="shared" si="0"/>
        <v>15.0217,120.568</v>
      </c>
      <c r="I26" s="9" t="s">
        <v>123</v>
      </c>
      <c r="J26" s="9" t="s">
        <v>57</v>
      </c>
      <c r="K26" s="9" t="s">
        <v>145</v>
      </c>
      <c r="L26" s="9"/>
      <c r="M26" s="71" t="s">
        <v>133</v>
      </c>
      <c r="N26" s="9"/>
      <c r="O26" s="420"/>
      <c r="P26" s="22"/>
      <c r="Q26" s="9"/>
      <c r="R26" s="22"/>
      <c r="S26" s="22"/>
      <c r="T26" s="24" t="str">
        <f t="shared" ref="T26:T57" si="5">IF(
    OR(ISBLANK(O26), ISBLANK(P26)),
    "",
    MAX(1, IF(
        NETWORKDAYS(O26, P26) &lt;= 0,
        1,
        NETWORKDAYS(O26, P26) - IF(O26 = P26, 0, 1)
    ))
)</f>
        <v/>
      </c>
      <c r="U26" s="24" t="str">
        <f>IF(
    OR(ISBLANK(P26), ISBLANK(R26)),
    "",
    MAX(1, IF(
        NETWORKDAYS(P26, R26) &lt;= 0,
        1,
        NETWORKDAYS(P26, R26) - IF(P26 = R26, 0, 1)
    ))
)</f>
        <v/>
      </c>
      <c r="V26" s="24" t="str">
        <f>IF(
    OR(ISBLANK(P26), ISBLANK(#REF!)),
    "",
    MAX(1, IF(
        NETWORKDAYS(P26,#REF!) &lt;= 0,
        1,
        NETWORKDAYS(P26,#REF!) - IF(P26 =#REF!, 0, 1)
    ))
)</f>
        <v/>
      </c>
      <c r="W26" s="24" t="str">
        <f>IF(
    OR(ISBLANK(#REF!), ISBLANK(S26)),
    "",
    MAX(1, IF(
        NETWORKDAYS(#REF!, S26) &lt;= 0,
        1,
        NETWORKDAYS(#REF!, S26) - IF(#REF! = S26, 0, 1)
    ))
)</f>
        <v/>
      </c>
      <c r="X26" s="9"/>
      <c r="Y26" s="9"/>
      <c r="Z26" s="6"/>
      <c r="AA26" s="6"/>
      <c r="AB26" s="9"/>
      <c r="AC26" s="444"/>
      <c r="AD26" s="272"/>
      <c r="AE26" s="9"/>
      <c r="AF26" s="9"/>
      <c r="AG26" s="6"/>
      <c r="AH26" s="6"/>
      <c r="AI26" s="9"/>
      <c r="AJ26" s="9"/>
      <c r="AK26" s="9"/>
      <c r="AL26" s="9"/>
      <c r="AM26" s="9"/>
      <c r="AN26" s="6"/>
      <c r="AO26" s="9"/>
      <c r="AP26" s="9"/>
    </row>
    <row r="27" spans="1:42" ht="15" customHeight="1">
      <c r="A27" s="6" t="s">
        <v>52</v>
      </c>
      <c r="B27" s="6" t="s">
        <v>368</v>
      </c>
      <c r="C27" s="6" t="s">
        <v>1047</v>
      </c>
      <c r="D27" s="9" t="s">
        <v>89</v>
      </c>
      <c r="E27" s="7" t="s">
        <v>243</v>
      </c>
      <c r="F27" s="9">
        <v>15.629300000000001</v>
      </c>
      <c r="G27" s="9">
        <v>120.35299999999999</v>
      </c>
      <c r="H27" s="9" t="str">
        <f t="shared" si="0"/>
        <v>15.6293,120.353</v>
      </c>
      <c r="I27" s="9" t="s">
        <v>123</v>
      </c>
      <c r="J27" s="9" t="s">
        <v>57</v>
      </c>
      <c r="K27" s="9" t="s">
        <v>38</v>
      </c>
      <c r="L27" s="9"/>
      <c r="M27" s="71" t="s">
        <v>28</v>
      </c>
      <c r="N27" s="9"/>
      <c r="O27" s="420"/>
      <c r="P27" s="22"/>
      <c r="Q27" s="22"/>
      <c r="R27" s="22"/>
      <c r="S27" s="22"/>
      <c r="T27" s="24" t="str">
        <f t="shared" si="5"/>
        <v/>
      </c>
      <c r="U27" s="24" t="str">
        <f t="shared" ref="U27:U72" si="6">IF(
    OR(ISBLANK(P27), ISBLANK(Q27)),
    "",
    MAX(1, IF(
        NETWORKDAYS(P27, Q27) &lt;= 0,
        1,
        NETWORKDAYS(P27, Q27) - IF(P27 = Q27, 0, 1)
    ))
)</f>
        <v/>
      </c>
      <c r="V27" s="24" t="str">
        <f t="shared" ref="V27:V58" si="7">IF(
    OR(ISBLANK(P27), ISBLANK(R27)),
    "",
    MAX(1, IF(
        NETWORKDAYS(P27, R27) &lt;= 0,
        1,
        NETWORKDAYS(P27, R27) - IF(P27 = R27, 0, 1)
    ))
)</f>
        <v/>
      </c>
      <c r="W27" s="24" t="str">
        <f t="shared" ref="W27:W58" si="8">IF(
    OR(ISBLANK(R27), ISBLANK(S27)),
    "",
    MAX(1, IF(
        NETWORKDAYS(R27, S27) &lt;= 0,
        1,
        NETWORKDAYS(R27, S27) - IF(R27 = S27, 0, 1)
    ))
)</f>
        <v/>
      </c>
      <c r="X27" s="6"/>
      <c r="Y27" s="9"/>
      <c r="Z27" s="236"/>
      <c r="AA27" s="6"/>
      <c r="AB27" s="236"/>
      <c r="AC27" s="236"/>
      <c r="AD27" s="272"/>
      <c r="AE27" s="9"/>
      <c r="AF27" s="9"/>
      <c r="AG27" s="6"/>
      <c r="AH27" s="6"/>
      <c r="AI27" s="9"/>
      <c r="AJ27" s="9"/>
      <c r="AK27" s="9"/>
      <c r="AL27" s="9"/>
      <c r="AM27" s="9"/>
      <c r="AN27" s="6"/>
      <c r="AO27" s="9"/>
      <c r="AP27" s="271"/>
    </row>
    <row r="28" spans="1:42" s="352" customFormat="1" ht="15" customHeight="1">
      <c r="A28" s="6" t="s">
        <v>53</v>
      </c>
      <c r="B28" s="6" t="s">
        <v>714</v>
      </c>
      <c r="C28" s="6" t="s">
        <v>4477</v>
      </c>
      <c r="D28" s="9" t="s">
        <v>89</v>
      </c>
      <c r="E28" s="32" t="s">
        <v>271</v>
      </c>
      <c r="F28" s="9">
        <v>14.9305</v>
      </c>
      <c r="G28" s="9">
        <v>120.075</v>
      </c>
      <c r="H28" s="9" t="str">
        <f t="shared" si="0"/>
        <v>14.9305,120.075</v>
      </c>
      <c r="I28" s="9" t="s">
        <v>123</v>
      </c>
      <c r="J28" s="9" t="s">
        <v>57</v>
      </c>
      <c r="K28" s="9" t="s">
        <v>42</v>
      </c>
      <c r="L28" s="9"/>
      <c r="M28" s="71" t="s">
        <v>133</v>
      </c>
      <c r="N28" s="9"/>
      <c r="O28" s="420"/>
      <c r="P28" s="22"/>
      <c r="Q28" s="22"/>
      <c r="R28" s="22"/>
      <c r="S28" s="22"/>
      <c r="T28" s="24" t="str">
        <f t="shared" si="5"/>
        <v/>
      </c>
      <c r="U28" s="24" t="str">
        <f t="shared" si="6"/>
        <v/>
      </c>
      <c r="V28" s="24" t="str">
        <f t="shared" si="7"/>
        <v/>
      </c>
      <c r="W28" s="24" t="str">
        <f t="shared" si="8"/>
        <v/>
      </c>
      <c r="X28" s="6"/>
      <c r="Y28" s="9"/>
      <c r="Z28" s="6"/>
      <c r="AA28" s="6"/>
      <c r="AB28" s="9"/>
      <c r="AC28" s="9"/>
      <c r="AD28" s="272"/>
      <c r="AE28" s="9"/>
      <c r="AF28" s="9"/>
      <c r="AG28" s="6"/>
      <c r="AH28" s="6"/>
      <c r="AI28" s="9"/>
      <c r="AJ28" s="9"/>
      <c r="AK28" s="9"/>
      <c r="AL28" s="9"/>
      <c r="AM28" s="9"/>
      <c r="AN28" s="6"/>
      <c r="AO28" s="9"/>
      <c r="AP28" s="271" t="s">
        <v>5969</v>
      </c>
    </row>
    <row r="29" spans="1:42" ht="15" customHeight="1">
      <c r="A29" s="6" t="s">
        <v>49</v>
      </c>
      <c r="B29" s="6" t="s">
        <v>223</v>
      </c>
      <c r="C29" s="6" t="s">
        <v>5970</v>
      </c>
      <c r="D29" s="9" t="s">
        <v>88</v>
      </c>
      <c r="E29" s="39" t="s">
        <v>224</v>
      </c>
      <c r="F29" s="9">
        <v>14.790699999999999</v>
      </c>
      <c r="G29" s="9">
        <v>120.98480000000001</v>
      </c>
      <c r="H29" s="9" t="str">
        <f t="shared" si="0"/>
        <v>14.7907,120.9848</v>
      </c>
      <c r="I29" s="9" t="s">
        <v>123</v>
      </c>
      <c r="J29" s="9" t="s">
        <v>63</v>
      </c>
      <c r="K29" s="9" t="s">
        <v>227</v>
      </c>
      <c r="L29" s="9"/>
      <c r="M29" s="71" t="s">
        <v>128</v>
      </c>
      <c r="N29" s="9"/>
      <c r="O29" s="420"/>
      <c r="P29" s="22"/>
      <c r="Q29" s="22"/>
      <c r="R29" s="22"/>
      <c r="S29" s="22"/>
      <c r="T29" s="24" t="str">
        <f t="shared" si="5"/>
        <v/>
      </c>
      <c r="U29" s="24" t="str">
        <f t="shared" si="6"/>
        <v/>
      </c>
      <c r="V29" s="24" t="str">
        <f t="shared" si="7"/>
        <v/>
      </c>
      <c r="W29" s="24" t="str">
        <f t="shared" si="8"/>
        <v/>
      </c>
      <c r="X29" s="9"/>
      <c r="Y29" s="9"/>
      <c r="Z29" s="6"/>
      <c r="AA29" s="6"/>
      <c r="AB29" s="66"/>
      <c r="AC29" s="66"/>
      <c r="AD29" s="272"/>
      <c r="AE29" s="9"/>
      <c r="AF29" s="9"/>
      <c r="AG29" s="6"/>
      <c r="AH29" s="6"/>
      <c r="AI29" s="9"/>
      <c r="AJ29" s="9"/>
      <c r="AK29" s="9"/>
      <c r="AL29" s="9"/>
      <c r="AM29" s="9"/>
      <c r="AN29" s="6"/>
      <c r="AO29" s="9"/>
      <c r="AP29" s="9"/>
    </row>
    <row r="30" spans="1:42" ht="15" customHeight="1">
      <c r="A30" s="6" t="s">
        <v>50</v>
      </c>
      <c r="B30" s="6" t="s">
        <v>383</v>
      </c>
      <c r="C30" s="6" t="s">
        <v>1020</v>
      </c>
      <c r="D30" s="9" t="s">
        <v>88</v>
      </c>
      <c r="E30" s="39" t="s">
        <v>243</v>
      </c>
      <c r="F30" s="9">
        <v>15.4795</v>
      </c>
      <c r="G30" s="9">
        <v>120.819</v>
      </c>
      <c r="H30" s="9" t="str">
        <f t="shared" si="0"/>
        <v>15.4795,120.819</v>
      </c>
      <c r="I30" s="9" t="s">
        <v>123</v>
      </c>
      <c r="J30" s="9" t="s">
        <v>63</v>
      </c>
      <c r="K30" s="9" t="s">
        <v>140</v>
      </c>
      <c r="L30" s="9"/>
      <c r="M30" s="71" t="s">
        <v>130</v>
      </c>
      <c r="N30" s="9"/>
      <c r="O30" s="420"/>
      <c r="P30" s="22"/>
      <c r="Q30" s="22"/>
      <c r="R30" s="22"/>
      <c r="S30" s="22"/>
      <c r="T30" s="24" t="str">
        <f t="shared" si="5"/>
        <v/>
      </c>
      <c r="U30" s="24" t="str">
        <f t="shared" si="6"/>
        <v/>
      </c>
      <c r="V30" s="24" t="str">
        <f t="shared" si="7"/>
        <v/>
      </c>
      <c r="W30" s="24" t="str">
        <f t="shared" si="8"/>
        <v/>
      </c>
      <c r="X30" s="9"/>
      <c r="Y30" s="9"/>
      <c r="Z30" s="6"/>
      <c r="AA30" s="6"/>
      <c r="AB30" s="9"/>
      <c r="AC30" s="9"/>
      <c r="AD30" s="272"/>
      <c r="AE30" s="9"/>
      <c r="AF30" s="9"/>
      <c r="AG30" s="6"/>
      <c r="AH30" s="6"/>
      <c r="AI30" s="9"/>
      <c r="AJ30" s="9"/>
      <c r="AK30" s="9"/>
      <c r="AL30" s="9"/>
      <c r="AM30" s="9"/>
      <c r="AN30" s="6"/>
      <c r="AO30" s="9"/>
      <c r="AP30" s="9"/>
    </row>
    <row r="31" spans="1:42" s="257" customFormat="1" ht="15" customHeight="1">
      <c r="A31" s="6" t="s">
        <v>50</v>
      </c>
      <c r="B31" s="6" t="s">
        <v>1322</v>
      </c>
      <c r="C31" s="6" t="s">
        <v>1071</v>
      </c>
      <c r="D31" s="9" t="s">
        <v>88</v>
      </c>
      <c r="E31" s="39" t="s">
        <v>224</v>
      </c>
      <c r="F31" s="9">
        <v>15.34</v>
      </c>
      <c r="G31" s="9">
        <v>120.968</v>
      </c>
      <c r="H31" s="9" t="str">
        <f t="shared" si="0"/>
        <v>15.34,120.968</v>
      </c>
      <c r="I31" s="9" t="s">
        <v>123</v>
      </c>
      <c r="J31" s="9" t="s">
        <v>63</v>
      </c>
      <c r="K31" s="9" t="s">
        <v>30</v>
      </c>
      <c r="L31" s="9"/>
      <c r="M31" s="71" t="s">
        <v>130</v>
      </c>
      <c r="N31" s="445"/>
      <c r="O31" s="420"/>
      <c r="P31" s="22"/>
      <c r="Q31" s="22"/>
      <c r="R31" s="22"/>
      <c r="S31" s="22"/>
      <c r="T31" s="24" t="str">
        <f t="shared" si="5"/>
        <v/>
      </c>
      <c r="U31" s="24" t="str">
        <f t="shared" si="6"/>
        <v/>
      </c>
      <c r="V31" s="24" t="str">
        <f t="shared" si="7"/>
        <v/>
      </c>
      <c r="W31" s="24" t="str">
        <f t="shared" si="8"/>
        <v/>
      </c>
      <c r="X31" s="9"/>
      <c r="Y31" s="9"/>
      <c r="Z31" s="6"/>
      <c r="AA31" s="6"/>
      <c r="AB31" s="44"/>
      <c r="AC31" s="9"/>
      <c r="AD31" s="272"/>
      <c r="AE31" s="9"/>
      <c r="AF31" s="9"/>
      <c r="AG31" s="6"/>
      <c r="AH31" s="6"/>
      <c r="AI31" s="9"/>
      <c r="AJ31" s="9"/>
      <c r="AK31" s="9"/>
      <c r="AL31" s="9"/>
      <c r="AM31" s="9"/>
      <c r="AN31" s="6"/>
      <c r="AO31" s="9"/>
      <c r="AP31" s="9"/>
    </row>
    <row r="32" spans="1:42" s="257" customFormat="1" ht="15" customHeight="1">
      <c r="A32" s="6" t="s">
        <v>51</v>
      </c>
      <c r="B32" s="6" t="s">
        <v>352</v>
      </c>
      <c r="C32" s="6" t="s">
        <v>5971</v>
      </c>
      <c r="D32" s="9" t="s">
        <v>88</v>
      </c>
      <c r="E32" s="39" t="s">
        <v>224</v>
      </c>
      <c r="F32" s="9">
        <v>15.1265</v>
      </c>
      <c r="G32" s="9">
        <v>120.80200000000001</v>
      </c>
      <c r="H32" s="9" t="str">
        <f t="shared" si="0"/>
        <v>15.1265,120.802</v>
      </c>
      <c r="I32" s="9" t="s">
        <v>123</v>
      </c>
      <c r="J32" s="9" t="s">
        <v>63</v>
      </c>
      <c r="K32" s="9" t="s">
        <v>32</v>
      </c>
      <c r="L32" s="9"/>
      <c r="M32" s="71" t="s">
        <v>133</v>
      </c>
      <c r="N32" s="9"/>
      <c r="O32" s="420"/>
      <c r="P32" s="22"/>
      <c r="Q32" s="22"/>
      <c r="R32" s="22"/>
      <c r="S32" s="22"/>
      <c r="T32" s="24" t="str">
        <f t="shared" si="5"/>
        <v/>
      </c>
      <c r="U32" s="24" t="str">
        <f t="shared" si="6"/>
        <v/>
      </c>
      <c r="V32" s="24" t="str">
        <f t="shared" si="7"/>
        <v/>
      </c>
      <c r="W32" s="24" t="str">
        <f t="shared" si="8"/>
        <v/>
      </c>
      <c r="X32" s="9"/>
      <c r="Y32" s="9"/>
      <c r="Z32" s="6"/>
      <c r="AA32" s="6"/>
      <c r="AB32" s="9"/>
      <c r="AC32" s="9"/>
      <c r="AD32" s="272"/>
      <c r="AE32" s="9"/>
      <c r="AF32" s="9"/>
      <c r="AG32" s="6"/>
      <c r="AH32" s="6"/>
      <c r="AI32" s="9"/>
      <c r="AJ32" s="9"/>
      <c r="AK32" s="9"/>
      <c r="AL32" s="9"/>
      <c r="AM32" s="9"/>
      <c r="AN32" s="6"/>
      <c r="AO32" s="9"/>
      <c r="AP32" s="9"/>
    </row>
    <row r="33" spans="1:42" s="31" customFormat="1" ht="40.5" customHeight="1">
      <c r="A33" s="6" t="s">
        <v>51</v>
      </c>
      <c r="B33" s="6" t="s">
        <v>448</v>
      </c>
      <c r="C33" s="6" t="s">
        <v>890</v>
      </c>
      <c r="D33" s="9" t="s">
        <v>88</v>
      </c>
      <c r="E33" s="39" t="s">
        <v>271</v>
      </c>
      <c r="F33" s="9">
        <v>14.960470000000001</v>
      </c>
      <c r="G33" s="9">
        <v>120.46104</v>
      </c>
      <c r="H33" s="402" t="s">
        <v>5972</v>
      </c>
      <c r="I33" s="9" t="s">
        <v>123</v>
      </c>
      <c r="J33" s="9" t="s">
        <v>63</v>
      </c>
      <c r="K33" s="9" t="s">
        <v>33</v>
      </c>
      <c r="L33" s="9"/>
      <c r="M33" s="71" t="s">
        <v>239</v>
      </c>
      <c r="N33" s="279"/>
      <c r="O33" s="420"/>
      <c r="P33" s="22"/>
      <c r="Q33" s="22"/>
      <c r="R33" s="22"/>
      <c r="S33" s="22"/>
      <c r="T33" s="24" t="str">
        <f t="shared" si="5"/>
        <v/>
      </c>
      <c r="U33" s="24" t="str">
        <f t="shared" si="6"/>
        <v/>
      </c>
      <c r="V33" s="24" t="str">
        <f t="shared" si="7"/>
        <v/>
      </c>
      <c r="W33" s="24" t="str">
        <f t="shared" si="8"/>
        <v/>
      </c>
      <c r="X33" s="9"/>
      <c r="Y33" s="9"/>
      <c r="Z33" s="6"/>
      <c r="AA33" s="6"/>
      <c r="AB33" s="9"/>
      <c r="AC33" s="9"/>
      <c r="AD33" s="272"/>
      <c r="AE33" s="9"/>
      <c r="AF33" s="9"/>
      <c r="AG33" s="6"/>
      <c r="AH33" s="6"/>
      <c r="AI33" s="9"/>
      <c r="AJ33" s="9"/>
      <c r="AK33" s="9"/>
      <c r="AL33" s="9"/>
      <c r="AM33" s="9"/>
      <c r="AN33" s="6"/>
      <c r="AO33" s="9"/>
      <c r="AP33" s="271"/>
    </row>
    <row r="34" spans="1:42" ht="37.5" customHeight="1">
      <c r="A34" s="6" t="s">
        <v>52</v>
      </c>
      <c r="B34" s="6" t="s">
        <v>430</v>
      </c>
      <c r="C34" s="6" t="s">
        <v>1001</v>
      </c>
      <c r="D34" s="9" t="s">
        <v>89</v>
      </c>
      <c r="E34" s="7" t="s">
        <v>243</v>
      </c>
      <c r="F34" s="9">
        <v>15.706099999999999</v>
      </c>
      <c r="G34" s="9">
        <v>120.629</v>
      </c>
      <c r="H34" s="9" t="str">
        <f>CONCATENATE(F34,",",G34)</f>
        <v>15.7061,120.629</v>
      </c>
      <c r="I34" s="9" t="s">
        <v>123</v>
      </c>
      <c r="J34" s="9" t="s">
        <v>63</v>
      </c>
      <c r="K34" s="9" t="s">
        <v>38</v>
      </c>
      <c r="L34" s="9"/>
      <c r="M34" s="71" t="s">
        <v>28</v>
      </c>
      <c r="N34" s="6"/>
      <c r="O34" s="420"/>
      <c r="P34" s="22"/>
      <c r="Q34" s="22"/>
      <c r="R34" s="22"/>
      <c r="S34" s="22"/>
      <c r="T34" s="24" t="str">
        <f t="shared" si="5"/>
        <v/>
      </c>
      <c r="U34" s="24" t="str">
        <f t="shared" si="6"/>
        <v/>
      </c>
      <c r="V34" s="24" t="str">
        <f t="shared" si="7"/>
        <v/>
      </c>
      <c r="W34" s="24" t="str">
        <f t="shared" si="8"/>
        <v/>
      </c>
      <c r="X34" s="9"/>
      <c r="Y34" s="9"/>
      <c r="Z34" s="6"/>
      <c r="AA34" s="6"/>
      <c r="AB34" s="9"/>
      <c r="AC34" s="9"/>
      <c r="AD34" s="272"/>
      <c r="AE34" s="9"/>
      <c r="AF34" s="9"/>
      <c r="AG34" s="6"/>
      <c r="AH34" s="6"/>
      <c r="AI34" s="9"/>
      <c r="AJ34" s="9"/>
      <c r="AK34" s="9"/>
      <c r="AL34" s="9"/>
      <c r="AM34" s="9"/>
      <c r="AN34" s="6"/>
      <c r="AO34" s="9"/>
      <c r="AP34" s="9"/>
    </row>
    <row r="35" spans="1:42" ht="15" customHeight="1">
      <c r="A35" s="6" t="s">
        <v>53</v>
      </c>
      <c r="B35" s="6" t="s">
        <v>5957</v>
      </c>
      <c r="C35" s="6" t="s">
        <v>794</v>
      </c>
      <c r="D35" s="9" t="s">
        <v>89</v>
      </c>
      <c r="E35" s="32" t="s">
        <v>271</v>
      </c>
      <c r="F35" s="9">
        <v>15.733717</v>
      </c>
      <c r="G35" s="9">
        <v>119.889397</v>
      </c>
      <c r="H35" s="9" t="str">
        <f>CONCATENATE(F35,",",G35)</f>
        <v>15.733717,119.889397</v>
      </c>
      <c r="I35" s="9" t="s">
        <v>123</v>
      </c>
      <c r="J35" s="9" t="s">
        <v>63</v>
      </c>
      <c r="K35" s="9" t="s">
        <v>42</v>
      </c>
      <c r="L35" s="9"/>
      <c r="M35" s="9" t="s">
        <v>133</v>
      </c>
      <c r="N35" s="47"/>
      <c r="O35" s="22"/>
      <c r="P35" s="22"/>
      <c r="Q35" s="22"/>
      <c r="R35" s="22"/>
      <c r="S35" s="22"/>
      <c r="T35" s="24" t="str">
        <f t="shared" si="5"/>
        <v/>
      </c>
      <c r="U35" s="24" t="str">
        <f t="shared" si="6"/>
        <v/>
      </c>
      <c r="V35" s="24" t="str">
        <f t="shared" si="7"/>
        <v/>
      </c>
      <c r="W35" s="24" t="str">
        <f t="shared" si="8"/>
        <v/>
      </c>
      <c r="X35" s="9"/>
      <c r="Y35" s="9"/>
      <c r="Z35" s="6"/>
      <c r="AA35" s="6"/>
      <c r="AB35" s="44"/>
      <c r="AC35" s="66"/>
      <c r="AD35" s="272"/>
      <c r="AE35" s="9"/>
      <c r="AF35" s="9"/>
      <c r="AG35" s="6"/>
      <c r="AH35" s="6"/>
      <c r="AI35" s="9"/>
      <c r="AJ35" s="9"/>
      <c r="AK35" s="9"/>
      <c r="AL35" s="9"/>
      <c r="AM35" s="9"/>
      <c r="AN35" s="6"/>
      <c r="AO35" s="9"/>
      <c r="AP35" s="9"/>
    </row>
    <row r="36" spans="1:42" ht="15" customHeight="1">
      <c r="A36" s="6" t="s">
        <v>48</v>
      </c>
      <c r="B36" s="6" t="s">
        <v>480</v>
      </c>
      <c r="C36" s="6" t="s">
        <v>1029</v>
      </c>
      <c r="D36" s="9" t="s">
        <v>88</v>
      </c>
      <c r="E36" s="39" t="s">
        <v>243</v>
      </c>
      <c r="F36" s="9">
        <v>14.814500000000001</v>
      </c>
      <c r="G36" s="9">
        <v>120.479</v>
      </c>
      <c r="H36" s="9" t="str">
        <f>CONCATENATE(F36,",",G36)</f>
        <v>14.8145,120.479</v>
      </c>
      <c r="I36" s="9" t="s">
        <v>123</v>
      </c>
      <c r="J36" s="9" t="s">
        <v>64</v>
      </c>
      <c r="K36" s="9" t="s">
        <v>217</v>
      </c>
      <c r="L36" s="9"/>
      <c r="M36" s="9" t="s">
        <v>129</v>
      </c>
      <c r="N36" s="9"/>
      <c r="O36" s="22"/>
      <c r="P36" s="22"/>
      <c r="Q36" s="22"/>
      <c r="R36" s="22"/>
      <c r="S36" s="22"/>
      <c r="T36" s="24" t="str">
        <f t="shared" si="5"/>
        <v/>
      </c>
      <c r="U36" s="24" t="str">
        <f t="shared" si="6"/>
        <v/>
      </c>
      <c r="V36" s="24" t="str">
        <f t="shared" si="7"/>
        <v/>
      </c>
      <c r="W36" s="24" t="str">
        <f t="shared" si="8"/>
        <v/>
      </c>
      <c r="X36" s="9"/>
      <c r="Y36" s="9"/>
      <c r="Z36" s="6"/>
      <c r="AA36" s="6"/>
      <c r="AB36" s="9"/>
      <c r="AC36" s="44"/>
      <c r="AD36" s="272"/>
      <c r="AE36" s="9"/>
      <c r="AF36" s="9"/>
      <c r="AG36" s="6"/>
      <c r="AH36" s="6"/>
      <c r="AI36" s="9"/>
      <c r="AJ36" s="9"/>
      <c r="AK36" s="9"/>
      <c r="AL36" s="9"/>
      <c r="AM36" s="9"/>
      <c r="AN36" s="6"/>
      <c r="AO36" s="9"/>
      <c r="AP36" s="9"/>
    </row>
    <row r="37" spans="1:42" ht="123" customHeight="1">
      <c r="A37" s="6" t="s">
        <v>49</v>
      </c>
      <c r="B37" s="6" t="s">
        <v>404</v>
      </c>
      <c r="C37" s="6" t="s">
        <v>2268</v>
      </c>
      <c r="D37" s="9" t="s">
        <v>88</v>
      </c>
      <c r="E37" s="39" t="s">
        <v>402</v>
      </c>
      <c r="F37" s="9">
        <v>14.8146</v>
      </c>
      <c r="G37" s="9">
        <v>120.8814</v>
      </c>
      <c r="H37" s="9" t="s">
        <v>5973</v>
      </c>
      <c r="I37" s="9" t="s">
        <v>123</v>
      </c>
      <c r="J37" s="9" t="s">
        <v>64</v>
      </c>
      <c r="K37" s="9" t="s">
        <v>5974</v>
      </c>
      <c r="L37" s="9"/>
      <c r="M37" s="9" t="s">
        <v>128</v>
      </c>
      <c r="N37" s="9"/>
      <c r="O37" s="22"/>
      <c r="P37" s="22"/>
      <c r="Q37" s="22"/>
      <c r="R37" s="22"/>
      <c r="S37" s="22"/>
      <c r="T37" s="24" t="str">
        <f t="shared" si="5"/>
        <v/>
      </c>
      <c r="U37" s="24" t="str">
        <f t="shared" si="6"/>
        <v/>
      </c>
      <c r="V37" s="24" t="str">
        <f t="shared" si="7"/>
        <v/>
      </c>
      <c r="W37" s="24" t="str">
        <f t="shared" si="8"/>
        <v/>
      </c>
      <c r="X37" s="9"/>
      <c r="Y37" s="9"/>
      <c r="Z37" s="6"/>
      <c r="AA37" s="6"/>
      <c r="AB37" s="9"/>
      <c r="AC37" s="9"/>
      <c r="AD37" s="272"/>
      <c r="AE37" s="9"/>
      <c r="AF37" s="9"/>
      <c r="AG37" s="6"/>
      <c r="AH37" s="6"/>
      <c r="AI37" s="9"/>
      <c r="AJ37" s="9"/>
      <c r="AK37" s="9"/>
      <c r="AL37" s="9"/>
      <c r="AM37" s="9"/>
      <c r="AN37" s="6"/>
      <c r="AO37" s="9"/>
      <c r="AP37" s="9"/>
    </row>
    <row r="38" spans="1:42" ht="15" customHeight="1">
      <c r="A38" s="6" t="s">
        <v>50</v>
      </c>
      <c r="B38" s="6" t="s">
        <v>295</v>
      </c>
      <c r="C38" s="6" t="s">
        <v>3155</v>
      </c>
      <c r="D38" s="9" t="s">
        <v>88</v>
      </c>
      <c r="E38" s="39" t="s">
        <v>271</v>
      </c>
      <c r="F38" s="9">
        <v>15.900700000000001</v>
      </c>
      <c r="G38" s="9">
        <v>120.914</v>
      </c>
      <c r="H38" s="9" t="str">
        <f>CONCATENATE(F38,",",G38)</f>
        <v>15.9007,120.914</v>
      </c>
      <c r="I38" s="9" t="s">
        <v>123</v>
      </c>
      <c r="J38" s="9" t="s">
        <v>64</v>
      </c>
      <c r="K38" s="9" t="s">
        <v>29</v>
      </c>
      <c r="L38" s="9"/>
      <c r="M38" s="9" t="s">
        <v>130</v>
      </c>
      <c r="N38" s="9"/>
      <c r="O38" s="22"/>
      <c r="P38" s="22"/>
      <c r="Q38" s="22"/>
      <c r="R38" s="22"/>
      <c r="S38" s="22"/>
      <c r="T38" s="24" t="str">
        <f t="shared" si="5"/>
        <v/>
      </c>
      <c r="U38" s="24" t="str">
        <f t="shared" si="6"/>
        <v/>
      </c>
      <c r="V38" s="24" t="str">
        <f t="shared" si="7"/>
        <v/>
      </c>
      <c r="W38" s="24" t="str">
        <f t="shared" si="8"/>
        <v/>
      </c>
      <c r="X38" s="9"/>
      <c r="Y38" s="9"/>
      <c r="Z38" s="6"/>
      <c r="AA38" s="6"/>
      <c r="AB38" s="9"/>
      <c r="AC38" s="9"/>
      <c r="AD38" s="272"/>
      <c r="AE38" s="9"/>
      <c r="AF38" s="9"/>
      <c r="AG38" s="6"/>
      <c r="AH38" s="6"/>
      <c r="AI38" s="9"/>
      <c r="AJ38" s="9"/>
      <c r="AK38" s="9"/>
      <c r="AL38" s="9"/>
      <c r="AM38" s="9"/>
      <c r="AN38" s="6"/>
      <c r="AO38" s="9"/>
      <c r="AP38" s="9"/>
    </row>
    <row r="39" spans="1:42" ht="15" customHeight="1">
      <c r="A39" s="6" t="s">
        <v>50</v>
      </c>
      <c r="B39" s="6" t="s">
        <v>5975</v>
      </c>
      <c r="C39" s="6" t="s">
        <v>250</v>
      </c>
      <c r="D39" s="9" t="s">
        <v>88</v>
      </c>
      <c r="E39" s="39" t="s">
        <v>243</v>
      </c>
      <c r="F39" s="9">
        <v>15.4315</v>
      </c>
      <c r="G39" s="9">
        <v>120.803</v>
      </c>
      <c r="H39" s="9" t="str">
        <f>CONCATENATE(F39,",",G39)</f>
        <v>15.4315,120.803</v>
      </c>
      <c r="I39" s="9" t="s">
        <v>123</v>
      </c>
      <c r="J39" s="9" t="s">
        <v>64</v>
      </c>
      <c r="K39" s="9" t="s">
        <v>140</v>
      </c>
      <c r="L39" s="9"/>
      <c r="M39" s="9" t="s">
        <v>130</v>
      </c>
      <c r="N39" s="9"/>
      <c r="O39" s="22"/>
      <c r="P39" s="22"/>
      <c r="Q39" s="22"/>
      <c r="R39" s="22"/>
      <c r="S39" s="22"/>
      <c r="T39" s="24" t="str">
        <f t="shared" si="5"/>
        <v/>
      </c>
      <c r="U39" s="24" t="str">
        <f t="shared" si="6"/>
        <v/>
      </c>
      <c r="V39" s="24" t="str">
        <f t="shared" si="7"/>
        <v/>
      </c>
      <c r="W39" s="24" t="str">
        <f t="shared" si="8"/>
        <v/>
      </c>
      <c r="X39" s="9"/>
      <c r="Y39" s="9"/>
      <c r="Z39" s="6"/>
      <c r="AA39" s="6"/>
      <c r="AB39" s="44"/>
      <c r="AC39" s="9"/>
      <c r="AD39" s="272"/>
      <c r="AE39" s="9"/>
      <c r="AF39" s="9"/>
      <c r="AG39" s="6"/>
      <c r="AH39" s="6"/>
      <c r="AI39" s="9"/>
      <c r="AJ39" s="9"/>
      <c r="AK39" s="9"/>
      <c r="AL39" s="9"/>
      <c r="AM39" s="9"/>
      <c r="AN39" s="6"/>
      <c r="AO39" s="9"/>
      <c r="AP39" s="9"/>
    </row>
    <row r="40" spans="1:42" ht="15" customHeight="1">
      <c r="A40" s="6" t="s">
        <v>51</v>
      </c>
      <c r="B40" s="6" t="s">
        <v>392</v>
      </c>
      <c r="C40" s="6" t="s">
        <v>1043</v>
      </c>
      <c r="D40" s="9" t="s">
        <v>88</v>
      </c>
      <c r="E40" s="7" t="s">
        <v>224</v>
      </c>
      <c r="F40" s="9">
        <v>14.9635</v>
      </c>
      <c r="G40" s="9">
        <v>120.663</v>
      </c>
      <c r="H40" s="9" t="str">
        <f>CONCATENATE(F40,",",G40)</f>
        <v>14.9635,120.663</v>
      </c>
      <c r="I40" s="9" t="s">
        <v>123</v>
      </c>
      <c r="J40" s="9" t="s">
        <v>64</v>
      </c>
      <c r="K40" s="9" t="s">
        <v>142</v>
      </c>
      <c r="L40" s="9"/>
      <c r="M40" s="9" t="s">
        <v>239</v>
      </c>
      <c r="N40" s="9"/>
      <c r="O40" s="22"/>
      <c r="P40" s="22"/>
      <c r="Q40" s="22"/>
      <c r="R40" s="22"/>
      <c r="S40" s="22"/>
      <c r="T40" s="24" t="str">
        <f t="shared" si="5"/>
        <v/>
      </c>
      <c r="U40" s="24" t="str">
        <f t="shared" si="6"/>
        <v/>
      </c>
      <c r="V40" s="24" t="str">
        <f t="shared" si="7"/>
        <v/>
      </c>
      <c r="W40" s="24" t="str">
        <f t="shared" si="8"/>
        <v/>
      </c>
      <c r="X40" s="9"/>
      <c r="Y40" s="9"/>
      <c r="Z40" s="6"/>
      <c r="AA40" s="6"/>
      <c r="AB40" s="9"/>
      <c r="AC40" s="9"/>
      <c r="AD40" s="272"/>
      <c r="AE40" s="9"/>
      <c r="AF40" s="9"/>
      <c r="AG40" s="6"/>
      <c r="AH40" s="6"/>
      <c r="AI40" s="9"/>
      <c r="AJ40" s="9"/>
      <c r="AK40" s="9"/>
      <c r="AL40" s="9"/>
      <c r="AM40" s="9"/>
      <c r="AN40" s="6"/>
      <c r="AO40" s="9"/>
      <c r="AP40" s="9"/>
    </row>
    <row r="41" spans="1:42" ht="15" customHeight="1">
      <c r="A41" s="6" t="s">
        <v>52</v>
      </c>
      <c r="B41" s="6" t="s">
        <v>357</v>
      </c>
      <c r="C41" s="6" t="s">
        <v>1025</v>
      </c>
      <c r="D41" s="9" t="s">
        <v>89</v>
      </c>
      <c r="E41" s="7"/>
      <c r="F41" s="9">
        <v>15.78931</v>
      </c>
      <c r="G41" s="9">
        <v>120.60471</v>
      </c>
      <c r="H41" s="9" t="s">
        <v>5976</v>
      </c>
      <c r="I41" s="9" t="s">
        <v>123</v>
      </c>
      <c r="J41" s="9" t="s">
        <v>64</v>
      </c>
      <c r="K41" s="9" t="s">
        <v>38</v>
      </c>
      <c r="L41" s="9"/>
      <c r="M41" s="9" t="s">
        <v>28</v>
      </c>
      <c r="N41" s="9"/>
      <c r="O41" s="22"/>
      <c r="P41" s="22"/>
      <c r="Q41" s="22"/>
      <c r="R41" s="22"/>
      <c r="S41" s="22"/>
      <c r="T41" s="24" t="str">
        <f t="shared" si="5"/>
        <v/>
      </c>
      <c r="U41" s="24" t="str">
        <f t="shared" si="6"/>
        <v/>
      </c>
      <c r="V41" s="24" t="str">
        <f t="shared" si="7"/>
        <v/>
      </c>
      <c r="W41" s="24" t="str">
        <f t="shared" si="8"/>
        <v/>
      </c>
      <c r="X41" s="9"/>
      <c r="Y41" s="9"/>
      <c r="Z41" s="6"/>
      <c r="AA41" s="6"/>
      <c r="AB41" s="9"/>
      <c r="AC41" s="9"/>
      <c r="AD41" s="272"/>
      <c r="AE41" s="9"/>
      <c r="AF41" s="6"/>
      <c r="AG41" s="6"/>
      <c r="AH41" s="6"/>
      <c r="AI41" s="9"/>
      <c r="AJ41" s="9"/>
      <c r="AK41" s="9"/>
      <c r="AL41" s="9"/>
      <c r="AM41" s="9"/>
      <c r="AN41" s="6"/>
      <c r="AO41" s="9"/>
      <c r="AP41" s="9"/>
    </row>
    <row r="42" spans="1:42" ht="15" customHeight="1">
      <c r="A42" s="6" t="s">
        <v>53</v>
      </c>
      <c r="B42" s="6" t="s">
        <v>544</v>
      </c>
      <c r="C42" s="6" t="s">
        <v>764</v>
      </c>
      <c r="D42" s="9" t="s">
        <v>89</v>
      </c>
      <c r="E42" s="32" t="s">
        <v>271</v>
      </c>
      <c r="F42" s="9">
        <v>15.160399999999999</v>
      </c>
      <c r="G42" s="9">
        <v>120.075</v>
      </c>
      <c r="H42" s="9" t="str">
        <f>CONCATENATE(F42,",",G42)</f>
        <v>15.1604,120.075</v>
      </c>
      <c r="I42" s="9" t="s">
        <v>123</v>
      </c>
      <c r="J42" s="9" t="s">
        <v>64</v>
      </c>
      <c r="K42" s="9" t="s">
        <v>697</v>
      </c>
      <c r="L42" s="9"/>
      <c r="M42" s="9" t="s">
        <v>133</v>
      </c>
      <c r="N42" s="9"/>
      <c r="O42" s="22"/>
      <c r="P42" s="22"/>
      <c r="Q42" s="22"/>
      <c r="R42" s="22"/>
      <c r="S42" s="22"/>
      <c r="T42" s="24" t="str">
        <f t="shared" si="5"/>
        <v/>
      </c>
      <c r="U42" s="24" t="str">
        <f t="shared" si="6"/>
        <v/>
      </c>
      <c r="V42" s="24" t="str">
        <f t="shared" si="7"/>
        <v/>
      </c>
      <c r="W42" s="24" t="str">
        <f t="shared" si="8"/>
        <v/>
      </c>
      <c r="X42" s="9"/>
      <c r="Y42" s="9"/>
      <c r="Z42" s="6"/>
      <c r="AA42" s="6"/>
      <c r="AB42" s="9"/>
      <c r="AC42" s="9"/>
      <c r="AD42" s="272"/>
      <c r="AE42" s="9"/>
      <c r="AF42" s="9"/>
      <c r="AG42" s="6"/>
      <c r="AH42" s="6"/>
      <c r="AI42" s="9"/>
      <c r="AJ42" s="9"/>
      <c r="AK42" s="9"/>
      <c r="AL42" s="9"/>
      <c r="AM42" s="9"/>
      <c r="AN42" s="6"/>
      <c r="AO42" s="9"/>
      <c r="AP42" s="9" t="s">
        <v>5977</v>
      </c>
    </row>
    <row r="43" spans="1:42" ht="15" customHeight="1">
      <c r="A43" s="6" t="s">
        <v>47</v>
      </c>
      <c r="B43" s="6" t="s">
        <v>472</v>
      </c>
      <c r="C43" s="6" t="s">
        <v>875</v>
      </c>
      <c r="D43" s="9" t="s">
        <v>89</v>
      </c>
      <c r="E43" s="39" t="s">
        <v>259</v>
      </c>
      <c r="F43" s="9">
        <v>15.3817</v>
      </c>
      <c r="G43" s="9">
        <v>121.381</v>
      </c>
      <c r="H43" s="9" t="str">
        <f>CONCATENATE(F43,",",G43)</f>
        <v>15.3817,121.381</v>
      </c>
      <c r="I43" s="9" t="s">
        <v>123</v>
      </c>
      <c r="J43" s="9"/>
      <c r="K43" s="9" t="s">
        <v>14</v>
      </c>
      <c r="L43" s="9"/>
      <c r="M43" s="9" t="s">
        <v>128</v>
      </c>
      <c r="N43" s="9"/>
      <c r="O43" s="22"/>
      <c r="P43" s="22"/>
      <c r="Q43" s="22"/>
      <c r="R43" s="22"/>
      <c r="S43" s="22"/>
      <c r="T43" s="24" t="str">
        <f t="shared" si="5"/>
        <v/>
      </c>
      <c r="U43" s="24" t="str">
        <f t="shared" si="6"/>
        <v/>
      </c>
      <c r="V43" s="24" t="str">
        <f t="shared" si="7"/>
        <v/>
      </c>
      <c r="W43" s="24" t="str">
        <f t="shared" si="8"/>
        <v/>
      </c>
      <c r="X43" s="9"/>
      <c r="Y43" s="9"/>
      <c r="Z43" s="6"/>
      <c r="AA43" s="6"/>
      <c r="AB43" s="9"/>
      <c r="AC43" s="9"/>
      <c r="AD43" s="272"/>
      <c r="AE43" s="9"/>
      <c r="AF43" s="9"/>
      <c r="AG43" s="6"/>
      <c r="AH43" s="6"/>
      <c r="AI43" s="9"/>
      <c r="AJ43" s="9"/>
      <c r="AK43" s="9"/>
      <c r="AL43" s="9"/>
      <c r="AM43" s="9"/>
      <c r="AN43" s="6"/>
      <c r="AO43" s="9"/>
      <c r="AP43" s="9"/>
    </row>
    <row r="44" spans="1:42" ht="48.75" customHeight="1">
      <c r="A44" s="6" t="s">
        <v>48</v>
      </c>
      <c r="B44" s="6" t="s">
        <v>477</v>
      </c>
      <c r="C44" s="6" t="s">
        <v>817</v>
      </c>
      <c r="D44" s="9" t="s">
        <v>88</v>
      </c>
      <c r="E44" s="39" t="s">
        <v>243</v>
      </c>
      <c r="F44" s="9">
        <v>14.7035</v>
      </c>
      <c r="G44" s="9">
        <v>120.488</v>
      </c>
      <c r="H44" s="9" t="str">
        <f>CONCATENATE(F44,",",G44)</f>
        <v>14.7035,120.488</v>
      </c>
      <c r="I44" s="9" t="s">
        <v>123</v>
      </c>
      <c r="J44" s="9"/>
      <c r="K44" s="9" t="s">
        <v>273</v>
      </c>
      <c r="L44" s="9"/>
      <c r="M44" s="9" t="s">
        <v>129</v>
      </c>
      <c r="N44" s="9"/>
      <c r="O44" s="22"/>
      <c r="P44" s="22"/>
      <c r="Q44" s="22"/>
      <c r="R44" s="22"/>
      <c r="S44" s="22"/>
      <c r="T44" s="24" t="str">
        <f t="shared" si="5"/>
        <v/>
      </c>
      <c r="U44" s="24" t="str">
        <f t="shared" si="6"/>
        <v/>
      </c>
      <c r="V44" s="24" t="str">
        <f t="shared" si="7"/>
        <v/>
      </c>
      <c r="W44" s="24" t="str">
        <f t="shared" si="8"/>
        <v/>
      </c>
      <c r="X44" s="6"/>
      <c r="Z44" s="6"/>
      <c r="AA44" s="6"/>
      <c r="AB44" s="9"/>
      <c r="AC44" s="9"/>
      <c r="AD44" s="272"/>
      <c r="AE44" s="9"/>
      <c r="AF44" s="9"/>
      <c r="AG44" s="6"/>
      <c r="AH44" s="6"/>
      <c r="AI44" s="9"/>
      <c r="AJ44" s="9"/>
      <c r="AK44" s="9"/>
      <c r="AL44" s="9"/>
      <c r="AM44" s="9"/>
      <c r="AN44" s="6"/>
      <c r="AO44" s="9"/>
      <c r="AP44" s="9"/>
    </row>
    <row r="45" spans="1:42" ht="15" customHeight="1">
      <c r="A45" s="6" t="s">
        <v>48</v>
      </c>
      <c r="B45" s="6" t="s">
        <v>336</v>
      </c>
      <c r="C45" s="6" t="s">
        <v>1265</v>
      </c>
      <c r="D45" s="9" t="s">
        <v>88</v>
      </c>
      <c r="E45" s="39" t="s">
        <v>213</v>
      </c>
      <c r="F45" s="9">
        <v>14.42460374</v>
      </c>
      <c r="G45" s="9">
        <v>120.48033257</v>
      </c>
      <c r="H45" s="446" t="s">
        <v>5978</v>
      </c>
      <c r="I45" s="9" t="s">
        <v>123</v>
      </c>
      <c r="J45" s="9"/>
      <c r="K45" s="9" t="s">
        <v>19</v>
      </c>
      <c r="L45" s="9"/>
      <c r="M45" s="9" t="s">
        <v>129</v>
      </c>
      <c r="N45" s="256"/>
      <c r="O45" s="22"/>
      <c r="P45" s="22"/>
      <c r="Q45" s="22"/>
      <c r="R45" s="22"/>
      <c r="S45" s="22"/>
      <c r="T45" s="24" t="str">
        <f t="shared" si="5"/>
        <v/>
      </c>
      <c r="U45" s="24" t="str">
        <f t="shared" si="6"/>
        <v/>
      </c>
      <c r="V45" s="24" t="str">
        <f t="shared" si="7"/>
        <v/>
      </c>
      <c r="W45" s="24" t="str">
        <f t="shared" si="8"/>
        <v/>
      </c>
      <c r="X45" s="9"/>
      <c r="Y45" s="9"/>
      <c r="Z45" s="6"/>
      <c r="AA45" s="6"/>
      <c r="AB45" s="9"/>
      <c r="AC45" s="44"/>
      <c r="AD45" s="272"/>
      <c r="AE45" s="9"/>
      <c r="AF45" s="9"/>
      <c r="AG45" s="6"/>
      <c r="AH45" s="6"/>
      <c r="AI45" s="9"/>
      <c r="AJ45" s="9"/>
      <c r="AK45" s="9"/>
      <c r="AL45" s="9"/>
      <c r="AM45" s="9"/>
      <c r="AN45" s="6"/>
      <c r="AO45" s="9"/>
      <c r="AP45" s="9"/>
    </row>
    <row r="46" spans="1:42" ht="15" customHeight="1">
      <c r="A46" s="6" t="s">
        <v>48</v>
      </c>
      <c r="B46" s="6" t="s">
        <v>486</v>
      </c>
      <c r="C46" s="6" t="s">
        <v>1013</v>
      </c>
      <c r="D46" s="9" t="s">
        <v>88</v>
      </c>
      <c r="E46" s="39" t="s">
        <v>243</v>
      </c>
      <c r="F46" s="9">
        <v>14.7852</v>
      </c>
      <c r="G46" s="9">
        <v>120.476</v>
      </c>
      <c r="H46" s="9" t="str">
        <f>CONCATENATE(F46,",",G46)</f>
        <v>14.7852,120.476</v>
      </c>
      <c r="I46" s="9" t="s">
        <v>123</v>
      </c>
      <c r="J46" s="9"/>
      <c r="K46" s="9" t="s">
        <v>217</v>
      </c>
      <c r="L46" s="9"/>
      <c r="M46" s="9" t="s">
        <v>129</v>
      </c>
      <c r="N46" s="9"/>
      <c r="O46" s="22"/>
      <c r="P46" s="21"/>
      <c r="Q46" s="22"/>
      <c r="R46" s="22"/>
      <c r="S46" s="22"/>
      <c r="T46" s="24" t="str">
        <f t="shared" si="5"/>
        <v/>
      </c>
      <c r="U46" s="24" t="str">
        <f t="shared" si="6"/>
        <v/>
      </c>
      <c r="V46" s="24" t="str">
        <f t="shared" si="7"/>
        <v/>
      </c>
      <c r="W46" s="24" t="str">
        <f t="shared" si="8"/>
        <v/>
      </c>
      <c r="X46" s="9"/>
      <c r="Y46" s="9"/>
      <c r="Z46" s="6"/>
      <c r="AA46" s="6"/>
      <c r="AB46" s="44"/>
      <c r="AC46" s="44"/>
      <c r="AD46" s="272"/>
      <c r="AE46" s="9"/>
      <c r="AF46" s="9"/>
      <c r="AG46" s="6"/>
      <c r="AH46" s="6"/>
      <c r="AI46" s="9"/>
      <c r="AJ46" s="9"/>
      <c r="AK46" s="9"/>
      <c r="AL46" s="9"/>
      <c r="AM46" s="9"/>
      <c r="AN46" s="6"/>
      <c r="AO46" s="9"/>
      <c r="AP46" s="9"/>
    </row>
    <row r="47" spans="1:42" ht="15" customHeight="1">
      <c r="A47" s="6" t="s">
        <v>49</v>
      </c>
      <c r="B47" s="6" t="s">
        <v>488</v>
      </c>
      <c r="C47" s="6" t="s">
        <v>1063</v>
      </c>
      <c r="D47" s="9" t="s">
        <v>88</v>
      </c>
      <c r="E47" s="39" t="s">
        <v>381</v>
      </c>
      <c r="F47" s="9">
        <v>14.9374</v>
      </c>
      <c r="G47" s="9">
        <v>120.974</v>
      </c>
      <c r="H47" s="9" t="str">
        <f>CONCATENATE(F47,",",G47)</f>
        <v>14.9374,120.974</v>
      </c>
      <c r="I47" s="9" t="s">
        <v>123</v>
      </c>
      <c r="J47" s="9"/>
      <c r="K47" s="9" t="s">
        <v>344</v>
      </c>
      <c r="L47" s="9"/>
      <c r="M47" s="9" t="s">
        <v>128</v>
      </c>
      <c r="N47" s="9"/>
      <c r="O47" s="22"/>
      <c r="P47" s="22"/>
      <c r="Q47" s="22"/>
      <c r="R47" s="22"/>
      <c r="S47" s="22"/>
      <c r="T47" s="24" t="str">
        <f t="shared" si="5"/>
        <v/>
      </c>
      <c r="U47" s="24" t="str">
        <f t="shared" si="6"/>
        <v/>
      </c>
      <c r="V47" s="24" t="str">
        <f t="shared" si="7"/>
        <v/>
      </c>
      <c r="W47" s="24" t="str">
        <f t="shared" si="8"/>
        <v/>
      </c>
      <c r="X47" s="9"/>
      <c r="Y47" s="9"/>
      <c r="Z47" s="6"/>
      <c r="AA47" s="6"/>
      <c r="AB47" s="9"/>
      <c r="AC47" s="9"/>
      <c r="AD47" s="272"/>
      <c r="AE47" s="9"/>
      <c r="AF47" s="9"/>
      <c r="AG47" s="6"/>
      <c r="AH47" s="6"/>
      <c r="AI47" s="9"/>
      <c r="AJ47" s="9"/>
      <c r="AK47" s="9"/>
      <c r="AL47" s="9"/>
      <c r="AM47" s="9"/>
      <c r="AN47" s="6"/>
      <c r="AO47" s="9"/>
      <c r="AP47" s="9"/>
    </row>
    <row r="48" spans="1:42" ht="51" customHeight="1">
      <c r="A48" s="6" t="s">
        <v>49</v>
      </c>
      <c r="B48" s="6" t="s">
        <v>401</v>
      </c>
      <c r="C48" s="6" t="s">
        <v>1064</v>
      </c>
      <c r="D48" s="9" t="s">
        <v>88</v>
      </c>
      <c r="E48" s="39" t="s">
        <v>243</v>
      </c>
      <c r="F48" s="9">
        <v>14.8475</v>
      </c>
      <c r="G48" s="9">
        <v>120.919</v>
      </c>
      <c r="H48" s="9" t="s">
        <v>5979</v>
      </c>
      <c r="I48" s="9" t="s">
        <v>123</v>
      </c>
      <c r="J48" s="9"/>
      <c r="K48" s="9" t="s">
        <v>135</v>
      </c>
      <c r="L48" s="9"/>
      <c r="M48" s="9" t="s">
        <v>128</v>
      </c>
      <c r="N48" s="9"/>
      <c r="O48" s="22"/>
      <c r="P48" s="22"/>
      <c r="Q48" s="22"/>
      <c r="R48" s="22"/>
      <c r="S48" s="22"/>
      <c r="T48" s="24" t="str">
        <f t="shared" si="5"/>
        <v/>
      </c>
      <c r="U48" s="24" t="str">
        <f t="shared" si="6"/>
        <v/>
      </c>
      <c r="V48" s="24" t="str">
        <f t="shared" si="7"/>
        <v/>
      </c>
      <c r="W48" s="24" t="str">
        <f t="shared" si="8"/>
        <v/>
      </c>
      <c r="X48" s="9"/>
      <c r="Y48" s="9"/>
      <c r="Z48" s="6"/>
      <c r="AA48" s="6"/>
      <c r="AD48" s="272"/>
      <c r="AE48" s="9"/>
      <c r="AF48" s="6"/>
      <c r="AG48" s="6"/>
      <c r="AH48" s="6"/>
      <c r="AI48" s="9"/>
      <c r="AJ48" s="9"/>
      <c r="AK48" s="9"/>
      <c r="AL48" s="9"/>
      <c r="AM48" s="9"/>
      <c r="AN48" s="6"/>
      <c r="AO48" s="9"/>
      <c r="AP48" s="9"/>
    </row>
    <row r="49" spans="1:42" ht="15" customHeight="1">
      <c r="A49" s="6" t="s">
        <v>49</v>
      </c>
      <c r="B49" s="6" t="s">
        <v>375</v>
      </c>
      <c r="C49" s="6" t="s">
        <v>1067</v>
      </c>
      <c r="D49" s="9" t="s">
        <v>88</v>
      </c>
      <c r="E49" s="39" t="s">
        <v>213</v>
      </c>
      <c r="F49" s="9">
        <v>14.9831</v>
      </c>
      <c r="G49" s="9">
        <v>121.06</v>
      </c>
      <c r="H49" s="9" t="str">
        <f t="shared" ref="H49:H68" si="9">CONCATENATE(F49,",",G49)</f>
        <v>14.9831,121.06</v>
      </c>
      <c r="I49" s="9" t="s">
        <v>123</v>
      </c>
      <c r="J49" s="9"/>
      <c r="K49" s="9" t="s">
        <v>23</v>
      </c>
      <c r="L49" s="9"/>
      <c r="M49" s="9" t="s">
        <v>128</v>
      </c>
      <c r="N49" s="9"/>
      <c r="O49" s="22"/>
      <c r="P49" s="22"/>
      <c r="Q49" s="22"/>
      <c r="R49" s="22"/>
      <c r="S49" s="22"/>
      <c r="T49" s="24" t="str">
        <f t="shared" si="5"/>
        <v/>
      </c>
      <c r="U49" s="24" t="str">
        <f t="shared" si="6"/>
        <v/>
      </c>
      <c r="V49" s="24" t="str">
        <f t="shared" si="7"/>
        <v/>
      </c>
      <c r="W49" s="24" t="str">
        <f t="shared" si="8"/>
        <v/>
      </c>
      <c r="X49" s="9"/>
      <c r="Y49" s="9"/>
      <c r="Z49" s="6"/>
      <c r="AA49" s="6"/>
      <c r="AB49" s="9"/>
      <c r="AC49" s="9"/>
      <c r="AD49" s="272"/>
      <c r="AE49" s="9"/>
      <c r="AF49" s="9"/>
      <c r="AG49" s="6"/>
      <c r="AH49" s="6"/>
      <c r="AI49" s="9"/>
      <c r="AJ49" s="9"/>
      <c r="AK49" s="9"/>
      <c r="AL49" s="9"/>
      <c r="AM49" s="9"/>
      <c r="AN49" s="6"/>
      <c r="AO49" s="9"/>
      <c r="AP49" s="9"/>
    </row>
    <row r="50" spans="1:42" ht="15" customHeight="1">
      <c r="A50" s="6" t="s">
        <v>49</v>
      </c>
      <c r="B50" s="6" t="s">
        <v>342</v>
      </c>
      <c r="C50" s="6" t="s">
        <v>1068</v>
      </c>
      <c r="D50" s="9" t="s">
        <v>88</v>
      </c>
      <c r="E50" s="39" t="s">
        <v>243</v>
      </c>
      <c r="F50" s="9">
        <v>14.850300000000001</v>
      </c>
      <c r="G50" s="9">
        <v>120.765</v>
      </c>
      <c r="H50" s="9" t="str">
        <f t="shared" si="9"/>
        <v>14.8503,120.765</v>
      </c>
      <c r="I50" s="9" t="s">
        <v>123</v>
      </c>
      <c r="J50" s="9"/>
      <c r="K50" s="9" t="s">
        <v>344</v>
      </c>
      <c r="L50" s="9"/>
      <c r="M50" s="9" t="s">
        <v>128</v>
      </c>
      <c r="N50" s="9"/>
      <c r="O50" s="22"/>
      <c r="P50" s="22"/>
      <c r="Q50" s="22"/>
      <c r="R50" s="22"/>
      <c r="S50" s="22"/>
      <c r="T50" s="24" t="str">
        <f t="shared" si="5"/>
        <v/>
      </c>
      <c r="U50" s="24" t="str">
        <f t="shared" si="6"/>
        <v/>
      </c>
      <c r="V50" s="24" t="str">
        <f t="shared" si="7"/>
        <v/>
      </c>
      <c r="W50" s="24" t="str">
        <f t="shared" si="8"/>
        <v/>
      </c>
      <c r="X50" s="3"/>
      <c r="Y50" s="9"/>
      <c r="Z50" s="6"/>
      <c r="AA50" s="6"/>
      <c r="AB50" s="66"/>
      <c r="AC50" s="9"/>
      <c r="AD50" s="272"/>
      <c r="AE50" s="9"/>
      <c r="AF50" s="9"/>
      <c r="AG50" s="6"/>
      <c r="AH50" s="6"/>
      <c r="AI50" s="9"/>
      <c r="AJ50" s="9"/>
      <c r="AK50" s="9"/>
      <c r="AL50" s="9"/>
      <c r="AM50" s="9"/>
      <c r="AN50" s="6"/>
      <c r="AO50" s="9"/>
      <c r="AP50" s="271"/>
    </row>
    <row r="51" spans="1:42" ht="15" customHeight="1">
      <c r="A51" s="6" t="s">
        <v>49</v>
      </c>
      <c r="B51" s="6" t="s">
        <v>503</v>
      </c>
      <c r="C51" s="6" t="s">
        <v>5980</v>
      </c>
      <c r="D51" s="9" t="s">
        <v>88</v>
      </c>
      <c r="E51" s="39" t="s">
        <v>243</v>
      </c>
      <c r="F51" s="9">
        <v>14.899800000000001</v>
      </c>
      <c r="G51" s="9">
        <v>120.866</v>
      </c>
      <c r="H51" s="9" t="str">
        <f t="shared" si="9"/>
        <v>14.8998,120.866</v>
      </c>
      <c r="I51" s="9" t="s">
        <v>123</v>
      </c>
      <c r="J51" s="9"/>
      <c r="K51" s="9" t="s">
        <v>135</v>
      </c>
      <c r="L51" s="9"/>
      <c r="M51" s="9" t="s">
        <v>128</v>
      </c>
      <c r="N51" s="9"/>
      <c r="O51" s="22"/>
      <c r="P51" s="22"/>
      <c r="Q51" s="22"/>
      <c r="R51" s="22"/>
      <c r="S51" s="22"/>
      <c r="T51" s="24" t="str">
        <f t="shared" si="5"/>
        <v/>
      </c>
      <c r="U51" s="24" t="str">
        <f t="shared" si="6"/>
        <v/>
      </c>
      <c r="V51" s="24" t="str">
        <f t="shared" si="7"/>
        <v/>
      </c>
      <c r="W51" s="24" t="str">
        <f t="shared" si="8"/>
        <v/>
      </c>
      <c r="X51" s="9"/>
      <c r="Y51" s="9"/>
      <c r="Z51" s="6"/>
      <c r="AA51" s="6"/>
      <c r="AB51" s="9"/>
      <c r="AC51" s="9"/>
      <c r="AD51" s="272"/>
      <c r="AE51" s="9"/>
      <c r="AF51" s="9"/>
      <c r="AG51" s="6"/>
      <c r="AH51" s="6"/>
      <c r="AI51" s="9"/>
      <c r="AJ51" s="9"/>
      <c r="AK51" s="9"/>
      <c r="AL51" s="9"/>
      <c r="AM51" s="9"/>
      <c r="AN51" s="6"/>
      <c r="AO51" s="9"/>
      <c r="AP51" s="9"/>
    </row>
    <row r="52" spans="1:42" ht="15" customHeight="1">
      <c r="A52" s="6" t="s">
        <v>49</v>
      </c>
      <c r="B52" s="6" t="s">
        <v>378</v>
      </c>
      <c r="C52" s="6" t="s">
        <v>5981</v>
      </c>
      <c r="D52" s="9" t="s">
        <v>88</v>
      </c>
      <c r="E52" s="39" t="s">
        <v>213</v>
      </c>
      <c r="F52" s="9">
        <v>14.980499999999999</v>
      </c>
      <c r="G52" s="9">
        <v>120.974</v>
      </c>
      <c r="H52" s="9" t="str">
        <f t="shared" si="9"/>
        <v>14.9805,120.974</v>
      </c>
      <c r="I52" s="9" t="s">
        <v>123</v>
      </c>
      <c r="J52" s="9"/>
      <c r="K52" s="9" t="s">
        <v>23</v>
      </c>
      <c r="L52" s="9"/>
      <c r="M52" s="9" t="s">
        <v>128</v>
      </c>
      <c r="N52" s="7"/>
      <c r="O52" s="22"/>
      <c r="P52" s="22"/>
      <c r="Q52" s="22"/>
      <c r="R52" s="22"/>
      <c r="S52" s="22"/>
      <c r="T52" s="24" t="str">
        <f t="shared" si="5"/>
        <v/>
      </c>
      <c r="U52" s="24" t="str">
        <f t="shared" si="6"/>
        <v/>
      </c>
      <c r="V52" s="24" t="str">
        <f t="shared" si="7"/>
        <v/>
      </c>
      <c r="W52" s="24" t="str">
        <f t="shared" si="8"/>
        <v/>
      </c>
      <c r="X52" s="9"/>
      <c r="Y52" s="9"/>
      <c r="Z52" s="6"/>
      <c r="AA52" s="6"/>
      <c r="AB52" s="9"/>
      <c r="AC52" s="329"/>
      <c r="AD52" s="272"/>
      <c r="AE52" s="9"/>
      <c r="AF52" s="9"/>
      <c r="AG52" s="6"/>
      <c r="AH52" s="6"/>
      <c r="AI52" s="9"/>
      <c r="AJ52" s="9"/>
      <c r="AK52" s="9"/>
      <c r="AL52" s="9"/>
      <c r="AM52" s="9"/>
      <c r="AN52" s="6"/>
      <c r="AO52" s="9"/>
      <c r="AP52" s="9"/>
    </row>
    <row r="53" spans="1:42" ht="15" customHeight="1">
      <c r="A53" s="6" t="s">
        <v>50</v>
      </c>
      <c r="B53" s="6" t="s">
        <v>407</v>
      </c>
      <c r="C53" s="6" t="s">
        <v>250</v>
      </c>
      <c r="D53" s="9" t="s">
        <v>88</v>
      </c>
      <c r="E53" s="39" t="s">
        <v>224</v>
      </c>
      <c r="F53" s="9">
        <v>15.812099999999999</v>
      </c>
      <c r="G53" s="9">
        <v>120.836</v>
      </c>
      <c r="H53" s="9" t="str">
        <f t="shared" si="9"/>
        <v>15.8121,120.836</v>
      </c>
      <c r="I53" s="9" t="s">
        <v>123</v>
      </c>
      <c r="J53" s="9"/>
      <c r="K53" s="9" t="s">
        <v>30</v>
      </c>
      <c r="L53" s="9"/>
      <c r="M53" s="9" t="s">
        <v>130</v>
      </c>
      <c r="N53" s="9"/>
      <c r="O53" s="22"/>
      <c r="P53" s="22"/>
      <c r="Q53" s="22"/>
      <c r="R53" s="22"/>
      <c r="S53" s="22"/>
      <c r="T53" s="24" t="str">
        <f t="shared" si="5"/>
        <v/>
      </c>
      <c r="U53" s="24" t="str">
        <f t="shared" si="6"/>
        <v/>
      </c>
      <c r="V53" s="24" t="str">
        <f t="shared" si="7"/>
        <v/>
      </c>
      <c r="W53" s="24" t="str">
        <f t="shared" si="8"/>
        <v/>
      </c>
      <c r="X53" s="6"/>
      <c r="Y53" s="9"/>
      <c r="Z53" s="6"/>
      <c r="AA53" s="6"/>
      <c r="AB53" s="9"/>
      <c r="AC53" s="9"/>
      <c r="AD53" s="272"/>
      <c r="AE53" s="9"/>
      <c r="AF53" s="9"/>
      <c r="AG53" s="6"/>
      <c r="AH53" s="6"/>
      <c r="AI53" s="9"/>
      <c r="AJ53" s="9"/>
      <c r="AK53" s="9"/>
      <c r="AL53" s="9"/>
      <c r="AM53" s="9"/>
      <c r="AN53" s="6"/>
      <c r="AO53" s="9"/>
      <c r="AP53" s="9"/>
    </row>
    <row r="54" spans="1:42" ht="15" customHeight="1">
      <c r="A54" s="6" t="s">
        <v>50</v>
      </c>
      <c r="B54" s="6" t="s">
        <v>507</v>
      </c>
      <c r="C54" s="6" t="s">
        <v>784</v>
      </c>
      <c r="D54" s="9" t="s">
        <v>89</v>
      </c>
      <c r="E54" s="39" t="s">
        <v>243</v>
      </c>
      <c r="F54" s="9">
        <v>15.811753400000001</v>
      </c>
      <c r="G54" s="9">
        <v>120.6774928</v>
      </c>
      <c r="H54" s="9" t="str">
        <f t="shared" si="9"/>
        <v>15.8117534,120.6774928</v>
      </c>
      <c r="I54" s="9" t="s">
        <v>123</v>
      </c>
      <c r="J54" s="9"/>
      <c r="K54" s="9" t="s">
        <v>29</v>
      </c>
      <c r="L54" s="9"/>
      <c r="M54" s="9" t="s">
        <v>130</v>
      </c>
      <c r="N54" s="256"/>
      <c r="O54" s="22"/>
      <c r="P54" s="22"/>
      <c r="Q54" s="22"/>
      <c r="R54" s="22"/>
      <c r="S54" s="22"/>
      <c r="T54" s="24" t="str">
        <f t="shared" si="5"/>
        <v/>
      </c>
      <c r="U54" s="24" t="str">
        <f t="shared" si="6"/>
        <v/>
      </c>
      <c r="V54" s="24" t="str">
        <f t="shared" si="7"/>
        <v/>
      </c>
      <c r="W54" s="24" t="str">
        <f t="shared" si="8"/>
        <v/>
      </c>
      <c r="X54" s="9"/>
      <c r="Y54" s="9"/>
      <c r="Z54" s="6"/>
      <c r="AA54" s="6"/>
      <c r="AB54" s="9"/>
      <c r="AC54" s="44"/>
      <c r="AD54" s="272"/>
      <c r="AE54" s="9"/>
      <c r="AF54" s="9"/>
      <c r="AG54" s="6"/>
      <c r="AH54" s="6"/>
      <c r="AI54" s="9"/>
      <c r="AJ54" s="9"/>
      <c r="AK54" s="9"/>
      <c r="AL54" s="9"/>
      <c r="AM54" s="9"/>
      <c r="AN54" s="6"/>
      <c r="AO54" s="9"/>
      <c r="AP54" s="9"/>
    </row>
    <row r="55" spans="1:42" ht="15" customHeight="1">
      <c r="A55" s="6" t="s">
        <v>50</v>
      </c>
      <c r="B55" s="6" t="s">
        <v>511</v>
      </c>
      <c r="C55" s="6" t="s">
        <v>886</v>
      </c>
      <c r="D55" s="9" t="s">
        <v>88</v>
      </c>
      <c r="E55" s="39" t="s">
        <v>243</v>
      </c>
      <c r="F55" s="9">
        <v>15.6252</v>
      </c>
      <c r="G55" s="9">
        <v>120.751</v>
      </c>
      <c r="H55" s="9" t="str">
        <f t="shared" si="9"/>
        <v>15.6252,120.751</v>
      </c>
      <c r="I55" s="9" t="s">
        <v>123</v>
      </c>
      <c r="J55" s="9"/>
      <c r="K55" s="9" t="s">
        <v>29</v>
      </c>
      <c r="L55" s="9"/>
      <c r="M55" s="9" t="s">
        <v>130</v>
      </c>
      <c r="N55" s="9"/>
      <c r="O55" s="22"/>
      <c r="P55" s="22"/>
      <c r="Q55" s="22"/>
      <c r="R55" s="22"/>
      <c r="S55" s="22"/>
      <c r="T55" s="24" t="str">
        <f t="shared" si="5"/>
        <v/>
      </c>
      <c r="U55" s="24" t="str">
        <f t="shared" si="6"/>
        <v/>
      </c>
      <c r="V55" s="24" t="str">
        <f t="shared" si="7"/>
        <v/>
      </c>
      <c r="W55" s="24" t="str">
        <f t="shared" si="8"/>
        <v/>
      </c>
      <c r="X55" s="9"/>
      <c r="Y55" s="9"/>
      <c r="Z55" s="6"/>
      <c r="AA55" s="6"/>
      <c r="AB55" s="9"/>
      <c r="AC55" s="9"/>
      <c r="AD55" s="272"/>
      <c r="AE55" s="9"/>
      <c r="AF55" s="6"/>
      <c r="AG55" s="6"/>
      <c r="AH55" s="6"/>
      <c r="AI55" s="294"/>
      <c r="AJ55" s="9"/>
      <c r="AK55" s="9"/>
      <c r="AL55" s="9"/>
      <c r="AM55" s="9"/>
      <c r="AN55" s="6"/>
      <c r="AO55" s="9"/>
      <c r="AP55" s="9"/>
    </row>
    <row r="56" spans="1:42" ht="15" customHeight="1">
      <c r="A56" s="6" t="s">
        <v>50</v>
      </c>
      <c r="B56" s="6" t="s">
        <v>347</v>
      </c>
      <c r="C56" s="6" t="s">
        <v>1073</v>
      </c>
      <c r="D56" s="9" t="s">
        <v>88</v>
      </c>
      <c r="E56" s="39" t="s">
        <v>213</v>
      </c>
      <c r="F56" s="9">
        <v>15.539400000000001</v>
      </c>
      <c r="G56" s="9">
        <v>121.1551</v>
      </c>
      <c r="H56" s="9" t="str">
        <f t="shared" si="9"/>
        <v>15.5394,121.1551</v>
      </c>
      <c r="I56" s="9" t="s">
        <v>123</v>
      </c>
      <c r="J56" s="9"/>
      <c r="K56" s="9" t="s">
        <v>141</v>
      </c>
      <c r="L56" s="9"/>
      <c r="M56" s="9" t="s">
        <v>130</v>
      </c>
      <c r="N56" s="9"/>
      <c r="O56" s="22"/>
      <c r="P56" s="22"/>
      <c r="Q56" s="22"/>
      <c r="R56" s="22"/>
      <c r="S56" s="22"/>
      <c r="T56" s="24" t="str">
        <f t="shared" si="5"/>
        <v/>
      </c>
      <c r="U56" s="24" t="str">
        <f t="shared" si="6"/>
        <v/>
      </c>
      <c r="V56" s="24" t="str">
        <f t="shared" si="7"/>
        <v/>
      </c>
      <c r="W56" s="24" t="str">
        <f t="shared" si="8"/>
        <v/>
      </c>
      <c r="X56" s="9"/>
      <c r="Y56" s="9"/>
      <c r="Z56" s="6"/>
      <c r="AA56" s="6"/>
      <c r="AB56" s="9"/>
      <c r="AC56" s="9"/>
      <c r="AD56" s="272"/>
      <c r="AE56" s="9"/>
      <c r="AF56" s="9"/>
      <c r="AG56" s="6"/>
      <c r="AH56" s="6"/>
      <c r="AI56" s="9"/>
      <c r="AJ56" s="9"/>
      <c r="AK56" s="9"/>
      <c r="AL56" s="9"/>
      <c r="AM56" s="9"/>
      <c r="AN56" s="6"/>
      <c r="AO56" s="9"/>
      <c r="AP56" s="271"/>
    </row>
    <row r="57" spans="1:42" ht="15" customHeight="1">
      <c r="A57" s="6" t="s">
        <v>50</v>
      </c>
      <c r="B57" s="6" t="s">
        <v>516</v>
      </c>
      <c r="C57" s="6" t="s">
        <v>603</v>
      </c>
      <c r="D57" s="9" t="s">
        <v>89</v>
      </c>
      <c r="E57" s="39" t="s">
        <v>243</v>
      </c>
      <c r="F57" s="9">
        <v>15.735300000000001</v>
      </c>
      <c r="G57" s="9">
        <v>120.633</v>
      </c>
      <c r="H57" s="9" t="str">
        <f t="shared" si="9"/>
        <v>15.7353,120.633</v>
      </c>
      <c r="I57" s="9" t="s">
        <v>123</v>
      </c>
      <c r="J57" s="9"/>
      <c r="K57" s="9" t="s">
        <v>29</v>
      </c>
      <c r="L57" s="9"/>
      <c r="M57" s="9" t="s">
        <v>130</v>
      </c>
      <c r="N57" s="9"/>
      <c r="O57" s="22"/>
      <c r="P57" s="22"/>
      <c r="Q57" s="22"/>
      <c r="R57" s="22"/>
      <c r="S57" s="22"/>
      <c r="T57" s="24" t="str">
        <f t="shared" si="5"/>
        <v/>
      </c>
      <c r="U57" s="24" t="str">
        <f t="shared" si="6"/>
        <v/>
      </c>
      <c r="V57" s="24" t="str">
        <f t="shared" si="7"/>
        <v/>
      </c>
      <c r="W57" s="24" t="str">
        <f t="shared" si="8"/>
        <v/>
      </c>
      <c r="X57" s="6"/>
      <c r="Y57" s="9"/>
      <c r="Z57" s="6"/>
      <c r="AA57" s="6"/>
      <c r="AB57" s="44"/>
      <c r="AC57" s="9"/>
      <c r="AD57" s="272"/>
      <c r="AE57" s="9"/>
      <c r="AF57" s="6"/>
      <c r="AG57" s="6"/>
      <c r="AH57" s="6"/>
      <c r="AI57" s="9"/>
      <c r="AJ57" s="9"/>
      <c r="AK57" s="9"/>
      <c r="AL57" s="9"/>
      <c r="AM57" s="9"/>
      <c r="AN57" s="6"/>
      <c r="AO57" s="9"/>
      <c r="AP57" s="271"/>
    </row>
    <row r="58" spans="1:42" ht="15" customHeight="1">
      <c r="A58" s="6" t="s">
        <v>50</v>
      </c>
      <c r="B58" s="6" t="s">
        <v>979</v>
      </c>
      <c r="C58" s="6" t="s">
        <v>980</v>
      </c>
      <c r="D58" s="9" t="s">
        <v>88</v>
      </c>
      <c r="E58" s="39" t="s">
        <v>224</v>
      </c>
      <c r="F58" s="9">
        <v>15.3224</v>
      </c>
      <c r="G58" s="9">
        <v>121.075</v>
      </c>
      <c r="H58" s="9" t="str">
        <f t="shared" si="9"/>
        <v>15.3224,121.075</v>
      </c>
      <c r="I58" s="9" t="s">
        <v>123</v>
      </c>
      <c r="J58" s="9"/>
      <c r="K58" s="9" t="s">
        <v>30</v>
      </c>
      <c r="L58" s="9"/>
      <c r="M58" s="9" t="s">
        <v>130</v>
      </c>
      <c r="N58" s="278"/>
      <c r="O58" s="22"/>
      <c r="P58" s="22"/>
      <c r="Q58" s="22"/>
      <c r="R58" s="22"/>
      <c r="S58" s="22"/>
      <c r="T58" s="24" t="str">
        <f t="shared" ref="T58:T75" si="10">IF(
    OR(ISBLANK(O58), ISBLANK(P58)),
    "",
    MAX(1, IF(
        NETWORKDAYS(O58, P58) &lt;= 0,
        1,
        NETWORKDAYS(O58, P58) - IF(O58 = P58, 0, 1)
    ))
)</f>
        <v/>
      </c>
      <c r="U58" s="24" t="str">
        <f t="shared" si="6"/>
        <v/>
      </c>
      <c r="V58" s="24" t="str">
        <f t="shared" si="7"/>
        <v/>
      </c>
      <c r="W58" s="24" t="str">
        <f t="shared" si="8"/>
        <v/>
      </c>
      <c r="X58" s="6"/>
      <c r="Y58" s="9"/>
      <c r="Z58" s="6"/>
      <c r="AA58" s="6"/>
      <c r="AB58" s="66"/>
      <c r="AC58" s="44"/>
      <c r="AD58" s="272"/>
      <c r="AE58" s="9"/>
      <c r="AF58" s="9"/>
      <c r="AG58" s="6"/>
      <c r="AH58" s="6"/>
      <c r="AI58" s="9"/>
      <c r="AJ58" s="9"/>
      <c r="AK58" s="9"/>
      <c r="AL58" s="9"/>
      <c r="AM58" s="9"/>
      <c r="AN58" s="6"/>
      <c r="AO58" s="9"/>
      <c r="AP58" s="9"/>
    </row>
    <row r="59" spans="1:42" ht="15" customHeight="1">
      <c r="A59" s="6" t="s">
        <v>50</v>
      </c>
      <c r="B59" s="6" t="s">
        <v>522</v>
      </c>
      <c r="C59" s="6" t="s">
        <v>1030</v>
      </c>
      <c r="D59" s="9" t="s">
        <v>88</v>
      </c>
      <c r="E59" s="39" t="s">
        <v>224</v>
      </c>
      <c r="F59" s="9">
        <v>15.3964</v>
      </c>
      <c r="G59" s="9">
        <v>120.9709</v>
      </c>
      <c r="H59" s="9" t="str">
        <f t="shared" si="9"/>
        <v>15.3964,120.9709</v>
      </c>
      <c r="I59" s="9" t="s">
        <v>123</v>
      </c>
      <c r="J59" s="9"/>
      <c r="K59" s="9" t="s">
        <v>141</v>
      </c>
      <c r="L59" s="9"/>
      <c r="M59" s="9" t="s">
        <v>130</v>
      </c>
      <c r="N59" s="447"/>
      <c r="O59" s="22"/>
      <c r="P59" s="22"/>
      <c r="Q59" s="22"/>
      <c r="R59" s="22"/>
      <c r="S59" s="22"/>
      <c r="T59" s="24" t="str">
        <f t="shared" si="10"/>
        <v/>
      </c>
      <c r="U59" s="24" t="str">
        <f t="shared" si="6"/>
        <v/>
      </c>
      <c r="V59" s="24" t="str">
        <f t="shared" ref="V59:V75" si="11">IF(
    OR(ISBLANK(P59), ISBLANK(R59)),
    "",
    MAX(1, IF(
        NETWORKDAYS(P59, R59) &lt;= 0,
        1,
        NETWORKDAYS(P59, R59) - IF(P59 = R59, 0, 1)
    ))
)</f>
        <v/>
      </c>
      <c r="W59" s="24" t="str">
        <f t="shared" ref="W59:W75" si="12">IF(
    OR(ISBLANK(R59), ISBLANK(S59)),
    "",
    MAX(1, IF(
        NETWORKDAYS(R59, S59) &lt;= 0,
        1,
        NETWORKDAYS(R59, S59) - IF(R59 = S59, 0, 1)
    ))
)</f>
        <v/>
      </c>
      <c r="X59" s="9"/>
      <c r="Y59" s="9"/>
      <c r="Z59" s="6"/>
      <c r="AA59" s="6"/>
      <c r="AB59" s="6"/>
      <c r="AC59" s="44"/>
      <c r="AD59" s="272"/>
      <c r="AE59" s="9"/>
      <c r="AF59" s="9"/>
      <c r="AG59" s="6"/>
      <c r="AH59" s="6"/>
      <c r="AI59" s="9"/>
      <c r="AJ59" s="9"/>
      <c r="AK59" s="9"/>
      <c r="AL59" s="9"/>
      <c r="AM59" s="9"/>
      <c r="AN59" s="6"/>
      <c r="AO59" s="9"/>
      <c r="AP59" s="9"/>
    </row>
    <row r="60" spans="1:42" ht="15" customHeight="1">
      <c r="A60" s="6" t="s">
        <v>50</v>
      </c>
      <c r="B60" s="6" t="s">
        <v>5982</v>
      </c>
      <c r="C60" s="6" t="s">
        <v>3369</v>
      </c>
      <c r="D60" s="9" t="s">
        <v>88</v>
      </c>
      <c r="E60" s="39" t="s">
        <v>271</v>
      </c>
      <c r="F60" s="9">
        <v>15.395300000000001</v>
      </c>
      <c r="G60" s="9">
        <v>120.973</v>
      </c>
      <c r="H60" s="9" t="str">
        <f t="shared" si="9"/>
        <v>15.3953,120.973</v>
      </c>
      <c r="I60" s="9" t="s">
        <v>123</v>
      </c>
      <c r="J60" s="9"/>
      <c r="K60" s="9" t="s">
        <v>141</v>
      </c>
      <c r="L60" s="9"/>
      <c r="M60" s="9" t="s">
        <v>130</v>
      </c>
      <c r="N60" s="9"/>
      <c r="O60" s="22"/>
      <c r="P60" s="22"/>
      <c r="Q60" s="22"/>
      <c r="R60" s="22"/>
      <c r="S60" s="22"/>
      <c r="T60" s="24" t="str">
        <f t="shared" si="10"/>
        <v/>
      </c>
      <c r="U60" s="24" t="str">
        <f t="shared" si="6"/>
        <v/>
      </c>
      <c r="V60" s="24" t="str">
        <f t="shared" si="11"/>
        <v/>
      </c>
      <c r="W60" s="24" t="str">
        <f t="shared" si="12"/>
        <v/>
      </c>
      <c r="X60" s="3"/>
      <c r="Y60" s="9"/>
      <c r="Z60" s="6"/>
      <c r="AA60" s="6"/>
      <c r="AB60" s="66"/>
      <c r="AC60" s="44"/>
      <c r="AD60" s="272"/>
      <c r="AE60" s="9"/>
      <c r="AF60" s="9"/>
      <c r="AG60" s="6"/>
      <c r="AH60" s="6"/>
      <c r="AI60" s="9"/>
      <c r="AJ60" s="9"/>
      <c r="AK60" s="9"/>
      <c r="AL60" s="9"/>
      <c r="AM60" s="9"/>
      <c r="AN60" s="6"/>
      <c r="AO60" s="9"/>
      <c r="AP60" s="271"/>
    </row>
    <row r="61" spans="1:42" ht="15" customHeight="1">
      <c r="A61" s="6" t="s">
        <v>50</v>
      </c>
      <c r="B61" s="6" t="s">
        <v>1355</v>
      </c>
      <c r="C61" s="6" t="s">
        <v>694</v>
      </c>
      <c r="D61" s="9" t="s">
        <v>88</v>
      </c>
      <c r="E61" s="39" t="s">
        <v>243</v>
      </c>
      <c r="F61" s="9">
        <v>15.589</v>
      </c>
      <c r="G61" s="9">
        <v>120.869</v>
      </c>
      <c r="H61" s="9" t="str">
        <f t="shared" si="9"/>
        <v>15.589,120.869</v>
      </c>
      <c r="I61" s="9" t="s">
        <v>123</v>
      </c>
      <c r="J61" s="9"/>
      <c r="K61" s="9" t="s">
        <v>140</v>
      </c>
      <c r="L61" s="9"/>
      <c r="M61" s="9" t="s">
        <v>130</v>
      </c>
      <c r="N61" s="9"/>
      <c r="O61" s="22"/>
      <c r="P61" s="22"/>
      <c r="Q61" s="292"/>
      <c r="R61" s="22"/>
      <c r="S61" s="22"/>
      <c r="T61" s="24" t="str">
        <f t="shared" si="10"/>
        <v/>
      </c>
      <c r="U61" s="24" t="str">
        <f t="shared" si="6"/>
        <v/>
      </c>
      <c r="V61" s="24" t="str">
        <f t="shared" si="11"/>
        <v/>
      </c>
      <c r="W61" s="24" t="str">
        <f t="shared" si="12"/>
        <v/>
      </c>
      <c r="X61" s="3"/>
      <c r="Y61" s="9"/>
      <c r="Z61" s="6"/>
      <c r="AA61" s="6"/>
      <c r="AB61" s="9"/>
      <c r="AC61" s="44"/>
      <c r="AD61" s="272"/>
      <c r="AE61" s="9"/>
      <c r="AF61" s="9"/>
      <c r="AG61" s="6"/>
      <c r="AH61" s="6"/>
      <c r="AI61" s="9"/>
      <c r="AJ61" s="9"/>
      <c r="AK61" s="9"/>
      <c r="AL61" s="9"/>
      <c r="AM61" s="9"/>
      <c r="AN61" s="6"/>
      <c r="AO61" s="9"/>
      <c r="AP61" s="9"/>
    </row>
    <row r="62" spans="1:42" ht="61.5" customHeight="1">
      <c r="A62" s="6" t="s">
        <v>50</v>
      </c>
      <c r="B62" s="6" t="s">
        <v>446</v>
      </c>
      <c r="C62" s="6" t="s">
        <v>985</v>
      </c>
      <c r="D62" s="9" t="s">
        <v>88</v>
      </c>
      <c r="E62" s="39" t="s">
        <v>243</v>
      </c>
      <c r="F62" s="9">
        <v>15.6419</v>
      </c>
      <c r="G62" s="9">
        <v>120.905</v>
      </c>
      <c r="H62" s="9" t="str">
        <f t="shared" si="9"/>
        <v>15.6419,120.905</v>
      </c>
      <c r="I62" s="9" t="s">
        <v>123</v>
      </c>
      <c r="J62" s="9"/>
      <c r="K62" s="9" t="s">
        <v>140</v>
      </c>
      <c r="L62" s="9"/>
      <c r="M62" s="9" t="s">
        <v>130</v>
      </c>
      <c r="N62" s="256"/>
      <c r="O62" s="22"/>
      <c r="P62" s="22"/>
      <c r="Q62" s="22"/>
      <c r="R62" s="22"/>
      <c r="S62" s="22"/>
      <c r="T62" s="24" t="str">
        <f t="shared" si="10"/>
        <v/>
      </c>
      <c r="U62" s="24" t="str">
        <f t="shared" si="6"/>
        <v/>
      </c>
      <c r="V62" s="24" t="str">
        <f t="shared" si="11"/>
        <v/>
      </c>
      <c r="W62" s="24" t="str">
        <f t="shared" si="12"/>
        <v/>
      </c>
      <c r="X62" s="3"/>
      <c r="Y62" s="9"/>
      <c r="Z62" s="6"/>
      <c r="AA62" s="6"/>
      <c r="AB62" s="44"/>
      <c r="AC62" s="44"/>
      <c r="AD62" s="272"/>
      <c r="AE62" s="9"/>
      <c r="AF62" s="9"/>
      <c r="AG62" s="6"/>
      <c r="AH62" s="6"/>
      <c r="AI62" s="9"/>
      <c r="AJ62" s="9"/>
      <c r="AK62" s="9"/>
      <c r="AL62" s="9"/>
      <c r="AM62" s="9"/>
      <c r="AN62" s="6"/>
      <c r="AO62" s="9"/>
      <c r="AP62" s="9"/>
    </row>
    <row r="63" spans="1:42" ht="15" customHeight="1">
      <c r="A63" s="6" t="s">
        <v>50</v>
      </c>
      <c r="B63" s="6" t="s">
        <v>528</v>
      </c>
      <c r="C63" s="6" t="s">
        <v>1032</v>
      </c>
      <c r="D63" s="9" t="s">
        <v>88</v>
      </c>
      <c r="E63" s="39" t="s">
        <v>271</v>
      </c>
      <c r="F63" s="9">
        <v>15.786199999999999</v>
      </c>
      <c r="G63" s="9">
        <v>120.81100000000001</v>
      </c>
      <c r="H63" s="9" t="str">
        <f t="shared" si="9"/>
        <v>15.7862,120.811</v>
      </c>
      <c r="I63" s="9" t="s">
        <v>123</v>
      </c>
      <c r="J63" s="9"/>
      <c r="K63" s="9" t="s">
        <v>29</v>
      </c>
      <c r="L63" s="9"/>
      <c r="M63" s="9" t="s">
        <v>130</v>
      </c>
      <c r="N63" s="9"/>
      <c r="O63" s="22"/>
      <c r="P63" s="22"/>
      <c r="Q63" s="22"/>
      <c r="R63" s="22"/>
      <c r="S63" s="22"/>
      <c r="T63" s="24" t="str">
        <f t="shared" si="10"/>
        <v/>
      </c>
      <c r="U63" s="24" t="str">
        <f t="shared" si="6"/>
        <v/>
      </c>
      <c r="V63" s="24" t="str">
        <f t="shared" si="11"/>
        <v/>
      </c>
      <c r="W63" s="24" t="str">
        <f t="shared" si="12"/>
        <v/>
      </c>
      <c r="X63" s="9"/>
      <c r="Y63" s="9"/>
      <c r="Z63" s="6"/>
      <c r="AA63" s="6"/>
      <c r="AB63" s="9"/>
      <c r="AC63" s="9"/>
      <c r="AD63" s="272"/>
      <c r="AE63" s="9"/>
      <c r="AF63" s="9"/>
      <c r="AG63" s="6"/>
      <c r="AH63" s="6"/>
      <c r="AI63" s="9"/>
      <c r="AJ63" s="9"/>
      <c r="AK63" s="9"/>
      <c r="AL63" s="9"/>
      <c r="AM63" s="9"/>
      <c r="AN63" s="6"/>
      <c r="AO63" s="9"/>
      <c r="AP63" s="9"/>
    </row>
    <row r="64" spans="1:42" ht="15" customHeight="1">
      <c r="A64" s="6" t="s">
        <v>51</v>
      </c>
      <c r="B64" s="6" t="s">
        <v>414</v>
      </c>
      <c r="C64" s="6" t="s">
        <v>1077</v>
      </c>
      <c r="D64" s="9" t="s">
        <v>88</v>
      </c>
      <c r="E64" s="39" t="s">
        <v>213</v>
      </c>
      <c r="F64" s="9">
        <v>14.993171</v>
      </c>
      <c r="G64" s="9">
        <v>120.671435</v>
      </c>
      <c r="H64" s="9" t="str">
        <f t="shared" si="9"/>
        <v>14.993171,120.671435</v>
      </c>
      <c r="I64" s="9" t="s">
        <v>123</v>
      </c>
      <c r="J64" s="9"/>
      <c r="K64" s="9" t="s">
        <v>145</v>
      </c>
      <c r="L64" s="9"/>
      <c r="M64" s="9" t="s">
        <v>133</v>
      </c>
      <c r="N64" s="9"/>
      <c r="O64" s="22"/>
      <c r="P64" s="22"/>
      <c r="Q64" s="22"/>
      <c r="R64" s="22"/>
      <c r="S64" s="22"/>
      <c r="T64" s="24" t="str">
        <f t="shared" si="10"/>
        <v/>
      </c>
      <c r="U64" s="24" t="str">
        <f t="shared" si="6"/>
        <v/>
      </c>
      <c r="V64" s="24" t="str">
        <f t="shared" si="11"/>
        <v/>
      </c>
      <c r="W64" s="24" t="str">
        <f t="shared" si="12"/>
        <v/>
      </c>
      <c r="X64" s="6"/>
      <c r="Y64" s="9"/>
      <c r="Z64" s="6"/>
      <c r="AA64" s="6"/>
      <c r="AB64" s="9"/>
      <c r="AC64" s="9"/>
      <c r="AD64" s="272"/>
      <c r="AE64" s="9"/>
      <c r="AF64" s="9"/>
      <c r="AG64" s="6"/>
      <c r="AH64" s="6"/>
      <c r="AI64" s="9"/>
      <c r="AJ64" s="9"/>
      <c r="AK64" s="9"/>
      <c r="AL64" s="9"/>
      <c r="AM64" s="9"/>
      <c r="AN64" s="6"/>
      <c r="AO64" s="9"/>
      <c r="AP64" s="271"/>
    </row>
    <row r="65" spans="1:42" ht="15" customHeight="1">
      <c r="A65" s="6" t="s">
        <v>51</v>
      </c>
      <c r="B65" s="6" t="s">
        <v>1080</v>
      </c>
      <c r="C65" s="6" t="s">
        <v>653</v>
      </c>
      <c r="D65" s="9" t="s">
        <v>88</v>
      </c>
      <c r="E65" s="7" t="s">
        <v>224</v>
      </c>
      <c r="F65" s="9">
        <v>14.894500000000001</v>
      </c>
      <c r="G65" s="9">
        <v>120.72499999999999</v>
      </c>
      <c r="H65" s="9" t="str">
        <f t="shared" si="9"/>
        <v>14.8945,120.725</v>
      </c>
      <c r="I65" s="9" t="s">
        <v>123</v>
      </c>
      <c r="J65" s="9"/>
      <c r="K65" s="9" t="s">
        <v>142</v>
      </c>
      <c r="L65" s="9"/>
      <c r="M65" s="9" t="s">
        <v>239</v>
      </c>
      <c r="N65" s="9"/>
      <c r="O65" s="22"/>
      <c r="P65" s="22"/>
      <c r="Q65" s="22"/>
      <c r="R65" s="22"/>
      <c r="S65" s="22"/>
      <c r="T65" s="24" t="str">
        <f t="shared" si="10"/>
        <v/>
      </c>
      <c r="U65" s="24" t="str">
        <f t="shared" si="6"/>
        <v/>
      </c>
      <c r="V65" s="24" t="str">
        <f t="shared" si="11"/>
        <v/>
      </c>
      <c r="W65" s="24" t="str">
        <f t="shared" si="12"/>
        <v/>
      </c>
      <c r="X65" s="9"/>
      <c r="Y65" s="9"/>
      <c r="Z65" s="6"/>
      <c r="AA65" s="6"/>
      <c r="AB65" s="9"/>
      <c r="AC65" s="9"/>
      <c r="AD65" s="272"/>
      <c r="AE65" s="9"/>
      <c r="AF65" s="9"/>
      <c r="AG65" s="6"/>
      <c r="AH65" s="6"/>
      <c r="AI65" s="9"/>
      <c r="AJ65" s="9"/>
      <c r="AK65" s="9"/>
      <c r="AL65" s="9"/>
      <c r="AM65" s="9"/>
      <c r="AN65" s="6"/>
      <c r="AO65" s="9"/>
      <c r="AP65" s="9"/>
    </row>
    <row r="66" spans="1:42" ht="15" customHeight="1">
      <c r="A66" s="6" t="s">
        <v>51</v>
      </c>
      <c r="B66" s="6" t="s">
        <v>535</v>
      </c>
      <c r="C66" s="6" t="s">
        <v>1081</v>
      </c>
      <c r="D66" s="9" t="s">
        <v>88</v>
      </c>
      <c r="E66" s="7" t="s">
        <v>243</v>
      </c>
      <c r="F66" s="9">
        <v>15.2567</v>
      </c>
      <c r="G66" s="9">
        <v>120.63500000000001</v>
      </c>
      <c r="H66" s="9" t="str">
        <f t="shared" si="9"/>
        <v>15.2567,120.635</v>
      </c>
      <c r="I66" s="9" t="s">
        <v>123</v>
      </c>
      <c r="J66" s="9"/>
      <c r="K66" s="9" t="s">
        <v>32</v>
      </c>
      <c r="L66" s="9"/>
      <c r="M66" s="9" t="s">
        <v>133</v>
      </c>
      <c r="N66" s="253"/>
      <c r="O66" s="22"/>
      <c r="P66" s="22"/>
      <c r="Q66" s="22"/>
      <c r="R66" s="22"/>
      <c r="S66" s="22"/>
      <c r="T66" s="24" t="str">
        <f t="shared" si="10"/>
        <v/>
      </c>
      <c r="U66" s="24" t="str">
        <f t="shared" si="6"/>
        <v/>
      </c>
      <c r="V66" s="24" t="str">
        <f t="shared" si="11"/>
        <v/>
      </c>
      <c r="W66" s="24" t="str">
        <f t="shared" si="12"/>
        <v/>
      </c>
      <c r="X66" s="9"/>
      <c r="Y66" s="9"/>
      <c r="Z66" s="6"/>
      <c r="AA66" s="6"/>
      <c r="AB66" s="9"/>
      <c r="AC66" s="9"/>
      <c r="AD66" s="272"/>
      <c r="AE66" s="9"/>
      <c r="AF66" s="9"/>
      <c r="AG66" s="6"/>
      <c r="AH66" s="6"/>
      <c r="AI66" s="9"/>
      <c r="AJ66" s="9"/>
      <c r="AK66" s="9"/>
      <c r="AL66" s="9"/>
      <c r="AM66" s="9"/>
      <c r="AN66" s="6"/>
      <c r="AO66" s="9"/>
      <c r="AP66" s="9"/>
    </row>
    <row r="67" spans="1:42">
      <c r="A67" s="6" t="s">
        <v>51</v>
      </c>
      <c r="B67" s="6" t="s">
        <v>416</v>
      </c>
      <c r="C67" s="6" t="s">
        <v>862</v>
      </c>
      <c r="D67" s="9" t="s">
        <v>88</v>
      </c>
      <c r="E67" s="7" t="s">
        <v>271</v>
      </c>
      <c r="F67" s="9">
        <v>15.067969</v>
      </c>
      <c r="G67" s="9">
        <v>120.571611</v>
      </c>
      <c r="H67" s="9" t="str">
        <f t="shared" si="9"/>
        <v>15.067969,120.571611</v>
      </c>
      <c r="I67" s="9" t="s">
        <v>123</v>
      </c>
      <c r="J67" s="9"/>
      <c r="K67" s="9" t="s">
        <v>33</v>
      </c>
      <c r="L67" s="9"/>
      <c r="M67" s="9" t="s">
        <v>239</v>
      </c>
      <c r="N67" s="276"/>
      <c r="O67" s="22"/>
      <c r="P67" s="22"/>
      <c r="Q67" s="22"/>
      <c r="R67" s="22"/>
      <c r="S67" s="22"/>
      <c r="T67" s="24" t="str">
        <f t="shared" si="10"/>
        <v/>
      </c>
      <c r="U67" s="24" t="str">
        <f t="shared" si="6"/>
        <v/>
      </c>
      <c r="V67" s="24" t="str">
        <f t="shared" si="11"/>
        <v/>
      </c>
      <c r="W67" s="24" t="str">
        <f t="shared" si="12"/>
        <v/>
      </c>
      <c r="X67" s="9"/>
      <c r="Y67" s="9"/>
      <c r="Z67" s="6"/>
      <c r="AA67" s="6"/>
      <c r="AB67" s="9"/>
      <c r="AC67" s="44"/>
      <c r="AD67" s="272"/>
      <c r="AE67" s="9"/>
      <c r="AF67" s="9"/>
      <c r="AG67" s="6"/>
      <c r="AH67" s="6"/>
      <c r="AI67" s="9"/>
      <c r="AJ67" s="9"/>
      <c r="AK67" s="9"/>
      <c r="AL67" s="9"/>
      <c r="AM67" s="9"/>
      <c r="AN67" s="6"/>
      <c r="AO67" s="9"/>
      <c r="AP67" s="271"/>
    </row>
    <row r="68" spans="1:42" ht="15" customHeight="1">
      <c r="A68" s="6" t="s">
        <v>51</v>
      </c>
      <c r="B68" s="6" t="s">
        <v>418</v>
      </c>
      <c r="C68" s="6" t="s">
        <v>5983</v>
      </c>
      <c r="D68" s="9" t="s">
        <v>88</v>
      </c>
      <c r="E68" s="7" t="s">
        <v>224</v>
      </c>
      <c r="F68" s="9">
        <v>15.046900000000001</v>
      </c>
      <c r="G68" s="9">
        <v>120.785</v>
      </c>
      <c r="H68" s="9" t="str">
        <f t="shared" si="9"/>
        <v>15.0469,120.785</v>
      </c>
      <c r="I68" s="9" t="s">
        <v>123</v>
      </c>
      <c r="J68" s="9"/>
      <c r="K68" s="9" t="s">
        <v>142</v>
      </c>
      <c r="L68" s="9"/>
      <c r="M68" s="9" t="s">
        <v>239</v>
      </c>
      <c r="N68" s="9"/>
      <c r="O68" s="22"/>
      <c r="P68" s="22"/>
      <c r="Q68" s="22"/>
      <c r="R68" s="22"/>
      <c r="S68" s="22"/>
      <c r="T68" s="24" t="str">
        <f t="shared" si="10"/>
        <v/>
      </c>
      <c r="U68" s="24" t="str">
        <f t="shared" si="6"/>
        <v/>
      </c>
      <c r="V68" s="24" t="str">
        <f t="shared" si="11"/>
        <v/>
      </c>
      <c r="W68" s="24" t="str">
        <f t="shared" si="12"/>
        <v/>
      </c>
      <c r="X68" s="9"/>
      <c r="Y68" s="9"/>
      <c r="Z68" s="6"/>
      <c r="AA68" s="6"/>
      <c r="AB68" s="9"/>
      <c r="AC68" s="9"/>
      <c r="AD68" s="272"/>
      <c r="AE68" s="9"/>
      <c r="AF68" s="9"/>
      <c r="AG68" s="6"/>
      <c r="AH68" s="6"/>
      <c r="AI68" s="9"/>
      <c r="AJ68" s="9"/>
      <c r="AK68" s="9"/>
      <c r="AL68" s="9"/>
      <c r="AM68" s="9"/>
      <c r="AN68" s="6"/>
      <c r="AO68" s="9"/>
      <c r="AP68" s="9"/>
    </row>
    <row r="69" spans="1:42" ht="15" customHeight="1">
      <c r="A69" s="6" t="s">
        <v>51</v>
      </c>
      <c r="B69" s="6" t="s">
        <v>450</v>
      </c>
      <c r="C69" s="6" t="s">
        <v>2345</v>
      </c>
      <c r="D69" s="9" t="s">
        <v>88</v>
      </c>
      <c r="E69" s="7" t="s">
        <v>5984</v>
      </c>
      <c r="F69" s="9">
        <v>14.992000000000001</v>
      </c>
      <c r="G69" s="9">
        <v>120.7593</v>
      </c>
      <c r="H69" s="9" t="s">
        <v>5985</v>
      </c>
      <c r="I69" s="9" t="s">
        <v>123</v>
      </c>
      <c r="J69" s="9"/>
      <c r="K69" s="9" t="s">
        <v>142</v>
      </c>
      <c r="L69" s="9"/>
      <c r="M69" s="9" t="s">
        <v>239</v>
      </c>
      <c r="N69" s="9"/>
      <c r="O69" s="22"/>
      <c r="P69" s="22"/>
      <c r="Q69" s="22"/>
      <c r="R69" s="22"/>
      <c r="S69" s="22"/>
      <c r="T69" s="24" t="str">
        <f t="shared" si="10"/>
        <v/>
      </c>
      <c r="U69" s="24" t="str">
        <f t="shared" si="6"/>
        <v/>
      </c>
      <c r="V69" s="24" t="str">
        <f t="shared" si="11"/>
        <v/>
      </c>
      <c r="W69" s="24" t="str">
        <f t="shared" si="12"/>
        <v/>
      </c>
      <c r="X69" s="9"/>
      <c r="Y69" s="9"/>
      <c r="Z69" s="6"/>
      <c r="AA69" s="6"/>
      <c r="AB69" s="9"/>
      <c r="AC69" s="9"/>
      <c r="AD69" s="272"/>
      <c r="AE69" s="9"/>
      <c r="AF69" s="9"/>
      <c r="AG69" s="6"/>
      <c r="AH69" s="6"/>
      <c r="AI69" s="9"/>
      <c r="AJ69" s="9"/>
      <c r="AK69" s="9"/>
      <c r="AL69" s="9"/>
      <c r="AM69" s="9"/>
      <c r="AN69" s="6"/>
      <c r="AO69" s="9"/>
      <c r="AP69" s="9"/>
    </row>
    <row r="70" spans="1:42" ht="15" customHeight="1">
      <c r="A70" s="6" t="s">
        <v>52</v>
      </c>
      <c r="B70" s="6" t="s">
        <v>463</v>
      </c>
      <c r="C70" s="6" t="s">
        <v>1057</v>
      </c>
      <c r="D70" s="9" t="s">
        <v>89</v>
      </c>
      <c r="E70" s="7" t="s">
        <v>271</v>
      </c>
      <c r="F70" s="9">
        <v>15.5982</v>
      </c>
      <c r="G70" s="9">
        <v>120.556</v>
      </c>
      <c r="H70" s="9" t="str">
        <f>CONCATENATE(F70,",",G70)</f>
        <v>15.5982,120.556</v>
      </c>
      <c r="I70" s="9" t="s">
        <v>123</v>
      </c>
      <c r="J70" s="9"/>
      <c r="K70" s="9" t="s">
        <v>37</v>
      </c>
      <c r="L70" s="9"/>
      <c r="M70" s="9" t="s">
        <v>28</v>
      </c>
      <c r="N70" s="9"/>
      <c r="O70" s="22"/>
      <c r="P70" s="22"/>
      <c r="Q70" s="22"/>
      <c r="R70" s="22"/>
      <c r="S70" s="22"/>
      <c r="T70" s="24" t="str">
        <f t="shared" si="10"/>
        <v/>
      </c>
      <c r="U70" s="24" t="str">
        <f t="shared" si="6"/>
        <v/>
      </c>
      <c r="V70" s="24" t="str">
        <f t="shared" si="11"/>
        <v/>
      </c>
      <c r="W70" s="24" t="str">
        <f t="shared" si="12"/>
        <v/>
      </c>
      <c r="X70" s="9"/>
      <c r="Y70" s="9"/>
      <c r="Z70" s="6"/>
      <c r="AA70" s="6"/>
      <c r="AB70" s="9"/>
      <c r="AC70" s="9"/>
      <c r="AD70" s="272"/>
      <c r="AE70" s="9"/>
      <c r="AF70" s="6"/>
      <c r="AG70" s="6"/>
      <c r="AH70" s="6"/>
      <c r="AI70" s="9"/>
      <c r="AJ70" s="9"/>
      <c r="AK70" s="9"/>
      <c r="AL70" s="9"/>
      <c r="AM70" s="9"/>
      <c r="AN70" s="6"/>
      <c r="AO70" s="9"/>
      <c r="AP70" s="9"/>
    </row>
    <row r="71" spans="1:42" ht="42.75" customHeight="1">
      <c r="A71" s="6" t="s">
        <v>52</v>
      </c>
      <c r="B71" s="6" t="s">
        <v>420</v>
      </c>
      <c r="C71" s="6" t="s">
        <v>1087</v>
      </c>
      <c r="D71" s="9" t="s">
        <v>89</v>
      </c>
      <c r="E71" s="7" t="s">
        <v>243</v>
      </c>
      <c r="F71" s="9">
        <v>15.6258</v>
      </c>
      <c r="G71" s="9">
        <v>120.378</v>
      </c>
      <c r="H71" s="9" t="str">
        <f>CONCATENATE(F71,",",G71)</f>
        <v>15.6258,120.378</v>
      </c>
      <c r="I71" s="9" t="s">
        <v>123</v>
      </c>
      <c r="J71" s="9"/>
      <c r="K71" s="9" t="s">
        <v>38</v>
      </c>
      <c r="L71" s="9"/>
      <c r="M71" s="9" t="s">
        <v>28</v>
      </c>
      <c r="N71" s="9"/>
      <c r="O71" s="22"/>
      <c r="P71" s="22"/>
      <c r="Q71" s="22"/>
      <c r="R71" s="22"/>
      <c r="S71" s="22"/>
      <c r="T71" s="24" t="str">
        <f t="shared" si="10"/>
        <v/>
      </c>
      <c r="U71" s="24" t="str">
        <f t="shared" si="6"/>
        <v/>
      </c>
      <c r="V71" s="24" t="str">
        <f t="shared" si="11"/>
        <v/>
      </c>
      <c r="W71" s="24" t="str">
        <f t="shared" si="12"/>
        <v/>
      </c>
      <c r="X71" s="6"/>
      <c r="Y71" s="64"/>
      <c r="Z71" s="6"/>
      <c r="AA71" s="6"/>
      <c r="AB71" s="236"/>
      <c r="AC71" s="236"/>
      <c r="AD71" s="272"/>
      <c r="AE71" s="9"/>
      <c r="AF71" s="9"/>
      <c r="AG71" s="6"/>
      <c r="AH71" s="6"/>
      <c r="AI71" s="9"/>
      <c r="AJ71" s="9"/>
      <c r="AK71" s="9"/>
      <c r="AL71" s="9"/>
      <c r="AM71" s="9"/>
      <c r="AN71" s="6"/>
      <c r="AO71" s="9"/>
      <c r="AP71" s="271"/>
    </row>
    <row r="72" spans="1:42">
      <c r="A72" s="6" t="s">
        <v>52</v>
      </c>
      <c r="B72" s="6" t="s">
        <v>424</v>
      </c>
      <c r="C72" s="6" t="s">
        <v>950</v>
      </c>
      <c r="D72" s="9" t="s">
        <v>89</v>
      </c>
      <c r="E72" s="7" t="s">
        <v>243</v>
      </c>
      <c r="F72" s="9">
        <v>15.6434</v>
      </c>
      <c r="G72" s="9">
        <v>120.56100000000001</v>
      </c>
      <c r="H72" s="9" t="str">
        <f>CONCATENATE(F72,",",G72)</f>
        <v>15.6434,120.561</v>
      </c>
      <c r="I72" s="9" t="s">
        <v>123</v>
      </c>
      <c r="J72" s="9"/>
      <c r="K72" s="9" t="s">
        <v>37</v>
      </c>
      <c r="L72" s="9"/>
      <c r="M72" s="9" t="s">
        <v>28</v>
      </c>
      <c r="N72" s="9"/>
      <c r="O72" s="22"/>
      <c r="P72" s="22"/>
      <c r="Q72" s="22"/>
      <c r="R72" s="22"/>
      <c r="S72" s="22"/>
      <c r="T72" s="24" t="str">
        <f t="shared" si="10"/>
        <v/>
      </c>
      <c r="U72" s="24" t="str">
        <f t="shared" si="6"/>
        <v/>
      </c>
      <c r="V72" s="24" t="str">
        <f t="shared" si="11"/>
        <v/>
      </c>
      <c r="W72" s="24" t="str">
        <f t="shared" si="12"/>
        <v/>
      </c>
      <c r="X72" s="9"/>
      <c r="Y72" s="9"/>
      <c r="Z72" s="6"/>
      <c r="AA72" s="6"/>
      <c r="AB72" s="6"/>
      <c r="AC72" s="9"/>
      <c r="AD72" s="272"/>
      <c r="AE72" s="9"/>
      <c r="AF72" s="6"/>
      <c r="AG72" s="6"/>
      <c r="AH72" s="6"/>
      <c r="AI72" s="9"/>
      <c r="AJ72" s="9"/>
      <c r="AK72" s="9"/>
      <c r="AL72" s="9"/>
      <c r="AM72" s="9"/>
      <c r="AN72" s="6"/>
      <c r="AO72" s="9"/>
      <c r="AP72" s="9"/>
    </row>
    <row r="73" spans="1:42">
      <c r="A73" s="6" t="s">
        <v>52</v>
      </c>
      <c r="B73" s="6" t="s">
        <v>454</v>
      </c>
      <c r="C73" s="6" t="s">
        <v>1036</v>
      </c>
      <c r="D73" s="9" t="s">
        <v>89</v>
      </c>
      <c r="E73" s="7" t="s">
        <v>243</v>
      </c>
      <c r="F73" s="9">
        <v>15.616</v>
      </c>
      <c r="G73" s="9">
        <v>120.652</v>
      </c>
      <c r="H73" s="9" t="str">
        <f>CONCATENATE(F73,",",G73)</f>
        <v>15.616,120.652</v>
      </c>
      <c r="I73" s="9" t="s">
        <v>123</v>
      </c>
      <c r="J73" s="9"/>
      <c r="K73" s="9" t="s">
        <v>37</v>
      </c>
      <c r="L73" s="9"/>
      <c r="M73" s="9" t="s">
        <v>28</v>
      </c>
      <c r="N73" s="9"/>
      <c r="O73" s="22"/>
      <c r="P73" s="22"/>
      <c r="Q73" s="9"/>
      <c r="R73" s="22"/>
      <c r="S73" s="22"/>
      <c r="T73" s="24" t="str">
        <f t="shared" si="10"/>
        <v/>
      </c>
      <c r="U73" s="24" t="str">
        <f>IF(
    OR(ISBLANK(P73), ISBLANK(S73)),
    "",
    MAX(1, IF(
        NETWORKDAYS(P73, S73) &lt;= 0,
        1,
        NETWORKDAYS(P73, S73) - IF(P73 = S73, 0, 1)
    ))
)</f>
        <v/>
      </c>
      <c r="V73" s="24" t="str">
        <f t="shared" si="11"/>
        <v/>
      </c>
      <c r="W73" s="24" t="str">
        <f t="shared" si="12"/>
        <v/>
      </c>
      <c r="X73" s="9"/>
      <c r="Y73" s="9"/>
      <c r="Z73" s="6"/>
      <c r="AA73" s="6"/>
      <c r="AB73" s="328"/>
      <c r="AC73" s="328"/>
      <c r="AD73" s="272"/>
      <c r="AE73" s="9"/>
      <c r="AF73" s="9"/>
      <c r="AG73" s="6"/>
      <c r="AH73" s="6"/>
      <c r="AI73" s="9"/>
      <c r="AJ73" s="9"/>
      <c r="AK73" s="9"/>
      <c r="AL73" s="9"/>
      <c r="AM73" s="9"/>
      <c r="AN73" s="6"/>
      <c r="AO73" s="9"/>
      <c r="AP73" s="9"/>
    </row>
    <row r="74" spans="1:42">
      <c r="A74" s="6" t="s">
        <v>52</v>
      </c>
      <c r="B74" s="6" t="s">
        <v>466</v>
      </c>
      <c r="C74" s="236" t="s">
        <v>5986</v>
      </c>
      <c r="D74" s="9" t="s">
        <v>89</v>
      </c>
      <c r="E74" s="7" t="s">
        <v>243</v>
      </c>
      <c r="F74" s="9">
        <v>15.686446</v>
      </c>
      <c r="G74" s="9">
        <v>120.630807</v>
      </c>
      <c r="H74" s="9" t="str">
        <f>CONCATENATE(F74,",",G74)</f>
        <v>15.686446,120.630807</v>
      </c>
      <c r="I74" s="9" t="s">
        <v>123</v>
      </c>
      <c r="J74" s="9"/>
      <c r="K74" s="9" t="s">
        <v>38</v>
      </c>
      <c r="L74" s="9"/>
      <c r="M74" s="9" t="s">
        <v>28</v>
      </c>
      <c r="N74" s="9"/>
      <c r="O74" s="22"/>
      <c r="P74" s="22"/>
      <c r="Q74" s="22"/>
      <c r="R74" s="22"/>
      <c r="S74" s="22"/>
      <c r="T74" s="24" t="str">
        <f t="shared" si="10"/>
        <v/>
      </c>
      <c r="U74" s="24" t="str">
        <f>IF(
    OR(ISBLANK(P74), ISBLANK(Q74)),
    "",
    MAX(1, IF(
        NETWORKDAYS(P74, Q74) &lt;= 0,
        1,
        NETWORKDAYS(P74, Q74) - IF(P74 = Q74, 0, 1)
    ))
)</f>
        <v/>
      </c>
      <c r="V74" s="24" t="str">
        <f t="shared" si="11"/>
        <v/>
      </c>
      <c r="W74" s="24" t="str">
        <f t="shared" si="12"/>
        <v/>
      </c>
      <c r="X74" s="6"/>
      <c r="Y74" s="9"/>
      <c r="Z74" s="6"/>
      <c r="AA74" s="6"/>
      <c r="AB74" s="9"/>
      <c r="AC74" s="9"/>
      <c r="AD74" s="272"/>
      <c r="AE74" s="9"/>
      <c r="AF74" s="9"/>
      <c r="AG74" s="6"/>
      <c r="AH74" s="6"/>
      <c r="AI74" s="9"/>
      <c r="AJ74" s="9"/>
      <c r="AK74" s="9"/>
      <c r="AL74" s="9"/>
      <c r="AM74" s="9"/>
      <c r="AN74" s="6"/>
      <c r="AO74" s="9"/>
      <c r="AP74" s="271"/>
    </row>
    <row r="75" spans="1:42" ht="105">
      <c r="A75" s="6" t="s">
        <v>52</v>
      </c>
      <c r="B75" s="6" t="s">
        <v>360</v>
      </c>
      <c r="C75" s="6" t="s">
        <v>4295</v>
      </c>
      <c r="D75" s="9" t="s">
        <v>88</v>
      </c>
      <c r="E75" s="7"/>
      <c r="F75" s="9"/>
      <c r="G75" s="9"/>
      <c r="H75" s="448" t="s">
        <v>5987</v>
      </c>
      <c r="I75" s="9" t="s">
        <v>123</v>
      </c>
      <c r="J75" s="9"/>
      <c r="K75" s="9" t="s">
        <v>39</v>
      </c>
      <c r="L75" s="9"/>
      <c r="M75" s="9" t="s">
        <v>28</v>
      </c>
      <c r="N75" s="9"/>
      <c r="O75" s="22"/>
      <c r="P75" s="22"/>
      <c r="Q75" s="22"/>
      <c r="R75" s="22"/>
      <c r="S75" s="22"/>
      <c r="T75" s="244" t="str">
        <f t="shared" si="10"/>
        <v/>
      </c>
      <c r="U75" s="244" t="str">
        <f>IF(
    OR(ISBLANK(P75), ISBLANK(Q75)),
    "",
    MAX(1, IF(
        NETWORKDAYS(P75, Q75) &lt;= 0,
        1,
        NETWORKDAYS(P75, Q75) - IF(P75 = Q75, 0, 1)
    ))
)</f>
        <v/>
      </c>
      <c r="V75" s="244" t="str">
        <f t="shared" si="11"/>
        <v/>
      </c>
      <c r="W75" s="244" t="str">
        <f t="shared" si="12"/>
        <v/>
      </c>
      <c r="X75" s="9"/>
      <c r="Y75" s="9"/>
      <c r="Z75" s="6"/>
      <c r="AA75" s="6"/>
      <c r="AB75" s="9"/>
      <c r="AC75" s="9"/>
      <c r="AD75" s="45"/>
      <c r="AE75" s="9"/>
      <c r="AF75" s="9"/>
      <c r="AG75" s="6"/>
      <c r="AH75" s="6"/>
      <c r="AI75" s="9"/>
      <c r="AJ75" s="9"/>
      <c r="AK75" s="9"/>
      <c r="AL75" s="9"/>
      <c r="AM75" s="9"/>
      <c r="AN75" s="6"/>
      <c r="AO75" s="9"/>
      <c r="AP75" s="6" t="s">
        <v>5988</v>
      </c>
    </row>
    <row r="76" spans="1:42" ht="15" customHeight="1">
      <c r="A76" s="6" t="s">
        <v>53</v>
      </c>
      <c r="B76" s="6" t="s">
        <v>329</v>
      </c>
      <c r="C76" s="6" t="s">
        <v>3898</v>
      </c>
      <c r="D76" s="9" t="s">
        <v>89</v>
      </c>
      <c r="E76" s="9" t="s">
        <v>271</v>
      </c>
      <c r="F76" s="9"/>
      <c r="G76" s="9"/>
      <c r="H76" s="9"/>
      <c r="I76" s="9" t="s">
        <v>123</v>
      </c>
      <c r="J76" s="9"/>
      <c r="K76" s="9" t="s">
        <v>697</v>
      </c>
      <c r="L76" s="9"/>
      <c r="M76" s="9" t="s">
        <v>133</v>
      </c>
      <c r="N76" s="9"/>
      <c r="O76" s="9"/>
      <c r="P76" s="9"/>
      <c r="Q76" s="9"/>
      <c r="R76" s="9"/>
      <c r="S76" s="9"/>
      <c r="T76" s="9"/>
      <c r="U76" s="9"/>
      <c r="V76" s="9"/>
      <c r="W76" s="9"/>
      <c r="X76" s="9"/>
      <c r="Y76" s="9"/>
      <c r="Z76" s="6"/>
      <c r="AA76" s="6"/>
      <c r="AB76" s="9"/>
      <c r="AC76" s="9"/>
      <c r="AD76" s="45"/>
      <c r="AE76" s="9"/>
      <c r="AF76" s="6"/>
      <c r="AG76" s="6"/>
      <c r="AH76" s="9"/>
      <c r="AI76" s="9"/>
      <c r="AJ76" s="9"/>
      <c r="AK76" s="9"/>
      <c r="AL76" s="9"/>
      <c r="AM76" s="6"/>
      <c r="AN76" s="9"/>
      <c r="AO76" s="9"/>
      <c r="AP76" s="271"/>
    </row>
    <row r="77" spans="1:42" ht="15" customHeight="1">
      <c r="A77" s="6" t="s">
        <v>53</v>
      </c>
      <c r="B77" s="6" t="s">
        <v>397</v>
      </c>
      <c r="C77" s="6" t="s">
        <v>747</v>
      </c>
      <c r="D77" s="9" t="s">
        <v>89</v>
      </c>
      <c r="E77" s="32" t="s">
        <v>243</v>
      </c>
      <c r="F77" s="9">
        <v>14.925181</v>
      </c>
      <c r="G77" s="9">
        <v>120.14849599999999</v>
      </c>
      <c r="H77" s="9" t="str">
        <f>CONCATENATE(F77,",",G77)</f>
        <v>14.925181,120.148496</v>
      </c>
      <c r="I77" s="9" t="s">
        <v>123</v>
      </c>
      <c r="J77" s="9"/>
      <c r="K77" s="9" t="s">
        <v>42</v>
      </c>
      <c r="L77" s="9"/>
      <c r="M77" s="9" t="s">
        <v>133</v>
      </c>
      <c r="N77" s="9"/>
      <c r="O77" s="22"/>
      <c r="P77" s="22"/>
      <c r="Q77" s="22"/>
      <c r="R77" s="22"/>
      <c r="S77" s="22"/>
      <c r="T77" s="24" t="str">
        <f t="shared" ref="T77:U80" si="13">IF(
    OR(ISBLANK(O77), ISBLANK(P77)),
    "",
    MAX(1, IF(
        NETWORKDAYS(O77, P77) &lt;= 0,
        1,
        NETWORKDAYS(O77, P77) - IF(O77 = P77, 0, 1)
    ))
)</f>
        <v/>
      </c>
      <c r="U77" s="24" t="str">
        <f t="shared" si="13"/>
        <v/>
      </c>
      <c r="V77" s="24" t="str">
        <f>IF(
    OR(ISBLANK(P77), ISBLANK(R77)),
    "",
    MAX(1, IF(
        NETWORKDAYS(P77, R77) &lt;= 0,
        1,
        NETWORKDAYS(P77, R77) - IF(P77 = R77, 0, 1)
    ))
)</f>
        <v/>
      </c>
      <c r="W77" s="24" t="str">
        <f>IF(
    OR(ISBLANK(R77), ISBLANK(S77)),
    "",
    MAX(1, IF(
        NETWORKDAYS(R77, S77) &lt;= 0,
        1,
        NETWORKDAYS(R77, S77) - IF(R77 = S77, 0, 1)
    ))
)</f>
        <v/>
      </c>
      <c r="X77" s="9"/>
      <c r="Y77" s="9"/>
      <c r="Z77" s="6"/>
      <c r="AA77" s="6"/>
      <c r="AB77" s="9"/>
      <c r="AC77" s="9"/>
      <c r="AD77" s="272"/>
      <c r="AE77" s="9"/>
      <c r="AF77" s="9"/>
      <c r="AG77" s="6"/>
      <c r="AH77" s="6"/>
      <c r="AI77" s="9"/>
      <c r="AJ77" s="9"/>
      <c r="AK77" s="9"/>
      <c r="AL77" s="9"/>
      <c r="AM77" s="9"/>
      <c r="AN77" s="6"/>
      <c r="AO77" s="9"/>
      <c r="AP77" s="271" t="s">
        <v>5989</v>
      </c>
    </row>
    <row r="78" spans="1:42" ht="15" customHeight="1">
      <c r="A78" s="6" t="s">
        <v>53</v>
      </c>
      <c r="B78" s="6" t="s">
        <v>456</v>
      </c>
      <c r="C78" s="6" t="s">
        <v>895</v>
      </c>
      <c r="D78" s="9" t="s">
        <v>89</v>
      </c>
      <c r="E78" s="32" t="s">
        <v>271</v>
      </c>
      <c r="F78" s="9">
        <v>15.582169</v>
      </c>
      <c r="G78" s="9">
        <v>119.989266</v>
      </c>
      <c r="H78" s="9" t="str">
        <f>CONCATENATE(F78,",",G78)</f>
        <v>15.582169,119.989266</v>
      </c>
      <c r="I78" s="9" t="s">
        <v>123</v>
      </c>
      <c r="J78" s="9"/>
      <c r="K78" s="9" t="s">
        <v>42</v>
      </c>
      <c r="L78" s="9"/>
      <c r="M78" s="9" t="s">
        <v>133</v>
      </c>
      <c r="N78" s="9"/>
      <c r="O78" s="22"/>
      <c r="P78" s="22"/>
      <c r="Q78" s="22"/>
      <c r="R78" s="22"/>
      <c r="S78" s="22"/>
      <c r="T78" s="24" t="str">
        <f t="shared" si="13"/>
        <v/>
      </c>
      <c r="U78" s="24" t="str">
        <f t="shared" si="13"/>
        <v/>
      </c>
      <c r="V78" s="24" t="str">
        <f>IF(
    OR(ISBLANK(P78), ISBLANK(R78)),
    "",
    MAX(1, IF(
        NETWORKDAYS(P78, R78) &lt;= 0,
        1,
        NETWORKDAYS(P78, R78) - IF(P78 = R78, 0, 1)
    ))
)</f>
        <v/>
      </c>
      <c r="W78" s="24" t="str">
        <f>IF(
    OR(ISBLANK(R78), ISBLANK(S78)),
    "",
    MAX(1, IF(
        NETWORKDAYS(R78, S78) &lt;= 0,
        1,
        NETWORKDAYS(R78, S78) - IF(R78 = S78, 0, 1)
    ))
)</f>
        <v/>
      </c>
      <c r="X78" s="9"/>
      <c r="Y78" s="9"/>
      <c r="Z78" s="6"/>
      <c r="AA78" s="6"/>
      <c r="AB78" s="9"/>
      <c r="AC78" s="9"/>
      <c r="AD78" s="272"/>
      <c r="AE78" s="9"/>
      <c r="AF78" s="9"/>
      <c r="AG78" s="6"/>
      <c r="AH78" s="6"/>
      <c r="AI78" s="9"/>
      <c r="AJ78" s="9"/>
      <c r="AK78" s="9"/>
      <c r="AL78" s="9"/>
      <c r="AM78" s="9"/>
      <c r="AN78" s="6"/>
      <c r="AO78" s="9"/>
      <c r="AP78" s="9"/>
    </row>
    <row r="79" spans="1:42" ht="15" customHeight="1">
      <c r="A79" s="6" t="s">
        <v>53</v>
      </c>
      <c r="B79" s="6" t="s">
        <v>4425</v>
      </c>
      <c r="C79" s="6" t="s">
        <v>831</v>
      </c>
      <c r="D79" s="9" t="s">
        <v>89</v>
      </c>
      <c r="E79" s="32" t="s">
        <v>243</v>
      </c>
      <c r="F79" s="9">
        <v>14.8462</v>
      </c>
      <c r="G79" s="9">
        <v>120.32899999999999</v>
      </c>
      <c r="H79" s="9" t="str">
        <f>CONCATENATE(F79,",",G79)</f>
        <v>14.8462,120.329</v>
      </c>
      <c r="I79" s="9" t="s">
        <v>123</v>
      </c>
      <c r="J79" s="9"/>
      <c r="K79" s="9" t="s">
        <v>377</v>
      </c>
      <c r="L79" s="9"/>
      <c r="M79" s="9" t="s">
        <v>133</v>
      </c>
      <c r="N79" s="9"/>
      <c r="O79" s="22"/>
      <c r="P79" s="22"/>
      <c r="Q79" s="22"/>
      <c r="R79" s="22"/>
      <c r="S79" s="22"/>
      <c r="T79" s="24" t="str">
        <f t="shared" si="13"/>
        <v/>
      </c>
      <c r="U79" s="24" t="str">
        <f t="shared" si="13"/>
        <v/>
      </c>
      <c r="V79" s="24" t="str">
        <f>IF(
    OR(ISBLANK(P79), ISBLANK(R79)),
    "",
    MAX(1, IF(
        NETWORKDAYS(P79, R79) &lt;= 0,
        1,
        NETWORKDAYS(P79, R79) - IF(P79 = R79, 0, 1)
    ))
)</f>
        <v/>
      </c>
      <c r="W79" s="24" t="str">
        <f>IF(
    OR(ISBLANK(R79), ISBLANK(S79)),
    "",
    MAX(1, IF(
        NETWORKDAYS(R79, S79) &lt;= 0,
        1,
        NETWORKDAYS(R79, S79) - IF(R79 = S79, 0, 1)
    ))
)</f>
        <v/>
      </c>
      <c r="X79" s="9"/>
      <c r="Y79" s="9"/>
      <c r="Z79" s="6"/>
      <c r="AA79" s="6"/>
      <c r="AB79" s="9"/>
      <c r="AC79" s="9"/>
      <c r="AD79" s="272"/>
      <c r="AE79" s="9"/>
      <c r="AF79" s="9"/>
      <c r="AG79" s="6"/>
      <c r="AH79" s="6"/>
      <c r="AI79" s="9"/>
      <c r="AJ79" s="9"/>
      <c r="AK79" s="9"/>
      <c r="AL79" s="9"/>
      <c r="AM79" s="9"/>
      <c r="AN79" s="6"/>
      <c r="AO79" s="9"/>
      <c r="AP79" s="9"/>
    </row>
    <row r="80" spans="1:42" ht="15" customHeight="1">
      <c r="A80" s="6" t="s">
        <v>53</v>
      </c>
      <c r="B80" s="6" t="s">
        <v>355</v>
      </c>
      <c r="C80" s="6" t="s">
        <v>1090</v>
      </c>
      <c r="D80" s="9" t="s">
        <v>89</v>
      </c>
      <c r="E80" s="32" t="s">
        <v>243</v>
      </c>
      <c r="F80" s="9">
        <v>14.9695</v>
      </c>
      <c r="G80" s="9">
        <v>120.133</v>
      </c>
      <c r="H80" s="9" t="str">
        <f>CONCATENATE(F80,",",G80)</f>
        <v>14.9695,120.133</v>
      </c>
      <c r="I80" s="9" t="s">
        <v>123</v>
      </c>
      <c r="J80" s="9"/>
      <c r="K80" s="9" t="s">
        <v>42</v>
      </c>
      <c r="L80" s="9"/>
      <c r="M80" s="9" t="s">
        <v>133</v>
      </c>
      <c r="N80" s="9"/>
      <c r="O80" s="22"/>
      <c r="P80" s="22"/>
      <c r="Q80" s="22"/>
      <c r="R80" s="22"/>
      <c r="S80" s="22"/>
      <c r="T80" s="24" t="str">
        <f t="shared" si="13"/>
        <v/>
      </c>
      <c r="U80" s="24" t="str">
        <f t="shared" si="13"/>
        <v/>
      </c>
      <c r="V80" s="24" t="str">
        <f>IF(
    OR(ISBLANK(P80), ISBLANK(R80)),
    "",
    MAX(1, IF(
        NETWORKDAYS(P80, R80) &lt;= 0,
        1,
        NETWORKDAYS(P80, R80) - IF(P80 = R80, 0, 1)
    ))
)</f>
        <v/>
      </c>
      <c r="W80" s="24" t="str">
        <f>IF(
    OR(ISBLANK(R80), ISBLANK(S80)),
    "",
    MAX(1, IF(
        NETWORKDAYS(R80, S80) &lt;= 0,
        1,
        NETWORKDAYS(R80, S80) - IF(R80 = S80, 0, 1)
    ))
)</f>
        <v/>
      </c>
      <c r="X80" s="9"/>
      <c r="Y80" s="9"/>
      <c r="Z80" s="6"/>
      <c r="AA80" s="6"/>
      <c r="AB80" s="9"/>
      <c r="AC80" s="9"/>
      <c r="AD80" s="272"/>
      <c r="AE80" s="9"/>
      <c r="AF80" s="9"/>
      <c r="AG80" s="6"/>
      <c r="AH80" s="6"/>
      <c r="AI80" s="9"/>
      <c r="AJ80" s="9"/>
      <c r="AK80" s="9"/>
      <c r="AL80" s="9"/>
      <c r="AM80" s="9"/>
      <c r="AN80" s="6"/>
      <c r="AO80" s="9"/>
      <c r="AP80" s="271"/>
    </row>
    <row r="81" spans="6:6" ht="15" customHeight="1">
      <c r="F81" s="41" t="s">
        <v>795</v>
      </c>
    </row>
  </sheetData>
  <sheetProtection formatCells="0" formatColumns="0" formatRows="0" sort="0" autoFilter="0"/>
  <protectedRanges>
    <protectedRange algorithmName="SHA-512" hashValue="Gm0PA752JY8KWTlak/mMMscb3nQnkeVxI1HTzNjl7zrCEiCeiGuk+6w7raROMBK/yhu3sMoPqbAyVg2XO9w1vQ==" saltValue="+CoH//uDiR70s5dqS30Saw==" spinCount="100000" sqref="J1:J1048576" name="TARGET_MONTH"/>
    <protectedRange sqref="Y2:AP100" name="swm_data_1"/>
    <protectedRange sqref="K2:S100" name="enmo_staff"/>
    <protectedRange algorithmName="SHA-512" hashValue="g57xGgzijxm7bTj9LLhE5fwX8ApUpY9/0nDLIFVxnZbmLpQwd1MXFnMD/pS5eeTquqsho3IcXwO4i3n7Ydt57w==" saltValue="Ewtt8FiF7JsAthYX5hR3sA==" spinCount="100000" sqref="X9 X14:X100" name="planning"/>
  </protectedRanges>
  <autoFilter ref="A1:AQ81" xr:uid="{AFD458D4-96AB-4E10-A5DE-DABF995AA736}"/>
  <conditionalFormatting sqref="N30:N81 N1:N28">
    <cfRule type="duplicateValues" dxfId="4" priority="1"/>
  </conditionalFormatting>
  <conditionalFormatting sqref="N82:N1048576">
    <cfRule type="duplicateValues" dxfId="3" priority="3"/>
  </conditionalFormatting>
  <dataValidations count="3">
    <dataValidation allowBlank="1" showInputMessage="1" showErrorMessage="1" sqref="AK61:XFD70 AF2:XFD60 A1:XFD1 AJ71:XFD71 AK72:XFD79 F80:H80 O61:P61 Z44:AC44 N24:N28 AC25 X44 R61:S61 R79:S80 X79:AC79 O72:S77 AJ68:AJ79 AB68:AC78 N67:N70 X66:Z78 AA67:AA77 AF61:AI79 O62:S70 N61:N65 AJ61:AJ66 AC55:AC67 AB49:AB67 AC49:AC53 N49:S60 N36:N37 AB34:AC43 N30:N34 AC27:AC31 H24:H38 AB25:AB32 N6:N15 O2:S2 N3:S5 F77:I79 F2:I23 X2:AC5 N17:N22 M3:M70 AB7:AC23 A2:D80 I24:I76 F24:G76 AB45:AC47 H40:H76 N39:N47 X45:AA65 M72:N78 L3:L78 L80:M80 L2:M2 M71:S71 O6:S48 AD2:AD80 X6:AA43 L79:Q79" xr:uid="{CA3D18D1-C96C-4E19-A529-24911A07D22F}"/>
    <dataValidation type="list" allowBlank="1" showInputMessage="1" showErrorMessage="1" sqref="K82:L1048576 K2:K80" xr:uid="{FDBD8677-DC7C-470D-B070-106B2CD56112}">
      <formula1>ENMO</formula1>
    </dataValidation>
    <dataValidation type="list" allowBlank="1" showInputMessage="1" showErrorMessage="1" sqref="M82:M1048576" xr:uid="{5625AF10-08B5-4648-A30C-6D86A3425F9F}">
      <formula1>ESWM_FOCAL</formula1>
    </dataValidation>
  </dataValidations>
  <hyperlinks>
    <hyperlink ref="AQ2" r:id="rId1" xr:uid="{B60C68E5-2A9E-4C28-B686-DB5D5A52015C}"/>
    <hyperlink ref="AQ3" r:id="rId2" xr:uid="{84F6F85C-1961-4FC5-B551-685862F8AC1B}"/>
    <hyperlink ref="AQ4" r:id="rId3" xr:uid="{DADB5E70-8770-4050-AC0A-AA59023E7102}"/>
    <hyperlink ref="AQ5" r:id="rId4" xr:uid="{1360720A-E017-44F5-A8A8-D7BAD5ECCD01}"/>
    <hyperlink ref="AQ7" r:id="rId5" xr:uid="{16B802B9-E3A5-47E3-91F8-D79B1CEC788A}"/>
    <hyperlink ref="AQ6" r:id="rId6" xr:uid="{65205348-4F76-4BD2-A0B7-502A5C230335}"/>
    <hyperlink ref="AQ13" r:id="rId7" xr:uid="{D0EBE95B-6FCD-4477-815E-D419D210A6EB}"/>
    <hyperlink ref="AQ9" r:id="rId8" xr:uid="{455D6ACF-CC66-48B8-BBC5-1341C1BA4363}"/>
    <hyperlink ref="AQ14" r:id="rId9" xr:uid="{B67A02D7-3E65-4BFB-B085-5D92891CAAA6}"/>
    <hyperlink ref="AQ12" r:id="rId10" xr:uid="{5AB4E620-A7A7-4E21-918C-F75AB0DE5FC9}"/>
    <hyperlink ref="AQ8" r:id="rId11" xr:uid="{95EEDCA1-81F9-4DB5-BF2B-015850C16741}"/>
    <hyperlink ref="AQ10" r:id="rId12" xr:uid="{3D83ACB1-E471-4A9E-AA87-31F1A1FCB161}"/>
    <hyperlink ref="AQ11" r:id="rId13" xr:uid="{A8226C22-71B1-4DAA-8DCA-B8AB6B845BF4}"/>
  </hyperlinks>
  <pageMargins left="0.7" right="0.7" top="0.75" bottom="0.75" header="0.3" footer="0.3"/>
  <pageSetup paperSize="9" orientation="portrait" horizontalDpi="0" verticalDpi="0" r:id="rId14"/>
  <legacyDrawing r:id="rId1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A463-1532-4520-AD10-994A53796B36}">
  <sheetPr codeName="Sheet13"/>
  <dimension ref="A1:AH144"/>
  <sheetViews>
    <sheetView zoomScale="80" zoomScaleNormal="80" workbookViewId="0">
      <pane xSplit="2" ySplit="1" topLeftCell="C19" activePane="bottomRight" state="frozen"/>
      <selection pane="topRight" activeCell="C1" sqref="C1"/>
      <selection pane="bottomLeft" activeCell="A2" sqref="A2"/>
      <selection pane="bottomRight" activeCell="L23" sqref="L23"/>
    </sheetView>
  </sheetViews>
  <sheetFormatPr defaultColWidth="21.28515625" defaultRowHeight="15" customHeight="1"/>
  <cols>
    <col min="2" max="2" width="34" customWidth="1"/>
    <col min="3" max="3" width="19.85546875" customWidth="1"/>
    <col min="4" max="4" width="9.140625" customWidth="1"/>
    <col min="5" max="5" width="14.42578125" customWidth="1"/>
    <col min="6" max="6" width="21.28515625" customWidth="1"/>
    <col min="7" max="7" width="27.28515625" customWidth="1"/>
    <col min="8" max="8" width="17.85546875" customWidth="1"/>
    <col min="9" max="9" width="23.7109375" customWidth="1"/>
    <col min="10" max="11" width="29.7109375" style="262" customWidth="1"/>
    <col min="12" max="12" width="26.5703125" bestFit="1" customWidth="1"/>
    <col min="13" max="13" width="22.42578125" bestFit="1" customWidth="1"/>
    <col min="14" max="14" width="23.140625" bestFit="1" customWidth="1"/>
    <col min="15" max="15" width="28.5703125" customWidth="1"/>
    <col min="16" max="17" width="23.140625" bestFit="1" customWidth="1"/>
    <col min="18" max="18" width="18.85546875" customWidth="1"/>
    <col min="19" max="20" width="16.5703125" customWidth="1"/>
    <col min="28" max="28" width="22.5703125" bestFit="1" customWidth="1"/>
    <col min="29" max="29" width="32.28515625" bestFit="1" customWidth="1"/>
    <col min="30" max="30" width="84.42578125" style="98" customWidth="1"/>
    <col min="31" max="31" width="36.5703125" style="322" bestFit="1" customWidth="1"/>
    <col min="34" max="34" width="121.28515625" customWidth="1"/>
  </cols>
  <sheetData>
    <row r="1" spans="1:34" s="25" customFormat="1" ht="48" customHeight="1">
      <c r="A1" s="20" t="s">
        <v>44</v>
      </c>
      <c r="B1" s="20" t="s">
        <v>556</v>
      </c>
      <c r="C1" s="20" t="s">
        <v>158</v>
      </c>
      <c r="D1" s="20" t="s">
        <v>5990</v>
      </c>
      <c r="E1" s="20" t="s">
        <v>557</v>
      </c>
      <c r="F1" s="20" t="s">
        <v>558</v>
      </c>
      <c r="G1" s="20" t="s">
        <v>559</v>
      </c>
      <c r="H1" s="20" t="s">
        <v>5991</v>
      </c>
      <c r="I1" s="359" t="s">
        <v>67</v>
      </c>
      <c r="J1" s="359" t="s">
        <v>171</v>
      </c>
      <c r="K1" s="359" t="s">
        <v>172</v>
      </c>
      <c r="L1" s="359" t="s">
        <v>173</v>
      </c>
      <c r="M1" s="237" t="s">
        <v>174</v>
      </c>
      <c r="N1" s="237" t="s">
        <v>175</v>
      </c>
      <c r="O1" s="237" t="s">
        <v>176</v>
      </c>
      <c r="P1" s="237" t="s">
        <v>177</v>
      </c>
      <c r="Q1" s="237" t="s">
        <v>178</v>
      </c>
      <c r="R1" s="237" t="s">
        <v>179</v>
      </c>
      <c r="S1" s="359" t="s">
        <v>180</v>
      </c>
      <c r="T1" s="359" t="s">
        <v>181</v>
      </c>
      <c r="U1" s="359" t="s">
        <v>182</v>
      </c>
      <c r="V1" s="359" t="s">
        <v>183</v>
      </c>
      <c r="W1" s="359" t="s">
        <v>1100</v>
      </c>
      <c r="X1" s="360" t="s">
        <v>5992</v>
      </c>
      <c r="Y1" s="360" t="s">
        <v>5993</v>
      </c>
      <c r="Z1" s="360" t="s">
        <v>5994</v>
      </c>
      <c r="AA1" s="360" t="s">
        <v>5995</v>
      </c>
      <c r="AB1" s="360" t="s">
        <v>5996</v>
      </c>
      <c r="AC1" s="360" t="s">
        <v>5997</v>
      </c>
      <c r="AD1" s="360" t="s">
        <v>198</v>
      </c>
      <c r="AE1" s="14" t="s">
        <v>196</v>
      </c>
      <c r="AF1" s="14" t="s">
        <v>197</v>
      </c>
      <c r="AG1" s="15" t="s">
        <v>198</v>
      </c>
      <c r="AH1" s="25" t="s">
        <v>5998</v>
      </c>
    </row>
    <row r="2" spans="1:34">
      <c r="A2" s="40" t="s">
        <v>49</v>
      </c>
      <c r="B2" s="245" t="s">
        <v>5999</v>
      </c>
      <c r="C2" s="246" t="s">
        <v>5931</v>
      </c>
      <c r="D2" s="246" t="s">
        <v>88</v>
      </c>
      <c r="E2" s="40">
        <v>14.842983329999999</v>
      </c>
      <c r="F2" s="247">
        <v>120.80909665999999</v>
      </c>
      <c r="G2" s="40" t="s">
        <v>6000</v>
      </c>
      <c r="H2" s="248">
        <v>44901</v>
      </c>
      <c r="I2" s="9" t="s">
        <v>72</v>
      </c>
      <c r="J2" s="9" t="s">
        <v>344</v>
      </c>
      <c r="K2" s="9"/>
      <c r="L2" s="9" t="s">
        <v>128</v>
      </c>
      <c r="M2" s="238"/>
      <c r="N2" s="239"/>
      <c r="O2" s="239"/>
      <c r="P2" s="239"/>
      <c r="Q2" s="239"/>
      <c r="R2" s="239"/>
      <c r="S2" s="24" t="str">
        <f>IFERROR(
    IF(
        OR(ISBLANK(N2), ISBLANK(O2)),
        "",
        MAX(
            1,
            IF(
                NETWORKDAYS(N2, O2, Holiday_Dates) &lt;= 0,
                1,
                NETWORKDAYS(N2, O2, Holiday_Dates) - IF(N2 = O2, 0, 1)
            )
        )
    ),
    ""
)</f>
        <v/>
      </c>
      <c r="T2" s="24" t="str">
        <f>IF(
    OR(ISBLANK(O2), ISBLANK(P2)),
    "",
    MAX(
        1,
        IF(
            NETWORKDAYS(O2, P2, Holiday_Dates) &lt;= 0,
            1,
            NETWORKDAYS(O2, P2, Holiday_Dates) - IF(O2 = P2, 0, 1)
        )
    )
)</f>
        <v/>
      </c>
      <c r="U2" s="24" t="str">
        <f>IFERROR(
  IF(
    OR(A2="Nueva_Ecija", A2="Zambales"),
    IF(
      OR(ISBLANK(P2), ISBLANK(Q2)),
      "",
      MAX(
        1,
        IF(
          NETWORKDAYS(P2, Q2, Holiday_Dates) &lt;= 0,
          1,
          NETWORKDAYS(P2, Q2, Holiday_Dates) - IF(P2 = Q2, 0, 1)
        )
      )
    ),
    IF(
      OR(ISBLANK(O2), ISBLANK(Q2)),
      "",
      MAX(
        1,
        IF(
          NETWORKDAYS(O2, Q2, Holiday_Dates) &lt;= 0,
          1,
          NETWORKDAYS(O2, Q2, Holiday_Dates) - IF(O2 = Q2, 0, 1)
        )
      )
    )
  ),
  ""
)</f>
        <v/>
      </c>
      <c r="V2" s="24" t="str">
        <f>IFERROR(
    IF(
        OR(ISBLANK(Q2), ISBLANK(R2)),
        "",
        MAX(
            1,
            IF(
                NETWORKDAYS(Q2, R2, Holiday_Dates) &lt;= 0,
                1,
                NETWORKDAYS(Q2, R2, Holiday_Dates) - IF(Q2 = R2, 0, 1)
            )
        )
    ),
    ""
)</f>
        <v/>
      </c>
      <c r="W2" s="71"/>
      <c r="X2" s="9"/>
      <c r="Y2" s="71"/>
      <c r="Z2" s="9"/>
      <c r="AA2" s="9"/>
      <c r="AB2" s="9"/>
      <c r="AC2" s="6"/>
      <c r="AD2" s="57"/>
      <c r="AE2" s="323"/>
      <c r="AF2" s="1"/>
      <c r="AG2" s="1"/>
    </row>
    <row r="3" spans="1:34">
      <c r="A3" s="40" t="s">
        <v>49</v>
      </c>
      <c r="B3" s="245" t="s">
        <v>6001</v>
      </c>
      <c r="C3" s="246" t="s">
        <v>5931</v>
      </c>
      <c r="D3" s="246" t="s">
        <v>88</v>
      </c>
      <c r="E3" s="40">
        <v>14.84277166</v>
      </c>
      <c r="F3" s="247">
        <v>120.80556833</v>
      </c>
      <c r="G3" s="40" t="s">
        <v>6002</v>
      </c>
      <c r="H3" s="248">
        <v>44901</v>
      </c>
      <c r="I3" s="9" t="s">
        <v>72</v>
      </c>
      <c r="J3" s="9" t="s">
        <v>344</v>
      </c>
      <c r="K3" s="9"/>
      <c r="L3" s="9" t="s">
        <v>128</v>
      </c>
      <c r="M3" s="238"/>
      <c r="N3" s="239"/>
      <c r="O3" s="239"/>
      <c r="P3" s="239"/>
      <c r="Q3" s="239"/>
      <c r="R3" s="239"/>
      <c r="S3" s="24" t="str">
        <f>IFERROR(
    IF(
        OR(ISBLANK(N3), ISBLANK(O3)),
        "",
        MAX(
            1,
            IF(
                NETWORKDAYS(N3, O3, Holiday_Dates) &lt;= 0,
                1,
                NETWORKDAYS(N3, O3, Holiday_Dates) - IF(N3 = O3, 0, 1)
            )
        )
    ),
    ""
)</f>
        <v/>
      </c>
      <c r="T3" s="24" t="str">
        <f>IF(
    OR(ISBLANK(O3), ISBLANK(P3)),
    "",
    MAX(
        1,
        IF(
            NETWORKDAYS(O3, P3, Holiday_Dates) &lt;= 0,
            1,
            NETWORKDAYS(O3, P3, Holiday_Dates) - IF(O3 = P3, 0, 1)
        )
    )
)</f>
        <v/>
      </c>
      <c r="U3" s="24" t="str">
        <f>IFERROR(
  IF(
    OR(A3="Nueva_Ecija", A3="Zambales"),
    IF(
      OR(ISBLANK(P3), ISBLANK(Q3)),
      "",
      MAX(
        1,
        IF(
          NETWORKDAYS(P3, Q3, Holiday_Dates) &lt;= 0,
          1,
          NETWORKDAYS(P3, Q3, Holiday_Dates) - IF(P3 = Q3, 0, 1)
        )
      )
    ),
    IF(
      OR(ISBLANK(O3), ISBLANK(Q3)),
      "",
      MAX(
        1,
        IF(
          NETWORKDAYS(O3, Q3, Holiday_Dates) &lt;= 0,
          1,
          NETWORKDAYS(O3, Q3, Holiday_Dates) - IF(O3 = Q3, 0, 1)
        )
      )
    )
  ),
  ""
)</f>
        <v/>
      </c>
      <c r="V3" s="24" t="str">
        <f>IFERROR(
    IF(
        OR(ISBLANK(Q3), ISBLANK(R3)),
        "",
        MAX(
            1,
            IF(
                NETWORKDAYS(Q3, R3, Holiday_Dates) &lt;= 0,
                1,
                NETWORKDAYS(Q3, R3, Holiday_Dates) - IF(Q3 = R3, 0, 1)
            )
        )
    ),
    ""
)</f>
        <v/>
      </c>
      <c r="W3" s="71"/>
      <c r="X3" s="9"/>
      <c r="Y3" s="71"/>
      <c r="Z3" s="9"/>
      <c r="AA3" s="9"/>
      <c r="AB3" s="9"/>
      <c r="AC3" s="6"/>
      <c r="AD3" s="57"/>
      <c r="AE3" s="323"/>
      <c r="AF3" s="1"/>
      <c r="AG3" s="1"/>
    </row>
    <row r="4" spans="1:34">
      <c r="A4" s="40" t="s">
        <v>49</v>
      </c>
      <c r="B4" s="245" t="s">
        <v>6003</v>
      </c>
      <c r="C4" s="246" t="s">
        <v>5931</v>
      </c>
      <c r="D4" s="246" t="s">
        <v>88</v>
      </c>
      <c r="E4" s="40">
        <v>14.85140833</v>
      </c>
      <c r="F4" s="247">
        <v>120.81575166</v>
      </c>
      <c r="G4" s="40" t="s">
        <v>6004</v>
      </c>
      <c r="H4" s="248">
        <v>44901</v>
      </c>
      <c r="I4" s="9" t="s">
        <v>72</v>
      </c>
      <c r="J4" s="9" t="s">
        <v>344</v>
      </c>
      <c r="K4" s="9"/>
      <c r="L4" s="9" t="s">
        <v>128</v>
      </c>
      <c r="M4" s="238"/>
      <c r="N4" s="239"/>
      <c r="O4" s="239"/>
      <c r="P4" s="239"/>
      <c r="Q4" s="239"/>
      <c r="R4" s="239"/>
      <c r="S4" s="24" t="str">
        <f>IFERROR(
    IF(
        OR(ISBLANK(N4), ISBLANK(O4)),
        "",
        MAX(
            1,
            IF(
                NETWORKDAYS(N4, O4, Holiday_Dates) &lt;= 0,
                1,
                NETWORKDAYS(N4, O4, Holiday_Dates) - IF(N4 = O4, 0, 1)
            )
        )
    ),
    ""
)</f>
        <v/>
      </c>
      <c r="T4" s="24" t="str">
        <f>IF(
    OR(ISBLANK(O4), ISBLANK(P4)),
    "",
    MAX(
        1,
        IF(
            NETWORKDAYS(O4, P4, Holiday_Dates) &lt;= 0,
            1,
            NETWORKDAYS(O4, P4, Holiday_Dates) - IF(O4 = P4, 0, 1)
        )
    )
)</f>
        <v/>
      </c>
      <c r="U4" s="24" t="str">
        <f>IFERROR(
  IF(
    OR(A4="Nueva_Ecija", A4="Zambales"),
    IF(
      OR(ISBLANK(P4), ISBLANK(Q4)),
      "",
      MAX(
        1,
        IF(
          NETWORKDAYS(P4, Q4, Holiday_Dates) &lt;= 0,
          1,
          NETWORKDAYS(P4, Q4, Holiday_Dates) - IF(P4 = Q4, 0, 1)
        )
      )
    ),
    IF(
      OR(ISBLANK(O4), ISBLANK(Q4)),
      "",
      MAX(
        1,
        IF(
          NETWORKDAYS(O4, Q4, Holiday_Dates) &lt;= 0,
          1,
          NETWORKDAYS(O4, Q4, Holiday_Dates) - IF(O4 = Q4, 0, 1)
        )
      )
    )
  ),
  ""
)</f>
        <v/>
      </c>
      <c r="V4" s="24" t="str">
        <f>IFERROR(
    IF(
        OR(ISBLANK(Q4), ISBLANK(R4)),
        "",
        MAX(
            1,
            IF(
                NETWORKDAYS(Q4, R4, Holiday_Dates) &lt;= 0,
                1,
                NETWORKDAYS(Q4, R4, Holiday_Dates) - IF(Q4 = R4, 0, 1)
            )
        )
    ),
    ""
)</f>
        <v/>
      </c>
      <c r="W4" s="71"/>
      <c r="X4" s="9"/>
      <c r="Y4" s="71"/>
      <c r="Z4" s="9"/>
      <c r="AA4" s="9"/>
      <c r="AB4" s="9"/>
      <c r="AC4" s="6"/>
      <c r="AD4" s="57"/>
      <c r="AE4" s="323"/>
      <c r="AF4" s="1"/>
      <c r="AG4" s="1"/>
    </row>
    <row r="5" spans="1:34">
      <c r="A5" s="40" t="s">
        <v>49</v>
      </c>
      <c r="B5" s="245" t="s">
        <v>6005</v>
      </c>
      <c r="C5" s="246" t="s">
        <v>5931</v>
      </c>
      <c r="D5" s="246" t="s">
        <v>88</v>
      </c>
      <c r="E5" s="40">
        <v>14.86311167</v>
      </c>
      <c r="F5" s="247">
        <v>120.89536833</v>
      </c>
      <c r="G5" s="40" t="s">
        <v>6006</v>
      </c>
      <c r="H5" s="248">
        <v>44901</v>
      </c>
      <c r="I5" s="9" t="s">
        <v>72</v>
      </c>
      <c r="J5" s="9" t="s">
        <v>344</v>
      </c>
      <c r="K5" s="9"/>
      <c r="L5" s="9" t="s">
        <v>128</v>
      </c>
      <c r="M5" s="238"/>
      <c r="N5" s="239"/>
      <c r="O5" s="239"/>
      <c r="P5" s="239"/>
      <c r="Q5" s="239"/>
      <c r="R5" s="239"/>
      <c r="S5" s="24" t="str">
        <f>IFERROR(
    IF(
        OR(ISBLANK(N5), ISBLANK(O5)),
        "",
        MAX(
            1,
            IF(
                NETWORKDAYS(N5, O5, Holiday_Dates) &lt;= 0,
                1,
                NETWORKDAYS(N5, O5, Holiday_Dates) - IF(N5 = O5, 0, 1)
            )
        )
    ),
    ""
)</f>
        <v/>
      </c>
      <c r="T5" s="24" t="str">
        <f>IF(
    OR(ISBLANK(O5), ISBLANK(P5)),
    "",
    MAX(
        1,
        IF(
            NETWORKDAYS(O5, P5, Holiday_Dates) &lt;= 0,
            1,
            NETWORKDAYS(O5, P5, Holiday_Dates) - IF(O5 = P5, 0, 1)
        )
    )
)</f>
        <v/>
      </c>
      <c r="U5" s="24" t="str">
        <f>IFERROR(
  IF(
    OR(A5="Nueva_Ecija", A5="Zambales"),
    IF(
      OR(ISBLANK(P5), ISBLANK(Q5)),
      "",
      MAX(
        1,
        IF(
          NETWORKDAYS(P5, Q5, Holiday_Dates) &lt;= 0,
          1,
          NETWORKDAYS(P5, Q5, Holiday_Dates) - IF(P5 = Q5, 0, 1)
        )
      )
    ),
    IF(
      OR(ISBLANK(O5), ISBLANK(Q5)),
      "",
      MAX(
        1,
        IF(
          NETWORKDAYS(O5, Q5, Holiday_Dates) &lt;= 0,
          1,
          NETWORKDAYS(O5, Q5, Holiday_Dates) - IF(O5 = Q5, 0, 1)
        )
      )
    )
  ),
  ""
)</f>
        <v/>
      </c>
      <c r="V5" s="24" t="str">
        <f>IFERROR(
    IF(
        OR(ISBLANK(Q5), ISBLANK(R5)),
        "",
        MAX(
            1,
            IF(
                NETWORKDAYS(Q5, R5, Holiday_Dates) &lt;= 0,
                1,
                NETWORKDAYS(Q5, R5, Holiday_Dates) - IF(Q5 = R5, 0, 1)
            )
        )
    ),
    ""
)</f>
        <v/>
      </c>
      <c r="W5" s="71"/>
      <c r="X5" s="9"/>
      <c r="Y5" s="71"/>
      <c r="Z5" s="9"/>
      <c r="AA5" s="9"/>
      <c r="AB5" s="9"/>
      <c r="AC5" s="6"/>
      <c r="AD5" s="57"/>
      <c r="AE5" s="323"/>
      <c r="AF5" s="1"/>
      <c r="AG5" s="1"/>
    </row>
    <row r="6" spans="1:34">
      <c r="A6" s="40" t="s">
        <v>49</v>
      </c>
      <c r="B6" s="245" t="s">
        <v>6007</v>
      </c>
      <c r="C6" s="246" t="s">
        <v>5931</v>
      </c>
      <c r="D6" s="246" t="s">
        <v>88</v>
      </c>
      <c r="E6" s="40">
        <v>14.84464</v>
      </c>
      <c r="F6" s="247">
        <v>120.8154866</v>
      </c>
      <c r="G6" s="40" t="s">
        <v>6008</v>
      </c>
      <c r="H6" s="248">
        <v>44901</v>
      </c>
      <c r="I6" s="9" t="s">
        <v>72</v>
      </c>
      <c r="J6" s="9" t="s">
        <v>344</v>
      </c>
      <c r="K6" s="9"/>
      <c r="L6" s="9" t="s">
        <v>128</v>
      </c>
      <c r="M6" s="238"/>
      <c r="N6" s="239"/>
      <c r="O6" s="239"/>
      <c r="P6" s="239"/>
      <c r="Q6" s="239"/>
      <c r="R6" s="239"/>
      <c r="S6" s="24" t="str">
        <f>IFERROR(
    IF(
        OR(ISBLANK(N6), ISBLANK(O6)),
        "",
        MAX(
            1,
            IF(
                NETWORKDAYS(N6, O6, Holiday_Dates) &lt;= 0,
                1,
                NETWORKDAYS(N6, O6, Holiday_Dates) - IF(N6 = O6, 0, 1)
            )
        )
    ),
    ""
)</f>
        <v/>
      </c>
      <c r="T6" s="24" t="str">
        <f>IF(
    OR(ISBLANK(O6), ISBLANK(P6)),
    "",
    MAX(
        1,
        IF(
            NETWORKDAYS(O6, P6, Holiday_Dates) &lt;= 0,
            1,
            NETWORKDAYS(O6, P6, Holiday_Dates) - IF(O6 = P6, 0, 1)
        )
    )
)</f>
        <v/>
      </c>
      <c r="U6" s="24" t="str">
        <f>IFERROR(
  IF(
    OR(A6="Nueva_Ecija", A6="Zambales"),
    IF(
      OR(ISBLANK(P6), ISBLANK(Q6)),
      "",
      MAX(
        1,
        IF(
          NETWORKDAYS(P6, Q6, Holiday_Dates) &lt;= 0,
          1,
          NETWORKDAYS(P6, Q6, Holiday_Dates) - IF(P6 = Q6, 0, 1)
        )
      )
    ),
    IF(
      OR(ISBLANK(O6), ISBLANK(Q6)),
      "",
      MAX(
        1,
        IF(
          NETWORKDAYS(O6, Q6, Holiday_Dates) &lt;= 0,
          1,
          NETWORKDAYS(O6, Q6, Holiday_Dates) - IF(O6 = Q6, 0, 1)
        )
      )
    )
  ),
  ""
)</f>
        <v/>
      </c>
      <c r="V6" s="24" t="str">
        <f>IFERROR(
    IF(
        OR(ISBLANK(Q6), ISBLANK(R6)),
        "",
        MAX(
            1,
            IF(
                NETWORKDAYS(Q6, R6, Holiday_Dates) &lt;= 0,
                1,
                NETWORKDAYS(Q6, R6, Holiday_Dates) - IF(Q6 = R6, 0, 1)
            )
        )
    ),
    ""
)</f>
        <v/>
      </c>
      <c r="W6" s="71"/>
      <c r="X6" s="9"/>
      <c r="Y6" s="71"/>
      <c r="Z6" s="9"/>
      <c r="AA6" s="9"/>
      <c r="AB6" s="9"/>
      <c r="AC6" s="6"/>
      <c r="AD6" s="57"/>
      <c r="AE6" s="323"/>
      <c r="AF6" s="1"/>
      <c r="AG6" s="1"/>
    </row>
    <row r="7" spans="1:34">
      <c r="A7" s="40" t="s">
        <v>49</v>
      </c>
      <c r="B7" s="245" t="s">
        <v>6009</v>
      </c>
      <c r="C7" s="246" t="s">
        <v>5931</v>
      </c>
      <c r="D7" s="246" t="s">
        <v>88</v>
      </c>
      <c r="E7" s="40">
        <v>14.84277166</v>
      </c>
      <c r="F7" s="247">
        <v>120.80556833</v>
      </c>
      <c r="G7" s="40" t="s">
        <v>6002</v>
      </c>
      <c r="H7" s="248">
        <v>44901</v>
      </c>
      <c r="I7" s="9" t="s">
        <v>72</v>
      </c>
      <c r="J7" s="9" t="s">
        <v>344</v>
      </c>
      <c r="K7" s="9"/>
      <c r="L7" s="9" t="s">
        <v>128</v>
      </c>
      <c r="M7" s="238"/>
      <c r="N7" s="239"/>
      <c r="O7" s="239"/>
      <c r="P7" s="239"/>
      <c r="Q7" s="239"/>
      <c r="R7" s="239"/>
      <c r="S7" s="24" t="str">
        <f>IFERROR(
    IF(
        OR(ISBLANK(N7), ISBLANK(O7)),
        "",
        MAX(
            1,
            IF(
                NETWORKDAYS(N7, O7, Holiday_Dates) &lt;= 0,
                1,
                NETWORKDAYS(N7, O7, Holiday_Dates) - IF(N7 = O7, 0, 1)
            )
        )
    ),
    ""
)</f>
        <v/>
      </c>
      <c r="T7" s="24" t="str">
        <f>IF(
    OR(ISBLANK(O7), ISBLANK(P7)),
    "",
    MAX(
        1,
        IF(
            NETWORKDAYS(O7, P7, Holiday_Dates) &lt;= 0,
            1,
            NETWORKDAYS(O7, P7, Holiday_Dates) - IF(O7 = P7, 0, 1)
        )
    )
)</f>
        <v/>
      </c>
      <c r="U7" s="24" t="str">
        <f>IFERROR(
  IF(
    OR(A7="Nueva_Ecija", A7="Zambales"),
    IF(
      OR(ISBLANK(P7), ISBLANK(Q7)),
      "",
      MAX(
        1,
        IF(
          NETWORKDAYS(P7, Q7, Holiday_Dates) &lt;= 0,
          1,
          NETWORKDAYS(P7, Q7, Holiday_Dates) - IF(P7 = Q7, 0, 1)
        )
      )
    ),
    IF(
      OR(ISBLANK(O7), ISBLANK(Q7)),
      "",
      MAX(
        1,
        IF(
          NETWORKDAYS(O7, Q7, Holiday_Dates) &lt;= 0,
          1,
          NETWORKDAYS(O7, Q7, Holiday_Dates) - IF(O7 = Q7, 0, 1)
        )
      )
    )
  ),
  ""
)</f>
        <v/>
      </c>
      <c r="V7" s="24" t="str">
        <f>IFERROR(
    IF(
        OR(ISBLANK(Q7), ISBLANK(R7)),
        "",
        MAX(
            1,
            IF(
                NETWORKDAYS(Q7, R7, Holiday_Dates) &lt;= 0,
                1,
                NETWORKDAYS(Q7, R7, Holiday_Dates) - IF(Q7 = R7, 0, 1)
            )
        )
    ),
    ""
)</f>
        <v/>
      </c>
      <c r="W7" s="71"/>
      <c r="X7" s="9"/>
      <c r="Y7" s="71"/>
      <c r="Z7" s="9"/>
      <c r="AA7" s="9"/>
      <c r="AB7" s="9"/>
      <c r="AC7" s="6"/>
      <c r="AD7" s="57"/>
      <c r="AE7" s="323"/>
      <c r="AF7" s="1"/>
      <c r="AG7" s="1"/>
    </row>
    <row r="8" spans="1:34">
      <c r="A8" s="40" t="s">
        <v>49</v>
      </c>
      <c r="B8" s="245" t="s">
        <v>6010</v>
      </c>
      <c r="C8" s="246" t="s">
        <v>440</v>
      </c>
      <c r="D8" s="246" t="s">
        <v>88</v>
      </c>
      <c r="E8" s="40">
        <v>15.18266</v>
      </c>
      <c r="F8" s="247">
        <v>120.96031000000001</v>
      </c>
      <c r="G8" s="40" t="str">
        <f>CONCATENATE(E8,",",F8)</f>
        <v>15.18266,120.96031</v>
      </c>
      <c r="H8" s="248">
        <v>44900</v>
      </c>
      <c r="I8" s="9" t="s">
        <v>72</v>
      </c>
      <c r="J8" s="9" t="s">
        <v>344</v>
      </c>
      <c r="K8" s="9"/>
      <c r="L8" s="9" t="s">
        <v>128</v>
      </c>
      <c r="M8" s="238"/>
      <c r="N8" s="239"/>
      <c r="O8" s="239"/>
      <c r="P8" s="239"/>
      <c r="Q8" s="239"/>
      <c r="R8" s="239"/>
      <c r="S8" s="24" t="str">
        <f>IFERROR(
    IF(
        OR(ISBLANK(N8), ISBLANK(O8)),
        "",
        MAX(
            1,
            IF(
                NETWORKDAYS(N8, O8, Holiday_Dates) &lt;= 0,
                1,
                NETWORKDAYS(N8, O8, Holiday_Dates) - IF(N8 = O8, 0, 1)
            )
        )
    ),
    ""
)</f>
        <v/>
      </c>
      <c r="T8" s="24" t="str">
        <f>IF(
    OR(ISBLANK(O8), ISBLANK(P8)),
    "",
    MAX(
        1,
        IF(
            NETWORKDAYS(O8, P8, Holiday_Dates) &lt;= 0,
            1,
            NETWORKDAYS(O8, P8, Holiday_Dates) - IF(O8 = P8, 0, 1)
        )
    )
)</f>
        <v/>
      </c>
      <c r="U8" s="24" t="str">
        <f>IFERROR(
  IF(
    OR(A8="Nueva_Ecija", A8="Zambales"),
    IF(
      OR(ISBLANK(P8), ISBLANK(Q8)),
      "",
      MAX(
        1,
        IF(
          NETWORKDAYS(P8, Q8, Holiday_Dates) &lt;= 0,
          1,
          NETWORKDAYS(P8, Q8, Holiday_Dates) - IF(P8 = Q8, 0, 1)
        )
      )
    ),
    IF(
      OR(ISBLANK(O8), ISBLANK(Q8)),
      "",
      MAX(
        1,
        IF(
          NETWORKDAYS(O8, Q8, Holiday_Dates) &lt;= 0,
          1,
          NETWORKDAYS(O8, Q8, Holiday_Dates) - IF(O8 = Q8, 0, 1)
        )
      )
    )
  ),
  ""
)</f>
        <v/>
      </c>
      <c r="V8" s="24" t="str">
        <f>IFERROR(
    IF(
        OR(ISBLANK(Q8), ISBLANK(R8)),
        "",
        MAX(
            1,
            IF(
                NETWORKDAYS(Q8, R8, Holiday_Dates) &lt;= 0,
                1,
                NETWORKDAYS(Q8, R8, Holiday_Dates) - IF(Q8 = R8, 0, 1)
            )
        )
    ),
    ""
)</f>
        <v/>
      </c>
      <c r="W8" s="71"/>
      <c r="X8" s="9"/>
      <c r="Y8" s="71"/>
      <c r="Z8" s="9"/>
      <c r="AA8" s="9"/>
      <c r="AB8" s="9"/>
      <c r="AC8" s="9"/>
      <c r="AD8" s="71"/>
      <c r="AE8" s="284"/>
      <c r="AF8" s="1"/>
      <c r="AG8" s="1"/>
    </row>
    <row r="9" spans="1:34">
      <c r="A9" s="263" t="s">
        <v>49</v>
      </c>
      <c r="B9" s="264" t="s">
        <v>6011</v>
      </c>
      <c r="C9" s="265" t="s">
        <v>440</v>
      </c>
      <c r="D9" s="265" t="s">
        <v>88</v>
      </c>
      <c r="E9" s="263">
        <v>15.126785549999999</v>
      </c>
      <c r="F9" s="266">
        <v>120.9511182</v>
      </c>
      <c r="G9" s="263" t="s">
        <v>6012</v>
      </c>
      <c r="H9" s="267">
        <v>44900</v>
      </c>
      <c r="I9" s="9" t="s">
        <v>72</v>
      </c>
      <c r="J9" s="9" t="s">
        <v>344</v>
      </c>
      <c r="K9" s="9"/>
      <c r="L9" s="9" t="s">
        <v>128</v>
      </c>
      <c r="M9" s="238"/>
      <c r="N9" s="269"/>
      <c r="O9" s="269"/>
      <c r="P9" s="269"/>
      <c r="Q9" s="269"/>
      <c r="R9" s="269"/>
      <c r="S9" s="24" t="str">
        <f>IFERROR(
    IF(
        OR(ISBLANK(N9), ISBLANK(O9)),
        "",
        MAX(
            1,
            IF(
                NETWORKDAYS(N9, O9, Holiday_Dates) &lt;= 0,
                1,
                NETWORKDAYS(N9, O9, Holiday_Dates) - IF(N9 = O9, 0, 1)
            )
        )
    ),
    ""
)</f>
        <v/>
      </c>
      <c r="T9" s="24" t="str">
        <f>IF(
    OR(ISBLANK(O9), ISBLANK(P9)),
    "",
    MAX(
        1,
        IF(
            NETWORKDAYS(O9, P9, Holiday_Dates) &lt;= 0,
            1,
            NETWORKDAYS(O9, P9, Holiday_Dates) - IF(O9 = P9, 0, 1)
        )
    )
)</f>
        <v/>
      </c>
      <c r="U9" s="24" t="str">
        <f>IFERROR(
  IF(
    OR(A9="Nueva_Ecija", A9="Zambales"),
    IF(
      OR(ISBLANK(P9), ISBLANK(Q9)),
      "",
      MAX(
        1,
        IF(
          NETWORKDAYS(P9, Q9, Holiday_Dates) &lt;= 0,
          1,
          NETWORKDAYS(P9, Q9, Holiday_Dates) - IF(P9 = Q9, 0, 1)
        )
      )
    ),
    IF(
      OR(ISBLANK(O9), ISBLANK(Q9)),
      "",
      MAX(
        1,
        IF(
          NETWORKDAYS(O9, Q9, Holiday_Dates) &lt;= 0,
          1,
          NETWORKDAYS(O9, Q9, Holiday_Dates) - IF(O9 = Q9, 0, 1)
        )
      )
    )
  ),
  ""
)</f>
        <v/>
      </c>
      <c r="V9" s="24" t="str">
        <f>IFERROR(
    IF(
        OR(ISBLANK(Q9), ISBLANK(R9)),
        "",
        MAX(
            1,
            IF(
                NETWORKDAYS(Q9, R9, Holiday_Dates) &lt;= 0,
                1,
                NETWORKDAYS(Q9, R9, Holiday_Dates) - IF(Q9 = R9, 0, 1)
            )
        )
    ),
    ""
)</f>
        <v/>
      </c>
      <c r="W9" s="270"/>
      <c r="X9" s="268"/>
      <c r="Y9" s="270"/>
      <c r="Z9" s="268"/>
      <c r="AA9" s="268"/>
      <c r="AB9" s="268"/>
      <c r="AC9" s="268"/>
      <c r="AD9" s="270"/>
      <c r="AE9" s="330"/>
      <c r="AF9" s="260"/>
      <c r="AG9" s="260"/>
    </row>
    <row r="10" spans="1:34">
      <c r="A10" s="40" t="s">
        <v>65</v>
      </c>
      <c r="B10" s="245" t="s">
        <v>6013</v>
      </c>
      <c r="C10" s="246" t="s">
        <v>1322</v>
      </c>
      <c r="D10" s="246" t="s">
        <v>88</v>
      </c>
      <c r="E10" s="40">
        <v>15.234044000000001</v>
      </c>
      <c r="F10" s="247">
        <v>120.93894400000001</v>
      </c>
      <c r="G10" s="40" t="str">
        <f>_xlfn.CONCAT(E10:F10)</f>
        <v>15.234044120.938944</v>
      </c>
      <c r="H10" s="248">
        <v>44914</v>
      </c>
      <c r="I10" s="9" t="s">
        <v>72</v>
      </c>
      <c r="J10" s="9" t="s">
        <v>30</v>
      </c>
      <c r="K10" s="9"/>
      <c r="L10" s="9" t="s">
        <v>130</v>
      </c>
      <c r="M10" s="238"/>
      <c r="N10" s="239"/>
      <c r="O10" s="239"/>
      <c r="P10" s="239"/>
      <c r="Q10" s="239"/>
      <c r="R10" s="239"/>
      <c r="S10" s="24" t="str">
        <f>IFERROR(
    IF(
        OR(ISBLANK(N10), ISBLANK(O10)),
        "",
        MAX(
            1,
            IF(
                NETWORKDAYS(N10, O10, Holiday_Dates) &lt;= 0,
                1,
                NETWORKDAYS(N10, O10, Holiday_Dates) - IF(N10 = O10, 0, 1)
            )
        )
    ),
    ""
)</f>
        <v/>
      </c>
      <c r="T10" s="24" t="str">
        <f>IF(
    OR(ISBLANK(O10), ISBLANK(P10)),
    "",
    MAX(
        1,
        IF(
            NETWORKDAYS(O10, P10, Holiday_Dates) &lt;= 0,
            1,
            NETWORKDAYS(O10, P10, Holiday_Dates) - IF(O10 = P10, 0, 1)
        )
    )
)</f>
        <v/>
      </c>
      <c r="U10" s="24" t="str">
        <f>IFERROR(
  IF(
    OR(A10="Nueva_Ecija", A10="Zambales"),
    IF(
      OR(ISBLANK(P10), ISBLANK(Q10)),
      "",
      MAX(
        1,
        IF(
          NETWORKDAYS(P10, Q10, Holiday_Dates) &lt;= 0,
          1,
          NETWORKDAYS(P10, Q10, Holiday_Dates) - IF(P10 = Q10, 0, 1)
        )
      )
    ),
    IF(
      OR(ISBLANK(O10), ISBLANK(Q10)),
      "",
      MAX(
        1,
        IF(
          NETWORKDAYS(O10, Q10, Holiday_Dates) &lt;= 0,
          1,
          NETWORKDAYS(O10, Q10, Holiday_Dates) - IF(O10 = Q10, 0, 1)
        )
      )
    )
  ),
  ""
)</f>
        <v/>
      </c>
      <c r="V10" s="24" t="str">
        <f>IFERROR(
    IF(
        OR(ISBLANK(Q10), ISBLANK(R10)),
        "",
        MAX(
            1,
            IF(
                NETWORKDAYS(Q10, R10, Holiday_Dates) &lt;= 0,
                1,
                NETWORKDAYS(Q10, R10, Holiday_Dates) - IF(Q10 = R10, 0, 1)
            )
        )
    ),
    ""
)</f>
        <v/>
      </c>
      <c r="W10" s="71"/>
      <c r="X10" s="9"/>
      <c r="Y10" s="71"/>
      <c r="Z10" s="9"/>
      <c r="AA10" s="9"/>
      <c r="AB10" s="9"/>
      <c r="AC10" s="317"/>
      <c r="AD10" s="57"/>
      <c r="AE10" s="6"/>
      <c r="AF10" s="5"/>
      <c r="AG10" s="5"/>
    </row>
    <row r="11" spans="1:34">
      <c r="A11" s="40" t="s">
        <v>65</v>
      </c>
      <c r="B11" s="245" t="s">
        <v>6014</v>
      </c>
      <c r="C11" s="246" t="s">
        <v>1322</v>
      </c>
      <c r="D11" s="246" t="s">
        <v>88</v>
      </c>
      <c r="E11" s="40">
        <v>15.304081999999999</v>
      </c>
      <c r="F11" s="247">
        <v>120.946623</v>
      </c>
      <c r="G11" s="40" t="str">
        <f>_xlfn.CONCAT(E11:F11)</f>
        <v>15.304082120.946623</v>
      </c>
      <c r="H11" s="248">
        <v>44914</v>
      </c>
      <c r="I11" s="9" t="s">
        <v>72</v>
      </c>
      <c r="J11" s="9" t="s">
        <v>30</v>
      </c>
      <c r="K11" s="9"/>
      <c r="L11" s="9" t="s">
        <v>130</v>
      </c>
      <c r="M11" s="408"/>
      <c r="N11" s="239"/>
      <c r="O11" s="239"/>
      <c r="P11" s="239"/>
      <c r="Q11" s="239"/>
      <c r="R11" s="239"/>
      <c r="S11" s="24" t="str">
        <f>IFERROR(
    IF(
        OR(ISBLANK(N11), ISBLANK(O11)),
        "",
        MAX(
            1,
            IF(
                NETWORKDAYS(N11, O11, Holiday_Dates) &lt;= 0,
                1,
                NETWORKDAYS(N11, O11, Holiday_Dates) - IF(N11 = O11, 0, 1)
            )
        )
    ),
    ""
)</f>
        <v/>
      </c>
      <c r="T11" s="24" t="str">
        <f>IF(
    OR(ISBLANK(O11), ISBLANK(P11)),
    "",
    MAX(
        1,
        IF(
            NETWORKDAYS(O11, P11, Holiday_Dates) &lt;= 0,
            1,
            NETWORKDAYS(O11, P11, Holiday_Dates) - IF(O11 = P11, 0, 1)
        )
    )
)</f>
        <v/>
      </c>
      <c r="U11" s="24" t="str">
        <f>IFERROR(
  IF(
    OR(A11="Nueva_Ecija", A11="Zambales"),
    IF(
      OR(ISBLANK(P11), ISBLANK(Q11)),
      "",
      MAX(
        1,
        IF(
          NETWORKDAYS(P11, Q11, Holiday_Dates) &lt;= 0,
          1,
          NETWORKDAYS(P11, Q11, Holiday_Dates) - IF(P11 = Q11, 0, 1)
        )
      )
    ),
    IF(
      OR(ISBLANK(O11), ISBLANK(Q11)),
      "",
      MAX(
        1,
        IF(
          NETWORKDAYS(O11, Q11, Holiday_Dates) &lt;= 0,
          1,
          NETWORKDAYS(O11, Q11, Holiday_Dates) - IF(O11 = Q11, 0, 1)
        )
      )
    )
  ),
  ""
)</f>
        <v/>
      </c>
      <c r="V11" s="24" t="str">
        <f>IFERROR(
    IF(
        OR(ISBLANK(Q11), ISBLANK(R11)),
        "",
        MAX(
            1,
            IF(
                NETWORKDAYS(Q11, R11, Holiday_Dates) &lt;= 0,
                1,
                NETWORKDAYS(Q11, R11, Holiday_Dates) - IF(Q11 = R11, 0, 1)
            )
        )
    ),
    ""
)</f>
        <v/>
      </c>
      <c r="W11" s="71"/>
      <c r="X11" s="9"/>
      <c r="Y11" s="71"/>
      <c r="Z11" s="9"/>
      <c r="AA11" s="9"/>
      <c r="AB11" s="9"/>
      <c r="AC11" s="317"/>
      <c r="AD11" s="57"/>
      <c r="AE11" s="6"/>
      <c r="AF11" s="5"/>
      <c r="AG11" s="5"/>
    </row>
    <row r="12" spans="1:34">
      <c r="A12" s="40" t="s">
        <v>51</v>
      </c>
      <c r="B12" s="245" t="s">
        <v>6015</v>
      </c>
      <c r="C12" s="246" t="s">
        <v>1377</v>
      </c>
      <c r="D12" s="246" t="s">
        <v>88</v>
      </c>
      <c r="E12" s="40">
        <v>15.0982</v>
      </c>
      <c r="F12" s="247">
        <v>120.6202</v>
      </c>
      <c r="G12" s="40" t="s">
        <v>6016</v>
      </c>
      <c r="H12" s="248">
        <v>44904</v>
      </c>
      <c r="I12" s="9" t="s">
        <v>72</v>
      </c>
      <c r="J12" s="9" t="s">
        <v>33</v>
      </c>
      <c r="K12" s="9"/>
      <c r="L12" s="9" t="s">
        <v>239</v>
      </c>
      <c r="M12" s="238"/>
      <c r="N12" s="239"/>
      <c r="O12" s="239"/>
      <c r="P12" s="239"/>
      <c r="Q12" s="239"/>
      <c r="R12" s="239"/>
      <c r="S12" s="24" t="str">
        <f>IFERROR(
    IF(
        OR(ISBLANK(N12), ISBLANK(O12)),
        "",
        MAX(
            1,
            IF(
                NETWORKDAYS(N12, O12, Holiday_Dates) &lt;= 0,
                1,
                NETWORKDAYS(N12, O12, Holiday_Dates) - IF(N12 = O12, 0, 1)
            )
        )
    ),
    ""
)</f>
        <v/>
      </c>
      <c r="T12" s="24" t="str">
        <f>IF(
    OR(ISBLANK(O12), ISBLANK(P12)),
    "",
    MAX(
        1,
        IF(
            NETWORKDAYS(O12, P12, Holiday_Dates) &lt;= 0,
            1,
            NETWORKDAYS(O12, P12, Holiday_Dates) - IF(O12 = P12, 0, 1)
        )
    )
)</f>
        <v/>
      </c>
      <c r="U12" s="24" t="str">
        <f>IFERROR(
  IF(
    OR(A12="Nueva_Ecija", A12="Zambales"),
    IF(
      OR(ISBLANK(P12), ISBLANK(Q12)),
      "",
      MAX(
        1,
        IF(
          NETWORKDAYS(P12, Q12, Holiday_Dates) &lt;= 0,
          1,
          NETWORKDAYS(P12, Q12, Holiday_Dates) - IF(P12 = Q12, 0, 1)
        )
      )
    ),
    IF(
      OR(ISBLANK(O12), ISBLANK(Q12)),
      "",
      MAX(
        1,
        IF(
          NETWORKDAYS(O12, Q12, Holiday_Dates) &lt;= 0,
          1,
          NETWORKDAYS(O12, Q12, Holiday_Dates) - IF(O12 = Q12, 0, 1)
        )
      )
    )
  ),
  ""
)</f>
        <v/>
      </c>
      <c r="V12" s="24" t="str">
        <f>IFERROR(
    IF(
        OR(ISBLANK(Q12), ISBLANK(R12)),
        "",
        MAX(
            1,
            IF(
                NETWORKDAYS(Q12, R12, Holiday_Dates) &lt;= 0,
                1,
                NETWORKDAYS(Q12, R12, Holiday_Dates) - IF(Q12 = R12, 0, 1)
            )
        )
    ),
    ""
)</f>
        <v/>
      </c>
      <c r="W12" s="71"/>
      <c r="X12" s="9"/>
      <c r="Y12" s="71"/>
      <c r="Z12" s="9"/>
      <c r="AA12" s="9"/>
      <c r="AB12" s="9"/>
      <c r="AC12" s="9"/>
      <c r="AD12" s="57"/>
      <c r="AE12" s="6"/>
      <c r="AF12" s="1"/>
      <c r="AG12" s="1"/>
    </row>
    <row r="13" spans="1:34">
      <c r="A13" s="40" t="s">
        <v>51</v>
      </c>
      <c r="B13" s="245" t="s">
        <v>6017</v>
      </c>
      <c r="C13" s="246" t="s">
        <v>1377</v>
      </c>
      <c r="D13" s="246" t="s">
        <v>88</v>
      </c>
      <c r="E13" s="40">
        <v>15.10364</v>
      </c>
      <c r="F13" s="247">
        <v>120.63617000000001</v>
      </c>
      <c r="G13" s="40" t="str">
        <f>CONCATENATE(E13,",",F13)</f>
        <v>15.10364,120.63617</v>
      </c>
      <c r="H13" s="248">
        <v>44904</v>
      </c>
      <c r="I13" s="9" t="s">
        <v>72</v>
      </c>
      <c r="J13" s="9" t="s">
        <v>33</v>
      </c>
      <c r="K13" s="9"/>
      <c r="L13" s="9" t="s">
        <v>239</v>
      </c>
      <c r="M13" s="238"/>
      <c r="N13" s="239"/>
      <c r="O13" s="239"/>
      <c r="P13" s="239"/>
      <c r="Q13" s="239"/>
      <c r="R13" s="239"/>
      <c r="S13" s="24" t="str">
        <f>IFERROR(
    IF(
        OR(ISBLANK(N13), ISBLANK(O13)),
        "",
        MAX(
            1,
            IF(
                NETWORKDAYS(N13, O13, Holiday_Dates) &lt;= 0,
                1,
                NETWORKDAYS(N13, O13, Holiday_Dates) - IF(N13 = O13, 0, 1)
            )
        )
    ),
    ""
)</f>
        <v/>
      </c>
      <c r="T13" s="24" t="str">
        <f>IF(
    OR(ISBLANK(O13), ISBLANK(P13)),
    "",
    MAX(
        1,
        IF(
            NETWORKDAYS(O13, P13, Holiday_Dates) &lt;= 0,
            1,
            NETWORKDAYS(O13, P13, Holiday_Dates) - IF(O13 = P13, 0, 1)
        )
    )
)</f>
        <v/>
      </c>
      <c r="U13" s="24" t="str">
        <f>IFERROR(
  IF(
    OR(A13="Nueva_Ecija", A13="Zambales"),
    IF(
      OR(ISBLANK(P13), ISBLANK(Q13)),
      "",
      MAX(
        1,
        IF(
          NETWORKDAYS(P13, Q13, Holiday_Dates) &lt;= 0,
          1,
          NETWORKDAYS(P13, Q13, Holiday_Dates) - IF(P13 = Q13, 0, 1)
        )
      )
    ),
    IF(
      OR(ISBLANK(O13), ISBLANK(Q13)),
      "",
      MAX(
        1,
        IF(
          NETWORKDAYS(O13, Q13, Holiday_Dates) &lt;= 0,
          1,
          NETWORKDAYS(O13, Q13, Holiday_Dates) - IF(O13 = Q13, 0, 1)
        )
      )
    )
  ),
  ""
)</f>
        <v/>
      </c>
      <c r="V13" s="24" t="str">
        <f>IFERROR(
    IF(
        OR(ISBLANK(Q13), ISBLANK(R13)),
        "",
        MAX(
            1,
            IF(
                NETWORKDAYS(Q13, R13, Holiday_Dates) &lt;= 0,
                1,
                NETWORKDAYS(Q13, R13, Holiday_Dates) - IF(Q13 = R13, 0, 1)
            )
        )
    ),
    ""
)</f>
        <v/>
      </c>
      <c r="W13" s="71"/>
      <c r="X13" s="9"/>
      <c r="Y13" s="71"/>
      <c r="Z13" s="9"/>
      <c r="AA13" s="9"/>
      <c r="AB13" s="9"/>
      <c r="AC13" s="9"/>
      <c r="AD13" s="57"/>
      <c r="AE13" s="6"/>
      <c r="AF13" s="1"/>
      <c r="AG13" s="1"/>
    </row>
    <row r="14" spans="1:34">
      <c r="A14" s="40" t="s">
        <v>51</v>
      </c>
      <c r="B14" s="245" t="s">
        <v>6018</v>
      </c>
      <c r="C14" s="246" t="s">
        <v>1377</v>
      </c>
      <c r="D14" s="246" t="s">
        <v>88</v>
      </c>
      <c r="E14" s="40">
        <v>15.0739</v>
      </c>
      <c r="F14" s="247">
        <v>120.63760000000001</v>
      </c>
      <c r="G14" s="40" t="s">
        <v>6019</v>
      </c>
      <c r="H14" s="248">
        <v>44904</v>
      </c>
      <c r="I14" s="9" t="s">
        <v>72</v>
      </c>
      <c r="J14" s="9" t="s">
        <v>33</v>
      </c>
      <c r="K14" s="9"/>
      <c r="L14" s="9" t="s">
        <v>239</v>
      </c>
      <c r="M14" s="238"/>
      <c r="N14" s="239"/>
      <c r="O14" s="239"/>
      <c r="P14" s="239"/>
      <c r="Q14" s="239"/>
      <c r="R14" s="239"/>
      <c r="S14" s="24" t="str">
        <f>IFERROR(
    IF(
        OR(ISBLANK(N14), ISBLANK(O14)),
        "",
        MAX(
            1,
            IF(
                NETWORKDAYS(N14, O14, Holiday_Dates) &lt;= 0,
                1,
                NETWORKDAYS(N14, O14, Holiday_Dates) - IF(N14 = O14, 0, 1)
            )
        )
    ),
    ""
)</f>
        <v/>
      </c>
      <c r="T14" s="24" t="str">
        <f>IF(
    OR(ISBLANK(O14), ISBLANK(P14)),
    "",
    MAX(
        1,
        IF(
            NETWORKDAYS(O14, P14, Holiday_Dates) &lt;= 0,
            1,
            NETWORKDAYS(O14, P14, Holiday_Dates) - IF(O14 = P14, 0, 1)
        )
    )
)</f>
        <v/>
      </c>
      <c r="U14" s="24" t="str">
        <f>IFERROR(
  IF(
    OR(A14="Nueva_Ecija", A14="Zambales"),
    IF(
      OR(ISBLANK(P14), ISBLANK(Q14)),
      "",
      MAX(
        1,
        IF(
          NETWORKDAYS(P14, Q14, Holiday_Dates) &lt;= 0,
          1,
          NETWORKDAYS(P14, Q14, Holiday_Dates) - IF(P14 = Q14, 0, 1)
        )
      )
    ),
    IF(
      OR(ISBLANK(O14), ISBLANK(Q14)),
      "",
      MAX(
        1,
        IF(
          NETWORKDAYS(O14, Q14, Holiday_Dates) &lt;= 0,
          1,
          NETWORKDAYS(O14, Q14, Holiday_Dates) - IF(O14 = Q14, 0, 1)
        )
      )
    )
  ),
  ""
)</f>
        <v/>
      </c>
      <c r="V14" s="24" t="str">
        <f>IFERROR(
    IF(
        OR(ISBLANK(Q14), ISBLANK(R14)),
        "",
        MAX(
            1,
            IF(
                NETWORKDAYS(Q14, R14, Holiday_Dates) &lt;= 0,
                1,
                NETWORKDAYS(Q14, R14, Holiday_Dates) - IF(Q14 = R14, 0, 1)
            )
        )
    ),
    ""
)</f>
        <v/>
      </c>
      <c r="W14" s="71"/>
      <c r="X14" s="9"/>
      <c r="Y14" s="71"/>
      <c r="Z14" s="9"/>
      <c r="AA14" s="9"/>
      <c r="AB14" s="9"/>
      <c r="AC14" s="9"/>
      <c r="AD14" s="57"/>
      <c r="AE14" s="6"/>
      <c r="AF14" s="1"/>
      <c r="AG14" s="1"/>
    </row>
    <row r="15" spans="1:34">
      <c r="A15" s="40" t="s">
        <v>51</v>
      </c>
      <c r="B15" s="245" t="s">
        <v>6020</v>
      </c>
      <c r="C15" s="246" t="s">
        <v>1377</v>
      </c>
      <c r="D15" s="246" t="s">
        <v>88</v>
      </c>
      <c r="E15" s="40">
        <v>15.10947</v>
      </c>
      <c r="F15" s="247">
        <v>120.62806</v>
      </c>
      <c r="G15" s="40" t="str">
        <f>CONCATENATE(E15,",",F15)</f>
        <v>15.10947,120.62806</v>
      </c>
      <c r="H15" s="248">
        <v>44904</v>
      </c>
      <c r="I15" s="9" t="s">
        <v>72</v>
      </c>
      <c r="J15" s="9" t="s">
        <v>33</v>
      </c>
      <c r="K15" s="9"/>
      <c r="L15" s="9" t="s">
        <v>239</v>
      </c>
      <c r="M15" s="406"/>
      <c r="N15" s="239"/>
      <c r="O15" s="239"/>
      <c r="P15" s="239"/>
      <c r="Q15" s="239"/>
      <c r="R15" s="239"/>
      <c r="S15" s="24" t="str">
        <f>IFERROR(
    IF(
        OR(ISBLANK(N15), ISBLANK(O15)),
        "",
        MAX(
            1,
            IF(
                NETWORKDAYS(N15, O15, Holiday_Dates) &lt;= 0,
                1,
                NETWORKDAYS(N15, O15, Holiday_Dates) - IF(N15 = O15, 0, 1)
            )
        )
    ),
    ""
)</f>
        <v/>
      </c>
      <c r="T15" s="24" t="str">
        <f>IF(
    OR(ISBLANK(O15), ISBLANK(P15)),
    "",
    MAX(
        1,
        IF(
            NETWORKDAYS(O15, P15, Holiday_Dates) &lt;= 0,
            1,
            NETWORKDAYS(O15, P15, Holiday_Dates) - IF(O15 = P15, 0, 1)
        )
    )
)</f>
        <v/>
      </c>
      <c r="U15" s="24" t="str">
        <f>IFERROR(
  IF(
    OR(A15="Nueva_Ecija", A15="Zambales"),
    IF(
      OR(ISBLANK(P15), ISBLANK(Q15)),
      "",
      MAX(
        1,
        IF(
          NETWORKDAYS(P15, Q15, Holiday_Dates) &lt;= 0,
          1,
          NETWORKDAYS(P15, Q15, Holiday_Dates) - IF(P15 = Q15, 0, 1)
        )
      )
    ),
    IF(
      OR(ISBLANK(O15), ISBLANK(Q15)),
      "",
      MAX(
        1,
        IF(
          NETWORKDAYS(O15, Q15, Holiday_Dates) &lt;= 0,
          1,
          NETWORKDAYS(O15, Q15, Holiday_Dates) - IF(O15 = Q15, 0, 1)
        )
      )
    )
  ),
  ""
)</f>
        <v/>
      </c>
      <c r="V15" s="24" t="str">
        <f>IFERROR(
    IF(
        OR(ISBLANK(Q15), ISBLANK(R15)),
        "",
        MAX(
            1,
            IF(
                NETWORKDAYS(Q15, R15, Holiday_Dates) &lt;= 0,
                1,
                NETWORKDAYS(Q15, R15, Holiday_Dates) - IF(Q15 = R15, 0, 1)
            )
        )
    ),
    ""
)</f>
        <v/>
      </c>
      <c r="W15" s="71"/>
      <c r="X15" s="9"/>
      <c r="Y15" s="71"/>
      <c r="Z15" s="9"/>
      <c r="AA15" s="9"/>
      <c r="AB15" s="9"/>
      <c r="AC15" s="9"/>
      <c r="AD15" s="57"/>
      <c r="AE15" s="6"/>
      <c r="AF15" s="1"/>
      <c r="AG15" s="1"/>
    </row>
    <row r="16" spans="1:34">
      <c r="A16" s="40" t="s">
        <v>51</v>
      </c>
      <c r="B16" s="245" t="s">
        <v>6021</v>
      </c>
      <c r="C16" s="246" t="s">
        <v>1377</v>
      </c>
      <c r="D16" s="246" t="s">
        <v>88</v>
      </c>
      <c r="E16" s="40">
        <v>15.04059333</v>
      </c>
      <c r="F16" s="247">
        <v>120.666473</v>
      </c>
      <c r="G16" s="40" t="s">
        <v>6022</v>
      </c>
      <c r="H16" s="248">
        <v>44904</v>
      </c>
      <c r="I16" s="9" t="s">
        <v>72</v>
      </c>
      <c r="J16" s="9" t="s">
        <v>33</v>
      </c>
      <c r="K16" s="9"/>
      <c r="L16" s="9" t="s">
        <v>239</v>
      </c>
      <c r="M16" s="238"/>
      <c r="N16" s="239"/>
      <c r="O16" s="239"/>
      <c r="P16" s="239"/>
      <c r="Q16" s="239"/>
      <c r="R16" s="239"/>
      <c r="S16" s="24" t="str">
        <f>IFERROR(
    IF(
        OR(ISBLANK(N16), ISBLANK(O16)),
        "",
        MAX(
            1,
            IF(
                NETWORKDAYS(N16, O16, Holiday_Dates) &lt;= 0,
                1,
                NETWORKDAYS(N16, O16, Holiday_Dates) - IF(N16 = O16, 0, 1)
            )
        )
    ),
    ""
)</f>
        <v/>
      </c>
      <c r="T16" s="24" t="str">
        <f>IF(
    OR(ISBLANK(O16), ISBLANK(P16)),
    "",
    MAX(
        1,
        IF(
            NETWORKDAYS(O16, P16, Holiday_Dates) &lt;= 0,
            1,
            NETWORKDAYS(O16, P16, Holiday_Dates) - IF(O16 = P16, 0, 1)
        )
    )
)</f>
        <v/>
      </c>
      <c r="U16" s="24" t="str">
        <f>IFERROR(
  IF(
    OR(A16="Nueva_Ecija", A16="Zambales"),
    IF(
      OR(ISBLANK(P16), ISBLANK(Q16)),
      "",
      MAX(
        1,
        IF(
          NETWORKDAYS(P16, Q16, Holiday_Dates) &lt;= 0,
          1,
          NETWORKDAYS(P16, Q16, Holiday_Dates) - IF(P16 = Q16, 0, 1)
        )
      )
    ),
    IF(
      OR(ISBLANK(O16), ISBLANK(Q16)),
      "",
      MAX(
        1,
        IF(
          NETWORKDAYS(O16, Q16, Holiday_Dates) &lt;= 0,
          1,
          NETWORKDAYS(O16, Q16, Holiday_Dates) - IF(O16 = Q16, 0, 1)
        )
      )
    )
  ),
  ""
)</f>
        <v/>
      </c>
      <c r="V16" s="24" t="str">
        <f>IFERROR(
    IF(
        OR(ISBLANK(Q16), ISBLANK(R16)),
        "",
        MAX(
            1,
            IF(
                NETWORKDAYS(Q16, R16, Holiday_Dates) &lt;= 0,
                1,
                NETWORKDAYS(Q16, R16, Holiday_Dates) - IF(Q16 = R16, 0, 1)
            )
        )
    ),
    ""
)</f>
        <v/>
      </c>
      <c r="W16" s="71"/>
      <c r="X16" s="9"/>
      <c r="Y16" s="71"/>
      <c r="Z16" s="9"/>
      <c r="AA16" s="9"/>
      <c r="AB16" s="9"/>
      <c r="AC16" s="9"/>
      <c r="AD16" s="57"/>
      <c r="AE16" s="323"/>
      <c r="AF16" s="1"/>
      <c r="AG16" s="1"/>
    </row>
    <row r="17" spans="1:34">
      <c r="A17" s="40" t="s">
        <v>51</v>
      </c>
      <c r="B17" s="245" t="s">
        <v>6023</v>
      </c>
      <c r="C17" s="246" t="s">
        <v>392</v>
      </c>
      <c r="D17" s="246" t="s">
        <v>88</v>
      </c>
      <c r="E17" s="40">
        <v>120.6904</v>
      </c>
      <c r="F17" s="247">
        <v>14.9779</v>
      </c>
      <c r="G17" s="40" t="str">
        <f>_xlfn.CONCAT(E17:F17)</f>
        <v>120.690414.9779</v>
      </c>
      <c r="H17" s="248">
        <v>44901</v>
      </c>
      <c r="I17" s="9" t="s">
        <v>72</v>
      </c>
      <c r="J17" s="9" t="s">
        <v>34</v>
      </c>
      <c r="K17" s="9"/>
      <c r="L17" s="9" t="s">
        <v>239</v>
      </c>
      <c r="M17" s="239"/>
      <c r="N17" s="239"/>
      <c r="O17" s="239"/>
      <c r="P17" s="239"/>
      <c r="Q17" s="239"/>
      <c r="R17" s="239"/>
      <c r="S17" s="24" t="str">
        <f>IFERROR(
    IF(
        OR(ISBLANK(N17), ISBLANK(O17)),
        "",
        MAX(
            1,
            IF(
                NETWORKDAYS(N17, O17, Holiday_Dates) &lt;= 0,
                1,
                NETWORKDAYS(N17, O17, Holiday_Dates) - IF(N17 = O17, 0, 1)
            )
        )
    ),
    ""
)</f>
        <v/>
      </c>
      <c r="T17" s="24" t="str">
        <f>IF(
    OR(ISBLANK(O17), ISBLANK(P17)),
    "",
    MAX(
        1,
        IF(
            NETWORKDAYS(O17, P17, Holiday_Dates) &lt;= 0,
            1,
            NETWORKDAYS(O17, P17, Holiday_Dates) - IF(O17 = P17, 0, 1)
        )
    )
)</f>
        <v/>
      </c>
      <c r="U17" s="24" t="str">
        <f>IFERROR(
  IF(
    OR(A17="Nueva_Ecija", A17="Zambales"),
    IF(
      OR(ISBLANK(P17), ISBLANK(Q17)),
      "",
      MAX(
        1,
        IF(
          NETWORKDAYS(P17, Q17, Holiday_Dates) &lt;= 0,
          1,
          NETWORKDAYS(P17, Q17, Holiday_Dates) - IF(P17 = Q17, 0, 1)
        )
      )
    ),
    IF(
      OR(ISBLANK(O17), ISBLANK(Q17)),
      "",
      MAX(
        1,
        IF(
          NETWORKDAYS(O17, Q17, Holiday_Dates) &lt;= 0,
          1,
          NETWORKDAYS(O17, Q17, Holiday_Dates) - IF(O17 = Q17, 0, 1)
        )
      )
    )
  ),
  ""
)</f>
        <v/>
      </c>
      <c r="V17" s="24" t="str">
        <f>IFERROR(
    IF(
        OR(ISBLANK(Q17), ISBLANK(R17)),
        "",
        MAX(
            1,
            IF(
                NETWORKDAYS(Q17, R17, Holiday_Dates) &lt;= 0,
                1,
                NETWORKDAYS(Q17, R17, Holiday_Dates) - IF(Q17 = R17, 0, 1)
            )
        )
    ),
    ""
)</f>
        <v/>
      </c>
      <c r="W17" s="71"/>
      <c r="X17" s="9"/>
      <c r="Y17" s="71"/>
      <c r="Z17" s="9"/>
      <c r="AA17" s="9"/>
      <c r="AB17" s="9"/>
      <c r="AC17" s="9"/>
      <c r="AD17" s="71"/>
      <c r="AE17" s="284"/>
      <c r="AF17" s="1"/>
      <c r="AG17" s="1"/>
    </row>
    <row r="18" spans="1:34">
      <c r="A18" s="40" t="s">
        <v>51</v>
      </c>
      <c r="B18" s="245" t="s">
        <v>6024</v>
      </c>
      <c r="C18" s="246" t="s">
        <v>392</v>
      </c>
      <c r="D18" s="246" t="s">
        <v>88</v>
      </c>
      <c r="E18" s="40">
        <v>120.6879</v>
      </c>
      <c r="F18" s="247">
        <v>14.9702</v>
      </c>
      <c r="G18" s="40" t="str">
        <f>_xlfn.CONCAT(E18:F18)</f>
        <v>120.687914.9702</v>
      </c>
      <c r="H18" s="248">
        <v>44915</v>
      </c>
      <c r="I18" s="9" t="s">
        <v>72</v>
      </c>
      <c r="J18" s="9" t="s">
        <v>34</v>
      </c>
      <c r="K18" s="9"/>
      <c r="L18" s="9" t="s">
        <v>239</v>
      </c>
      <c r="M18" s="239"/>
      <c r="N18" s="239"/>
      <c r="O18" s="239"/>
      <c r="P18" s="239"/>
      <c r="Q18" s="239"/>
      <c r="R18" s="239"/>
      <c r="S18" s="24" t="str">
        <f>IFERROR(
    IF(
        OR(ISBLANK(N18), ISBLANK(O18)),
        "",
        MAX(
            1,
            IF(
                NETWORKDAYS(N18, O18, Holiday_Dates) &lt;= 0,
                1,
                NETWORKDAYS(N18, O18, Holiday_Dates) - IF(N18 = O18, 0, 1)
            )
        )
    ),
    ""
)</f>
        <v/>
      </c>
      <c r="T18" s="24" t="str">
        <f>IF(
    OR(ISBLANK(O18), ISBLANK(P18)),
    "",
    MAX(
        1,
        IF(
            NETWORKDAYS(O18, P18, Holiday_Dates) &lt;= 0,
            1,
            NETWORKDAYS(O18, P18, Holiday_Dates) - IF(O18 = P18, 0, 1)
        )
    )
)</f>
        <v/>
      </c>
      <c r="U18" s="24" t="str">
        <f>IFERROR(
  IF(
    OR(A18="Nueva_Ecija", A18="Zambales"),
    IF(
      OR(ISBLANK(P18), ISBLANK(Q18)),
      "",
      MAX(
        1,
        IF(
          NETWORKDAYS(P18, Q18, Holiday_Dates) &lt;= 0,
          1,
          NETWORKDAYS(P18, Q18, Holiday_Dates) - IF(P18 = Q18, 0, 1)
        )
      )
    ),
    IF(
      OR(ISBLANK(O18), ISBLANK(Q18)),
      "",
      MAX(
        1,
        IF(
          NETWORKDAYS(O18, Q18, Holiday_Dates) &lt;= 0,
          1,
          NETWORKDAYS(O18, Q18, Holiday_Dates) - IF(O18 = Q18, 0, 1)
        )
      )
    )
  ),
  ""
)</f>
        <v/>
      </c>
      <c r="V18" s="24" t="str">
        <f>IFERROR(
    IF(
        OR(ISBLANK(Q18), ISBLANK(R18)),
        "",
        MAX(
            1,
            IF(
                NETWORKDAYS(Q18, R18, Holiday_Dates) &lt;= 0,
                1,
                NETWORKDAYS(Q18, R18, Holiday_Dates) - IF(Q18 = R18, 0, 1)
            )
        )
    ),
    ""
)</f>
        <v/>
      </c>
      <c r="W18" s="71"/>
      <c r="X18" s="9"/>
      <c r="Y18" s="71"/>
      <c r="Z18" s="9"/>
      <c r="AA18" s="9"/>
      <c r="AB18" s="9"/>
      <c r="AC18" s="9"/>
      <c r="AD18" s="71"/>
      <c r="AE18" s="284"/>
      <c r="AF18" s="1"/>
      <c r="AG18" s="1"/>
    </row>
    <row r="19" spans="1:34" ht="45">
      <c r="A19" s="40" t="s">
        <v>49</v>
      </c>
      <c r="B19" s="245" t="s">
        <v>6025</v>
      </c>
      <c r="C19" s="246" t="s">
        <v>401</v>
      </c>
      <c r="D19" s="246" t="s">
        <v>88</v>
      </c>
      <c r="E19" s="40">
        <v>14.809200000000001</v>
      </c>
      <c r="F19" s="247">
        <v>120.89700000000001</v>
      </c>
      <c r="G19" s="40" t="str">
        <f>CONCATENATE(E19,",",F19)</f>
        <v>14.8092,120.897</v>
      </c>
      <c r="H19" s="248">
        <v>44914</v>
      </c>
      <c r="I19" s="9" t="s">
        <v>62</v>
      </c>
      <c r="J19" s="9" t="s">
        <v>136</v>
      </c>
      <c r="K19" s="9"/>
      <c r="L19" s="9" t="s">
        <v>128</v>
      </c>
      <c r="M19" s="238" t="s">
        <v>6026</v>
      </c>
      <c r="N19" s="239">
        <v>46064</v>
      </c>
      <c r="O19" s="239">
        <v>46079</v>
      </c>
      <c r="P19" s="239">
        <v>46082</v>
      </c>
      <c r="Q19" s="239">
        <v>46083</v>
      </c>
      <c r="R19" s="239"/>
      <c r="S19" s="24">
        <f>IFERROR(
    IF(
        OR(ISBLANK(N19), ISBLANK(O19)),
        "",
        MAX(
            1,
            IF(
                NETWORKDAYS(N19, O19, Holiday_Dates) &lt;= 0,
                1,
                NETWORKDAYS(N19, O19, Holiday_Dates) - IF(N19 = O19, 0, 1)
            )
        )
    ),
    ""
)</f>
        <v>11</v>
      </c>
      <c r="T19" s="24">
        <f>IF(
    OR(ISBLANK(O19), ISBLANK(P19)),
    "",
    MAX(
        1,
        IF(
            NETWORKDAYS(O19, P19, Holiday_Dates) &lt;= 0,
            1,
            NETWORKDAYS(O19, P19, Holiday_Dates) - IF(O19 = P19, 0, 1)
        )
    )
)</f>
        <v>1</v>
      </c>
      <c r="U19" s="24">
        <f>IFERROR(
  IF(
    OR(A19="Nueva_Ecija", A19="Zambales"),
    IF(
      OR(ISBLANK(P19), ISBLANK(Q19)),
      "",
      MAX(
        1,
        IF(
          NETWORKDAYS(P19, Q19, Holiday_Dates) &lt;= 0,
          1,
          NETWORKDAYS(P19, Q19, Holiday_Dates) - IF(P19 = Q19, 0, 1)
        )
      )
    ),
    IF(
      OR(ISBLANK(O19), ISBLANK(Q19)),
      "",
      MAX(
        1,
        IF(
          NETWORKDAYS(O19, Q19, Holiday_Dates) &lt;= 0,
          1,
          NETWORKDAYS(O19, Q19, Holiday_Dates) - IF(O19 = Q19, 0, 1)
        )
      )
    )
  ),
  ""
)</f>
        <v>2</v>
      </c>
      <c r="V19" s="24" t="str">
        <f>IFERROR(
    IF(
        OR(ISBLANK(Q19), ISBLANK(R19)),
        "",
        MAX(
            1,
            IF(
                NETWORKDAYS(Q19, R19, Holiday_Dates) &lt;= 0,
                1,
                NETWORKDAYS(Q19, R19, Holiday_Dates) - IF(Q19 = R19, 0, 1)
            )
        )
    ),
    ""
)</f>
        <v/>
      </c>
      <c r="W19" s="71" t="s">
        <v>929</v>
      </c>
      <c r="X19" s="9" t="s">
        <v>101</v>
      </c>
      <c r="Y19" s="71">
        <v>23</v>
      </c>
      <c r="Z19" s="9" t="s">
        <v>108</v>
      </c>
      <c r="AA19" s="9" t="s">
        <v>101</v>
      </c>
      <c r="AB19" s="9"/>
      <c r="AC19" s="9"/>
      <c r="AD19" s="57"/>
      <c r="AE19" s="663">
        <v>46085</v>
      </c>
      <c r="AF19" s="1"/>
      <c r="AG19" s="323" t="s">
        <v>6027</v>
      </c>
    </row>
    <row r="20" spans="1:34">
      <c r="A20" s="40" t="s">
        <v>49</v>
      </c>
      <c r="B20" s="245" t="s">
        <v>6028</v>
      </c>
      <c r="C20" s="246" t="s">
        <v>492</v>
      </c>
      <c r="D20" s="246" t="s">
        <v>88</v>
      </c>
      <c r="E20" s="40">
        <v>14.88334764</v>
      </c>
      <c r="F20" s="247">
        <v>120.73005412000001</v>
      </c>
      <c r="G20" s="40" t="s">
        <v>6029</v>
      </c>
      <c r="H20" s="248">
        <v>44915</v>
      </c>
      <c r="I20" s="9" t="s">
        <v>62</v>
      </c>
      <c r="J20" s="9" t="s">
        <v>344</v>
      </c>
      <c r="K20" s="9"/>
      <c r="L20" s="9" t="s">
        <v>128</v>
      </c>
      <c r="M20" s="238" t="s">
        <v>6030</v>
      </c>
      <c r="N20" s="239">
        <v>46071</v>
      </c>
      <c r="O20" s="239">
        <v>46072</v>
      </c>
      <c r="P20" s="239">
        <v>46081</v>
      </c>
      <c r="Q20" s="239">
        <v>46083</v>
      </c>
      <c r="R20" s="239"/>
      <c r="S20" s="24">
        <f>IFERROR(
    IF(
        OR(ISBLANK(N20), ISBLANK(O20)),
        "",
        MAX(
            1,
            IF(
                NETWORKDAYS(N20, O20, Holiday_Dates) &lt;= 0,
                1,
                NETWORKDAYS(N20, O20, Holiday_Dates) - IF(N20 = O20, 0, 1)
            )
        )
    ),
    ""
)</f>
        <v>1</v>
      </c>
      <c r="T20" s="24">
        <f>IF(
    OR(ISBLANK(O20), ISBLANK(P20)),
    "",
    MAX(
        1,
        IF(
            NETWORKDAYS(O20, P20, Holiday_Dates) &lt;= 0,
            1,
            NETWORKDAYS(O20, P20, Holiday_Dates) - IF(O20 = P20, 0, 1)
        )
    )
)</f>
        <v>6</v>
      </c>
      <c r="U20" s="24">
        <f>IFERROR(
  IF(
    OR(A20="Nueva_Ecija", A20="Zambales"),
    IF(
      OR(ISBLANK(P20), ISBLANK(Q20)),
      "",
      MAX(
        1,
        IF(
          NETWORKDAYS(P20, Q20, Holiday_Dates) &lt;= 0,
          1,
          NETWORKDAYS(P20, Q20, Holiday_Dates) - IF(P20 = Q20, 0, 1)
        )
      )
    ),
    IF(
      OR(ISBLANK(O20), ISBLANK(Q20)),
      "",
      MAX(
        1,
        IF(
          NETWORKDAYS(O20, Q20, Holiday_Dates) &lt;= 0,
          1,
          NETWORKDAYS(O20, Q20, Holiday_Dates) - IF(O20 = Q20, 0, 1)
        )
      )
    )
  ),
  ""
)</f>
        <v>7</v>
      </c>
      <c r="V20" s="24" t="str">
        <f>IFERROR(
    IF(
        OR(ISBLANK(Q20), ISBLANK(R20)),
        "",
        MAX(
            1,
            IF(
                NETWORKDAYS(Q20, R20, Holiday_Dates) &lt;= 0,
                1,
                NETWORKDAYS(Q20, R20, Holiday_Dates) - IF(Q20 = R20, 0, 1)
            )
        )
    ),
    ""
)</f>
        <v/>
      </c>
      <c r="W20" s="71" t="s">
        <v>929</v>
      </c>
      <c r="X20" s="9" t="s">
        <v>101</v>
      </c>
      <c r="Y20" s="71">
        <v>15</v>
      </c>
      <c r="Z20" s="9" t="s">
        <v>108</v>
      </c>
      <c r="AA20" s="9" t="s">
        <v>108</v>
      </c>
      <c r="AB20" s="9"/>
      <c r="AC20" s="9"/>
      <c r="AD20" s="71" t="s">
        <v>6031</v>
      </c>
      <c r="AE20" s="284"/>
      <c r="AF20" s="1"/>
      <c r="AG20" s="1"/>
    </row>
    <row r="21" spans="1:34">
      <c r="A21" s="40" t="s">
        <v>49</v>
      </c>
      <c r="B21" s="245" t="s">
        <v>6028</v>
      </c>
      <c r="C21" s="246" t="s">
        <v>492</v>
      </c>
      <c r="D21" s="246" t="s">
        <v>88</v>
      </c>
      <c r="E21" s="40">
        <v>14.88334764</v>
      </c>
      <c r="F21" s="247">
        <v>120.73005412000001</v>
      </c>
      <c r="G21" s="40" t="s">
        <v>6029</v>
      </c>
      <c r="H21" s="248">
        <v>44915</v>
      </c>
      <c r="I21" s="9" t="s">
        <v>62</v>
      </c>
      <c r="J21" s="9" t="s">
        <v>344</v>
      </c>
      <c r="K21" s="9"/>
      <c r="L21" s="9" t="s">
        <v>128</v>
      </c>
      <c r="M21" s="238" t="s">
        <v>6032</v>
      </c>
      <c r="N21" s="239">
        <v>46071</v>
      </c>
      <c r="O21" s="239">
        <v>46072</v>
      </c>
      <c r="P21" s="239">
        <v>46081</v>
      </c>
      <c r="Q21" s="239">
        <v>46083</v>
      </c>
      <c r="R21" s="239"/>
      <c r="S21" s="24">
        <f>IFERROR(
    IF(
        OR(ISBLANK(N21), ISBLANK(O21)),
        "",
        MAX(
            1,
            IF(
                NETWORKDAYS(N21, O21, Holiday_Dates) &lt;= 0,
                1,
                NETWORKDAYS(N21, O21, Holiday_Dates) - IF(N21 = O21, 0, 1)
            )
        )
    ),
    ""
)</f>
        <v>1</v>
      </c>
      <c r="T21" s="24">
        <f>IF(
    OR(ISBLANK(O21), ISBLANK(P21)),
    "",
    MAX(
        1,
        IF(
            NETWORKDAYS(O21, P21, Holiday_Dates) &lt;= 0,
            1,
            NETWORKDAYS(O21, P21, Holiday_Dates) - IF(O21 = P21, 0, 1)
        )
    )
)</f>
        <v>6</v>
      </c>
      <c r="U21" s="24">
        <f>IFERROR(
  IF(
    OR(A21="Nueva_Ecija", A21="Zambales"),
    IF(
      OR(ISBLANK(P21), ISBLANK(Q21)),
      "",
      MAX(
        1,
        IF(
          NETWORKDAYS(P21, Q21, Holiday_Dates) &lt;= 0,
          1,
          NETWORKDAYS(P21, Q21, Holiday_Dates) - IF(P21 = Q21, 0, 1)
        )
      )
    ),
    IF(
      OR(ISBLANK(O21), ISBLANK(Q21)),
      "",
      MAX(
        1,
        IF(
          NETWORKDAYS(O21, Q21, Holiday_Dates) &lt;= 0,
          1,
          NETWORKDAYS(O21, Q21, Holiday_Dates) - IF(O21 = Q21, 0, 1)
        )
      )
    )
  ),
  ""
)</f>
        <v>7</v>
      </c>
      <c r="V21" s="24" t="str">
        <f>IFERROR(
    IF(
        OR(ISBLANK(Q21), ISBLANK(R21)),
        "",
        MAX(
            1,
            IF(
                NETWORKDAYS(Q21, R21, Holiday_Dates) &lt;= 0,
                1,
                NETWORKDAYS(Q21, R21, Holiday_Dates) - IF(Q21 = R21, 0, 1)
            )
        )
    ),
    ""
)</f>
        <v/>
      </c>
      <c r="W21" s="71" t="s">
        <v>929</v>
      </c>
      <c r="X21" s="9" t="s">
        <v>101</v>
      </c>
      <c r="Y21" s="71">
        <v>15</v>
      </c>
      <c r="Z21" s="9" t="s">
        <v>108</v>
      </c>
      <c r="AA21" s="9" t="s">
        <v>108</v>
      </c>
      <c r="AB21" s="9"/>
      <c r="AC21" s="9"/>
      <c r="AD21" s="71" t="s">
        <v>6031</v>
      </c>
      <c r="AE21" s="284"/>
      <c r="AF21" s="1"/>
      <c r="AG21" s="1"/>
    </row>
    <row r="22" spans="1:34">
      <c r="A22" s="40" t="s">
        <v>49</v>
      </c>
      <c r="B22" s="245" t="s">
        <v>6033</v>
      </c>
      <c r="C22" s="246" t="s">
        <v>492</v>
      </c>
      <c r="D22" s="246" t="s">
        <v>88</v>
      </c>
      <c r="E22" s="40">
        <v>14.904821999999999</v>
      </c>
      <c r="F22" s="247">
        <v>120.775499</v>
      </c>
      <c r="G22" s="40" t="s">
        <v>6034</v>
      </c>
      <c r="H22" s="248">
        <v>44915</v>
      </c>
      <c r="I22" s="9" t="s">
        <v>62</v>
      </c>
      <c r="J22" s="9" t="s">
        <v>344</v>
      </c>
      <c r="K22" s="9"/>
      <c r="L22" s="9" t="s">
        <v>128</v>
      </c>
      <c r="M22" s="238" t="s">
        <v>6035</v>
      </c>
      <c r="N22" s="239">
        <v>46071</v>
      </c>
      <c r="O22" s="239">
        <v>46072</v>
      </c>
      <c r="P22" s="239">
        <v>46081</v>
      </c>
      <c r="Q22" s="239">
        <v>46083</v>
      </c>
      <c r="R22" s="239"/>
      <c r="S22" s="24">
        <f>IFERROR(
    IF(
        OR(ISBLANK(N22), ISBLANK(O22)),
        "",
        MAX(
            1,
            IF(
                NETWORKDAYS(N22, O22, Holiday_Dates) &lt;= 0,
                1,
                NETWORKDAYS(N22, O22, Holiday_Dates) - IF(N22 = O22, 0, 1)
            )
        )
    ),
    ""
)</f>
        <v>1</v>
      </c>
      <c r="T22" s="24">
        <f>IF(
    OR(ISBLANK(O22), ISBLANK(P22)),
    "",
    MAX(
        1,
        IF(
            NETWORKDAYS(O22, P22, Holiday_Dates) &lt;= 0,
            1,
            NETWORKDAYS(O22, P22, Holiday_Dates) - IF(O22 = P22, 0, 1)
        )
    )
)</f>
        <v>6</v>
      </c>
      <c r="U22" s="24">
        <f>IFERROR(
  IF(
    OR(A22="Nueva_Ecija", A22="Zambales"),
    IF(
      OR(ISBLANK(P22), ISBLANK(Q22)),
      "",
      MAX(
        1,
        IF(
          NETWORKDAYS(P22, Q22, Holiday_Dates) &lt;= 0,
          1,
          NETWORKDAYS(P22, Q22, Holiday_Dates) - IF(P22 = Q22, 0, 1)
        )
      )
    ),
    IF(
      OR(ISBLANK(O22), ISBLANK(Q22)),
      "",
      MAX(
        1,
        IF(
          NETWORKDAYS(O22, Q22, Holiday_Dates) &lt;= 0,
          1,
          NETWORKDAYS(O22, Q22, Holiday_Dates) - IF(O22 = Q22, 0, 1)
        )
      )
    )
  ),
  ""
)</f>
        <v>7</v>
      </c>
      <c r="V22" s="24" t="str">
        <f>IFERROR(
    IF(
        OR(ISBLANK(Q22), ISBLANK(R22)),
        "",
        MAX(
            1,
            IF(
                NETWORKDAYS(Q22, R22, Holiday_Dates) &lt;= 0,
                1,
                NETWORKDAYS(Q22, R22, Holiday_Dates) - IF(Q22 = R22, 0, 1)
            )
        )
    ),
    ""
)</f>
        <v/>
      </c>
      <c r="W22" s="71"/>
      <c r="X22" s="9" t="s">
        <v>108</v>
      </c>
      <c r="Y22" s="71">
        <v>46</v>
      </c>
      <c r="Z22" s="9"/>
      <c r="AA22" s="9"/>
      <c r="AB22" s="9"/>
      <c r="AC22" s="9"/>
      <c r="AD22" s="71"/>
      <c r="AE22" s="284"/>
      <c r="AF22" s="1"/>
      <c r="AG22" s="1"/>
    </row>
    <row r="23" spans="1:34">
      <c r="A23" s="40" t="s">
        <v>49</v>
      </c>
      <c r="B23" s="245" t="s">
        <v>6033</v>
      </c>
      <c r="C23" s="246" t="s">
        <v>492</v>
      </c>
      <c r="D23" s="246" t="s">
        <v>88</v>
      </c>
      <c r="E23" s="40">
        <v>14.904821999999999</v>
      </c>
      <c r="F23" s="247">
        <v>120.775499</v>
      </c>
      <c r="G23" s="40" t="s">
        <v>6034</v>
      </c>
      <c r="H23" s="248">
        <v>44915</v>
      </c>
      <c r="I23" s="9" t="s">
        <v>62</v>
      </c>
      <c r="J23" s="9" t="s">
        <v>344</v>
      </c>
      <c r="K23" s="9"/>
      <c r="L23" s="9" t="s">
        <v>128</v>
      </c>
      <c r="M23" s="238"/>
      <c r="N23" s="239"/>
      <c r="O23" s="239"/>
      <c r="P23" s="239"/>
      <c r="Q23" s="239"/>
      <c r="R23" s="239"/>
      <c r="S23" s="24" t="str">
        <f>IFERROR(
    IF(
        OR(ISBLANK(N23), ISBLANK(O23)),
        "",
        MAX(
            1,
            IF(
                NETWORKDAYS(N23, O23, Holiday_Dates) &lt;= 0,
                1,
                NETWORKDAYS(N23, O23, Holiday_Dates) - IF(N23 = O23, 0, 1)
            )
        )
    ),
    ""
)</f>
        <v/>
      </c>
      <c r="T23" s="24" t="str">
        <f>IF(
    OR(ISBLANK(O23), ISBLANK(P23)),
    "",
    MAX(
        1,
        IF(
            NETWORKDAYS(O23, P23, Holiday_Dates) &lt;= 0,
            1,
            NETWORKDAYS(O23, P23, Holiday_Dates) - IF(O23 = P23, 0, 1)
        )
    )
)</f>
        <v/>
      </c>
      <c r="U23" s="24" t="str">
        <f>IFERROR(
  IF(
    OR(A23="Nueva_Ecija", A23="Zambales"),
    IF(
      OR(ISBLANK(P23), ISBLANK(Q23)),
      "",
      MAX(
        1,
        IF(
          NETWORKDAYS(P23, Q23, Holiday_Dates) &lt;= 0,
          1,
          NETWORKDAYS(P23, Q23, Holiday_Dates) - IF(P23 = Q23, 0, 1)
        )
      )
    ),
    IF(
      OR(ISBLANK(O23), ISBLANK(Q23)),
      "",
      MAX(
        1,
        IF(
          NETWORKDAYS(O23, Q23, Holiday_Dates) &lt;= 0,
          1,
          NETWORKDAYS(O23, Q23, Holiday_Dates) - IF(O23 = Q23, 0, 1)
        )
      )
    )
  ),
  ""
)</f>
        <v/>
      </c>
      <c r="V23" s="24" t="str">
        <f>IFERROR(
    IF(
        OR(ISBLANK(Q23), ISBLANK(R23)),
        "",
        MAX(
            1,
            IF(
                NETWORKDAYS(Q23, R23, Holiday_Dates) &lt;= 0,
                1,
                NETWORKDAYS(Q23, R23, Holiday_Dates) - IF(Q23 = R23, 0, 1)
            )
        )
    ),
    ""
)</f>
        <v/>
      </c>
      <c r="W23" s="71"/>
      <c r="X23" s="9"/>
      <c r="Y23" s="71"/>
      <c r="Z23" s="9"/>
      <c r="AA23" s="9"/>
      <c r="AB23" s="9"/>
      <c r="AC23" s="9"/>
      <c r="AD23" s="71"/>
      <c r="AE23" s="284"/>
      <c r="AF23" s="1"/>
      <c r="AG23" s="1"/>
    </row>
    <row r="24" spans="1:34" ht="30">
      <c r="A24" s="40" t="s">
        <v>49</v>
      </c>
      <c r="B24" s="245" t="s">
        <v>6036</v>
      </c>
      <c r="C24" s="246" t="s">
        <v>497</v>
      </c>
      <c r="D24" s="246" t="s">
        <v>88</v>
      </c>
      <c r="E24" s="40">
        <v>14.828137</v>
      </c>
      <c r="F24" s="247">
        <v>120.876667</v>
      </c>
      <c r="G24" s="40" t="s">
        <v>6037</v>
      </c>
      <c r="H24" s="248">
        <v>44915</v>
      </c>
      <c r="I24" s="9" t="s">
        <v>62</v>
      </c>
      <c r="J24" s="9" t="s">
        <v>6038</v>
      </c>
      <c r="K24" s="9"/>
      <c r="L24" s="9" t="s">
        <v>128</v>
      </c>
      <c r="M24" s="238" t="s">
        <v>6039</v>
      </c>
      <c r="N24" s="239">
        <v>46076</v>
      </c>
      <c r="O24" s="239">
        <v>46079</v>
      </c>
      <c r="P24" s="239">
        <v>46081</v>
      </c>
      <c r="Q24" s="239">
        <v>46083</v>
      </c>
      <c r="R24" s="239"/>
      <c r="S24" s="24">
        <f>IFERROR(
    IF(
        OR(ISBLANK(N24), ISBLANK(O24)),
        "",
        MAX(
            1,
            IF(
                NETWORKDAYS(N24, O24, Holiday_Dates) &lt;= 0,
                1,
                NETWORKDAYS(N24, O24, Holiday_Dates) - IF(N24 = O24, 0, 1)
            )
        )
    ),
    ""
)</f>
        <v>3</v>
      </c>
      <c r="T24" s="24">
        <f>IF(
    OR(ISBLANK(O24), ISBLANK(P24)),
    "",
    MAX(
        1,
        IF(
            NETWORKDAYS(O24, P24, Holiday_Dates) &lt;= 0,
            1,
            NETWORKDAYS(O24, P24, Holiday_Dates) - IF(O24 = P24, 0, 1)
        )
    )
)</f>
        <v>1</v>
      </c>
      <c r="U24" s="24">
        <f>IFERROR(
  IF(
    OR(A24="Nueva_Ecija", A24="Zambales"),
    IF(
      OR(ISBLANK(P24), ISBLANK(Q24)),
      "",
      MAX(
        1,
        IF(
          NETWORKDAYS(P24, Q24, Holiday_Dates) &lt;= 0,
          1,
          NETWORKDAYS(P24, Q24, Holiday_Dates) - IF(P24 = Q24, 0, 1)
        )
      )
    ),
    IF(
      OR(ISBLANK(O24), ISBLANK(Q24)),
      "",
      MAX(
        1,
        IF(
          NETWORKDAYS(O24, Q24, Holiday_Dates) &lt;= 0,
          1,
          NETWORKDAYS(O24, Q24, Holiday_Dates) - IF(O24 = Q24, 0, 1)
        )
      )
    )
  ),
  ""
)</f>
        <v>2</v>
      </c>
      <c r="V24" s="24" t="str">
        <f>IFERROR(
    IF(
        OR(ISBLANK(Q24), ISBLANK(R24)),
        "",
        MAX(
            1,
            IF(
                NETWORKDAYS(Q24, R24, Holiday_Dates) &lt;= 0,
                1,
                NETWORKDAYS(Q24, R24, Holiday_Dates) - IF(Q24 = R24, 0, 1)
            )
        )
    ),
    ""
)</f>
        <v/>
      </c>
      <c r="W24" s="71" t="s">
        <v>929</v>
      </c>
      <c r="X24" s="9" t="s">
        <v>101</v>
      </c>
      <c r="Y24" s="71"/>
      <c r="Z24" s="9" t="s">
        <v>108</v>
      </c>
      <c r="AA24" s="9" t="s">
        <v>101</v>
      </c>
      <c r="AB24" s="9" t="s">
        <v>6040</v>
      </c>
      <c r="AC24" s="9" t="s">
        <v>6041</v>
      </c>
      <c r="AD24" s="57" t="s">
        <v>6042</v>
      </c>
      <c r="AE24" s="323"/>
      <c r="AF24" s="1"/>
      <c r="AG24" s="1"/>
    </row>
    <row r="25" spans="1:34" ht="30">
      <c r="A25" s="40" t="s">
        <v>49</v>
      </c>
      <c r="B25" s="245" t="s">
        <v>6036</v>
      </c>
      <c r="C25" s="246" t="s">
        <v>497</v>
      </c>
      <c r="D25" s="246" t="s">
        <v>88</v>
      </c>
      <c r="E25" s="40">
        <v>14.828137</v>
      </c>
      <c r="F25" s="247">
        <v>120.876667</v>
      </c>
      <c r="G25" s="40" t="s">
        <v>6037</v>
      </c>
      <c r="H25" s="248">
        <v>44915</v>
      </c>
      <c r="I25" s="9" t="s">
        <v>62</v>
      </c>
      <c r="J25" s="9" t="s">
        <v>6038</v>
      </c>
      <c r="K25" s="9"/>
      <c r="L25" s="9" t="s">
        <v>128</v>
      </c>
      <c r="M25" s="238" t="s">
        <v>6043</v>
      </c>
      <c r="N25" s="239">
        <v>46076</v>
      </c>
      <c r="O25" s="239">
        <v>46079</v>
      </c>
      <c r="P25" s="239">
        <v>46081</v>
      </c>
      <c r="Q25" s="239">
        <v>46083</v>
      </c>
      <c r="R25" s="239"/>
      <c r="S25" s="24">
        <f>IFERROR(
    IF(
        OR(ISBLANK(N25), ISBLANK(O25)),
        "",
        MAX(
            1,
            IF(
                NETWORKDAYS(N25, O25, Holiday_Dates) &lt;= 0,
                1,
                NETWORKDAYS(N25, O25, Holiday_Dates) - IF(N25 = O25, 0, 1)
            )
        )
    ),
    ""
)</f>
        <v>3</v>
      </c>
      <c r="T25" s="24">
        <f>IF(
    OR(ISBLANK(O25), ISBLANK(P25)),
    "",
    MAX(
        1,
        IF(
            NETWORKDAYS(O25, P25, Holiday_Dates) &lt;= 0,
            1,
            NETWORKDAYS(O25, P25, Holiday_Dates) - IF(O25 = P25, 0, 1)
        )
    )
)</f>
        <v>1</v>
      </c>
      <c r="U25" s="24">
        <f>IFERROR(
  IF(
    OR(A25="Nueva_Ecija", A25="Zambales"),
    IF(
      OR(ISBLANK(P25), ISBLANK(Q25)),
      "",
      MAX(
        1,
        IF(
          NETWORKDAYS(P25, Q25, Holiday_Dates) &lt;= 0,
          1,
          NETWORKDAYS(P25, Q25, Holiday_Dates) - IF(P25 = Q25, 0, 1)
        )
      )
    ),
    IF(
      OR(ISBLANK(O25), ISBLANK(Q25)),
      "",
      MAX(
        1,
        IF(
          NETWORKDAYS(O25, Q25, Holiday_Dates) &lt;= 0,
          1,
          NETWORKDAYS(O25, Q25, Holiday_Dates) - IF(O25 = Q25, 0, 1)
        )
      )
    )
  ),
  ""
)</f>
        <v>2</v>
      </c>
      <c r="V25" s="24" t="str">
        <f>IFERROR(
    IF(
        OR(ISBLANK(Q25), ISBLANK(R25)),
        "",
        MAX(
            1,
            IF(
                NETWORKDAYS(Q25, R25, Holiday_Dates) &lt;= 0,
                1,
                NETWORKDAYS(Q25, R25, Holiday_Dates) - IF(Q25 = R25, 0, 1)
            )
        )
    ),
    ""
)</f>
        <v/>
      </c>
      <c r="W25" s="71" t="s">
        <v>929</v>
      </c>
      <c r="X25" s="9" t="s">
        <v>108</v>
      </c>
      <c r="Y25" s="71"/>
      <c r="Z25" s="9" t="s">
        <v>108</v>
      </c>
      <c r="AA25" s="9" t="s">
        <v>101</v>
      </c>
      <c r="AB25" s="9" t="s">
        <v>6040</v>
      </c>
      <c r="AC25" s="9"/>
      <c r="AD25" s="57" t="s">
        <v>6044</v>
      </c>
      <c r="AE25" s="323"/>
      <c r="AF25" s="1"/>
      <c r="AG25" s="1"/>
    </row>
    <row r="26" spans="1:34" ht="120">
      <c r="A26" s="40" t="s">
        <v>49</v>
      </c>
      <c r="B26" s="245" t="s">
        <v>6045</v>
      </c>
      <c r="C26" s="246" t="s">
        <v>497</v>
      </c>
      <c r="D26" s="246" t="s">
        <v>88</v>
      </c>
      <c r="E26" s="40">
        <v>14.8485</v>
      </c>
      <c r="F26" s="247">
        <v>120.85760000000001</v>
      </c>
      <c r="G26" s="40" t="str">
        <f>_xlfn.CONCAT(E26:F26)</f>
        <v>14.8485120.8576</v>
      </c>
      <c r="H26" s="248">
        <v>44915</v>
      </c>
      <c r="I26" s="9" t="s">
        <v>62</v>
      </c>
      <c r="J26" s="9" t="s">
        <v>6038</v>
      </c>
      <c r="K26" s="9"/>
      <c r="L26" s="9" t="s">
        <v>128</v>
      </c>
      <c r="M26" s="238" t="s">
        <v>6046</v>
      </c>
      <c r="N26" s="239">
        <v>46072</v>
      </c>
      <c r="O26" s="239">
        <v>46079</v>
      </c>
      <c r="P26" s="239">
        <v>46082</v>
      </c>
      <c r="Q26" s="239">
        <v>46083</v>
      </c>
      <c r="R26" s="239"/>
      <c r="S26" s="24">
        <f>IFERROR(
    IF(
        OR(ISBLANK(N26), ISBLANK(O26)),
        "",
        MAX(
            1,
            IF(
                NETWORKDAYS(N26, O26, Holiday_Dates) &lt;= 0,
                1,
                NETWORKDAYS(N26, O26, Holiday_Dates) - IF(N26 = O26, 0, 1)
            )
        )
    ),
    ""
)</f>
        <v>5</v>
      </c>
      <c r="T26" s="24">
        <f>IF(
    OR(ISBLANK(O26), ISBLANK(P26)),
    "",
    MAX(
        1,
        IF(
            NETWORKDAYS(O26, P26, Holiday_Dates) &lt;= 0,
            1,
            NETWORKDAYS(O26, P26, Holiday_Dates) - IF(O26 = P26, 0, 1)
        )
    )
)</f>
        <v>1</v>
      </c>
      <c r="U26" s="24">
        <f>IFERROR(
  IF(
    OR(A26="Nueva_Ecija", A26="Zambales"),
    IF(
      OR(ISBLANK(P26), ISBLANK(Q26)),
      "",
      MAX(
        1,
        IF(
          NETWORKDAYS(P26, Q26, Holiday_Dates) &lt;= 0,
          1,
          NETWORKDAYS(P26, Q26, Holiday_Dates) - IF(P26 = Q26, 0, 1)
        )
      )
    ),
    IF(
      OR(ISBLANK(O26), ISBLANK(Q26)),
      "",
      MAX(
        1,
        IF(
          NETWORKDAYS(O26, Q26, Holiday_Dates) &lt;= 0,
          1,
          NETWORKDAYS(O26, Q26, Holiday_Dates) - IF(O26 = Q26, 0, 1)
        )
      )
    )
  ),
  ""
)</f>
        <v>2</v>
      </c>
      <c r="V26" s="24" t="str">
        <f>IFERROR(
    IF(
        OR(ISBLANK(Q26), ISBLANK(R26)),
        "",
        MAX(
            1,
            IF(
                NETWORKDAYS(Q26, R26, Holiday_Dates) &lt;= 0,
                1,
                NETWORKDAYS(Q26, R26, Holiday_Dates) - IF(Q26 = R26, 0, 1)
            )
        )
    ),
    ""
)</f>
        <v/>
      </c>
      <c r="W26" s="71" t="s">
        <v>929</v>
      </c>
      <c r="X26" s="9" t="s">
        <v>101</v>
      </c>
      <c r="Y26" s="71">
        <v>10</v>
      </c>
      <c r="Z26" s="9" t="s">
        <v>108</v>
      </c>
      <c r="AA26" s="9" t="s">
        <v>108</v>
      </c>
      <c r="AB26" s="9" t="s">
        <v>6047</v>
      </c>
      <c r="AC26" s="9"/>
      <c r="AD26" s="6" t="s">
        <v>6048</v>
      </c>
      <c r="AE26" s="323"/>
      <c r="AF26" s="1"/>
      <c r="AG26" s="1"/>
    </row>
    <row r="27" spans="1:34">
      <c r="A27" s="40" t="s">
        <v>49</v>
      </c>
      <c r="B27" s="245" t="s">
        <v>6045</v>
      </c>
      <c r="C27" s="246" t="s">
        <v>497</v>
      </c>
      <c r="D27" s="246" t="s">
        <v>88</v>
      </c>
      <c r="E27" s="40">
        <v>14.851296</v>
      </c>
      <c r="F27" s="247">
        <v>120.85972599999999</v>
      </c>
      <c r="G27" s="40" t="s">
        <v>6049</v>
      </c>
      <c r="H27" s="248">
        <v>44915</v>
      </c>
      <c r="I27" s="9" t="s">
        <v>62</v>
      </c>
      <c r="J27" s="9" t="s">
        <v>6038</v>
      </c>
      <c r="K27" s="9"/>
      <c r="L27" s="9" t="s">
        <v>128</v>
      </c>
      <c r="M27" s="238" t="s">
        <v>6050</v>
      </c>
      <c r="N27" s="239">
        <v>46079</v>
      </c>
      <c r="O27" s="239">
        <v>46079</v>
      </c>
      <c r="P27" s="239">
        <v>46082</v>
      </c>
      <c r="Q27" s="239">
        <v>46083</v>
      </c>
      <c r="R27" s="239"/>
      <c r="S27" s="24">
        <f>IFERROR(
    IF(
        OR(ISBLANK(N27), ISBLANK(O27)),
        "",
        MAX(
            1,
            IF(
                NETWORKDAYS(N27, O27, Holiday_Dates) &lt;= 0,
                1,
                NETWORKDAYS(N27, O27, Holiday_Dates) - IF(N27 = O27, 0, 1)
            )
        )
    ),
    ""
)</f>
        <v>1</v>
      </c>
      <c r="T27" s="24">
        <f>IF(
    OR(ISBLANK(O27), ISBLANK(P27)),
    "",
    MAX(
        1,
        IF(
            NETWORKDAYS(O27, P27, Holiday_Dates) &lt;= 0,
            1,
            NETWORKDAYS(O27, P27, Holiday_Dates) - IF(O27 = P27, 0, 1)
        )
    )
)</f>
        <v>1</v>
      </c>
      <c r="U27" s="24">
        <f>IFERROR(
  IF(
    OR(A27="Nueva_Ecija", A27="Zambales"),
    IF(
      OR(ISBLANK(P27), ISBLANK(Q27)),
      "",
      MAX(
        1,
        IF(
          NETWORKDAYS(P27, Q27, Holiday_Dates) &lt;= 0,
          1,
          NETWORKDAYS(P27, Q27, Holiday_Dates) - IF(P27 = Q27, 0, 1)
        )
      )
    ),
    IF(
      OR(ISBLANK(O27), ISBLANK(Q27)),
      "",
      MAX(
        1,
        IF(
          NETWORKDAYS(O27, Q27, Holiday_Dates) &lt;= 0,
          1,
          NETWORKDAYS(O27, Q27, Holiday_Dates) - IF(O27 = Q27, 0, 1)
        )
      )
    )
  ),
  ""
)</f>
        <v>2</v>
      </c>
      <c r="V27" s="24" t="str">
        <f>IFERROR(
    IF(
        OR(ISBLANK(Q27), ISBLANK(R27)),
        "",
        MAX(
            1,
            IF(
                NETWORKDAYS(Q27, R27, Holiday_Dates) &lt;= 0,
                1,
                NETWORKDAYS(Q27, R27, Holiday_Dates) - IF(Q27 = R27, 0, 1)
            )
        )
    ),
    ""
)</f>
        <v/>
      </c>
      <c r="W27" s="71"/>
      <c r="X27" s="9"/>
      <c r="Y27" s="71"/>
      <c r="Z27" s="9"/>
      <c r="AA27" s="9"/>
      <c r="AB27" s="9"/>
      <c r="AC27" s="9"/>
      <c r="AD27" s="6"/>
      <c r="AE27" s="323"/>
      <c r="AF27" s="1"/>
      <c r="AG27" s="1"/>
    </row>
    <row r="28" spans="1:34" ht="30">
      <c r="A28" s="40" t="s">
        <v>51</v>
      </c>
      <c r="B28" s="245" t="s">
        <v>6051</v>
      </c>
      <c r="C28" s="246" t="s">
        <v>1377</v>
      </c>
      <c r="D28" s="246" t="s">
        <v>88</v>
      </c>
      <c r="E28" s="40">
        <v>15.020935</v>
      </c>
      <c r="F28" s="247">
        <v>120.6808133</v>
      </c>
      <c r="G28" s="40" t="str">
        <f>CONCATENATE(E28,",",F28)</f>
        <v>15.020935,120.6808133</v>
      </c>
      <c r="H28" s="248">
        <v>44904</v>
      </c>
      <c r="I28" s="9" t="s">
        <v>62</v>
      </c>
      <c r="J28" s="9" t="s">
        <v>33</v>
      </c>
      <c r="K28" s="9"/>
      <c r="L28" s="9" t="s">
        <v>239</v>
      </c>
      <c r="M28" s="238" t="s">
        <v>6052</v>
      </c>
      <c r="N28" s="239">
        <v>46057</v>
      </c>
      <c r="O28" s="239">
        <v>46059</v>
      </c>
      <c r="P28" s="239"/>
      <c r="Q28" s="239">
        <v>46064</v>
      </c>
      <c r="R28" s="239">
        <v>46065</v>
      </c>
      <c r="S28" s="24">
        <f>IFERROR(
    IF(
        OR(ISBLANK(N28), ISBLANK(O28)),
        "",
        MAX(
            1,
            IF(
                NETWORKDAYS(N28, O28, Holiday_Dates) &lt;= 0,
                1,
                NETWORKDAYS(N28, O28, Holiday_Dates) - IF(N28 = O28, 0, 1)
            )
        )
    ),
    ""
)</f>
        <v>2</v>
      </c>
      <c r="T28" s="24" t="str">
        <f>IF(
    OR(ISBLANK(O28), ISBLANK(P28)),
    "",
    MAX(
        1,
        IF(
            NETWORKDAYS(O28, P28, Holiday_Dates) &lt;= 0,
            1,
            NETWORKDAYS(O28, P28, Holiday_Dates) - IF(O28 = P28, 0, 1)
        )
    )
)</f>
        <v/>
      </c>
      <c r="U28" s="24">
        <f>IFERROR(
  IF(
    OR(A28="Nueva_Ecija", A28="Zambales"),
    IF(
      OR(ISBLANK(P28), ISBLANK(Q28)),
      "",
      MAX(
        1,
        IF(
          NETWORKDAYS(P28, Q28, Holiday_Dates) &lt;= 0,
          1,
          NETWORKDAYS(P28, Q28, Holiday_Dates) - IF(P28 = Q28, 0, 1)
        )
      )
    ),
    IF(
      OR(ISBLANK(O28), ISBLANK(Q28)),
      "",
      MAX(
        1,
        IF(
          NETWORKDAYS(O28, Q28, Holiday_Dates) &lt;= 0,
          1,
          NETWORKDAYS(O28, Q28, Holiday_Dates) - IF(O28 = Q28, 0, 1)
        )
      )
    )
  ),
  ""
)</f>
        <v>3</v>
      </c>
      <c r="V28" s="24">
        <f>IFERROR(
    IF(
        OR(ISBLANK(Q28), ISBLANK(R28)),
        "",
        MAX(
            1,
            IF(
                NETWORKDAYS(Q28, R28, Holiday_Dates) &lt;= 0,
                1,
                NETWORKDAYS(Q28, R28, Holiday_Dates) - IF(Q28 = R28, 0, 1)
            )
        )
    ),
    ""
)</f>
        <v>1</v>
      </c>
      <c r="W28" s="71" t="s">
        <v>929</v>
      </c>
      <c r="X28" s="9" t="s">
        <v>101</v>
      </c>
      <c r="Y28" s="71" t="s">
        <v>6053</v>
      </c>
      <c r="Z28" s="9" t="s">
        <v>108</v>
      </c>
      <c r="AA28" s="9" t="s">
        <v>108</v>
      </c>
      <c r="AB28" s="9">
        <v>10</v>
      </c>
      <c r="AC28" s="9" t="s">
        <v>6054</v>
      </c>
      <c r="AD28" s="57" t="s">
        <v>6055</v>
      </c>
      <c r="AE28" s="284"/>
      <c r="AF28" s="1"/>
      <c r="AG28" s="1"/>
      <c r="AH28" s="628" t="s">
        <v>6056</v>
      </c>
    </row>
    <row r="29" spans="1:34" ht="75">
      <c r="A29" s="40" t="s">
        <v>51</v>
      </c>
      <c r="B29" s="245" t="s">
        <v>6051</v>
      </c>
      <c r="C29" s="246" t="s">
        <v>1377</v>
      </c>
      <c r="D29" s="246" t="s">
        <v>88</v>
      </c>
      <c r="E29" s="40">
        <v>15.023803300000001</v>
      </c>
      <c r="F29" s="247">
        <v>120.67616599999999</v>
      </c>
      <c r="G29" s="40" t="str">
        <f>CONCATENATE(E29,",",F29)</f>
        <v>15.0238033,120.676166</v>
      </c>
      <c r="H29" s="248">
        <v>44904</v>
      </c>
      <c r="I29" s="9" t="s">
        <v>62</v>
      </c>
      <c r="J29" s="9" t="s">
        <v>33</v>
      </c>
      <c r="K29" s="9"/>
      <c r="L29" s="9" t="s">
        <v>239</v>
      </c>
      <c r="M29" s="238" t="s">
        <v>6057</v>
      </c>
      <c r="N29" s="239">
        <v>46057</v>
      </c>
      <c r="O29" s="239">
        <v>46059</v>
      </c>
      <c r="P29" s="239"/>
      <c r="Q29" s="239">
        <v>46064</v>
      </c>
      <c r="R29" s="239">
        <v>46064</v>
      </c>
      <c r="S29" s="24">
        <f>IFERROR(
    IF(
        OR(ISBLANK(N29), ISBLANK(O29)),
        "",
        MAX(
            1,
            IF(
                NETWORKDAYS(N29, O29, Holiday_Dates) &lt;= 0,
                1,
                NETWORKDAYS(N29, O29, Holiday_Dates) - IF(N29 = O29, 0, 1)
            )
        )
    ),
    ""
)</f>
        <v>2</v>
      </c>
      <c r="T29" s="24" t="str">
        <f>IF(
    OR(ISBLANK(O29), ISBLANK(P29)),
    "",
    MAX(
        1,
        IF(
            NETWORKDAYS(O29, P29, Holiday_Dates) &lt;= 0,
            1,
            NETWORKDAYS(O29, P29, Holiday_Dates) - IF(O29 = P29, 0, 1)
        )
    )
)</f>
        <v/>
      </c>
      <c r="U29" s="24">
        <f>IFERROR(
  IF(
    OR(A29="Nueva_Ecija", A29="Zambales"),
    IF(
      OR(ISBLANK(P29), ISBLANK(Q29)),
      "",
      MAX(
        1,
        IF(
          NETWORKDAYS(P29, Q29, Holiday_Dates) &lt;= 0,
          1,
          NETWORKDAYS(P29, Q29, Holiday_Dates) - IF(P29 = Q29, 0, 1)
        )
      )
    ),
    IF(
      OR(ISBLANK(O29), ISBLANK(Q29)),
      "",
      MAX(
        1,
        IF(
          NETWORKDAYS(O29, Q29, Holiday_Dates) &lt;= 0,
          1,
          NETWORKDAYS(O29, Q29, Holiday_Dates) - IF(O29 = Q29, 0, 1)
        )
      )
    )
  ),
  ""
)</f>
        <v>3</v>
      </c>
      <c r="V29" s="24">
        <f>IFERROR(
    IF(
        OR(ISBLANK(Q29), ISBLANK(R29)),
        "",
        MAX(
            1,
            IF(
                NETWORKDAYS(Q29, R29, Holiday_Dates) &lt;= 0,
                1,
                NETWORKDAYS(Q29, R29, Holiday_Dates) - IF(Q29 = R29, 0, 1)
            )
        )
    ),
    ""
)</f>
        <v>1</v>
      </c>
      <c r="W29" s="71" t="s">
        <v>929</v>
      </c>
      <c r="X29" s="9" t="s">
        <v>108</v>
      </c>
      <c r="Y29" s="71" t="s">
        <v>6053</v>
      </c>
      <c r="Z29" s="9" t="s">
        <v>108</v>
      </c>
      <c r="AA29" s="9" t="s">
        <v>108</v>
      </c>
      <c r="AB29" s="9">
        <v>10</v>
      </c>
      <c r="AC29" s="9" t="s">
        <v>6054</v>
      </c>
      <c r="AD29" s="57" t="s">
        <v>6058</v>
      </c>
      <c r="AE29" s="284"/>
      <c r="AF29" s="1"/>
      <c r="AG29" s="1"/>
      <c r="AH29" s="628" t="s">
        <v>6059</v>
      </c>
    </row>
    <row r="30" spans="1:34" ht="75">
      <c r="A30" s="40" t="s">
        <v>51</v>
      </c>
      <c r="B30" s="245" t="s">
        <v>6060</v>
      </c>
      <c r="C30" s="246" t="s">
        <v>537</v>
      </c>
      <c r="D30" s="246" t="s">
        <v>88</v>
      </c>
      <c r="E30" s="40">
        <v>15.06450143</v>
      </c>
      <c r="F30" s="247">
        <v>120.72068711</v>
      </c>
      <c r="G30" s="40" t="s">
        <v>6061</v>
      </c>
      <c r="H30" s="248">
        <v>44911</v>
      </c>
      <c r="I30" s="9" t="s">
        <v>62</v>
      </c>
      <c r="J30" s="9" t="s">
        <v>32</v>
      </c>
      <c r="K30" s="9"/>
      <c r="L30" s="9" t="s">
        <v>133</v>
      </c>
      <c r="M30" s="623" t="s">
        <v>6062</v>
      </c>
      <c r="N30" s="239">
        <v>46063</v>
      </c>
      <c r="O30" s="239">
        <v>46066</v>
      </c>
      <c r="P30" s="239"/>
      <c r="Q30" s="239">
        <v>46069</v>
      </c>
      <c r="R30" s="239">
        <v>46069</v>
      </c>
      <c r="S30" s="24">
        <f>IFERROR(
    IF(
        OR(ISBLANK(N30), ISBLANK(O30)),
        "",
        MAX(
            1,
            IF(
                NETWORKDAYS(N30, O30, Holiday_Dates) &lt;= 0,
                1,
                NETWORKDAYS(N30, O30, Holiday_Dates) - IF(N30 = O30, 0, 1)
            )
        )
    ),
    ""
)</f>
        <v>3</v>
      </c>
      <c r="T30" s="24" t="str">
        <f>IF(
    OR(ISBLANK(O30), ISBLANK(P30)),
    "",
    MAX(
        1,
        IF(
            NETWORKDAYS(O30, P30, Holiday_Dates) &lt;= 0,
            1,
            NETWORKDAYS(O30, P30, Holiday_Dates) - IF(O30 = P30, 0, 1)
        )
    )
)</f>
        <v/>
      </c>
      <c r="U30" s="24">
        <f>IFERROR(
  IF(
    OR(A30="Nueva_Ecija", A30="Zambales"),
    IF(
      OR(ISBLANK(P30), ISBLANK(Q30)),
      "",
      MAX(
        1,
        IF(
          NETWORKDAYS(P30, Q30, Holiday_Dates) &lt;= 0,
          1,
          NETWORKDAYS(P30, Q30, Holiday_Dates) - IF(P30 = Q30, 0, 1)
        )
      )
    ),
    IF(
      OR(ISBLANK(O30), ISBLANK(Q30)),
      "",
      MAX(
        1,
        IF(
          NETWORKDAYS(O30, Q30, Holiday_Dates) &lt;= 0,
          1,
          NETWORKDAYS(O30, Q30, Holiday_Dates) - IF(O30 = Q30, 0, 1)
        )
      )
    )
  ),
  ""
)</f>
        <v>1</v>
      </c>
      <c r="V30" s="24">
        <f>IFERROR(
    IF(
        OR(ISBLANK(Q30), ISBLANK(R30)),
        "",
        MAX(
            1,
            IF(
                NETWORKDAYS(Q30, R30, Holiday_Dates) &lt;= 0,
                1,
                NETWORKDAYS(Q30, R30, Holiday_Dates) - IF(Q30 = R30, 0, 1)
            )
        )
    ),
    ""
)</f>
        <v>1</v>
      </c>
      <c r="W30" s="71" t="s">
        <v>6063</v>
      </c>
      <c r="X30" s="9" t="s">
        <v>101</v>
      </c>
      <c r="Y30" s="71">
        <v>11</v>
      </c>
      <c r="Z30" s="9" t="s">
        <v>108</v>
      </c>
      <c r="AA30" s="9" t="s">
        <v>108</v>
      </c>
      <c r="AB30" s="71" t="s">
        <v>6064</v>
      </c>
      <c r="AC30" s="9" t="s">
        <v>6054</v>
      </c>
      <c r="AD30" s="57" t="s">
        <v>6065</v>
      </c>
      <c r="AE30" s="284"/>
      <c r="AF30" s="1"/>
      <c r="AG30" s="1"/>
    </row>
    <row r="31" spans="1:34" ht="75">
      <c r="A31" s="40" t="s">
        <v>51</v>
      </c>
      <c r="B31" s="245" t="s">
        <v>6066</v>
      </c>
      <c r="C31" s="246" t="s">
        <v>537</v>
      </c>
      <c r="D31" s="246" t="s">
        <v>88</v>
      </c>
      <c r="E31" s="40">
        <v>15.062239999999999</v>
      </c>
      <c r="F31" s="247">
        <v>120.72565</v>
      </c>
      <c r="G31" s="40" t="str">
        <f>CONCATENATE(E31,",",F31)</f>
        <v>15.06224,120.72565</v>
      </c>
      <c r="H31" s="248">
        <v>44911</v>
      </c>
      <c r="I31" s="9" t="s">
        <v>62</v>
      </c>
      <c r="J31" s="9" t="s">
        <v>32</v>
      </c>
      <c r="K31" s="9"/>
      <c r="L31" s="9" t="s">
        <v>133</v>
      </c>
      <c r="M31" s="238" t="s">
        <v>6067</v>
      </c>
      <c r="N31" s="239">
        <v>46063</v>
      </c>
      <c r="O31" s="239">
        <v>46066</v>
      </c>
      <c r="P31" s="239"/>
      <c r="Q31" s="239">
        <v>46069</v>
      </c>
      <c r="R31" s="239">
        <v>46069</v>
      </c>
      <c r="S31" s="24">
        <f>IFERROR(
    IF(
        OR(ISBLANK(N31), ISBLANK(O31)),
        "",
        MAX(
            1,
            IF(
                NETWORKDAYS(N31, O31, Holiday_Dates) &lt;= 0,
                1,
                NETWORKDAYS(N31, O31, Holiday_Dates) - IF(N31 = O31, 0, 1)
            )
        )
    ),
    ""
)</f>
        <v>3</v>
      </c>
      <c r="T31" s="24" t="str">
        <f>IF(
    OR(ISBLANK(O31), ISBLANK(P31)),
    "",
    MAX(
        1,
        IF(
            NETWORKDAYS(O31, P31, Holiday_Dates) &lt;= 0,
            1,
            NETWORKDAYS(O31, P31, Holiday_Dates) - IF(O31 = P31, 0, 1)
        )
    )
)</f>
        <v/>
      </c>
      <c r="U31" s="24">
        <f>IFERROR(
  IF(
    OR(A31="Nueva_Ecija", A31="Zambales"),
    IF(
      OR(ISBLANK(P31), ISBLANK(Q31)),
      "",
      MAX(
        1,
        IF(
          NETWORKDAYS(P31, Q31, Holiday_Dates) &lt;= 0,
          1,
          NETWORKDAYS(P31, Q31, Holiday_Dates) - IF(P31 = Q31, 0, 1)
        )
      )
    ),
    IF(
      OR(ISBLANK(O31), ISBLANK(Q31)),
      "",
      MAX(
        1,
        IF(
          NETWORKDAYS(O31, Q31, Holiday_Dates) &lt;= 0,
          1,
          NETWORKDAYS(O31, Q31, Holiday_Dates) - IF(O31 = Q31, 0, 1)
        )
      )
    )
  ),
  ""
)</f>
        <v>1</v>
      </c>
      <c r="V31" s="24">
        <f>IFERROR(
    IF(
        OR(ISBLANK(Q31), ISBLANK(R31)),
        "",
        MAX(
            1,
            IF(
                NETWORKDAYS(Q31, R31, Holiday_Dates) &lt;= 0,
                1,
                NETWORKDAYS(Q31, R31, Holiday_Dates) - IF(Q31 = R31, 0, 1)
            )
        )
    ),
    ""
)</f>
        <v>1</v>
      </c>
      <c r="W31" s="71" t="s">
        <v>929</v>
      </c>
      <c r="X31" s="9" t="s">
        <v>108</v>
      </c>
      <c r="Y31" s="71">
        <v>20</v>
      </c>
      <c r="Z31" s="9" t="s">
        <v>108</v>
      </c>
      <c r="AA31" s="9" t="s">
        <v>108</v>
      </c>
      <c r="AB31" s="71" t="s">
        <v>120</v>
      </c>
      <c r="AC31" s="9" t="s">
        <v>6054</v>
      </c>
      <c r="AD31" s="57" t="s">
        <v>6068</v>
      </c>
      <c r="AE31" s="6"/>
      <c r="AF31" s="1"/>
      <c r="AG31" s="1"/>
      <c r="AH31" s="628" t="s">
        <v>6069</v>
      </c>
    </row>
    <row r="32" spans="1:34">
      <c r="A32" s="40" t="s">
        <v>51</v>
      </c>
      <c r="B32" s="245" t="s">
        <v>6070</v>
      </c>
      <c r="C32" s="246" t="s">
        <v>392</v>
      </c>
      <c r="D32" s="246" t="s">
        <v>88</v>
      </c>
      <c r="E32" s="40">
        <v>120.68040000000001</v>
      </c>
      <c r="F32" s="247">
        <v>14.9642</v>
      </c>
      <c r="G32" s="40" t="str">
        <f>_xlfn.CONCAT(E32:F32)</f>
        <v>120.680414.9642</v>
      </c>
      <c r="H32" s="248">
        <v>44901</v>
      </c>
      <c r="I32" s="9" t="s">
        <v>62</v>
      </c>
      <c r="J32" s="9" t="s">
        <v>34</v>
      </c>
      <c r="K32" s="9"/>
      <c r="L32" s="9" t="s">
        <v>239</v>
      </c>
      <c r="M32" s="239" t="s">
        <v>6071</v>
      </c>
      <c r="N32" s="239">
        <v>46069</v>
      </c>
      <c r="O32" s="239">
        <v>46069</v>
      </c>
      <c r="P32" s="239"/>
      <c r="Q32" s="239">
        <v>46069</v>
      </c>
      <c r="R32" s="239">
        <v>46069</v>
      </c>
      <c r="S32" s="24">
        <f>IFERROR(
    IF(
        OR(ISBLANK(N32), ISBLANK(O32)),
        "",
        MAX(
            1,
            IF(
                NETWORKDAYS(N32, O32, Holiday_Dates) &lt;= 0,
                1,
                NETWORKDAYS(N32, O32, Holiday_Dates) - IF(N32 = O32, 0, 1)
            )
        )
    ),
    ""
)</f>
        <v>1</v>
      </c>
      <c r="T32" s="24" t="str">
        <f>IF(
    OR(ISBLANK(O32), ISBLANK(P32)),
    "",
    MAX(
        1,
        IF(
            NETWORKDAYS(O32, P32, Holiday_Dates) &lt;= 0,
            1,
            NETWORKDAYS(O32, P32, Holiday_Dates) - IF(O32 = P32, 0, 1)
        )
    )
)</f>
        <v/>
      </c>
      <c r="U32" s="24">
        <f>IFERROR(
  IF(
    OR(A32="Nueva_Ecija", A32="Zambales"),
    IF(
      OR(ISBLANK(P32), ISBLANK(Q32)),
      "",
      MAX(
        1,
        IF(
          NETWORKDAYS(P32, Q32, Holiday_Dates) &lt;= 0,
          1,
          NETWORKDAYS(P32, Q32, Holiday_Dates) - IF(P32 = Q32, 0, 1)
        )
      )
    ),
    IF(
      OR(ISBLANK(O32), ISBLANK(Q32)),
      "",
      MAX(
        1,
        IF(
          NETWORKDAYS(O32, Q32, Holiday_Dates) &lt;= 0,
          1,
          NETWORKDAYS(O32, Q32, Holiday_Dates) - IF(O32 = Q32, 0, 1)
        )
      )
    )
  ),
  ""
)</f>
        <v>1</v>
      </c>
      <c r="V32" s="24">
        <f>IFERROR(
    IF(
        OR(ISBLANK(Q32), ISBLANK(R32)),
        "",
        MAX(
            1,
            IF(
                NETWORKDAYS(Q32, R32, Holiday_Dates) &lt;= 0,
                1,
                NETWORKDAYS(Q32, R32, Holiday_Dates) - IF(Q32 = R32, 0, 1)
            )
        )
    ),
    ""
)</f>
        <v>1</v>
      </c>
      <c r="W32" s="71" t="s">
        <v>929</v>
      </c>
      <c r="X32" s="9" t="s">
        <v>101</v>
      </c>
      <c r="Y32" s="71" t="s">
        <v>6072</v>
      </c>
      <c r="Z32" s="9" t="s">
        <v>101</v>
      </c>
      <c r="AA32" s="9" t="s">
        <v>101</v>
      </c>
      <c r="AB32" s="9" t="s">
        <v>599</v>
      </c>
      <c r="AC32" s="9" t="s">
        <v>599</v>
      </c>
      <c r="AD32" s="71" t="s">
        <v>6073</v>
      </c>
      <c r="AE32" s="284"/>
      <c r="AF32" s="1"/>
      <c r="AG32" s="1"/>
      <c r="AH32" s="628" t="s">
        <v>6074</v>
      </c>
    </row>
    <row r="33" spans="1:34">
      <c r="A33" s="40" t="s">
        <v>51</v>
      </c>
      <c r="B33" s="245" t="s">
        <v>6075</v>
      </c>
      <c r="C33" s="246" t="s">
        <v>392</v>
      </c>
      <c r="D33" s="246" t="s">
        <v>88</v>
      </c>
      <c r="E33" s="40"/>
      <c r="F33" s="247"/>
      <c r="G33" s="40" t="s">
        <v>6076</v>
      </c>
      <c r="H33" s="248">
        <v>44915</v>
      </c>
      <c r="I33" s="9" t="s">
        <v>62</v>
      </c>
      <c r="J33" s="9" t="s">
        <v>34</v>
      </c>
      <c r="K33" s="9"/>
      <c r="L33" s="9" t="s">
        <v>239</v>
      </c>
      <c r="M33" s="239" t="s">
        <v>6077</v>
      </c>
      <c r="N33" s="239">
        <v>46069</v>
      </c>
      <c r="O33" s="239">
        <v>46069</v>
      </c>
      <c r="P33" s="239"/>
      <c r="Q33" s="239">
        <v>46069</v>
      </c>
      <c r="R33" s="239">
        <v>46069</v>
      </c>
      <c r="S33" s="24">
        <f>IFERROR(
    IF(
        OR(ISBLANK(N33), ISBLANK(O33)),
        "",
        MAX(
            1,
            IF(
                NETWORKDAYS(N33, O33, Holiday_Dates) &lt;= 0,
                1,
                NETWORKDAYS(N33, O33, Holiday_Dates) - IF(N33 = O33, 0, 1)
            )
        )
    ),
    ""
)</f>
        <v>1</v>
      </c>
      <c r="T33" s="24" t="str">
        <f>IF(
    OR(ISBLANK(O33), ISBLANK(P33)),
    "",
    MAX(
        1,
        IF(
            NETWORKDAYS(O33, P33, Holiday_Dates) &lt;= 0,
            1,
            NETWORKDAYS(O33, P33, Holiday_Dates) - IF(O33 = P33, 0, 1)
        )
    )
)</f>
        <v/>
      </c>
      <c r="U33" s="24">
        <f>IFERROR(
  IF(
    OR(A33="Nueva_Ecija", A33="Zambales"),
    IF(
      OR(ISBLANK(P33), ISBLANK(Q33)),
      "",
      MAX(
        1,
        IF(
          NETWORKDAYS(P33, Q33, Holiday_Dates) &lt;= 0,
          1,
          NETWORKDAYS(P33, Q33, Holiday_Dates) - IF(P33 = Q33, 0, 1)
        )
      )
    ),
    IF(
      OR(ISBLANK(O33), ISBLANK(Q33)),
      "",
      MAX(
        1,
        IF(
          NETWORKDAYS(O33, Q33, Holiday_Dates) &lt;= 0,
          1,
          NETWORKDAYS(O33, Q33, Holiday_Dates) - IF(O33 = Q33, 0, 1)
        )
      )
    )
  ),
  ""
)</f>
        <v>1</v>
      </c>
      <c r="V33" s="24">
        <f>IFERROR(
    IF(
        OR(ISBLANK(Q33), ISBLANK(R33)),
        "",
        MAX(
            1,
            IF(
                NETWORKDAYS(Q33, R33, Holiday_Dates) &lt;= 0,
                1,
                NETWORKDAYS(Q33, R33, Holiday_Dates) - IF(Q33 = R33, 0, 1)
            )
        )
    ),
    ""
)</f>
        <v>1</v>
      </c>
      <c r="W33" s="71" t="s">
        <v>929</v>
      </c>
      <c r="X33" s="9" t="s">
        <v>101</v>
      </c>
      <c r="Y33" s="71" t="s">
        <v>6078</v>
      </c>
      <c r="Z33" s="9" t="s">
        <v>108</v>
      </c>
      <c r="AA33" s="9" t="s">
        <v>108</v>
      </c>
      <c r="AB33" s="9" t="s">
        <v>599</v>
      </c>
      <c r="AC33" s="9" t="s">
        <v>599</v>
      </c>
      <c r="AD33" s="71" t="s">
        <v>6073</v>
      </c>
      <c r="AE33" s="284"/>
      <c r="AF33" s="1"/>
      <c r="AG33" s="1"/>
      <c r="AH33" s="628" t="s">
        <v>6079</v>
      </c>
    </row>
    <row r="34" spans="1:34">
      <c r="A34" s="40" t="s">
        <v>49</v>
      </c>
      <c r="B34" s="245" t="s">
        <v>6080</v>
      </c>
      <c r="C34" s="246" t="s">
        <v>707</v>
      </c>
      <c r="D34" s="246" t="s">
        <v>88</v>
      </c>
      <c r="E34" s="40">
        <v>14.792327999999999</v>
      </c>
      <c r="F34" s="247">
        <v>120.929779</v>
      </c>
      <c r="G34" s="40" t="s">
        <v>6081</v>
      </c>
      <c r="H34" s="248">
        <v>44901</v>
      </c>
      <c r="I34" s="64" t="s">
        <v>45</v>
      </c>
      <c r="J34" s="9" t="s">
        <v>6038</v>
      </c>
      <c r="K34" s="9"/>
      <c r="L34" s="9" t="s">
        <v>128</v>
      </c>
      <c r="M34" s="238"/>
      <c r="N34" s="239"/>
      <c r="O34" s="239"/>
      <c r="P34" s="239"/>
      <c r="Q34" s="239"/>
      <c r="R34" s="239"/>
      <c r="S34" s="24" t="str">
        <f>IFERROR(
    IF(
        OR(ISBLANK(N34), ISBLANK(O34)),
        "",
        MAX(
            1,
            IF(
                NETWORKDAYS(N34, O34, Holiday_Dates) &lt;= 0,
                1,
                NETWORKDAYS(N34, O34, Holiday_Dates) - IF(N34 = O34, 0, 1)
            )
        )
    ),
    ""
)</f>
        <v/>
      </c>
      <c r="T34" s="24" t="str">
        <f>IF(
    OR(ISBLANK(O34), ISBLANK(P34)),
    "",
    MAX(
        1,
        IF(
            NETWORKDAYS(O34, P34, Holiday_Dates) &lt;= 0,
            1,
            NETWORKDAYS(O34, P34, Holiday_Dates) - IF(O34 = P34, 0, 1)
        )
    )
)</f>
        <v/>
      </c>
      <c r="U34" s="24" t="str">
        <f>IFERROR(
  IF(
    OR(A34="Nueva_Ecija", A34="Zambales"),
    IF(
      OR(ISBLANK(P34), ISBLANK(Q34)),
      "",
      MAX(
        1,
        IF(
          NETWORKDAYS(P34, Q34, Holiday_Dates) &lt;= 0,
          1,
          NETWORKDAYS(P34, Q34, Holiday_Dates) - IF(P34 = Q34, 0, 1)
        )
      )
    ),
    IF(
      OR(ISBLANK(O34), ISBLANK(Q34)),
      "",
      MAX(
        1,
        IF(
          NETWORKDAYS(O34, Q34, Holiday_Dates) &lt;= 0,
          1,
          NETWORKDAYS(O34, Q34, Holiday_Dates) - IF(O34 = Q34, 0, 1)
        )
      )
    )
  ),
  ""
)</f>
        <v/>
      </c>
      <c r="V34" s="24" t="str">
        <f>IFERROR(
    IF(
        OR(ISBLANK(Q34), ISBLANK(R34)),
        "",
        MAX(
            1,
            IF(
                NETWORKDAYS(Q34, R34, Holiday_Dates) &lt;= 0,
                1,
                NETWORKDAYS(Q34, R34, Holiday_Dates) - IF(Q34 = R34, 0, 1)
            )
        )
    ),
    ""
)</f>
        <v/>
      </c>
      <c r="W34" s="71"/>
      <c r="X34" s="9"/>
      <c r="Y34" s="71"/>
      <c r="Z34" s="9"/>
      <c r="AA34" s="9"/>
      <c r="AB34" s="9"/>
      <c r="AC34" s="9"/>
      <c r="AD34" s="71"/>
      <c r="AE34" s="284"/>
      <c r="AF34" s="1"/>
      <c r="AG34" s="1"/>
    </row>
    <row r="35" spans="1:34">
      <c r="A35" s="40" t="s">
        <v>49</v>
      </c>
      <c r="B35" s="245" t="s">
        <v>6080</v>
      </c>
      <c r="C35" s="246" t="s">
        <v>707</v>
      </c>
      <c r="D35" s="246" t="s">
        <v>88</v>
      </c>
      <c r="E35" s="40">
        <v>14.792327999999999</v>
      </c>
      <c r="F35" s="247">
        <v>120.929779</v>
      </c>
      <c r="G35" s="40" t="s">
        <v>6081</v>
      </c>
      <c r="H35" s="248">
        <v>44901</v>
      </c>
      <c r="I35" s="64" t="s">
        <v>45</v>
      </c>
      <c r="J35" s="9" t="s">
        <v>6038</v>
      </c>
      <c r="K35" s="9"/>
      <c r="L35" s="9" t="s">
        <v>128</v>
      </c>
      <c r="M35" s="238"/>
      <c r="N35" s="239"/>
      <c r="O35" s="239"/>
      <c r="P35" s="239"/>
      <c r="Q35" s="239"/>
      <c r="R35" s="239"/>
      <c r="S35" s="24" t="str">
        <f>IFERROR(
    IF(
        OR(ISBLANK(N35), ISBLANK(O35)),
        "",
        MAX(
            1,
            IF(
                NETWORKDAYS(N35, O35, Holiday_Dates) &lt;= 0,
                1,
                NETWORKDAYS(N35, O35, Holiday_Dates) - IF(N35 = O35, 0, 1)
            )
        )
    ),
    ""
)</f>
        <v/>
      </c>
      <c r="T35" s="24" t="str">
        <f>IF(
    OR(ISBLANK(O35), ISBLANK(P35)),
    "",
    MAX(
        1,
        IF(
            NETWORKDAYS(O35, P35, Holiday_Dates) &lt;= 0,
            1,
            NETWORKDAYS(O35, P35, Holiday_Dates) - IF(O35 = P35, 0, 1)
        )
    )
)</f>
        <v/>
      </c>
      <c r="U35" s="24" t="str">
        <f>IFERROR(
  IF(
    OR(A35="Nueva_Ecija", A35="Zambales"),
    IF(
      OR(ISBLANK(P35), ISBLANK(Q35)),
      "",
      MAX(
        1,
        IF(
          NETWORKDAYS(P35, Q35, Holiday_Dates) &lt;= 0,
          1,
          NETWORKDAYS(P35, Q35, Holiday_Dates) - IF(P35 = Q35, 0, 1)
        )
      )
    ),
    IF(
      OR(ISBLANK(O35), ISBLANK(Q35)),
      "",
      MAX(
        1,
        IF(
          NETWORKDAYS(O35, Q35, Holiday_Dates) &lt;= 0,
          1,
          NETWORKDAYS(O35, Q35, Holiday_Dates) - IF(O35 = Q35, 0, 1)
        )
      )
    )
  ),
  ""
)</f>
        <v/>
      </c>
      <c r="V35" s="24" t="str">
        <f>IFERROR(
    IF(
        OR(ISBLANK(Q35), ISBLANK(R35)),
        "",
        MAX(
            1,
            IF(
                NETWORKDAYS(Q35, R35, Holiday_Dates) &lt;= 0,
                1,
                NETWORKDAYS(Q35, R35, Holiday_Dates) - IF(Q35 = R35, 0, 1)
            )
        )
    ),
    ""
)</f>
        <v/>
      </c>
      <c r="W35" s="71"/>
      <c r="X35" s="9"/>
      <c r="Y35" s="71"/>
      <c r="Z35" s="9"/>
      <c r="AA35" s="9"/>
      <c r="AB35" s="9"/>
      <c r="AC35" s="9"/>
      <c r="AD35" s="71"/>
      <c r="AE35" s="284"/>
      <c r="AF35" s="1"/>
      <c r="AG35" s="1"/>
    </row>
    <row r="36" spans="1:34">
      <c r="A36" s="40" t="s">
        <v>49</v>
      </c>
      <c r="B36" s="245" t="s">
        <v>6082</v>
      </c>
      <c r="C36" s="246" t="s">
        <v>707</v>
      </c>
      <c r="D36" s="246" t="s">
        <v>88</v>
      </c>
      <c r="E36" s="40">
        <v>14.7898</v>
      </c>
      <c r="F36" s="247">
        <v>120.9311</v>
      </c>
      <c r="G36" s="40" t="s">
        <v>6083</v>
      </c>
      <c r="H36" s="248">
        <v>44901</v>
      </c>
      <c r="I36" s="64" t="s">
        <v>45</v>
      </c>
      <c r="J36" s="9" t="s">
        <v>6038</v>
      </c>
      <c r="K36" s="9"/>
      <c r="L36" s="9" t="s">
        <v>128</v>
      </c>
      <c r="M36" s="238"/>
      <c r="N36" s="239"/>
      <c r="O36" s="239"/>
      <c r="P36" s="239"/>
      <c r="Q36" s="239"/>
      <c r="R36" s="239"/>
      <c r="S36" s="24" t="str">
        <f>IFERROR(
    IF(
        OR(ISBLANK(N36), ISBLANK(O36)),
        "",
        MAX(
            1,
            IF(
                NETWORKDAYS(N36, O36, Holiday_Dates) &lt;= 0,
                1,
                NETWORKDAYS(N36, O36, Holiday_Dates) - IF(N36 = O36, 0, 1)
            )
        )
    ),
    ""
)</f>
        <v/>
      </c>
      <c r="T36" s="24" t="str">
        <f>IF(
    OR(ISBLANK(O36), ISBLANK(P36)),
    "",
    MAX(
        1,
        IF(
            NETWORKDAYS(O36, P36, Holiday_Dates) &lt;= 0,
            1,
            NETWORKDAYS(O36, P36, Holiday_Dates) - IF(O36 = P36, 0, 1)
        )
    )
)</f>
        <v/>
      </c>
      <c r="U36" s="24" t="str">
        <f>IFERROR(
  IF(
    OR(A36="Nueva_Ecija", A36="Zambales"),
    IF(
      OR(ISBLANK(P36), ISBLANK(Q36)),
      "",
      MAX(
        1,
        IF(
          NETWORKDAYS(P36, Q36, Holiday_Dates) &lt;= 0,
          1,
          NETWORKDAYS(P36, Q36, Holiday_Dates) - IF(P36 = Q36, 0, 1)
        )
      )
    ),
    IF(
      OR(ISBLANK(O36), ISBLANK(Q36)),
      "",
      MAX(
        1,
        IF(
          NETWORKDAYS(O36, Q36, Holiday_Dates) &lt;= 0,
          1,
          NETWORKDAYS(O36, Q36, Holiday_Dates) - IF(O36 = Q36, 0, 1)
        )
      )
    )
  ),
  ""
)</f>
        <v/>
      </c>
      <c r="V36" s="24" t="str">
        <f>IFERROR(
    IF(
        OR(ISBLANK(Q36), ISBLANK(R36)),
        "",
        MAX(
            1,
            IF(
                NETWORKDAYS(Q36, R36, Holiday_Dates) &lt;= 0,
                1,
                NETWORKDAYS(Q36, R36, Holiday_Dates) - IF(Q36 = R36, 0, 1)
            )
        )
    ),
    ""
)</f>
        <v/>
      </c>
      <c r="W36" s="71"/>
      <c r="X36" s="9"/>
      <c r="Y36" s="71"/>
      <c r="Z36" s="9"/>
      <c r="AA36" s="9"/>
      <c r="AB36" s="9"/>
      <c r="AC36" s="9"/>
      <c r="AD36" s="71"/>
      <c r="AE36" s="284"/>
      <c r="AF36" s="1"/>
      <c r="AG36" s="1"/>
    </row>
    <row r="37" spans="1:34">
      <c r="A37" s="40" t="s">
        <v>49</v>
      </c>
      <c r="B37" s="245" t="s">
        <v>6082</v>
      </c>
      <c r="C37" s="246" t="s">
        <v>707</v>
      </c>
      <c r="D37" s="246" t="s">
        <v>88</v>
      </c>
      <c r="E37" s="40">
        <v>14.792327999999999</v>
      </c>
      <c r="F37" s="247">
        <v>120.92997010000001</v>
      </c>
      <c r="G37" s="40" t="s">
        <v>6084</v>
      </c>
      <c r="H37" s="248">
        <v>44901</v>
      </c>
      <c r="I37" s="64" t="s">
        <v>45</v>
      </c>
      <c r="J37" s="9" t="s">
        <v>6038</v>
      </c>
      <c r="K37" s="9"/>
      <c r="L37" s="9" t="s">
        <v>128</v>
      </c>
      <c r="M37" s="238"/>
      <c r="N37" s="239"/>
      <c r="O37" s="239"/>
      <c r="P37" s="239"/>
      <c r="Q37" s="239"/>
      <c r="R37" s="239"/>
      <c r="S37" s="24" t="str">
        <f>IFERROR(
    IF(
        OR(ISBLANK(N37), ISBLANK(O37)),
        "",
        MAX(
            1,
            IF(
                NETWORKDAYS(N37, O37, Holiday_Dates) &lt;= 0,
                1,
                NETWORKDAYS(N37, O37, Holiday_Dates) - IF(N37 = O37, 0, 1)
            )
        )
    ),
    ""
)</f>
        <v/>
      </c>
      <c r="T37" s="24" t="str">
        <f>IF(
    OR(ISBLANK(O37), ISBLANK(P37)),
    "",
    MAX(
        1,
        IF(
            NETWORKDAYS(O37, P37, Holiday_Dates) &lt;= 0,
            1,
            NETWORKDAYS(O37, P37, Holiday_Dates) - IF(O37 = P37, 0, 1)
        )
    )
)</f>
        <v/>
      </c>
      <c r="U37" s="24" t="str">
        <f>IFERROR(
  IF(
    OR(A37="Nueva_Ecija", A37="Zambales"),
    IF(
      OR(ISBLANK(P37), ISBLANK(Q37)),
      "",
      MAX(
        1,
        IF(
          NETWORKDAYS(P37, Q37, Holiday_Dates) &lt;= 0,
          1,
          NETWORKDAYS(P37, Q37, Holiday_Dates) - IF(P37 = Q37, 0, 1)
        )
      )
    ),
    IF(
      OR(ISBLANK(O37), ISBLANK(Q37)),
      "",
      MAX(
        1,
        IF(
          NETWORKDAYS(O37, Q37, Holiday_Dates) &lt;= 0,
          1,
          NETWORKDAYS(O37, Q37, Holiday_Dates) - IF(O37 = Q37, 0, 1)
        )
      )
    )
  ),
  ""
)</f>
        <v/>
      </c>
      <c r="V37" s="24" t="str">
        <f>IFERROR(
    IF(
        OR(ISBLANK(Q37), ISBLANK(R37)),
        "",
        MAX(
            1,
            IF(
                NETWORKDAYS(Q37, R37, Holiday_Dates) &lt;= 0,
                1,
                NETWORKDAYS(Q37, R37, Holiday_Dates) - IF(Q37 = R37, 0, 1)
            )
        )
    ),
    ""
)</f>
        <v/>
      </c>
      <c r="W37" s="71"/>
      <c r="X37" s="9"/>
      <c r="Y37" s="71"/>
      <c r="Z37" s="9"/>
      <c r="AA37" s="9"/>
      <c r="AB37" s="9"/>
      <c r="AC37" s="9"/>
      <c r="AD37" s="71"/>
      <c r="AE37" s="284"/>
      <c r="AF37" s="1"/>
      <c r="AG37" s="1"/>
    </row>
    <row r="38" spans="1:34">
      <c r="A38" s="40" t="s">
        <v>49</v>
      </c>
      <c r="B38" s="245" t="s">
        <v>6085</v>
      </c>
      <c r="C38" s="246" t="s">
        <v>342</v>
      </c>
      <c r="D38" s="246" t="s">
        <v>88</v>
      </c>
      <c r="E38" s="40">
        <v>14.867699999999999</v>
      </c>
      <c r="F38" s="247">
        <v>120.76690000000001</v>
      </c>
      <c r="G38" s="40" t="str">
        <f>CONCATENATE(E38,",",F38)</f>
        <v>14.8677,120.7669</v>
      </c>
      <c r="H38" s="248">
        <v>44915</v>
      </c>
      <c r="I38" s="64" t="s">
        <v>45</v>
      </c>
      <c r="J38" s="9" t="s">
        <v>344</v>
      </c>
      <c r="K38" s="9"/>
      <c r="L38" s="9" t="s">
        <v>128</v>
      </c>
      <c r="M38" s="238"/>
      <c r="N38" s="239"/>
      <c r="O38" s="239"/>
      <c r="P38" s="239"/>
      <c r="Q38" s="239"/>
      <c r="R38" s="239"/>
      <c r="S38" s="24" t="str">
        <f>IFERROR(
    IF(
        OR(ISBLANK(N38), ISBLANK(O38)),
        "",
        MAX(
            1,
            IF(
                NETWORKDAYS(N38, O38, Holiday_Dates) &lt;= 0,
                1,
                NETWORKDAYS(N38, O38, Holiday_Dates) - IF(N38 = O38, 0, 1)
            )
        )
    ),
    ""
)</f>
        <v/>
      </c>
      <c r="T38" s="24" t="str">
        <f>IF(
    OR(ISBLANK(O38), ISBLANK(P38)),
    "",
    MAX(
        1,
        IF(
            NETWORKDAYS(O38, P38, Holiday_Dates) &lt;= 0,
            1,
            NETWORKDAYS(O38, P38, Holiday_Dates) - IF(O38 = P38, 0, 1)
        )
    )
)</f>
        <v/>
      </c>
      <c r="U38" s="24" t="str">
        <f>IFERROR(
  IF(
    OR(A38="Nueva_Ecija", A38="Zambales"),
    IF(
      OR(ISBLANK(P38), ISBLANK(Q38)),
      "",
      MAX(
        1,
        IF(
          NETWORKDAYS(P38, Q38, Holiday_Dates) &lt;= 0,
          1,
          NETWORKDAYS(P38, Q38, Holiday_Dates) - IF(P38 = Q38, 0, 1)
        )
      )
    ),
    IF(
      OR(ISBLANK(O38), ISBLANK(Q38)),
      "",
      MAX(
        1,
        IF(
          NETWORKDAYS(O38, Q38, Holiday_Dates) &lt;= 0,
          1,
          NETWORKDAYS(O38, Q38, Holiday_Dates) - IF(O38 = Q38, 0, 1)
        )
      )
    )
  ),
  ""
)</f>
        <v/>
      </c>
      <c r="V38" s="24" t="str">
        <f>IFERROR(
    IF(
        OR(ISBLANK(Q38), ISBLANK(R38)),
        "",
        MAX(
            1,
            IF(
                NETWORKDAYS(Q38, R38, Holiday_Dates) &lt;= 0,
                1,
                NETWORKDAYS(Q38, R38, Holiday_Dates) - IF(Q38 = R38, 0, 1)
            )
        )
    ),
    ""
)</f>
        <v/>
      </c>
      <c r="W38" s="71"/>
      <c r="X38" s="9"/>
      <c r="Y38" s="71"/>
      <c r="Z38" s="9"/>
      <c r="AA38" s="9"/>
      <c r="AB38" s="9"/>
      <c r="AC38" s="6"/>
      <c r="AD38" s="57"/>
      <c r="AE38" s="323"/>
      <c r="AF38" s="1"/>
      <c r="AG38" s="1"/>
    </row>
    <row r="39" spans="1:34">
      <c r="A39" s="40" t="s">
        <v>49</v>
      </c>
      <c r="B39" s="245" t="s">
        <v>6085</v>
      </c>
      <c r="C39" s="246" t="s">
        <v>342</v>
      </c>
      <c r="D39" s="246" t="s">
        <v>88</v>
      </c>
      <c r="E39" s="40">
        <v>14.867587</v>
      </c>
      <c r="F39" s="247">
        <v>120.767043</v>
      </c>
      <c r="G39" s="40" t="str">
        <f>CONCATENATE(E39,",",F39)</f>
        <v>14.867587,120.767043</v>
      </c>
      <c r="H39" s="248">
        <v>44915</v>
      </c>
      <c r="I39" s="64" t="s">
        <v>45</v>
      </c>
      <c r="J39" s="9" t="s">
        <v>344</v>
      </c>
      <c r="K39" s="9"/>
      <c r="L39" s="9" t="s">
        <v>128</v>
      </c>
      <c r="M39" s="238"/>
      <c r="N39" s="239"/>
      <c r="O39" s="239"/>
      <c r="P39" s="239"/>
      <c r="Q39" s="239"/>
      <c r="R39" s="239"/>
      <c r="S39" s="24" t="str">
        <f>IFERROR(
    IF(
        OR(ISBLANK(N39), ISBLANK(O39)),
        "",
        MAX(
            1,
            IF(
                NETWORKDAYS(N39, O39, Holiday_Dates) &lt;= 0,
                1,
                NETWORKDAYS(N39, O39, Holiday_Dates) - IF(N39 = O39, 0, 1)
            )
        )
    ),
    ""
)</f>
        <v/>
      </c>
      <c r="T39" s="24" t="str">
        <f>IF(
    OR(ISBLANK(O39), ISBLANK(P39)),
    "",
    MAX(
        1,
        IF(
            NETWORKDAYS(O39, P39, Holiday_Dates) &lt;= 0,
            1,
            NETWORKDAYS(O39, P39, Holiday_Dates) - IF(O39 = P39, 0, 1)
        )
    )
)</f>
        <v/>
      </c>
      <c r="U39" s="24" t="str">
        <f>IFERROR(
  IF(
    OR(A39="Nueva_Ecija", A39="Zambales"),
    IF(
      OR(ISBLANK(P39), ISBLANK(Q39)),
      "",
      MAX(
        1,
        IF(
          NETWORKDAYS(P39, Q39, Holiday_Dates) &lt;= 0,
          1,
          NETWORKDAYS(P39, Q39, Holiday_Dates) - IF(P39 = Q39, 0, 1)
        )
      )
    ),
    IF(
      OR(ISBLANK(O39), ISBLANK(Q39)),
      "",
      MAX(
        1,
        IF(
          NETWORKDAYS(O39, Q39, Holiday_Dates) &lt;= 0,
          1,
          NETWORKDAYS(O39, Q39, Holiday_Dates) - IF(O39 = Q39, 0, 1)
        )
      )
    )
  ),
  ""
)</f>
        <v/>
      </c>
      <c r="V39" s="24" t="str">
        <f>IFERROR(
    IF(
        OR(ISBLANK(Q39), ISBLANK(R39)),
        "",
        MAX(
            1,
            IF(
                NETWORKDAYS(Q39, R39, Holiday_Dates) &lt;= 0,
                1,
                NETWORKDAYS(Q39, R39, Holiday_Dates) - IF(Q39 = R39, 0, 1)
            )
        )
    ),
    ""
)</f>
        <v/>
      </c>
      <c r="W39" s="71"/>
      <c r="X39" s="9"/>
      <c r="Y39" s="71"/>
      <c r="Z39" s="9"/>
      <c r="AA39" s="9"/>
      <c r="AB39" s="9"/>
      <c r="AC39" s="6"/>
      <c r="AD39" s="57"/>
      <c r="AE39" s="323"/>
      <c r="AF39" s="1"/>
      <c r="AG39" s="1"/>
    </row>
    <row r="40" spans="1:34" ht="30">
      <c r="A40" s="40" t="s">
        <v>65</v>
      </c>
      <c r="B40" s="245" t="s">
        <v>6086</v>
      </c>
      <c r="C40" s="246" t="s">
        <v>520</v>
      </c>
      <c r="D40" s="246" t="s">
        <v>88</v>
      </c>
      <c r="E40" s="40">
        <v>15.26365302</v>
      </c>
      <c r="F40" s="247">
        <v>120.91395322</v>
      </c>
      <c r="G40" s="40" t="s">
        <v>6087</v>
      </c>
      <c r="H40" s="248">
        <v>44903</v>
      </c>
      <c r="I40" s="64" t="s">
        <v>45</v>
      </c>
      <c r="J40" s="9" t="s">
        <v>30</v>
      </c>
      <c r="K40" s="9"/>
      <c r="L40" s="9" t="s">
        <v>130</v>
      </c>
      <c r="M40" s="238" t="s">
        <v>6088</v>
      </c>
      <c r="N40" s="239">
        <v>46085</v>
      </c>
      <c r="O40" s="239">
        <v>46085</v>
      </c>
      <c r="P40" s="239"/>
      <c r="Q40" s="239">
        <v>46086</v>
      </c>
      <c r="R40" s="239">
        <v>46090</v>
      </c>
      <c r="S40" s="24">
        <f>IFERROR(
    IF(
        OR(ISBLANK(N40), ISBLANK(O40)),
        "",
        MAX(
            1,
            IF(
                NETWORKDAYS(N40, O40, Holiday_Dates) &lt;= 0,
                1,
                NETWORKDAYS(N40, O40, Holiday_Dates) - IF(N40 = O40, 0, 1)
            )
        )
    ),
    ""
)</f>
        <v>1</v>
      </c>
      <c r="T40" s="24" t="str">
        <f>IF(
    OR(ISBLANK(O40), ISBLANK(P40)),
    "",
    MAX(
        1,
        IF(
            NETWORKDAYS(O40, P40, Holiday_Dates) &lt;= 0,
            1,
            NETWORKDAYS(O40, P40, Holiday_Dates) - IF(O40 = P40, 0, 1)
        )
    )
)</f>
        <v/>
      </c>
      <c r="U40" s="24" t="str">
        <f>IFERROR(
  IF(
    OR(A40="Nueva_Ecija", A40="Zambales"),
    IF(
      OR(ISBLANK(P40), ISBLANK(Q40)),
      "",
      MAX(
        1,
        IF(
          NETWORKDAYS(P40, Q40, Holiday_Dates) &lt;= 0,
          1,
          NETWORKDAYS(P40, Q40, Holiday_Dates) - IF(P40 = Q40, 0, 1)
        )
      )
    ),
    IF(
      OR(ISBLANK(O40), ISBLANK(Q40)),
      "",
      MAX(
        1,
        IF(
          NETWORKDAYS(O40, Q40, Holiday_Dates) &lt;= 0,
          1,
          NETWORKDAYS(O40, Q40, Holiday_Dates) - IF(O40 = Q40, 0, 1)
        )
      )
    )
  ),
  ""
)</f>
        <v/>
      </c>
      <c r="V40" s="24">
        <f>IFERROR(
    IF(
        OR(ISBLANK(Q40), ISBLANK(R40)),
        "",
        MAX(
            1,
            IF(
                NETWORKDAYS(Q40, R40, Holiday_Dates) &lt;= 0,
                1,
                NETWORKDAYS(Q40, R40, Holiday_Dates) - IF(Q40 = R40, 0, 1)
            )
        )
    ),
    ""
)</f>
        <v>2</v>
      </c>
      <c r="W40" s="71" t="s">
        <v>929</v>
      </c>
      <c r="X40" s="9" t="s">
        <v>101</v>
      </c>
      <c r="Y40" s="71">
        <v>9</v>
      </c>
      <c r="Z40" s="9" t="s">
        <v>108</v>
      </c>
      <c r="AA40" s="9" t="s">
        <v>101</v>
      </c>
      <c r="AB40" s="9">
        <v>200</v>
      </c>
      <c r="AC40" s="8">
        <v>46085</v>
      </c>
      <c r="AD40" s="57" t="s">
        <v>6089</v>
      </c>
      <c r="AE40" s="284"/>
      <c r="AF40" s="1"/>
      <c r="AG40" s="1"/>
    </row>
    <row r="41" spans="1:34" ht="30">
      <c r="A41" s="40" t="s">
        <v>65</v>
      </c>
      <c r="B41" s="245" t="s">
        <v>6086</v>
      </c>
      <c r="C41" s="246" t="s">
        <v>520</v>
      </c>
      <c r="D41" s="246" t="s">
        <v>88</v>
      </c>
      <c r="E41" s="40">
        <v>15.271058</v>
      </c>
      <c r="F41" s="247">
        <v>120.91288400000001</v>
      </c>
      <c r="G41" s="40" t="s">
        <v>6090</v>
      </c>
      <c r="H41" s="248">
        <v>44903</v>
      </c>
      <c r="I41" s="64" t="s">
        <v>45</v>
      </c>
      <c r="J41" s="9" t="s">
        <v>30</v>
      </c>
      <c r="K41" s="9"/>
      <c r="L41" s="9" t="s">
        <v>130</v>
      </c>
      <c r="M41" s="238" t="s">
        <v>6091</v>
      </c>
      <c r="N41" s="239">
        <v>46085</v>
      </c>
      <c r="O41" s="239">
        <v>46085</v>
      </c>
      <c r="P41" s="239"/>
      <c r="Q41" s="239">
        <v>46087</v>
      </c>
      <c r="R41" s="239">
        <v>46090</v>
      </c>
      <c r="S41" s="24">
        <f>IFERROR(
    IF(
        OR(ISBLANK(N41), ISBLANK(O41)),
        "",
        MAX(
            1,
            IF(
                NETWORKDAYS(N41, O41, Holiday_Dates) &lt;= 0,
                1,
                NETWORKDAYS(N41, O41, Holiday_Dates) - IF(N41 = O41, 0, 1)
            )
        )
    ),
    ""
)</f>
        <v>1</v>
      </c>
      <c r="T41" s="24" t="str">
        <f>IF(
    OR(ISBLANK(O41), ISBLANK(P41)),
    "",
    MAX(
        1,
        IF(
            NETWORKDAYS(O41, P41, Holiday_Dates) &lt;= 0,
            1,
            NETWORKDAYS(O41, P41, Holiday_Dates) - IF(O41 = P41, 0, 1)
        )
    )
)</f>
        <v/>
      </c>
      <c r="U41" s="24" t="str">
        <f>IFERROR(
  IF(
    OR(A41="Nueva_Ecija", A41="Zambales"),
    IF(
      OR(ISBLANK(P41), ISBLANK(Q41)),
      "",
      MAX(
        1,
        IF(
          NETWORKDAYS(P41, Q41, Holiday_Dates) &lt;= 0,
          1,
          NETWORKDAYS(P41, Q41, Holiday_Dates) - IF(P41 = Q41, 0, 1)
        )
      )
    ),
    IF(
      OR(ISBLANK(O41), ISBLANK(Q41)),
      "",
      MAX(
        1,
        IF(
          NETWORKDAYS(O41, Q41, Holiday_Dates) &lt;= 0,
          1,
          NETWORKDAYS(O41, Q41, Holiday_Dates) - IF(O41 = Q41, 0, 1)
        )
      )
    )
  ),
  ""
)</f>
        <v/>
      </c>
      <c r="V41" s="24">
        <f>IFERROR(
    IF(
        OR(ISBLANK(Q41), ISBLANK(R41)),
        "",
        MAX(
            1,
            IF(
                NETWORKDAYS(Q41, R41, Holiday_Dates) &lt;= 0,
                1,
                NETWORKDAYS(Q41, R41, Holiday_Dates) - IF(Q41 = R41, 0, 1)
            )
        )
    ),
    ""
)</f>
        <v>1</v>
      </c>
      <c r="W41" s="71" t="s">
        <v>929</v>
      </c>
      <c r="X41" s="9" t="s">
        <v>101</v>
      </c>
      <c r="Y41" s="71">
        <v>8</v>
      </c>
      <c r="Z41" s="9" t="s">
        <v>108</v>
      </c>
      <c r="AA41" s="9" t="s">
        <v>101</v>
      </c>
      <c r="AB41" s="9">
        <v>200</v>
      </c>
      <c r="AC41" s="8">
        <v>46085</v>
      </c>
      <c r="AD41" s="57" t="s">
        <v>6089</v>
      </c>
      <c r="AE41" s="284"/>
      <c r="AF41" s="1"/>
      <c r="AG41" s="1"/>
    </row>
    <row r="42" spans="1:34" ht="75">
      <c r="A42" s="40" t="s">
        <v>51</v>
      </c>
      <c r="B42" s="245" t="s">
        <v>6092</v>
      </c>
      <c r="C42" s="246" t="s">
        <v>1377</v>
      </c>
      <c r="D42" s="246" t="s">
        <v>88</v>
      </c>
      <c r="E42" s="40">
        <v>15.023960000000001</v>
      </c>
      <c r="F42" s="247">
        <v>120.67146</v>
      </c>
      <c r="G42" s="40" t="str">
        <f>CONCATENATE(E42,",",F42)</f>
        <v>15.02396,120.67146</v>
      </c>
      <c r="H42" s="248">
        <v>44904</v>
      </c>
      <c r="I42" s="64" t="s">
        <v>45</v>
      </c>
      <c r="J42" s="9" t="s">
        <v>33</v>
      </c>
      <c r="K42" s="9"/>
      <c r="L42" s="9" t="s">
        <v>239</v>
      </c>
      <c r="M42" s="7" t="s">
        <v>6093</v>
      </c>
      <c r="N42" s="239">
        <v>46084</v>
      </c>
      <c r="O42" s="239">
        <v>46088</v>
      </c>
      <c r="P42" s="239"/>
      <c r="Q42" s="239">
        <v>46090</v>
      </c>
      <c r="R42" s="239">
        <v>46090</v>
      </c>
      <c r="S42" s="24">
        <f>IFERROR(
    IF(
        OR(ISBLANK(N42), ISBLANK(O42)),
        "",
        MAX(
            1,
            IF(
                NETWORKDAYS(N42, O42, Holiday_Dates) &lt;= 0,
                1,
                NETWORKDAYS(N42, O42, Holiday_Dates) - IF(N42 = O42, 0, 1)
            )
        )
    ),
    ""
)</f>
        <v>3</v>
      </c>
      <c r="T42" s="24" t="str">
        <f>IF(
    OR(ISBLANK(O42), ISBLANK(P42)),
    "",
    MAX(
        1,
        IF(
            NETWORKDAYS(O42, P42, Holiday_Dates) &lt;= 0,
            1,
            NETWORKDAYS(O42, P42, Holiday_Dates) - IF(O42 = P42, 0, 1)
        )
    )
)</f>
        <v/>
      </c>
      <c r="U42" s="24">
        <f>IFERROR(
  IF(
    OR(A42="Nueva_Ecija", A42="Zambales"),
    IF(
      OR(ISBLANK(P42), ISBLANK(Q42)),
      "",
      MAX(
        1,
        IF(
          NETWORKDAYS(P42, Q42, Holiday_Dates) &lt;= 0,
          1,
          NETWORKDAYS(P42, Q42, Holiday_Dates) - IF(P42 = Q42, 0, 1)
        )
      )
    ),
    IF(
      OR(ISBLANK(O42), ISBLANK(Q42)),
      "",
      MAX(
        1,
        IF(
          NETWORKDAYS(O42, Q42, Holiday_Dates) &lt;= 0,
          1,
          NETWORKDAYS(O42, Q42, Holiday_Dates) - IF(O42 = Q42, 0, 1)
        )
      )
    )
  ),
  ""
)</f>
        <v>1</v>
      </c>
      <c r="V42" s="24">
        <f>IFERROR(
    IF(
        OR(ISBLANK(Q42), ISBLANK(R42)),
        "",
        MAX(
            1,
            IF(
                NETWORKDAYS(Q42, R42, Holiday_Dates) &lt;= 0,
                1,
                NETWORKDAYS(Q42, R42, Holiday_Dates) - IF(Q42 = R42, 0, 1)
            )
        )
    ),
    ""
)</f>
        <v>1</v>
      </c>
      <c r="W42" s="71" t="s">
        <v>929</v>
      </c>
      <c r="X42" s="9" t="s">
        <v>101</v>
      </c>
      <c r="Y42" s="71" t="s">
        <v>6094</v>
      </c>
      <c r="Z42" s="9" t="s">
        <v>108</v>
      </c>
      <c r="AA42" s="9" t="s">
        <v>108</v>
      </c>
      <c r="AB42" s="9" t="s">
        <v>6095</v>
      </c>
      <c r="AC42" s="9" t="s">
        <v>6053</v>
      </c>
      <c r="AD42" s="57" t="s">
        <v>6096</v>
      </c>
      <c r="AE42" s="284"/>
      <c r="AF42" s="1"/>
      <c r="AG42" s="1"/>
    </row>
    <row r="43" spans="1:34" ht="105">
      <c r="A43" s="40" t="s">
        <v>51</v>
      </c>
      <c r="B43" s="245" t="s">
        <v>6097</v>
      </c>
      <c r="C43" s="246" t="s">
        <v>1377</v>
      </c>
      <c r="D43" s="246" t="s">
        <v>88</v>
      </c>
      <c r="E43" s="40">
        <v>15.02749</v>
      </c>
      <c r="F43" s="247">
        <v>120.66885000000001</v>
      </c>
      <c r="G43" s="40" t="str">
        <f>CONCATENATE(E43,",",F43)</f>
        <v>15.02749,120.66885</v>
      </c>
      <c r="H43" s="248">
        <v>44904</v>
      </c>
      <c r="I43" s="64" t="s">
        <v>45</v>
      </c>
      <c r="J43" s="9" t="s">
        <v>33</v>
      </c>
      <c r="K43" s="9"/>
      <c r="L43" s="9" t="s">
        <v>239</v>
      </c>
      <c r="M43" s="7" t="s">
        <v>6098</v>
      </c>
      <c r="N43" s="239">
        <v>46084</v>
      </c>
      <c r="O43" s="239">
        <v>46088</v>
      </c>
      <c r="P43" s="239"/>
      <c r="Q43" s="239">
        <v>46090</v>
      </c>
      <c r="R43" s="239">
        <v>46090</v>
      </c>
      <c r="S43" s="24">
        <f>IFERROR(
    IF(
        OR(ISBLANK(N43), ISBLANK(O43)),
        "",
        MAX(
            1,
            IF(
                NETWORKDAYS(N43, O43, Holiday_Dates) &lt;= 0,
                1,
                NETWORKDAYS(N43, O43, Holiday_Dates) - IF(N43 = O43, 0, 1)
            )
        )
    ),
    ""
)</f>
        <v>3</v>
      </c>
      <c r="T43" s="24" t="str">
        <f>IF(
    OR(ISBLANK(O43), ISBLANK(P43)),
    "",
    MAX(
        1,
        IF(
            NETWORKDAYS(O43, P43, Holiday_Dates) &lt;= 0,
            1,
            NETWORKDAYS(O43, P43, Holiday_Dates) - IF(O43 = P43, 0, 1)
        )
    )
)</f>
        <v/>
      </c>
      <c r="U43" s="24">
        <f>IFERROR(
  IF(
    OR(A43="Nueva_Ecija", A43="Zambales"),
    IF(
      OR(ISBLANK(P43), ISBLANK(Q43)),
      "",
      MAX(
        1,
        IF(
          NETWORKDAYS(P43, Q43, Holiday_Dates) &lt;= 0,
          1,
          NETWORKDAYS(P43, Q43, Holiday_Dates) - IF(P43 = Q43, 0, 1)
        )
      )
    ),
    IF(
      OR(ISBLANK(O43), ISBLANK(Q43)),
      "",
      MAX(
        1,
        IF(
          NETWORKDAYS(O43, Q43, Holiday_Dates) &lt;= 0,
          1,
          NETWORKDAYS(O43, Q43, Holiday_Dates) - IF(O43 = Q43, 0, 1)
        )
      )
    )
  ),
  ""
)</f>
        <v>1</v>
      </c>
      <c r="V43" s="24">
        <f>IFERROR(
    IF(
        OR(ISBLANK(Q43), ISBLANK(R43)),
        "",
        MAX(
            1,
            IF(
                NETWORKDAYS(Q43, R43, Holiday_Dates) &lt;= 0,
                1,
                NETWORKDAYS(Q43, R43, Holiday_Dates) - IF(Q43 = R43, 0, 1)
            )
        )
    ),
    ""
)</f>
        <v>1</v>
      </c>
      <c r="W43" s="71" t="s">
        <v>929</v>
      </c>
      <c r="X43" s="9" t="s">
        <v>108</v>
      </c>
      <c r="Y43" s="71" t="s">
        <v>6099</v>
      </c>
      <c r="Z43" s="9" t="s">
        <v>108</v>
      </c>
      <c r="AA43" s="9" t="s">
        <v>108</v>
      </c>
      <c r="AB43" s="9" t="s">
        <v>6100</v>
      </c>
      <c r="AC43" s="9" t="s">
        <v>6053</v>
      </c>
      <c r="AD43" s="57" t="s">
        <v>6101</v>
      </c>
      <c r="AE43" s="284"/>
      <c r="AF43" s="1"/>
      <c r="AG43" s="1"/>
    </row>
    <row r="44" spans="1:34" ht="90">
      <c r="A44" s="40" t="s">
        <v>51</v>
      </c>
      <c r="B44" s="245" t="s">
        <v>6102</v>
      </c>
      <c r="C44" s="246" t="s">
        <v>1377</v>
      </c>
      <c r="D44" s="246" t="s">
        <v>88</v>
      </c>
      <c r="E44" s="40">
        <v>15.02182</v>
      </c>
      <c r="F44" s="247">
        <v>120.6737</v>
      </c>
      <c r="G44" s="40" t="str">
        <f>CONCATENATE(E44,",",F44)</f>
        <v>15.02182,120.6737</v>
      </c>
      <c r="H44" s="248">
        <v>44904</v>
      </c>
      <c r="I44" s="64" t="s">
        <v>45</v>
      </c>
      <c r="J44" s="9" t="s">
        <v>33</v>
      </c>
      <c r="K44" s="9"/>
      <c r="L44" s="9" t="s">
        <v>239</v>
      </c>
      <c r="M44" s="238" t="s">
        <v>6103</v>
      </c>
      <c r="N44" s="239">
        <v>46084</v>
      </c>
      <c r="O44" s="239">
        <v>46088</v>
      </c>
      <c r="P44" s="239"/>
      <c r="Q44" s="239">
        <v>46090</v>
      </c>
      <c r="R44" s="239">
        <v>46090</v>
      </c>
      <c r="S44" s="24">
        <f>IFERROR(
    IF(
        OR(ISBLANK(N44), ISBLANK(O44)),
        "",
        MAX(
            1,
            IF(
                NETWORKDAYS(N44, O44, Holiday_Dates) &lt;= 0,
                1,
                NETWORKDAYS(N44, O44, Holiday_Dates) - IF(N44 = O44, 0, 1)
            )
        )
    ),
    ""
)</f>
        <v>3</v>
      </c>
      <c r="T44" s="24" t="str">
        <f>IF(
    OR(ISBLANK(O44), ISBLANK(P44)),
    "",
    MAX(
        1,
        IF(
            NETWORKDAYS(O44, P44, Holiday_Dates) &lt;= 0,
            1,
            NETWORKDAYS(O44, P44, Holiday_Dates) - IF(O44 = P44, 0, 1)
        )
    )
)</f>
        <v/>
      </c>
      <c r="U44" s="24">
        <f>IFERROR(
  IF(
    OR(A44="Nueva_Ecija", A44="Zambales"),
    IF(
      OR(ISBLANK(P44), ISBLANK(Q44)),
      "",
      MAX(
        1,
        IF(
          NETWORKDAYS(P44, Q44, Holiday_Dates) &lt;= 0,
          1,
          NETWORKDAYS(P44, Q44, Holiday_Dates) - IF(P44 = Q44, 0, 1)
        )
      )
    ),
    IF(
      OR(ISBLANK(O44), ISBLANK(Q44)),
      "",
      MAX(
        1,
        IF(
          NETWORKDAYS(O44, Q44, Holiday_Dates) &lt;= 0,
          1,
          NETWORKDAYS(O44, Q44, Holiday_Dates) - IF(O44 = Q44, 0, 1)
        )
      )
    )
  ),
  ""
)</f>
        <v>1</v>
      </c>
      <c r="V44" s="24">
        <f>IFERROR(
    IF(
        OR(ISBLANK(Q44), ISBLANK(R44)),
        "",
        MAX(
            1,
            IF(
                NETWORKDAYS(Q44, R44, Holiday_Dates) &lt;= 0,
                1,
                NETWORKDAYS(Q44, R44, Holiday_Dates) - IF(Q44 = R44, 0, 1)
            )
        )
    ),
    ""
)</f>
        <v>1</v>
      </c>
      <c r="W44" s="71" t="s">
        <v>929</v>
      </c>
      <c r="X44" s="9" t="s">
        <v>108</v>
      </c>
      <c r="Y44" s="71" t="s">
        <v>120</v>
      </c>
      <c r="Z44" s="9" t="s">
        <v>108</v>
      </c>
      <c r="AA44" s="9" t="s">
        <v>108</v>
      </c>
      <c r="AB44" s="9" t="s">
        <v>6095</v>
      </c>
      <c r="AC44" s="9" t="s">
        <v>6053</v>
      </c>
      <c r="AD44" s="57" t="s">
        <v>6104</v>
      </c>
      <c r="AE44" s="664"/>
      <c r="AF44" s="1"/>
      <c r="AG44" s="1"/>
    </row>
    <row r="45" spans="1:34" ht="30">
      <c r="A45" s="40" t="s">
        <v>51</v>
      </c>
      <c r="B45" s="245" t="s">
        <v>6105</v>
      </c>
      <c r="C45" s="246" t="s">
        <v>1377</v>
      </c>
      <c r="D45" s="246" t="s">
        <v>88</v>
      </c>
      <c r="E45" s="40" t="s">
        <v>6106</v>
      </c>
      <c r="F45" s="247">
        <v>120.68897200000001</v>
      </c>
      <c r="G45" s="40" t="str">
        <f>CONCATENATE(E45,",",F45)</f>
        <v>15. 0220550,120.688972</v>
      </c>
      <c r="H45" s="248">
        <v>44904</v>
      </c>
      <c r="I45" s="64" t="s">
        <v>45</v>
      </c>
      <c r="J45" s="9" t="s">
        <v>33</v>
      </c>
      <c r="K45" s="9"/>
      <c r="L45" s="9" t="s">
        <v>239</v>
      </c>
      <c r="M45" s="238" t="s">
        <v>6107</v>
      </c>
      <c r="N45" s="239">
        <v>46084</v>
      </c>
      <c r="O45" s="239">
        <v>46088</v>
      </c>
      <c r="P45" s="239"/>
      <c r="Q45" s="239">
        <v>46090</v>
      </c>
      <c r="R45" s="239">
        <v>46090</v>
      </c>
      <c r="S45" s="24">
        <f>IFERROR(
    IF(
        OR(ISBLANK(N45), ISBLANK(O45)),
        "",
        MAX(
            1,
            IF(
                NETWORKDAYS(N45, O45, Holiday_Dates) &lt;= 0,
                1,
                NETWORKDAYS(N45, O45, Holiday_Dates) - IF(N45 = O45, 0, 1)
            )
        )
    ),
    ""
)</f>
        <v>3</v>
      </c>
      <c r="T45" s="24" t="str">
        <f>IF(
    OR(ISBLANK(O45), ISBLANK(P45)),
    "",
    MAX(
        1,
        IF(
            NETWORKDAYS(O45, P45, Holiday_Dates) &lt;= 0,
            1,
            NETWORKDAYS(O45, P45, Holiday_Dates) - IF(O45 = P45, 0, 1)
        )
    )
)</f>
        <v/>
      </c>
      <c r="U45" s="24">
        <f>IFERROR(
  IF(
    OR(A45="Nueva_Ecija", A45="Zambales"),
    IF(
      OR(ISBLANK(P45), ISBLANK(Q45)),
      "",
      MAX(
        1,
        IF(
          NETWORKDAYS(P45, Q45, Holiday_Dates) &lt;= 0,
          1,
          NETWORKDAYS(P45, Q45, Holiday_Dates) - IF(P45 = Q45, 0, 1)
        )
      )
    ),
    IF(
      OR(ISBLANK(O45), ISBLANK(Q45)),
      "",
      MAX(
        1,
        IF(
          NETWORKDAYS(O45, Q45, Holiday_Dates) &lt;= 0,
          1,
          NETWORKDAYS(O45, Q45, Holiday_Dates) - IF(O45 = Q45, 0, 1)
        )
      )
    )
  ),
  ""
)</f>
        <v>1</v>
      </c>
      <c r="V45" s="24">
        <f>IFERROR(
    IF(
        OR(ISBLANK(Q45), ISBLANK(R45)),
        "",
        MAX(
            1,
            IF(
                NETWORKDAYS(Q45, R45, Holiday_Dates) &lt;= 0,
                1,
                NETWORKDAYS(Q45, R45, Holiday_Dates) - IF(Q45 = R45, 0, 1)
            )
        )
    ),
    ""
)</f>
        <v>1</v>
      </c>
      <c r="W45" s="71" t="s">
        <v>929</v>
      </c>
      <c r="X45" s="9" t="s">
        <v>108</v>
      </c>
      <c r="Y45" s="71" t="s">
        <v>6108</v>
      </c>
      <c r="Z45" s="9" t="s">
        <v>108</v>
      </c>
      <c r="AA45" s="9" t="s">
        <v>108</v>
      </c>
      <c r="AB45" s="9" t="s">
        <v>6109</v>
      </c>
      <c r="AC45" s="9" t="s">
        <v>6053</v>
      </c>
      <c r="AD45" s="57" t="s">
        <v>6110</v>
      </c>
      <c r="AE45" s="323"/>
      <c r="AF45" s="1"/>
      <c r="AG45" s="1"/>
    </row>
    <row r="46" spans="1:34">
      <c r="A46" s="40" t="s">
        <v>51</v>
      </c>
      <c r="B46" s="245" t="s">
        <v>6111</v>
      </c>
      <c r="C46" s="246" t="s">
        <v>392</v>
      </c>
      <c r="D46" s="246" t="s">
        <v>88</v>
      </c>
      <c r="E46" s="40"/>
      <c r="F46" s="247"/>
      <c r="G46" s="40" t="s">
        <v>6112</v>
      </c>
      <c r="H46" s="248">
        <v>44915</v>
      </c>
      <c r="I46" s="64" t="s">
        <v>45</v>
      </c>
      <c r="J46" s="9" t="s">
        <v>34</v>
      </c>
      <c r="K46" s="9"/>
      <c r="L46" s="9" t="s">
        <v>239</v>
      </c>
      <c r="M46" s="239"/>
      <c r="N46" s="239"/>
      <c r="O46" s="239"/>
      <c r="P46" s="239"/>
      <c r="Q46" s="239"/>
      <c r="R46" s="239"/>
      <c r="S46" s="24" t="str">
        <f>IFERROR(
    IF(
        OR(ISBLANK(N46), ISBLANK(O46)),
        "",
        MAX(
            1,
            IF(
                NETWORKDAYS(N46, O46, Holiday_Dates) &lt;= 0,
                1,
                NETWORKDAYS(N46, O46, Holiday_Dates) - IF(N46 = O46, 0, 1)
            )
        )
    ),
    ""
)</f>
        <v/>
      </c>
      <c r="T46" s="24" t="str">
        <f>IF(
    OR(ISBLANK(O46), ISBLANK(P46)),
    "",
    MAX(
        1,
        IF(
            NETWORKDAYS(O46, P46, Holiday_Dates) &lt;= 0,
            1,
            NETWORKDAYS(O46, P46, Holiday_Dates) - IF(O46 = P46, 0, 1)
        )
    )
)</f>
        <v/>
      </c>
      <c r="U46" s="24" t="str">
        <f>IFERROR(
  IF(
    OR(A46="Nueva_Ecija", A46="Zambales"),
    IF(
      OR(ISBLANK(P46), ISBLANK(Q46)),
      "",
      MAX(
        1,
        IF(
          NETWORKDAYS(P46, Q46, Holiday_Dates) &lt;= 0,
          1,
          NETWORKDAYS(P46, Q46, Holiday_Dates) - IF(P46 = Q46, 0, 1)
        )
      )
    ),
    IF(
      OR(ISBLANK(O46), ISBLANK(Q46)),
      "",
      MAX(
        1,
        IF(
          NETWORKDAYS(O46, Q46, Holiday_Dates) &lt;= 0,
          1,
          NETWORKDAYS(O46, Q46, Holiday_Dates) - IF(O46 = Q46, 0, 1)
        )
      )
    )
  ),
  ""
)</f>
        <v/>
      </c>
      <c r="V46" s="24" t="str">
        <f>IFERROR(
    IF(
        OR(ISBLANK(Q46), ISBLANK(R46)),
        "",
        MAX(
            1,
            IF(
                NETWORKDAYS(Q46, R46, Holiday_Dates) &lt;= 0,
                1,
                NETWORKDAYS(Q46, R46, Holiday_Dates) - IF(Q46 = R46, 0, 1)
            )
        )
    ),
    ""
)</f>
        <v/>
      </c>
      <c r="W46" s="71"/>
      <c r="X46" s="9"/>
      <c r="Y46" s="71"/>
      <c r="Z46" s="9"/>
      <c r="AA46" s="9"/>
      <c r="AB46" s="9"/>
      <c r="AC46" s="9"/>
      <c r="AD46" s="71"/>
      <c r="AE46" s="284"/>
      <c r="AF46" s="1"/>
      <c r="AG46" s="1"/>
    </row>
    <row r="47" spans="1:34">
      <c r="A47" s="40" t="s">
        <v>51</v>
      </c>
      <c r="B47" s="245" t="s">
        <v>6113</v>
      </c>
      <c r="C47" s="246" t="s">
        <v>392</v>
      </c>
      <c r="D47" s="246" t="s">
        <v>88</v>
      </c>
      <c r="E47" s="40"/>
      <c r="F47" s="247"/>
      <c r="G47" s="40" t="s">
        <v>6114</v>
      </c>
      <c r="H47" s="248">
        <v>44915</v>
      </c>
      <c r="I47" s="64" t="s">
        <v>45</v>
      </c>
      <c r="J47" s="9" t="s">
        <v>34</v>
      </c>
      <c r="K47" s="9"/>
      <c r="L47" s="9" t="s">
        <v>239</v>
      </c>
      <c r="M47" s="239"/>
      <c r="N47" s="239"/>
      <c r="O47" s="239"/>
      <c r="P47" s="239"/>
      <c r="Q47" s="239"/>
      <c r="R47" s="239"/>
      <c r="S47" s="24" t="str">
        <f>IFERROR(
    IF(
        OR(ISBLANK(N47), ISBLANK(O47)),
        "",
        MAX(
            1,
            IF(
                NETWORKDAYS(N47, O47, Holiday_Dates) &lt;= 0,
                1,
                NETWORKDAYS(N47, O47, Holiday_Dates) - IF(N47 = O47, 0, 1)
            )
        )
    ),
    ""
)</f>
        <v/>
      </c>
      <c r="T47" s="24" t="str">
        <f>IF(
    OR(ISBLANK(O47), ISBLANK(P47)),
    "",
    MAX(
        1,
        IF(
            NETWORKDAYS(O47, P47, Holiday_Dates) &lt;= 0,
            1,
            NETWORKDAYS(O47, P47, Holiday_Dates) - IF(O47 = P47, 0, 1)
        )
    )
)</f>
        <v/>
      </c>
      <c r="U47" s="24" t="str">
        <f>IFERROR(
  IF(
    OR(A47="Nueva_Ecija", A47="Zambales"),
    IF(
      OR(ISBLANK(P47), ISBLANK(Q47)),
      "",
      MAX(
        1,
        IF(
          NETWORKDAYS(P47, Q47, Holiday_Dates) &lt;= 0,
          1,
          NETWORKDAYS(P47, Q47, Holiday_Dates) - IF(P47 = Q47, 0, 1)
        )
      )
    ),
    IF(
      OR(ISBLANK(O47), ISBLANK(Q47)),
      "",
      MAX(
        1,
        IF(
          NETWORKDAYS(O47, Q47, Holiday_Dates) &lt;= 0,
          1,
          NETWORKDAYS(O47, Q47, Holiday_Dates) - IF(O47 = Q47, 0, 1)
        )
      )
    )
  ),
  ""
)</f>
        <v/>
      </c>
      <c r="V47" s="24" t="str">
        <f>IFERROR(
    IF(
        OR(ISBLANK(Q47), ISBLANK(R47)),
        "",
        MAX(
            1,
            IF(
                NETWORKDAYS(Q47, R47, Holiday_Dates) &lt;= 0,
                1,
                NETWORKDAYS(Q47, R47, Holiday_Dates) - IF(Q47 = R47, 0, 1)
            )
        )
    ),
    ""
)</f>
        <v/>
      </c>
      <c r="W47" s="71"/>
      <c r="X47" s="9"/>
      <c r="Y47" s="71"/>
      <c r="Z47" s="9"/>
      <c r="AA47" s="9"/>
      <c r="AB47" s="9"/>
      <c r="AC47" s="9"/>
      <c r="AD47" s="71"/>
      <c r="AE47" s="284"/>
      <c r="AF47" s="1"/>
      <c r="AG47" s="1"/>
    </row>
    <row r="48" spans="1:34" ht="27" customHeight="1">
      <c r="A48" s="40" t="s">
        <v>51</v>
      </c>
      <c r="B48" s="245" t="s">
        <v>6115</v>
      </c>
      <c r="C48" s="246" t="s">
        <v>541</v>
      </c>
      <c r="D48" s="246" t="s">
        <v>88</v>
      </c>
      <c r="E48" s="40">
        <v>14.991580000000001</v>
      </c>
      <c r="F48" s="247">
        <v>120.70707</v>
      </c>
      <c r="G48" s="40" t="str">
        <f>_xlfn.CONCAT(E48:F48)</f>
        <v>14.99158120.70707</v>
      </c>
      <c r="H48" s="248">
        <v>44914</v>
      </c>
      <c r="I48" s="64" t="s">
        <v>45</v>
      </c>
      <c r="J48" s="9" t="s">
        <v>33</v>
      </c>
      <c r="K48" s="9"/>
      <c r="L48" s="9" t="s">
        <v>239</v>
      </c>
      <c r="M48" s="238" t="s">
        <v>6116</v>
      </c>
      <c r="N48" s="239">
        <v>46085</v>
      </c>
      <c r="O48" s="239">
        <v>46089</v>
      </c>
      <c r="P48" s="239"/>
      <c r="Q48" s="239">
        <v>46090</v>
      </c>
      <c r="R48" s="239">
        <v>46090</v>
      </c>
      <c r="S48" s="24">
        <f>IFERROR(
    IF(
        OR(ISBLANK(N48), ISBLANK(O48)),
        "",
        MAX(
            1,
            IF(
                NETWORKDAYS(N48, O48, Holiday_Dates) &lt;= 0,
                1,
                NETWORKDAYS(N48, O48, Holiday_Dates) - IF(N48 = O48, 0, 1)
            )
        )
    ),
    ""
)</f>
        <v>2</v>
      </c>
      <c r="T48" s="24" t="str">
        <f>IF(
    OR(ISBLANK(O48), ISBLANK(P48)),
    "",
    MAX(
        1,
        IF(
            NETWORKDAYS(O48, P48, Holiday_Dates) &lt;= 0,
            1,
            NETWORKDAYS(O48, P48, Holiday_Dates) - IF(O48 = P48, 0, 1)
        )
    )
)</f>
        <v/>
      </c>
      <c r="U48" s="24">
        <f>IFERROR(
  IF(
    OR(A48="Nueva_Ecija", A48="Zambales"),
    IF(
      OR(ISBLANK(P48), ISBLANK(Q48)),
      "",
      MAX(
        1,
        IF(
          NETWORKDAYS(P48, Q48, Holiday_Dates) &lt;= 0,
          1,
          NETWORKDAYS(P48, Q48, Holiday_Dates) - IF(P48 = Q48, 0, 1)
        )
      )
    ),
    IF(
      OR(ISBLANK(O48), ISBLANK(Q48)),
      "",
      MAX(
        1,
        IF(
          NETWORKDAYS(O48, Q48, Holiday_Dates) &lt;= 0,
          1,
          NETWORKDAYS(O48, Q48, Holiday_Dates) - IF(O48 = Q48, 0, 1)
        )
      )
    )
  ),
  ""
)</f>
        <v>1</v>
      </c>
      <c r="V48" s="24">
        <f>IFERROR(
    IF(
        OR(ISBLANK(Q48), ISBLANK(R48)),
        "",
        MAX(
            1,
            IF(
                NETWORKDAYS(Q48, R48, Holiday_Dates) &lt;= 0,
                1,
                NETWORKDAYS(Q48, R48, Holiday_Dates) - IF(Q48 = R48, 0, 1)
            )
        )
    ),
    ""
)</f>
        <v>1</v>
      </c>
      <c r="W48" s="71" t="s">
        <v>929</v>
      </c>
      <c r="X48" s="9" t="s">
        <v>108</v>
      </c>
      <c r="Y48" s="71" t="s">
        <v>120</v>
      </c>
      <c r="Z48" s="9" t="s">
        <v>108</v>
      </c>
      <c r="AA48" s="9" t="s">
        <v>108</v>
      </c>
      <c r="AB48" s="9" t="s">
        <v>6053</v>
      </c>
      <c r="AC48" s="9" t="s">
        <v>6053</v>
      </c>
      <c r="AD48" s="57" t="s">
        <v>6117</v>
      </c>
      <c r="AE48" s="323"/>
      <c r="AF48" s="1"/>
      <c r="AG48" s="1"/>
    </row>
    <row r="49" spans="1:33" ht="27" customHeight="1">
      <c r="A49" s="40" t="s">
        <v>51</v>
      </c>
      <c r="B49" s="245" t="s">
        <v>6118</v>
      </c>
      <c r="C49" s="246" t="s">
        <v>541</v>
      </c>
      <c r="D49" s="246" t="s">
        <v>88</v>
      </c>
      <c r="E49" s="40">
        <v>15.002700000000001</v>
      </c>
      <c r="F49" s="247">
        <v>120.70361</v>
      </c>
      <c r="G49" s="40" t="str">
        <f>_xlfn.CONCAT(E49:F49)</f>
        <v>15.0027120.70361</v>
      </c>
      <c r="H49" s="248">
        <v>44914</v>
      </c>
      <c r="I49" s="64" t="s">
        <v>45</v>
      </c>
      <c r="J49" s="9" t="s">
        <v>33</v>
      </c>
      <c r="K49" s="9"/>
      <c r="L49" s="9" t="s">
        <v>239</v>
      </c>
      <c r="M49" s="238" t="s">
        <v>6119</v>
      </c>
      <c r="N49" s="239">
        <v>46085</v>
      </c>
      <c r="O49" s="239">
        <v>46088</v>
      </c>
      <c r="P49" s="239"/>
      <c r="Q49" s="239">
        <v>46090</v>
      </c>
      <c r="R49" s="239">
        <v>46090</v>
      </c>
      <c r="S49" s="24">
        <f>IFERROR(
    IF(
        OR(ISBLANK(N49), ISBLANK(O49)),
        "",
        MAX(
            1,
            IF(
                NETWORKDAYS(N49, O49, Holiday_Dates) &lt;= 0,
                1,
                NETWORKDAYS(N49, O49, Holiday_Dates) - IF(N49 = O49, 0, 1)
            )
        )
    ),
    ""
)</f>
        <v>2</v>
      </c>
      <c r="T49" s="24" t="str">
        <f>IF(
    OR(ISBLANK(O49), ISBLANK(P49)),
    "",
    MAX(
        1,
        IF(
            NETWORKDAYS(O49, P49, Holiday_Dates) &lt;= 0,
            1,
            NETWORKDAYS(O49, P49, Holiday_Dates) - IF(O49 = P49, 0, 1)
        )
    )
)</f>
        <v/>
      </c>
      <c r="U49" s="24">
        <f>IFERROR(
  IF(
    OR(A49="Nueva_Ecija", A49="Zambales"),
    IF(
      OR(ISBLANK(P49), ISBLANK(Q49)),
      "",
      MAX(
        1,
        IF(
          NETWORKDAYS(P49, Q49, Holiday_Dates) &lt;= 0,
          1,
          NETWORKDAYS(P49, Q49, Holiday_Dates) - IF(P49 = Q49, 0, 1)
        )
      )
    ),
    IF(
      OR(ISBLANK(O49), ISBLANK(Q49)),
      "",
      MAX(
        1,
        IF(
          NETWORKDAYS(O49, Q49, Holiday_Dates) &lt;= 0,
          1,
          NETWORKDAYS(O49, Q49, Holiday_Dates) - IF(O49 = Q49, 0, 1)
        )
      )
    )
  ),
  ""
)</f>
        <v>1</v>
      </c>
      <c r="V49" s="24">
        <f>IFERROR(
    IF(
        OR(ISBLANK(Q49), ISBLANK(R49)),
        "",
        MAX(
            1,
            IF(
                NETWORKDAYS(Q49, R49, Holiday_Dates) &lt;= 0,
                1,
                NETWORKDAYS(Q49, R49, Holiday_Dates) - IF(Q49 = R49, 0, 1)
            )
        )
    ),
    ""
)</f>
        <v>1</v>
      </c>
      <c r="W49" s="71" t="s">
        <v>929</v>
      </c>
      <c r="X49" s="9" t="s">
        <v>101</v>
      </c>
      <c r="Y49" s="71" t="s">
        <v>6120</v>
      </c>
      <c r="Z49" s="9" t="s">
        <v>108</v>
      </c>
      <c r="AA49" s="9" t="s">
        <v>108</v>
      </c>
      <c r="AB49" s="9" t="s">
        <v>6053</v>
      </c>
      <c r="AC49" s="9" t="s">
        <v>6053</v>
      </c>
      <c r="AD49" s="57" t="s">
        <v>6121</v>
      </c>
      <c r="AE49" s="6"/>
      <c r="AF49" s="1"/>
      <c r="AG49" s="1"/>
    </row>
    <row r="50" spans="1:33" ht="27" customHeight="1">
      <c r="A50" s="40" t="s">
        <v>51</v>
      </c>
      <c r="B50" s="245" t="s">
        <v>6122</v>
      </c>
      <c r="C50" s="246" t="s">
        <v>541</v>
      </c>
      <c r="D50" s="246" t="s">
        <v>88</v>
      </c>
      <c r="E50" s="40">
        <v>14.983359999999999</v>
      </c>
      <c r="F50" s="247">
        <v>120.70086000000001</v>
      </c>
      <c r="G50" s="40" t="str">
        <f>_xlfn.CONCAT(E50:F50)</f>
        <v>14.98336120.70086</v>
      </c>
      <c r="H50" s="248">
        <v>44914</v>
      </c>
      <c r="I50" s="64" t="s">
        <v>45</v>
      </c>
      <c r="J50" s="9" t="s">
        <v>33</v>
      </c>
      <c r="K50" s="9"/>
      <c r="L50" s="9" t="s">
        <v>239</v>
      </c>
      <c r="M50" s="238" t="s">
        <v>6123</v>
      </c>
      <c r="N50" s="239">
        <v>46085</v>
      </c>
      <c r="O50" s="239">
        <v>46088</v>
      </c>
      <c r="P50" s="239"/>
      <c r="Q50" s="239">
        <v>46090</v>
      </c>
      <c r="R50" s="239">
        <v>46090</v>
      </c>
      <c r="S50" s="24">
        <f>IFERROR(
    IF(
        OR(ISBLANK(N50), ISBLANK(O50)),
        "",
        MAX(
            1,
            IF(
                NETWORKDAYS(N50, O50, Holiday_Dates) &lt;= 0,
                1,
                NETWORKDAYS(N50, O50, Holiday_Dates) - IF(N50 = O50, 0, 1)
            )
        )
    ),
    ""
)</f>
        <v>2</v>
      </c>
      <c r="T50" s="24" t="str">
        <f>IF(
    OR(ISBLANK(O50), ISBLANK(P50)),
    "",
    MAX(
        1,
        IF(
            NETWORKDAYS(O50, P50, Holiday_Dates) &lt;= 0,
            1,
            NETWORKDAYS(O50, P50, Holiday_Dates) - IF(O50 = P50, 0, 1)
        )
    )
)</f>
        <v/>
      </c>
      <c r="U50" s="24">
        <f>IFERROR(
  IF(
    OR(A50="Nueva_Ecija", A50="Zambales"),
    IF(
      OR(ISBLANK(P50), ISBLANK(Q50)),
      "",
      MAX(
        1,
        IF(
          NETWORKDAYS(P50, Q50, Holiday_Dates) &lt;= 0,
          1,
          NETWORKDAYS(P50, Q50, Holiday_Dates) - IF(P50 = Q50, 0, 1)
        )
      )
    ),
    IF(
      OR(ISBLANK(O50), ISBLANK(Q50)),
      "",
      MAX(
        1,
        IF(
          NETWORKDAYS(O50, Q50, Holiday_Dates) &lt;= 0,
          1,
          NETWORKDAYS(O50, Q50, Holiday_Dates) - IF(O50 = Q50, 0, 1)
        )
      )
    )
  ),
  ""
)</f>
        <v>1</v>
      </c>
      <c r="V50" s="24">
        <f>IFERROR(
    IF(
        OR(ISBLANK(Q50), ISBLANK(R50)),
        "",
        MAX(
            1,
            IF(
                NETWORKDAYS(Q50, R50, Holiday_Dates) &lt;= 0,
                1,
                NETWORKDAYS(Q50, R50, Holiday_Dates) - IF(Q50 = R50, 0, 1)
            )
        )
    ),
    ""
)</f>
        <v>1</v>
      </c>
      <c r="W50" s="71" t="s">
        <v>929</v>
      </c>
      <c r="X50" s="9" t="s">
        <v>101</v>
      </c>
      <c r="Y50" s="71" t="s">
        <v>6099</v>
      </c>
      <c r="Z50" s="9" t="s">
        <v>108</v>
      </c>
      <c r="AA50" s="9" t="s">
        <v>108</v>
      </c>
      <c r="AB50" s="9" t="s">
        <v>6053</v>
      </c>
      <c r="AC50" s="9" t="s">
        <v>6053</v>
      </c>
      <c r="AD50" s="57" t="s">
        <v>6124</v>
      </c>
      <c r="AE50" s="323"/>
      <c r="AF50" s="1"/>
      <c r="AG50" s="1"/>
    </row>
    <row r="51" spans="1:33">
      <c r="A51" s="40" t="s">
        <v>49</v>
      </c>
      <c r="B51" s="245" t="s">
        <v>6125</v>
      </c>
      <c r="C51" s="246" t="s">
        <v>6126</v>
      </c>
      <c r="D51" s="246" t="s">
        <v>88</v>
      </c>
      <c r="E51" s="40">
        <v>14.758236999999999</v>
      </c>
      <c r="F51" s="247">
        <v>120.98994</v>
      </c>
      <c r="G51" s="40" t="s">
        <v>6127</v>
      </c>
      <c r="H51" s="248">
        <v>44914</v>
      </c>
      <c r="I51" s="9" t="s">
        <v>57</v>
      </c>
      <c r="J51" s="9" t="s">
        <v>136</v>
      </c>
      <c r="K51" s="9"/>
      <c r="L51" s="9" t="s">
        <v>128</v>
      </c>
      <c r="M51" s="238"/>
      <c r="N51" s="239"/>
      <c r="O51" s="239"/>
      <c r="P51" s="239"/>
      <c r="Q51" s="239"/>
      <c r="R51" s="239"/>
      <c r="S51" s="24" t="str">
        <f>IFERROR(
    IF(
        OR(ISBLANK(N51), ISBLANK(O51)),
        "",
        MAX(
            1,
            IF(
                NETWORKDAYS(N51, O51, Holiday_Dates) &lt;= 0,
                1,
                NETWORKDAYS(N51, O51, Holiday_Dates) - IF(N51 = O51, 0, 1)
            )
        )
    ),
    ""
)</f>
        <v/>
      </c>
      <c r="T51" s="24" t="str">
        <f>IF(
    OR(ISBLANK(O51), ISBLANK(P51)),
    "",
    MAX(
        1,
        IF(
            NETWORKDAYS(O51, P51, Holiday_Dates) &lt;= 0,
            1,
            NETWORKDAYS(O51, P51, Holiday_Dates) - IF(O51 = P51, 0, 1)
        )
    )
)</f>
        <v/>
      </c>
      <c r="U51" s="24" t="str">
        <f>IFERROR(
  IF(
    OR(A51="Nueva_Ecija", A51="Zambales"),
    IF(
      OR(ISBLANK(P51), ISBLANK(Q51)),
      "",
      MAX(
        1,
        IF(
          NETWORKDAYS(P51, Q51, Holiday_Dates) &lt;= 0,
          1,
          NETWORKDAYS(P51, Q51, Holiday_Dates) - IF(P51 = Q51, 0, 1)
        )
      )
    ),
    IF(
      OR(ISBLANK(O51), ISBLANK(Q51)),
      "",
      MAX(
        1,
        IF(
          NETWORKDAYS(O51, Q51, Holiday_Dates) &lt;= 0,
          1,
          NETWORKDAYS(O51, Q51, Holiday_Dates) - IF(O51 = Q51, 0, 1)
        )
      )
    )
  ),
  ""
)</f>
        <v/>
      </c>
      <c r="V51" s="24" t="str">
        <f>IFERROR(
    IF(
        OR(ISBLANK(Q51), ISBLANK(R51)),
        "",
        MAX(
            1,
            IF(
                NETWORKDAYS(Q51, R51, Holiday_Dates) &lt;= 0,
                1,
                NETWORKDAYS(Q51, R51, Holiday_Dates) - IF(Q51 = R51, 0, 1)
            )
        )
    ),
    ""
)</f>
        <v/>
      </c>
      <c r="W51" s="71"/>
      <c r="X51" s="9"/>
      <c r="Y51" s="71"/>
      <c r="Z51" s="9"/>
      <c r="AA51" s="9"/>
      <c r="AB51" s="9"/>
      <c r="AC51" s="9"/>
      <c r="AD51" s="71"/>
      <c r="AE51" s="284"/>
      <c r="AF51" s="1"/>
      <c r="AG51" s="1"/>
    </row>
    <row r="52" spans="1:33">
      <c r="A52" s="40" t="s">
        <v>49</v>
      </c>
      <c r="B52" s="245" t="s">
        <v>6128</v>
      </c>
      <c r="C52" s="246" t="s">
        <v>6126</v>
      </c>
      <c r="D52" s="246" t="s">
        <v>88</v>
      </c>
      <c r="E52" s="40">
        <v>14.740622</v>
      </c>
      <c r="F52" s="247">
        <v>120.97884000000001</v>
      </c>
      <c r="G52" s="40" t="s">
        <v>6129</v>
      </c>
      <c r="H52" s="248">
        <v>44914</v>
      </c>
      <c r="I52" s="9" t="s">
        <v>57</v>
      </c>
      <c r="J52" s="9" t="s">
        <v>136</v>
      </c>
      <c r="K52" s="9"/>
      <c r="L52" s="9" t="s">
        <v>128</v>
      </c>
      <c r="M52" s="238"/>
      <c r="N52" s="239"/>
      <c r="O52" s="239"/>
      <c r="P52" s="239"/>
      <c r="Q52" s="239"/>
      <c r="R52" s="239"/>
      <c r="S52" s="24" t="str">
        <f>IFERROR(
    IF(
        OR(ISBLANK(N52), ISBLANK(O52)),
        "",
        MAX(
            1,
            IF(
                NETWORKDAYS(N52, O52, Holiday_Dates) &lt;= 0,
                1,
                NETWORKDAYS(N52, O52, Holiday_Dates) - IF(N52 = O52, 0, 1)
            )
        )
    ),
    ""
)</f>
        <v/>
      </c>
      <c r="T52" s="24" t="str">
        <f>IF(
    OR(ISBLANK(O52), ISBLANK(P52)),
    "",
    MAX(
        1,
        IF(
            NETWORKDAYS(O52, P52, Holiday_Dates) &lt;= 0,
            1,
            NETWORKDAYS(O52, P52, Holiday_Dates) - IF(O52 = P52, 0, 1)
        )
    )
)</f>
        <v/>
      </c>
      <c r="U52" s="24" t="str">
        <f>IFERROR(
  IF(
    OR(A52="Nueva_Ecija", A52="Zambales"),
    IF(
      OR(ISBLANK(P52), ISBLANK(Q52)),
      "",
      MAX(
        1,
        IF(
          NETWORKDAYS(P52, Q52, Holiday_Dates) &lt;= 0,
          1,
          NETWORKDAYS(P52, Q52, Holiday_Dates) - IF(P52 = Q52, 0, 1)
        )
      )
    ),
    IF(
      OR(ISBLANK(O52), ISBLANK(Q52)),
      "",
      MAX(
        1,
        IF(
          NETWORKDAYS(O52, Q52, Holiday_Dates) &lt;= 0,
          1,
          NETWORKDAYS(O52, Q52, Holiday_Dates) - IF(O52 = Q52, 0, 1)
        )
      )
    )
  ),
  ""
)</f>
        <v/>
      </c>
      <c r="V52" s="24" t="str">
        <f>IFERROR(
    IF(
        OR(ISBLANK(Q52), ISBLANK(R52)),
        "",
        MAX(
            1,
            IF(
                NETWORKDAYS(Q52, R52, Holiday_Dates) &lt;= 0,
                1,
                NETWORKDAYS(Q52, R52, Holiday_Dates) - IF(Q52 = R52, 0, 1)
            )
        )
    ),
    ""
)</f>
        <v/>
      </c>
      <c r="W52" s="71"/>
      <c r="X52" s="9"/>
      <c r="Y52" s="71"/>
      <c r="Z52" s="9"/>
      <c r="AA52" s="9"/>
      <c r="AB52" s="9"/>
      <c r="AC52" s="9"/>
      <c r="AD52" s="71"/>
      <c r="AE52" s="284"/>
      <c r="AF52" s="1"/>
      <c r="AG52" s="1"/>
    </row>
    <row r="53" spans="1:33">
      <c r="A53" s="40" t="s">
        <v>49</v>
      </c>
      <c r="B53" s="245" t="s">
        <v>6009</v>
      </c>
      <c r="C53" s="246" t="s">
        <v>6126</v>
      </c>
      <c r="D53" s="246" t="s">
        <v>88</v>
      </c>
      <c r="E53" s="40">
        <v>14.725720000000001</v>
      </c>
      <c r="F53" s="247">
        <v>120.96878</v>
      </c>
      <c r="G53" s="40" t="s">
        <v>6130</v>
      </c>
      <c r="H53" s="248">
        <v>44914</v>
      </c>
      <c r="I53" s="9" t="s">
        <v>57</v>
      </c>
      <c r="J53" s="9" t="s">
        <v>136</v>
      </c>
      <c r="K53" s="9"/>
      <c r="L53" s="9" t="s">
        <v>128</v>
      </c>
      <c r="M53" s="238"/>
      <c r="N53" s="239"/>
      <c r="O53" s="239"/>
      <c r="P53" s="239"/>
      <c r="Q53" s="239"/>
      <c r="R53" s="239"/>
      <c r="S53" s="24" t="str">
        <f>IFERROR(
    IF(
        OR(ISBLANK(N53), ISBLANK(O53)),
        "",
        MAX(
            1,
            IF(
                NETWORKDAYS(N53, O53, Holiday_Dates) &lt;= 0,
                1,
                NETWORKDAYS(N53, O53, Holiday_Dates) - IF(N53 = O53, 0, 1)
            )
        )
    ),
    ""
)</f>
        <v/>
      </c>
      <c r="T53" s="24" t="str">
        <f>IF(
    OR(ISBLANK(O53), ISBLANK(P53)),
    "",
    MAX(
        1,
        IF(
            NETWORKDAYS(O53, P53, Holiday_Dates) &lt;= 0,
            1,
            NETWORKDAYS(O53, P53, Holiday_Dates) - IF(O53 = P53, 0, 1)
        )
    )
)</f>
        <v/>
      </c>
      <c r="U53" s="24" t="str">
        <f>IFERROR(
  IF(
    OR(A53="Nueva_Ecija", A53="Zambales"),
    IF(
      OR(ISBLANK(P53), ISBLANK(Q53)),
      "",
      MAX(
        1,
        IF(
          NETWORKDAYS(P53, Q53, Holiday_Dates) &lt;= 0,
          1,
          NETWORKDAYS(P53, Q53, Holiday_Dates) - IF(P53 = Q53, 0, 1)
        )
      )
    ),
    IF(
      OR(ISBLANK(O53), ISBLANK(Q53)),
      "",
      MAX(
        1,
        IF(
          NETWORKDAYS(O53, Q53, Holiday_Dates) &lt;= 0,
          1,
          NETWORKDAYS(O53, Q53, Holiday_Dates) - IF(O53 = Q53, 0, 1)
        )
      )
    )
  ),
  ""
)</f>
        <v/>
      </c>
      <c r="V53" s="24" t="str">
        <f>IFERROR(
    IF(
        OR(ISBLANK(Q53), ISBLANK(R53)),
        "",
        MAX(
            1,
            IF(
                NETWORKDAYS(Q53, R53, Holiday_Dates) &lt;= 0,
                1,
                NETWORKDAYS(Q53, R53, Holiday_Dates) - IF(Q53 = R53, 0, 1)
            )
        )
    ),
    ""
)</f>
        <v/>
      </c>
      <c r="W53" s="71"/>
      <c r="X53" s="9"/>
      <c r="Y53" s="71"/>
      <c r="Z53" s="9"/>
      <c r="AA53" s="9"/>
      <c r="AB53" s="9"/>
      <c r="AC53" s="9"/>
      <c r="AD53" s="71"/>
      <c r="AE53" s="284"/>
      <c r="AF53" s="1"/>
      <c r="AG53" s="1"/>
    </row>
    <row r="54" spans="1:33">
      <c r="A54" s="40" t="s">
        <v>49</v>
      </c>
      <c r="B54" s="245" t="s">
        <v>6009</v>
      </c>
      <c r="C54" s="246" t="s">
        <v>6126</v>
      </c>
      <c r="D54" s="246" t="s">
        <v>88</v>
      </c>
      <c r="E54" s="40">
        <v>14.725720000000001</v>
      </c>
      <c r="F54" s="247">
        <v>120.96878</v>
      </c>
      <c r="G54" s="40" t="s">
        <v>6130</v>
      </c>
      <c r="H54" s="248">
        <v>44914</v>
      </c>
      <c r="I54" s="9" t="s">
        <v>57</v>
      </c>
      <c r="J54" s="9" t="s">
        <v>136</v>
      </c>
      <c r="K54" s="9"/>
      <c r="L54" s="9" t="s">
        <v>128</v>
      </c>
      <c r="M54" s="238"/>
      <c r="N54" s="239"/>
      <c r="O54" s="239"/>
      <c r="P54" s="239"/>
      <c r="Q54" s="239"/>
      <c r="R54" s="239"/>
      <c r="S54" s="24" t="str">
        <f>IFERROR(
    IF(
        OR(ISBLANK(N54), ISBLANK(O54)),
        "",
        MAX(
            1,
            IF(
                NETWORKDAYS(N54, O54, Holiday_Dates) &lt;= 0,
                1,
                NETWORKDAYS(N54, O54, Holiday_Dates) - IF(N54 = O54, 0, 1)
            )
        )
    ),
    ""
)</f>
        <v/>
      </c>
      <c r="T54" s="24" t="str">
        <f>IF(
    OR(ISBLANK(O54), ISBLANK(P54)),
    "",
    MAX(
        1,
        IF(
            NETWORKDAYS(O54, P54, Holiday_Dates) &lt;= 0,
            1,
            NETWORKDAYS(O54, P54, Holiday_Dates) - IF(O54 = P54, 0, 1)
        )
    )
)</f>
        <v/>
      </c>
      <c r="U54" s="24" t="str">
        <f>IFERROR(
  IF(
    OR(A54="Nueva_Ecija", A54="Zambales"),
    IF(
      OR(ISBLANK(P54), ISBLANK(Q54)),
      "",
      MAX(
        1,
        IF(
          NETWORKDAYS(P54, Q54, Holiday_Dates) &lt;= 0,
          1,
          NETWORKDAYS(P54, Q54, Holiday_Dates) - IF(P54 = Q54, 0, 1)
        )
      )
    ),
    IF(
      OR(ISBLANK(O54), ISBLANK(Q54)),
      "",
      MAX(
        1,
        IF(
          NETWORKDAYS(O54, Q54, Holiday_Dates) &lt;= 0,
          1,
          NETWORKDAYS(O54, Q54, Holiday_Dates) - IF(O54 = Q54, 0, 1)
        )
      )
    )
  ),
  ""
)</f>
        <v/>
      </c>
      <c r="V54" s="24" t="str">
        <f>IFERROR(
    IF(
        OR(ISBLANK(Q54), ISBLANK(R54)),
        "",
        MAX(
            1,
            IF(
                NETWORKDAYS(Q54, R54, Holiday_Dates) &lt;= 0,
                1,
                NETWORKDAYS(Q54, R54, Holiday_Dates) - IF(Q54 = R54, 0, 1)
            )
        )
    ),
    ""
)</f>
        <v/>
      </c>
      <c r="W54" s="71"/>
      <c r="X54" s="9"/>
      <c r="Y54" s="71"/>
      <c r="Z54" s="9"/>
      <c r="AA54" s="9"/>
      <c r="AB54" s="9"/>
      <c r="AC54" s="9"/>
      <c r="AD54" s="71"/>
      <c r="AE54" s="284"/>
      <c r="AF54" s="1"/>
      <c r="AG54" s="1"/>
    </row>
    <row r="55" spans="1:33">
      <c r="A55" s="40" t="s">
        <v>49</v>
      </c>
      <c r="B55" s="245" t="s">
        <v>6131</v>
      </c>
      <c r="C55" s="246" t="s">
        <v>284</v>
      </c>
      <c r="D55" s="246" t="s">
        <v>88</v>
      </c>
      <c r="E55" s="40">
        <v>14.8819</v>
      </c>
      <c r="F55" s="247">
        <v>12.8611</v>
      </c>
      <c r="G55" s="40" t="str">
        <f>_xlfn.CONCAT(E55:F55)</f>
        <v>14.881912.8611</v>
      </c>
      <c r="H55" s="248">
        <v>44915</v>
      </c>
      <c r="I55" s="9" t="s">
        <v>57</v>
      </c>
      <c r="J55" s="9" t="s">
        <v>6038</v>
      </c>
      <c r="K55" s="9"/>
      <c r="L55" s="9" t="s">
        <v>128</v>
      </c>
      <c r="M55" s="238"/>
      <c r="N55" s="239"/>
      <c r="O55" s="239"/>
      <c r="P55" s="239"/>
      <c r="Q55" s="239"/>
      <c r="R55" s="239"/>
      <c r="S55" s="24" t="str">
        <f>IFERROR(
    IF(
        OR(ISBLANK(N55), ISBLANK(O55)),
        "",
        MAX(
            1,
            IF(
                NETWORKDAYS(N55, O55, Holiday_Dates) &lt;= 0,
                1,
                NETWORKDAYS(N55, O55, Holiday_Dates) - IF(N55 = O55, 0, 1)
            )
        )
    ),
    ""
)</f>
        <v/>
      </c>
      <c r="T55" s="24" t="str">
        <f>IF(
    OR(ISBLANK(O55), ISBLANK(P55)),
    "",
    MAX(
        1,
        IF(
            NETWORKDAYS(O55, P55, Holiday_Dates) &lt;= 0,
            1,
            NETWORKDAYS(O55, P55, Holiday_Dates) - IF(O55 = P55, 0, 1)
        )
    )
)</f>
        <v/>
      </c>
      <c r="U55" s="24" t="str">
        <f>IFERROR(
  IF(
    OR(A55="Nueva_Ecija", A55="Zambales"),
    IF(
      OR(ISBLANK(P55), ISBLANK(Q55)),
      "",
      MAX(
        1,
        IF(
          NETWORKDAYS(P55, Q55, Holiday_Dates) &lt;= 0,
          1,
          NETWORKDAYS(P55, Q55, Holiday_Dates) - IF(P55 = Q55, 0, 1)
        )
      )
    ),
    IF(
      OR(ISBLANK(O55), ISBLANK(Q55)),
      "",
      MAX(
        1,
        IF(
          NETWORKDAYS(O55, Q55, Holiday_Dates) &lt;= 0,
          1,
          NETWORKDAYS(O55, Q55, Holiday_Dates) - IF(O55 = Q55, 0, 1)
        )
      )
    )
  ),
  ""
)</f>
        <v/>
      </c>
      <c r="V55" s="24" t="str">
        <f>IFERROR(
    IF(
        OR(ISBLANK(Q55), ISBLANK(R55)),
        "",
        MAX(
            1,
            IF(
                NETWORKDAYS(Q55, R55, Holiday_Dates) &lt;= 0,
                1,
                NETWORKDAYS(Q55, R55, Holiday_Dates) - IF(Q55 = R55, 0, 1)
            )
        )
    ),
    ""
)</f>
        <v/>
      </c>
      <c r="W55" s="71"/>
      <c r="X55" s="9"/>
      <c r="Y55" s="71"/>
      <c r="Z55" s="9"/>
      <c r="AA55" s="9"/>
      <c r="AB55" s="9"/>
      <c r="AC55" s="6"/>
      <c r="AD55" s="57"/>
      <c r="AE55" s="323"/>
      <c r="AF55" s="1"/>
      <c r="AG55" s="1"/>
    </row>
    <row r="56" spans="1:33">
      <c r="A56" s="40" t="s">
        <v>49</v>
      </c>
      <c r="B56" s="245" t="s">
        <v>6131</v>
      </c>
      <c r="C56" s="246" t="s">
        <v>284</v>
      </c>
      <c r="D56" s="246" t="s">
        <v>88</v>
      </c>
      <c r="E56" s="40">
        <v>14.8719</v>
      </c>
      <c r="F56" s="247">
        <v>120.8609</v>
      </c>
      <c r="G56" s="40" t="str">
        <f>_xlfn.CONCAT(E56:F56)</f>
        <v>14.8719120.8609</v>
      </c>
      <c r="H56" s="248">
        <v>44915</v>
      </c>
      <c r="I56" s="9" t="s">
        <v>57</v>
      </c>
      <c r="J56" s="9" t="s">
        <v>6038</v>
      </c>
      <c r="K56" s="9"/>
      <c r="L56" s="9" t="s">
        <v>128</v>
      </c>
      <c r="M56" s="238"/>
      <c r="N56" s="239"/>
      <c r="O56" s="239"/>
      <c r="P56" s="239"/>
      <c r="Q56" s="239"/>
      <c r="R56" s="239"/>
      <c r="S56" s="24" t="str">
        <f>IFERROR(
    IF(
        OR(ISBLANK(N56), ISBLANK(O56)),
        "",
        MAX(
            1,
            IF(
                NETWORKDAYS(N56, O56, Holiday_Dates) &lt;= 0,
                1,
                NETWORKDAYS(N56, O56, Holiday_Dates) - IF(N56 = O56, 0, 1)
            )
        )
    ),
    ""
)</f>
        <v/>
      </c>
      <c r="T56" s="24" t="str">
        <f>IF(
    OR(ISBLANK(O56), ISBLANK(P56)),
    "",
    MAX(
        1,
        IF(
            NETWORKDAYS(O56, P56, Holiday_Dates) &lt;= 0,
            1,
            NETWORKDAYS(O56, P56, Holiday_Dates) - IF(O56 = P56, 0, 1)
        )
    )
)</f>
        <v/>
      </c>
      <c r="U56" s="24" t="str">
        <f>IFERROR(
  IF(
    OR(A56="Nueva_Ecija", A56="Zambales"),
    IF(
      OR(ISBLANK(P56), ISBLANK(Q56)),
      "",
      MAX(
        1,
        IF(
          NETWORKDAYS(P56, Q56, Holiday_Dates) &lt;= 0,
          1,
          NETWORKDAYS(P56, Q56, Holiday_Dates) - IF(P56 = Q56, 0, 1)
        )
      )
    ),
    IF(
      OR(ISBLANK(O56), ISBLANK(Q56)),
      "",
      MAX(
        1,
        IF(
          NETWORKDAYS(O56, Q56, Holiday_Dates) &lt;= 0,
          1,
          NETWORKDAYS(O56, Q56, Holiday_Dates) - IF(O56 = Q56, 0, 1)
        )
      )
    )
  ),
  ""
)</f>
        <v/>
      </c>
      <c r="V56" s="24" t="str">
        <f>IFERROR(
    IF(
        OR(ISBLANK(Q56), ISBLANK(R56)),
        "",
        MAX(
            1,
            IF(
                NETWORKDAYS(Q56, R56, Holiday_Dates) &lt;= 0,
                1,
                NETWORKDAYS(Q56, R56, Holiday_Dates) - IF(Q56 = R56, 0, 1)
            )
        )
    ),
    ""
)</f>
        <v/>
      </c>
      <c r="W56" s="71"/>
      <c r="X56" s="9"/>
      <c r="Y56" s="71"/>
      <c r="Z56" s="9"/>
      <c r="AA56" s="9"/>
      <c r="AB56" s="9"/>
      <c r="AC56" s="6"/>
      <c r="AD56" s="57"/>
      <c r="AE56" s="323"/>
      <c r="AF56" s="1"/>
      <c r="AG56" s="1"/>
    </row>
    <row r="57" spans="1:33">
      <c r="A57" s="40" t="s">
        <v>49</v>
      </c>
      <c r="B57" s="245" t="s">
        <v>6131</v>
      </c>
      <c r="C57" s="246" t="s">
        <v>284</v>
      </c>
      <c r="D57" s="246" t="s">
        <v>88</v>
      </c>
      <c r="E57" s="40">
        <v>14.8688</v>
      </c>
      <c r="F57" s="247">
        <v>120.8586</v>
      </c>
      <c r="G57" s="40" t="str">
        <f>_xlfn.CONCAT(E57:F57)</f>
        <v>14.8688120.8586</v>
      </c>
      <c r="H57" s="248">
        <v>44915</v>
      </c>
      <c r="I57" s="9" t="s">
        <v>57</v>
      </c>
      <c r="J57" s="9" t="s">
        <v>6038</v>
      </c>
      <c r="K57" s="9"/>
      <c r="L57" s="9" t="s">
        <v>128</v>
      </c>
      <c r="M57" s="238"/>
      <c r="N57" s="239"/>
      <c r="O57" s="239"/>
      <c r="P57" s="239"/>
      <c r="Q57" s="239"/>
      <c r="R57" s="239"/>
      <c r="S57" s="24" t="str">
        <f>IFERROR(
    IF(
        OR(ISBLANK(N57), ISBLANK(O57)),
        "",
        MAX(
            1,
            IF(
                NETWORKDAYS(N57, O57, Holiday_Dates) &lt;= 0,
                1,
                NETWORKDAYS(N57, O57, Holiday_Dates) - IF(N57 = O57, 0, 1)
            )
        )
    ),
    ""
)</f>
        <v/>
      </c>
      <c r="T57" s="24" t="str">
        <f>IF(
    OR(ISBLANK(O57), ISBLANK(P57)),
    "",
    MAX(
        1,
        IF(
            NETWORKDAYS(O57, P57, Holiday_Dates) &lt;= 0,
            1,
            NETWORKDAYS(O57, P57, Holiday_Dates) - IF(O57 = P57, 0, 1)
        )
    )
)</f>
        <v/>
      </c>
      <c r="U57" s="24" t="str">
        <f>IFERROR(
  IF(
    OR(A57="Nueva_Ecija", A57="Zambales"),
    IF(
      OR(ISBLANK(P57), ISBLANK(Q57)),
      "",
      MAX(
        1,
        IF(
          NETWORKDAYS(P57, Q57, Holiday_Dates) &lt;= 0,
          1,
          NETWORKDAYS(P57, Q57, Holiday_Dates) - IF(P57 = Q57, 0, 1)
        )
      )
    ),
    IF(
      OR(ISBLANK(O57), ISBLANK(Q57)),
      "",
      MAX(
        1,
        IF(
          NETWORKDAYS(O57, Q57, Holiday_Dates) &lt;= 0,
          1,
          NETWORKDAYS(O57, Q57, Holiday_Dates) - IF(O57 = Q57, 0, 1)
        )
      )
    )
  ),
  ""
)</f>
        <v/>
      </c>
      <c r="V57" s="24" t="str">
        <f>IFERROR(
    IF(
        OR(ISBLANK(Q57), ISBLANK(R57)),
        "",
        MAX(
            1,
            IF(
                NETWORKDAYS(Q57, R57, Holiday_Dates) &lt;= 0,
                1,
                NETWORKDAYS(Q57, R57, Holiday_Dates) - IF(Q57 = R57, 0, 1)
            )
        )
    ),
    ""
)</f>
        <v/>
      </c>
      <c r="W57" s="71"/>
      <c r="X57" s="9"/>
      <c r="Y57" s="71"/>
      <c r="Z57" s="9"/>
      <c r="AA57" s="9"/>
      <c r="AB57" s="9"/>
      <c r="AC57" s="6"/>
      <c r="AD57" s="57"/>
      <c r="AE57" s="323"/>
      <c r="AF57" s="1"/>
      <c r="AG57" s="1"/>
    </row>
    <row r="58" spans="1:33">
      <c r="A58" s="40" t="s">
        <v>49</v>
      </c>
      <c r="B58" s="245" t="s">
        <v>6132</v>
      </c>
      <c r="C58" s="246" t="s">
        <v>284</v>
      </c>
      <c r="D58" s="246" t="s">
        <v>88</v>
      </c>
      <c r="E58" s="40">
        <v>14.884577999999999</v>
      </c>
      <c r="F58" s="247">
        <v>120.86694300000001</v>
      </c>
      <c r="G58" s="40" t="str">
        <f>_xlfn.CONCAT(E58:F58)</f>
        <v>14.884578120.866943</v>
      </c>
      <c r="H58" s="248">
        <v>44915</v>
      </c>
      <c r="I58" s="9" t="s">
        <v>57</v>
      </c>
      <c r="J58" s="9" t="s">
        <v>6038</v>
      </c>
      <c r="K58" s="9"/>
      <c r="L58" s="9" t="s">
        <v>128</v>
      </c>
      <c r="M58" s="238"/>
      <c r="N58" s="239"/>
      <c r="O58" s="239"/>
      <c r="P58" s="239"/>
      <c r="Q58" s="239"/>
      <c r="R58" s="239"/>
      <c r="S58" s="24" t="str">
        <f>IFERROR(
    IF(
        OR(ISBLANK(N58), ISBLANK(O58)),
        "",
        MAX(
            1,
            IF(
                NETWORKDAYS(N58, O58, Holiday_Dates) &lt;= 0,
                1,
                NETWORKDAYS(N58, O58, Holiday_Dates) - IF(N58 = O58, 0, 1)
            )
        )
    ),
    ""
)</f>
        <v/>
      </c>
      <c r="T58" s="24" t="str">
        <f>IF(
    OR(ISBLANK(O58), ISBLANK(P58)),
    "",
    MAX(
        1,
        IF(
            NETWORKDAYS(O58, P58, Holiday_Dates) &lt;= 0,
            1,
            NETWORKDAYS(O58, P58, Holiday_Dates) - IF(O58 = P58, 0, 1)
        )
    )
)</f>
        <v/>
      </c>
      <c r="U58" s="24" t="str">
        <f>IFERROR(
  IF(
    OR(A58="Nueva_Ecija", A58="Zambales"),
    IF(
      OR(ISBLANK(P58), ISBLANK(Q58)),
      "",
      MAX(
        1,
        IF(
          NETWORKDAYS(P58, Q58, Holiday_Dates) &lt;= 0,
          1,
          NETWORKDAYS(P58, Q58, Holiday_Dates) - IF(P58 = Q58, 0, 1)
        )
      )
    ),
    IF(
      OR(ISBLANK(O58), ISBLANK(Q58)),
      "",
      MAX(
        1,
        IF(
          NETWORKDAYS(O58, Q58, Holiday_Dates) &lt;= 0,
          1,
          NETWORKDAYS(O58, Q58, Holiday_Dates) - IF(O58 = Q58, 0, 1)
        )
      )
    )
  ),
  ""
)</f>
        <v/>
      </c>
      <c r="V58" s="24" t="str">
        <f>IFERROR(
    IF(
        OR(ISBLANK(Q58), ISBLANK(R58)),
        "",
        MAX(
            1,
            IF(
                NETWORKDAYS(Q58, R58, Holiday_Dates) &lt;= 0,
                1,
                NETWORKDAYS(Q58, R58, Holiday_Dates) - IF(Q58 = R58, 0, 1)
            )
        )
    ),
    ""
)</f>
        <v/>
      </c>
      <c r="W58" s="71"/>
      <c r="X58" s="9"/>
      <c r="Y58" s="71"/>
      <c r="Z58" s="9"/>
      <c r="AA58" s="9"/>
      <c r="AB58" s="9"/>
      <c r="AC58" s="6"/>
      <c r="AD58" s="57"/>
      <c r="AE58" s="323"/>
      <c r="AF58" s="1"/>
      <c r="AG58" s="1"/>
    </row>
    <row r="59" spans="1:33">
      <c r="A59" s="40" t="s">
        <v>51</v>
      </c>
      <c r="B59" s="245" t="s">
        <v>6133</v>
      </c>
      <c r="C59" s="246" t="s">
        <v>389</v>
      </c>
      <c r="D59" s="246" t="s">
        <v>88</v>
      </c>
      <c r="E59" s="40">
        <v>15.154579999999999</v>
      </c>
      <c r="F59" s="247">
        <v>120.72264</v>
      </c>
      <c r="G59" s="40" t="str">
        <f>CONCATENATE(E59,",",F59)</f>
        <v>15.15458,120.72264</v>
      </c>
      <c r="H59" s="248">
        <v>44909</v>
      </c>
      <c r="I59" s="9" t="s">
        <v>57</v>
      </c>
      <c r="J59" s="9" t="s">
        <v>32</v>
      </c>
      <c r="K59" s="9"/>
      <c r="L59" s="9" t="s">
        <v>133</v>
      </c>
      <c r="M59" s="238"/>
      <c r="N59" s="239"/>
      <c r="O59" s="239"/>
      <c r="P59" s="239"/>
      <c r="Q59" s="239"/>
      <c r="R59" s="239"/>
      <c r="S59" s="24" t="str">
        <f>IFERROR(
    IF(
        OR(ISBLANK(N59), ISBLANK(O59)),
        "",
        MAX(
            1,
            IF(
                NETWORKDAYS(N59, O59, Holiday_Dates) &lt;= 0,
                1,
                NETWORKDAYS(N59, O59, Holiday_Dates) - IF(N59 = O59, 0, 1)
            )
        )
    ),
    ""
)</f>
        <v/>
      </c>
      <c r="T59" s="24" t="str">
        <f>IF(
    OR(ISBLANK(O59), ISBLANK(P59)),
    "",
    MAX(
        1,
        IF(
            NETWORKDAYS(O59, P59, Holiday_Dates) &lt;= 0,
            1,
            NETWORKDAYS(O59, P59, Holiday_Dates) - IF(O59 = P59, 0, 1)
        )
    )
)</f>
        <v/>
      </c>
      <c r="U59" s="24" t="str">
        <f>IFERROR(
  IF(
    OR(A59="Nueva_Ecija", A59="Zambales"),
    IF(
      OR(ISBLANK(P59), ISBLANK(Q59)),
      "",
      MAX(
        1,
        IF(
          NETWORKDAYS(P59, Q59, Holiday_Dates) &lt;= 0,
          1,
          NETWORKDAYS(P59, Q59, Holiday_Dates) - IF(P59 = Q59, 0, 1)
        )
      )
    ),
    IF(
      OR(ISBLANK(O59), ISBLANK(Q59)),
      "",
      MAX(
        1,
        IF(
          NETWORKDAYS(O59, Q59, Holiday_Dates) &lt;= 0,
          1,
          NETWORKDAYS(O59, Q59, Holiday_Dates) - IF(O59 = Q59, 0, 1)
        )
      )
    )
  ),
  ""
)</f>
        <v/>
      </c>
      <c r="V59" s="24" t="str">
        <f>IFERROR(
    IF(
        OR(ISBLANK(Q59), ISBLANK(R59)),
        "",
        MAX(
            1,
            IF(
                NETWORKDAYS(Q59, R59, Holiday_Dates) &lt;= 0,
                1,
                NETWORKDAYS(Q59, R59, Holiday_Dates) - IF(Q59 = R59, 0, 1)
            )
        )
    ),
    ""
)</f>
        <v/>
      </c>
      <c r="W59" s="71"/>
      <c r="X59" s="9"/>
      <c r="Y59" s="71"/>
      <c r="Z59" s="9"/>
      <c r="AA59" s="9"/>
      <c r="AB59" s="9"/>
      <c r="AC59" s="9"/>
      <c r="AD59" s="57"/>
      <c r="AE59" s="6"/>
      <c r="AF59" s="1"/>
      <c r="AG59" s="1"/>
    </row>
    <row r="60" spans="1:33">
      <c r="A60" s="40" t="s">
        <v>51</v>
      </c>
      <c r="B60" s="245" t="s">
        <v>6134</v>
      </c>
      <c r="C60" s="246" t="s">
        <v>389</v>
      </c>
      <c r="D60" s="246" t="s">
        <v>88</v>
      </c>
      <c r="E60" s="40">
        <v>15.148059999999999</v>
      </c>
      <c r="F60" s="247">
        <v>120.75914</v>
      </c>
      <c r="G60" s="40" t="str">
        <f>CONCATENATE(E60,",",F60)</f>
        <v>15.14806,120.75914</v>
      </c>
      <c r="H60" s="248">
        <v>44909</v>
      </c>
      <c r="I60" s="9" t="s">
        <v>57</v>
      </c>
      <c r="J60" s="9" t="s">
        <v>32</v>
      </c>
      <c r="K60" s="9"/>
      <c r="L60" s="9" t="s">
        <v>133</v>
      </c>
      <c r="M60" s="238"/>
      <c r="N60" s="239"/>
      <c r="O60" s="239"/>
      <c r="P60" s="239"/>
      <c r="Q60" s="239"/>
      <c r="R60" s="239"/>
      <c r="S60" s="24" t="str">
        <f>IFERROR(
    IF(
        OR(ISBLANK(N60), ISBLANK(O60)),
        "",
        MAX(
            1,
            IF(
                NETWORKDAYS(N60, O60, Holiday_Dates) &lt;= 0,
                1,
                NETWORKDAYS(N60, O60, Holiday_Dates) - IF(N60 = O60, 0, 1)
            )
        )
    ),
    ""
)</f>
        <v/>
      </c>
      <c r="T60" s="24" t="str">
        <f>IF(
    OR(ISBLANK(O60), ISBLANK(P60)),
    "",
    MAX(
        1,
        IF(
            NETWORKDAYS(O60, P60, Holiday_Dates) &lt;= 0,
            1,
            NETWORKDAYS(O60, P60, Holiday_Dates) - IF(O60 = P60, 0, 1)
        )
    )
)</f>
        <v/>
      </c>
      <c r="U60" s="24" t="str">
        <f>IFERROR(
  IF(
    OR(A60="Nueva_Ecija", A60="Zambales"),
    IF(
      OR(ISBLANK(P60), ISBLANK(Q60)),
      "",
      MAX(
        1,
        IF(
          NETWORKDAYS(P60, Q60, Holiday_Dates) &lt;= 0,
          1,
          NETWORKDAYS(P60, Q60, Holiday_Dates) - IF(P60 = Q60, 0, 1)
        )
      )
    ),
    IF(
      OR(ISBLANK(O60), ISBLANK(Q60)),
      "",
      MAX(
        1,
        IF(
          NETWORKDAYS(O60, Q60, Holiday_Dates) &lt;= 0,
          1,
          NETWORKDAYS(O60, Q60, Holiday_Dates) - IF(O60 = Q60, 0, 1)
        )
      )
    )
  ),
  ""
)</f>
        <v/>
      </c>
      <c r="V60" s="24" t="str">
        <f>IFERROR(
    IF(
        OR(ISBLANK(Q60), ISBLANK(R60)),
        "",
        MAX(
            1,
            IF(
                NETWORKDAYS(Q60, R60, Holiday_Dates) &lt;= 0,
                1,
                NETWORKDAYS(Q60, R60, Holiday_Dates) - IF(Q60 = R60, 0, 1)
            )
        )
    ),
    ""
)</f>
        <v/>
      </c>
      <c r="W60" s="71"/>
      <c r="X60" s="9"/>
      <c r="Y60" s="71"/>
      <c r="Z60" s="9"/>
      <c r="AA60" s="9"/>
      <c r="AB60" s="9"/>
      <c r="AC60" s="9"/>
      <c r="AD60" s="57"/>
      <c r="AE60" s="323"/>
      <c r="AF60" s="1"/>
      <c r="AG60" s="1"/>
    </row>
    <row r="61" spans="1:33">
      <c r="A61" s="40" t="s">
        <v>51</v>
      </c>
      <c r="B61" s="245" t="s">
        <v>6134</v>
      </c>
      <c r="C61" s="246" t="s">
        <v>389</v>
      </c>
      <c r="D61" s="246" t="s">
        <v>88</v>
      </c>
      <c r="E61" s="40">
        <v>15.148733999999999</v>
      </c>
      <c r="F61" s="247">
        <v>120.763921</v>
      </c>
      <c r="G61" s="40" t="s">
        <v>6135</v>
      </c>
      <c r="H61" s="248">
        <v>44909</v>
      </c>
      <c r="I61" s="9" t="s">
        <v>57</v>
      </c>
      <c r="J61" s="9" t="s">
        <v>32</v>
      </c>
      <c r="K61" s="9"/>
      <c r="L61" s="9" t="s">
        <v>133</v>
      </c>
      <c r="M61" s="238"/>
      <c r="N61" s="239"/>
      <c r="O61" s="239"/>
      <c r="P61" s="239"/>
      <c r="Q61" s="239"/>
      <c r="R61" s="239"/>
      <c r="S61" s="24" t="str">
        <f>IFERROR(
    IF(
        OR(ISBLANK(N61), ISBLANK(O61)),
        "",
        MAX(
            1,
            IF(
                NETWORKDAYS(N61, O61, Holiday_Dates) &lt;= 0,
                1,
                NETWORKDAYS(N61, O61, Holiday_Dates) - IF(N61 = O61, 0, 1)
            )
        )
    ),
    ""
)</f>
        <v/>
      </c>
      <c r="T61" s="24" t="str">
        <f>IF(
    OR(ISBLANK(O61), ISBLANK(P61)),
    "",
    MAX(
        1,
        IF(
            NETWORKDAYS(O61, P61, Holiday_Dates) &lt;= 0,
            1,
            NETWORKDAYS(O61, P61, Holiday_Dates) - IF(O61 = P61, 0, 1)
        )
    )
)</f>
        <v/>
      </c>
      <c r="U61" s="24" t="str">
        <f>IFERROR(
  IF(
    OR(A61="Nueva_Ecija", A61="Zambales"),
    IF(
      OR(ISBLANK(P61), ISBLANK(Q61)),
      "",
      MAX(
        1,
        IF(
          NETWORKDAYS(P61, Q61, Holiday_Dates) &lt;= 0,
          1,
          NETWORKDAYS(P61, Q61, Holiday_Dates) - IF(P61 = Q61, 0, 1)
        )
      )
    ),
    IF(
      OR(ISBLANK(O61), ISBLANK(Q61)),
      "",
      MAX(
        1,
        IF(
          NETWORKDAYS(O61, Q61, Holiday_Dates) &lt;= 0,
          1,
          NETWORKDAYS(O61, Q61, Holiday_Dates) - IF(O61 = Q61, 0, 1)
        )
      )
    )
  ),
  ""
)</f>
        <v/>
      </c>
      <c r="V61" s="24" t="str">
        <f>IFERROR(
    IF(
        OR(ISBLANK(Q61), ISBLANK(R61)),
        "",
        MAX(
            1,
            IF(
                NETWORKDAYS(Q61, R61, Holiday_Dates) &lt;= 0,
                1,
                NETWORKDAYS(Q61, R61, Holiday_Dates) - IF(Q61 = R61, 0, 1)
            )
        )
    ),
    ""
)</f>
        <v/>
      </c>
      <c r="W61" s="71"/>
      <c r="X61" s="9"/>
      <c r="Y61" s="71"/>
      <c r="Z61" s="9"/>
      <c r="AA61" s="9"/>
      <c r="AB61" s="9"/>
      <c r="AC61" s="9"/>
      <c r="AD61" s="57"/>
      <c r="AE61" s="323"/>
      <c r="AF61" s="1"/>
      <c r="AG61" s="1"/>
    </row>
    <row r="62" spans="1:33">
      <c r="A62" s="40" t="s">
        <v>51</v>
      </c>
      <c r="B62" s="245" t="s">
        <v>6021</v>
      </c>
      <c r="C62" s="246" t="s">
        <v>1377</v>
      </c>
      <c r="D62" s="246" t="s">
        <v>88</v>
      </c>
      <c r="E62" s="40">
        <v>15.04673</v>
      </c>
      <c r="F62" s="247">
        <v>120.66179</v>
      </c>
      <c r="G62" s="40" t="str">
        <f>CONCATENATE(E62,",",F62)</f>
        <v>15.04673,120.66179</v>
      </c>
      <c r="H62" s="248">
        <v>44904</v>
      </c>
      <c r="I62" s="9" t="s">
        <v>57</v>
      </c>
      <c r="J62" s="9" t="s">
        <v>33</v>
      </c>
      <c r="K62" s="9"/>
      <c r="L62" s="9" t="s">
        <v>239</v>
      </c>
      <c r="M62" s="238"/>
      <c r="N62" s="239"/>
      <c r="O62" s="239"/>
      <c r="P62" s="239"/>
      <c r="Q62" s="239"/>
      <c r="R62" s="239"/>
      <c r="S62" s="24" t="str">
        <f>IFERROR(
    IF(
        OR(ISBLANK(N62), ISBLANK(O62)),
        "",
        MAX(
            1,
            IF(
                NETWORKDAYS(N62, O62, Holiday_Dates) &lt;= 0,
                1,
                NETWORKDAYS(N62, O62, Holiday_Dates) - IF(N62 = O62, 0, 1)
            )
        )
    ),
    ""
)</f>
        <v/>
      </c>
      <c r="T62" s="24" t="str">
        <f>IF(
    OR(ISBLANK(O62), ISBLANK(P62)),
    "",
    MAX(
        1,
        IF(
            NETWORKDAYS(O62, P62, Holiday_Dates) &lt;= 0,
            1,
            NETWORKDAYS(O62, P62, Holiday_Dates) - IF(O62 = P62, 0, 1)
        )
    )
)</f>
        <v/>
      </c>
      <c r="U62" s="24" t="str">
        <f>IFERROR(
  IF(
    OR(A62="Nueva_Ecija", A62="Zambales"),
    IF(
      OR(ISBLANK(P62), ISBLANK(Q62)),
      "",
      MAX(
        1,
        IF(
          NETWORKDAYS(P62, Q62, Holiday_Dates) &lt;= 0,
          1,
          NETWORKDAYS(P62, Q62, Holiday_Dates) - IF(P62 = Q62, 0, 1)
        )
      )
    ),
    IF(
      OR(ISBLANK(O62), ISBLANK(Q62)),
      "",
      MAX(
        1,
        IF(
          NETWORKDAYS(O62, Q62, Holiday_Dates) &lt;= 0,
          1,
          NETWORKDAYS(O62, Q62, Holiday_Dates) - IF(O62 = Q62, 0, 1)
        )
      )
    )
  ),
  ""
)</f>
        <v/>
      </c>
      <c r="V62" s="24" t="str">
        <f>IFERROR(
    IF(
        OR(ISBLANK(Q62), ISBLANK(R62)),
        "",
        MAX(
            1,
            IF(
                NETWORKDAYS(Q62, R62, Holiday_Dates) &lt;= 0,
                1,
                NETWORKDAYS(Q62, R62, Holiday_Dates) - IF(Q62 = R62, 0, 1)
            )
        )
    ),
    ""
)</f>
        <v/>
      </c>
      <c r="W62" s="71"/>
      <c r="X62" s="9"/>
      <c r="Y62" s="71"/>
      <c r="Z62" s="9"/>
      <c r="AA62" s="9"/>
      <c r="AB62" s="9"/>
      <c r="AC62" s="9"/>
      <c r="AD62" s="57"/>
      <c r="AE62" s="6"/>
      <c r="AF62" s="1"/>
      <c r="AG62" s="1"/>
    </row>
    <row r="63" spans="1:33" s="261" customFormat="1">
      <c r="A63" s="40" t="s">
        <v>51</v>
      </c>
      <c r="B63" s="245" t="s">
        <v>6136</v>
      </c>
      <c r="C63" s="246" t="s">
        <v>1377</v>
      </c>
      <c r="D63" s="246" t="s">
        <v>88</v>
      </c>
      <c r="E63" s="40">
        <v>15.116860000000001</v>
      </c>
      <c r="F63" s="247">
        <v>120.60575</v>
      </c>
      <c r="G63" s="40" t="str">
        <f>CONCATENATE(E63,",",F63)</f>
        <v>15.11686,120.60575</v>
      </c>
      <c r="H63" s="248">
        <v>44904</v>
      </c>
      <c r="I63" s="9" t="s">
        <v>57</v>
      </c>
      <c r="J63" s="9" t="s">
        <v>33</v>
      </c>
      <c r="K63" s="9"/>
      <c r="L63" s="9" t="s">
        <v>239</v>
      </c>
      <c r="M63" s="238"/>
      <c r="N63" s="239"/>
      <c r="O63" s="239"/>
      <c r="P63" s="239"/>
      <c r="Q63" s="239"/>
      <c r="R63" s="239"/>
      <c r="S63" s="24" t="str">
        <f>IFERROR(
    IF(
        OR(ISBLANK(N63), ISBLANK(O63)),
        "",
        MAX(
            1,
            IF(
                NETWORKDAYS(N63, O63, Holiday_Dates) &lt;= 0,
                1,
                NETWORKDAYS(N63, O63, Holiday_Dates) - IF(N63 = O63, 0, 1)
            )
        )
    ),
    ""
)</f>
        <v/>
      </c>
      <c r="T63" s="24" t="str">
        <f>IF(
    OR(ISBLANK(O63), ISBLANK(P63)),
    "",
    MAX(
        1,
        IF(
            NETWORKDAYS(O63, P63, Holiday_Dates) &lt;= 0,
            1,
            NETWORKDAYS(O63, P63, Holiday_Dates) - IF(O63 = P63, 0, 1)
        )
    )
)</f>
        <v/>
      </c>
      <c r="U63" s="24" t="str">
        <f>IFERROR(
  IF(
    OR(A63="Nueva_Ecija", A63="Zambales"),
    IF(
      OR(ISBLANK(P63), ISBLANK(Q63)),
      "",
      MAX(
        1,
        IF(
          NETWORKDAYS(P63, Q63, Holiday_Dates) &lt;= 0,
          1,
          NETWORKDAYS(P63, Q63, Holiday_Dates) - IF(P63 = Q63, 0, 1)
        )
      )
    ),
    IF(
      OR(ISBLANK(O63), ISBLANK(Q63)),
      "",
      MAX(
        1,
        IF(
          NETWORKDAYS(O63, Q63, Holiday_Dates) &lt;= 0,
          1,
          NETWORKDAYS(O63, Q63, Holiday_Dates) - IF(O63 = Q63, 0, 1)
        )
      )
    )
  ),
  ""
)</f>
        <v/>
      </c>
      <c r="V63" s="24" t="str">
        <f>IFERROR(
    IF(
        OR(ISBLANK(Q63), ISBLANK(R63)),
        "",
        MAX(
            1,
            IF(
                NETWORKDAYS(Q63, R63, Holiday_Dates) &lt;= 0,
                1,
                NETWORKDAYS(Q63, R63, Holiday_Dates) - IF(Q63 = R63, 0, 1)
            )
        )
    ),
    ""
)</f>
        <v/>
      </c>
      <c r="W63" s="71"/>
      <c r="X63" s="9"/>
      <c r="Y63" s="71"/>
      <c r="Z63" s="9"/>
      <c r="AA63" s="9"/>
      <c r="AB63" s="9"/>
      <c r="AC63" s="9"/>
      <c r="AD63" s="378"/>
      <c r="AE63" s="6"/>
      <c r="AF63" s="1"/>
      <c r="AG63" s="1"/>
    </row>
    <row r="64" spans="1:33">
      <c r="A64" s="40" t="s">
        <v>51</v>
      </c>
      <c r="B64" s="245" t="s">
        <v>6136</v>
      </c>
      <c r="C64" s="246" t="s">
        <v>1377</v>
      </c>
      <c r="D64" s="246" t="s">
        <v>88</v>
      </c>
      <c r="E64" s="40">
        <v>15.108095</v>
      </c>
      <c r="F64" s="247">
        <v>120.611417</v>
      </c>
      <c r="G64" s="40" t="str">
        <f>CONCATENATE(E64,",",F64)</f>
        <v>15.108095,120.611417</v>
      </c>
      <c r="H64" s="248">
        <v>44904</v>
      </c>
      <c r="I64" s="9" t="s">
        <v>57</v>
      </c>
      <c r="J64" s="9" t="s">
        <v>33</v>
      </c>
      <c r="K64" s="9"/>
      <c r="L64" s="9" t="s">
        <v>239</v>
      </c>
      <c r="M64" s="238"/>
      <c r="N64" s="239"/>
      <c r="O64" s="239"/>
      <c r="P64" s="239"/>
      <c r="Q64" s="239"/>
      <c r="R64" s="239"/>
      <c r="S64" s="24" t="str">
        <f>IFERROR(
    IF(
        OR(ISBLANK(N64), ISBLANK(O64)),
        "",
        MAX(
            1,
            IF(
                NETWORKDAYS(N64, O64, Holiday_Dates) &lt;= 0,
                1,
                NETWORKDAYS(N64, O64, Holiday_Dates) - IF(N64 = O64, 0, 1)
            )
        )
    ),
    ""
)</f>
        <v/>
      </c>
      <c r="T64" s="24" t="str">
        <f>IF(
    OR(ISBLANK(O64), ISBLANK(P64)),
    "",
    MAX(
        1,
        IF(
            NETWORKDAYS(O64, P64, Holiday_Dates) &lt;= 0,
            1,
            NETWORKDAYS(O64, P64, Holiday_Dates) - IF(O64 = P64, 0, 1)
        )
    )
)</f>
        <v/>
      </c>
      <c r="U64" s="24" t="str">
        <f>IFERROR(
  IF(
    OR(A64="Nueva_Ecija", A64="Zambales"),
    IF(
      OR(ISBLANK(P64), ISBLANK(Q64)),
      "",
      MAX(
        1,
        IF(
          NETWORKDAYS(P64, Q64, Holiday_Dates) &lt;= 0,
          1,
          NETWORKDAYS(P64, Q64, Holiday_Dates) - IF(P64 = Q64, 0, 1)
        )
      )
    ),
    IF(
      OR(ISBLANK(O64), ISBLANK(Q64)),
      "",
      MAX(
        1,
        IF(
          NETWORKDAYS(O64, Q64, Holiday_Dates) &lt;= 0,
          1,
          NETWORKDAYS(O64, Q64, Holiday_Dates) - IF(O64 = Q64, 0, 1)
        )
      )
    )
  ),
  ""
)</f>
        <v/>
      </c>
      <c r="V64" s="24" t="str">
        <f>IFERROR(
    IF(
        OR(ISBLANK(Q64), ISBLANK(R64)),
        "",
        MAX(
            1,
            IF(
                NETWORKDAYS(Q64, R64, Holiday_Dates) &lt;= 0,
                1,
                NETWORKDAYS(Q64, R64, Holiday_Dates) - IF(Q64 = R64, 0, 1)
            )
        )
    ),
    ""
)</f>
        <v/>
      </c>
      <c r="W64" s="71"/>
      <c r="X64" s="9"/>
      <c r="Y64" s="71"/>
      <c r="Z64" s="9"/>
      <c r="AA64" s="9"/>
      <c r="AB64" s="9"/>
      <c r="AC64" s="9"/>
      <c r="AD64" s="57"/>
      <c r="AE64" s="323"/>
      <c r="AF64" s="1"/>
      <c r="AG64" s="1"/>
    </row>
    <row r="65" spans="1:33">
      <c r="A65" s="40" t="s">
        <v>51</v>
      </c>
      <c r="B65" s="245" t="s">
        <v>6021</v>
      </c>
      <c r="C65" s="246" t="s">
        <v>1377</v>
      </c>
      <c r="D65" s="246" t="s">
        <v>88</v>
      </c>
      <c r="E65" s="40">
        <v>15.0496</v>
      </c>
      <c r="F65" s="247">
        <v>120.6595518</v>
      </c>
      <c r="G65" s="40">
        <v>120.65949000000001</v>
      </c>
      <c r="H65" s="248">
        <v>44904</v>
      </c>
      <c r="I65" s="9" t="s">
        <v>57</v>
      </c>
      <c r="J65" s="9" t="s">
        <v>33</v>
      </c>
      <c r="K65" s="9"/>
      <c r="L65" s="9" t="s">
        <v>239</v>
      </c>
      <c r="M65" s="238"/>
      <c r="N65" s="239"/>
      <c r="O65" s="239"/>
      <c r="P65" s="239"/>
      <c r="Q65" s="239"/>
      <c r="R65" s="239"/>
      <c r="S65" s="24" t="str">
        <f>IFERROR(
    IF(
        OR(ISBLANK(N65), ISBLANK(O65)),
        "",
        MAX(
            1,
            IF(
                NETWORKDAYS(N65, O65, Holiday_Dates) &lt;= 0,
                1,
                NETWORKDAYS(N65, O65, Holiday_Dates) - IF(N65 = O65, 0, 1)
            )
        )
    ),
    ""
)</f>
        <v/>
      </c>
      <c r="T65" s="24" t="str">
        <f>IF(
    OR(ISBLANK(O65), ISBLANK(P65)),
    "",
    MAX(
        1,
        IF(
            NETWORKDAYS(O65, P65, Holiday_Dates) &lt;= 0,
            1,
            NETWORKDAYS(O65, P65, Holiday_Dates) - IF(O65 = P65, 0, 1)
        )
    )
)</f>
        <v/>
      </c>
      <c r="U65" s="24" t="str">
        <f>IFERROR(
  IF(
    OR(A65="Nueva_Ecija", A65="Zambales"),
    IF(
      OR(ISBLANK(P65), ISBLANK(Q65)),
      "",
      MAX(
        1,
        IF(
          NETWORKDAYS(P65, Q65, Holiday_Dates) &lt;= 0,
          1,
          NETWORKDAYS(P65, Q65, Holiday_Dates) - IF(P65 = Q65, 0, 1)
        )
      )
    ),
    IF(
      OR(ISBLANK(O65), ISBLANK(Q65)),
      "",
      MAX(
        1,
        IF(
          NETWORKDAYS(O65, Q65, Holiday_Dates) &lt;= 0,
          1,
          NETWORKDAYS(O65, Q65, Holiday_Dates) - IF(O65 = Q65, 0, 1)
        )
      )
    )
  ),
  ""
)</f>
        <v/>
      </c>
      <c r="V65" s="24" t="str">
        <f>IFERROR(
    IF(
        OR(ISBLANK(Q65), ISBLANK(R65)),
        "",
        MAX(
            1,
            IF(
                NETWORKDAYS(Q65, R65, Holiday_Dates) &lt;= 0,
                1,
                NETWORKDAYS(Q65, R65, Holiday_Dates) - IF(Q65 = R65, 0, 1)
            )
        )
    ),
    ""
)</f>
        <v/>
      </c>
      <c r="W65" s="71"/>
      <c r="X65" s="9"/>
      <c r="Y65" s="71"/>
      <c r="Z65" s="9"/>
      <c r="AA65" s="9"/>
      <c r="AB65" s="9"/>
      <c r="AC65" s="9"/>
      <c r="AD65" s="57"/>
      <c r="AE65" s="6"/>
      <c r="AF65" s="1"/>
      <c r="AG65" s="1"/>
    </row>
    <row r="66" spans="1:33">
      <c r="A66" s="40" t="s">
        <v>49</v>
      </c>
      <c r="B66" s="245" t="s">
        <v>6137</v>
      </c>
      <c r="C66" s="246" t="s">
        <v>401</v>
      </c>
      <c r="D66" s="246" t="s">
        <v>88</v>
      </c>
      <c r="E66" s="40">
        <v>14.816800000000001</v>
      </c>
      <c r="F66" s="247">
        <v>120.9085</v>
      </c>
      <c r="G66" s="40" t="s">
        <v>6138</v>
      </c>
      <c r="H66" s="248">
        <v>44914</v>
      </c>
      <c r="I66" s="9" t="s">
        <v>63</v>
      </c>
      <c r="J66" s="9" t="s">
        <v>6038</v>
      </c>
      <c r="K66" s="9"/>
      <c r="L66" s="9" t="s">
        <v>128</v>
      </c>
      <c r="M66" s="238"/>
      <c r="N66" s="239"/>
      <c r="O66" s="239"/>
      <c r="P66" s="239"/>
      <c r="Q66" s="239"/>
      <c r="R66" s="239"/>
      <c r="S66" s="24" t="str">
        <f>IFERROR(
    IF(
        OR(ISBLANK(N66), ISBLANK(O66)),
        "",
        MAX(
            1,
            IF(
                NETWORKDAYS(N66, O66, Holiday_Dates) &lt;= 0,
                1,
                NETWORKDAYS(N66, O66, Holiday_Dates) - IF(N66 = O66, 0, 1)
            )
        )
    ),
    ""
)</f>
        <v/>
      </c>
      <c r="T66" s="24" t="str">
        <f>IF(
    OR(ISBLANK(O66), ISBLANK(P66)),
    "",
    MAX(
        1,
        IF(
            NETWORKDAYS(O66, P66, Holiday_Dates) &lt;= 0,
            1,
            NETWORKDAYS(O66, P66, Holiday_Dates) - IF(O66 = P66, 0, 1)
        )
    )
)</f>
        <v/>
      </c>
      <c r="U66" s="24" t="str">
        <f>IFERROR(
  IF(
    OR(A66="Nueva_Ecija", A66="Zambales"),
    IF(
      OR(ISBLANK(P66), ISBLANK(Q66)),
      "",
      MAX(
        1,
        IF(
          NETWORKDAYS(P66, Q66, Holiday_Dates) &lt;= 0,
          1,
          NETWORKDAYS(P66, Q66, Holiday_Dates) - IF(P66 = Q66, 0, 1)
        )
      )
    ),
    IF(
      OR(ISBLANK(O66), ISBLANK(Q66)),
      "",
      MAX(
        1,
        IF(
          NETWORKDAYS(O66, Q66, Holiday_Dates) &lt;= 0,
          1,
          NETWORKDAYS(O66, Q66, Holiday_Dates) - IF(O66 = Q66, 0, 1)
        )
      )
    )
  ),
  ""
)</f>
        <v/>
      </c>
      <c r="V66" s="24" t="str">
        <f>IFERROR(
    IF(
        OR(ISBLANK(Q66), ISBLANK(R66)),
        "",
        MAX(
            1,
            IF(
                NETWORKDAYS(Q66, R66, Holiday_Dates) &lt;= 0,
                1,
                NETWORKDAYS(Q66, R66, Holiday_Dates) - IF(Q66 = R66, 0, 1)
            )
        )
    ),
    ""
)</f>
        <v/>
      </c>
      <c r="W66" s="71"/>
      <c r="X66" s="9"/>
      <c r="Y66" s="71"/>
      <c r="Z66" s="9"/>
      <c r="AA66" s="9"/>
      <c r="AB66" s="9"/>
      <c r="AC66" s="9"/>
      <c r="AD66" s="57"/>
      <c r="AE66" s="323"/>
      <c r="AF66" s="1"/>
      <c r="AG66" s="1"/>
    </row>
    <row r="67" spans="1:33">
      <c r="A67" s="40" t="s">
        <v>49</v>
      </c>
      <c r="B67" s="245" t="s">
        <v>6137</v>
      </c>
      <c r="C67" s="246" t="s">
        <v>401</v>
      </c>
      <c r="D67" s="246" t="s">
        <v>88</v>
      </c>
      <c r="E67" s="40">
        <v>14.8162</v>
      </c>
      <c r="F67" s="247">
        <v>120.908</v>
      </c>
      <c r="G67" s="40" t="str">
        <f>CONCATENATE(E67,",",F67)</f>
        <v>14.8162,120.908</v>
      </c>
      <c r="H67" s="248">
        <v>44914</v>
      </c>
      <c r="I67" s="9" t="s">
        <v>63</v>
      </c>
      <c r="J67" s="9" t="s">
        <v>6038</v>
      </c>
      <c r="K67" s="9"/>
      <c r="L67" s="9" t="s">
        <v>128</v>
      </c>
      <c r="M67" s="238"/>
      <c r="N67" s="239"/>
      <c r="O67" s="239"/>
      <c r="P67" s="239"/>
      <c r="Q67" s="239"/>
      <c r="R67" s="239"/>
      <c r="S67" s="24" t="str">
        <f>IFERROR(
    IF(
        OR(ISBLANK(N67), ISBLANK(O67)),
        "",
        MAX(
            1,
            IF(
                NETWORKDAYS(N67, O67, Holiday_Dates) &lt;= 0,
                1,
                NETWORKDAYS(N67, O67, Holiday_Dates) - IF(N67 = O67, 0, 1)
            )
        )
    ),
    ""
)</f>
        <v/>
      </c>
      <c r="T67" s="24" t="str">
        <f>IF(
    OR(ISBLANK(O67), ISBLANK(P67)),
    "",
    MAX(
        1,
        IF(
            NETWORKDAYS(O67, P67, Holiday_Dates) &lt;= 0,
            1,
            NETWORKDAYS(O67, P67, Holiday_Dates) - IF(O67 = P67, 0, 1)
        )
    )
)</f>
        <v/>
      </c>
      <c r="U67" s="24" t="str">
        <f>IFERROR(
  IF(
    OR(A67="Nueva_Ecija", A67="Zambales"),
    IF(
      OR(ISBLANK(P67), ISBLANK(Q67)),
      "",
      MAX(
        1,
        IF(
          NETWORKDAYS(P67, Q67, Holiday_Dates) &lt;= 0,
          1,
          NETWORKDAYS(P67, Q67, Holiday_Dates) - IF(P67 = Q67, 0, 1)
        )
      )
    ),
    IF(
      OR(ISBLANK(O67), ISBLANK(Q67)),
      "",
      MAX(
        1,
        IF(
          NETWORKDAYS(O67, Q67, Holiday_Dates) &lt;= 0,
          1,
          NETWORKDAYS(O67, Q67, Holiday_Dates) - IF(O67 = Q67, 0, 1)
        )
      )
    )
  ),
  ""
)</f>
        <v/>
      </c>
      <c r="V67" s="24" t="str">
        <f>IFERROR(
    IF(
        OR(ISBLANK(Q67), ISBLANK(R67)),
        "",
        MAX(
            1,
            IF(
                NETWORKDAYS(Q67, R67, Holiday_Dates) &lt;= 0,
                1,
                NETWORKDAYS(Q67, R67, Holiday_Dates) - IF(Q67 = R67, 0, 1)
            )
        )
    ),
    ""
)</f>
        <v/>
      </c>
      <c r="W67" s="71"/>
      <c r="X67" s="9"/>
      <c r="Y67" s="71"/>
      <c r="Z67" s="9"/>
      <c r="AA67" s="9"/>
      <c r="AB67" s="9"/>
      <c r="AC67" s="9"/>
      <c r="AD67" s="57"/>
      <c r="AE67" s="323"/>
      <c r="AF67" s="1"/>
      <c r="AG67" s="1"/>
    </row>
    <row r="68" spans="1:33">
      <c r="A68" s="40" t="s">
        <v>49</v>
      </c>
      <c r="B68" s="245" t="s">
        <v>6139</v>
      </c>
      <c r="C68" s="246" t="s">
        <v>490</v>
      </c>
      <c r="D68" s="246" t="s">
        <v>88</v>
      </c>
      <c r="E68" s="40">
        <v>14.9392</v>
      </c>
      <c r="F68" s="247">
        <v>120.9273</v>
      </c>
      <c r="G68" s="40" t="s">
        <v>6140</v>
      </c>
      <c r="H68" s="248">
        <v>44901</v>
      </c>
      <c r="I68" s="9" t="s">
        <v>63</v>
      </c>
      <c r="J68" s="9" t="s">
        <v>344</v>
      </c>
      <c r="K68" s="9"/>
      <c r="L68" s="9" t="s">
        <v>128</v>
      </c>
      <c r="M68" s="238"/>
      <c r="N68" s="239"/>
      <c r="O68" s="239"/>
      <c r="P68" s="239"/>
      <c r="Q68" s="239"/>
      <c r="R68" s="239"/>
      <c r="S68" s="24" t="str">
        <f>IFERROR(
    IF(
        OR(ISBLANK(N68), ISBLANK(O68)),
        "",
        MAX(
            1,
            IF(
                NETWORKDAYS(N68, O68, Holiday_Dates) &lt;= 0,
                1,
                NETWORKDAYS(N68, O68, Holiday_Dates) - IF(N68 = O68, 0, 1)
            )
        )
    ),
    ""
)</f>
        <v/>
      </c>
      <c r="T68" s="24" t="str">
        <f>IF(
    OR(ISBLANK(O68), ISBLANK(P68)),
    "",
    MAX(
        1,
        IF(
            NETWORKDAYS(O68, P68, Holiday_Dates) &lt;= 0,
            1,
            NETWORKDAYS(O68, P68, Holiday_Dates) - IF(O68 = P68, 0, 1)
        )
    )
)</f>
        <v/>
      </c>
      <c r="U68" s="24" t="str">
        <f>IFERROR(
  IF(
    OR(A68="Nueva_Ecija", A68="Zambales"),
    IF(
      OR(ISBLANK(P68), ISBLANK(Q68)),
      "",
      MAX(
        1,
        IF(
          NETWORKDAYS(P68, Q68, Holiday_Dates) &lt;= 0,
          1,
          NETWORKDAYS(P68, Q68, Holiday_Dates) - IF(P68 = Q68, 0, 1)
        )
      )
    ),
    IF(
      OR(ISBLANK(O68), ISBLANK(Q68)),
      "",
      MAX(
        1,
        IF(
          NETWORKDAYS(O68, Q68, Holiday_Dates) &lt;= 0,
          1,
          NETWORKDAYS(O68, Q68, Holiday_Dates) - IF(O68 = Q68, 0, 1)
        )
      )
    )
  ),
  ""
)</f>
        <v/>
      </c>
      <c r="V68" s="24" t="str">
        <f>IFERROR(
    IF(
        OR(ISBLANK(Q68), ISBLANK(R68)),
        "",
        MAX(
            1,
            IF(
                NETWORKDAYS(Q68, R68, Holiday_Dates) &lt;= 0,
                1,
                NETWORKDAYS(Q68, R68, Holiday_Dates) - IF(Q68 = R68, 0, 1)
            )
        )
    ),
    ""
)</f>
        <v/>
      </c>
      <c r="W68" s="71"/>
      <c r="X68" s="9"/>
      <c r="Y68" s="71"/>
      <c r="Z68" s="9"/>
      <c r="AA68" s="9"/>
      <c r="AB68" s="9"/>
      <c r="AC68" s="9"/>
      <c r="AD68" s="57"/>
      <c r="AE68" s="323"/>
      <c r="AF68" s="1"/>
      <c r="AG68" s="1"/>
    </row>
    <row r="69" spans="1:33">
      <c r="A69" s="40" t="s">
        <v>49</v>
      </c>
      <c r="B69" s="245" t="s">
        <v>6141</v>
      </c>
      <c r="C69" s="246" t="s">
        <v>490</v>
      </c>
      <c r="D69" s="246" t="s">
        <v>88</v>
      </c>
      <c r="E69" s="40">
        <v>14.9322</v>
      </c>
      <c r="F69" s="247">
        <v>120.9075</v>
      </c>
      <c r="G69" s="40" t="str">
        <f>CONCATENATE(E69,",",F69)</f>
        <v>14.9322,120.9075</v>
      </c>
      <c r="H69" s="248">
        <v>44901</v>
      </c>
      <c r="I69" s="9" t="s">
        <v>63</v>
      </c>
      <c r="J69" s="9" t="s">
        <v>344</v>
      </c>
      <c r="K69" s="9"/>
      <c r="L69" s="9" t="s">
        <v>128</v>
      </c>
      <c r="M69" s="238"/>
      <c r="N69" s="239"/>
      <c r="O69" s="239"/>
      <c r="P69" s="239"/>
      <c r="Q69" s="239"/>
      <c r="R69" s="239"/>
      <c r="S69" s="24" t="str">
        <f>IFERROR(
    IF(
        OR(ISBLANK(N69), ISBLANK(O69)),
        "",
        MAX(
            1,
            IF(
                NETWORKDAYS(N69, O69, Holiday_Dates) &lt;= 0,
                1,
                NETWORKDAYS(N69, O69, Holiday_Dates) - IF(N69 = O69, 0, 1)
            )
        )
    ),
    ""
)</f>
        <v/>
      </c>
      <c r="T69" s="24" t="str">
        <f>IF(
    OR(ISBLANK(O69), ISBLANK(P69)),
    "",
    MAX(
        1,
        IF(
            NETWORKDAYS(O69, P69, Holiday_Dates) &lt;= 0,
            1,
            NETWORKDAYS(O69, P69, Holiday_Dates) - IF(O69 = P69, 0, 1)
        )
    )
)</f>
        <v/>
      </c>
      <c r="U69" s="24" t="str">
        <f>IFERROR(
  IF(
    OR(A69="Nueva_Ecija", A69="Zambales"),
    IF(
      OR(ISBLANK(P69), ISBLANK(Q69)),
      "",
      MAX(
        1,
        IF(
          NETWORKDAYS(P69, Q69, Holiday_Dates) &lt;= 0,
          1,
          NETWORKDAYS(P69, Q69, Holiday_Dates) - IF(P69 = Q69, 0, 1)
        )
      )
    ),
    IF(
      OR(ISBLANK(O69), ISBLANK(Q69)),
      "",
      MAX(
        1,
        IF(
          NETWORKDAYS(O69, Q69, Holiday_Dates) &lt;= 0,
          1,
          NETWORKDAYS(O69, Q69, Holiday_Dates) - IF(O69 = Q69, 0, 1)
        )
      )
    )
  ),
  ""
)</f>
        <v/>
      </c>
      <c r="V69" s="24" t="str">
        <f>IFERROR(
    IF(
        OR(ISBLANK(Q69), ISBLANK(R69)),
        "",
        MAX(
            1,
            IF(
                NETWORKDAYS(Q69, R69, Holiday_Dates) &lt;= 0,
                1,
                NETWORKDAYS(Q69, R69, Holiday_Dates) - IF(Q69 = R69, 0, 1)
            )
        )
    ),
    ""
)</f>
        <v/>
      </c>
      <c r="W69" s="71"/>
      <c r="X69" s="9"/>
      <c r="Y69" s="71"/>
      <c r="Z69" s="9"/>
      <c r="AA69" s="9"/>
      <c r="AB69" s="9"/>
      <c r="AC69" s="9"/>
      <c r="AD69" s="57"/>
      <c r="AE69" s="323"/>
      <c r="AF69" s="1"/>
      <c r="AG69" s="1"/>
    </row>
    <row r="70" spans="1:33">
      <c r="A70" s="40" t="s">
        <v>49</v>
      </c>
      <c r="B70" s="245" t="s">
        <v>6142</v>
      </c>
      <c r="C70" s="246" t="s">
        <v>490</v>
      </c>
      <c r="D70" s="246" t="s">
        <v>88</v>
      </c>
      <c r="E70" s="40">
        <v>14.955105379999999</v>
      </c>
      <c r="F70" s="247">
        <v>120.9455292</v>
      </c>
      <c r="G70" s="40" t="s">
        <v>6143</v>
      </c>
      <c r="H70" s="248">
        <v>44901</v>
      </c>
      <c r="I70" s="9" t="s">
        <v>63</v>
      </c>
      <c r="J70" s="9" t="s">
        <v>344</v>
      </c>
      <c r="K70" s="9"/>
      <c r="L70" s="9" t="s">
        <v>128</v>
      </c>
      <c r="M70" s="238"/>
      <c r="N70" s="239"/>
      <c r="O70" s="239"/>
      <c r="P70" s="239"/>
      <c r="Q70" s="239"/>
      <c r="R70" s="239"/>
      <c r="S70" s="24" t="str">
        <f>IFERROR(
    IF(
        OR(ISBLANK(N70), ISBLANK(O70)),
        "",
        MAX(
            1,
            IF(
                NETWORKDAYS(N70, O70, Holiday_Dates) &lt;= 0,
                1,
                NETWORKDAYS(N70, O70, Holiday_Dates) - IF(N70 = O70, 0, 1)
            )
        )
    ),
    ""
)</f>
        <v/>
      </c>
      <c r="T70" s="24" t="str">
        <f>IF(
    OR(ISBLANK(O70), ISBLANK(P70)),
    "",
    MAX(
        1,
        IF(
            NETWORKDAYS(O70, P70, Holiday_Dates) &lt;= 0,
            1,
            NETWORKDAYS(O70, P70, Holiday_Dates) - IF(O70 = P70, 0, 1)
        )
    )
)</f>
        <v/>
      </c>
      <c r="U70" s="24" t="str">
        <f>IFERROR(
  IF(
    OR(A70="Nueva_Ecija", A70="Zambales"),
    IF(
      OR(ISBLANK(P70), ISBLANK(Q70)),
      "",
      MAX(
        1,
        IF(
          NETWORKDAYS(P70, Q70, Holiday_Dates) &lt;= 0,
          1,
          NETWORKDAYS(P70, Q70, Holiday_Dates) - IF(P70 = Q70, 0, 1)
        )
      )
    ),
    IF(
      OR(ISBLANK(O70), ISBLANK(Q70)),
      "",
      MAX(
        1,
        IF(
          NETWORKDAYS(O70, Q70, Holiday_Dates) &lt;= 0,
          1,
          NETWORKDAYS(O70, Q70, Holiday_Dates) - IF(O70 = Q70, 0, 1)
        )
      )
    )
  ),
  ""
)</f>
        <v/>
      </c>
      <c r="V70" s="24" t="str">
        <f>IFERROR(
    IF(
        OR(ISBLANK(Q70), ISBLANK(R70)),
        "",
        MAX(
            1,
            IF(
                NETWORKDAYS(Q70, R70, Holiday_Dates) &lt;= 0,
                1,
                NETWORKDAYS(Q70, R70, Holiday_Dates) - IF(Q70 = R70, 0, 1)
            )
        )
    ),
    ""
)</f>
        <v/>
      </c>
      <c r="W70" s="71"/>
      <c r="X70" s="9"/>
      <c r="Y70" s="71"/>
      <c r="Z70" s="9"/>
      <c r="AA70" s="9"/>
      <c r="AB70" s="9"/>
      <c r="AC70" s="9"/>
      <c r="AD70" s="57"/>
      <c r="AE70" s="323"/>
      <c r="AF70" s="1"/>
      <c r="AG70" s="1"/>
    </row>
    <row r="71" spans="1:33">
      <c r="A71" s="40" t="s">
        <v>49</v>
      </c>
      <c r="B71" s="245" t="s">
        <v>6144</v>
      </c>
      <c r="C71" s="246" t="s">
        <v>6145</v>
      </c>
      <c r="D71" s="246" t="s">
        <v>88</v>
      </c>
      <c r="E71" s="40">
        <v>14.799087</v>
      </c>
      <c r="F71" s="247">
        <v>121.07135</v>
      </c>
      <c r="G71" s="40" t="s">
        <v>6146</v>
      </c>
      <c r="H71" s="248">
        <v>44915</v>
      </c>
      <c r="I71" s="9" t="s">
        <v>63</v>
      </c>
      <c r="J71" s="9" t="s">
        <v>136</v>
      </c>
      <c r="K71" s="9"/>
      <c r="L71" s="9" t="s">
        <v>128</v>
      </c>
      <c r="M71" s="238"/>
      <c r="N71" s="239"/>
      <c r="O71" s="239"/>
      <c r="P71" s="239"/>
      <c r="Q71" s="239"/>
      <c r="R71" s="239"/>
      <c r="S71" s="24" t="str">
        <f>IFERROR(
    IF(
        OR(ISBLANK(N71), ISBLANK(O71)),
        "",
        MAX(
            1,
            IF(
                NETWORKDAYS(N71, O71, Holiday_Dates) &lt;= 0,
                1,
                NETWORKDAYS(N71, O71, Holiday_Dates) - IF(N71 = O71, 0, 1)
            )
        )
    ),
    ""
)</f>
        <v/>
      </c>
      <c r="T71" s="24" t="str">
        <f>IF(
    OR(ISBLANK(O71), ISBLANK(P71)),
    "",
    MAX(
        1,
        IF(
            NETWORKDAYS(O71, P71, Holiday_Dates) &lt;= 0,
            1,
            NETWORKDAYS(O71, P71, Holiday_Dates) - IF(O71 = P71, 0, 1)
        )
    )
)</f>
        <v/>
      </c>
      <c r="U71" s="24" t="str">
        <f>IFERROR(
  IF(
    OR(A71="Nueva_Ecija", A71="Zambales"),
    IF(
      OR(ISBLANK(P71), ISBLANK(Q71)),
      "",
      MAX(
        1,
        IF(
          NETWORKDAYS(P71, Q71, Holiday_Dates) &lt;= 0,
          1,
          NETWORKDAYS(P71, Q71, Holiday_Dates) - IF(P71 = Q71, 0, 1)
        )
      )
    ),
    IF(
      OR(ISBLANK(O71), ISBLANK(Q71)),
      "",
      MAX(
        1,
        IF(
          NETWORKDAYS(O71, Q71, Holiday_Dates) &lt;= 0,
          1,
          NETWORKDAYS(O71, Q71, Holiday_Dates) - IF(O71 = Q71, 0, 1)
        )
      )
    )
  ),
  ""
)</f>
        <v/>
      </c>
      <c r="V71" s="24" t="str">
        <f>IFERROR(
    IF(
        OR(ISBLANK(Q71), ISBLANK(R71)),
        "",
        MAX(
            1,
            IF(
                NETWORKDAYS(Q71, R71, Holiday_Dates) &lt;= 0,
                1,
                NETWORKDAYS(Q71, R71, Holiday_Dates) - IF(Q71 = R71, 0, 1)
            )
        )
    ),
    ""
)</f>
        <v/>
      </c>
      <c r="W71" s="71"/>
      <c r="X71" s="9"/>
      <c r="Y71" s="71"/>
      <c r="Z71" s="9"/>
      <c r="AA71" s="9"/>
      <c r="AB71" s="9"/>
      <c r="AC71" s="9"/>
      <c r="AD71" s="71"/>
      <c r="AE71" s="284"/>
      <c r="AF71" s="1"/>
      <c r="AG71" s="1"/>
    </row>
    <row r="72" spans="1:33">
      <c r="A72" s="40" t="s">
        <v>49</v>
      </c>
      <c r="B72" s="245" t="s">
        <v>6147</v>
      </c>
      <c r="C72" s="246" t="s">
        <v>6145</v>
      </c>
      <c r="D72" s="246" t="s">
        <v>88</v>
      </c>
      <c r="E72" s="40">
        <v>14.809602</v>
      </c>
      <c r="F72" s="247">
        <v>121.05072</v>
      </c>
      <c r="G72" s="40" t="s">
        <v>6148</v>
      </c>
      <c r="H72" s="248">
        <v>44915</v>
      </c>
      <c r="I72" s="9" t="s">
        <v>63</v>
      </c>
      <c r="J72" s="9" t="s">
        <v>136</v>
      </c>
      <c r="K72" s="9"/>
      <c r="L72" s="9" t="s">
        <v>128</v>
      </c>
      <c r="M72" s="238"/>
      <c r="N72" s="239"/>
      <c r="O72" s="239"/>
      <c r="P72" s="239"/>
      <c r="Q72" s="239"/>
      <c r="R72" s="239"/>
      <c r="S72" s="24" t="str">
        <f>IFERROR(
    IF(
        OR(ISBLANK(N72), ISBLANK(O72)),
        "",
        MAX(
            1,
            IF(
                NETWORKDAYS(N72, O72, Holiday_Dates) &lt;= 0,
                1,
                NETWORKDAYS(N72, O72, Holiday_Dates) - IF(N72 = O72, 0, 1)
            )
        )
    ),
    ""
)</f>
        <v/>
      </c>
      <c r="T72" s="24" t="str">
        <f>IF(
    OR(ISBLANK(O72), ISBLANK(P72)),
    "",
    MAX(
        1,
        IF(
            NETWORKDAYS(O72, P72, Holiday_Dates) &lt;= 0,
            1,
            NETWORKDAYS(O72, P72, Holiday_Dates) - IF(O72 = P72, 0, 1)
        )
    )
)</f>
        <v/>
      </c>
      <c r="U72" s="24" t="str">
        <f>IFERROR(
  IF(
    OR(A72="Nueva_Ecija", A72="Zambales"),
    IF(
      OR(ISBLANK(P72), ISBLANK(Q72)),
      "",
      MAX(
        1,
        IF(
          NETWORKDAYS(P72, Q72, Holiday_Dates) &lt;= 0,
          1,
          NETWORKDAYS(P72, Q72, Holiday_Dates) - IF(P72 = Q72, 0, 1)
        )
      )
    ),
    IF(
      OR(ISBLANK(O72), ISBLANK(Q72)),
      "",
      MAX(
        1,
        IF(
          NETWORKDAYS(O72, Q72, Holiday_Dates) &lt;= 0,
          1,
          NETWORKDAYS(O72, Q72, Holiday_Dates) - IF(O72 = Q72, 0, 1)
        )
      )
    )
  ),
  ""
)</f>
        <v/>
      </c>
      <c r="V72" s="24" t="str">
        <f>IFERROR(
    IF(
        OR(ISBLANK(Q72), ISBLANK(R72)),
        "",
        MAX(
            1,
            IF(
                NETWORKDAYS(Q72, R72, Holiday_Dates) &lt;= 0,
                1,
                NETWORKDAYS(Q72, R72, Holiday_Dates) - IF(Q72 = R72, 0, 1)
            )
        )
    ),
    ""
)</f>
        <v/>
      </c>
      <c r="W72" s="71"/>
      <c r="X72" s="9"/>
      <c r="Y72" s="71"/>
      <c r="Z72" s="9"/>
      <c r="AA72" s="9"/>
      <c r="AB72" s="9"/>
      <c r="AC72" s="9"/>
      <c r="AD72" s="71"/>
      <c r="AE72" s="284"/>
      <c r="AF72" s="1"/>
      <c r="AG72" s="1"/>
    </row>
    <row r="73" spans="1:33">
      <c r="A73" s="40" t="s">
        <v>65</v>
      </c>
      <c r="B73" s="245" t="s">
        <v>6149</v>
      </c>
      <c r="C73" s="246" t="s">
        <v>6150</v>
      </c>
      <c r="D73" s="246" t="s">
        <v>88</v>
      </c>
      <c r="E73" s="40">
        <v>15.485900000000001</v>
      </c>
      <c r="F73" s="247">
        <v>120.95350000000001</v>
      </c>
      <c r="G73" s="40" t="s">
        <v>6151</v>
      </c>
      <c r="H73" s="248">
        <v>44901</v>
      </c>
      <c r="I73" s="9" t="s">
        <v>63</v>
      </c>
      <c r="J73" s="9" t="s">
        <v>141</v>
      </c>
      <c r="K73" s="9"/>
      <c r="L73" s="9" t="s">
        <v>130</v>
      </c>
      <c r="M73" s="238"/>
      <c r="N73" s="239"/>
      <c r="O73" s="239"/>
      <c r="P73" s="239"/>
      <c r="Q73" s="239"/>
      <c r="R73" s="239"/>
      <c r="S73" s="24" t="str">
        <f>IFERROR(
    IF(
        OR(ISBLANK(N73), ISBLANK(O73)),
        "",
        MAX(
            1,
            IF(
                NETWORKDAYS(N73, O73, Holiday_Dates) &lt;= 0,
                1,
                NETWORKDAYS(N73, O73, Holiday_Dates) - IF(N73 = O73, 0, 1)
            )
        )
    ),
    ""
)</f>
        <v/>
      </c>
      <c r="T73" s="24" t="str">
        <f>IF(
    OR(ISBLANK(O73), ISBLANK(P73)),
    "",
    MAX(
        1,
        IF(
            NETWORKDAYS(O73, P73, Holiday_Dates) &lt;= 0,
            1,
            NETWORKDAYS(O73, P73, Holiday_Dates) - IF(O73 = P73, 0, 1)
        )
    )
)</f>
        <v/>
      </c>
      <c r="U73" s="24" t="str">
        <f>IFERROR(
  IF(
    OR(A73="Nueva_Ecija", A73="Zambales"),
    IF(
      OR(ISBLANK(P73), ISBLANK(Q73)),
      "",
      MAX(
        1,
        IF(
          NETWORKDAYS(P73, Q73, Holiday_Dates) &lt;= 0,
          1,
          NETWORKDAYS(P73, Q73, Holiday_Dates) - IF(P73 = Q73, 0, 1)
        )
      )
    ),
    IF(
      OR(ISBLANK(O73), ISBLANK(Q73)),
      "",
      MAX(
        1,
        IF(
          NETWORKDAYS(O73, Q73, Holiday_Dates) &lt;= 0,
          1,
          NETWORKDAYS(O73, Q73, Holiday_Dates) - IF(O73 = Q73, 0, 1)
        )
      )
    )
  ),
  ""
)</f>
        <v/>
      </c>
      <c r="V73" s="24" t="str">
        <f>IFERROR(
    IF(
        OR(ISBLANK(Q73), ISBLANK(R73)),
        "",
        MAX(
            1,
            IF(
                NETWORKDAYS(Q73, R73, Holiday_Dates) &lt;= 0,
                1,
                NETWORKDAYS(Q73, R73, Holiday_Dates) - IF(Q73 = R73, 0, 1)
            )
        )
    ),
    ""
)</f>
        <v/>
      </c>
      <c r="W73" s="71"/>
      <c r="X73" s="9"/>
      <c r="Y73" s="71"/>
      <c r="Z73" s="9"/>
      <c r="AA73" s="9"/>
      <c r="AB73" s="9"/>
      <c r="AC73" s="9"/>
      <c r="AD73" s="57"/>
      <c r="AE73" s="323"/>
      <c r="AF73" s="1"/>
      <c r="AG73" s="1"/>
    </row>
    <row r="74" spans="1:33">
      <c r="A74" s="40" t="s">
        <v>65</v>
      </c>
      <c r="B74" s="245" t="s">
        <v>6152</v>
      </c>
      <c r="C74" s="246" t="s">
        <v>6150</v>
      </c>
      <c r="D74" s="246" t="s">
        <v>88</v>
      </c>
      <c r="E74" s="40">
        <v>15.4846</v>
      </c>
      <c r="F74" s="247">
        <v>120.97280000000001</v>
      </c>
      <c r="G74" s="40" t="s">
        <v>6153</v>
      </c>
      <c r="H74" s="248">
        <v>44901</v>
      </c>
      <c r="I74" s="9" t="s">
        <v>63</v>
      </c>
      <c r="J74" s="9" t="s">
        <v>141</v>
      </c>
      <c r="K74" s="9"/>
      <c r="L74" s="9" t="s">
        <v>130</v>
      </c>
      <c r="M74" s="238"/>
      <c r="N74" s="239"/>
      <c r="O74" s="239"/>
      <c r="P74" s="239"/>
      <c r="Q74" s="239"/>
      <c r="R74" s="239"/>
      <c r="S74" s="24" t="str">
        <f>IFERROR(
    IF(
        OR(ISBLANK(N74), ISBLANK(O74)),
        "",
        MAX(
            1,
            IF(
                NETWORKDAYS(N74, O74, Holiday_Dates) &lt;= 0,
                1,
                NETWORKDAYS(N74, O74, Holiday_Dates) - IF(N74 = O74, 0, 1)
            )
        )
    ),
    ""
)</f>
        <v/>
      </c>
      <c r="T74" s="24" t="str">
        <f>IF(
    OR(ISBLANK(O74), ISBLANK(P74)),
    "",
    MAX(
        1,
        IF(
            NETWORKDAYS(O74, P74, Holiday_Dates) &lt;= 0,
            1,
            NETWORKDAYS(O74, P74, Holiday_Dates) - IF(O74 = P74, 0, 1)
        )
    )
)</f>
        <v/>
      </c>
      <c r="U74" s="24" t="str">
        <f>IFERROR(
  IF(
    OR(A74="Nueva_Ecija", A74="Zambales"),
    IF(
      OR(ISBLANK(P74), ISBLANK(Q74)),
      "",
      MAX(
        1,
        IF(
          NETWORKDAYS(P74, Q74, Holiday_Dates) &lt;= 0,
          1,
          NETWORKDAYS(P74, Q74, Holiday_Dates) - IF(P74 = Q74, 0, 1)
        )
      )
    ),
    IF(
      OR(ISBLANK(O74), ISBLANK(Q74)),
      "",
      MAX(
        1,
        IF(
          NETWORKDAYS(O74, Q74, Holiday_Dates) &lt;= 0,
          1,
          NETWORKDAYS(O74, Q74, Holiday_Dates) - IF(O74 = Q74, 0, 1)
        )
      )
    )
  ),
  ""
)</f>
        <v/>
      </c>
      <c r="V74" s="24" t="str">
        <f>IFERROR(
    IF(
        OR(ISBLANK(Q74), ISBLANK(R74)),
        "",
        MAX(
            1,
            IF(
                NETWORKDAYS(Q74, R74, Holiday_Dates) &lt;= 0,
                1,
                NETWORKDAYS(Q74, R74, Holiday_Dates) - IF(Q74 = R74, 0, 1)
            )
        )
    ),
    ""
)</f>
        <v/>
      </c>
      <c r="W74" s="71"/>
      <c r="X74" s="9"/>
      <c r="Y74" s="71"/>
      <c r="Z74" s="9"/>
      <c r="AA74" s="9"/>
      <c r="AB74" s="9"/>
      <c r="AC74" s="9"/>
      <c r="AD74" s="71"/>
      <c r="AE74" s="284"/>
      <c r="AF74" s="1"/>
      <c r="AG74" s="1"/>
    </row>
    <row r="75" spans="1:33" s="33" customFormat="1">
      <c r="A75" s="40" t="s">
        <v>65</v>
      </c>
      <c r="B75" s="245" t="s">
        <v>6154</v>
      </c>
      <c r="C75" s="246" t="s">
        <v>6150</v>
      </c>
      <c r="D75" s="246" t="s">
        <v>88</v>
      </c>
      <c r="E75" s="40">
        <v>15.472770000000001</v>
      </c>
      <c r="F75" s="247">
        <v>120.95009</v>
      </c>
      <c r="G75" s="40" t="s">
        <v>6155</v>
      </c>
      <c r="H75" s="248">
        <v>44901</v>
      </c>
      <c r="I75" s="9" t="s">
        <v>63</v>
      </c>
      <c r="J75" s="9" t="s">
        <v>141</v>
      </c>
      <c r="K75" s="9"/>
      <c r="L75" s="9" t="s">
        <v>130</v>
      </c>
      <c r="M75" s="238"/>
      <c r="N75" s="239"/>
      <c r="O75" s="239"/>
      <c r="P75" s="239"/>
      <c r="Q75" s="239"/>
      <c r="R75" s="239"/>
      <c r="S75" s="24" t="str">
        <f>IFERROR(
    IF(
        OR(ISBLANK(N75), ISBLANK(O75)),
        "",
        MAX(
            1,
            IF(
                NETWORKDAYS(N75, O75, Holiday_Dates) &lt;= 0,
                1,
                NETWORKDAYS(N75, O75, Holiday_Dates) - IF(N75 = O75, 0, 1)
            )
        )
    ),
    ""
)</f>
        <v/>
      </c>
      <c r="T75" s="24" t="str">
        <f>IF(
    OR(ISBLANK(O75), ISBLANK(P75)),
    "",
    MAX(
        1,
        IF(
            NETWORKDAYS(O75, P75, Holiday_Dates) &lt;= 0,
            1,
            NETWORKDAYS(O75, P75, Holiday_Dates) - IF(O75 = P75, 0, 1)
        )
    )
)</f>
        <v/>
      </c>
      <c r="U75" s="24" t="str">
        <f>IFERROR(
  IF(
    OR(A75="Nueva_Ecija", A75="Zambales"),
    IF(
      OR(ISBLANK(P75), ISBLANK(Q75)),
      "",
      MAX(
        1,
        IF(
          NETWORKDAYS(P75, Q75, Holiday_Dates) &lt;= 0,
          1,
          NETWORKDAYS(P75, Q75, Holiday_Dates) - IF(P75 = Q75, 0, 1)
        )
      )
    ),
    IF(
      OR(ISBLANK(O75), ISBLANK(Q75)),
      "",
      MAX(
        1,
        IF(
          NETWORKDAYS(O75, Q75, Holiday_Dates) &lt;= 0,
          1,
          NETWORKDAYS(O75, Q75, Holiday_Dates) - IF(O75 = Q75, 0, 1)
        )
      )
    )
  ),
  ""
)</f>
        <v/>
      </c>
      <c r="V75" s="24" t="str">
        <f>IFERROR(
    IF(
        OR(ISBLANK(Q75), ISBLANK(R75)),
        "",
        MAX(
            1,
            IF(
                NETWORKDAYS(Q75, R75, Holiday_Dates) &lt;= 0,
                1,
                NETWORKDAYS(Q75, R75, Holiday_Dates) - IF(Q75 = R75, 0, 1)
            )
        )
    ),
    ""
)</f>
        <v/>
      </c>
      <c r="W75" s="71"/>
      <c r="X75" s="9"/>
      <c r="Y75" s="71"/>
      <c r="Z75" s="9"/>
      <c r="AA75" s="9"/>
      <c r="AB75" s="9"/>
      <c r="AC75" s="9"/>
      <c r="AD75" s="57"/>
      <c r="AE75" s="323"/>
      <c r="AF75" s="1"/>
      <c r="AG75" s="1"/>
    </row>
    <row r="76" spans="1:33" s="33" customFormat="1">
      <c r="A76" s="40" t="s">
        <v>51</v>
      </c>
      <c r="B76" s="245" t="s">
        <v>6156</v>
      </c>
      <c r="C76" s="246" t="s">
        <v>1377</v>
      </c>
      <c r="D76" s="246" t="s">
        <v>88</v>
      </c>
      <c r="E76" s="40">
        <v>15.08694</v>
      </c>
      <c r="F76" s="376">
        <v>120.62741</v>
      </c>
      <c r="G76" s="40" t="str">
        <f>CONCATENATE(E76,",",F76)</f>
        <v>15.08694,120.62741</v>
      </c>
      <c r="H76" s="248">
        <v>44904</v>
      </c>
      <c r="I76" s="9" t="s">
        <v>63</v>
      </c>
      <c r="J76" s="9" t="s">
        <v>33</v>
      </c>
      <c r="K76" s="9"/>
      <c r="L76" s="9" t="s">
        <v>239</v>
      </c>
      <c r="M76" s="31"/>
      <c r="N76" s="239"/>
      <c r="O76" s="239"/>
      <c r="P76" s="239"/>
      <c r="Q76" s="239"/>
      <c r="R76" s="239"/>
      <c r="S76" s="24" t="str">
        <f>IFERROR(
    IF(
        OR(ISBLANK(N76), ISBLANK(O76)),
        "",
        MAX(
            1,
            IF(
                NETWORKDAYS(N76, O76, Holiday_Dates) &lt;= 0,
                1,
                NETWORKDAYS(N76, O76, Holiday_Dates) - IF(N76 = O76, 0, 1)
            )
        )
    ),
    ""
)</f>
        <v/>
      </c>
      <c r="T76" s="24" t="str">
        <f>IF(
    OR(ISBLANK(O76), ISBLANK(P76)),
    "",
    MAX(
        1,
        IF(
            NETWORKDAYS(O76, P76, Holiday_Dates) &lt;= 0,
            1,
            NETWORKDAYS(O76, P76, Holiday_Dates) - IF(O76 = P76, 0, 1)
        )
    )
)</f>
        <v/>
      </c>
      <c r="U76" s="24" t="str">
        <f>IFERROR(
  IF(
    OR(A76="Nueva_Ecija", A76="Zambales"),
    IF(
      OR(ISBLANK(P76), ISBLANK(Q76)),
      "",
      MAX(
        1,
        IF(
          NETWORKDAYS(P76, Q76, Holiday_Dates) &lt;= 0,
          1,
          NETWORKDAYS(P76, Q76, Holiday_Dates) - IF(P76 = Q76, 0, 1)
        )
      )
    ),
    IF(
      OR(ISBLANK(O76), ISBLANK(Q76)),
      "",
      MAX(
        1,
        IF(
          NETWORKDAYS(O76, Q76, Holiday_Dates) &lt;= 0,
          1,
          NETWORKDAYS(O76, Q76, Holiday_Dates) - IF(O76 = Q76, 0, 1)
        )
      )
    )
  ),
  ""
)</f>
        <v/>
      </c>
      <c r="V76" s="24" t="str">
        <f>IFERROR(
    IF(
        OR(ISBLANK(Q76), ISBLANK(R76)),
        "",
        MAX(
            1,
            IF(
                NETWORKDAYS(Q76, R76, Holiday_Dates) &lt;= 0,
                1,
                NETWORKDAYS(Q76, R76, Holiday_Dates) - IF(Q76 = R76, 0, 1)
            )
        )
    ),
    ""
)</f>
        <v/>
      </c>
      <c r="W76" s="71"/>
      <c r="X76" s="9"/>
      <c r="Y76" s="71"/>
      <c r="Z76" s="9"/>
      <c r="AA76" s="9"/>
      <c r="AB76" s="9"/>
      <c r="AC76" s="9"/>
      <c r="AD76" s="57"/>
      <c r="AE76" s="6"/>
      <c r="AF76" s="1"/>
      <c r="AG76" s="1"/>
    </row>
    <row r="77" spans="1:33">
      <c r="A77" s="40" t="s">
        <v>51</v>
      </c>
      <c r="B77" s="245" t="s">
        <v>6018</v>
      </c>
      <c r="C77" s="246" t="s">
        <v>1377</v>
      </c>
      <c r="D77" s="246" t="s">
        <v>88</v>
      </c>
      <c r="E77" s="40">
        <v>15.073954000000001</v>
      </c>
      <c r="F77" s="247">
        <v>120.63764</v>
      </c>
      <c r="G77" s="40" t="str">
        <f>CONCATENATE(E77,",",F77)</f>
        <v>15.073954,120.63764</v>
      </c>
      <c r="H77" s="248">
        <v>44904</v>
      </c>
      <c r="I77" s="9" t="s">
        <v>63</v>
      </c>
      <c r="J77" s="9" t="s">
        <v>33</v>
      </c>
      <c r="K77" s="9"/>
      <c r="L77" s="9" t="s">
        <v>239</v>
      </c>
      <c r="M77" s="238"/>
      <c r="N77" s="239"/>
      <c r="O77" s="239"/>
      <c r="P77" s="239"/>
      <c r="Q77" s="239"/>
      <c r="R77" s="239"/>
      <c r="S77" s="24" t="str">
        <f>IFERROR(
    IF(
        OR(ISBLANK(N77), ISBLANK(O77)),
        "",
        MAX(
            1,
            IF(
                NETWORKDAYS(N77, O77, Holiday_Dates) &lt;= 0,
                1,
                NETWORKDAYS(N77, O77, Holiday_Dates) - IF(N77 = O77, 0, 1)
            )
        )
    ),
    ""
)</f>
        <v/>
      </c>
      <c r="T77" s="24" t="str">
        <f>IF(
    OR(ISBLANK(O77), ISBLANK(P77)),
    "",
    MAX(
        1,
        IF(
            NETWORKDAYS(O77, P77, Holiday_Dates) &lt;= 0,
            1,
            NETWORKDAYS(O77, P77, Holiday_Dates) - IF(O77 = P77, 0, 1)
        )
    )
)</f>
        <v/>
      </c>
      <c r="U77" s="24" t="str">
        <f>IFERROR(
  IF(
    OR(A77="Nueva_Ecija", A77="Zambales"),
    IF(
      OR(ISBLANK(P77), ISBLANK(Q77)),
      "",
      MAX(
        1,
        IF(
          NETWORKDAYS(P77, Q77, Holiday_Dates) &lt;= 0,
          1,
          NETWORKDAYS(P77, Q77, Holiday_Dates) - IF(P77 = Q77, 0, 1)
        )
      )
    ),
    IF(
      OR(ISBLANK(O77), ISBLANK(Q77)),
      "",
      MAX(
        1,
        IF(
          NETWORKDAYS(O77, Q77, Holiday_Dates) &lt;= 0,
          1,
          NETWORKDAYS(O77, Q77, Holiday_Dates) - IF(O77 = Q77, 0, 1)
        )
      )
    )
  ),
  ""
)</f>
        <v/>
      </c>
      <c r="V77" s="24" t="str">
        <f>IFERROR(
    IF(
        OR(ISBLANK(Q77), ISBLANK(R77)),
        "",
        MAX(
            1,
            IF(
                NETWORKDAYS(Q77, R77, Holiday_Dates) &lt;= 0,
                1,
                NETWORKDAYS(Q77, R77, Holiday_Dates) - IF(Q77 = R77, 0, 1)
            )
        )
    ),
    ""
)</f>
        <v/>
      </c>
      <c r="W77" s="71"/>
      <c r="X77" s="9"/>
      <c r="Y77" s="71"/>
      <c r="Z77" s="9"/>
      <c r="AA77" s="9"/>
      <c r="AB77" s="9"/>
      <c r="AC77" s="9"/>
      <c r="AD77" s="57"/>
      <c r="AE77" s="323"/>
      <c r="AF77" s="1"/>
      <c r="AG77" s="1"/>
    </row>
    <row r="78" spans="1:33">
      <c r="A78" s="40" t="s">
        <v>51</v>
      </c>
      <c r="B78" s="245" t="s">
        <v>6157</v>
      </c>
      <c r="C78" s="246" t="s">
        <v>1377</v>
      </c>
      <c r="D78" s="246" t="s">
        <v>88</v>
      </c>
      <c r="E78" s="40">
        <v>15.039218</v>
      </c>
      <c r="F78" s="247">
        <v>120.69381</v>
      </c>
      <c r="G78" s="40" t="s">
        <v>6158</v>
      </c>
      <c r="H78" s="248">
        <v>44904</v>
      </c>
      <c r="I78" s="9" t="s">
        <v>63</v>
      </c>
      <c r="J78" s="9" t="s">
        <v>33</v>
      </c>
      <c r="K78" s="9"/>
      <c r="L78" s="9" t="s">
        <v>239</v>
      </c>
      <c r="M78" s="7"/>
      <c r="N78" s="239"/>
      <c r="O78" s="239"/>
      <c r="P78" s="239"/>
      <c r="Q78" s="239"/>
      <c r="R78" s="239"/>
      <c r="S78" s="24" t="str">
        <f>IFERROR(
    IF(
        OR(ISBLANK(N78), ISBLANK(O78)),
        "",
        MAX(
            1,
            IF(
                NETWORKDAYS(N78, O78, Holiday_Dates) &lt;= 0,
                1,
                NETWORKDAYS(N78, O78, Holiday_Dates) - IF(N78 = O78, 0, 1)
            )
        )
    ),
    ""
)</f>
        <v/>
      </c>
      <c r="T78" s="24" t="str">
        <f>IF(
    OR(ISBLANK(O78), ISBLANK(P78)),
    "",
    MAX(
        1,
        IF(
            NETWORKDAYS(O78, P78, Holiday_Dates) &lt;= 0,
            1,
            NETWORKDAYS(O78, P78, Holiday_Dates) - IF(O78 = P78, 0, 1)
        )
    )
)</f>
        <v/>
      </c>
      <c r="U78" s="24" t="str">
        <f>IFERROR(
  IF(
    OR(A78="Nueva_Ecija", A78="Zambales"),
    IF(
      OR(ISBLANK(P78), ISBLANK(Q78)),
      "",
      MAX(
        1,
        IF(
          NETWORKDAYS(P78, Q78, Holiday_Dates) &lt;= 0,
          1,
          NETWORKDAYS(P78, Q78, Holiday_Dates) - IF(P78 = Q78, 0, 1)
        )
      )
    ),
    IF(
      OR(ISBLANK(O78), ISBLANK(Q78)),
      "",
      MAX(
        1,
        IF(
          NETWORKDAYS(O78, Q78, Holiday_Dates) &lt;= 0,
          1,
          NETWORKDAYS(O78, Q78, Holiday_Dates) - IF(O78 = Q78, 0, 1)
        )
      )
    )
  ),
  ""
)</f>
        <v/>
      </c>
      <c r="V78" s="24" t="str">
        <f>IFERROR(
    IF(
        OR(ISBLANK(Q78), ISBLANK(R78)),
        "",
        MAX(
            1,
            IF(
                NETWORKDAYS(Q78, R78, Holiday_Dates) &lt;= 0,
                1,
                NETWORKDAYS(Q78, R78, Holiday_Dates) - IF(Q78 = R78, 0, 1)
            )
        )
    ),
    ""
)</f>
        <v/>
      </c>
      <c r="W78" s="71"/>
      <c r="X78" s="9"/>
      <c r="Y78" s="71"/>
      <c r="Z78" s="9"/>
      <c r="AA78" s="9"/>
      <c r="AB78" s="9"/>
      <c r="AC78" s="9"/>
      <c r="AD78" s="71"/>
      <c r="AE78" s="284"/>
      <c r="AF78" s="1"/>
      <c r="AG78" s="1"/>
    </row>
    <row r="79" spans="1:33">
      <c r="A79" s="40" t="s">
        <v>51</v>
      </c>
      <c r="B79" s="245" t="s">
        <v>6159</v>
      </c>
      <c r="C79" s="246" t="s">
        <v>416</v>
      </c>
      <c r="D79" s="246" t="s">
        <v>88</v>
      </c>
      <c r="E79" s="40">
        <v>15.072355</v>
      </c>
      <c r="F79" s="247">
        <v>120.54201500000001</v>
      </c>
      <c r="G79" s="40" t="s">
        <v>6160</v>
      </c>
      <c r="H79" s="248">
        <v>44909</v>
      </c>
      <c r="I79" s="9" t="s">
        <v>63</v>
      </c>
      <c r="J79" s="9" t="s">
        <v>33</v>
      </c>
      <c r="K79" s="9"/>
      <c r="L79" s="9" t="s">
        <v>239</v>
      </c>
      <c r="M79" s="238"/>
      <c r="N79" s="239"/>
      <c r="O79" s="239"/>
      <c r="P79" s="239"/>
      <c r="Q79" s="239"/>
      <c r="R79" s="239"/>
      <c r="S79" s="24" t="str">
        <f>IFERROR(
    IF(
        OR(ISBLANK(N79), ISBLANK(O79)),
        "",
        MAX(
            1,
            IF(
                NETWORKDAYS(N79, O79, Holiday_Dates) &lt;= 0,
                1,
                NETWORKDAYS(N79, O79, Holiday_Dates) - IF(N79 = O79, 0, 1)
            )
        )
    ),
    ""
)</f>
        <v/>
      </c>
      <c r="T79" s="24" t="str">
        <f>IF(
    OR(ISBLANK(O79), ISBLANK(P79)),
    "",
    MAX(
        1,
        IF(
            NETWORKDAYS(O79, P79, Holiday_Dates) &lt;= 0,
            1,
            NETWORKDAYS(O79, P79, Holiday_Dates) - IF(O79 = P79, 0, 1)
        )
    )
)</f>
        <v/>
      </c>
      <c r="U79" s="24" t="str">
        <f>IFERROR(
  IF(
    OR(A79="Nueva_Ecija", A79="Zambales"),
    IF(
      OR(ISBLANK(P79), ISBLANK(Q79)),
      "",
      MAX(
        1,
        IF(
          NETWORKDAYS(P79, Q79, Holiday_Dates) &lt;= 0,
          1,
          NETWORKDAYS(P79, Q79, Holiday_Dates) - IF(P79 = Q79, 0, 1)
        )
      )
    ),
    IF(
      OR(ISBLANK(O79), ISBLANK(Q79)),
      "",
      MAX(
        1,
        IF(
          NETWORKDAYS(O79, Q79, Holiday_Dates) &lt;= 0,
          1,
          NETWORKDAYS(O79, Q79, Holiday_Dates) - IF(O79 = Q79, 0, 1)
        )
      )
    )
  ),
  ""
)</f>
        <v/>
      </c>
      <c r="V79" s="24" t="str">
        <f>IFERROR(
    IF(
        OR(ISBLANK(Q79), ISBLANK(R79)),
        "",
        MAX(
            1,
            IF(
                NETWORKDAYS(Q79, R79, Holiday_Dates) &lt;= 0,
                1,
                NETWORKDAYS(Q79, R79, Holiday_Dates) - IF(Q79 = R79, 0, 1)
            )
        )
    ),
    ""
)</f>
        <v/>
      </c>
      <c r="W79" s="71"/>
      <c r="X79" s="9"/>
      <c r="Y79" s="71"/>
      <c r="Z79" s="9"/>
      <c r="AA79" s="9"/>
      <c r="AB79" s="9"/>
      <c r="AC79" s="9"/>
      <c r="AD79" s="57"/>
      <c r="AE79" s="57"/>
      <c r="AF79" s="1"/>
      <c r="AG79" s="1"/>
    </row>
    <row r="80" spans="1:33">
      <c r="A80" s="40" t="s">
        <v>51</v>
      </c>
      <c r="B80" s="245" t="s">
        <v>6159</v>
      </c>
      <c r="C80" s="246" t="s">
        <v>416</v>
      </c>
      <c r="D80" s="246" t="s">
        <v>88</v>
      </c>
      <c r="E80" s="40">
        <v>15.072430000000001</v>
      </c>
      <c r="F80" s="247">
        <v>120.54197000000001</v>
      </c>
      <c r="G80" s="40" t="str">
        <f>CONCATENATE(E80,",",F80)</f>
        <v>15.07243,120.54197</v>
      </c>
      <c r="H80" s="248">
        <v>44909</v>
      </c>
      <c r="I80" s="9" t="s">
        <v>63</v>
      </c>
      <c r="J80" s="9" t="s">
        <v>33</v>
      </c>
      <c r="K80" s="9"/>
      <c r="L80" s="9" t="s">
        <v>239</v>
      </c>
      <c r="M80" s="238"/>
      <c r="N80" s="239"/>
      <c r="O80" s="239"/>
      <c r="P80" s="239"/>
      <c r="Q80" s="239"/>
      <c r="R80" s="239"/>
      <c r="S80" s="24" t="str">
        <f>IFERROR(
    IF(
        OR(ISBLANK(N80), ISBLANK(O80)),
        "",
        MAX(
            1,
            IF(
                NETWORKDAYS(N80, O80, Holiday_Dates) &lt;= 0,
                1,
                NETWORKDAYS(N80, O80, Holiday_Dates) - IF(N80 = O80, 0, 1)
            )
        )
    ),
    ""
)</f>
        <v/>
      </c>
      <c r="T80" s="24" t="str">
        <f>IF(
    OR(ISBLANK(O80), ISBLANK(P80)),
    "",
    MAX(
        1,
        IF(
            NETWORKDAYS(O80, P80, Holiday_Dates) &lt;= 0,
            1,
            NETWORKDAYS(O80, P80, Holiday_Dates) - IF(O80 = P80, 0, 1)
        )
    )
)</f>
        <v/>
      </c>
      <c r="U80" s="24" t="str">
        <f>IFERROR(
  IF(
    OR(A80="Nueva_Ecija", A80="Zambales"),
    IF(
      OR(ISBLANK(P80), ISBLANK(Q80)),
      "",
      MAX(
        1,
        IF(
          NETWORKDAYS(P80, Q80, Holiday_Dates) &lt;= 0,
          1,
          NETWORKDAYS(P80, Q80, Holiday_Dates) - IF(P80 = Q80, 0, 1)
        )
      )
    ),
    IF(
      OR(ISBLANK(O80), ISBLANK(Q80)),
      "",
      MAX(
        1,
        IF(
          NETWORKDAYS(O80, Q80, Holiday_Dates) &lt;= 0,
          1,
          NETWORKDAYS(O80, Q80, Holiday_Dates) - IF(O80 = Q80, 0, 1)
        )
      )
    )
  ),
  ""
)</f>
        <v/>
      </c>
      <c r="V80" s="24" t="str">
        <f>IFERROR(
    IF(
        OR(ISBLANK(Q80), ISBLANK(R80)),
        "",
        MAX(
            1,
            IF(
                NETWORKDAYS(Q80, R80, Holiday_Dates) &lt;= 0,
                1,
                NETWORKDAYS(Q80, R80, Holiday_Dates) - IF(Q80 = R80, 0, 1)
            )
        )
    ),
    ""
)</f>
        <v/>
      </c>
      <c r="W80" s="71"/>
      <c r="X80" s="9"/>
      <c r="Y80" s="71"/>
      <c r="Z80" s="9"/>
      <c r="AA80" s="9"/>
      <c r="AB80" s="9"/>
      <c r="AC80" s="9"/>
      <c r="AD80" s="57"/>
      <c r="AE80" s="57"/>
      <c r="AF80" s="1"/>
      <c r="AG80" s="1"/>
    </row>
    <row r="81" spans="1:33">
      <c r="A81" s="40" t="s">
        <v>51</v>
      </c>
      <c r="B81" s="245" t="s">
        <v>6161</v>
      </c>
      <c r="C81" s="246" t="s">
        <v>418</v>
      </c>
      <c r="D81" s="246" t="s">
        <v>88</v>
      </c>
      <c r="E81" s="40">
        <v>15.061400000000001</v>
      </c>
      <c r="F81" s="247">
        <v>120.8172</v>
      </c>
      <c r="G81" s="40" t="str">
        <f>CONCATENATE(E81,",",F81)</f>
        <v>15.0614,120.8172</v>
      </c>
      <c r="H81" s="248">
        <v>44915</v>
      </c>
      <c r="I81" s="9" t="s">
        <v>63</v>
      </c>
      <c r="J81" s="9" t="s">
        <v>34</v>
      </c>
      <c r="K81" s="9"/>
      <c r="L81" s="9" t="s">
        <v>239</v>
      </c>
      <c r="M81" s="238"/>
      <c r="N81" s="239"/>
      <c r="O81" s="239"/>
      <c r="P81" s="239"/>
      <c r="Q81" s="239"/>
      <c r="R81" s="239"/>
      <c r="S81" s="24" t="str">
        <f>IFERROR(
    IF(
        OR(ISBLANK(N81), ISBLANK(O81)),
        "",
        MAX(
            1,
            IF(
                NETWORKDAYS(N81, O81, Holiday_Dates) &lt;= 0,
                1,
                NETWORKDAYS(N81, O81, Holiday_Dates) - IF(N81 = O81, 0, 1)
            )
        )
    ),
    ""
)</f>
        <v/>
      </c>
      <c r="T81" s="24" t="str">
        <f>IF(
    OR(ISBLANK(O81), ISBLANK(P81)),
    "",
    MAX(
        1,
        IF(
            NETWORKDAYS(O81, P81, Holiday_Dates) &lt;= 0,
            1,
            NETWORKDAYS(O81, P81, Holiday_Dates) - IF(O81 = P81, 0, 1)
        )
    )
)</f>
        <v/>
      </c>
      <c r="U81" s="24" t="str">
        <f>IFERROR(
  IF(
    OR(A81="Nueva_Ecija", A81="Zambales"),
    IF(
      OR(ISBLANK(P81), ISBLANK(Q81)),
      "",
      MAX(
        1,
        IF(
          NETWORKDAYS(P81, Q81, Holiday_Dates) &lt;= 0,
          1,
          NETWORKDAYS(P81, Q81, Holiday_Dates) - IF(P81 = Q81, 0, 1)
        )
      )
    ),
    IF(
      OR(ISBLANK(O81), ISBLANK(Q81)),
      "",
      MAX(
        1,
        IF(
          NETWORKDAYS(O81, Q81, Holiday_Dates) &lt;= 0,
          1,
          NETWORKDAYS(O81, Q81, Holiday_Dates) - IF(O81 = Q81, 0, 1)
        )
      )
    )
  ),
  ""
)</f>
        <v/>
      </c>
      <c r="V81" s="24" t="str">
        <f>IFERROR(
    IF(
        OR(ISBLANK(Q81), ISBLANK(R81)),
        "",
        MAX(
            1,
            IF(
                NETWORKDAYS(Q81, R81, Holiday_Dates) &lt;= 0,
                1,
                NETWORKDAYS(Q81, R81, Holiday_Dates) - IF(Q81 = R81, 0, 1)
            )
        )
    ),
    ""
)</f>
        <v/>
      </c>
      <c r="W81" s="71"/>
      <c r="X81" s="9"/>
      <c r="Y81" s="71"/>
      <c r="Z81" s="9"/>
      <c r="AA81" s="9"/>
      <c r="AB81" s="9"/>
      <c r="AC81" s="9"/>
      <c r="AD81" s="57"/>
      <c r="AE81" s="57"/>
      <c r="AF81" s="1"/>
      <c r="AG81" s="1"/>
    </row>
    <row r="82" spans="1:33">
      <c r="A82" s="40" t="s">
        <v>51</v>
      </c>
      <c r="B82" s="245" t="s">
        <v>6161</v>
      </c>
      <c r="C82" s="246" t="s">
        <v>418</v>
      </c>
      <c r="D82" s="246" t="s">
        <v>88</v>
      </c>
      <c r="E82" s="40">
        <v>15.061480100000001</v>
      </c>
      <c r="F82" s="247">
        <v>120.81720799999999</v>
      </c>
      <c r="G82" s="40" t="s">
        <v>6162</v>
      </c>
      <c r="H82" s="248">
        <v>44915</v>
      </c>
      <c r="I82" s="9" t="s">
        <v>63</v>
      </c>
      <c r="J82" s="9" t="s">
        <v>34</v>
      </c>
      <c r="K82" s="9"/>
      <c r="L82" s="9" t="s">
        <v>239</v>
      </c>
      <c r="M82" s="238"/>
      <c r="N82" s="239"/>
      <c r="O82" s="239"/>
      <c r="P82" s="239"/>
      <c r="Q82" s="239"/>
      <c r="R82" s="239"/>
      <c r="S82" s="24" t="str">
        <f>IFERROR(
    IF(
        OR(ISBLANK(N82), ISBLANK(O82)),
        "",
        MAX(
            1,
            IF(
                NETWORKDAYS(N82, O82, Holiday_Dates) &lt;= 0,
                1,
                NETWORKDAYS(N82, O82, Holiday_Dates) - IF(N82 = O82, 0, 1)
            )
        )
    ),
    ""
)</f>
        <v/>
      </c>
      <c r="T82" s="24" t="str">
        <f>IF(
    OR(ISBLANK(O82), ISBLANK(P82)),
    "",
    MAX(
        1,
        IF(
            NETWORKDAYS(O82, P82, Holiday_Dates) &lt;= 0,
            1,
            NETWORKDAYS(O82, P82, Holiday_Dates) - IF(O82 = P82, 0, 1)
        )
    )
)</f>
        <v/>
      </c>
      <c r="U82" s="24" t="str">
        <f>IFERROR(
  IF(
    OR(A82="Nueva_Ecija", A82="Zambales"),
    IF(
      OR(ISBLANK(P82), ISBLANK(Q82)),
      "",
      MAX(
        1,
        IF(
          NETWORKDAYS(P82, Q82, Holiday_Dates) &lt;= 0,
          1,
          NETWORKDAYS(P82, Q82, Holiday_Dates) - IF(P82 = Q82, 0, 1)
        )
      )
    ),
    IF(
      OR(ISBLANK(O82), ISBLANK(Q82)),
      "",
      MAX(
        1,
        IF(
          NETWORKDAYS(O82, Q82, Holiday_Dates) &lt;= 0,
          1,
          NETWORKDAYS(O82, Q82, Holiday_Dates) - IF(O82 = Q82, 0, 1)
        )
      )
    )
  ),
  ""
)</f>
        <v/>
      </c>
      <c r="V82" s="24" t="str">
        <f>IFERROR(
    IF(
        OR(ISBLANK(Q82), ISBLANK(R82)),
        "",
        MAX(
            1,
            IF(
                NETWORKDAYS(Q82, R82, Holiday_Dates) &lt;= 0,
                1,
                NETWORKDAYS(Q82, R82, Holiday_Dates) - IF(Q82 = R82, 0, 1)
            )
        )
    ),
    ""
)</f>
        <v/>
      </c>
      <c r="W82" s="71"/>
      <c r="X82" s="9"/>
      <c r="Y82" s="71"/>
      <c r="Z82" s="9"/>
      <c r="AA82" s="9"/>
      <c r="AB82" s="9"/>
      <c r="AC82" s="9"/>
      <c r="AD82" s="57"/>
      <c r="AE82" s="57"/>
      <c r="AF82" s="1"/>
      <c r="AG82" s="1"/>
    </row>
    <row r="83" spans="1:33">
      <c r="A83" s="40" t="s">
        <v>49</v>
      </c>
      <c r="B83" s="245" t="s">
        <v>6163</v>
      </c>
      <c r="C83" s="246" t="s">
        <v>707</v>
      </c>
      <c r="D83" s="246" t="s">
        <v>88</v>
      </c>
      <c r="E83" s="40">
        <v>14.787118599999999</v>
      </c>
      <c r="F83" s="247">
        <v>120.9293942</v>
      </c>
      <c r="G83" s="40" t="s">
        <v>6164</v>
      </c>
      <c r="H83" s="248">
        <v>44901</v>
      </c>
      <c r="I83" s="9" t="s">
        <v>64</v>
      </c>
      <c r="J83" s="9" t="s">
        <v>6038</v>
      </c>
      <c r="K83" s="9"/>
      <c r="L83" s="9" t="s">
        <v>128</v>
      </c>
      <c r="M83" s="238"/>
      <c r="N83" s="239"/>
      <c r="O83" s="239"/>
      <c r="P83" s="239"/>
      <c r="Q83" s="239"/>
      <c r="R83" s="239"/>
      <c r="S83" s="24" t="str">
        <f>IFERROR(
    IF(
        OR(ISBLANK(N83), ISBLANK(O83)),
        "",
        MAX(
            1,
            IF(
                NETWORKDAYS(N83, O83, Holiday_Dates) &lt;= 0,
                1,
                NETWORKDAYS(N83, O83, Holiday_Dates) - IF(N83 = O83, 0, 1)
            )
        )
    ),
    ""
)</f>
        <v/>
      </c>
      <c r="T83" s="24" t="str">
        <f>IF(
    OR(ISBLANK(O83), ISBLANK(P83)),
    "",
    MAX(
        1,
        IF(
            NETWORKDAYS(O83, P83, Holiday_Dates) &lt;= 0,
            1,
            NETWORKDAYS(O83, P83, Holiday_Dates) - IF(O83 = P83, 0, 1)
        )
    )
)</f>
        <v/>
      </c>
      <c r="U83" s="24" t="str">
        <f>IFERROR(
  IF(
    OR(A83="Nueva_Ecija", A83="Zambales"),
    IF(
      OR(ISBLANK(P83), ISBLANK(Q83)),
      "",
      MAX(
        1,
        IF(
          NETWORKDAYS(P83, Q83, Holiday_Dates) &lt;= 0,
          1,
          NETWORKDAYS(P83, Q83, Holiday_Dates) - IF(P83 = Q83, 0, 1)
        )
      )
    ),
    IF(
      OR(ISBLANK(O83), ISBLANK(Q83)),
      "",
      MAX(
        1,
        IF(
          NETWORKDAYS(O83, Q83, Holiday_Dates) &lt;= 0,
          1,
          NETWORKDAYS(O83, Q83, Holiday_Dates) - IF(O83 = Q83, 0, 1)
        )
      )
    )
  ),
  ""
)</f>
        <v/>
      </c>
      <c r="V83" s="24" t="str">
        <f>IFERROR(
    IF(
        OR(ISBLANK(Q83), ISBLANK(R83)),
        "",
        MAX(
            1,
            IF(
                NETWORKDAYS(Q83, R83, Holiday_Dates) &lt;= 0,
                1,
                NETWORKDAYS(Q83, R83, Holiday_Dates) - IF(Q83 = R83, 0, 1)
            )
        )
    ),
    ""
)</f>
        <v/>
      </c>
      <c r="W83" s="71"/>
      <c r="X83" s="9"/>
      <c r="Y83" s="71"/>
      <c r="Z83" s="9"/>
      <c r="AA83" s="9"/>
      <c r="AB83" s="9"/>
      <c r="AC83" s="9"/>
      <c r="AD83" s="71"/>
      <c r="AE83" s="380"/>
      <c r="AF83" s="1"/>
      <c r="AG83" s="1"/>
    </row>
    <row r="84" spans="1:33">
      <c r="A84" s="40" t="s">
        <v>49</v>
      </c>
      <c r="B84" s="245" t="s">
        <v>6165</v>
      </c>
      <c r="C84" s="246" t="s">
        <v>492</v>
      </c>
      <c r="D84" s="246" t="s">
        <v>88</v>
      </c>
      <c r="E84" s="40">
        <v>14.920400539999999</v>
      </c>
      <c r="F84" s="247">
        <v>120.76576738</v>
      </c>
      <c r="G84" s="40" t="s">
        <v>6166</v>
      </c>
      <c r="H84" s="248">
        <v>44915</v>
      </c>
      <c r="I84" s="9" t="s">
        <v>64</v>
      </c>
      <c r="J84" s="9" t="s">
        <v>344</v>
      </c>
      <c r="K84" s="9"/>
      <c r="L84" s="9" t="s">
        <v>128</v>
      </c>
      <c r="M84" s="238"/>
      <c r="N84" s="239"/>
      <c r="O84" s="239"/>
      <c r="P84" s="239"/>
      <c r="Q84" s="239"/>
      <c r="R84" s="239"/>
      <c r="S84" s="24" t="str">
        <f>IFERROR(
    IF(
        OR(ISBLANK(N84), ISBLANK(O84)),
        "",
        MAX(
            1,
            IF(
                NETWORKDAYS(N84, O84, Holiday_Dates) &lt;= 0,
                1,
                NETWORKDAYS(N84, O84, Holiday_Dates) - IF(N84 = O84, 0, 1)
            )
        )
    ),
    ""
)</f>
        <v/>
      </c>
      <c r="T84" s="24" t="str">
        <f>IF(
    OR(ISBLANK(O84), ISBLANK(P84)),
    "",
    MAX(
        1,
        IF(
            NETWORKDAYS(O84, P84, Holiday_Dates) &lt;= 0,
            1,
            NETWORKDAYS(O84, P84, Holiday_Dates) - IF(O84 = P84, 0, 1)
        )
    )
)</f>
        <v/>
      </c>
      <c r="U84" s="24" t="str">
        <f>IFERROR(
  IF(
    OR(A84="Nueva_Ecija", A84="Zambales"),
    IF(
      OR(ISBLANK(P84), ISBLANK(Q84)),
      "",
      MAX(
        1,
        IF(
          NETWORKDAYS(P84, Q84, Holiday_Dates) &lt;= 0,
          1,
          NETWORKDAYS(P84, Q84, Holiday_Dates) - IF(P84 = Q84, 0, 1)
        )
      )
    ),
    IF(
      OR(ISBLANK(O84), ISBLANK(Q84)),
      "",
      MAX(
        1,
        IF(
          NETWORKDAYS(O84, Q84, Holiday_Dates) &lt;= 0,
          1,
          NETWORKDAYS(O84, Q84, Holiday_Dates) - IF(O84 = Q84, 0, 1)
        )
      )
    )
  ),
  ""
)</f>
        <v/>
      </c>
      <c r="V84" s="24" t="str">
        <f>IFERROR(
    IF(
        OR(ISBLANK(Q84), ISBLANK(R84)),
        "",
        MAX(
            1,
            IF(
                NETWORKDAYS(Q84, R84, Holiday_Dates) &lt;= 0,
                1,
                NETWORKDAYS(Q84, R84, Holiday_Dates) - IF(Q84 = R84, 0, 1)
            )
        )
    ),
    ""
)</f>
        <v/>
      </c>
      <c r="W84" s="71"/>
      <c r="X84" s="9"/>
      <c r="Y84" s="71"/>
      <c r="Z84" s="9"/>
      <c r="AA84" s="9"/>
      <c r="AB84" s="9"/>
      <c r="AC84" s="9"/>
      <c r="AD84" s="71"/>
      <c r="AE84" s="284"/>
      <c r="AF84" s="1"/>
      <c r="AG84" s="1"/>
    </row>
    <row r="85" spans="1:33">
      <c r="A85" s="40" t="s">
        <v>49</v>
      </c>
      <c r="B85" s="245" t="s">
        <v>6167</v>
      </c>
      <c r="C85" s="246" t="s">
        <v>497</v>
      </c>
      <c r="D85" s="246" t="s">
        <v>88</v>
      </c>
      <c r="E85" s="40">
        <v>14.839764000000001</v>
      </c>
      <c r="F85" s="247">
        <v>120.880842</v>
      </c>
      <c r="G85" s="40" t="s">
        <v>6168</v>
      </c>
      <c r="H85" s="248">
        <v>44915</v>
      </c>
      <c r="I85" s="9" t="s">
        <v>64</v>
      </c>
      <c r="J85" s="9" t="s">
        <v>6038</v>
      </c>
      <c r="K85" s="9"/>
      <c r="L85" s="9" t="s">
        <v>128</v>
      </c>
      <c r="M85" s="238"/>
      <c r="N85" s="239"/>
      <c r="O85" s="239"/>
      <c r="P85" s="239"/>
      <c r="Q85" s="239"/>
      <c r="R85" s="239"/>
      <c r="S85" s="24" t="str">
        <f>IFERROR(
    IF(
        OR(ISBLANK(N85), ISBLANK(O85)),
        "",
        MAX(
            1,
            IF(
                NETWORKDAYS(N85, O85, Holiday_Dates) &lt;= 0,
                1,
                NETWORKDAYS(N85, O85, Holiday_Dates) - IF(N85 = O85, 0, 1)
            )
        )
    ),
    ""
)</f>
        <v/>
      </c>
      <c r="T85" s="24" t="str">
        <f>IF(
    OR(ISBLANK(O85), ISBLANK(P85)),
    "",
    MAX(
        1,
        IF(
            NETWORKDAYS(O85, P85, Holiday_Dates) &lt;= 0,
            1,
            NETWORKDAYS(O85, P85, Holiday_Dates) - IF(O85 = P85, 0, 1)
        )
    )
)</f>
        <v/>
      </c>
      <c r="U85" s="24" t="str">
        <f>IFERROR(
  IF(
    OR(A85="Nueva_Ecija", A85="Zambales"),
    IF(
      OR(ISBLANK(P85), ISBLANK(Q85)),
      "",
      MAX(
        1,
        IF(
          NETWORKDAYS(P85, Q85, Holiday_Dates) &lt;= 0,
          1,
          NETWORKDAYS(P85, Q85, Holiday_Dates) - IF(P85 = Q85, 0, 1)
        )
      )
    ),
    IF(
      OR(ISBLANK(O85), ISBLANK(Q85)),
      "",
      MAX(
        1,
        IF(
          NETWORKDAYS(O85, Q85, Holiday_Dates) &lt;= 0,
          1,
          NETWORKDAYS(O85, Q85, Holiday_Dates) - IF(O85 = Q85, 0, 1)
        )
      )
    )
  ),
  ""
)</f>
        <v/>
      </c>
      <c r="V85" s="24" t="str">
        <f>IFERROR(
    IF(
        OR(ISBLANK(Q85), ISBLANK(R85)),
        "",
        MAX(
            1,
            IF(
                NETWORKDAYS(Q85, R85, Holiday_Dates) &lt;= 0,
                1,
                NETWORKDAYS(Q85, R85, Holiday_Dates) - IF(Q85 = R85, 0, 1)
            )
        )
    ),
    ""
)</f>
        <v/>
      </c>
      <c r="W85" s="71"/>
      <c r="X85" s="9"/>
      <c r="Y85" s="71"/>
      <c r="Z85" s="9"/>
      <c r="AA85" s="9"/>
      <c r="AB85" s="9"/>
      <c r="AC85" s="9"/>
      <c r="AD85" s="57"/>
      <c r="AE85" s="323"/>
      <c r="AF85" s="1"/>
      <c r="AG85" s="1"/>
    </row>
    <row r="86" spans="1:33">
      <c r="A86" s="40" t="s">
        <v>49</v>
      </c>
      <c r="B86" s="245" t="s">
        <v>6167</v>
      </c>
      <c r="C86" s="246" t="s">
        <v>497</v>
      </c>
      <c r="D86" s="246" t="s">
        <v>88</v>
      </c>
      <c r="E86" s="40">
        <v>14.839764000000001</v>
      </c>
      <c r="F86" s="247">
        <v>120.880842</v>
      </c>
      <c r="G86" s="40" t="s">
        <v>6168</v>
      </c>
      <c r="H86" s="248">
        <v>44915</v>
      </c>
      <c r="I86" s="9" t="s">
        <v>64</v>
      </c>
      <c r="J86" s="9" t="s">
        <v>6038</v>
      </c>
      <c r="K86" s="9"/>
      <c r="L86" s="9" t="s">
        <v>128</v>
      </c>
      <c r="M86" s="238"/>
      <c r="N86" s="239"/>
      <c r="O86" s="239"/>
      <c r="P86" s="239"/>
      <c r="Q86" s="239"/>
      <c r="R86" s="239"/>
      <c r="S86" s="24" t="str">
        <f>IFERROR(
    IF(
        OR(ISBLANK(N86), ISBLANK(O86)),
        "",
        MAX(
            1,
            IF(
                NETWORKDAYS(N86, O86, Holiday_Dates) &lt;= 0,
                1,
                NETWORKDAYS(N86, O86, Holiday_Dates) - IF(N86 = O86, 0, 1)
            )
        )
    ),
    ""
)</f>
        <v/>
      </c>
      <c r="T86" s="24" t="str">
        <f>IF(
    OR(ISBLANK(O86), ISBLANK(P86)),
    "",
    MAX(
        1,
        IF(
            NETWORKDAYS(O86, P86, Holiday_Dates) &lt;= 0,
            1,
            NETWORKDAYS(O86, P86, Holiday_Dates) - IF(O86 = P86, 0, 1)
        )
    )
)</f>
        <v/>
      </c>
      <c r="U86" s="24" t="str">
        <f>IFERROR(
  IF(
    OR(A86="Nueva_Ecija", A86="Zambales"),
    IF(
      OR(ISBLANK(P86), ISBLANK(Q86)),
      "",
      MAX(
        1,
        IF(
          NETWORKDAYS(P86, Q86, Holiday_Dates) &lt;= 0,
          1,
          NETWORKDAYS(P86, Q86, Holiday_Dates) - IF(P86 = Q86, 0, 1)
        )
      )
    ),
    IF(
      OR(ISBLANK(O86), ISBLANK(Q86)),
      "",
      MAX(
        1,
        IF(
          NETWORKDAYS(O86, Q86, Holiday_Dates) &lt;= 0,
          1,
          NETWORKDAYS(O86, Q86, Holiday_Dates) - IF(O86 = Q86, 0, 1)
        )
      )
    )
  ),
  ""
)</f>
        <v/>
      </c>
      <c r="V86" s="24" t="str">
        <f>IFERROR(
    IF(
        OR(ISBLANK(Q86), ISBLANK(R86)),
        "",
        MAX(
            1,
            IF(
                NETWORKDAYS(Q86, R86, Holiday_Dates) &lt;= 0,
                1,
                NETWORKDAYS(Q86, R86, Holiday_Dates) - IF(Q86 = R86, 0, 1)
            )
        )
    ),
    ""
)</f>
        <v/>
      </c>
      <c r="W86" s="71"/>
      <c r="X86" s="9"/>
      <c r="Y86" s="71"/>
      <c r="Z86" s="9"/>
      <c r="AA86" s="9"/>
      <c r="AB86" s="9"/>
      <c r="AC86" s="9"/>
      <c r="AD86" s="57"/>
      <c r="AE86" s="323"/>
      <c r="AF86" s="1"/>
      <c r="AG86" s="1"/>
    </row>
    <row r="87" spans="1:33">
      <c r="A87" s="40" t="s">
        <v>49</v>
      </c>
      <c r="B87" s="245" t="s">
        <v>6169</v>
      </c>
      <c r="C87" s="246" t="s">
        <v>501</v>
      </c>
      <c r="D87" s="246" t="s">
        <v>88</v>
      </c>
      <c r="E87" s="40">
        <v>14.835699999999999</v>
      </c>
      <c r="F87" s="247">
        <v>120.78</v>
      </c>
      <c r="G87" s="40" t="str">
        <f>_xlfn.CONCAT(E87:F87)</f>
        <v>14.8357120.78</v>
      </c>
      <c r="H87" s="248">
        <v>44915</v>
      </c>
      <c r="I87" s="9" t="s">
        <v>64</v>
      </c>
      <c r="J87" s="9" t="s">
        <v>344</v>
      </c>
      <c r="K87" s="9"/>
      <c r="L87" s="9" t="s">
        <v>128</v>
      </c>
      <c r="M87" s="238"/>
      <c r="N87" s="239"/>
      <c r="O87" s="239"/>
      <c r="P87" s="239"/>
      <c r="Q87" s="239"/>
      <c r="R87" s="239"/>
      <c r="S87" s="24" t="str">
        <f>IFERROR(
    IF(
        OR(ISBLANK(N87), ISBLANK(O87)),
        "",
        MAX(
            1,
            IF(
                NETWORKDAYS(N87, O87, Holiday_Dates) &lt;= 0,
                1,
                NETWORKDAYS(N87, O87, Holiday_Dates) - IF(N87 = O87, 0, 1)
            )
        )
    ),
    ""
)</f>
        <v/>
      </c>
      <c r="T87" s="24" t="str">
        <f>IF(
    OR(ISBLANK(O87), ISBLANK(P87)),
    "",
    MAX(
        1,
        IF(
            NETWORKDAYS(O87, P87, Holiday_Dates) &lt;= 0,
            1,
            NETWORKDAYS(O87, P87, Holiday_Dates) - IF(O87 = P87, 0, 1)
        )
    )
)</f>
        <v/>
      </c>
      <c r="U87" s="24" t="str">
        <f>IFERROR(
  IF(
    OR(A87="Nueva_Ecija", A87="Zambales"),
    IF(
      OR(ISBLANK(P87), ISBLANK(Q87)),
      "",
      MAX(
        1,
        IF(
          NETWORKDAYS(P87, Q87, Holiday_Dates) &lt;= 0,
          1,
          NETWORKDAYS(P87, Q87, Holiday_Dates) - IF(P87 = Q87, 0, 1)
        )
      )
    ),
    IF(
      OR(ISBLANK(O87), ISBLANK(Q87)),
      "",
      MAX(
        1,
        IF(
          NETWORKDAYS(O87, Q87, Holiday_Dates) &lt;= 0,
          1,
          NETWORKDAYS(O87, Q87, Holiday_Dates) - IF(O87 = Q87, 0, 1)
        )
      )
    )
  ),
  ""
)</f>
        <v/>
      </c>
      <c r="V87" s="24" t="str">
        <f>IFERROR(
    IF(
        OR(ISBLANK(Q87), ISBLANK(R87)),
        "",
        MAX(
            1,
            IF(
                NETWORKDAYS(Q87, R87, Holiday_Dates) &lt;= 0,
                1,
                NETWORKDAYS(Q87, R87, Holiday_Dates) - IF(Q87 = R87, 0, 1)
            )
        )
    ),
    ""
)</f>
        <v/>
      </c>
      <c r="W87" s="71"/>
      <c r="X87" s="9"/>
      <c r="Y87" s="71"/>
      <c r="Z87" s="9"/>
      <c r="AA87" s="9"/>
      <c r="AB87" s="9"/>
      <c r="AC87" s="6"/>
      <c r="AD87" s="57"/>
      <c r="AE87" s="379"/>
      <c r="AF87" s="1"/>
      <c r="AG87" s="1"/>
    </row>
    <row r="88" spans="1:33">
      <c r="A88" s="40" t="s">
        <v>49</v>
      </c>
      <c r="B88" s="245" t="s">
        <v>6169</v>
      </c>
      <c r="C88" s="246" t="s">
        <v>501</v>
      </c>
      <c r="D88" s="246" t="s">
        <v>88</v>
      </c>
      <c r="E88" s="40">
        <v>14.838900000000001</v>
      </c>
      <c r="F88" s="247">
        <v>120.7799</v>
      </c>
      <c r="G88" s="40" t="str">
        <f>_xlfn.CONCAT(E88:F88)</f>
        <v>14.8389120.7799</v>
      </c>
      <c r="H88" s="248">
        <v>44915</v>
      </c>
      <c r="I88" s="9" t="s">
        <v>64</v>
      </c>
      <c r="J88" s="9" t="s">
        <v>344</v>
      </c>
      <c r="K88" s="9"/>
      <c r="L88" s="9" t="s">
        <v>128</v>
      </c>
      <c r="M88" s="238"/>
      <c r="N88" s="239"/>
      <c r="O88" s="239"/>
      <c r="P88" s="239"/>
      <c r="Q88" s="239"/>
      <c r="R88" s="239"/>
      <c r="S88" s="24" t="str">
        <f>IFERROR(
    IF(
        OR(ISBLANK(N88), ISBLANK(O88)),
        "",
        MAX(
            1,
            IF(
                NETWORKDAYS(N88, O88, Holiday_Dates) &lt;= 0,
                1,
                NETWORKDAYS(N88, O88, Holiday_Dates) - IF(N88 = O88, 0, 1)
            )
        )
    ),
    ""
)</f>
        <v/>
      </c>
      <c r="T88" s="24" t="str">
        <f>IF(
    OR(ISBLANK(O88), ISBLANK(P88)),
    "",
    MAX(
        1,
        IF(
            NETWORKDAYS(O88, P88, Holiday_Dates) &lt;= 0,
            1,
            NETWORKDAYS(O88, P88, Holiday_Dates) - IF(O88 = P88, 0, 1)
        )
    )
)</f>
        <v/>
      </c>
      <c r="U88" s="24" t="str">
        <f>IFERROR(
  IF(
    OR(A88="Nueva_Ecija", A88="Zambales"),
    IF(
      OR(ISBLANK(P88), ISBLANK(Q88)),
      "",
      MAX(
        1,
        IF(
          NETWORKDAYS(P88, Q88, Holiday_Dates) &lt;= 0,
          1,
          NETWORKDAYS(P88, Q88, Holiday_Dates) - IF(P88 = Q88, 0, 1)
        )
      )
    ),
    IF(
      OR(ISBLANK(O88), ISBLANK(Q88)),
      "",
      MAX(
        1,
        IF(
          NETWORKDAYS(O88, Q88, Holiday_Dates) &lt;= 0,
          1,
          NETWORKDAYS(O88, Q88, Holiday_Dates) - IF(O88 = Q88, 0, 1)
        )
      )
    )
  ),
  ""
)</f>
        <v/>
      </c>
      <c r="V88" s="24" t="str">
        <f>IFERROR(
    IF(
        OR(ISBLANK(Q88), ISBLANK(R88)),
        "",
        MAX(
            1,
            IF(
                NETWORKDAYS(Q88, R88, Holiday_Dates) &lt;= 0,
                1,
                NETWORKDAYS(Q88, R88, Holiday_Dates) - IF(Q88 = R88, 0, 1)
            )
        )
    ),
    ""
)</f>
        <v/>
      </c>
      <c r="W88" s="71"/>
      <c r="X88" s="9"/>
      <c r="Y88" s="71"/>
      <c r="Z88" s="9"/>
      <c r="AA88" s="9"/>
      <c r="AB88" s="9"/>
      <c r="AC88" s="6"/>
      <c r="AD88" s="57"/>
      <c r="AE88" s="379"/>
      <c r="AF88" s="1"/>
      <c r="AG88" s="1"/>
    </row>
    <row r="89" spans="1:33">
      <c r="A89" s="40" t="s">
        <v>49</v>
      </c>
      <c r="B89" s="245" t="s">
        <v>6170</v>
      </c>
      <c r="C89" s="246" t="s">
        <v>501</v>
      </c>
      <c r="D89" s="246" t="s">
        <v>88</v>
      </c>
      <c r="E89" s="40">
        <v>14.849500000000001</v>
      </c>
      <c r="F89" s="247">
        <v>120.7813</v>
      </c>
      <c r="G89" s="40" t="s">
        <v>6171</v>
      </c>
      <c r="H89" s="248">
        <v>44915</v>
      </c>
      <c r="I89" s="9" t="s">
        <v>64</v>
      </c>
      <c r="J89" s="9" t="s">
        <v>344</v>
      </c>
      <c r="K89" s="9"/>
      <c r="L89" s="9" t="s">
        <v>128</v>
      </c>
      <c r="M89" s="238"/>
      <c r="N89" s="239"/>
      <c r="O89" s="239"/>
      <c r="P89" s="239"/>
      <c r="Q89" s="239"/>
      <c r="R89" s="239"/>
      <c r="S89" s="24" t="str">
        <f>IFERROR(
    IF(
        OR(ISBLANK(N89), ISBLANK(O89)),
        "",
        MAX(
            1,
            IF(
                NETWORKDAYS(N89, O89, Holiday_Dates) &lt;= 0,
                1,
                NETWORKDAYS(N89, O89, Holiday_Dates) - IF(N89 = O89, 0, 1)
            )
        )
    ),
    ""
)</f>
        <v/>
      </c>
      <c r="T89" s="24" t="str">
        <f>IF(
    OR(ISBLANK(O89), ISBLANK(P89)),
    "",
    MAX(
        1,
        IF(
            NETWORKDAYS(O89, P89, Holiday_Dates) &lt;= 0,
            1,
            NETWORKDAYS(O89, P89, Holiday_Dates) - IF(O89 = P89, 0, 1)
        )
    )
)</f>
        <v/>
      </c>
      <c r="U89" s="24" t="str">
        <f>IFERROR(
  IF(
    OR(A89="Nueva_Ecija", A89="Zambales"),
    IF(
      OR(ISBLANK(P89), ISBLANK(Q89)),
      "",
      MAX(
        1,
        IF(
          NETWORKDAYS(P89, Q89, Holiday_Dates) &lt;= 0,
          1,
          NETWORKDAYS(P89, Q89, Holiday_Dates) - IF(P89 = Q89, 0, 1)
        )
      )
    ),
    IF(
      OR(ISBLANK(O89), ISBLANK(Q89)),
      "",
      MAX(
        1,
        IF(
          NETWORKDAYS(O89, Q89, Holiday_Dates) &lt;= 0,
          1,
          NETWORKDAYS(O89, Q89, Holiday_Dates) - IF(O89 = Q89, 0, 1)
        )
      )
    )
  ),
  ""
)</f>
        <v/>
      </c>
      <c r="V89" s="24" t="str">
        <f>IFERROR(
    IF(
        OR(ISBLANK(Q89), ISBLANK(R89)),
        "",
        MAX(
            1,
            IF(
                NETWORKDAYS(Q89, R89, Holiday_Dates) &lt;= 0,
                1,
                NETWORKDAYS(Q89, R89, Holiday_Dates) - IF(Q89 = R89, 0, 1)
            )
        )
    ),
    ""
)</f>
        <v/>
      </c>
      <c r="W89" s="71"/>
      <c r="X89" s="9"/>
      <c r="Y89" s="71"/>
      <c r="Z89" s="9"/>
      <c r="AA89" s="9"/>
      <c r="AB89" s="9"/>
      <c r="AC89" s="6"/>
      <c r="AD89" s="57"/>
      <c r="AE89" s="379"/>
      <c r="AF89" s="1"/>
      <c r="AG89" s="1"/>
    </row>
    <row r="90" spans="1:33">
      <c r="A90" s="40" t="s">
        <v>51</v>
      </c>
      <c r="B90" s="245" t="s">
        <v>6172</v>
      </c>
      <c r="C90" s="246" t="s">
        <v>532</v>
      </c>
      <c r="D90" s="246" t="s">
        <v>88</v>
      </c>
      <c r="E90" s="40">
        <v>14.924878100000001</v>
      </c>
      <c r="F90" s="247">
        <v>120.5848987</v>
      </c>
      <c r="G90" s="40" t="s">
        <v>6173</v>
      </c>
      <c r="H90" s="248">
        <v>44909</v>
      </c>
      <c r="I90" s="9" t="s">
        <v>64</v>
      </c>
      <c r="J90" s="9" t="s">
        <v>145</v>
      </c>
      <c r="K90" s="9"/>
      <c r="L90" s="9" t="s">
        <v>133</v>
      </c>
      <c r="M90" s="7"/>
      <c r="N90" s="239"/>
      <c r="O90" s="239"/>
      <c r="P90" s="239"/>
      <c r="Q90" s="239"/>
      <c r="R90" s="239"/>
      <c r="S90" s="24" t="str">
        <f>IFERROR(
    IF(
        OR(ISBLANK(N90), ISBLANK(O90)),
        "",
        MAX(
            1,
            IF(
                NETWORKDAYS(N90, O90, Holiday_Dates) &lt;= 0,
                1,
                NETWORKDAYS(N90, O90, Holiday_Dates) - IF(N90 = O90, 0, 1)
            )
        )
    ),
    ""
)</f>
        <v/>
      </c>
      <c r="T90" s="24" t="str">
        <f>IF(
    OR(ISBLANK(O90), ISBLANK(P90)),
    "",
    MAX(
        1,
        IF(
            NETWORKDAYS(O90, P90, Holiday_Dates) &lt;= 0,
            1,
            NETWORKDAYS(O90, P90, Holiday_Dates) - IF(O90 = P90, 0, 1)
        )
    )
)</f>
        <v/>
      </c>
      <c r="U90" s="24" t="str">
        <f>IFERROR(
  IF(
    OR(A90="Nueva_Ecija", A90="Zambales"),
    IF(
      OR(ISBLANK(P90), ISBLANK(Q90)),
      "",
      MAX(
        1,
        IF(
          NETWORKDAYS(P90, Q90, Holiday_Dates) &lt;= 0,
          1,
          NETWORKDAYS(P90, Q90, Holiday_Dates) - IF(P90 = Q90, 0, 1)
        )
      )
    ),
    IF(
      OR(ISBLANK(O90), ISBLANK(Q90)),
      "",
      MAX(
        1,
        IF(
          NETWORKDAYS(O90, Q90, Holiday_Dates) &lt;= 0,
          1,
          NETWORKDAYS(O90, Q90, Holiday_Dates) - IF(O90 = Q90, 0, 1)
        )
      )
    )
  ),
  ""
)</f>
        <v/>
      </c>
      <c r="V90" s="24" t="str">
        <f>IFERROR(
    IF(
        OR(ISBLANK(Q90), ISBLANK(R90)),
        "",
        MAX(
            1,
            IF(
                NETWORKDAYS(Q90, R90, Holiday_Dates) &lt;= 0,
                1,
                NETWORKDAYS(Q90, R90, Holiday_Dates) - IF(Q90 = R90, 0, 1)
            )
        )
    ),
    ""
)</f>
        <v/>
      </c>
      <c r="W90" s="71"/>
      <c r="X90" s="9"/>
      <c r="Y90" s="71"/>
      <c r="Z90" s="9"/>
      <c r="AA90" s="9"/>
      <c r="AB90" s="9"/>
      <c r="AC90" s="9"/>
      <c r="AD90" s="41"/>
      <c r="AE90" s="380"/>
      <c r="AF90" s="1"/>
      <c r="AG90" s="1"/>
    </row>
    <row r="91" spans="1:33">
      <c r="A91" s="40" t="s">
        <v>51</v>
      </c>
      <c r="B91" s="245" t="s">
        <v>6174</v>
      </c>
      <c r="C91" s="246" t="s">
        <v>532</v>
      </c>
      <c r="D91" s="246" t="s">
        <v>88</v>
      </c>
      <c r="E91" s="40">
        <v>14.9245</v>
      </c>
      <c r="F91" s="247">
        <v>120.59059999999999</v>
      </c>
      <c r="G91" s="40" t="str">
        <f>_xlfn.CONCAT(E91:F91)</f>
        <v>14.9245120.5906</v>
      </c>
      <c r="H91" s="248">
        <v>44909</v>
      </c>
      <c r="I91" s="9" t="s">
        <v>64</v>
      </c>
      <c r="J91" s="9" t="s">
        <v>145</v>
      </c>
      <c r="K91" s="9"/>
      <c r="L91" s="9" t="s">
        <v>133</v>
      </c>
      <c r="M91" s="238"/>
      <c r="N91" s="239"/>
      <c r="O91" s="239"/>
      <c r="P91" s="239"/>
      <c r="Q91" s="239"/>
      <c r="R91" s="239"/>
      <c r="S91" s="24" t="str">
        <f>IFERROR(
    IF(
        OR(ISBLANK(N91), ISBLANK(O91)),
        "",
        MAX(
            1,
            IF(
                NETWORKDAYS(N91, O91, Holiday_Dates) &lt;= 0,
                1,
                NETWORKDAYS(N91, O91, Holiday_Dates) - IF(N91 = O91, 0, 1)
            )
        )
    ),
    ""
)</f>
        <v/>
      </c>
      <c r="T91" s="24" t="str">
        <f>IF(
    OR(ISBLANK(O91), ISBLANK(P91)),
    "",
    MAX(
        1,
        IF(
            NETWORKDAYS(O91, P91, Holiday_Dates) &lt;= 0,
            1,
            NETWORKDAYS(O91, P91, Holiday_Dates) - IF(O91 = P91, 0, 1)
        )
    )
)</f>
        <v/>
      </c>
      <c r="U91" s="24" t="str">
        <f>IFERROR(
  IF(
    OR(A91="Nueva_Ecija", A91="Zambales"),
    IF(
      OR(ISBLANK(P91), ISBLANK(Q91)),
      "",
      MAX(
        1,
        IF(
          NETWORKDAYS(P91, Q91, Holiday_Dates) &lt;= 0,
          1,
          NETWORKDAYS(P91, Q91, Holiday_Dates) - IF(P91 = Q91, 0, 1)
        )
      )
    ),
    IF(
      OR(ISBLANK(O91), ISBLANK(Q91)),
      "",
      MAX(
        1,
        IF(
          NETWORKDAYS(O91, Q91, Holiday_Dates) &lt;= 0,
          1,
          NETWORKDAYS(O91, Q91, Holiday_Dates) - IF(O91 = Q91, 0, 1)
        )
      )
    )
  ),
  ""
)</f>
        <v/>
      </c>
      <c r="V91" s="24" t="str">
        <f>IFERROR(
    IF(
        OR(ISBLANK(Q91), ISBLANK(R91)),
        "",
        MAX(
            1,
            IF(
                NETWORKDAYS(Q91, R91, Holiday_Dates) &lt;= 0,
                1,
                NETWORKDAYS(Q91, R91, Holiday_Dates) - IF(Q91 = R91, 0, 1)
            )
        )
    ),
    ""
)</f>
        <v/>
      </c>
      <c r="W91" s="71"/>
      <c r="X91" s="9"/>
      <c r="Y91" s="71"/>
      <c r="Z91" s="9"/>
      <c r="AA91" s="9"/>
      <c r="AB91" s="9"/>
      <c r="AC91" s="9"/>
      <c r="AD91" s="57"/>
      <c r="AE91" s="6"/>
      <c r="AF91" s="1"/>
      <c r="AG91" s="1"/>
    </row>
    <row r="92" spans="1:33">
      <c r="A92" s="40" t="s">
        <v>51</v>
      </c>
      <c r="B92" s="245" t="s">
        <v>6175</v>
      </c>
      <c r="C92" s="246" t="s">
        <v>532</v>
      </c>
      <c r="D92" s="246" t="s">
        <v>88</v>
      </c>
      <c r="E92" s="40">
        <v>14.9245</v>
      </c>
      <c r="F92" s="247">
        <v>120.59050000000001</v>
      </c>
      <c r="G92" s="40" t="str">
        <f>_xlfn.CONCAT(E92:F92)</f>
        <v>14.9245120.5905</v>
      </c>
      <c r="H92" s="248">
        <v>44909</v>
      </c>
      <c r="I92" s="9" t="s">
        <v>64</v>
      </c>
      <c r="J92" s="9" t="s">
        <v>145</v>
      </c>
      <c r="K92" s="9"/>
      <c r="L92" s="9" t="s">
        <v>133</v>
      </c>
      <c r="M92" s="238"/>
      <c r="N92" s="239"/>
      <c r="O92" s="239"/>
      <c r="P92" s="239"/>
      <c r="Q92" s="239"/>
      <c r="R92" s="239"/>
      <c r="S92" s="24" t="str">
        <f>IFERROR(
    IF(
        OR(ISBLANK(N92), ISBLANK(O92)),
        "",
        MAX(
            1,
            IF(
                NETWORKDAYS(N92, O92, Holiday_Dates) &lt;= 0,
                1,
                NETWORKDAYS(N92, O92, Holiday_Dates) - IF(N92 = O92, 0, 1)
            )
        )
    ),
    ""
)</f>
        <v/>
      </c>
      <c r="T92" s="24" t="str">
        <f>IF(
    OR(ISBLANK(O92), ISBLANK(P92)),
    "",
    MAX(
        1,
        IF(
            NETWORKDAYS(O92, P92, Holiday_Dates) &lt;= 0,
            1,
            NETWORKDAYS(O92, P92, Holiday_Dates) - IF(O92 = P92, 0, 1)
        )
    )
)</f>
        <v/>
      </c>
      <c r="U92" s="24" t="str">
        <f>IFERROR(
  IF(
    OR(A92="Nueva_Ecija", A92="Zambales"),
    IF(
      OR(ISBLANK(P92), ISBLANK(Q92)),
      "",
      MAX(
        1,
        IF(
          NETWORKDAYS(P92, Q92, Holiday_Dates) &lt;= 0,
          1,
          NETWORKDAYS(P92, Q92, Holiday_Dates) - IF(P92 = Q92, 0, 1)
        )
      )
    ),
    IF(
      OR(ISBLANK(O92), ISBLANK(Q92)),
      "",
      MAX(
        1,
        IF(
          NETWORKDAYS(O92, Q92, Holiday_Dates) &lt;= 0,
          1,
          NETWORKDAYS(O92, Q92, Holiday_Dates) - IF(O92 = Q92, 0, 1)
        )
      )
    )
  ),
  ""
)</f>
        <v/>
      </c>
      <c r="V92" s="24" t="str">
        <f>IFERROR(
    IF(
        OR(ISBLANK(Q92), ISBLANK(R92)),
        "",
        MAX(
            1,
            IF(
                NETWORKDAYS(Q92, R92, Holiday_Dates) &lt;= 0,
                1,
                NETWORKDAYS(Q92, R92, Holiday_Dates) - IF(Q92 = R92, 0, 1)
            )
        )
    ),
    ""
)</f>
        <v/>
      </c>
      <c r="W92" s="71"/>
      <c r="X92" s="9"/>
      <c r="Y92" s="71"/>
      <c r="Z92" s="9"/>
      <c r="AA92" s="9"/>
      <c r="AB92" s="9"/>
      <c r="AC92" s="9"/>
      <c r="AD92" s="57"/>
      <c r="AE92" s="379"/>
      <c r="AF92" s="1"/>
      <c r="AG92" s="1"/>
    </row>
    <row r="93" spans="1:33">
      <c r="A93" s="40" t="s">
        <v>51</v>
      </c>
      <c r="B93" s="245" t="s">
        <v>6176</v>
      </c>
      <c r="C93" s="246" t="s">
        <v>532</v>
      </c>
      <c r="D93" s="246" t="s">
        <v>88</v>
      </c>
      <c r="E93" s="40">
        <v>14.924424999999999</v>
      </c>
      <c r="F93" s="247">
        <v>120.59044166</v>
      </c>
      <c r="G93" s="40" t="s">
        <v>6177</v>
      </c>
      <c r="H93" s="248">
        <v>44909</v>
      </c>
      <c r="I93" s="9" t="s">
        <v>64</v>
      </c>
      <c r="J93" s="9" t="s">
        <v>145</v>
      </c>
      <c r="K93" s="9"/>
      <c r="L93" s="9" t="s">
        <v>133</v>
      </c>
      <c r="M93" s="238"/>
      <c r="N93" s="239"/>
      <c r="O93" s="239"/>
      <c r="P93" s="239"/>
      <c r="Q93" s="239"/>
      <c r="R93" s="239"/>
      <c r="S93" s="24" t="str">
        <f>IFERROR(
    IF(
        OR(ISBLANK(N93), ISBLANK(O93)),
        "",
        MAX(
            1,
            IF(
                NETWORKDAYS(N93, O93, Holiday_Dates) &lt;= 0,
                1,
                NETWORKDAYS(N93, O93, Holiday_Dates) - IF(N93 = O93, 0, 1)
            )
        )
    ),
    ""
)</f>
        <v/>
      </c>
      <c r="T93" s="24" t="str">
        <f>IF(
    OR(ISBLANK(O93), ISBLANK(P93)),
    "",
    MAX(
        1,
        IF(
            NETWORKDAYS(O93, P93, Holiday_Dates) &lt;= 0,
            1,
            NETWORKDAYS(O93, P93, Holiday_Dates) - IF(O93 = P93, 0, 1)
        )
    )
)</f>
        <v/>
      </c>
      <c r="U93" s="24" t="str">
        <f>IFERROR(
  IF(
    OR(A93="Nueva_Ecija", A93="Zambales"),
    IF(
      OR(ISBLANK(P93), ISBLANK(Q93)),
      "",
      MAX(
        1,
        IF(
          NETWORKDAYS(P93, Q93, Holiday_Dates) &lt;= 0,
          1,
          NETWORKDAYS(P93, Q93, Holiday_Dates) - IF(P93 = Q93, 0, 1)
        )
      )
    ),
    IF(
      OR(ISBLANK(O93), ISBLANK(Q93)),
      "",
      MAX(
        1,
        IF(
          NETWORKDAYS(O93, Q93, Holiday_Dates) &lt;= 0,
          1,
          NETWORKDAYS(O93, Q93, Holiday_Dates) - IF(O93 = Q93, 0, 1)
        )
      )
    )
  ),
  ""
)</f>
        <v/>
      </c>
      <c r="V93" s="24" t="str">
        <f>IFERROR(
    IF(
        OR(ISBLANK(Q93), ISBLANK(R93)),
        "",
        MAX(
            1,
            IF(
                NETWORKDAYS(Q93, R93, Holiday_Dates) &lt;= 0,
                1,
                NETWORKDAYS(Q93, R93, Holiday_Dates) - IF(Q93 = R93, 0, 1)
            )
        )
    ),
    ""
)</f>
        <v/>
      </c>
      <c r="W93" s="71"/>
      <c r="X93" s="9"/>
      <c r="Y93" s="71"/>
      <c r="Z93" s="9"/>
      <c r="AA93" s="9"/>
      <c r="AB93" s="9"/>
      <c r="AC93" s="9"/>
      <c r="AD93" s="57"/>
      <c r="AE93" s="323"/>
      <c r="AF93" s="1"/>
      <c r="AG93" s="1"/>
    </row>
    <row r="94" spans="1:33">
      <c r="A94" s="40" t="s">
        <v>51</v>
      </c>
      <c r="B94" s="245" t="s">
        <v>6178</v>
      </c>
      <c r="C94" s="246" t="s">
        <v>532</v>
      </c>
      <c r="D94" s="246" t="s">
        <v>88</v>
      </c>
      <c r="E94" s="40">
        <v>14.9222</v>
      </c>
      <c r="F94" s="247">
        <v>120.58969999999999</v>
      </c>
      <c r="G94" s="40" t="str">
        <f>_xlfn.CONCAT(E94:F94)</f>
        <v>14.9222120.5897</v>
      </c>
      <c r="H94" s="248">
        <v>44909</v>
      </c>
      <c r="I94" s="9" t="s">
        <v>64</v>
      </c>
      <c r="J94" s="9" t="s">
        <v>145</v>
      </c>
      <c r="K94" s="9"/>
      <c r="L94" s="9" t="s">
        <v>133</v>
      </c>
      <c r="M94" s="238"/>
      <c r="N94" s="239"/>
      <c r="O94" s="239"/>
      <c r="P94" s="239"/>
      <c r="Q94" s="239"/>
      <c r="R94" s="239"/>
      <c r="S94" s="24" t="str">
        <f>IFERROR(
    IF(
        OR(ISBLANK(N94), ISBLANK(O94)),
        "",
        MAX(
            1,
            IF(
                NETWORKDAYS(N94, O94, Holiday_Dates) &lt;= 0,
                1,
                NETWORKDAYS(N94, O94, Holiday_Dates) - IF(N94 = O94, 0, 1)
            )
        )
    ),
    ""
)</f>
        <v/>
      </c>
      <c r="T94" s="24" t="str">
        <f>IF(
    OR(ISBLANK(O94), ISBLANK(P94)),
    "",
    MAX(
        1,
        IF(
            NETWORKDAYS(O94, P94, Holiday_Dates) &lt;= 0,
            1,
            NETWORKDAYS(O94, P94, Holiday_Dates) - IF(O94 = P94, 0, 1)
        )
    )
)</f>
        <v/>
      </c>
      <c r="U94" s="24" t="str">
        <f>IFERROR(
  IF(
    OR(A94="Nueva_Ecija", A94="Zambales"),
    IF(
      OR(ISBLANK(P94), ISBLANK(Q94)),
      "",
      MAX(
        1,
        IF(
          NETWORKDAYS(P94, Q94, Holiday_Dates) &lt;= 0,
          1,
          NETWORKDAYS(P94, Q94, Holiday_Dates) - IF(P94 = Q94, 0, 1)
        )
      )
    ),
    IF(
      OR(ISBLANK(O94), ISBLANK(Q94)),
      "",
      MAX(
        1,
        IF(
          NETWORKDAYS(O94, Q94, Holiday_Dates) &lt;= 0,
          1,
          NETWORKDAYS(O94, Q94, Holiday_Dates) - IF(O94 = Q94, 0, 1)
        )
      )
    )
  ),
  ""
)</f>
        <v/>
      </c>
      <c r="V94" s="24" t="str">
        <f>IFERROR(
    IF(
        OR(ISBLANK(Q94), ISBLANK(R94)),
        "",
        MAX(
            1,
            IF(
                NETWORKDAYS(Q94, R94, Holiday_Dates) &lt;= 0,
                1,
                NETWORKDAYS(Q94, R94, Holiday_Dates) - IF(Q94 = R94, 0, 1)
            )
        )
    ),
    ""
)</f>
        <v/>
      </c>
      <c r="W94" s="71"/>
      <c r="X94" s="9"/>
      <c r="Y94" s="71"/>
      <c r="Z94" s="9"/>
      <c r="AA94" s="9"/>
      <c r="AB94" s="9"/>
      <c r="AC94" s="9"/>
      <c r="AD94" s="57"/>
      <c r="AE94" s="379"/>
      <c r="AF94" s="1"/>
      <c r="AG94" s="1"/>
    </row>
    <row r="95" spans="1:33">
      <c r="A95" s="40" t="s">
        <v>51</v>
      </c>
      <c r="B95" s="245" t="s">
        <v>6179</v>
      </c>
      <c r="C95" s="246" t="s">
        <v>532</v>
      </c>
      <c r="D95" s="246" t="s">
        <v>88</v>
      </c>
      <c r="E95" s="40">
        <v>14.925700000000001</v>
      </c>
      <c r="F95" s="247">
        <v>120.5838</v>
      </c>
      <c r="G95" s="40" t="str">
        <f>_xlfn.CONCAT(E95:F95)</f>
        <v>14.9257120.5838</v>
      </c>
      <c r="H95" s="248">
        <v>44909</v>
      </c>
      <c r="I95" s="9" t="s">
        <v>64</v>
      </c>
      <c r="J95" s="9" t="s">
        <v>145</v>
      </c>
      <c r="K95" s="9"/>
      <c r="L95" s="9" t="s">
        <v>133</v>
      </c>
      <c r="M95" s="7"/>
      <c r="N95" s="239"/>
      <c r="O95" s="239"/>
      <c r="P95" s="239"/>
      <c r="Q95" s="239"/>
      <c r="R95" s="239"/>
      <c r="S95" s="24" t="str">
        <f>IFERROR(
    IF(
        OR(ISBLANK(N95), ISBLANK(O95)),
        "",
        MAX(
            1,
            IF(
                NETWORKDAYS(N95, O95, Holiday_Dates) &lt;= 0,
                1,
                NETWORKDAYS(N95, O95, Holiday_Dates) - IF(N95 = O95, 0, 1)
            )
        )
    ),
    ""
)</f>
        <v/>
      </c>
      <c r="T95" s="24" t="str">
        <f>IF(
    OR(ISBLANK(O95), ISBLANK(P95)),
    "",
    MAX(
        1,
        IF(
            NETWORKDAYS(O95, P95, Holiday_Dates) &lt;= 0,
            1,
            NETWORKDAYS(O95, P95, Holiday_Dates) - IF(O95 = P95, 0, 1)
        )
    )
)</f>
        <v/>
      </c>
      <c r="U95" s="24" t="str">
        <f>IFERROR(
  IF(
    OR(A95="Nueva_Ecija", A95="Zambales"),
    IF(
      OR(ISBLANK(P95), ISBLANK(Q95)),
      "",
      MAX(
        1,
        IF(
          NETWORKDAYS(P95, Q95, Holiday_Dates) &lt;= 0,
          1,
          NETWORKDAYS(P95, Q95, Holiday_Dates) - IF(P95 = Q95, 0, 1)
        )
      )
    ),
    IF(
      OR(ISBLANK(O95), ISBLANK(Q95)),
      "",
      MAX(
        1,
        IF(
          NETWORKDAYS(O95, Q95, Holiday_Dates) &lt;= 0,
          1,
          NETWORKDAYS(O95, Q95, Holiday_Dates) - IF(O95 = Q95, 0, 1)
        )
      )
    )
  ),
  ""
)</f>
        <v/>
      </c>
      <c r="V95" s="24" t="str">
        <f>IFERROR(
    IF(
        OR(ISBLANK(Q95), ISBLANK(R95)),
        "",
        MAX(
            1,
            IF(
                NETWORKDAYS(Q95, R95, Holiday_Dates) &lt;= 0,
                1,
                NETWORKDAYS(Q95, R95, Holiday_Dates) - IF(Q95 = R95, 0, 1)
            )
        )
    ),
    ""
)</f>
        <v/>
      </c>
      <c r="W95" s="71"/>
      <c r="X95" s="9"/>
      <c r="Y95" s="71"/>
      <c r="Z95" s="9"/>
      <c r="AA95" s="9"/>
      <c r="AB95" s="9"/>
      <c r="AC95" s="9"/>
      <c r="AD95" s="57"/>
      <c r="AE95" s="380"/>
      <c r="AF95" s="1"/>
      <c r="AG95" s="1"/>
    </row>
    <row r="96" spans="1:33">
      <c r="A96" s="40" t="s">
        <v>51</v>
      </c>
      <c r="B96" s="245" t="s">
        <v>6180</v>
      </c>
      <c r="C96" s="246" t="s">
        <v>532</v>
      </c>
      <c r="D96" s="246" t="s">
        <v>88</v>
      </c>
      <c r="E96" s="40">
        <v>14.951266</v>
      </c>
      <c r="F96" s="247">
        <v>120.61238</v>
      </c>
      <c r="G96" s="40" t="str">
        <f>_xlfn.CONCAT(E96:F96)</f>
        <v>14.951266120.61238</v>
      </c>
      <c r="H96" s="248">
        <v>44909</v>
      </c>
      <c r="I96" s="9" t="s">
        <v>64</v>
      </c>
      <c r="J96" s="9" t="s">
        <v>145</v>
      </c>
      <c r="K96" s="9"/>
      <c r="L96" s="9" t="s">
        <v>133</v>
      </c>
      <c r="M96" s="7"/>
      <c r="N96" s="239"/>
      <c r="O96" s="239"/>
      <c r="P96" s="239"/>
      <c r="Q96" s="239"/>
      <c r="R96" s="239"/>
      <c r="S96" s="24" t="str">
        <f>IFERROR(
    IF(
        OR(ISBLANK(N96), ISBLANK(O96)),
        "",
        MAX(
            1,
            IF(
                NETWORKDAYS(N96, O96, Holiday_Dates) &lt;= 0,
                1,
                NETWORKDAYS(N96, O96, Holiday_Dates) - IF(N96 = O96, 0, 1)
            )
        )
    ),
    ""
)</f>
        <v/>
      </c>
      <c r="T96" s="24" t="str">
        <f>IF(
    OR(ISBLANK(O96), ISBLANK(P96)),
    "",
    MAX(
        1,
        IF(
            NETWORKDAYS(O96, P96, Holiday_Dates) &lt;= 0,
            1,
            NETWORKDAYS(O96, P96, Holiday_Dates) - IF(O96 = P96, 0, 1)
        )
    )
)</f>
        <v/>
      </c>
      <c r="U96" s="24" t="str">
        <f>IFERROR(
  IF(
    OR(A96="Nueva_Ecija", A96="Zambales"),
    IF(
      OR(ISBLANK(P96), ISBLANK(Q96)),
      "",
      MAX(
        1,
        IF(
          NETWORKDAYS(P96, Q96, Holiday_Dates) &lt;= 0,
          1,
          NETWORKDAYS(P96, Q96, Holiday_Dates) - IF(P96 = Q96, 0, 1)
        )
      )
    ),
    IF(
      OR(ISBLANK(O96), ISBLANK(Q96)),
      "",
      MAX(
        1,
        IF(
          NETWORKDAYS(O96, Q96, Holiday_Dates) &lt;= 0,
          1,
          NETWORKDAYS(O96, Q96, Holiday_Dates) - IF(O96 = Q96, 0, 1)
        )
      )
    )
  ),
  ""
)</f>
        <v/>
      </c>
      <c r="V96" s="24" t="str">
        <f>IFERROR(
    IF(
        OR(ISBLANK(Q96), ISBLANK(R96)),
        "",
        MAX(
            1,
            IF(
                NETWORKDAYS(Q96, R96, Holiday_Dates) &lt;= 0,
                1,
                NETWORKDAYS(Q96, R96, Holiday_Dates) - IF(Q96 = R96, 0, 1)
            )
        )
    ),
    ""
)</f>
        <v/>
      </c>
      <c r="W96" s="71"/>
      <c r="X96" s="9"/>
      <c r="Y96" s="71"/>
      <c r="Z96" s="9"/>
      <c r="AA96" s="9"/>
      <c r="AB96" s="9"/>
      <c r="AC96" s="9"/>
      <c r="AD96" s="57"/>
      <c r="AE96" s="284"/>
      <c r="AF96" s="1"/>
      <c r="AG96" s="1"/>
    </row>
    <row r="97" spans="1:33">
      <c r="A97" s="40" t="s">
        <v>51</v>
      </c>
      <c r="B97" s="245" t="s">
        <v>6181</v>
      </c>
      <c r="C97" s="246" t="s">
        <v>532</v>
      </c>
      <c r="D97" s="246" t="s">
        <v>88</v>
      </c>
      <c r="E97" s="40">
        <v>14.955979900000001</v>
      </c>
      <c r="F97" s="247">
        <v>120.6073548</v>
      </c>
      <c r="G97" s="40" t="s">
        <v>6182</v>
      </c>
      <c r="H97" s="248">
        <v>44909</v>
      </c>
      <c r="I97" s="9" t="s">
        <v>64</v>
      </c>
      <c r="J97" s="9" t="s">
        <v>145</v>
      </c>
      <c r="K97" s="9"/>
      <c r="L97" s="9" t="s">
        <v>133</v>
      </c>
      <c r="M97" s="7"/>
      <c r="N97" s="239"/>
      <c r="O97" s="239"/>
      <c r="P97" s="239"/>
      <c r="Q97" s="239"/>
      <c r="R97" s="239"/>
      <c r="S97" s="24" t="str">
        <f>IFERROR(
    IF(
        OR(ISBLANK(N97), ISBLANK(O97)),
        "",
        MAX(
            1,
            IF(
                NETWORKDAYS(N97, O97, Holiday_Dates) &lt;= 0,
                1,
                NETWORKDAYS(N97, O97, Holiday_Dates) - IF(N97 = O97, 0, 1)
            )
        )
    ),
    ""
)</f>
        <v/>
      </c>
      <c r="T97" s="24" t="str">
        <f>IF(
    OR(ISBLANK(O97), ISBLANK(P97)),
    "",
    MAX(
        1,
        IF(
            NETWORKDAYS(O97, P97, Holiday_Dates) &lt;= 0,
            1,
            NETWORKDAYS(O97, P97, Holiday_Dates) - IF(O97 = P97, 0, 1)
        )
    )
)</f>
        <v/>
      </c>
      <c r="U97" s="24" t="str">
        <f>IFERROR(
  IF(
    OR(A97="Nueva_Ecija", A97="Zambales"),
    IF(
      OR(ISBLANK(P97), ISBLANK(Q97)),
      "",
      MAX(
        1,
        IF(
          NETWORKDAYS(P97, Q97, Holiday_Dates) &lt;= 0,
          1,
          NETWORKDAYS(P97, Q97, Holiday_Dates) - IF(P97 = Q97, 0, 1)
        )
      )
    ),
    IF(
      OR(ISBLANK(O97), ISBLANK(Q97)),
      "",
      MAX(
        1,
        IF(
          NETWORKDAYS(O97, Q97, Holiday_Dates) &lt;= 0,
          1,
          NETWORKDAYS(O97, Q97, Holiday_Dates) - IF(O97 = Q97, 0, 1)
        )
      )
    )
  ),
  ""
)</f>
        <v/>
      </c>
      <c r="V97" s="24" t="str">
        <f>IFERROR(
    IF(
        OR(ISBLANK(Q97), ISBLANK(R97)),
        "",
        MAX(
            1,
            IF(
                NETWORKDAYS(Q97, R97, Holiday_Dates) &lt;= 0,
                1,
                NETWORKDAYS(Q97, R97, Holiday_Dates) - IF(Q97 = R97, 0, 1)
            )
        )
    ),
    ""
)</f>
        <v/>
      </c>
      <c r="W97" s="71"/>
      <c r="X97" s="9"/>
      <c r="Y97" s="71"/>
      <c r="Z97" s="9"/>
      <c r="AA97" s="9"/>
      <c r="AB97" s="9"/>
      <c r="AC97" s="9"/>
      <c r="AD97" s="57"/>
      <c r="AE97" s="284"/>
      <c r="AF97" s="1"/>
      <c r="AG97" s="1"/>
    </row>
    <row r="98" spans="1:33">
      <c r="A98" s="40" t="s">
        <v>49</v>
      </c>
      <c r="B98" s="245" t="s">
        <v>6183</v>
      </c>
      <c r="C98" s="246" t="s">
        <v>6126</v>
      </c>
      <c r="D98" s="246" t="s">
        <v>88</v>
      </c>
      <c r="E98" s="40">
        <v>14.771990000000001</v>
      </c>
      <c r="F98" s="247">
        <v>121.01845</v>
      </c>
      <c r="G98" s="40" t="s">
        <v>6184</v>
      </c>
      <c r="H98" s="248">
        <v>44914</v>
      </c>
      <c r="I98" s="9" t="s">
        <v>69</v>
      </c>
      <c r="J98" s="9" t="s">
        <v>344</v>
      </c>
      <c r="K98" s="9"/>
      <c r="L98" s="9" t="s">
        <v>128</v>
      </c>
      <c r="M98" s="240"/>
      <c r="N98" s="239"/>
      <c r="O98" s="239"/>
      <c r="P98" s="239"/>
      <c r="Q98" s="239"/>
      <c r="R98" s="239"/>
      <c r="S98" s="24" t="str">
        <f>IFERROR(
    IF(
        OR(ISBLANK(N98), ISBLANK(O98)),
        "",
        MAX(
            1,
            IF(
                NETWORKDAYS(N98, O98, Holiday_Dates) &lt;= 0,
                1,
                NETWORKDAYS(N98, O98, Holiday_Dates) - IF(N98 = O98, 0, 1)
            )
        )
    ),
    ""
)</f>
        <v/>
      </c>
      <c r="T98" s="24" t="str">
        <f>IF(
    OR(ISBLANK(O98), ISBLANK(P98)),
    "",
    MAX(
        1,
        IF(
            NETWORKDAYS(O98, P98, Holiday_Dates) &lt;= 0,
            1,
            NETWORKDAYS(O98, P98, Holiday_Dates) - IF(O98 = P98, 0, 1)
        )
    )
)</f>
        <v/>
      </c>
      <c r="U98" s="24" t="str">
        <f>IFERROR(
  IF(
    OR(A98="Nueva_Ecija", A98="Zambales"),
    IF(
      OR(ISBLANK(P98), ISBLANK(Q98)),
      "",
      MAX(
        1,
        IF(
          NETWORKDAYS(P98, Q98, Holiday_Dates) &lt;= 0,
          1,
          NETWORKDAYS(P98, Q98, Holiday_Dates) - IF(P98 = Q98, 0, 1)
        )
      )
    ),
    IF(
      OR(ISBLANK(O98), ISBLANK(Q98)),
      "",
      MAX(
        1,
        IF(
          NETWORKDAYS(O98, Q98, Holiday_Dates) &lt;= 0,
          1,
          NETWORKDAYS(O98, Q98, Holiday_Dates) - IF(O98 = Q98, 0, 1)
        )
      )
    )
  ),
  ""
)</f>
        <v/>
      </c>
      <c r="V98" s="24" t="str">
        <f>IFERROR(
    IF(
        OR(ISBLANK(Q98), ISBLANK(R98)),
        "",
        MAX(
            1,
            IF(
                NETWORKDAYS(Q98, R98, Holiday_Dates) &lt;= 0,
                1,
                NETWORKDAYS(Q98, R98, Holiday_Dates) - IF(Q98 = R98, 0, 1)
            )
        )
    ),
    ""
)</f>
        <v/>
      </c>
      <c r="W98" s="71"/>
      <c r="X98" s="9"/>
      <c r="Y98" s="41"/>
      <c r="Z98" s="9"/>
      <c r="AA98" s="9"/>
      <c r="AB98" s="9"/>
      <c r="AC98" s="9"/>
      <c r="AD98" s="41"/>
      <c r="AE98" s="380"/>
      <c r="AF98" s="1"/>
      <c r="AG98" s="1"/>
    </row>
    <row r="99" spans="1:33">
      <c r="A99" s="40" t="s">
        <v>49</v>
      </c>
      <c r="B99" s="245" t="s">
        <v>6185</v>
      </c>
      <c r="C99" s="246" t="s">
        <v>6126</v>
      </c>
      <c r="D99" s="246" t="s">
        <v>88</v>
      </c>
      <c r="E99" s="40">
        <v>14.747501</v>
      </c>
      <c r="F99" s="7">
        <v>120.98659000000001</v>
      </c>
      <c r="G99" s="40" t="s">
        <v>6186</v>
      </c>
      <c r="H99" s="248">
        <v>44914</v>
      </c>
      <c r="I99" s="9" t="s">
        <v>69</v>
      </c>
      <c r="J99" s="9" t="s">
        <v>136</v>
      </c>
      <c r="K99" s="9"/>
      <c r="L99" s="9" t="s">
        <v>128</v>
      </c>
      <c r="M99" s="238"/>
      <c r="N99" s="241"/>
      <c r="O99" s="239"/>
      <c r="P99" s="239"/>
      <c r="Q99" s="239"/>
      <c r="R99" s="239"/>
      <c r="S99" s="24" t="str">
        <f>IFERROR(
    IF(
        OR(ISBLANK(N99), ISBLANK(O99)),
        "",
        MAX(
            1,
            IF(
                NETWORKDAYS(N99, O99, Holiday_Dates) &lt;= 0,
                1,
                NETWORKDAYS(N99, O99, Holiday_Dates) - IF(N99 = O99, 0, 1)
            )
        )
    ),
    ""
)</f>
        <v/>
      </c>
      <c r="T99" s="24" t="str">
        <f>IF(
    OR(ISBLANK(O99), ISBLANK(P99)),
    "",
    MAX(
        1,
        IF(
            NETWORKDAYS(O99, P99, Holiday_Dates) &lt;= 0,
            1,
            NETWORKDAYS(O99, P99, Holiday_Dates) - IF(O99 = P99, 0, 1)
        )
    )
)</f>
        <v/>
      </c>
      <c r="U99" s="24" t="str">
        <f>IFERROR(
  IF(
    OR(A99="Nueva_Ecija", A99="Zambales"),
    IF(
      OR(ISBLANK(P99), ISBLANK(Q99)),
      "",
      MAX(
        1,
        IF(
          NETWORKDAYS(P99, Q99, Holiday_Dates) &lt;= 0,
          1,
          NETWORKDAYS(P99, Q99, Holiday_Dates) - IF(P99 = Q99, 0, 1)
        )
      )
    ),
    IF(
      OR(ISBLANK(O99), ISBLANK(Q99)),
      "",
      MAX(
        1,
        IF(
          NETWORKDAYS(O99, Q99, Holiday_Dates) &lt;= 0,
          1,
          NETWORKDAYS(O99, Q99, Holiday_Dates) - IF(O99 = Q99, 0, 1)
        )
      )
    )
  ),
  ""
)</f>
        <v/>
      </c>
      <c r="V99" s="24" t="str">
        <f>IFERROR(
    IF(
        OR(ISBLANK(Q99), ISBLANK(R99)),
        "",
        MAX(
            1,
            IF(
                NETWORKDAYS(Q99, R99, Holiday_Dates) &lt;= 0,
                1,
                NETWORKDAYS(Q99, R99, Holiday_Dates) - IF(Q99 = R99, 0, 1)
            )
        )
    ),
    ""
)</f>
        <v/>
      </c>
      <c r="W99" s="71"/>
      <c r="X99" s="9"/>
      <c r="Y99" s="71"/>
      <c r="Z99" s="9"/>
      <c r="AA99" s="9"/>
      <c r="AB99" s="9"/>
      <c r="AC99" s="9"/>
      <c r="AD99" s="71"/>
      <c r="AE99" s="380"/>
      <c r="AF99" s="1"/>
      <c r="AG99" s="1"/>
    </row>
    <row r="100" spans="1:33">
      <c r="A100" s="40" t="s">
        <v>49</v>
      </c>
      <c r="B100" s="245" t="s">
        <v>6187</v>
      </c>
      <c r="C100" s="246" t="s">
        <v>6126</v>
      </c>
      <c r="D100" s="246" t="s">
        <v>88</v>
      </c>
      <c r="E100" s="40">
        <v>14.727517000000001</v>
      </c>
      <c r="F100" s="247">
        <v>120.97875000000001</v>
      </c>
      <c r="G100" s="40" t="s">
        <v>6188</v>
      </c>
      <c r="H100" s="248">
        <v>44914</v>
      </c>
      <c r="I100" s="9" t="s">
        <v>69</v>
      </c>
      <c r="J100" s="9" t="s">
        <v>136</v>
      </c>
      <c r="K100" s="9"/>
      <c r="L100" s="9" t="s">
        <v>128</v>
      </c>
      <c r="M100" s="242"/>
      <c r="N100" s="239"/>
      <c r="O100" s="239"/>
      <c r="P100" s="239"/>
      <c r="Q100" s="239"/>
      <c r="R100" s="239"/>
      <c r="S100" s="24" t="str">
        <f>IFERROR(
    IF(
        OR(ISBLANK(N100), ISBLANK(O100)),
        "",
        MAX(
            1,
            IF(
                NETWORKDAYS(N100, O100, Holiday_Dates) &lt;= 0,
                1,
                NETWORKDAYS(N100, O100, Holiday_Dates) - IF(N100 = O100, 0, 1)
            )
        )
    ),
    ""
)</f>
        <v/>
      </c>
      <c r="T100" s="24" t="str">
        <f>IF(
    OR(ISBLANK(O100), ISBLANK(P100)),
    "",
    MAX(
        1,
        IF(
            NETWORKDAYS(O100, P100, Holiday_Dates) &lt;= 0,
            1,
            NETWORKDAYS(O100, P100, Holiday_Dates) - IF(O100 = P100, 0, 1)
        )
    )
)</f>
        <v/>
      </c>
      <c r="U100" s="24" t="str">
        <f>IFERROR(
  IF(
    OR(A100="Nueva_Ecija", A100="Zambales"),
    IF(
      OR(ISBLANK(P100), ISBLANK(Q100)),
      "",
      MAX(
        1,
        IF(
          NETWORKDAYS(P100, Q100, Holiday_Dates) &lt;= 0,
          1,
          NETWORKDAYS(P100, Q100, Holiday_Dates) - IF(P100 = Q100, 0, 1)
        )
      )
    ),
    IF(
      OR(ISBLANK(O100), ISBLANK(Q100)),
      "",
      MAX(
        1,
        IF(
          NETWORKDAYS(O100, Q100, Holiday_Dates) &lt;= 0,
          1,
          NETWORKDAYS(O100, Q100, Holiday_Dates) - IF(O100 = Q100, 0, 1)
        )
      )
    )
  ),
  ""
)</f>
        <v/>
      </c>
      <c r="V100" s="24" t="str">
        <f>IFERROR(
    IF(
        OR(ISBLANK(Q100), ISBLANK(R100)),
        "",
        MAX(
            1,
            IF(
                NETWORKDAYS(Q100, R100, Holiday_Dates) &lt;= 0,
                1,
                NETWORKDAYS(Q100, R100, Holiday_Dates) - IF(Q100 = R100, 0, 1)
            )
        )
    ),
    ""
)</f>
        <v/>
      </c>
      <c r="W100" s="71"/>
      <c r="X100" s="9"/>
      <c r="Y100" s="71"/>
      <c r="Z100" s="9"/>
      <c r="AA100" s="9"/>
      <c r="AB100" s="9"/>
      <c r="AC100" s="9"/>
      <c r="AD100" s="71"/>
      <c r="AE100" s="284"/>
      <c r="AF100" s="1"/>
      <c r="AG100" s="1"/>
    </row>
    <row r="101" spans="1:33">
      <c r="A101" s="40" t="s">
        <v>49</v>
      </c>
      <c r="B101" s="245" t="s">
        <v>6033</v>
      </c>
      <c r="C101" s="246" t="s">
        <v>501</v>
      </c>
      <c r="D101" s="246" t="s">
        <v>88</v>
      </c>
      <c r="E101" s="40">
        <v>14.839700000000001</v>
      </c>
      <c r="F101" s="247">
        <v>120.7938</v>
      </c>
      <c r="G101" s="40" t="str">
        <f>_xlfn.CONCAT(E101:F101)</f>
        <v>14.8397120.7938</v>
      </c>
      <c r="H101" s="248">
        <v>44915</v>
      </c>
      <c r="I101" s="9" t="s">
        <v>69</v>
      </c>
      <c r="J101" s="9" t="s">
        <v>344</v>
      </c>
      <c r="K101" s="9"/>
      <c r="L101" s="9" t="s">
        <v>128</v>
      </c>
      <c r="M101" s="240"/>
      <c r="N101" s="239"/>
      <c r="O101" s="239"/>
      <c r="P101" s="239"/>
      <c r="Q101" s="239"/>
      <c r="R101" s="239"/>
      <c r="S101" s="24" t="str">
        <f>IFERROR(
    IF(
        OR(ISBLANK(N101), ISBLANK(O101)),
        "",
        MAX(
            1,
            IF(
                NETWORKDAYS(N101, O101, Holiday_Dates) &lt;= 0,
                1,
                NETWORKDAYS(N101, O101, Holiday_Dates) - IF(N101 = O101, 0, 1)
            )
        )
    ),
    ""
)</f>
        <v/>
      </c>
      <c r="T101" s="24" t="str">
        <f>IF(
    OR(ISBLANK(O101), ISBLANK(P101)),
    "",
    MAX(
        1,
        IF(
            NETWORKDAYS(O101, P101, Holiday_Dates) &lt;= 0,
            1,
            NETWORKDAYS(O101, P101, Holiday_Dates) - IF(O101 = P101, 0, 1)
        )
    )
)</f>
        <v/>
      </c>
      <c r="U101" s="24" t="str">
        <f>IFERROR(
  IF(
    OR(A101="Nueva_Ecija", A101="Zambales"),
    IF(
      OR(ISBLANK(P101), ISBLANK(Q101)),
      "",
      MAX(
        1,
        IF(
          NETWORKDAYS(P101, Q101, Holiday_Dates) &lt;= 0,
          1,
          NETWORKDAYS(P101, Q101, Holiday_Dates) - IF(P101 = Q101, 0, 1)
        )
      )
    ),
    IF(
      OR(ISBLANK(O101), ISBLANK(Q101)),
      "",
      MAX(
        1,
        IF(
          NETWORKDAYS(O101, Q101, Holiday_Dates) &lt;= 0,
          1,
          NETWORKDAYS(O101, Q101, Holiday_Dates) - IF(O101 = Q101, 0, 1)
        )
      )
    )
  ),
  ""
)</f>
        <v/>
      </c>
      <c r="V101" s="24" t="str">
        <f>IFERROR(
    IF(
        OR(ISBLANK(Q101), ISBLANK(R101)),
        "",
        MAX(
            1,
            IF(
                NETWORKDAYS(Q101, R101, Holiday_Dates) &lt;= 0,
                1,
                NETWORKDAYS(Q101, R101, Holiday_Dates) - IF(Q101 = R101, 0, 1)
            )
        )
    ),
    ""
)</f>
        <v/>
      </c>
      <c r="W101" s="71"/>
      <c r="X101" s="9"/>
      <c r="Y101" s="71"/>
      <c r="Z101" s="9"/>
      <c r="AA101" s="9"/>
      <c r="AB101" s="9"/>
      <c r="AC101" s="6"/>
      <c r="AD101" s="57"/>
      <c r="AE101" s="379"/>
      <c r="AF101" s="1"/>
      <c r="AG101" s="1"/>
    </row>
    <row r="102" spans="1:33">
      <c r="A102" s="40" t="s">
        <v>49</v>
      </c>
      <c r="B102" s="245" t="s">
        <v>6033</v>
      </c>
      <c r="C102" s="246" t="s">
        <v>501</v>
      </c>
      <c r="D102" s="246" t="s">
        <v>88</v>
      </c>
      <c r="E102" s="40">
        <v>14.839700000000001</v>
      </c>
      <c r="F102" s="247">
        <v>120.7938</v>
      </c>
      <c r="G102" s="40" t="str">
        <f>_xlfn.CONCAT(E102:F102)</f>
        <v>14.8397120.7938</v>
      </c>
      <c r="H102" s="248">
        <v>44915</v>
      </c>
      <c r="I102" s="9" t="s">
        <v>69</v>
      </c>
      <c r="J102" s="9" t="s">
        <v>344</v>
      </c>
      <c r="K102" s="9"/>
      <c r="L102" s="9" t="s">
        <v>128</v>
      </c>
      <c r="M102" s="238"/>
      <c r="N102" s="239"/>
      <c r="O102" s="239"/>
      <c r="P102" s="239"/>
      <c r="Q102" s="239"/>
      <c r="R102" s="239"/>
      <c r="S102" s="24" t="str">
        <f>IFERROR(
    IF(
        OR(ISBLANK(N102), ISBLANK(O102)),
        "",
        MAX(
            1,
            IF(
                NETWORKDAYS(N102, O102, Holiday_Dates) &lt;= 0,
                1,
                NETWORKDAYS(N102, O102, Holiday_Dates) - IF(N102 = O102, 0, 1)
            )
        )
    ),
    ""
)</f>
        <v/>
      </c>
      <c r="T102" s="24" t="str">
        <f>IF(
    OR(ISBLANK(O102), ISBLANK(P102)),
    "",
    MAX(
        1,
        IF(
            NETWORKDAYS(O102, P102, Holiday_Dates) &lt;= 0,
            1,
            NETWORKDAYS(O102, P102, Holiday_Dates) - IF(O102 = P102, 0, 1)
        )
    )
)</f>
        <v/>
      </c>
      <c r="U102" s="24" t="str">
        <f>IFERROR(
  IF(
    OR(A102="Nueva_Ecija", A102="Zambales"),
    IF(
      OR(ISBLANK(P102), ISBLANK(Q102)),
      "",
      MAX(
        1,
        IF(
          NETWORKDAYS(P102, Q102, Holiday_Dates) &lt;= 0,
          1,
          NETWORKDAYS(P102, Q102, Holiday_Dates) - IF(P102 = Q102, 0, 1)
        )
      )
    ),
    IF(
      OR(ISBLANK(O102), ISBLANK(Q102)),
      "",
      MAX(
        1,
        IF(
          NETWORKDAYS(O102, Q102, Holiday_Dates) &lt;= 0,
          1,
          NETWORKDAYS(O102, Q102, Holiday_Dates) - IF(O102 = Q102, 0, 1)
        )
      )
    )
  ),
  ""
)</f>
        <v/>
      </c>
      <c r="V102" s="24" t="str">
        <f>IFERROR(
    IF(
        OR(ISBLANK(Q102), ISBLANK(R102)),
        "",
        MAX(
            1,
            IF(
                NETWORKDAYS(Q102, R102, Holiday_Dates) &lt;= 0,
                1,
                NETWORKDAYS(Q102, R102, Holiday_Dates) - IF(Q102 = R102, 0, 1)
            )
        )
    ),
    ""
)</f>
        <v/>
      </c>
      <c r="W102" s="71"/>
      <c r="X102" s="9"/>
      <c r="Y102" s="71"/>
      <c r="Z102" s="9"/>
      <c r="AA102" s="9"/>
      <c r="AB102" s="9"/>
      <c r="AC102" s="6"/>
      <c r="AD102" s="57"/>
      <c r="AE102" s="323"/>
      <c r="AF102" s="1"/>
      <c r="AG102" s="1"/>
    </row>
    <row r="103" spans="1:33">
      <c r="A103" s="40" t="s">
        <v>49</v>
      </c>
      <c r="B103" s="245" t="s">
        <v>6189</v>
      </c>
      <c r="C103" s="246" t="s">
        <v>440</v>
      </c>
      <c r="D103" s="246" t="s">
        <v>88</v>
      </c>
      <c r="E103" s="40">
        <v>15.196139000000001</v>
      </c>
      <c r="F103" s="247">
        <v>120.950836</v>
      </c>
      <c r="G103" s="40" t="str">
        <f>CONCATENATE(E103,",",F103)</f>
        <v>15.196139,120.950836</v>
      </c>
      <c r="H103" s="248">
        <v>44900</v>
      </c>
      <c r="I103" s="9" t="s">
        <v>69</v>
      </c>
      <c r="J103" s="9" t="s">
        <v>344</v>
      </c>
      <c r="K103" s="9"/>
      <c r="L103" s="9" t="s">
        <v>128</v>
      </c>
      <c r="M103" s="407"/>
      <c r="N103" s="239"/>
      <c r="O103" s="239"/>
      <c r="P103" s="239"/>
      <c r="Q103" s="239"/>
      <c r="R103" s="239"/>
      <c r="S103" s="24" t="str">
        <f>IFERROR(
    IF(
        OR(ISBLANK(N103), ISBLANK(O103)),
        "",
        MAX(
            1,
            IF(
                NETWORKDAYS(N103, O103, Holiday_Dates) &lt;= 0,
                1,
                NETWORKDAYS(N103, O103, Holiday_Dates) - IF(N103 = O103, 0, 1)
            )
        )
    ),
    ""
)</f>
        <v/>
      </c>
      <c r="T103" s="24" t="str">
        <f>IF(
    OR(ISBLANK(O103), ISBLANK(P103)),
    "",
    MAX(
        1,
        IF(
            NETWORKDAYS(O103, P103, Holiday_Dates) &lt;= 0,
            1,
            NETWORKDAYS(O103, P103, Holiday_Dates) - IF(O103 = P103, 0, 1)
        )
    )
)</f>
        <v/>
      </c>
      <c r="U103" s="24" t="str">
        <f>IFERROR(
  IF(
    OR(A103="Nueva_Ecija", A103="Zambales"),
    IF(
      OR(ISBLANK(P103), ISBLANK(Q103)),
      "",
      MAX(
        1,
        IF(
          NETWORKDAYS(P103, Q103, Holiday_Dates) &lt;= 0,
          1,
          NETWORKDAYS(P103, Q103, Holiday_Dates) - IF(P103 = Q103, 0, 1)
        )
      )
    ),
    IF(
      OR(ISBLANK(O103), ISBLANK(Q103)),
      "",
      MAX(
        1,
        IF(
          NETWORKDAYS(O103, Q103, Holiday_Dates) &lt;= 0,
          1,
          NETWORKDAYS(O103, Q103, Holiday_Dates) - IF(O103 = Q103, 0, 1)
        )
      )
    )
  ),
  ""
)</f>
        <v/>
      </c>
      <c r="V103" s="24" t="str">
        <f>IFERROR(
    IF(
        OR(ISBLANK(Q103), ISBLANK(R103)),
        "",
        MAX(
            1,
            IF(
                NETWORKDAYS(Q103, R103, Holiday_Dates) &lt;= 0,
                1,
                NETWORKDAYS(Q103, R103, Holiday_Dates) - IF(Q103 = R103, 0, 1)
            )
        )
    ),
    ""
)</f>
        <v/>
      </c>
      <c r="W103" s="71"/>
      <c r="X103" s="9"/>
      <c r="Y103" s="71"/>
      <c r="Z103" s="9"/>
      <c r="AA103" s="9"/>
      <c r="AB103" s="9"/>
      <c r="AC103" s="9"/>
      <c r="AD103" s="71"/>
      <c r="AE103" s="284"/>
      <c r="AF103" s="1"/>
      <c r="AG103" s="1"/>
    </row>
    <row r="104" spans="1:33">
      <c r="A104" s="40" t="s">
        <v>49</v>
      </c>
      <c r="B104" s="245" t="s">
        <v>6190</v>
      </c>
      <c r="C104" s="246" t="s">
        <v>1309</v>
      </c>
      <c r="D104" s="246" t="s">
        <v>88</v>
      </c>
      <c r="E104" s="40">
        <v>14.830938</v>
      </c>
      <c r="F104" s="247">
        <v>120.96434000000001</v>
      </c>
      <c r="G104" s="40" t="s">
        <v>6191</v>
      </c>
      <c r="H104" s="248">
        <v>44915</v>
      </c>
      <c r="I104" s="9" t="s">
        <v>69</v>
      </c>
      <c r="J104" s="9" t="s">
        <v>136</v>
      </c>
      <c r="K104" s="9"/>
      <c r="L104" s="9" t="s">
        <v>128</v>
      </c>
      <c r="M104" s="238"/>
      <c r="N104" s="239"/>
      <c r="O104" s="239"/>
      <c r="P104" s="239"/>
      <c r="Q104" s="239"/>
      <c r="R104" s="239"/>
      <c r="S104" s="24" t="str">
        <f>IFERROR(
    IF(
        OR(ISBLANK(N104), ISBLANK(O104)),
        "",
        MAX(
            1,
            IF(
                NETWORKDAYS(N104, O104, Holiday_Dates) &lt;= 0,
                1,
                NETWORKDAYS(N104, O104, Holiday_Dates) - IF(N104 = O104, 0, 1)
            )
        )
    ),
    ""
)</f>
        <v/>
      </c>
      <c r="T104" s="24" t="str">
        <f>IF(
    OR(ISBLANK(O104), ISBLANK(P104)),
    "",
    MAX(
        1,
        IF(
            NETWORKDAYS(O104, P104, Holiday_Dates) &lt;= 0,
            1,
            NETWORKDAYS(O104, P104, Holiday_Dates) - IF(O104 = P104, 0, 1)
        )
    )
)</f>
        <v/>
      </c>
      <c r="U104" s="24" t="str">
        <f>IFERROR(
  IF(
    OR(A104="Nueva_Ecija", A104="Zambales"),
    IF(
      OR(ISBLANK(P104), ISBLANK(Q104)),
      "",
      MAX(
        1,
        IF(
          NETWORKDAYS(P104, Q104, Holiday_Dates) &lt;= 0,
          1,
          NETWORKDAYS(P104, Q104, Holiday_Dates) - IF(P104 = Q104, 0, 1)
        )
      )
    ),
    IF(
      OR(ISBLANK(O104), ISBLANK(Q104)),
      "",
      MAX(
        1,
        IF(
          NETWORKDAYS(O104, Q104, Holiday_Dates) &lt;= 0,
          1,
          NETWORKDAYS(O104, Q104, Holiday_Dates) - IF(O104 = Q104, 0, 1)
        )
      )
    )
  ),
  ""
)</f>
        <v/>
      </c>
      <c r="V104" s="24" t="str">
        <f>IFERROR(
    IF(
        OR(ISBLANK(Q104), ISBLANK(R104)),
        "",
        MAX(
            1,
            IF(
                NETWORKDAYS(Q104, R104, Holiday_Dates) &lt;= 0,
                1,
                NETWORKDAYS(Q104, R104, Holiday_Dates) - IF(Q104 = R104, 0, 1)
            )
        )
    ),
    ""
)</f>
        <v/>
      </c>
      <c r="W104" s="71"/>
      <c r="X104" s="9"/>
      <c r="Y104" s="71"/>
      <c r="Z104" s="9"/>
      <c r="AA104" s="9"/>
      <c r="AB104" s="9"/>
      <c r="AC104" s="9"/>
      <c r="AD104" s="57"/>
      <c r="AE104" s="323"/>
      <c r="AF104" s="1"/>
      <c r="AG104" s="1"/>
    </row>
    <row r="105" spans="1:33">
      <c r="A105" s="40" t="s">
        <v>49</v>
      </c>
      <c r="B105" s="245" t="s">
        <v>6192</v>
      </c>
      <c r="C105" s="246" t="s">
        <v>1309</v>
      </c>
      <c r="D105" s="246" t="s">
        <v>88</v>
      </c>
      <c r="E105" s="40">
        <v>14.837937999999999</v>
      </c>
      <c r="F105" s="247">
        <v>120.96456000000001</v>
      </c>
      <c r="G105" s="40" t="s">
        <v>6193</v>
      </c>
      <c r="H105" s="248">
        <v>44915</v>
      </c>
      <c r="I105" s="9" t="s">
        <v>69</v>
      </c>
      <c r="J105" s="9" t="s">
        <v>136</v>
      </c>
      <c r="K105" s="9"/>
      <c r="L105" s="9" t="s">
        <v>128</v>
      </c>
      <c r="M105" s="238"/>
      <c r="N105" s="239"/>
      <c r="O105" s="239"/>
      <c r="P105" s="239"/>
      <c r="Q105" s="239"/>
      <c r="R105" s="239"/>
      <c r="S105" s="24" t="str">
        <f>IFERROR(
    IF(
        OR(ISBLANK(N105), ISBLANK(O105)),
        "",
        MAX(
            1,
            IF(
                NETWORKDAYS(N105, O105, Holiday_Dates) &lt;= 0,
                1,
                NETWORKDAYS(N105, O105, Holiday_Dates) - IF(N105 = O105, 0, 1)
            )
        )
    ),
    ""
)</f>
        <v/>
      </c>
      <c r="T105" s="24" t="str">
        <f>IF(
    OR(ISBLANK(O105), ISBLANK(P105)),
    "",
    MAX(
        1,
        IF(
            NETWORKDAYS(O105, P105, Holiday_Dates) &lt;= 0,
            1,
            NETWORKDAYS(O105, P105, Holiday_Dates) - IF(O105 = P105, 0, 1)
        )
    )
)</f>
        <v/>
      </c>
      <c r="U105" s="24" t="str">
        <f>IFERROR(
  IF(
    OR(A105="Nueva_Ecija", A105="Zambales"),
    IF(
      OR(ISBLANK(P105), ISBLANK(Q105)),
      "",
      MAX(
        1,
        IF(
          NETWORKDAYS(P105, Q105, Holiday_Dates) &lt;= 0,
          1,
          NETWORKDAYS(P105, Q105, Holiday_Dates) - IF(P105 = Q105, 0, 1)
        )
      )
    ),
    IF(
      OR(ISBLANK(O105), ISBLANK(Q105)),
      "",
      MAX(
        1,
        IF(
          NETWORKDAYS(O105, Q105, Holiday_Dates) &lt;= 0,
          1,
          NETWORKDAYS(O105, Q105, Holiday_Dates) - IF(O105 = Q105, 0, 1)
        )
      )
    )
  ),
  ""
)</f>
        <v/>
      </c>
      <c r="V105" s="24" t="str">
        <f>IFERROR(
    IF(
        OR(ISBLANK(Q105), ISBLANK(R105)),
        "",
        MAX(
            1,
            IF(
                NETWORKDAYS(Q105, R105, Holiday_Dates) &lt;= 0,
                1,
                NETWORKDAYS(Q105, R105, Holiday_Dates) - IF(Q105 = R105, 0, 1)
            )
        )
    ),
    ""
)</f>
        <v/>
      </c>
      <c r="W105" s="71"/>
      <c r="X105" s="9"/>
      <c r="Y105" s="71"/>
      <c r="Z105" s="9"/>
      <c r="AA105" s="9"/>
      <c r="AB105" s="9"/>
      <c r="AC105" s="9"/>
      <c r="AD105" s="57"/>
      <c r="AE105" s="323"/>
      <c r="AF105" s="1"/>
      <c r="AG105" s="1"/>
    </row>
    <row r="106" spans="1:33">
      <c r="A106" s="40" t="s">
        <v>51</v>
      </c>
      <c r="B106" s="245" t="s">
        <v>6194</v>
      </c>
      <c r="C106" s="246" t="s">
        <v>1377</v>
      </c>
      <c r="D106" s="246" t="s">
        <v>88</v>
      </c>
      <c r="E106" s="40">
        <v>15.04842</v>
      </c>
      <c r="F106" s="247">
        <v>120.684</v>
      </c>
      <c r="G106" s="40" t="str">
        <f>CONCATENATE(E106,",",F106)</f>
        <v>15.04842,120.684</v>
      </c>
      <c r="H106" s="248">
        <v>44904</v>
      </c>
      <c r="I106" s="9" t="s">
        <v>69</v>
      </c>
      <c r="J106" s="9" t="s">
        <v>33</v>
      </c>
      <c r="K106" s="9"/>
      <c r="L106" s="9" t="s">
        <v>239</v>
      </c>
      <c r="M106" s="7"/>
      <c r="N106" s="239"/>
      <c r="O106" s="239"/>
      <c r="P106" s="239"/>
      <c r="Q106" s="239"/>
      <c r="R106" s="239"/>
      <c r="S106" s="24" t="str">
        <f>IFERROR(
    IF(
        OR(ISBLANK(N106), ISBLANK(O106)),
        "",
        MAX(
            1,
            IF(
                NETWORKDAYS(N106, O106, Holiday_Dates) &lt;= 0,
                1,
                NETWORKDAYS(N106, O106, Holiday_Dates) - IF(N106 = O106, 0, 1)
            )
        )
    ),
    ""
)</f>
        <v/>
      </c>
      <c r="T106" s="24" t="str">
        <f>IF(
    OR(ISBLANK(O106), ISBLANK(P106)),
    "",
    MAX(
        1,
        IF(
            NETWORKDAYS(O106, P106, Holiday_Dates) &lt;= 0,
            1,
            NETWORKDAYS(O106, P106, Holiday_Dates) - IF(O106 = P106, 0, 1)
        )
    )
)</f>
        <v/>
      </c>
      <c r="U106" s="24" t="str">
        <f>IFERROR(
  IF(
    OR(A106="Nueva_Ecija", A106="Zambales"),
    IF(
      OR(ISBLANK(P106), ISBLANK(Q106)),
      "",
      MAX(
        1,
        IF(
          NETWORKDAYS(P106, Q106, Holiday_Dates) &lt;= 0,
          1,
          NETWORKDAYS(P106, Q106, Holiday_Dates) - IF(P106 = Q106, 0, 1)
        )
      )
    ),
    IF(
      OR(ISBLANK(O106), ISBLANK(Q106)),
      "",
      MAX(
        1,
        IF(
          NETWORKDAYS(O106, Q106, Holiday_Dates) &lt;= 0,
          1,
          NETWORKDAYS(O106, Q106, Holiday_Dates) - IF(O106 = Q106, 0, 1)
        )
      )
    )
  ),
  ""
)</f>
        <v/>
      </c>
      <c r="V106" s="24" t="str">
        <f>IFERROR(
    IF(
        OR(ISBLANK(Q106), ISBLANK(R106)),
        "",
        MAX(
            1,
            IF(
                NETWORKDAYS(Q106, R106, Holiday_Dates) &lt;= 0,
                1,
                NETWORKDAYS(Q106, R106, Holiday_Dates) - IF(Q106 = R106, 0, 1)
            )
        )
    ),
    ""
)</f>
        <v/>
      </c>
      <c r="W106" s="71"/>
      <c r="X106" s="9"/>
      <c r="Y106" s="71"/>
      <c r="Z106" s="9"/>
      <c r="AA106" s="9"/>
      <c r="AB106" s="9"/>
      <c r="AC106" s="9"/>
      <c r="AD106" s="71"/>
      <c r="AE106" s="284"/>
      <c r="AF106" s="1"/>
      <c r="AG106" s="1"/>
    </row>
    <row r="107" spans="1:33">
      <c r="A107" s="40" t="s">
        <v>51</v>
      </c>
      <c r="B107" s="245" t="s">
        <v>6195</v>
      </c>
      <c r="C107" s="246" t="s">
        <v>1377</v>
      </c>
      <c r="D107" s="246" t="s">
        <v>88</v>
      </c>
      <c r="E107" s="40">
        <v>15.095210829999999</v>
      </c>
      <c r="F107" s="247">
        <v>120.6470649</v>
      </c>
      <c r="G107" s="40" t="str">
        <f>CONCATENATE(E107,",",F107)</f>
        <v>15.09521083,120.6470649</v>
      </c>
      <c r="H107" s="248">
        <v>44904</v>
      </c>
      <c r="I107" s="9" t="s">
        <v>69</v>
      </c>
      <c r="J107" s="9" t="s">
        <v>33</v>
      </c>
      <c r="K107" s="9"/>
      <c r="L107" s="9" t="s">
        <v>239</v>
      </c>
      <c r="M107" s="242"/>
      <c r="N107" s="239"/>
      <c r="O107" s="239"/>
      <c r="P107" s="239"/>
      <c r="Q107" s="239"/>
      <c r="R107" s="239"/>
      <c r="S107" s="24" t="str">
        <f>IFERROR(
    IF(
        OR(ISBLANK(N107), ISBLANK(O107)),
        "",
        MAX(
            1,
            IF(
                NETWORKDAYS(N107, O107, Holiday_Dates) &lt;= 0,
                1,
                NETWORKDAYS(N107, O107, Holiday_Dates) - IF(N107 = O107, 0, 1)
            )
        )
    ),
    ""
)</f>
        <v/>
      </c>
      <c r="T107" s="24" t="str">
        <f>IF(
    OR(ISBLANK(O107), ISBLANK(P107)),
    "",
    MAX(
        1,
        IF(
            NETWORKDAYS(O107, P107, Holiday_Dates) &lt;= 0,
            1,
            NETWORKDAYS(O107, P107, Holiday_Dates) - IF(O107 = P107, 0, 1)
        )
    )
)</f>
        <v/>
      </c>
      <c r="U107" s="24" t="str">
        <f>IFERROR(
  IF(
    OR(A107="Nueva_Ecija", A107="Zambales"),
    IF(
      OR(ISBLANK(P107), ISBLANK(Q107)),
      "",
      MAX(
        1,
        IF(
          NETWORKDAYS(P107, Q107, Holiday_Dates) &lt;= 0,
          1,
          NETWORKDAYS(P107, Q107, Holiday_Dates) - IF(P107 = Q107, 0, 1)
        )
      )
    ),
    IF(
      OR(ISBLANK(O107), ISBLANK(Q107)),
      "",
      MAX(
        1,
        IF(
          NETWORKDAYS(O107, Q107, Holiday_Dates) &lt;= 0,
          1,
          NETWORKDAYS(O107, Q107, Holiday_Dates) - IF(O107 = Q107, 0, 1)
        )
      )
    )
  ),
  ""
)</f>
        <v/>
      </c>
      <c r="V107" s="24" t="str">
        <f>IFERROR(
    IF(
        OR(ISBLANK(Q107), ISBLANK(R107)),
        "",
        MAX(
            1,
            IF(
                NETWORKDAYS(Q107, R107, Holiday_Dates) &lt;= 0,
                1,
                NETWORKDAYS(Q107, R107, Holiday_Dates) - IF(Q107 = R107, 0, 1)
            )
        )
    ),
    ""
)</f>
        <v/>
      </c>
      <c r="W107" s="71"/>
      <c r="X107" s="9"/>
      <c r="Y107" s="71"/>
      <c r="Z107" s="9"/>
      <c r="AA107" s="9"/>
      <c r="AB107" s="9"/>
      <c r="AC107" s="9"/>
      <c r="AD107" s="71"/>
      <c r="AE107" s="284"/>
      <c r="AF107" s="1"/>
      <c r="AG107" s="1"/>
    </row>
    <row r="108" spans="1:33">
      <c r="A108" s="40" t="s">
        <v>51</v>
      </c>
      <c r="B108" s="245" t="s">
        <v>6196</v>
      </c>
      <c r="C108" s="246" t="s">
        <v>537</v>
      </c>
      <c r="D108" s="246" t="s">
        <v>88</v>
      </c>
      <c r="E108" s="40">
        <v>15.053599</v>
      </c>
      <c r="F108" s="247">
        <v>120.7117367</v>
      </c>
      <c r="G108" s="40" t="s">
        <v>6197</v>
      </c>
      <c r="H108" s="248">
        <v>44911</v>
      </c>
      <c r="I108" s="9" t="s">
        <v>69</v>
      </c>
      <c r="J108" s="9" t="s">
        <v>32</v>
      </c>
      <c r="K108" s="9"/>
      <c r="L108" s="9" t="s">
        <v>133</v>
      </c>
      <c r="M108" s="238"/>
      <c r="N108" s="239"/>
      <c r="O108" s="239"/>
      <c r="P108" s="239"/>
      <c r="Q108" s="239"/>
      <c r="R108" s="239"/>
      <c r="S108" s="24" t="str">
        <f>IFERROR(
    IF(
        OR(ISBLANK(N108), ISBLANK(O108)),
        "",
        MAX(
            1,
            IF(
                NETWORKDAYS(N108, O108, Holiday_Dates) &lt;= 0,
                1,
                NETWORKDAYS(N108, O108, Holiday_Dates) - IF(N108 = O108, 0, 1)
            )
        )
    ),
    ""
)</f>
        <v/>
      </c>
      <c r="T108" s="24" t="str">
        <f>IF(
    OR(ISBLANK(O108), ISBLANK(P108)),
    "",
    MAX(
        1,
        IF(
            NETWORKDAYS(O108, P108, Holiday_Dates) &lt;= 0,
            1,
            NETWORKDAYS(O108, P108, Holiday_Dates) - IF(O108 = P108, 0, 1)
        )
    )
)</f>
        <v/>
      </c>
      <c r="U108" s="24" t="str">
        <f>IFERROR(
  IF(
    OR(A108="Nueva_Ecija", A108="Zambales"),
    IF(
      OR(ISBLANK(P108), ISBLANK(Q108)),
      "",
      MAX(
        1,
        IF(
          NETWORKDAYS(P108, Q108, Holiday_Dates) &lt;= 0,
          1,
          NETWORKDAYS(P108, Q108, Holiday_Dates) - IF(P108 = Q108, 0, 1)
        )
      )
    ),
    IF(
      OR(ISBLANK(O108), ISBLANK(Q108)),
      "",
      MAX(
        1,
        IF(
          NETWORKDAYS(O108, Q108, Holiday_Dates) &lt;= 0,
          1,
          NETWORKDAYS(O108, Q108, Holiday_Dates) - IF(O108 = Q108, 0, 1)
        )
      )
    )
  ),
  ""
)</f>
        <v/>
      </c>
      <c r="V108" s="24" t="str">
        <f>IFERROR(
    IF(
        OR(ISBLANK(Q108), ISBLANK(R108)),
        "",
        MAX(
            1,
            IF(
                NETWORKDAYS(Q108, R108, Holiday_Dates) &lt;= 0,
                1,
                NETWORKDAYS(Q108, R108, Holiday_Dates) - IF(Q108 = R108, 0, 1)
            )
        )
    ),
    ""
)</f>
        <v/>
      </c>
      <c r="W108" s="71"/>
      <c r="X108" s="9"/>
      <c r="Y108" s="71"/>
      <c r="Z108" s="9"/>
      <c r="AA108" s="9"/>
      <c r="AB108" s="9"/>
      <c r="AC108" s="9"/>
      <c r="AD108" s="71"/>
      <c r="AE108" s="284"/>
      <c r="AF108" s="1"/>
      <c r="AG108" s="1"/>
    </row>
    <row r="109" spans="1:33">
      <c r="A109" s="40" t="s">
        <v>51</v>
      </c>
      <c r="B109" s="245" t="s">
        <v>6198</v>
      </c>
      <c r="C109" s="246" t="s">
        <v>450</v>
      </c>
      <c r="D109" s="246" t="s">
        <v>88</v>
      </c>
      <c r="E109" s="40">
        <v>15.0448</v>
      </c>
      <c r="F109" s="247">
        <v>120.78740000000001</v>
      </c>
      <c r="G109" s="40" t="str">
        <f>_xlfn.CONCAT(E109:F109)</f>
        <v>15.0448120.7874</v>
      </c>
      <c r="H109" s="248">
        <v>44901</v>
      </c>
      <c r="I109" s="9" t="s">
        <v>69</v>
      </c>
      <c r="J109" s="9" t="s">
        <v>34</v>
      </c>
      <c r="K109" s="9"/>
      <c r="L109" s="9" t="s">
        <v>239</v>
      </c>
      <c r="M109" s="238"/>
      <c r="N109" s="239"/>
      <c r="O109" s="239"/>
      <c r="P109" s="239"/>
      <c r="Q109" s="239"/>
      <c r="R109" s="239"/>
      <c r="S109" s="24" t="str">
        <f>IFERROR(
    IF(
        OR(ISBLANK(N109), ISBLANK(O109)),
        "",
        MAX(
            1,
            IF(
                NETWORKDAYS(N109, O109, Holiday_Dates) &lt;= 0,
                1,
                NETWORKDAYS(N109, O109, Holiday_Dates) - IF(N109 = O109, 0, 1)
            )
        )
    ),
    ""
)</f>
        <v/>
      </c>
      <c r="T109" s="24" t="str">
        <f>IF(
    OR(ISBLANK(O109), ISBLANK(P109)),
    "",
    MAX(
        1,
        IF(
            NETWORKDAYS(O109, P109, Holiday_Dates) &lt;= 0,
            1,
            NETWORKDAYS(O109, P109, Holiday_Dates) - IF(O109 = P109, 0, 1)
        )
    )
)</f>
        <v/>
      </c>
      <c r="U109" s="24" t="str">
        <f>IFERROR(
  IF(
    OR(A109="Nueva_Ecija", A109="Zambales"),
    IF(
      OR(ISBLANK(P109), ISBLANK(Q109)),
      "",
      MAX(
        1,
        IF(
          NETWORKDAYS(P109, Q109, Holiday_Dates) &lt;= 0,
          1,
          NETWORKDAYS(P109, Q109, Holiday_Dates) - IF(P109 = Q109, 0, 1)
        )
      )
    ),
    IF(
      OR(ISBLANK(O109), ISBLANK(Q109)),
      "",
      MAX(
        1,
        IF(
          NETWORKDAYS(O109, Q109, Holiday_Dates) &lt;= 0,
          1,
          NETWORKDAYS(O109, Q109, Holiday_Dates) - IF(O109 = Q109, 0, 1)
        )
      )
    )
  ),
  ""
)</f>
        <v/>
      </c>
      <c r="V109" s="24" t="str">
        <f>IFERROR(
    IF(
        OR(ISBLANK(Q109), ISBLANK(R109)),
        "",
        MAX(
            1,
            IF(
                NETWORKDAYS(Q109, R109, Holiday_Dates) &lt;= 0,
                1,
                NETWORKDAYS(Q109, R109, Holiday_Dates) - IF(Q109 = R109, 0, 1)
            )
        )
    ),
    ""
)</f>
        <v/>
      </c>
      <c r="W109" s="71"/>
      <c r="X109" s="9"/>
      <c r="Y109" s="71"/>
      <c r="Z109" s="9"/>
      <c r="AA109" s="9"/>
      <c r="AB109" s="9"/>
      <c r="AC109" s="9"/>
      <c r="AD109" s="57"/>
      <c r="AE109" s="6"/>
      <c r="AF109" s="1"/>
      <c r="AG109" s="1"/>
    </row>
    <row r="110" spans="1:33">
      <c r="A110" s="40" t="s">
        <v>51</v>
      </c>
      <c r="B110" s="245" t="s">
        <v>6198</v>
      </c>
      <c r="C110" s="246" t="s">
        <v>450</v>
      </c>
      <c r="D110" s="246" t="s">
        <v>88</v>
      </c>
      <c r="E110" s="40">
        <v>15.0448</v>
      </c>
      <c r="F110" s="247">
        <v>120.78740000000001</v>
      </c>
      <c r="G110" s="40" t="str">
        <f>_xlfn.CONCAT(E110:F110)</f>
        <v>15.0448120.7874</v>
      </c>
      <c r="H110" s="248">
        <v>44901</v>
      </c>
      <c r="I110" s="9" t="s">
        <v>69</v>
      </c>
      <c r="J110" s="9" t="s">
        <v>34</v>
      </c>
      <c r="K110" s="9"/>
      <c r="L110" s="9" t="s">
        <v>239</v>
      </c>
      <c r="M110" s="238"/>
      <c r="N110" s="239"/>
      <c r="O110" s="239"/>
      <c r="P110" s="239"/>
      <c r="Q110" s="239"/>
      <c r="R110" s="239"/>
      <c r="S110" s="24" t="str">
        <f>IFERROR(
    IF(
        OR(ISBLANK(N110), ISBLANK(O110)),
        "",
        MAX(
            1,
            IF(
                NETWORKDAYS(N110, O110, Holiday_Dates) &lt;= 0,
                1,
                NETWORKDAYS(N110, O110, Holiday_Dates) - IF(N110 = O110, 0, 1)
            )
        )
    ),
    ""
)</f>
        <v/>
      </c>
      <c r="T110" s="24" t="str">
        <f>IF(
    OR(ISBLANK(O110), ISBLANK(P110)),
    "",
    MAX(
        1,
        IF(
            NETWORKDAYS(O110, P110, Holiday_Dates) &lt;= 0,
            1,
            NETWORKDAYS(O110, P110, Holiday_Dates) - IF(O110 = P110, 0, 1)
        )
    )
)</f>
        <v/>
      </c>
      <c r="U110" s="24" t="str">
        <f>IFERROR(
  IF(
    OR(A110="Nueva_Ecija", A110="Zambales"),
    IF(
      OR(ISBLANK(P110), ISBLANK(Q110)),
      "",
      MAX(
        1,
        IF(
          NETWORKDAYS(P110, Q110, Holiday_Dates) &lt;= 0,
          1,
          NETWORKDAYS(P110, Q110, Holiday_Dates) - IF(P110 = Q110, 0, 1)
        )
      )
    ),
    IF(
      OR(ISBLANK(O110), ISBLANK(Q110)),
      "",
      MAX(
        1,
        IF(
          NETWORKDAYS(O110, Q110, Holiday_Dates) &lt;= 0,
          1,
          NETWORKDAYS(O110, Q110, Holiday_Dates) - IF(O110 = Q110, 0, 1)
        )
      )
    )
  ),
  ""
)</f>
        <v/>
      </c>
      <c r="V110" s="24" t="str">
        <f>IFERROR(
    IF(
        OR(ISBLANK(Q110), ISBLANK(R110)),
        "",
        MAX(
            1,
            IF(
                NETWORKDAYS(Q110, R110, Holiday_Dates) &lt;= 0,
                1,
                NETWORKDAYS(Q110, R110, Holiday_Dates) - IF(Q110 = R110, 0, 1)
            )
        )
    ),
    ""
)</f>
        <v/>
      </c>
      <c r="W110" s="71"/>
      <c r="X110" s="9"/>
      <c r="Y110" s="71"/>
      <c r="Z110" s="9"/>
      <c r="AA110" s="9"/>
      <c r="AB110" s="9"/>
      <c r="AC110" s="9"/>
      <c r="AD110" s="57"/>
      <c r="AE110" s="323"/>
      <c r="AF110" s="1"/>
      <c r="AG110" s="1"/>
    </row>
    <row r="111" spans="1:33">
      <c r="A111" s="40" t="s">
        <v>51</v>
      </c>
      <c r="B111" s="245" t="s">
        <v>6199</v>
      </c>
      <c r="C111" s="246" t="s">
        <v>541</v>
      </c>
      <c r="D111" s="246" t="s">
        <v>88</v>
      </c>
      <c r="E111" s="40">
        <v>15.016450000000001</v>
      </c>
      <c r="F111" s="247">
        <v>120.71693</v>
      </c>
      <c r="G111" s="40" t="str">
        <f>CONCATENATE(E111,",",F111)</f>
        <v>15.01645,120.71693</v>
      </c>
      <c r="H111" s="248">
        <v>44914</v>
      </c>
      <c r="I111" s="9" t="s">
        <v>69</v>
      </c>
      <c r="J111" s="9" t="s">
        <v>33</v>
      </c>
      <c r="K111" s="9"/>
      <c r="L111" s="9" t="s">
        <v>239</v>
      </c>
      <c r="M111" s="238"/>
      <c r="N111" s="239"/>
      <c r="O111" s="239"/>
      <c r="P111" s="239"/>
      <c r="Q111" s="239"/>
      <c r="R111" s="239"/>
      <c r="S111" s="24" t="str">
        <f>IFERROR(
    IF(
        OR(ISBLANK(N111), ISBLANK(O111)),
        "",
        MAX(
            1,
            IF(
                NETWORKDAYS(N111, O111, Holiday_Dates) &lt;= 0,
                1,
                NETWORKDAYS(N111, O111, Holiday_Dates) - IF(N111 = O111, 0, 1)
            )
        )
    ),
    ""
)</f>
        <v/>
      </c>
      <c r="T111" s="24" t="str">
        <f>IF(
    OR(ISBLANK(O111), ISBLANK(P111)),
    "",
    MAX(
        1,
        IF(
            NETWORKDAYS(O111, P111, Holiday_Dates) &lt;= 0,
            1,
            NETWORKDAYS(O111, P111, Holiday_Dates) - IF(O111 = P111, 0, 1)
        )
    )
)</f>
        <v/>
      </c>
      <c r="U111" s="24" t="str">
        <f>IFERROR(
  IF(
    OR(A111="Nueva_Ecija", A111="Zambales"),
    IF(
      OR(ISBLANK(P111), ISBLANK(Q111)),
      "",
      MAX(
        1,
        IF(
          NETWORKDAYS(P111, Q111, Holiday_Dates) &lt;= 0,
          1,
          NETWORKDAYS(P111, Q111, Holiday_Dates) - IF(P111 = Q111, 0, 1)
        )
      )
    ),
    IF(
      OR(ISBLANK(O111), ISBLANK(Q111)),
      "",
      MAX(
        1,
        IF(
          NETWORKDAYS(O111, Q111, Holiday_Dates) &lt;= 0,
          1,
          NETWORKDAYS(O111, Q111, Holiday_Dates) - IF(O111 = Q111, 0, 1)
        )
      )
    )
  ),
  ""
)</f>
        <v/>
      </c>
      <c r="V111" s="24" t="str">
        <f>IFERROR(
    IF(
        OR(ISBLANK(Q111), ISBLANK(R111)),
        "",
        MAX(
            1,
            IF(
                NETWORKDAYS(Q111, R111, Holiday_Dates) &lt;= 0,
                1,
                NETWORKDAYS(Q111, R111, Holiday_Dates) - IF(Q111 = R111, 0, 1)
            )
        )
    ),
    ""
)</f>
        <v/>
      </c>
      <c r="W111" s="71"/>
      <c r="X111" s="9"/>
      <c r="Y111" s="71"/>
      <c r="Z111" s="9"/>
      <c r="AA111" s="9"/>
      <c r="AB111" s="9"/>
      <c r="AC111" s="9"/>
      <c r="AD111" s="57"/>
      <c r="AE111" s="323"/>
      <c r="AF111" s="1"/>
      <c r="AG111" s="1"/>
    </row>
    <row r="112" spans="1:33">
      <c r="A112" s="40" t="s">
        <v>51</v>
      </c>
      <c r="B112" s="245" t="s">
        <v>6199</v>
      </c>
      <c r="C112" s="246" t="s">
        <v>541</v>
      </c>
      <c r="D112" s="246" t="s">
        <v>88</v>
      </c>
      <c r="E112" s="40">
        <v>15.016450000000001</v>
      </c>
      <c r="F112" s="247">
        <v>120.71692</v>
      </c>
      <c r="G112" s="40" t="str">
        <f>CONCATENATE(E112,",",F112)</f>
        <v>15.01645,120.71692</v>
      </c>
      <c r="H112" s="248">
        <v>44914</v>
      </c>
      <c r="I112" s="9" t="s">
        <v>69</v>
      </c>
      <c r="J112" s="9" t="s">
        <v>33</v>
      </c>
      <c r="K112" s="9"/>
      <c r="L112" s="9" t="s">
        <v>239</v>
      </c>
      <c r="M112" s="240"/>
      <c r="N112" s="239"/>
      <c r="O112" s="239"/>
      <c r="P112" s="239"/>
      <c r="Q112" s="239"/>
      <c r="R112" s="239"/>
      <c r="S112" s="24" t="str">
        <f>IFERROR(
    IF(
        OR(ISBLANK(N112), ISBLANK(O112)),
        "",
        MAX(
            1,
            IF(
                NETWORKDAYS(N112, O112, Holiday_Dates) &lt;= 0,
                1,
                NETWORKDAYS(N112, O112, Holiday_Dates) - IF(N112 = O112, 0, 1)
            )
        )
    ),
    ""
)</f>
        <v/>
      </c>
      <c r="T112" s="24" t="str">
        <f>IF(
    OR(ISBLANK(O112), ISBLANK(P112)),
    "",
    MAX(
        1,
        IF(
            NETWORKDAYS(O112, P112, Holiday_Dates) &lt;= 0,
            1,
            NETWORKDAYS(O112, P112, Holiday_Dates) - IF(O112 = P112, 0, 1)
        )
    )
)</f>
        <v/>
      </c>
      <c r="U112" s="24" t="str">
        <f>IFERROR(
  IF(
    OR(A112="Nueva_Ecija", A112="Zambales"),
    IF(
      OR(ISBLANK(P112), ISBLANK(Q112)),
      "",
      MAX(
        1,
        IF(
          NETWORKDAYS(P112, Q112, Holiday_Dates) &lt;= 0,
          1,
          NETWORKDAYS(P112, Q112, Holiday_Dates) - IF(P112 = Q112, 0, 1)
        )
      )
    ),
    IF(
      OR(ISBLANK(O112), ISBLANK(Q112)),
      "",
      MAX(
        1,
        IF(
          NETWORKDAYS(O112, Q112, Holiday_Dates) &lt;= 0,
          1,
          NETWORKDAYS(O112, Q112, Holiday_Dates) - IF(O112 = Q112, 0, 1)
        )
      )
    )
  ),
  ""
)</f>
        <v/>
      </c>
      <c r="V112" s="24" t="str">
        <f>IFERROR(
    IF(
        OR(ISBLANK(Q112), ISBLANK(R112)),
        "",
        MAX(
            1,
            IF(
                NETWORKDAYS(Q112, R112, Holiday_Dates) &lt;= 0,
                1,
                NETWORKDAYS(Q112, R112, Holiday_Dates) - IF(Q112 = R112, 0, 1)
            )
        )
    ),
    ""
)</f>
        <v/>
      </c>
      <c r="W112" s="71"/>
      <c r="X112" s="9"/>
      <c r="Y112" s="71"/>
      <c r="Z112" s="9"/>
      <c r="AA112" s="9"/>
      <c r="AB112" s="9"/>
      <c r="AC112" s="9"/>
      <c r="AD112" s="57"/>
      <c r="AE112" s="323"/>
      <c r="AF112" s="1"/>
      <c r="AG112" s="1"/>
    </row>
    <row r="113" spans="1:33">
      <c r="A113" s="40" t="s">
        <v>49</v>
      </c>
      <c r="B113" s="245" t="s">
        <v>6131</v>
      </c>
      <c r="C113" s="246" t="s">
        <v>497</v>
      </c>
      <c r="D113" s="246" t="s">
        <v>88</v>
      </c>
      <c r="E113" s="40">
        <v>14.8358337</v>
      </c>
      <c r="F113" s="247">
        <v>120.8629526</v>
      </c>
      <c r="G113" s="40" t="s">
        <v>6200</v>
      </c>
      <c r="H113" s="248">
        <v>44915</v>
      </c>
      <c r="I113" s="9" t="s">
        <v>70</v>
      </c>
      <c r="J113" s="9" t="s">
        <v>6038</v>
      </c>
      <c r="K113" s="9"/>
      <c r="L113" s="9" t="s">
        <v>128</v>
      </c>
      <c r="M113" s="238"/>
      <c r="N113" s="241"/>
      <c r="O113" s="239"/>
      <c r="P113" s="239"/>
      <c r="Q113" s="239"/>
      <c r="R113" s="239"/>
      <c r="S113" s="24" t="str">
        <f>IFERROR(
    IF(
        OR(ISBLANK(N113), ISBLANK(O113)),
        "",
        MAX(
            1,
            IF(
                NETWORKDAYS(N113, O113, Holiday_Dates) &lt;= 0,
                1,
                NETWORKDAYS(N113, O113, Holiday_Dates) - IF(N113 = O113, 0, 1)
            )
        )
    ),
    ""
)</f>
        <v/>
      </c>
      <c r="T113" s="24" t="str">
        <f>IF(
    OR(ISBLANK(O113), ISBLANK(P113)),
    "",
    MAX(
        1,
        IF(
            NETWORKDAYS(O113, P113, Holiday_Dates) &lt;= 0,
            1,
            NETWORKDAYS(O113, P113, Holiday_Dates) - IF(O113 = P113, 0, 1)
        )
    )
)</f>
        <v/>
      </c>
      <c r="U113" s="24" t="str">
        <f>IFERROR(
  IF(
    OR(A113="Nueva_Ecija", A113="Zambales"),
    IF(
      OR(ISBLANK(P113), ISBLANK(Q113)),
      "",
      MAX(
        1,
        IF(
          NETWORKDAYS(P113, Q113, Holiday_Dates) &lt;= 0,
          1,
          NETWORKDAYS(P113, Q113, Holiday_Dates) - IF(P113 = Q113, 0, 1)
        )
      )
    ),
    IF(
      OR(ISBLANK(O113), ISBLANK(Q113)),
      "",
      MAX(
        1,
        IF(
          NETWORKDAYS(O113, Q113, Holiday_Dates) &lt;= 0,
          1,
          NETWORKDAYS(O113, Q113, Holiday_Dates) - IF(O113 = Q113, 0, 1)
        )
      )
    )
  ),
  ""
)</f>
        <v/>
      </c>
      <c r="V113" s="24" t="str">
        <f>IFERROR(
    IF(
        OR(ISBLANK(Q113), ISBLANK(R113)),
        "",
        MAX(
            1,
            IF(
                NETWORKDAYS(Q113, R113, Holiday_Dates) &lt;= 0,
                1,
                NETWORKDAYS(Q113, R113, Holiday_Dates) - IF(Q113 = R113, 0, 1)
            )
        )
    ),
    ""
)</f>
        <v/>
      </c>
      <c r="W113" s="71"/>
      <c r="X113" s="9"/>
      <c r="Y113" s="71"/>
      <c r="Z113" s="9"/>
      <c r="AA113" s="9"/>
      <c r="AB113" s="9"/>
      <c r="AC113" s="6"/>
      <c r="AD113" s="57"/>
      <c r="AE113" s="323"/>
      <c r="AF113" s="1"/>
      <c r="AG113" s="1"/>
    </row>
    <row r="114" spans="1:33">
      <c r="A114" s="40" t="s">
        <v>49</v>
      </c>
      <c r="B114" s="245" t="s">
        <v>6201</v>
      </c>
      <c r="C114" s="246" t="s">
        <v>342</v>
      </c>
      <c r="D114" s="246" t="s">
        <v>88</v>
      </c>
      <c r="E114" s="40">
        <v>14.8232</v>
      </c>
      <c r="F114" s="247">
        <v>120.7257</v>
      </c>
      <c r="G114" s="40" t="s">
        <v>6202</v>
      </c>
      <c r="H114" s="248">
        <v>44915</v>
      </c>
      <c r="I114" s="9" t="s">
        <v>70</v>
      </c>
      <c r="J114" s="9" t="s">
        <v>344</v>
      </c>
      <c r="K114" s="9"/>
      <c r="L114" s="9" t="s">
        <v>128</v>
      </c>
      <c r="M114" s="242"/>
      <c r="N114" s="239"/>
      <c r="O114" s="239"/>
      <c r="P114" s="239"/>
      <c r="Q114" s="239"/>
      <c r="R114" s="239"/>
      <c r="S114" s="24" t="str">
        <f>IFERROR(
    IF(
        OR(ISBLANK(N114), ISBLANK(O114)),
        "",
        MAX(
            1,
            IF(
                NETWORKDAYS(N114, O114, Holiday_Dates) &lt;= 0,
                1,
                NETWORKDAYS(N114, O114, Holiday_Dates) - IF(N114 = O114, 0, 1)
            )
        )
    ),
    ""
)</f>
        <v/>
      </c>
      <c r="T114" s="24" t="str">
        <f>IF(
    OR(ISBLANK(O114), ISBLANK(P114)),
    "",
    MAX(
        1,
        IF(
            NETWORKDAYS(O114, P114, Holiday_Dates) &lt;= 0,
            1,
            NETWORKDAYS(O114, P114, Holiday_Dates) - IF(O114 = P114, 0, 1)
        )
    )
)</f>
        <v/>
      </c>
      <c r="U114" s="24" t="str">
        <f>IFERROR(
  IF(
    OR(A114="Nueva_Ecija", A114="Zambales"),
    IF(
      OR(ISBLANK(P114), ISBLANK(Q114)),
      "",
      MAX(
        1,
        IF(
          NETWORKDAYS(P114, Q114, Holiday_Dates) &lt;= 0,
          1,
          NETWORKDAYS(P114, Q114, Holiday_Dates) - IF(P114 = Q114, 0, 1)
        )
      )
    ),
    IF(
      OR(ISBLANK(O114), ISBLANK(Q114)),
      "",
      MAX(
        1,
        IF(
          NETWORKDAYS(O114, Q114, Holiday_Dates) &lt;= 0,
          1,
          NETWORKDAYS(O114, Q114, Holiday_Dates) - IF(O114 = Q114, 0, 1)
        )
      )
    )
  ),
  ""
)</f>
        <v/>
      </c>
      <c r="V114" s="24" t="str">
        <f>IFERROR(
    IF(
        OR(ISBLANK(Q114), ISBLANK(R114)),
        "",
        MAX(
            1,
            IF(
                NETWORKDAYS(Q114, R114, Holiday_Dates) &lt;= 0,
                1,
                NETWORKDAYS(Q114, R114, Holiday_Dates) - IF(Q114 = R114, 0, 1)
            )
        )
    ),
    ""
)</f>
        <v/>
      </c>
      <c r="W114" s="71"/>
      <c r="X114" s="9"/>
      <c r="Y114" s="71"/>
      <c r="Z114" s="9"/>
      <c r="AA114" s="9"/>
      <c r="AB114" s="9"/>
      <c r="AC114" s="6"/>
      <c r="AD114" s="57"/>
      <c r="AE114" s="323"/>
      <c r="AF114" s="1"/>
      <c r="AG114" s="1"/>
    </row>
    <row r="115" spans="1:33">
      <c r="A115" s="40" t="s">
        <v>49</v>
      </c>
      <c r="B115" s="245" t="s">
        <v>6203</v>
      </c>
      <c r="C115" s="246" t="s">
        <v>440</v>
      </c>
      <c r="D115" s="246" t="s">
        <v>88</v>
      </c>
      <c r="E115" s="40">
        <v>15.139200000000001</v>
      </c>
      <c r="F115" s="247">
        <v>120.9774</v>
      </c>
      <c r="G115" s="40" t="str">
        <f>CONCATENATE(E115,",",F115)</f>
        <v>15.1392,120.9774</v>
      </c>
      <c r="H115" s="248">
        <v>44900</v>
      </c>
      <c r="I115" s="9" t="s">
        <v>70</v>
      </c>
      <c r="J115" s="9" t="s">
        <v>344</v>
      </c>
      <c r="K115" s="9"/>
      <c r="L115" s="9" t="s">
        <v>128</v>
      </c>
      <c r="M115" s="238"/>
      <c r="N115" s="239"/>
      <c r="O115" s="239"/>
      <c r="P115" s="239"/>
      <c r="Q115" s="239"/>
      <c r="R115" s="239"/>
      <c r="S115" s="24" t="str">
        <f>IFERROR(
    IF(
        OR(ISBLANK(N115), ISBLANK(O115)),
        "",
        MAX(
            1,
            IF(
                NETWORKDAYS(N115, O115, Holiday_Dates) &lt;= 0,
                1,
                NETWORKDAYS(N115, O115, Holiday_Dates) - IF(N115 = O115, 0, 1)
            )
        )
    ),
    ""
)</f>
        <v/>
      </c>
      <c r="T115" s="24" t="str">
        <f>IF(
    OR(ISBLANK(O115), ISBLANK(P115)),
    "",
    MAX(
        1,
        IF(
            NETWORKDAYS(O115, P115, Holiday_Dates) &lt;= 0,
            1,
            NETWORKDAYS(O115, P115, Holiday_Dates) - IF(O115 = P115, 0, 1)
        )
    )
)</f>
        <v/>
      </c>
      <c r="U115" s="24" t="str">
        <f>IFERROR(
  IF(
    OR(A115="Nueva_Ecija", A115="Zambales"),
    IF(
      OR(ISBLANK(P115), ISBLANK(Q115)),
      "",
      MAX(
        1,
        IF(
          NETWORKDAYS(P115, Q115, Holiday_Dates) &lt;= 0,
          1,
          NETWORKDAYS(P115, Q115, Holiday_Dates) - IF(P115 = Q115, 0, 1)
        )
      )
    ),
    IF(
      OR(ISBLANK(O115), ISBLANK(Q115)),
      "",
      MAX(
        1,
        IF(
          NETWORKDAYS(O115, Q115, Holiday_Dates) &lt;= 0,
          1,
          NETWORKDAYS(O115, Q115, Holiday_Dates) - IF(O115 = Q115, 0, 1)
        )
      )
    )
  ),
  ""
)</f>
        <v/>
      </c>
      <c r="V115" s="24" t="str">
        <f>IFERROR(
    IF(
        OR(ISBLANK(Q115), ISBLANK(R115)),
        "",
        MAX(
            1,
            IF(
                NETWORKDAYS(Q115, R115, Holiday_Dates) &lt;= 0,
                1,
                NETWORKDAYS(Q115, R115, Holiday_Dates) - IF(Q115 = R115, 0, 1)
            )
        )
    ),
    ""
)</f>
        <v/>
      </c>
      <c r="W115" s="71"/>
      <c r="X115" s="9"/>
      <c r="Y115" s="71"/>
      <c r="Z115" s="9"/>
      <c r="AA115" s="9"/>
      <c r="AB115" s="9"/>
      <c r="AC115" s="9"/>
      <c r="AD115" s="57"/>
      <c r="AE115" s="6"/>
      <c r="AF115" s="9"/>
      <c r="AG115" s="9"/>
    </row>
    <row r="116" spans="1:33">
      <c r="A116" s="40" t="s">
        <v>49</v>
      </c>
      <c r="B116" s="245" t="s">
        <v>6203</v>
      </c>
      <c r="C116" s="246" t="s">
        <v>440</v>
      </c>
      <c r="D116" s="246" t="s">
        <v>88</v>
      </c>
      <c r="E116" s="40">
        <v>15.140499999999999</v>
      </c>
      <c r="F116" s="247">
        <v>120.96810000000001</v>
      </c>
      <c r="G116" s="40" t="str">
        <f>CONCATENATE(E116,",",F116)</f>
        <v>15.1405,120.9681</v>
      </c>
      <c r="H116" s="248">
        <v>44900</v>
      </c>
      <c r="I116" s="9" t="s">
        <v>70</v>
      </c>
      <c r="J116" s="9" t="s">
        <v>344</v>
      </c>
      <c r="K116" s="9"/>
      <c r="L116" s="9" t="s">
        <v>128</v>
      </c>
      <c r="M116" s="238"/>
      <c r="N116" s="239"/>
      <c r="O116" s="239"/>
      <c r="P116" s="239"/>
      <c r="Q116" s="239"/>
      <c r="R116" s="239"/>
      <c r="S116" s="24" t="str">
        <f>IFERROR(
    IF(
        OR(ISBLANK(N116), ISBLANK(O116)),
        "",
        MAX(
            1,
            IF(
                NETWORKDAYS(N116, O116, Holiday_Dates) &lt;= 0,
                1,
                NETWORKDAYS(N116, O116, Holiday_Dates) - IF(N116 = O116, 0, 1)
            )
        )
    ),
    ""
)</f>
        <v/>
      </c>
      <c r="T116" s="24" t="str">
        <f>IF(
    OR(ISBLANK(O116), ISBLANK(P116)),
    "",
    MAX(
        1,
        IF(
            NETWORKDAYS(O116, P116, Holiday_Dates) &lt;= 0,
            1,
            NETWORKDAYS(O116, P116, Holiday_Dates) - IF(O116 = P116, 0, 1)
        )
    )
)</f>
        <v/>
      </c>
      <c r="U116" s="24" t="str">
        <f>IFERROR(
  IF(
    OR(A116="Nueva_Ecija", A116="Zambales"),
    IF(
      OR(ISBLANK(P116), ISBLANK(Q116)),
      "",
      MAX(
        1,
        IF(
          NETWORKDAYS(P116, Q116, Holiday_Dates) &lt;= 0,
          1,
          NETWORKDAYS(P116, Q116, Holiday_Dates) - IF(P116 = Q116, 0, 1)
        )
      )
    ),
    IF(
      OR(ISBLANK(O116), ISBLANK(Q116)),
      "",
      MAX(
        1,
        IF(
          NETWORKDAYS(O116, Q116, Holiday_Dates) &lt;= 0,
          1,
          NETWORKDAYS(O116, Q116, Holiday_Dates) - IF(O116 = Q116, 0, 1)
        )
      )
    )
  ),
  ""
)</f>
        <v/>
      </c>
      <c r="V116" s="24" t="str">
        <f>IFERROR(
    IF(
        OR(ISBLANK(Q116), ISBLANK(R116)),
        "",
        MAX(
            1,
            IF(
                NETWORKDAYS(Q116, R116, Holiday_Dates) &lt;= 0,
                1,
                NETWORKDAYS(Q116, R116, Holiday_Dates) - IF(Q116 = R116, 0, 1)
            )
        )
    ),
    ""
)</f>
        <v/>
      </c>
      <c r="W116" s="71"/>
      <c r="X116" s="9"/>
      <c r="Y116" s="71"/>
      <c r="Z116" s="9"/>
      <c r="AA116" s="9"/>
      <c r="AB116" s="9"/>
      <c r="AC116" s="9"/>
      <c r="AD116" s="57"/>
      <c r="AE116" s="323"/>
      <c r="AF116" s="1"/>
      <c r="AG116" s="1"/>
    </row>
    <row r="117" spans="1:33">
      <c r="A117" s="40" t="s">
        <v>49</v>
      </c>
      <c r="B117" s="245" t="s">
        <v>6007</v>
      </c>
      <c r="C117" s="246" t="s">
        <v>440</v>
      </c>
      <c r="D117" s="246" t="s">
        <v>88</v>
      </c>
      <c r="E117" s="40">
        <v>15.140356000000001</v>
      </c>
      <c r="F117" s="247">
        <v>120.96810000000001</v>
      </c>
      <c r="G117" s="40" t="s">
        <v>6204</v>
      </c>
      <c r="H117" s="248">
        <v>44900</v>
      </c>
      <c r="I117" s="9" t="s">
        <v>70</v>
      </c>
      <c r="J117" s="9" t="s">
        <v>344</v>
      </c>
      <c r="K117" s="9"/>
      <c r="L117" s="9" t="s">
        <v>128</v>
      </c>
      <c r="M117" s="240"/>
      <c r="N117" s="239"/>
      <c r="O117" s="239"/>
      <c r="P117" s="239"/>
      <c r="Q117" s="239"/>
      <c r="R117" s="239"/>
      <c r="S117" s="24" t="str">
        <f>IFERROR(
    IF(
        OR(ISBLANK(N117), ISBLANK(O117)),
        "",
        MAX(
            1,
            IF(
                NETWORKDAYS(N117, O117, Holiday_Dates) &lt;= 0,
                1,
                NETWORKDAYS(N117, O117, Holiday_Dates) - IF(N117 = O117, 0, 1)
            )
        )
    ),
    ""
)</f>
        <v/>
      </c>
      <c r="T117" s="24" t="str">
        <f>IF(
    OR(ISBLANK(O117), ISBLANK(P117)),
    "",
    MAX(
        1,
        IF(
            NETWORKDAYS(O117, P117, Holiday_Dates) &lt;= 0,
            1,
            NETWORKDAYS(O117, P117, Holiday_Dates) - IF(O117 = P117, 0, 1)
        )
    )
)</f>
        <v/>
      </c>
      <c r="U117" s="24" t="str">
        <f>IFERROR(
  IF(
    OR(A117="Nueva_Ecija", A117="Zambales"),
    IF(
      OR(ISBLANK(P117), ISBLANK(Q117)),
      "",
      MAX(
        1,
        IF(
          NETWORKDAYS(P117, Q117, Holiday_Dates) &lt;= 0,
          1,
          NETWORKDAYS(P117, Q117, Holiday_Dates) - IF(P117 = Q117, 0, 1)
        )
      )
    ),
    IF(
      OR(ISBLANK(O117), ISBLANK(Q117)),
      "",
      MAX(
        1,
        IF(
          NETWORKDAYS(O117, Q117, Holiday_Dates) &lt;= 0,
          1,
          NETWORKDAYS(O117, Q117, Holiday_Dates) - IF(O117 = Q117, 0, 1)
        )
      )
    )
  ),
  ""
)</f>
        <v/>
      </c>
      <c r="V117" s="24" t="str">
        <f>IFERROR(
    IF(
        OR(ISBLANK(Q117), ISBLANK(R117)),
        "",
        MAX(
            1,
            IF(
                NETWORKDAYS(Q117, R117, Holiday_Dates) &lt;= 0,
                1,
                NETWORKDAYS(Q117, R117, Holiday_Dates) - IF(Q117 = R117, 0, 1)
            )
        )
    ),
    ""
)</f>
        <v/>
      </c>
      <c r="W117" s="71"/>
      <c r="X117" s="9"/>
      <c r="Y117" s="71"/>
      <c r="Z117" s="9"/>
      <c r="AA117" s="9"/>
      <c r="AB117" s="9"/>
      <c r="AC117" s="9"/>
      <c r="AD117" s="71"/>
      <c r="AE117" s="284"/>
      <c r="AF117" s="1"/>
      <c r="AG117" s="1"/>
    </row>
    <row r="118" spans="1:33">
      <c r="A118" s="40" t="s">
        <v>49</v>
      </c>
      <c r="B118" s="245" t="s">
        <v>6007</v>
      </c>
      <c r="C118" s="246" t="s">
        <v>440</v>
      </c>
      <c r="D118" s="246" t="s">
        <v>88</v>
      </c>
      <c r="E118" s="40">
        <v>15.140356000000001</v>
      </c>
      <c r="F118" s="247">
        <v>120.96810000000001</v>
      </c>
      <c r="G118" s="40" t="s">
        <v>6204</v>
      </c>
      <c r="H118" s="248">
        <v>44900</v>
      </c>
      <c r="I118" s="9" t="s">
        <v>70</v>
      </c>
      <c r="J118" s="9" t="s">
        <v>344</v>
      </c>
      <c r="K118" s="9"/>
      <c r="L118" s="9" t="s">
        <v>128</v>
      </c>
      <c r="M118" s="238"/>
      <c r="N118" s="241"/>
      <c r="O118" s="239"/>
      <c r="P118" s="239"/>
      <c r="Q118" s="239"/>
      <c r="R118" s="239"/>
      <c r="S118" s="24" t="str">
        <f>IFERROR(
    IF(
        OR(ISBLANK(N118), ISBLANK(O118)),
        "",
        MAX(
            1,
            IF(
                NETWORKDAYS(N118, O118, Holiday_Dates) &lt;= 0,
                1,
                NETWORKDAYS(N118, O118, Holiday_Dates) - IF(N118 = O118, 0, 1)
            )
        )
    ),
    ""
)</f>
        <v/>
      </c>
      <c r="T118" s="24" t="str">
        <f>IF(
    OR(ISBLANK(O118), ISBLANK(P118)),
    "",
    MAX(
        1,
        IF(
            NETWORKDAYS(O118, P118, Holiday_Dates) &lt;= 0,
            1,
            NETWORKDAYS(O118, P118, Holiday_Dates) - IF(O118 = P118, 0, 1)
        )
    )
)</f>
        <v/>
      </c>
      <c r="U118" s="24" t="str">
        <f>IFERROR(
  IF(
    OR(A118="Nueva_Ecija", A118="Zambales"),
    IF(
      OR(ISBLANK(P118), ISBLANK(Q118)),
      "",
      MAX(
        1,
        IF(
          NETWORKDAYS(P118, Q118, Holiday_Dates) &lt;= 0,
          1,
          NETWORKDAYS(P118, Q118, Holiday_Dates) - IF(P118 = Q118, 0, 1)
        )
      )
    ),
    IF(
      OR(ISBLANK(O118), ISBLANK(Q118)),
      "",
      MAX(
        1,
        IF(
          NETWORKDAYS(O118, Q118, Holiday_Dates) &lt;= 0,
          1,
          NETWORKDAYS(O118, Q118, Holiday_Dates) - IF(O118 = Q118, 0, 1)
        )
      )
    )
  ),
  ""
)</f>
        <v/>
      </c>
      <c r="V118" s="24" t="str">
        <f>IFERROR(
    IF(
        OR(ISBLANK(Q118), ISBLANK(R118)),
        "",
        MAX(
            1,
            IF(
                NETWORKDAYS(Q118, R118, Holiday_Dates) &lt;= 0,
                1,
                NETWORKDAYS(Q118, R118, Holiday_Dates) - IF(Q118 = R118, 0, 1)
            )
        )
    ),
    ""
)</f>
        <v/>
      </c>
      <c r="W118" s="71"/>
      <c r="X118" s="9"/>
      <c r="Y118" s="71"/>
      <c r="Z118" s="9"/>
      <c r="AA118" s="9"/>
      <c r="AB118" s="9"/>
      <c r="AC118" s="9"/>
      <c r="AD118" s="71"/>
      <c r="AE118" s="284"/>
      <c r="AF118" s="1"/>
      <c r="AG118" s="1"/>
    </row>
    <row r="119" spans="1:33">
      <c r="A119" s="40" t="s">
        <v>49</v>
      </c>
      <c r="B119" s="245" t="s">
        <v>6205</v>
      </c>
      <c r="C119" s="246" t="s">
        <v>1309</v>
      </c>
      <c r="D119" s="246" t="s">
        <v>88</v>
      </c>
      <c r="E119" s="40">
        <v>14.853016</v>
      </c>
      <c r="F119" s="247">
        <v>121.00062</v>
      </c>
      <c r="G119" s="40" t="s">
        <v>6206</v>
      </c>
      <c r="H119" s="248">
        <v>44915</v>
      </c>
      <c r="I119" s="9" t="s">
        <v>70</v>
      </c>
      <c r="J119" s="9" t="s">
        <v>136</v>
      </c>
      <c r="K119" s="9"/>
      <c r="L119" s="9" t="s">
        <v>128</v>
      </c>
      <c r="M119" s="238"/>
      <c r="N119" s="241"/>
      <c r="O119" s="239"/>
      <c r="P119" s="239"/>
      <c r="Q119" s="239"/>
      <c r="R119" s="239"/>
      <c r="S119" s="24" t="str">
        <f>IFERROR(
    IF(
        OR(ISBLANK(N119), ISBLANK(O119)),
        "",
        MAX(
            1,
            IF(
                NETWORKDAYS(N119, O119, Holiday_Dates) &lt;= 0,
                1,
                NETWORKDAYS(N119, O119, Holiday_Dates) - IF(N119 = O119, 0, 1)
            )
        )
    ),
    ""
)</f>
        <v/>
      </c>
      <c r="T119" s="24" t="str">
        <f>IF(
    OR(ISBLANK(O119), ISBLANK(P119)),
    "",
    MAX(
        1,
        IF(
            NETWORKDAYS(O119, P119, Holiday_Dates) &lt;= 0,
            1,
            NETWORKDAYS(O119, P119, Holiday_Dates) - IF(O119 = P119, 0, 1)
        )
    )
)</f>
        <v/>
      </c>
      <c r="U119" s="24" t="str">
        <f>IFERROR(
  IF(
    OR(A119="Nueva_Ecija", A119="Zambales"),
    IF(
      OR(ISBLANK(P119), ISBLANK(Q119)),
      "",
      MAX(
        1,
        IF(
          NETWORKDAYS(P119, Q119, Holiday_Dates) &lt;= 0,
          1,
          NETWORKDAYS(P119, Q119, Holiday_Dates) - IF(P119 = Q119, 0, 1)
        )
      )
    ),
    IF(
      OR(ISBLANK(O119), ISBLANK(Q119)),
      "",
      MAX(
        1,
        IF(
          NETWORKDAYS(O119, Q119, Holiday_Dates) &lt;= 0,
          1,
          NETWORKDAYS(O119, Q119, Holiday_Dates) - IF(O119 = Q119, 0, 1)
        )
      )
    )
  ),
  ""
)</f>
        <v/>
      </c>
      <c r="V119" s="24" t="str">
        <f>IFERROR(
    IF(
        OR(ISBLANK(Q119), ISBLANK(R119)),
        "",
        MAX(
            1,
            IF(
                NETWORKDAYS(Q119, R119, Holiday_Dates) &lt;= 0,
                1,
                NETWORKDAYS(Q119, R119, Holiday_Dates) - IF(Q119 = R119, 0, 1)
            )
        )
    ),
    ""
)</f>
        <v/>
      </c>
      <c r="W119" s="71"/>
      <c r="X119" s="9"/>
      <c r="Y119" s="71"/>
      <c r="Z119" s="9"/>
      <c r="AA119" s="9"/>
      <c r="AB119" s="9"/>
      <c r="AC119" s="9"/>
      <c r="AD119" s="57"/>
      <c r="AE119" s="323"/>
      <c r="AF119" s="1"/>
      <c r="AG119" s="1"/>
    </row>
    <row r="120" spans="1:33">
      <c r="A120" s="40" t="s">
        <v>49</v>
      </c>
      <c r="B120" s="245" t="s">
        <v>6205</v>
      </c>
      <c r="C120" s="246" t="s">
        <v>1309</v>
      </c>
      <c r="D120" s="246" t="s">
        <v>88</v>
      </c>
      <c r="E120" s="40">
        <v>14.842599999999999</v>
      </c>
      <c r="F120" s="247">
        <v>121.00190000000001</v>
      </c>
      <c r="G120" s="40" t="s">
        <v>6140</v>
      </c>
      <c r="H120" s="248">
        <v>44915</v>
      </c>
      <c r="I120" s="9" t="s">
        <v>70</v>
      </c>
      <c r="J120" s="9" t="s">
        <v>136</v>
      </c>
      <c r="K120" s="9"/>
      <c r="L120" s="9" t="s">
        <v>128</v>
      </c>
      <c r="M120" s="238"/>
      <c r="N120" s="241"/>
      <c r="O120" s="239"/>
      <c r="P120" s="239"/>
      <c r="Q120" s="239"/>
      <c r="R120" s="239"/>
      <c r="S120" s="24" t="str">
        <f>IFERROR(
    IF(
        OR(ISBLANK(N120), ISBLANK(O120)),
        "",
        MAX(
            1,
            IF(
                NETWORKDAYS(N120, O120, Holiday_Dates) &lt;= 0,
                1,
                NETWORKDAYS(N120, O120, Holiday_Dates) - IF(N120 = O120, 0, 1)
            )
        )
    ),
    ""
)</f>
        <v/>
      </c>
      <c r="T120" s="24" t="str">
        <f>IF(
    OR(ISBLANK(O120), ISBLANK(P120)),
    "",
    MAX(
        1,
        IF(
            NETWORKDAYS(O120, P120, Holiday_Dates) &lt;= 0,
            1,
            NETWORKDAYS(O120, P120, Holiday_Dates) - IF(O120 = P120, 0, 1)
        )
    )
)</f>
        <v/>
      </c>
      <c r="U120" s="24" t="str">
        <f>IFERROR(
  IF(
    OR(A120="Nueva_Ecija", A120="Zambales"),
    IF(
      OR(ISBLANK(P120), ISBLANK(Q120)),
      "",
      MAX(
        1,
        IF(
          NETWORKDAYS(P120, Q120, Holiday_Dates) &lt;= 0,
          1,
          NETWORKDAYS(P120, Q120, Holiday_Dates) - IF(P120 = Q120, 0, 1)
        )
      )
    ),
    IF(
      OR(ISBLANK(O120), ISBLANK(Q120)),
      "",
      MAX(
        1,
        IF(
          NETWORKDAYS(O120, Q120, Holiday_Dates) &lt;= 0,
          1,
          NETWORKDAYS(O120, Q120, Holiday_Dates) - IF(O120 = Q120, 0, 1)
        )
      )
    )
  ),
  ""
)</f>
        <v/>
      </c>
      <c r="V120" s="24" t="str">
        <f>IFERROR(
    IF(
        OR(ISBLANK(Q120), ISBLANK(R120)),
        "",
        MAX(
            1,
            IF(
                NETWORKDAYS(Q120, R120, Holiday_Dates) &lt;= 0,
                1,
                NETWORKDAYS(Q120, R120, Holiday_Dates) - IF(Q120 = R120, 0, 1)
            )
        )
    ),
    ""
)</f>
        <v/>
      </c>
      <c r="W120" s="71"/>
      <c r="X120" s="9"/>
      <c r="Y120" s="71"/>
      <c r="Z120" s="9"/>
      <c r="AA120" s="9"/>
      <c r="AB120" s="9"/>
      <c r="AC120" s="9"/>
      <c r="AD120" s="57"/>
      <c r="AE120" s="323"/>
      <c r="AF120" s="1"/>
      <c r="AG120" s="1"/>
    </row>
    <row r="121" spans="1:33">
      <c r="A121" s="40" t="s">
        <v>65</v>
      </c>
      <c r="B121" s="245" t="s">
        <v>6207</v>
      </c>
      <c r="C121" s="246" t="s">
        <v>6150</v>
      </c>
      <c r="D121" s="246" t="s">
        <v>88</v>
      </c>
      <c r="E121" s="40">
        <v>15.489699999999999</v>
      </c>
      <c r="F121" s="247">
        <v>120.9616</v>
      </c>
      <c r="G121" s="40" t="s">
        <v>6208</v>
      </c>
      <c r="H121" s="248">
        <v>44901</v>
      </c>
      <c r="I121" s="9" t="s">
        <v>70</v>
      </c>
      <c r="J121" s="9" t="s">
        <v>141</v>
      </c>
      <c r="K121" s="9"/>
      <c r="L121" s="9" t="s">
        <v>130</v>
      </c>
      <c r="M121" s="242"/>
      <c r="N121" s="239"/>
      <c r="O121" s="239"/>
      <c r="P121" s="239"/>
      <c r="Q121" s="239"/>
      <c r="R121" s="239"/>
      <c r="S121" s="24" t="str">
        <f>IFERROR(
    IF(
        OR(ISBLANK(N121), ISBLANK(O121)),
        "",
        MAX(
            1,
            IF(
                NETWORKDAYS(N121, O121, Holiday_Dates) &lt;= 0,
                1,
                NETWORKDAYS(N121, O121, Holiday_Dates) - IF(N121 = O121, 0, 1)
            )
        )
    ),
    ""
)</f>
        <v/>
      </c>
      <c r="T121" s="24" t="str">
        <f>IF(
    OR(ISBLANK(O121), ISBLANK(P121)),
    "",
    MAX(
        1,
        IF(
            NETWORKDAYS(O121, P121, Holiday_Dates) &lt;= 0,
            1,
            NETWORKDAYS(O121, P121, Holiday_Dates) - IF(O121 = P121, 0, 1)
        )
    )
)</f>
        <v/>
      </c>
      <c r="U121" s="24" t="str">
        <f>IFERROR(
  IF(
    OR(A121="Nueva_Ecija", A121="Zambales"),
    IF(
      OR(ISBLANK(P121), ISBLANK(Q121)),
      "",
      MAX(
        1,
        IF(
          NETWORKDAYS(P121, Q121, Holiday_Dates) &lt;= 0,
          1,
          NETWORKDAYS(P121, Q121, Holiday_Dates) - IF(P121 = Q121, 0, 1)
        )
      )
    ),
    IF(
      OR(ISBLANK(O121), ISBLANK(Q121)),
      "",
      MAX(
        1,
        IF(
          NETWORKDAYS(O121, Q121, Holiday_Dates) &lt;= 0,
          1,
          NETWORKDAYS(O121, Q121, Holiday_Dates) - IF(O121 = Q121, 0, 1)
        )
      )
    )
  ),
  ""
)</f>
        <v/>
      </c>
      <c r="V121" s="24" t="str">
        <f>IFERROR(
    IF(
        OR(ISBLANK(Q121), ISBLANK(R121)),
        "",
        MAX(
            1,
            IF(
                NETWORKDAYS(Q121, R121, Holiday_Dates) &lt;= 0,
                1,
                NETWORKDAYS(Q121, R121, Holiday_Dates) - IF(Q121 = R121, 0, 1)
            )
        )
    ),
    ""
)</f>
        <v/>
      </c>
      <c r="W121" s="71"/>
      <c r="X121" s="9"/>
      <c r="Y121" s="71"/>
      <c r="Z121" s="9"/>
      <c r="AA121" s="9"/>
      <c r="AB121" s="9"/>
      <c r="AC121" s="8"/>
      <c r="AD121" s="57"/>
      <c r="AE121" s="323"/>
      <c r="AF121" s="1"/>
      <c r="AG121" s="1"/>
    </row>
    <row r="122" spans="1:33">
      <c r="A122" s="40" t="s">
        <v>65</v>
      </c>
      <c r="B122" s="245" t="s">
        <v>6209</v>
      </c>
      <c r="C122" s="246" t="s">
        <v>6150</v>
      </c>
      <c r="D122" s="246" t="s">
        <v>88</v>
      </c>
      <c r="E122" s="40">
        <v>15.47551717</v>
      </c>
      <c r="F122" s="247">
        <v>120.9622255</v>
      </c>
      <c r="G122" s="40" t="s">
        <v>6210</v>
      </c>
      <c r="H122" s="248">
        <v>44901</v>
      </c>
      <c r="I122" s="9" t="s">
        <v>70</v>
      </c>
      <c r="J122" s="9" t="s">
        <v>141</v>
      </c>
      <c r="K122" s="9"/>
      <c r="L122" s="9" t="s">
        <v>130</v>
      </c>
      <c r="M122" s="238"/>
      <c r="N122" s="239"/>
      <c r="O122" s="239"/>
      <c r="P122" s="239"/>
      <c r="Q122" s="239"/>
      <c r="R122" s="239"/>
      <c r="S122" s="24" t="str">
        <f>IFERROR(
    IF(
        OR(ISBLANK(N122), ISBLANK(O122)),
        "",
        MAX(
            1,
            IF(
                NETWORKDAYS(N122, O122, Holiday_Dates) &lt;= 0,
                1,
                NETWORKDAYS(N122, O122, Holiday_Dates) - IF(N122 = O122, 0, 1)
            )
        )
    ),
    ""
)</f>
        <v/>
      </c>
      <c r="T122" s="24" t="str">
        <f>IF(
    OR(ISBLANK(O122), ISBLANK(P122)),
    "",
    MAX(
        1,
        IF(
            NETWORKDAYS(O122, P122, Holiday_Dates) &lt;= 0,
            1,
            NETWORKDAYS(O122, P122, Holiday_Dates) - IF(O122 = P122, 0, 1)
        )
    )
)</f>
        <v/>
      </c>
      <c r="U122" s="24" t="str">
        <f>IFERROR(
  IF(
    OR(A122="Nueva_Ecija", A122="Zambales"),
    IF(
      OR(ISBLANK(P122), ISBLANK(Q122)),
      "",
      MAX(
        1,
        IF(
          NETWORKDAYS(P122, Q122, Holiday_Dates) &lt;= 0,
          1,
          NETWORKDAYS(P122, Q122, Holiday_Dates) - IF(P122 = Q122, 0, 1)
        )
      )
    ),
    IF(
      OR(ISBLANK(O122), ISBLANK(Q122)),
      "",
      MAX(
        1,
        IF(
          NETWORKDAYS(O122, Q122, Holiday_Dates) &lt;= 0,
          1,
          NETWORKDAYS(O122, Q122, Holiday_Dates) - IF(O122 = Q122, 0, 1)
        )
      )
    )
  ),
  ""
)</f>
        <v/>
      </c>
      <c r="V122" s="24" t="str">
        <f>IFERROR(
    IF(
        OR(ISBLANK(Q122), ISBLANK(R122)),
        "",
        MAX(
            1,
            IF(
                NETWORKDAYS(Q122, R122, Holiday_Dates) &lt;= 0,
                1,
                NETWORKDAYS(Q122, R122, Holiday_Dates) - IF(Q122 = R122, 0, 1)
            )
        )
    ),
    ""
)</f>
        <v/>
      </c>
      <c r="W122" s="71"/>
      <c r="X122" s="9"/>
      <c r="Y122" s="71"/>
      <c r="Z122" s="9"/>
      <c r="AA122" s="9"/>
      <c r="AB122" s="9"/>
      <c r="AC122" s="8"/>
      <c r="AD122" s="57"/>
      <c r="AE122" s="323"/>
      <c r="AF122" s="1"/>
      <c r="AG122" s="1"/>
    </row>
    <row r="123" spans="1:33">
      <c r="A123" s="40" t="s">
        <v>65</v>
      </c>
      <c r="B123" s="245" t="s">
        <v>6211</v>
      </c>
      <c r="C123" s="246" t="s">
        <v>6150</v>
      </c>
      <c r="D123" s="246" t="s">
        <v>88</v>
      </c>
      <c r="E123" s="40">
        <v>15.49064486</v>
      </c>
      <c r="F123" s="247">
        <v>120.96373952</v>
      </c>
      <c r="G123" s="40" t="s">
        <v>6212</v>
      </c>
      <c r="H123" s="248">
        <v>44901</v>
      </c>
      <c r="I123" s="9" t="s">
        <v>70</v>
      </c>
      <c r="J123" s="9" t="s">
        <v>141</v>
      </c>
      <c r="K123" s="9"/>
      <c r="L123" s="9" t="s">
        <v>130</v>
      </c>
      <c r="M123" s="238"/>
      <c r="N123" s="239"/>
      <c r="O123" s="239"/>
      <c r="P123" s="239"/>
      <c r="Q123" s="239"/>
      <c r="R123" s="239"/>
      <c r="S123" s="24" t="str">
        <f>IFERROR(
    IF(
        OR(ISBLANK(N123), ISBLANK(O123)),
        "",
        MAX(
            1,
            IF(
                NETWORKDAYS(N123, O123, Holiday_Dates) &lt;= 0,
                1,
                NETWORKDAYS(N123, O123, Holiday_Dates) - IF(N123 = O123, 0, 1)
            )
        )
    ),
    ""
)</f>
        <v/>
      </c>
      <c r="T123" s="24" t="str">
        <f>IF(
    OR(ISBLANK(O123), ISBLANK(P123)),
    "",
    MAX(
        1,
        IF(
            NETWORKDAYS(O123, P123, Holiday_Dates) &lt;= 0,
            1,
            NETWORKDAYS(O123, P123, Holiday_Dates) - IF(O123 = P123, 0, 1)
        )
    )
)</f>
        <v/>
      </c>
      <c r="U123" s="24" t="str">
        <f>IFERROR(
  IF(
    OR(A123="Nueva_Ecija", A123="Zambales"),
    IF(
      OR(ISBLANK(P123), ISBLANK(Q123)),
      "",
      MAX(
        1,
        IF(
          NETWORKDAYS(P123, Q123, Holiday_Dates) &lt;= 0,
          1,
          NETWORKDAYS(P123, Q123, Holiday_Dates) - IF(P123 = Q123, 0, 1)
        )
      )
    ),
    IF(
      OR(ISBLANK(O123), ISBLANK(Q123)),
      "",
      MAX(
        1,
        IF(
          NETWORKDAYS(O123, Q123, Holiday_Dates) &lt;= 0,
          1,
          NETWORKDAYS(O123, Q123, Holiday_Dates) - IF(O123 = Q123, 0, 1)
        )
      )
    )
  ),
  ""
)</f>
        <v/>
      </c>
      <c r="V123" s="24" t="str">
        <f>IFERROR(
    IF(
        OR(ISBLANK(Q123), ISBLANK(R123)),
        "",
        MAX(
            1,
            IF(
                NETWORKDAYS(Q123, R123, Holiday_Dates) &lt;= 0,
                1,
                NETWORKDAYS(Q123, R123, Holiday_Dates) - IF(Q123 = R123, 0, 1)
            )
        )
    ),
    ""
)</f>
        <v/>
      </c>
      <c r="W123" s="71"/>
      <c r="X123" s="9"/>
      <c r="Y123" s="71"/>
      <c r="Z123" s="9"/>
      <c r="AA123" s="9"/>
      <c r="AB123" s="9"/>
      <c r="AC123" s="9"/>
      <c r="AD123" s="57"/>
      <c r="AE123" s="284"/>
      <c r="AF123" s="1"/>
      <c r="AG123" s="1"/>
    </row>
    <row r="124" spans="1:33">
      <c r="A124" s="40" t="s">
        <v>65</v>
      </c>
      <c r="B124" s="245" t="s">
        <v>6213</v>
      </c>
      <c r="C124" s="246" t="s">
        <v>6150</v>
      </c>
      <c r="D124" s="246" t="s">
        <v>88</v>
      </c>
      <c r="E124" s="40">
        <v>15.481036700000001</v>
      </c>
      <c r="F124" s="247">
        <v>120.966427</v>
      </c>
      <c r="G124" s="40" t="s">
        <v>6214</v>
      </c>
      <c r="H124" s="248">
        <v>44901</v>
      </c>
      <c r="I124" s="9" t="s">
        <v>70</v>
      </c>
      <c r="J124" s="9" t="s">
        <v>141</v>
      </c>
      <c r="K124" s="9"/>
      <c r="L124" s="9" t="s">
        <v>130</v>
      </c>
      <c r="M124" s="238"/>
      <c r="N124" s="239"/>
      <c r="O124" s="239"/>
      <c r="P124" s="239"/>
      <c r="Q124" s="239"/>
      <c r="R124" s="239"/>
      <c r="S124" s="24" t="str">
        <f>IFERROR(
    IF(
        OR(ISBLANK(N124), ISBLANK(O124)),
        "",
        MAX(
            1,
            IF(
                NETWORKDAYS(N124, O124, Holiday_Dates) &lt;= 0,
                1,
                NETWORKDAYS(N124, O124, Holiday_Dates) - IF(N124 = O124, 0, 1)
            )
        )
    ),
    ""
)</f>
        <v/>
      </c>
      <c r="T124" s="24" t="str">
        <f>IF(
    OR(ISBLANK(O124), ISBLANK(P124)),
    "",
    MAX(
        1,
        IF(
            NETWORKDAYS(O124, P124, Holiday_Dates) &lt;= 0,
            1,
            NETWORKDAYS(O124, P124, Holiday_Dates) - IF(O124 = P124, 0, 1)
        )
    )
)</f>
        <v/>
      </c>
      <c r="U124" s="24" t="str">
        <f>IFERROR(
  IF(
    OR(A124="Nueva_Ecija", A124="Zambales"),
    IF(
      OR(ISBLANK(P124), ISBLANK(Q124)),
      "",
      MAX(
        1,
        IF(
          NETWORKDAYS(P124, Q124, Holiday_Dates) &lt;= 0,
          1,
          NETWORKDAYS(P124, Q124, Holiday_Dates) - IF(P124 = Q124, 0, 1)
        )
      )
    ),
    IF(
      OR(ISBLANK(O124), ISBLANK(Q124)),
      "",
      MAX(
        1,
        IF(
          NETWORKDAYS(O124, Q124, Holiday_Dates) &lt;= 0,
          1,
          NETWORKDAYS(O124, Q124, Holiday_Dates) - IF(O124 = Q124, 0, 1)
        )
      )
    )
  ),
  ""
)</f>
        <v/>
      </c>
      <c r="V124" s="24" t="str">
        <f>IFERROR(
    IF(
        OR(ISBLANK(Q124), ISBLANK(R124)),
        "",
        MAX(
            1,
            IF(
                NETWORKDAYS(Q124, R124, Holiday_Dates) &lt;= 0,
                1,
                NETWORKDAYS(Q124, R124, Holiday_Dates) - IF(Q124 = R124, 0, 1)
            )
        )
    ),
    ""
)</f>
        <v/>
      </c>
      <c r="W124" s="71"/>
      <c r="X124" s="9"/>
      <c r="Y124" s="71"/>
      <c r="Z124" s="9"/>
      <c r="AA124" s="9"/>
      <c r="AB124" s="9"/>
      <c r="AC124" s="9"/>
      <c r="AD124" s="71"/>
      <c r="AE124" s="284"/>
      <c r="AF124" s="1"/>
      <c r="AG124" s="1"/>
    </row>
    <row r="125" spans="1:33">
      <c r="A125" s="40" t="s">
        <v>51</v>
      </c>
      <c r="B125" s="245" t="s">
        <v>6215</v>
      </c>
      <c r="C125" s="246" t="s">
        <v>1377</v>
      </c>
      <c r="D125" s="246" t="s">
        <v>88</v>
      </c>
      <c r="E125" s="40">
        <v>15.039218</v>
      </c>
      <c r="F125" s="247">
        <v>120.699387</v>
      </c>
      <c r="G125" s="40" t="str">
        <f>CONCATENATE(E125,",",F125)</f>
        <v>15.039218,120.699387</v>
      </c>
      <c r="H125" s="248">
        <v>44904</v>
      </c>
      <c r="I125" s="9" t="s">
        <v>70</v>
      </c>
      <c r="J125" s="9" t="s">
        <v>33</v>
      </c>
      <c r="K125" s="9"/>
      <c r="L125" s="9" t="s">
        <v>239</v>
      </c>
      <c r="M125" s="238"/>
      <c r="N125" s="239"/>
      <c r="O125" s="239"/>
      <c r="P125" s="239"/>
      <c r="Q125" s="239"/>
      <c r="R125" s="239"/>
      <c r="S125" s="24" t="str">
        <f>IFERROR(
    IF(
        OR(ISBLANK(N125), ISBLANK(O125)),
        "",
        MAX(
            1,
            IF(
                NETWORKDAYS(N125, O125, Holiday_Dates) &lt;= 0,
                1,
                NETWORKDAYS(N125, O125, Holiday_Dates) - IF(N125 = O125, 0, 1)
            )
        )
    ),
    ""
)</f>
        <v/>
      </c>
      <c r="T125" s="24" t="str">
        <f>IF(
    OR(ISBLANK(O125), ISBLANK(P125)),
    "",
    MAX(
        1,
        IF(
            NETWORKDAYS(O125, P125, Holiday_Dates) &lt;= 0,
            1,
            NETWORKDAYS(O125, P125, Holiday_Dates) - IF(O125 = P125, 0, 1)
        )
    )
)</f>
        <v/>
      </c>
      <c r="U125" s="24" t="str">
        <f>IFERROR(
  IF(
    OR(A125="Nueva_Ecija", A125="Zambales"),
    IF(
      OR(ISBLANK(P125), ISBLANK(Q125)),
      "",
      MAX(
        1,
        IF(
          NETWORKDAYS(P125, Q125, Holiday_Dates) &lt;= 0,
          1,
          NETWORKDAYS(P125, Q125, Holiday_Dates) - IF(P125 = Q125, 0, 1)
        )
      )
    ),
    IF(
      OR(ISBLANK(O125), ISBLANK(Q125)),
      "",
      MAX(
        1,
        IF(
          NETWORKDAYS(O125, Q125, Holiday_Dates) &lt;= 0,
          1,
          NETWORKDAYS(O125, Q125, Holiday_Dates) - IF(O125 = Q125, 0, 1)
        )
      )
    )
  ),
  ""
)</f>
        <v/>
      </c>
      <c r="V125" s="24" t="str">
        <f>IFERROR(
    IF(
        OR(ISBLANK(Q125), ISBLANK(R125)),
        "",
        MAX(
            1,
            IF(
                NETWORKDAYS(Q125, R125, Holiday_Dates) &lt;= 0,
                1,
                NETWORKDAYS(Q125, R125, Holiday_Dates) - IF(Q125 = R125, 0, 1)
            )
        )
    ),
    ""
)</f>
        <v/>
      </c>
      <c r="W125" s="71"/>
      <c r="X125" s="9"/>
      <c r="Y125" s="71"/>
      <c r="Z125" s="9"/>
      <c r="AA125" s="9"/>
      <c r="AB125" s="9"/>
      <c r="AC125" s="9"/>
      <c r="AD125" s="57"/>
      <c r="AE125" s="323"/>
      <c r="AF125" s="1"/>
      <c r="AG125" s="1"/>
    </row>
    <row r="126" spans="1:33">
      <c r="A126" s="40" t="s">
        <v>51</v>
      </c>
      <c r="B126" s="245" t="s">
        <v>6216</v>
      </c>
      <c r="C126" s="246" t="s">
        <v>1377</v>
      </c>
      <c r="D126" s="246" t="s">
        <v>88</v>
      </c>
      <c r="E126" s="40">
        <v>15.029429</v>
      </c>
      <c r="F126" s="247">
        <v>120.695542</v>
      </c>
      <c r="G126" s="40" t="str">
        <f>CONCATENATE(E126,",",F126)</f>
        <v>15.029429,120.695542</v>
      </c>
      <c r="H126" s="248">
        <v>44904</v>
      </c>
      <c r="I126" s="9" t="s">
        <v>70</v>
      </c>
      <c r="J126" s="9" t="s">
        <v>33</v>
      </c>
      <c r="K126" s="9"/>
      <c r="L126" s="9" t="s">
        <v>239</v>
      </c>
      <c r="M126" s="238"/>
      <c r="N126" s="239"/>
      <c r="O126" s="239"/>
      <c r="P126" s="239"/>
      <c r="Q126" s="239"/>
      <c r="R126" s="239"/>
      <c r="S126" s="24" t="str">
        <f>IFERROR(
    IF(
        OR(ISBLANK(N126), ISBLANK(O126)),
        "",
        MAX(
            1,
            IF(
                NETWORKDAYS(N126, O126, Holiday_Dates) &lt;= 0,
                1,
                NETWORKDAYS(N126, O126, Holiday_Dates) - IF(N126 = O126, 0, 1)
            )
        )
    ),
    ""
)</f>
        <v/>
      </c>
      <c r="T126" s="24" t="str">
        <f>IF(
    OR(ISBLANK(O126), ISBLANK(P126)),
    "",
    MAX(
        1,
        IF(
            NETWORKDAYS(O126, P126, Holiday_Dates) &lt;= 0,
            1,
            NETWORKDAYS(O126, P126, Holiday_Dates) - IF(O126 = P126, 0, 1)
        )
    )
)</f>
        <v/>
      </c>
      <c r="U126" s="24" t="str">
        <f>IFERROR(
  IF(
    OR(A126="Nueva_Ecija", A126="Zambales"),
    IF(
      OR(ISBLANK(P126), ISBLANK(Q126)),
      "",
      MAX(
        1,
        IF(
          NETWORKDAYS(P126, Q126, Holiday_Dates) &lt;= 0,
          1,
          NETWORKDAYS(P126, Q126, Holiday_Dates) - IF(P126 = Q126, 0, 1)
        )
      )
    ),
    IF(
      OR(ISBLANK(O126), ISBLANK(Q126)),
      "",
      MAX(
        1,
        IF(
          NETWORKDAYS(O126, Q126, Holiday_Dates) &lt;= 0,
          1,
          NETWORKDAYS(O126, Q126, Holiday_Dates) - IF(O126 = Q126, 0, 1)
        )
      )
    )
  ),
  ""
)</f>
        <v/>
      </c>
      <c r="V126" s="24" t="str">
        <f>IFERROR(
    IF(
        OR(ISBLANK(Q126), ISBLANK(R126)),
        "",
        MAX(
            1,
            IF(
                NETWORKDAYS(Q126, R126, Holiday_Dates) &lt;= 0,
                1,
                NETWORKDAYS(Q126, R126, Holiday_Dates) - IF(Q126 = R126, 0, 1)
            )
        )
    ),
    ""
)</f>
        <v/>
      </c>
      <c r="W126" s="71"/>
      <c r="X126" s="9"/>
      <c r="Y126" s="71"/>
      <c r="Z126" s="9"/>
      <c r="AA126" s="9"/>
      <c r="AB126" s="9"/>
      <c r="AC126" s="9"/>
      <c r="AD126" s="57"/>
      <c r="AE126" s="323"/>
      <c r="AF126" s="1"/>
      <c r="AG126" s="1"/>
    </row>
    <row r="127" spans="1:33">
      <c r="A127" s="40" t="s">
        <v>51</v>
      </c>
      <c r="B127" s="245" t="s">
        <v>6066</v>
      </c>
      <c r="C127" s="246" t="s">
        <v>354</v>
      </c>
      <c r="D127" s="246" t="s">
        <v>88</v>
      </c>
      <c r="E127" s="40">
        <v>14.966881799999999</v>
      </c>
      <c r="F127" s="247">
        <v>120.61168926000001</v>
      </c>
      <c r="G127" s="40" t="s">
        <v>6217</v>
      </c>
      <c r="H127" s="248">
        <v>44915</v>
      </c>
      <c r="I127" s="9" t="s">
        <v>70</v>
      </c>
      <c r="J127" s="9" t="s">
        <v>145</v>
      </c>
      <c r="K127" s="9"/>
      <c r="L127" s="9" t="s">
        <v>133</v>
      </c>
      <c r="M127" s="238"/>
      <c r="N127" s="239"/>
      <c r="O127" s="239"/>
      <c r="P127" s="239"/>
      <c r="Q127" s="239"/>
      <c r="R127" s="239"/>
      <c r="S127" s="24" t="str">
        <f>IFERROR(
    IF(
        OR(ISBLANK(N127), ISBLANK(O127)),
        "",
        MAX(
            1,
            IF(
                NETWORKDAYS(N127, O127, Holiday_Dates) &lt;= 0,
                1,
                NETWORKDAYS(N127, O127, Holiday_Dates) - IF(N127 = O127, 0, 1)
            )
        )
    ),
    ""
)</f>
        <v/>
      </c>
      <c r="T127" s="24" t="str">
        <f>IF(
    OR(ISBLANK(O127), ISBLANK(P127)),
    "",
    MAX(
        1,
        IF(
            NETWORKDAYS(O127, P127, Holiday_Dates) &lt;= 0,
            1,
            NETWORKDAYS(O127, P127, Holiday_Dates) - IF(O127 = P127, 0, 1)
        )
    )
)</f>
        <v/>
      </c>
      <c r="U127" s="24" t="str">
        <f>IFERROR(
  IF(
    OR(A127="Nueva_Ecija", A127="Zambales"),
    IF(
      OR(ISBLANK(P127), ISBLANK(Q127)),
      "",
      MAX(
        1,
        IF(
          NETWORKDAYS(P127, Q127, Holiday_Dates) &lt;= 0,
          1,
          NETWORKDAYS(P127, Q127, Holiday_Dates) - IF(P127 = Q127, 0, 1)
        )
      )
    ),
    IF(
      OR(ISBLANK(O127), ISBLANK(Q127)),
      "",
      MAX(
        1,
        IF(
          NETWORKDAYS(O127, Q127, Holiday_Dates) &lt;= 0,
          1,
          NETWORKDAYS(O127, Q127, Holiday_Dates) - IF(O127 = Q127, 0, 1)
        )
      )
    )
  ),
  ""
)</f>
        <v/>
      </c>
      <c r="V127" s="24" t="str">
        <f>IFERROR(
    IF(
        OR(ISBLANK(Q127), ISBLANK(R127)),
        "",
        MAX(
            1,
            IF(
                NETWORKDAYS(Q127, R127, Holiday_Dates) &lt;= 0,
                1,
                NETWORKDAYS(Q127, R127, Holiday_Dates) - IF(Q127 = R127, 0, 1)
            )
        )
    ),
    ""
)</f>
        <v/>
      </c>
      <c r="W127" s="71"/>
      <c r="X127" s="9"/>
      <c r="Y127" s="71"/>
      <c r="Z127" s="9"/>
      <c r="AA127" s="9"/>
      <c r="AB127" s="9"/>
      <c r="AC127" s="9"/>
      <c r="AD127" s="71"/>
      <c r="AE127" s="284"/>
      <c r="AF127" s="1"/>
      <c r="AG127" s="1"/>
    </row>
    <row r="128" spans="1:33">
      <c r="A128" s="40" t="s">
        <v>51</v>
      </c>
      <c r="B128" s="245" t="s">
        <v>6218</v>
      </c>
      <c r="C128" s="246" t="s">
        <v>354</v>
      </c>
      <c r="D128" s="246" t="s">
        <v>88</v>
      </c>
      <c r="E128" s="40">
        <v>14.9665506</v>
      </c>
      <c r="F128" s="247">
        <v>120.63293143999999</v>
      </c>
      <c r="G128" s="40" t="str">
        <f>CONCATENATE(E128,",",F128)</f>
        <v>14.9665506,120.63293144</v>
      </c>
      <c r="H128" s="248">
        <v>44915</v>
      </c>
      <c r="I128" s="9" t="s">
        <v>70</v>
      </c>
      <c r="J128" s="9" t="s">
        <v>145</v>
      </c>
      <c r="K128" s="9"/>
      <c r="L128" s="9" t="s">
        <v>133</v>
      </c>
      <c r="M128" s="238"/>
      <c r="N128" s="239"/>
      <c r="O128" s="239"/>
      <c r="P128" s="239"/>
      <c r="Q128" s="239"/>
      <c r="R128" s="239"/>
      <c r="S128" s="24" t="str">
        <f>IFERROR(
    IF(
        OR(ISBLANK(N128), ISBLANK(O128)),
        "",
        MAX(
            1,
            IF(
                NETWORKDAYS(N128, O128, Holiday_Dates) &lt;= 0,
                1,
                NETWORKDAYS(N128, O128, Holiday_Dates) - IF(N128 = O128, 0, 1)
            )
        )
    ),
    ""
)</f>
        <v/>
      </c>
      <c r="T128" s="24" t="str">
        <f>IF(
    OR(ISBLANK(O128), ISBLANK(P128)),
    "",
    MAX(
        1,
        IF(
            NETWORKDAYS(O128, P128, Holiday_Dates) &lt;= 0,
            1,
            NETWORKDAYS(O128, P128, Holiday_Dates) - IF(O128 = P128, 0, 1)
        )
    )
)</f>
        <v/>
      </c>
      <c r="U128" s="24" t="str">
        <f>IFERROR(
  IF(
    OR(A128="Nueva_Ecija", A128="Zambales"),
    IF(
      OR(ISBLANK(P128), ISBLANK(Q128)),
      "",
      MAX(
        1,
        IF(
          NETWORKDAYS(P128, Q128, Holiday_Dates) &lt;= 0,
          1,
          NETWORKDAYS(P128, Q128, Holiday_Dates) - IF(P128 = Q128, 0, 1)
        )
      )
    ),
    IF(
      OR(ISBLANK(O128), ISBLANK(Q128)),
      "",
      MAX(
        1,
        IF(
          NETWORKDAYS(O128, Q128, Holiday_Dates) &lt;= 0,
          1,
          NETWORKDAYS(O128, Q128, Holiday_Dates) - IF(O128 = Q128, 0, 1)
        )
      )
    )
  ),
  ""
)</f>
        <v/>
      </c>
      <c r="V128" s="24" t="str">
        <f>IFERROR(
    IF(
        OR(ISBLANK(Q128), ISBLANK(R128)),
        "",
        MAX(
            1,
            IF(
                NETWORKDAYS(Q128, R128, Holiday_Dates) &lt;= 0,
                1,
                NETWORKDAYS(Q128, R128, Holiday_Dates) - IF(Q128 = R128, 0, 1)
            )
        )
    ),
    ""
)</f>
        <v/>
      </c>
      <c r="W128" s="71"/>
      <c r="X128" s="9"/>
      <c r="Y128" s="71"/>
      <c r="Z128" s="9"/>
      <c r="AA128" s="9"/>
      <c r="AB128" s="9"/>
      <c r="AC128" s="9"/>
      <c r="AD128" s="71"/>
      <c r="AE128" s="284"/>
      <c r="AF128" s="1"/>
      <c r="AG128" s="1"/>
    </row>
    <row r="129" spans="1:33">
      <c r="A129" s="40" t="s">
        <v>51</v>
      </c>
      <c r="B129" s="245" t="s">
        <v>6219</v>
      </c>
      <c r="C129" s="246" t="s">
        <v>532</v>
      </c>
      <c r="D129" s="246" t="s">
        <v>88</v>
      </c>
      <c r="E129" s="40">
        <v>14.924878100000001</v>
      </c>
      <c r="F129" s="247">
        <v>120.58389870000001</v>
      </c>
      <c r="G129" s="40" t="s">
        <v>6220</v>
      </c>
      <c r="H129" s="248">
        <v>44909</v>
      </c>
      <c r="I129" s="9" t="s">
        <v>70</v>
      </c>
      <c r="J129" s="9" t="s">
        <v>145</v>
      </c>
      <c r="K129" s="9"/>
      <c r="L129" s="9" t="s">
        <v>133</v>
      </c>
      <c r="M129" s="238"/>
      <c r="N129" s="239"/>
      <c r="O129" s="239"/>
      <c r="P129" s="239"/>
      <c r="Q129" s="239"/>
      <c r="R129" s="239"/>
      <c r="S129" s="24" t="str">
        <f>IFERROR(
    IF(
        OR(ISBLANK(N129), ISBLANK(O129)),
        "",
        MAX(
            1,
            IF(
                NETWORKDAYS(N129, O129, Holiday_Dates) &lt;= 0,
                1,
                NETWORKDAYS(N129, O129, Holiday_Dates) - IF(N129 = O129, 0, 1)
            )
        )
    ),
    ""
)</f>
        <v/>
      </c>
      <c r="T129" s="24" t="str">
        <f>IF(
    OR(ISBLANK(O129), ISBLANK(P129)),
    "",
    MAX(
        1,
        IF(
            NETWORKDAYS(O129, P129, Holiday_Dates) &lt;= 0,
            1,
            NETWORKDAYS(O129, P129, Holiday_Dates) - IF(O129 = P129, 0, 1)
        )
    )
)</f>
        <v/>
      </c>
      <c r="U129" s="24" t="str">
        <f>IFERROR(
  IF(
    OR(A129="Nueva_Ecija", A129="Zambales"),
    IF(
      OR(ISBLANK(P129), ISBLANK(Q129)),
      "",
      MAX(
        1,
        IF(
          NETWORKDAYS(P129, Q129, Holiday_Dates) &lt;= 0,
          1,
          NETWORKDAYS(P129, Q129, Holiday_Dates) - IF(P129 = Q129, 0, 1)
        )
      )
    ),
    IF(
      OR(ISBLANK(O129), ISBLANK(Q129)),
      "",
      MAX(
        1,
        IF(
          NETWORKDAYS(O129, Q129, Holiday_Dates) &lt;= 0,
          1,
          NETWORKDAYS(O129, Q129, Holiday_Dates) - IF(O129 = Q129, 0, 1)
        )
      )
    )
  ),
  ""
)</f>
        <v/>
      </c>
      <c r="V129" s="24" t="str">
        <f>IFERROR(
    IF(
        OR(ISBLANK(Q129), ISBLANK(R129)),
        "",
        MAX(
            1,
            IF(
                NETWORKDAYS(Q129, R129, Holiday_Dates) &lt;= 0,
                1,
                NETWORKDAYS(Q129, R129, Holiday_Dates) - IF(Q129 = R129, 0, 1)
            )
        )
    ),
    ""
)</f>
        <v/>
      </c>
      <c r="W129" s="71"/>
      <c r="X129" s="9"/>
      <c r="Y129" s="71"/>
      <c r="Z129" s="9"/>
      <c r="AA129" s="9"/>
      <c r="AB129" s="9"/>
      <c r="AC129" s="9"/>
      <c r="AD129" s="71"/>
      <c r="AE129" s="284"/>
      <c r="AF129" s="1"/>
      <c r="AG129" s="1"/>
    </row>
    <row r="130" spans="1:33">
      <c r="A130" s="40" t="s">
        <v>49</v>
      </c>
      <c r="B130" s="245" t="s">
        <v>6221</v>
      </c>
      <c r="C130" s="246" t="s">
        <v>5931</v>
      </c>
      <c r="D130" s="246" t="s">
        <v>88</v>
      </c>
      <c r="E130" s="40">
        <v>14.846394</v>
      </c>
      <c r="F130" s="247">
        <v>120.798666</v>
      </c>
      <c r="G130" s="40" t="s">
        <v>6222</v>
      </c>
      <c r="H130" s="248">
        <v>44901</v>
      </c>
      <c r="I130" s="9" t="s">
        <v>71</v>
      </c>
      <c r="J130" s="9" t="s">
        <v>344</v>
      </c>
      <c r="K130" s="9"/>
      <c r="L130" s="9" t="s">
        <v>128</v>
      </c>
      <c r="M130" s="238"/>
      <c r="N130" s="239"/>
      <c r="O130" s="239"/>
      <c r="P130" s="239"/>
      <c r="Q130" s="239"/>
      <c r="R130" s="239"/>
      <c r="S130" s="24" t="str">
        <f>IFERROR(
    IF(
        OR(ISBLANK(N130), ISBLANK(O130)),
        "",
        MAX(
            1,
            IF(
                NETWORKDAYS(N130, O130, Holiday_Dates) &lt;= 0,
                1,
                NETWORKDAYS(N130, O130, Holiday_Dates) - IF(N130 = O130, 0, 1)
            )
        )
    ),
    ""
)</f>
        <v/>
      </c>
      <c r="T130" s="24" t="str">
        <f>IF(
    OR(ISBLANK(O130), ISBLANK(P130)),
    "",
    MAX(
        1,
        IF(
            NETWORKDAYS(O130, P130, Holiday_Dates) &lt;= 0,
            1,
            NETWORKDAYS(O130, P130, Holiday_Dates) - IF(O130 = P130, 0, 1)
        )
    )
)</f>
        <v/>
      </c>
      <c r="U130" s="24" t="str">
        <f>IFERROR(
  IF(
    OR(A130="Nueva_Ecija", A130="Zambales"),
    IF(
      OR(ISBLANK(P130), ISBLANK(Q130)),
      "",
      MAX(
        1,
        IF(
          NETWORKDAYS(P130, Q130, Holiday_Dates) &lt;= 0,
          1,
          NETWORKDAYS(P130, Q130, Holiday_Dates) - IF(P130 = Q130, 0, 1)
        )
      )
    ),
    IF(
      OR(ISBLANK(O130), ISBLANK(Q130)),
      "",
      MAX(
        1,
        IF(
          NETWORKDAYS(O130, Q130, Holiday_Dates) &lt;= 0,
          1,
          NETWORKDAYS(O130, Q130, Holiday_Dates) - IF(O130 = Q130, 0, 1)
        )
      )
    )
  ),
  ""
)</f>
        <v/>
      </c>
      <c r="V130" s="24" t="str">
        <f>IFERROR(
    IF(
        OR(ISBLANK(Q130), ISBLANK(R130)),
        "",
        MAX(
            1,
            IF(
                NETWORKDAYS(Q130, R130, Holiday_Dates) &lt;= 0,
                1,
                NETWORKDAYS(Q130, R130, Holiday_Dates) - IF(Q130 = R130, 0, 1)
            )
        )
    ),
    ""
)</f>
        <v/>
      </c>
      <c r="W130" s="71"/>
      <c r="X130" s="9"/>
      <c r="Y130" s="71"/>
      <c r="Z130" s="9"/>
      <c r="AA130" s="9"/>
      <c r="AB130" s="9"/>
      <c r="AC130" s="6"/>
      <c r="AD130" s="57"/>
      <c r="AE130" s="323"/>
      <c r="AF130" s="1"/>
      <c r="AG130" s="1"/>
    </row>
    <row r="131" spans="1:33">
      <c r="A131" s="40" t="s">
        <v>49</v>
      </c>
      <c r="B131" s="245" t="s">
        <v>6223</v>
      </c>
      <c r="C131" s="246" t="s">
        <v>284</v>
      </c>
      <c r="D131" s="246" t="s">
        <v>88</v>
      </c>
      <c r="E131" s="40">
        <v>14.888356999999999</v>
      </c>
      <c r="F131" s="247">
        <v>120.87492399999999</v>
      </c>
      <c r="G131" s="40" t="s">
        <v>6224</v>
      </c>
      <c r="H131" s="248">
        <v>44915</v>
      </c>
      <c r="I131" s="9" t="s">
        <v>71</v>
      </c>
      <c r="J131" s="9" t="s">
        <v>344</v>
      </c>
      <c r="K131" s="9"/>
      <c r="L131" s="9" t="s">
        <v>128</v>
      </c>
      <c r="M131" s="238"/>
      <c r="N131" s="239"/>
      <c r="O131" s="239"/>
      <c r="P131" s="239"/>
      <c r="Q131" s="239"/>
      <c r="R131" s="239"/>
      <c r="S131" s="24" t="str">
        <f>IFERROR(
    IF(
        OR(ISBLANK(N131), ISBLANK(O131)),
        "",
        MAX(
            1,
            IF(
                NETWORKDAYS(N131, O131, Holiday_Dates) &lt;= 0,
                1,
                NETWORKDAYS(N131, O131, Holiday_Dates) - IF(N131 = O131, 0, 1)
            )
        )
    ),
    ""
)</f>
        <v/>
      </c>
      <c r="T131" s="24" t="str">
        <f>IF(
    OR(ISBLANK(O131), ISBLANK(P131)),
    "",
    MAX(
        1,
        IF(
            NETWORKDAYS(O131, P131, Holiday_Dates) &lt;= 0,
            1,
            NETWORKDAYS(O131, P131, Holiday_Dates) - IF(O131 = P131, 0, 1)
        )
    )
)</f>
        <v/>
      </c>
      <c r="U131" s="24" t="str">
        <f>IFERROR(
  IF(
    OR(A131="Nueva_Ecija", A131="Zambales"),
    IF(
      OR(ISBLANK(P131), ISBLANK(Q131)),
      "",
      MAX(
        1,
        IF(
          NETWORKDAYS(P131, Q131, Holiday_Dates) &lt;= 0,
          1,
          NETWORKDAYS(P131, Q131, Holiday_Dates) - IF(P131 = Q131, 0, 1)
        )
      )
    ),
    IF(
      OR(ISBLANK(O131), ISBLANK(Q131)),
      "",
      MAX(
        1,
        IF(
          NETWORKDAYS(O131, Q131, Holiday_Dates) &lt;= 0,
          1,
          NETWORKDAYS(O131, Q131, Holiday_Dates) - IF(O131 = Q131, 0, 1)
        )
      )
    )
  ),
  ""
)</f>
        <v/>
      </c>
      <c r="V131" s="24" t="str">
        <f>IFERROR(
    IF(
        OR(ISBLANK(Q131), ISBLANK(R131)),
        "",
        MAX(
            1,
            IF(
                NETWORKDAYS(Q131, R131, Holiday_Dates) &lt;= 0,
                1,
                NETWORKDAYS(Q131, R131, Holiday_Dates) - IF(Q131 = R131, 0, 1)
            )
        )
    ),
    ""
)</f>
        <v/>
      </c>
      <c r="W131" s="71"/>
      <c r="X131" s="9"/>
      <c r="Y131" s="71"/>
      <c r="Z131" s="9"/>
      <c r="AA131" s="9"/>
      <c r="AB131" s="9"/>
      <c r="AC131" s="9"/>
      <c r="AD131" s="57"/>
      <c r="AE131" s="323"/>
      <c r="AF131" s="1"/>
      <c r="AG131" s="1"/>
    </row>
    <row r="132" spans="1:33">
      <c r="A132" s="40" t="s">
        <v>49</v>
      </c>
      <c r="B132" s="245" t="s">
        <v>6215</v>
      </c>
      <c r="C132" s="246" t="s">
        <v>284</v>
      </c>
      <c r="D132" s="246" t="s">
        <v>88</v>
      </c>
      <c r="E132" s="40">
        <v>14.901680000000001</v>
      </c>
      <c r="F132" s="247">
        <v>120.89757</v>
      </c>
      <c r="G132" s="40" t="str">
        <f>_xlfn.CONCAT(E132:F132)</f>
        <v>14.90168120.89757</v>
      </c>
      <c r="H132" s="248">
        <v>44915</v>
      </c>
      <c r="I132" s="9" t="s">
        <v>71</v>
      </c>
      <c r="J132" s="9" t="s">
        <v>6038</v>
      </c>
      <c r="K132" s="9"/>
      <c r="L132" s="9" t="s">
        <v>128</v>
      </c>
      <c r="M132" s="238"/>
      <c r="N132" s="239"/>
      <c r="O132" s="239"/>
      <c r="P132" s="239"/>
      <c r="Q132" s="239"/>
      <c r="R132" s="239"/>
      <c r="S132" s="24" t="str">
        <f>IFERROR(
    IF(
        OR(ISBLANK(N132), ISBLANK(O132)),
        "",
        MAX(
            1,
            IF(
                NETWORKDAYS(N132, O132, Holiday_Dates) &lt;= 0,
                1,
                NETWORKDAYS(N132, O132, Holiday_Dates) - IF(N132 = O132, 0, 1)
            )
        )
    ),
    ""
)</f>
        <v/>
      </c>
      <c r="T132" s="24" t="str">
        <f>IF(
    OR(ISBLANK(O132), ISBLANK(P132)),
    "",
    MAX(
        1,
        IF(
            NETWORKDAYS(O132, P132, Holiday_Dates) &lt;= 0,
            1,
            NETWORKDAYS(O132, P132, Holiday_Dates) - IF(O132 = P132, 0, 1)
        )
    )
)</f>
        <v/>
      </c>
      <c r="U132" s="24" t="str">
        <f>IFERROR(
  IF(
    OR(A132="Nueva_Ecija", A132="Zambales"),
    IF(
      OR(ISBLANK(P132), ISBLANK(Q132)),
      "",
      MAX(
        1,
        IF(
          NETWORKDAYS(P132, Q132, Holiday_Dates) &lt;= 0,
          1,
          NETWORKDAYS(P132, Q132, Holiday_Dates) - IF(P132 = Q132, 0, 1)
        )
      )
    ),
    IF(
      OR(ISBLANK(O132), ISBLANK(Q132)),
      "",
      MAX(
        1,
        IF(
          NETWORKDAYS(O132, Q132, Holiday_Dates) &lt;= 0,
          1,
          NETWORKDAYS(O132, Q132, Holiday_Dates) - IF(O132 = Q132, 0, 1)
        )
      )
    )
  ),
  ""
)</f>
        <v/>
      </c>
      <c r="V132" s="24" t="str">
        <f>IFERROR(
    IF(
        OR(ISBLANK(Q132), ISBLANK(R132)),
        "",
        MAX(
            1,
            IF(
                NETWORKDAYS(Q132, R132, Holiday_Dates) &lt;= 0,
                1,
                NETWORKDAYS(Q132, R132, Holiday_Dates) - IF(Q132 = R132, 0, 1)
            )
        )
    ),
    ""
)</f>
        <v/>
      </c>
      <c r="W132" s="71"/>
      <c r="X132" s="9"/>
      <c r="Y132" s="71"/>
      <c r="Z132" s="9"/>
      <c r="AA132" s="9"/>
      <c r="AB132" s="9"/>
      <c r="AC132" s="9"/>
      <c r="AD132" s="57"/>
      <c r="AE132" s="323"/>
      <c r="AF132" s="1"/>
      <c r="AG132" s="1"/>
    </row>
    <row r="133" spans="1:33">
      <c r="A133" s="40" t="s">
        <v>49</v>
      </c>
      <c r="B133" s="245" t="s">
        <v>6225</v>
      </c>
      <c r="C133" s="246" t="s">
        <v>6145</v>
      </c>
      <c r="D133" s="246" t="s">
        <v>88</v>
      </c>
      <c r="E133" s="40">
        <v>14.831517</v>
      </c>
      <c r="F133" s="247">
        <v>121.0377707</v>
      </c>
      <c r="G133" s="40" t="s">
        <v>6226</v>
      </c>
      <c r="H133" s="248">
        <v>44915</v>
      </c>
      <c r="I133" s="9" t="s">
        <v>71</v>
      </c>
      <c r="J133" s="9" t="s">
        <v>136</v>
      </c>
      <c r="K133" s="9"/>
      <c r="L133" s="9" t="s">
        <v>128</v>
      </c>
      <c r="M133" s="238"/>
      <c r="N133" s="239"/>
      <c r="O133" s="239"/>
      <c r="P133" s="239"/>
      <c r="Q133" s="239"/>
      <c r="R133" s="239"/>
      <c r="S133" s="24" t="str">
        <f>IFERROR(
    IF(
        OR(ISBLANK(N133), ISBLANK(O133)),
        "",
        MAX(
            1,
            IF(
                NETWORKDAYS(N133, O133, Holiday_Dates) &lt;= 0,
                1,
                NETWORKDAYS(N133, O133, Holiday_Dates) - IF(N133 = O133, 0, 1)
            )
        )
    ),
    ""
)</f>
        <v/>
      </c>
      <c r="T133" s="24" t="str">
        <f>IF(
    OR(ISBLANK(O133), ISBLANK(P133)),
    "",
    MAX(
        1,
        IF(
            NETWORKDAYS(O133, P133, Holiday_Dates) &lt;= 0,
            1,
            NETWORKDAYS(O133, P133, Holiday_Dates) - IF(O133 = P133, 0, 1)
        )
    )
)</f>
        <v/>
      </c>
      <c r="U133" s="24" t="str">
        <f>IFERROR(
  IF(
    OR(A133="Nueva_Ecija", A133="Zambales"),
    IF(
      OR(ISBLANK(P133), ISBLANK(Q133)),
      "",
      MAX(
        1,
        IF(
          NETWORKDAYS(P133, Q133, Holiday_Dates) &lt;= 0,
          1,
          NETWORKDAYS(P133, Q133, Holiday_Dates) - IF(P133 = Q133, 0, 1)
        )
      )
    ),
    IF(
      OR(ISBLANK(O133), ISBLANK(Q133)),
      "",
      MAX(
        1,
        IF(
          NETWORKDAYS(O133, Q133, Holiday_Dates) &lt;= 0,
          1,
          NETWORKDAYS(O133, Q133, Holiday_Dates) - IF(O133 = Q133, 0, 1)
        )
      )
    )
  ),
  ""
)</f>
        <v/>
      </c>
      <c r="V133" s="24" t="str">
        <f>IFERROR(
    IF(
        OR(ISBLANK(Q133), ISBLANK(R133)),
        "",
        MAX(
            1,
            IF(
                NETWORKDAYS(Q133, R133, Holiday_Dates) &lt;= 0,
                1,
                NETWORKDAYS(Q133, R133, Holiday_Dates) - IF(Q133 = R133, 0, 1)
            )
        )
    ),
    ""
)</f>
        <v/>
      </c>
      <c r="W133" s="71"/>
      <c r="X133" s="9"/>
      <c r="Y133" s="71"/>
      <c r="Z133" s="9"/>
      <c r="AA133" s="9"/>
      <c r="AB133" s="9"/>
      <c r="AC133" s="9"/>
      <c r="AD133" s="71"/>
      <c r="AE133" s="284"/>
      <c r="AF133" s="1"/>
      <c r="AG133" s="1"/>
    </row>
    <row r="134" spans="1:33">
      <c r="A134" s="40" t="s">
        <v>49</v>
      </c>
      <c r="B134" s="245" t="s">
        <v>6227</v>
      </c>
      <c r="C134" s="246" t="s">
        <v>440</v>
      </c>
      <c r="D134" s="246" t="s">
        <v>88</v>
      </c>
      <c r="E134" s="40">
        <v>15.181850000000001</v>
      </c>
      <c r="F134" s="247">
        <v>120.961358</v>
      </c>
      <c r="G134" s="40" t="str">
        <f>CONCATENATE(E134,",",F134)</f>
        <v>15.18185,120.961358</v>
      </c>
      <c r="H134" s="248">
        <v>44900</v>
      </c>
      <c r="I134" s="9" t="s">
        <v>71</v>
      </c>
      <c r="J134" s="9" t="s">
        <v>344</v>
      </c>
      <c r="K134" s="9"/>
      <c r="L134" s="9" t="s">
        <v>128</v>
      </c>
      <c r="M134" s="238"/>
      <c r="N134" s="239"/>
      <c r="O134" s="239"/>
      <c r="P134" s="239"/>
      <c r="Q134" s="239"/>
      <c r="R134" s="239"/>
      <c r="S134" s="24" t="str">
        <f>IFERROR(
    IF(
        OR(ISBLANK(N134), ISBLANK(O134)),
        "",
        MAX(
            1,
            IF(
                NETWORKDAYS(N134, O134, Holiday_Dates) &lt;= 0,
                1,
                NETWORKDAYS(N134, O134, Holiday_Dates) - IF(N134 = O134, 0, 1)
            )
        )
    ),
    ""
)</f>
        <v/>
      </c>
      <c r="T134" s="24" t="str">
        <f>IF(
    OR(ISBLANK(O134), ISBLANK(P134)),
    "",
    MAX(
        1,
        IF(
            NETWORKDAYS(O134, P134, Holiday_Dates) &lt;= 0,
            1,
            NETWORKDAYS(O134, P134, Holiday_Dates) - IF(O134 = P134, 0, 1)
        )
    )
)</f>
        <v/>
      </c>
      <c r="U134" s="24" t="str">
        <f>IFERROR(
  IF(
    OR(A134="Nueva_Ecija", A134="Zambales"),
    IF(
      OR(ISBLANK(P134), ISBLANK(Q134)),
      "",
      MAX(
        1,
        IF(
          NETWORKDAYS(P134, Q134, Holiday_Dates) &lt;= 0,
          1,
          NETWORKDAYS(P134, Q134, Holiday_Dates) - IF(P134 = Q134, 0, 1)
        )
      )
    ),
    IF(
      OR(ISBLANK(O134), ISBLANK(Q134)),
      "",
      MAX(
        1,
        IF(
          NETWORKDAYS(O134, Q134, Holiday_Dates) &lt;= 0,
          1,
          NETWORKDAYS(O134, Q134, Holiday_Dates) - IF(O134 = Q134, 0, 1)
        )
      )
    )
  ),
  ""
)</f>
        <v/>
      </c>
      <c r="V134" s="24" t="str">
        <f>IFERROR(
    IF(
        OR(ISBLANK(Q134), ISBLANK(R134)),
        "",
        MAX(
            1,
            IF(
                NETWORKDAYS(Q134, R134, Holiday_Dates) &lt;= 0,
                1,
                NETWORKDAYS(Q134, R134, Holiday_Dates) - IF(Q134 = R134, 0, 1)
            )
        )
    ),
    ""
)</f>
        <v/>
      </c>
      <c r="W134" s="71"/>
      <c r="X134" s="9"/>
      <c r="Y134" s="71"/>
      <c r="Z134" s="9"/>
      <c r="AA134" s="9"/>
      <c r="AB134" s="9"/>
      <c r="AC134" s="9"/>
      <c r="AD134" s="9"/>
      <c r="AE134" s="284"/>
      <c r="AF134" s="1"/>
      <c r="AG134" s="1"/>
    </row>
    <row r="135" spans="1:33">
      <c r="A135" s="40" t="s">
        <v>51</v>
      </c>
      <c r="B135" s="245" t="s">
        <v>6228</v>
      </c>
      <c r="C135" s="246" t="s">
        <v>351</v>
      </c>
      <c r="D135" s="246" t="s">
        <v>88</v>
      </c>
      <c r="E135" s="40" t="s">
        <v>6229</v>
      </c>
      <c r="F135" s="247" t="s">
        <v>6230</v>
      </c>
      <c r="G135" s="40" t="str">
        <f>CONCATENATE(E135,",",F135)</f>
        <v>14.9362N,120.7615E</v>
      </c>
      <c r="H135" s="248">
        <v>44910</v>
      </c>
      <c r="I135" s="9" t="s">
        <v>71</v>
      </c>
      <c r="J135" s="9" t="s">
        <v>34</v>
      </c>
      <c r="K135" s="9"/>
      <c r="L135" s="9" t="s">
        <v>239</v>
      </c>
      <c r="M135" s="238"/>
      <c r="N135" s="239"/>
      <c r="O135" s="239"/>
      <c r="P135" s="239"/>
      <c r="Q135" s="239"/>
      <c r="R135" s="239"/>
      <c r="S135" s="24" t="str">
        <f>IFERROR(
    IF(
        OR(ISBLANK(N135), ISBLANK(O135)),
        "",
        MAX(
            1,
            IF(
                NETWORKDAYS(N135, O135, Holiday_Dates) &lt;= 0,
                1,
                NETWORKDAYS(N135, O135, Holiday_Dates) - IF(N135 = O135, 0, 1)
            )
        )
    ),
    ""
)</f>
        <v/>
      </c>
      <c r="T135" s="24" t="str">
        <f>IF(
    OR(ISBLANK(O135), ISBLANK(P135)),
    "",
    MAX(
        1,
        IF(
            NETWORKDAYS(O135, P135, Holiday_Dates) &lt;= 0,
            1,
            NETWORKDAYS(O135, P135, Holiday_Dates) - IF(O135 = P135, 0, 1)
        )
    )
)</f>
        <v/>
      </c>
      <c r="U135" s="24" t="str">
        <f>IFERROR(
  IF(
    OR(A135="Nueva_Ecija", A135="Zambales"),
    IF(
      OR(ISBLANK(P135), ISBLANK(Q135)),
      "",
      MAX(
        1,
        IF(
          NETWORKDAYS(P135, Q135, Holiday_Dates) &lt;= 0,
          1,
          NETWORKDAYS(P135, Q135, Holiday_Dates) - IF(P135 = Q135, 0, 1)
        )
      )
    ),
    IF(
      OR(ISBLANK(O135), ISBLANK(Q135)),
      "",
      MAX(
        1,
        IF(
          NETWORKDAYS(O135, Q135, Holiday_Dates) &lt;= 0,
          1,
          NETWORKDAYS(O135, Q135, Holiday_Dates) - IF(O135 = Q135, 0, 1)
        )
      )
    )
  ),
  ""
)</f>
        <v/>
      </c>
      <c r="V135" s="24" t="str">
        <f>IFERROR(
    IF(
        OR(ISBLANK(Q135), ISBLANK(R135)),
        "",
        MAX(
            1,
            IF(
                NETWORKDAYS(Q135, R135, Holiday_Dates) &lt;= 0,
                1,
                NETWORKDAYS(Q135, R135, Holiday_Dates) - IF(Q135 = R135, 0, 1)
            )
        )
    ),
    ""
)</f>
        <v/>
      </c>
      <c r="W135" s="71"/>
      <c r="X135" s="9"/>
      <c r="Y135" s="71"/>
      <c r="Z135" s="9"/>
      <c r="AA135" s="9"/>
      <c r="AB135" s="9"/>
      <c r="AC135" s="9"/>
      <c r="AD135" s="6"/>
      <c r="AE135" s="6"/>
      <c r="AF135" s="1"/>
      <c r="AG135" s="1"/>
    </row>
    <row r="136" spans="1:33">
      <c r="A136" s="40" t="s">
        <v>51</v>
      </c>
      <c r="B136" s="245" t="s">
        <v>6231</v>
      </c>
      <c r="C136" s="246" t="s">
        <v>414</v>
      </c>
      <c r="D136" s="246" t="s">
        <v>88</v>
      </c>
      <c r="E136" s="40">
        <v>15.015599999999999</v>
      </c>
      <c r="F136" s="247">
        <v>120.6746</v>
      </c>
      <c r="G136" s="40" t="str">
        <f>_xlfn.CONCAT(F136,E136)</f>
        <v>120.674615.0156</v>
      </c>
      <c r="H136" s="248">
        <v>45314</v>
      </c>
      <c r="I136" s="9" t="s">
        <v>71</v>
      </c>
      <c r="J136" s="9" t="s">
        <v>145</v>
      </c>
      <c r="K136" s="9"/>
      <c r="L136" s="9" t="s">
        <v>133</v>
      </c>
      <c r="M136" s="238"/>
      <c r="N136" s="239"/>
      <c r="O136" s="239"/>
      <c r="P136" s="239"/>
      <c r="Q136" s="239"/>
      <c r="R136" s="239"/>
      <c r="S136" s="24" t="str">
        <f>IFERROR(
    IF(
        OR(ISBLANK(N136), ISBLANK(O136)),
        "",
        MAX(
            1,
            IF(
                NETWORKDAYS(N136, O136, Holiday_Dates) &lt;= 0,
                1,
                NETWORKDAYS(N136, O136, Holiday_Dates) - IF(N136 = O136, 0, 1)
            )
        )
    ),
    ""
)</f>
        <v/>
      </c>
      <c r="T136" s="24" t="str">
        <f>IF(
    OR(ISBLANK(O136), ISBLANK(P136)),
    "",
    MAX(
        1,
        IF(
            NETWORKDAYS(O136, P136, Holiday_Dates) &lt;= 0,
            1,
            NETWORKDAYS(O136, P136, Holiday_Dates) - IF(O136 = P136, 0, 1)
        )
    )
)</f>
        <v/>
      </c>
      <c r="U136" s="24" t="str">
        <f>IFERROR(
  IF(
    OR(A136="Nueva_Ecija", A136="Zambales"),
    IF(
      OR(ISBLANK(P136), ISBLANK(Q136)),
      "",
      MAX(
        1,
        IF(
          NETWORKDAYS(P136, Q136, Holiday_Dates) &lt;= 0,
          1,
          NETWORKDAYS(P136, Q136, Holiday_Dates) - IF(P136 = Q136, 0, 1)
        )
      )
    ),
    IF(
      OR(ISBLANK(O136), ISBLANK(Q136)),
      "",
      MAX(
        1,
        IF(
          NETWORKDAYS(O136, Q136, Holiday_Dates) &lt;= 0,
          1,
          NETWORKDAYS(O136, Q136, Holiday_Dates) - IF(O136 = Q136, 0, 1)
        )
      )
    )
  ),
  ""
)</f>
        <v/>
      </c>
      <c r="V136" s="24" t="str">
        <f>IFERROR(
    IF(
        OR(ISBLANK(Q136), ISBLANK(R136)),
        "",
        MAX(
            1,
            IF(
                NETWORKDAYS(Q136, R136, Holiday_Dates) &lt;= 0,
                1,
                NETWORKDAYS(Q136, R136, Holiday_Dates) - IF(Q136 = R136, 0, 1)
            )
        )
    ),
    ""
)</f>
        <v/>
      </c>
      <c r="W136" s="71"/>
      <c r="X136" s="9"/>
      <c r="Y136" s="71"/>
      <c r="Z136" s="9"/>
      <c r="AA136" s="9"/>
      <c r="AB136" s="9"/>
      <c r="AC136" s="9"/>
      <c r="AD136" s="43"/>
      <c r="AE136" s="6"/>
      <c r="AF136" s="1"/>
      <c r="AG136" s="1"/>
    </row>
    <row r="137" spans="1:33">
      <c r="A137" s="40" t="s">
        <v>51</v>
      </c>
      <c r="B137" s="245" t="s">
        <v>6231</v>
      </c>
      <c r="C137" s="246" t="s">
        <v>414</v>
      </c>
      <c r="D137" s="246" t="s">
        <v>88</v>
      </c>
      <c r="E137" s="40">
        <v>15.015599999999999</v>
      </c>
      <c r="F137" s="247">
        <v>120.6746</v>
      </c>
      <c r="G137" s="40" t="str">
        <f>_xlfn.CONCAT(F137,E137)</f>
        <v>120.674615.0156</v>
      </c>
      <c r="H137" s="248">
        <v>45314</v>
      </c>
      <c r="I137" s="9" t="s">
        <v>71</v>
      </c>
      <c r="J137" s="9" t="s">
        <v>145</v>
      </c>
      <c r="K137" s="9"/>
      <c r="L137" s="9" t="s">
        <v>133</v>
      </c>
      <c r="M137" s="238"/>
      <c r="N137" s="239"/>
      <c r="O137" s="239"/>
      <c r="P137" s="239"/>
      <c r="Q137" s="239"/>
      <c r="R137" s="239"/>
      <c r="S137" s="24" t="str">
        <f>IFERROR(
    IF(
        OR(ISBLANK(N137), ISBLANK(O137)),
        "",
        MAX(
            1,
            IF(
                NETWORKDAYS(N137, O137, Holiday_Dates) &lt;= 0,
                1,
                NETWORKDAYS(N137, O137, Holiday_Dates) - IF(N137 = O137, 0, 1)
            )
        )
    ),
    ""
)</f>
        <v/>
      </c>
      <c r="T137" s="24" t="str">
        <f>IF(
    OR(ISBLANK(O137), ISBLANK(P137)),
    "",
    MAX(
        1,
        IF(
            NETWORKDAYS(O137, P137, Holiday_Dates) &lt;= 0,
            1,
            NETWORKDAYS(O137, P137, Holiday_Dates) - IF(O137 = P137, 0, 1)
        )
    )
)</f>
        <v/>
      </c>
      <c r="U137" s="24" t="str">
        <f>IFERROR(
  IF(
    OR(A137="Nueva_Ecija", A137="Zambales"),
    IF(
      OR(ISBLANK(P137), ISBLANK(Q137)),
      "",
      MAX(
        1,
        IF(
          NETWORKDAYS(P137, Q137, Holiday_Dates) &lt;= 0,
          1,
          NETWORKDAYS(P137, Q137, Holiday_Dates) - IF(P137 = Q137, 0, 1)
        )
      )
    ),
    IF(
      OR(ISBLANK(O137), ISBLANK(Q137)),
      "",
      MAX(
        1,
        IF(
          NETWORKDAYS(O137, Q137, Holiday_Dates) &lt;= 0,
          1,
          NETWORKDAYS(O137, Q137, Holiday_Dates) - IF(O137 = Q137, 0, 1)
        )
      )
    )
  ),
  ""
)</f>
        <v/>
      </c>
      <c r="V137" s="24" t="str">
        <f>IFERROR(
    IF(
        OR(ISBLANK(Q137), ISBLANK(R137)),
        "",
        MAX(
            1,
            IF(
                NETWORKDAYS(Q137, R137, Holiday_Dates) &lt;= 0,
                1,
                NETWORKDAYS(Q137, R137, Holiday_Dates) - IF(Q137 = R137, 0, 1)
            )
        )
    ),
    ""
)</f>
        <v/>
      </c>
      <c r="W137" s="71"/>
      <c r="X137" s="9"/>
      <c r="Y137" s="71"/>
      <c r="Z137" s="9"/>
      <c r="AA137" s="9"/>
      <c r="AB137" s="9"/>
      <c r="AC137" s="9"/>
      <c r="AD137" s="6"/>
      <c r="AF137" s="1"/>
      <c r="AG137" s="1"/>
    </row>
    <row r="138" spans="1:33" ht="19.5" customHeight="1">
      <c r="A138" s="40" t="s">
        <v>51</v>
      </c>
      <c r="B138" s="245" t="s">
        <v>6232</v>
      </c>
      <c r="C138" s="246" t="s">
        <v>352</v>
      </c>
      <c r="D138" s="246" t="s">
        <v>88</v>
      </c>
      <c r="E138" s="40">
        <v>15.061480100000001</v>
      </c>
      <c r="F138" s="247">
        <v>120.81720799999999</v>
      </c>
      <c r="G138" s="40" t="s">
        <v>6162</v>
      </c>
      <c r="H138" s="248">
        <v>44915</v>
      </c>
      <c r="I138" s="9" t="s">
        <v>71</v>
      </c>
      <c r="J138" s="9" t="s">
        <v>32</v>
      </c>
      <c r="K138" s="9"/>
      <c r="L138" s="9" t="s">
        <v>133</v>
      </c>
      <c r="M138" s="238"/>
      <c r="N138" s="239"/>
      <c r="O138" s="239"/>
      <c r="P138" s="239"/>
      <c r="Q138" s="239"/>
      <c r="R138" s="239"/>
      <c r="S138" s="24" t="str">
        <f>IFERROR(
    IF(
        OR(ISBLANK(N138), ISBLANK(O138)),
        "",
        MAX(
            1,
            IF(
                NETWORKDAYS(N138, O138, Holiday_Dates) &lt;= 0,
                1,
                NETWORKDAYS(N138, O138, Holiday_Dates) - IF(N138 = O138, 0, 1)
            )
        )
    ),
    ""
)</f>
        <v/>
      </c>
      <c r="T138" s="24" t="str">
        <f>IF(
    OR(ISBLANK(O138), ISBLANK(P138)),
    "",
    MAX(
        1,
        IF(
            NETWORKDAYS(O138, P138, Holiday_Dates) &lt;= 0,
            1,
            NETWORKDAYS(O138, P138, Holiday_Dates) - IF(O138 = P138, 0, 1)
        )
    )
)</f>
        <v/>
      </c>
      <c r="U138" s="24" t="str">
        <f>IFERROR(
  IF(
    OR(A138="Nueva_Ecija", A138="Zambales"),
    IF(
      OR(ISBLANK(P138), ISBLANK(Q138)),
      "",
      MAX(
        1,
        IF(
          NETWORKDAYS(P138, Q138, Holiday_Dates) &lt;= 0,
          1,
          NETWORKDAYS(P138, Q138, Holiday_Dates) - IF(P138 = Q138, 0, 1)
        )
      )
    ),
    IF(
      OR(ISBLANK(O138), ISBLANK(Q138)),
      "",
      MAX(
        1,
        IF(
          NETWORKDAYS(O138, Q138, Holiday_Dates) &lt;= 0,
          1,
          NETWORKDAYS(O138, Q138, Holiday_Dates) - IF(O138 = Q138, 0, 1)
        )
      )
    )
  ),
  ""
)</f>
        <v/>
      </c>
      <c r="V138" s="24" t="str">
        <f>IFERROR(
    IF(
        OR(ISBLANK(Q138), ISBLANK(R138)),
        "",
        MAX(
            1,
            IF(
                NETWORKDAYS(Q138, R138, Holiday_Dates) &lt;= 0,
                1,
                NETWORKDAYS(Q138, R138, Holiday_Dates) - IF(Q138 = R138, 0, 1)
            )
        )
    ),
    ""
)</f>
        <v/>
      </c>
      <c r="W138" s="71"/>
      <c r="X138" s="9"/>
      <c r="Y138" s="71"/>
      <c r="Z138" s="9"/>
      <c r="AA138" s="9"/>
      <c r="AB138" s="9"/>
      <c r="AC138" s="9"/>
      <c r="AD138" s="6"/>
      <c r="AE138" s="323"/>
      <c r="AF138" s="1"/>
      <c r="AG138" s="1"/>
    </row>
    <row r="139" spans="1:33">
      <c r="A139" s="40" t="s">
        <v>51</v>
      </c>
      <c r="B139" s="245" t="s">
        <v>6232</v>
      </c>
      <c r="C139" s="246" t="s">
        <v>352</v>
      </c>
      <c r="D139" s="246" t="s">
        <v>88</v>
      </c>
      <c r="E139" s="40">
        <v>15.061480100000001</v>
      </c>
      <c r="F139" s="247">
        <v>120.81720799999999</v>
      </c>
      <c r="G139" s="40" t="s">
        <v>6162</v>
      </c>
      <c r="H139" s="248">
        <v>44915</v>
      </c>
      <c r="I139" s="9" t="s">
        <v>71</v>
      </c>
      <c r="J139" s="9" t="s">
        <v>32</v>
      </c>
      <c r="K139" s="9"/>
      <c r="L139" s="9" t="s">
        <v>133</v>
      </c>
      <c r="M139" s="238"/>
      <c r="N139" s="239"/>
      <c r="O139" s="239"/>
      <c r="P139" s="239"/>
      <c r="Q139" s="239"/>
      <c r="R139" s="239"/>
      <c r="S139" s="24" t="str">
        <f>IFERROR(
    IF(
        OR(ISBLANK(N139), ISBLANK(O139)),
        "",
        MAX(
            1,
            IF(
                NETWORKDAYS(N139, O139, Holiday_Dates) &lt;= 0,
                1,
                NETWORKDAYS(N139, O139, Holiday_Dates) - IF(N139 = O139, 0, 1)
            )
        )
    ),
    ""
)</f>
        <v/>
      </c>
      <c r="T139" s="24" t="str">
        <f>IF(
    OR(ISBLANK(O139), ISBLANK(P139)),
    "",
    MAX(
        1,
        IF(
            NETWORKDAYS(O139, P139, Holiday_Dates) &lt;= 0,
            1,
            NETWORKDAYS(O139, P139, Holiday_Dates) - IF(O139 = P139, 0, 1)
        )
    )
)</f>
        <v/>
      </c>
      <c r="U139" s="24" t="str">
        <f>IFERROR(
  IF(
    OR(A139="Nueva_Ecija", A139="Zambales"),
    IF(
      OR(ISBLANK(P139), ISBLANK(Q139)),
      "",
      MAX(
        1,
        IF(
          NETWORKDAYS(P139, Q139, Holiday_Dates) &lt;= 0,
          1,
          NETWORKDAYS(P139, Q139, Holiday_Dates) - IF(P139 = Q139, 0, 1)
        )
      )
    ),
    IF(
      OR(ISBLANK(O139), ISBLANK(Q139)),
      "",
      MAX(
        1,
        IF(
          NETWORKDAYS(O139, Q139, Holiday_Dates) &lt;= 0,
          1,
          NETWORKDAYS(O139, Q139, Holiday_Dates) - IF(O139 = Q139, 0, 1)
        )
      )
    )
  ),
  ""
)</f>
        <v/>
      </c>
      <c r="V139" s="24" t="str">
        <f>IFERROR(
    IF(
        OR(ISBLANK(Q139), ISBLANK(R139)),
        "",
        MAX(
            1,
            IF(
                NETWORKDAYS(Q139, R139, Holiday_Dates) &lt;= 0,
                1,
                NETWORKDAYS(Q139, R139, Holiday_Dates) - IF(Q139 = R139, 0, 1)
            )
        )
    ),
    ""
)</f>
        <v/>
      </c>
      <c r="W139" s="71"/>
      <c r="X139" s="9"/>
      <c r="Y139" s="71"/>
      <c r="Z139" s="9"/>
      <c r="AA139" s="9"/>
      <c r="AB139" s="9"/>
      <c r="AC139" s="9"/>
      <c r="AD139" s="57"/>
      <c r="AE139" s="323"/>
      <c r="AF139" s="1"/>
      <c r="AG139" s="1"/>
    </row>
    <row r="140" spans="1:33">
      <c r="A140" s="40" t="s">
        <v>51</v>
      </c>
      <c r="B140" s="245" t="s">
        <v>6194</v>
      </c>
      <c r="C140" s="246" t="s">
        <v>1377</v>
      </c>
      <c r="D140" s="246" t="s">
        <v>88</v>
      </c>
      <c r="E140" s="40">
        <v>15.058015230000001</v>
      </c>
      <c r="F140" s="247">
        <v>120.6816953</v>
      </c>
      <c r="G140" s="40" t="str">
        <f>CONCATENATE(E140,",",F140)</f>
        <v>15.05801523,120.6816953</v>
      </c>
      <c r="H140" s="248">
        <v>44904</v>
      </c>
      <c r="I140" s="9" t="s">
        <v>71</v>
      </c>
      <c r="J140" s="9" t="s">
        <v>33</v>
      </c>
      <c r="K140" s="9"/>
      <c r="L140" s="9" t="s">
        <v>239</v>
      </c>
      <c r="M140" s="238"/>
      <c r="N140" s="239"/>
      <c r="O140" s="239"/>
      <c r="P140" s="239"/>
      <c r="Q140" s="239"/>
      <c r="R140" s="239"/>
      <c r="S140" s="24" t="str">
        <f>IFERROR(
    IF(
        OR(ISBLANK(N140), ISBLANK(O140)),
        "",
        MAX(
            1,
            IF(
                NETWORKDAYS(N140, O140, Holiday_Dates) &lt;= 0,
                1,
                NETWORKDAYS(N140, O140, Holiday_Dates) - IF(N140 = O140, 0, 1)
            )
        )
    ),
    ""
)</f>
        <v/>
      </c>
      <c r="T140" s="24" t="str">
        <f>IF(
    OR(ISBLANK(O140), ISBLANK(P140)),
    "",
    MAX(
        1,
        IF(
            NETWORKDAYS(O140, P140, Holiday_Dates) &lt;= 0,
            1,
            NETWORKDAYS(O140, P140, Holiday_Dates) - IF(O140 = P140, 0, 1)
        )
    )
)</f>
        <v/>
      </c>
      <c r="U140" s="24" t="str">
        <f>IFERROR(
  IF(
    OR(A140="Nueva_Ecija", A140="Zambales"),
    IF(
      OR(ISBLANK(P140), ISBLANK(Q140)),
      "",
      MAX(
        1,
        IF(
          NETWORKDAYS(P140, Q140, Holiday_Dates) &lt;= 0,
          1,
          NETWORKDAYS(P140, Q140, Holiday_Dates) - IF(P140 = Q140, 0, 1)
        )
      )
    ),
    IF(
      OR(ISBLANK(O140), ISBLANK(Q140)),
      "",
      MAX(
        1,
        IF(
          NETWORKDAYS(O140, Q140, Holiday_Dates) &lt;= 0,
          1,
          NETWORKDAYS(O140, Q140, Holiday_Dates) - IF(O140 = Q140, 0, 1)
        )
      )
    )
  ),
  ""
)</f>
        <v/>
      </c>
      <c r="V140" s="24" t="str">
        <f>IFERROR(
    IF(
        OR(ISBLANK(Q140), ISBLANK(R140)),
        "",
        MAX(
            1,
            IF(
                NETWORKDAYS(Q140, R140, Holiday_Dates) &lt;= 0,
                1,
                NETWORKDAYS(Q140, R140, Holiday_Dates) - IF(Q140 = R140, 0, 1)
            )
        )
    ),
    ""
)</f>
        <v/>
      </c>
      <c r="W140" s="71"/>
      <c r="X140" s="9"/>
      <c r="Y140" s="71"/>
      <c r="Z140" s="9"/>
      <c r="AA140" s="9"/>
      <c r="AB140" s="9"/>
      <c r="AC140" s="9"/>
      <c r="AD140" s="71"/>
      <c r="AE140" s="284"/>
      <c r="AF140" s="1"/>
      <c r="AG140" s="1"/>
    </row>
    <row r="141" spans="1:33">
      <c r="A141" s="40" t="s">
        <v>51</v>
      </c>
      <c r="B141" s="245" t="s">
        <v>6015</v>
      </c>
      <c r="C141" s="246" t="s">
        <v>1377</v>
      </c>
      <c r="D141" s="246" t="s">
        <v>88</v>
      </c>
      <c r="E141" s="40">
        <v>15.09544</v>
      </c>
      <c r="F141" s="247">
        <v>120.62245</v>
      </c>
      <c r="G141" s="40" t="str">
        <f>CONCATENATE(E141,",",F141)</f>
        <v>15.09544,120.62245</v>
      </c>
      <c r="H141" s="248">
        <v>44904</v>
      </c>
      <c r="I141" s="9" t="s">
        <v>71</v>
      </c>
      <c r="J141" s="9" t="s">
        <v>33</v>
      </c>
      <c r="K141" s="9"/>
      <c r="L141" s="9" t="s">
        <v>239</v>
      </c>
      <c r="M141" s="238"/>
      <c r="N141" s="239"/>
      <c r="O141" s="239"/>
      <c r="P141" s="239"/>
      <c r="Q141" s="239"/>
      <c r="R141" s="239"/>
      <c r="S141" s="24" t="str">
        <f>IFERROR(
    IF(
        OR(ISBLANK(N141), ISBLANK(O141)),
        "",
        MAX(
            1,
            IF(
                NETWORKDAYS(N141, O141, Holiday_Dates) &lt;= 0,
                1,
                NETWORKDAYS(N141, O141, Holiday_Dates) - IF(N141 = O141, 0, 1)
            )
        )
    ),
    ""
)</f>
        <v/>
      </c>
      <c r="T141" s="24" t="str">
        <f>IF(
    OR(ISBLANK(O141), ISBLANK(P141)),
    "",
    MAX(
        1,
        IF(
            NETWORKDAYS(O141, P141, Holiday_Dates) &lt;= 0,
            1,
            NETWORKDAYS(O141, P141, Holiday_Dates) - IF(O141 = P141, 0, 1)
        )
    )
)</f>
        <v/>
      </c>
      <c r="U141" s="24" t="str">
        <f>IFERROR(
  IF(
    OR(A141="Nueva_Ecija", A141="Zambales"),
    IF(
      OR(ISBLANK(P141), ISBLANK(Q141)),
      "",
      MAX(
        1,
        IF(
          NETWORKDAYS(P141, Q141, Holiday_Dates) &lt;= 0,
          1,
          NETWORKDAYS(P141, Q141, Holiday_Dates) - IF(P141 = Q141, 0, 1)
        )
      )
    ),
    IF(
      OR(ISBLANK(O141), ISBLANK(Q141)),
      "",
      MAX(
        1,
        IF(
          NETWORKDAYS(O141, Q141, Holiday_Dates) &lt;= 0,
          1,
          NETWORKDAYS(O141, Q141, Holiday_Dates) - IF(O141 = Q141, 0, 1)
        )
      )
    )
  ),
  ""
)</f>
        <v/>
      </c>
      <c r="V141" s="24" t="str">
        <f>IFERROR(
    IF(
        OR(ISBLANK(Q141), ISBLANK(R141)),
        "",
        MAX(
            1,
            IF(
                NETWORKDAYS(Q141, R141, Holiday_Dates) &lt;= 0,
                1,
                NETWORKDAYS(Q141, R141, Holiday_Dates) - IF(Q141 = R141, 0, 1)
            )
        )
    ),
    ""
)</f>
        <v/>
      </c>
      <c r="W141" s="71"/>
      <c r="X141" s="9"/>
      <c r="Y141" s="377"/>
      <c r="Z141" s="9"/>
      <c r="AA141" s="9"/>
      <c r="AB141" s="9"/>
      <c r="AC141" s="9"/>
      <c r="AD141" s="379"/>
      <c r="AE141" s="6"/>
      <c r="AF141" s="1"/>
      <c r="AG141" s="1"/>
    </row>
    <row r="142" spans="1:33">
      <c r="A142" s="40" t="s">
        <v>51</v>
      </c>
      <c r="B142" s="245" t="s">
        <v>6233</v>
      </c>
      <c r="C142" s="246" t="s">
        <v>392</v>
      </c>
      <c r="D142" s="246" t="s">
        <v>88</v>
      </c>
      <c r="E142" s="40">
        <v>120.6859</v>
      </c>
      <c r="F142" s="247">
        <v>14.974600000000001</v>
      </c>
      <c r="G142" s="40" t="str">
        <f>_xlfn.CONCAT(E142:F142)</f>
        <v>120.685914.9746</v>
      </c>
      <c r="H142" s="248">
        <v>44901</v>
      </c>
      <c r="I142" s="9" t="s">
        <v>71</v>
      </c>
      <c r="J142" s="9" t="s">
        <v>34</v>
      </c>
      <c r="K142" s="9"/>
      <c r="L142" s="9" t="s">
        <v>239</v>
      </c>
      <c r="M142" s="239"/>
      <c r="N142" s="239"/>
      <c r="O142" s="239"/>
      <c r="P142" s="239"/>
      <c r="Q142" s="239"/>
      <c r="R142" s="239"/>
      <c r="S142" s="24" t="str">
        <f>IFERROR(
    IF(
        OR(ISBLANK(N142), ISBLANK(O142)),
        "",
        MAX(
            1,
            IF(
                NETWORKDAYS(N142, O142, Holiday_Dates) &lt;= 0,
                1,
                NETWORKDAYS(N142, O142, Holiday_Dates) - IF(N142 = O142, 0, 1)
            )
        )
    ),
    ""
)</f>
        <v/>
      </c>
      <c r="T142" s="24" t="str">
        <f>IF(
    OR(ISBLANK(O142), ISBLANK(P142)),
    "",
    MAX(
        1,
        IF(
            NETWORKDAYS(O142, P142, Holiday_Dates) &lt;= 0,
            1,
            NETWORKDAYS(O142, P142, Holiday_Dates) - IF(O142 = P142, 0, 1)
        )
    )
)</f>
        <v/>
      </c>
      <c r="U142" s="24" t="str">
        <f>IFERROR(
  IF(
    OR(A142="Nueva_Ecija", A142="Zambales"),
    IF(
      OR(ISBLANK(P142), ISBLANK(Q142)),
      "",
      MAX(
        1,
        IF(
          NETWORKDAYS(P142, Q142, Holiday_Dates) &lt;= 0,
          1,
          NETWORKDAYS(P142, Q142, Holiday_Dates) - IF(P142 = Q142, 0, 1)
        )
      )
    ),
    IF(
      OR(ISBLANK(O142), ISBLANK(Q142)),
      "",
      MAX(
        1,
        IF(
          NETWORKDAYS(O142, Q142, Holiday_Dates) &lt;= 0,
          1,
          NETWORKDAYS(O142, Q142, Holiday_Dates) - IF(O142 = Q142, 0, 1)
        )
      )
    )
  ),
  ""
)</f>
        <v/>
      </c>
      <c r="V142" s="24" t="str">
        <f>IFERROR(
    IF(
        OR(ISBLANK(Q142), ISBLANK(R142)),
        "",
        MAX(
            1,
            IF(
                NETWORKDAYS(Q142, R142, Holiday_Dates) &lt;= 0,
                1,
                NETWORKDAYS(Q142, R142, Holiday_Dates) - IF(Q142 = R142, 0, 1)
            )
        )
    ),
    ""
)</f>
        <v/>
      </c>
      <c r="W142" s="71"/>
      <c r="X142" s="9"/>
      <c r="Y142" s="71"/>
      <c r="Z142" s="9"/>
      <c r="AA142" s="9"/>
      <c r="AB142" s="9"/>
      <c r="AC142" s="9"/>
      <c r="AD142" s="71"/>
      <c r="AE142" s="284"/>
      <c r="AF142" s="1"/>
      <c r="AG142" s="1"/>
    </row>
    <row r="143" spans="1:33">
      <c r="A143" s="40" t="s">
        <v>51</v>
      </c>
      <c r="B143" s="245" t="s">
        <v>6234</v>
      </c>
      <c r="C143" s="246" t="s">
        <v>392</v>
      </c>
      <c r="D143" s="246" t="s">
        <v>88</v>
      </c>
      <c r="E143" s="40">
        <v>120.68429999999999</v>
      </c>
      <c r="F143" s="247">
        <v>14.9673</v>
      </c>
      <c r="G143" s="40" t="str">
        <f>_xlfn.CONCAT(E143:F143)</f>
        <v>120.684314.9673</v>
      </c>
      <c r="H143" s="248">
        <v>44901</v>
      </c>
      <c r="I143" s="9" t="s">
        <v>71</v>
      </c>
      <c r="J143" s="9" t="s">
        <v>34</v>
      </c>
      <c r="K143" s="9"/>
      <c r="L143" s="9" t="s">
        <v>239</v>
      </c>
      <c r="M143" s="239"/>
      <c r="N143" s="239"/>
      <c r="O143" s="239"/>
      <c r="P143" s="239"/>
      <c r="Q143" s="239"/>
      <c r="R143" s="239"/>
      <c r="S143" s="24" t="str">
        <f>IFERROR(
    IF(
        OR(ISBLANK(N143), ISBLANK(O143)),
        "",
        MAX(
            1,
            IF(
                NETWORKDAYS(N143, O143, Holiday_Dates) &lt;= 0,
                1,
                NETWORKDAYS(N143, O143, Holiday_Dates) - IF(N143 = O143, 0, 1)
            )
        )
    ),
    ""
)</f>
        <v/>
      </c>
      <c r="T143" s="24" t="str">
        <f>IF(
    OR(ISBLANK(O143), ISBLANK(P143)),
    "",
    MAX(
        1,
        IF(
            NETWORKDAYS(O143, P143, Holiday_Dates) &lt;= 0,
            1,
            NETWORKDAYS(O143, P143, Holiday_Dates) - IF(O143 = P143, 0, 1)
        )
    )
)</f>
        <v/>
      </c>
      <c r="U143" s="24" t="str">
        <f>IFERROR(
  IF(
    OR(A143="Nueva_Ecija", A143="Zambales"),
    IF(
      OR(ISBLANK(P143), ISBLANK(Q143)),
      "",
      MAX(
        1,
        IF(
          NETWORKDAYS(P143, Q143, Holiday_Dates) &lt;= 0,
          1,
          NETWORKDAYS(P143, Q143, Holiday_Dates) - IF(P143 = Q143, 0, 1)
        )
      )
    ),
    IF(
      OR(ISBLANK(O143), ISBLANK(Q143)),
      "",
      MAX(
        1,
        IF(
          NETWORKDAYS(O143, Q143, Holiday_Dates) &lt;= 0,
          1,
          NETWORKDAYS(O143, Q143, Holiday_Dates) - IF(O143 = Q143, 0, 1)
        )
      )
    )
  ),
  ""
)</f>
        <v/>
      </c>
      <c r="V143" s="24" t="str">
        <f>IFERROR(
    IF(
        OR(ISBLANK(Q143), ISBLANK(R143)),
        "",
        MAX(
            1,
            IF(
                NETWORKDAYS(Q143, R143, Holiday_Dates) &lt;= 0,
                1,
                NETWORKDAYS(Q143, R143, Holiday_Dates) - IF(Q143 = R143, 0, 1)
            )
        )
    ),
    ""
)</f>
        <v/>
      </c>
      <c r="W143" s="71"/>
      <c r="X143" s="9"/>
      <c r="Y143" s="71"/>
      <c r="Z143" s="9"/>
      <c r="AA143" s="9"/>
      <c r="AB143" s="9"/>
      <c r="AC143" s="9"/>
      <c r="AD143" s="71"/>
      <c r="AE143" s="284"/>
      <c r="AF143" s="1"/>
      <c r="AG143" s="1"/>
    </row>
    <row r="144" spans="1:33">
      <c r="A144" s="40" t="s">
        <v>51</v>
      </c>
      <c r="B144" s="245" t="s">
        <v>6235</v>
      </c>
      <c r="C144" s="246" t="s">
        <v>392</v>
      </c>
      <c r="D144" s="246" t="s">
        <v>88</v>
      </c>
      <c r="E144" s="40"/>
      <c r="F144" s="247"/>
      <c r="G144" s="40" t="s">
        <v>6236</v>
      </c>
      <c r="H144" s="248">
        <v>44915</v>
      </c>
      <c r="I144" s="9" t="s">
        <v>71</v>
      </c>
      <c r="J144" s="9" t="s">
        <v>34</v>
      </c>
      <c r="K144" s="9"/>
      <c r="L144" s="9" t="s">
        <v>239</v>
      </c>
      <c r="M144" s="239"/>
      <c r="N144" s="239"/>
      <c r="O144" s="239"/>
      <c r="P144" s="239"/>
      <c r="Q144" s="239"/>
      <c r="R144" s="239"/>
      <c r="S144" s="24" t="str">
        <f>IFERROR(
    IF(
        OR(ISBLANK(N144), ISBLANK(O144)),
        "",
        MAX(
            1,
            IF(
                NETWORKDAYS(N144, O144, Holiday_Dates) &lt;= 0,
                1,
                NETWORKDAYS(N144, O144, Holiday_Dates) - IF(N144 = O144, 0, 1)
            )
        )
    ),
    ""
)</f>
        <v/>
      </c>
      <c r="T144" s="24" t="str">
        <f>IF(
    OR(ISBLANK(O144), ISBLANK(P144)),
    "",
    MAX(
        1,
        IF(
            NETWORKDAYS(O144, P144, Holiday_Dates) &lt;= 0,
            1,
            NETWORKDAYS(O144, P144, Holiday_Dates) - IF(O144 = P144, 0, 1)
        )
    )
)</f>
        <v/>
      </c>
      <c r="U144" s="24" t="str">
        <f>IFERROR(
  IF(
    OR(A144="Nueva_Ecija", A144="Zambales"),
    IF(
      OR(ISBLANK(P144), ISBLANK(Q144)),
      "",
      MAX(
        1,
        IF(
          NETWORKDAYS(P144, Q144, Holiday_Dates) &lt;= 0,
          1,
          NETWORKDAYS(P144, Q144, Holiday_Dates) - IF(P144 = Q144, 0, 1)
        )
      )
    ),
    IF(
      OR(ISBLANK(O144), ISBLANK(Q144)),
      "",
      MAX(
        1,
        IF(
          NETWORKDAYS(O144, Q144, Holiday_Dates) &lt;= 0,
          1,
          NETWORKDAYS(O144, Q144, Holiday_Dates) - IF(O144 = Q144, 0, 1)
        )
      )
    )
  ),
  ""
)</f>
        <v/>
      </c>
      <c r="V144" s="24" t="str">
        <f>IFERROR(
    IF(
        OR(ISBLANK(Q144), ISBLANK(R144)),
        "",
        MAX(
            1,
            IF(
                NETWORKDAYS(Q144, R144, Holiday_Dates) &lt;= 0,
                1,
                NETWORKDAYS(Q144, R144, Holiday_Dates) - IF(Q144 = R144, 0, 1)
            )
        )
    ),
    ""
)</f>
        <v/>
      </c>
      <c r="W144" s="71"/>
      <c r="X144" s="9"/>
      <c r="Y144" s="71"/>
      <c r="Z144" s="9"/>
      <c r="AA144" s="9"/>
      <c r="AB144" s="9"/>
      <c r="AC144" s="9"/>
      <c r="AD144" s="71"/>
      <c r="AE144" s="284"/>
      <c r="AF144" s="1"/>
      <c r="AG144" s="1"/>
    </row>
  </sheetData>
  <sheetProtection formatCells="0" formatColumns="0" formatRows="0" sort="0" autoFilter="0"/>
  <protectedRanges>
    <protectedRange sqref="I2:R200" name="enmo_staff"/>
    <protectedRange algorithmName="SHA-512" hashValue="IhAPQKB4/JjlbV/JDKgoq51DT2gkWx3h8CbhQRMacpugYJjkVUfDww2euzowGdI+W6R5p6QVjj4u1JKo8xQRmg==" saltValue="+vp2ztIsJjCBWu7S8VYKEw==" spinCount="100000" sqref="W2:W200" name="planning"/>
    <protectedRange sqref="X2:AG200" name="swm_data_1"/>
    <protectedRange algorithmName="SHA-512" hashValue="Ri4AjhaXPXYpmVPCdzEIBbphFcT2f14cvCWBtOGjH+Ig9E+M/JbXHjzLnT5jV2Czll8vH+OoE7o6G4vHfioE+w==" saltValue="Al7C4QUOFDhdEADUBN6ahw==" spinCount="100000" sqref="I1:I1048576" name="TARGET_MONTH"/>
  </protectedRanges>
  <autoFilter ref="A1:AH144" xr:uid="{E999A463-1532-4520-AD10-994A53796B36}"/>
  <dataValidations count="4">
    <dataValidation allowBlank="1" showInputMessage="1" showErrorMessage="1" sqref="E1:G1 I1:W1" xr:uid="{DE31C15F-4AF4-427F-95F3-C0C85ED8CFCC}"/>
    <dataValidation type="list" allowBlank="1" showInputMessage="1" showErrorMessage="1" sqref="A2:A1048553" xr:uid="{28CA683A-1A9A-47BF-A284-1D31C0FC8E2A}">
      <formula1>"Aurora, Bataan, Bulacan, Nueva_Ecija, Pampanga, Tarlac, Zambales"</formula1>
    </dataValidation>
    <dataValidation type="list" allowBlank="1" showInputMessage="1" showErrorMessage="1" sqref="J2:K1048576" xr:uid="{0C22DB9A-0541-4439-ACA2-05104C9B728B}">
      <formula1>ENMO</formula1>
    </dataValidation>
    <dataValidation type="list" allowBlank="1" showInputMessage="1" showErrorMessage="1" sqref="L2:L1048576" xr:uid="{1AFBF3E1-6D0B-40F4-B224-FE0E7FBB1EA4}">
      <formula1>ESWM_FOCAL</formula1>
    </dataValidation>
  </dataValidations>
  <hyperlinks>
    <hyperlink ref="AH28" r:id="rId1" xr:uid="{09558B0C-A5DF-421E-8A47-ECB04EC1DB7E}"/>
    <hyperlink ref="AH29" r:id="rId2" xr:uid="{EC2E45EC-BF52-4C6D-A367-43C426EFB1D5}"/>
    <hyperlink ref="AH33" r:id="rId3" xr:uid="{0691C215-974A-4013-BC22-62A40956B487}"/>
    <hyperlink ref="AH32" r:id="rId4" xr:uid="{C02B1EAC-AF4F-4874-9F87-326427B67D18}"/>
    <hyperlink ref="AH31" r:id="rId5" xr:uid="{A8016D4B-C482-4968-A94A-C4FF5D33CEC2}"/>
  </hyperlinks>
  <pageMargins left="0.7" right="0.7" top="0.75" bottom="0.75" header="0.3" footer="0.3"/>
  <legacyDrawing r:id="rId6"/>
  <extLst>
    <ext xmlns:x14="http://schemas.microsoft.com/office/spreadsheetml/2009/9/main" uri="{CCE6A557-97BC-4b89-ADB6-D9C93CAAB3DF}">
      <x14:dataValidations xmlns:xm="http://schemas.microsoft.com/office/excel/2006/main" count="2">
        <x14:dataValidation type="list" allowBlank="1" showInputMessage="1" showErrorMessage="1" xr:uid="{27BA231D-1235-405A-9329-D5C133F2A564}">
          <x14:formula1>
            <xm:f>'Data Validation'!$T$2:$T$3</xm:f>
          </x14:formula1>
          <xm:sqref>X2:X144 Z2:AA144</xm:sqref>
        </x14:dataValidation>
        <x14:dataValidation type="list" allowBlank="1" showInputMessage="1" showErrorMessage="1" xr:uid="{78302BA4-DDDF-47E1-ADEA-6A0B76525493}">
          <x14:formula1>
            <xm:f>'Data Validation'!$A$13:$A$24</xm:f>
          </x14:formula1>
          <xm:sqref>I2:I144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174D-2BD6-4BCC-B5A4-781E7CC88849}">
  <sheetPr codeName="Sheet8"/>
  <dimension ref="A1:AV11"/>
  <sheetViews>
    <sheetView zoomScale="80" zoomScaleNormal="80" workbookViewId="0">
      <pane xSplit="3" topLeftCell="D1" activePane="topRight" state="frozen"/>
      <selection pane="topRight" activeCell="X3" sqref="X3"/>
    </sheetView>
  </sheetViews>
  <sheetFormatPr defaultColWidth="9.140625" defaultRowHeight="15" customHeight="1"/>
  <cols>
    <col min="1" max="1" width="11.42578125" style="41" customWidth="1"/>
    <col min="2" max="2" width="12" style="41" customWidth="1"/>
    <col min="3" max="3" width="16.7109375" style="41" customWidth="1"/>
    <col min="4" max="4" width="24.5703125" style="41" bestFit="1" customWidth="1"/>
    <col min="5" max="5" width="15" style="41" customWidth="1"/>
    <col min="6" max="7" width="9.28515625" style="41" bestFit="1" customWidth="1"/>
    <col min="8" max="8" width="25.42578125" style="41" bestFit="1" customWidth="1"/>
    <col min="9" max="9" width="18.42578125" style="41" customWidth="1"/>
    <col min="10" max="11" width="23.42578125" style="41" customWidth="1"/>
    <col min="12" max="12" width="27.5703125" style="41" customWidth="1"/>
    <col min="13" max="13" width="21.42578125" style="41" customWidth="1"/>
    <col min="14" max="14" width="17.7109375" style="41" customWidth="1"/>
    <col min="15" max="15" width="32.7109375" style="41" customWidth="1"/>
    <col min="16" max="16" width="21.85546875" style="41" customWidth="1"/>
    <col min="17" max="17" width="18.42578125" style="41" customWidth="1"/>
    <col min="18" max="18" width="18" style="41" bestFit="1" customWidth="1"/>
    <col min="19" max="23" width="18.140625" style="41" customWidth="1"/>
    <col min="24" max="24" width="30" style="43" bestFit="1" customWidth="1"/>
    <col min="25" max="33" width="19.28515625" style="41" customWidth="1"/>
    <col min="34" max="34" width="22.5703125" style="41" customWidth="1"/>
    <col min="35" max="35" width="25" style="43" customWidth="1"/>
    <col min="36" max="38" width="19.28515625" style="41" customWidth="1"/>
    <col min="39" max="47" width="23.85546875" style="41" customWidth="1"/>
    <col min="48" max="48" width="127.7109375" style="41" bestFit="1" customWidth="1"/>
    <col min="49" max="16384" width="9.140625" style="41"/>
  </cols>
  <sheetData>
    <row r="1" spans="1:48" ht="57">
      <c r="A1" s="50" t="s">
        <v>44</v>
      </c>
      <c r="B1" s="50" t="s">
        <v>158</v>
      </c>
      <c r="C1" s="50" t="s">
        <v>556</v>
      </c>
      <c r="D1" s="50" t="s">
        <v>160</v>
      </c>
      <c r="E1" s="51" t="s">
        <v>161</v>
      </c>
      <c r="F1" s="51" t="s">
        <v>557</v>
      </c>
      <c r="G1" s="51" t="s">
        <v>558</v>
      </c>
      <c r="H1" s="51" t="s">
        <v>559</v>
      </c>
      <c r="I1" s="52" t="s">
        <v>43</v>
      </c>
      <c r="J1" s="52" t="s">
        <v>171</v>
      </c>
      <c r="K1" s="52" t="s">
        <v>172</v>
      </c>
      <c r="L1" s="52" t="s">
        <v>173</v>
      </c>
      <c r="M1" s="52" t="s">
        <v>174</v>
      </c>
      <c r="N1" s="52" t="s">
        <v>175</v>
      </c>
      <c r="O1" s="52" t="s">
        <v>176</v>
      </c>
      <c r="P1" s="52" t="s">
        <v>177</v>
      </c>
      <c r="Q1" s="52" t="s">
        <v>178</v>
      </c>
      <c r="R1" s="52" t="s">
        <v>179</v>
      </c>
      <c r="S1" s="52" t="s">
        <v>180</v>
      </c>
      <c r="T1" s="52" t="s">
        <v>181</v>
      </c>
      <c r="U1" s="52" t="s">
        <v>182</v>
      </c>
      <c r="V1" s="52" t="s">
        <v>183</v>
      </c>
      <c r="W1" s="53" t="s">
        <v>1100</v>
      </c>
      <c r="X1" s="23" t="s">
        <v>6237</v>
      </c>
      <c r="Y1" s="23" t="s">
        <v>6238</v>
      </c>
      <c r="Z1" s="23" t="s">
        <v>6239</v>
      </c>
      <c r="AA1" s="23" t="s">
        <v>6240</v>
      </c>
      <c r="AB1" s="23" t="s">
        <v>6241</v>
      </c>
      <c r="AC1" s="23" t="s">
        <v>6242</v>
      </c>
      <c r="AD1" s="23" t="s">
        <v>6243</v>
      </c>
      <c r="AE1" s="23" t="s">
        <v>6244</v>
      </c>
      <c r="AF1" s="23" t="s">
        <v>6245</v>
      </c>
      <c r="AG1" s="23" t="s">
        <v>6246</v>
      </c>
      <c r="AH1" s="23" t="s">
        <v>6247</v>
      </c>
      <c r="AI1" s="23" t="s">
        <v>6248</v>
      </c>
      <c r="AJ1" s="23" t="s">
        <v>6249</v>
      </c>
      <c r="AK1" s="23" t="s">
        <v>6250</v>
      </c>
      <c r="AL1" s="23" t="s">
        <v>571</v>
      </c>
      <c r="AM1" s="2" t="s">
        <v>189</v>
      </c>
      <c r="AN1" s="2" t="s">
        <v>572</v>
      </c>
      <c r="AO1" s="2" t="s">
        <v>196</v>
      </c>
      <c r="AP1" s="2" t="s">
        <v>573</v>
      </c>
      <c r="AQ1" s="2" t="s">
        <v>574</v>
      </c>
      <c r="AR1" s="2" t="s">
        <v>6251</v>
      </c>
      <c r="AS1" s="2" t="s">
        <v>576</v>
      </c>
      <c r="AT1" s="2" t="s">
        <v>577</v>
      </c>
      <c r="AU1" s="2" t="s">
        <v>578</v>
      </c>
      <c r="AV1" s="2" t="s">
        <v>5998</v>
      </c>
    </row>
    <row r="2" spans="1:48" ht="30">
      <c r="A2" s="9" t="s">
        <v>47</v>
      </c>
      <c r="B2" s="9" t="s">
        <v>370</v>
      </c>
      <c r="C2" s="9" t="s">
        <v>579</v>
      </c>
      <c r="D2" s="9" t="s">
        <v>89</v>
      </c>
      <c r="E2" s="9" t="s">
        <v>259</v>
      </c>
      <c r="F2" s="9">
        <v>15.73583333</v>
      </c>
      <c r="G2" s="9">
        <v>121.56277780000001</v>
      </c>
      <c r="H2" s="9" t="str">
        <f t="shared" ref="H2:H10" si="0">CONCATENATE(F2,","," ",G2)</f>
        <v>15.73583333, 121.5627778</v>
      </c>
      <c r="I2" s="36" t="s">
        <v>62</v>
      </c>
      <c r="J2" s="9" t="s">
        <v>13</v>
      </c>
      <c r="K2" s="9"/>
      <c r="L2" s="9" t="s">
        <v>128</v>
      </c>
      <c r="M2" s="9" t="s">
        <v>6252</v>
      </c>
      <c r="N2" s="22">
        <v>46058</v>
      </c>
      <c r="O2" s="22">
        <v>46061</v>
      </c>
      <c r="P2" s="22"/>
      <c r="Q2" s="22">
        <v>46069</v>
      </c>
      <c r="R2" s="22">
        <v>46069</v>
      </c>
      <c r="S2" s="24">
        <f>IFERROR(
    IF(
        OR(ISBLANK(N2), ISBLANK(O2)),
        "",
        MAX(
            1,
            IF(
                NETWORKDAYS(N2, O2, Holiday_Dates) &lt;= 0,
                1,
                NETWORKDAYS(N2, O2, Holiday_Dates) - IF(N2 = O2, 0, 1)
            )
        )
    ),
    ""
)</f>
        <v>1</v>
      </c>
      <c r="T2" s="24" t="str">
        <f>IF(
    OR(ISBLANK(O2), ISBLANK(P2)),
    "",
    MAX(
        1,
        IF(
            NETWORKDAYS(O2, P2, Holiday_Dates) &lt;= 0,
            1,
            NETWORKDAYS(O2, P2, Holiday_Dates) - IF(O2 = P2, 0, 1)
        )
    )
)</f>
        <v/>
      </c>
      <c r="U2" s="24">
        <f>IFERROR(
  IF(
    OR(A2="Nueva_Ecija", A2="Zambales"),
    IF(
      OR(ISBLANK(P2), ISBLANK(Q2)),
      "",
      MAX(
        1,
        IF(
          NETWORKDAYS(P2, Q2, Holiday_Dates) &lt;= 0,
          1,
          NETWORKDAYS(P2, Q2, Holiday_Dates) - IF(P2 = Q2, 0, 1)
        )
      )
    ),
    IF(
      OR(ISBLANK(O2), ISBLANK(Q2)),
      "",
      MAX(
        1,
        IF(
          NETWORKDAYS(O2, Q2, Holiday_Dates) &lt;= 0,
          1,
          NETWORKDAYS(O2, Q2, Holiday_Dates) - IF(O2 = Q2, 0, 1)
        )
      )
    )
  ),
  ""
)</f>
        <v>5</v>
      </c>
      <c r="V2" s="24">
        <f>IFERROR(
    IF(
        OR(ISBLANK(Q2), ISBLANK(R2)),
        "",
        MAX(
            1,
            IF(
                NETWORKDAYS(Q2, R2, Holiday_Dates) &lt;= 0,
                1,
                NETWORKDAYS(Q2, R2, Holiday_Dates) - IF(Q2 = R2, 0, 1)
            )
        )
    ),
    ""
)</f>
        <v>1</v>
      </c>
      <c r="W2" s="6" t="s">
        <v>929</v>
      </c>
      <c r="X2" s="6" t="s">
        <v>101</v>
      </c>
      <c r="Y2" s="9"/>
      <c r="Z2" s="9"/>
      <c r="AA2" s="9">
        <v>100</v>
      </c>
      <c r="AB2" s="9">
        <v>2017</v>
      </c>
      <c r="AC2" s="9"/>
      <c r="AD2" s="9"/>
      <c r="AE2" s="66">
        <v>1037</v>
      </c>
      <c r="AF2" s="8"/>
      <c r="AG2" s="9"/>
      <c r="AH2" s="9" t="s">
        <v>597</v>
      </c>
      <c r="AI2" s="6" t="s">
        <v>597</v>
      </c>
      <c r="AJ2" s="9" t="s">
        <v>597</v>
      </c>
      <c r="AK2" s="9">
        <v>7</v>
      </c>
      <c r="AL2" s="9"/>
      <c r="AM2" s="9"/>
      <c r="AN2" s="9"/>
      <c r="AO2" s="9"/>
      <c r="AP2" s="9"/>
      <c r="AQ2" s="9"/>
      <c r="AR2" s="9"/>
      <c r="AS2" s="9"/>
      <c r="AT2" s="9"/>
      <c r="AU2" s="9"/>
      <c r="AV2" s="575" t="s">
        <v>6253</v>
      </c>
    </row>
    <row r="3" spans="1:48" ht="30">
      <c r="A3" s="9" t="s">
        <v>48</v>
      </c>
      <c r="B3" s="9" t="s">
        <v>484</v>
      </c>
      <c r="C3" s="9" t="s">
        <v>1268</v>
      </c>
      <c r="D3" s="9" t="s">
        <v>88</v>
      </c>
      <c r="E3" s="9" t="s">
        <v>243</v>
      </c>
      <c r="F3" s="9">
        <v>15.73441</v>
      </c>
      <c r="G3" s="9">
        <v>120.31515</v>
      </c>
      <c r="H3" s="9" t="str">
        <f t="shared" si="0"/>
        <v>15.73441, 120.31515</v>
      </c>
      <c r="I3" s="630" t="s">
        <v>45</v>
      </c>
      <c r="J3" s="9" t="s">
        <v>19</v>
      </c>
      <c r="K3" s="9"/>
      <c r="L3" s="9" t="s">
        <v>129</v>
      </c>
      <c r="M3" s="9" t="s">
        <v>6254</v>
      </c>
      <c r="N3" s="22">
        <v>46086</v>
      </c>
      <c r="O3" s="22">
        <v>46086</v>
      </c>
      <c r="P3" s="22"/>
      <c r="Q3" s="22">
        <v>46090</v>
      </c>
      <c r="R3" s="22">
        <v>46090</v>
      </c>
      <c r="S3" s="24">
        <f>IFERROR(
    IF(
        OR(ISBLANK(N3), ISBLANK(O3)),
        "",
        MAX(
            1,
            IF(
                NETWORKDAYS(N3, O3, Holiday_Dates) &lt;= 0,
                1,
                NETWORKDAYS(N3, O3, Holiday_Dates) - IF(N3 = O3, 0, 1)
            )
        )
    ),
    ""
)</f>
        <v>1</v>
      </c>
      <c r="T3" s="24" t="str">
        <f>IF(
    OR(ISBLANK(O3), ISBLANK(P3)),
    "",
    MAX(
        1,
        IF(
            NETWORKDAYS(O3, P3, Holiday_Dates) &lt;= 0,
            1,
            NETWORKDAYS(O3, P3, Holiday_Dates) - IF(O3 = P3, 0, 1)
        )
    )
)</f>
        <v/>
      </c>
      <c r="U3" s="24">
        <f>IFERROR(
  IF(
    OR(A3="Nueva_Ecija", A3="Zambales"),
    IF(
      OR(ISBLANK(P3), ISBLANK(Q3)),
      "",
      MAX(
        1,
        IF(
          NETWORKDAYS(P3, Q3, Holiday_Dates) &lt;= 0,
          1,
          NETWORKDAYS(P3, Q3, Holiday_Dates) - IF(P3 = Q3, 0, 1)
        )
      )
    ),
    IF(
      OR(ISBLANK(O3), ISBLANK(Q3)),
      "",
      MAX(
        1,
        IF(
          NETWORKDAYS(O3, Q3, Holiday_Dates) &lt;= 0,
          1,
          NETWORKDAYS(O3, Q3, Holiday_Dates) - IF(O3 = Q3, 0, 1)
        )
      )
    )
  ),
  ""
)</f>
        <v>2</v>
      </c>
      <c r="V3" s="24">
        <f>IFERROR(
    IF(
        OR(ISBLANK(Q3), ISBLANK(R3)),
        "",
        MAX(
            1,
            IF(
                NETWORKDAYS(Q3, R3, Holiday_Dates) &lt;= 0,
                1,
                NETWORKDAYS(Q3, R3, Holiday_Dates) - IF(Q3 = R3, 0, 1)
            )
        )
    ),
    ""
)</f>
        <v>1</v>
      </c>
      <c r="W3" s="6" t="s">
        <v>929</v>
      </c>
      <c r="X3" s="6" t="s">
        <v>101</v>
      </c>
      <c r="Y3" s="9" t="s">
        <v>6255</v>
      </c>
      <c r="Z3" s="9"/>
      <c r="AA3" s="9">
        <v>150</v>
      </c>
      <c r="AB3" s="9">
        <v>2017</v>
      </c>
      <c r="AC3" s="9" t="s">
        <v>6256</v>
      </c>
      <c r="AD3" s="9">
        <v>64</v>
      </c>
      <c r="AE3" s="9" t="s">
        <v>6257</v>
      </c>
      <c r="AF3" s="8">
        <v>46086</v>
      </c>
      <c r="AG3" s="9">
        <v>21.12</v>
      </c>
      <c r="AH3" s="9" t="s">
        <v>6258</v>
      </c>
      <c r="AI3" s="6" t="s">
        <v>220</v>
      </c>
      <c r="AJ3" s="9" t="s">
        <v>597</v>
      </c>
      <c r="AK3" s="9">
        <v>5</v>
      </c>
      <c r="AL3" s="9"/>
      <c r="AM3" s="9"/>
      <c r="AN3" s="9"/>
      <c r="AO3" s="9"/>
      <c r="AP3" s="9"/>
      <c r="AQ3" s="9"/>
      <c r="AR3" s="9"/>
      <c r="AS3" s="9"/>
      <c r="AT3" s="9"/>
      <c r="AU3" s="9"/>
      <c r="AV3" s="9"/>
    </row>
    <row r="4" spans="1:48">
      <c r="A4" s="9" t="s">
        <v>65</v>
      </c>
      <c r="B4" s="9" t="s">
        <v>295</v>
      </c>
      <c r="C4" s="9" t="s">
        <v>3155</v>
      </c>
      <c r="D4" s="9" t="s">
        <v>88</v>
      </c>
      <c r="E4" s="9" t="s">
        <v>271</v>
      </c>
      <c r="F4" s="9">
        <v>15.90054239</v>
      </c>
      <c r="G4" s="9">
        <v>120.9139667</v>
      </c>
      <c r="H4" s="9" t="str">
        <f t="shared" si="0"/>
        <v>15.90054239, 120.9139667</v>
      </c>
      <c r="I4" s="631" t="s">
        <v>57</v>
      </c>
      <c r="J4" s="9" t="s">
        <v>29</v>
      </c>
      <c r="K4" s="9"/>
      <c r="L4" s="9" t="s">
        <v>130</v>
      </c>
      <c r="M4" s="9"/>
      <c r="N4" s="22"/>
      <c r="O4" s="22"/>
      <c r="P4" s="22"/>
      <c r="Q4" s="22"/>
      <c r="R4" s="22"/>
      <c r="S4" s="24" t="str">
        <f>IFERROR(
    IF(
        OR(ISBLANK(N4), ISBLANK(O4)),
        "",
        MAX(
            1,
            IF(
                NETWORKDAYS(N4, O4, Holiday_Dates) &lt;= 0,
                1,
                NETWORKDAYS(N4, O4, Holiday_Dates) - IF(N4 = O4, 0, 1)
            )
        )
    ),
    ""
)</f>
        <v/>
      </c>
      <c r="T4" s="24" t="str">
        <f>IF(
    OR(ISBLANK(O4), ISBLANK(P4)),
    "",
    MAX(
        1,
        IF(
            NETWORKDAYS(O4, P4, Holiday_Dates) &lt;= 0,
            1,
            NETWORKDAYS(O4, P4, Holiday_Dates) - IF(O4 = P4, 0, 1)
        )
    )
)</f>
        <v/>
      </c>
      <c r="U4" s="24" t="str">
        <f>IFERROR(
  IF(
    OR(A4="Nueva_Ecija", A4="Zambales"),
    IF(
      OR(ISBLANK(P4), ISBLANK(Q4)),
      "",
      MAX(
        1,
        IF(
          NETWORKDAYS(P4, Q4, Holiday_Dates) &lt;= 0,
          1,
          NETWORKDAYS(P4, Q4, Holiday_Dates) - IF(P4 = Q4, 0, 1)
        )
      )
    ),
    IF(
      OR(ISBLANK(O4), ISBLANK(Q4)),
      "",
      MAX(
        1,
        IF(
          NETWORKDAYS(O4, Q4, Holiday_Dates) &lt;= 0,
          1,
          NETWORKDAYS(O4, Q4, Holiday_Dates) - IF(O4 = Q4, 0, 1)
        )
      )
    )
  ),
  ""
)</f>
        <v/>
      </c>
      <c r="V4" s="24" t="str">
        <f>IFERROR(
    IF(
        OR(ISBLANK(Q4), ISBLANK(R4)),
        "",
        MAX(
            1,
            IF(
                NETWORKDAYS(Q4, R4, Holiday_Dates) &lt;= 0,
                1,
                NETWORKDAYS(Q4, R4, Holiday_Dates) - IF(Q4 = R4, 0, 1)
            )
        )
    ),
    ""
)</f>
        <v/>
      </c>
      <c r="W4" s="6"/>
      <c r="X4" s="6"/>
      <c r="Y4" s="9"/>
      <c r="Z4" s="9"/>
      <c r="AA4" s="9"/>
      <c r="AB4" s="9"/>
      <c r="AC4" s="9"/>
      <c r="AD4" s="66"/>
      <c r="AE4" s="9"/>
      <c r="AF4" s="9"/>
      <c r="AG4" s="9"/>
      <c r="AH4" s="30"/>
      <c r="AI4" s="30"/>
      <c r="AJ4" s="9"/>
      <c r="AK4" s="9"/>
      <c r="AL4" s="6"/>
      <c r="AM4" s="9"/>
      <c r="AN4" s="9"/>
      <c r="AO4" s="9"/>
      <c r="AP4" s="9"/>
      <c r="AQ4" s="9"/>
      <c r="AR4" s="9"/>
      <c r="AS4" s="9"/>
      <c r="AT4" s="9"/>
      <c r="AU4" s="9"/>
      <c r="AV4" s="9"/>
    </row>
    <row r="5" spans="1:48">
      <c r="A5" s="9" t="s">
        <v>53</v>
      </c>
      <c r="B5" s="9" t="s">
        <v>550</v>
      </c>
      <c r="C5" s="9" t="s">
        <v>1028</v>
      </c>
      <c r="D5" s="9" t="s">
        <v>89</v>
      </c>
      <c r="E5" s="9" t="s">
        <v>271</v>
      </c>
      <c r="F5" s="9">
        <v>15.042160000000001</v>
      </c>
      <c r="G5" s="9">
        <v>120.07329</v>
      </c>
      <c r="H5" s="9" t="str">
        <f t="shared" si="0"/>
        <v>15.04216, 120.07329</v>
      </c>
      <c r="I5" s="36" t="s">
        <v>63</v>
      </c>
      <c r="J5" s="9" t="s">
        <v>41</v>
      </c>
      <c r="K5" s="9"/>
      <c r="L5" s="9" t="s">
        <v>133</v>
      </c>
      <c r="M5" s="9"/>
      <c r="N5" s="22"/>
      <c r="O5" s="22"/>
      <c r="P5" s="22"/>
      <c r="Q5" s="22"/>
      <c r="R5" s="22"/>
      <c r="S5" s="24" t="str">
        <f>IFERROR(
    IF(
        OR(ISBLANK(N5), ISBLANK(O5)),
        "",
        MAX(
            1,
            IF(
                NETWORKDAYS(N5, O5, Holiday_Dates) &lt;= 0,
                1,
                NETWORKDAYS(N5, O5, Holiday_Dates) - IF(N5 = O5, 0, 1)
            )
        )
    ),
    ""
)</f>
        <v/>
      </c>
      <c r="T5" s="24" t="str">
        <f>IF(
    OR(ISBLANK(O5), ISBLANK(P5)),
    "",
    MAX(
        1,
        IF(
            NETWORKDAYS(O5, P5, Holiday_Dates) &lt;= 0,
            1,
            NETWORKDAYS(O5, P5, Holiday_Dates) - IF(O5 = P5, 0, 1)
        )
    )
)</f>
        <v/>
      </c>
      <c r="U5" s="24" t="str">
        <f>IFERROR(
  IF(
    OR(A5="Nueva_Ecija", A5="Zambales"),
    IF(
      OR(ISBLANK(P5), ISBLANK(Q5)),
      "",
      MAX(
        1,
        IF(
          NETWORKDAYS(P5, Q5, Holiday_Dates) &lt;= 0,
          1,
          NETWORKDAYS(P5, Q5, Holiday_Dates) - IF(P5 = Q5, 0, 1)
        )
      )
    ),
    IF(
      OR(ISBLANK(O5), ISBLANK(Q5)),
      "",
      MAX(
        1,
        IF(
          NETWORKDAYS(O5, Q5, Holiday_Dates) &lt;= 0,
          1,
          NETWORKDAYS(O5, Q5, Holiday_Dates) - IF(O5 = Q5, 0, 1)
        )
      )
    )
  ),
  ""
)</f>
        <v/>
      </c>
      <c r="V5" s="24" t="str">
        <f>IFERROR(
    IF(
        OR(ISBLANK(Q5), ISBLANK(R5)),
        "",
        MAX(
            1,
            IF(
                NETWORKDAYS(Q5, R5, Holiday_Dates) &lt;= 0,
                1,
                NETWORKDAYS(Q5, R5, Holiday_Dates) - IF(Q5 = R5, 0, 1)
            )
        )
    ),
    ""
)</f>
        <v/>
      </c>
      <c r="W5" s="6"/>
      <c r="X5" s="6"/>
      <c r="Y5" s="9"/>
      <c r="Z5" s="9"/>
      <c r="AA5" s="9"/>
      <c r="AB5" s="9"/>
      <c r="AC5" s="9"/>
      <c r="AD5" s="9"/>
      <c r="AE5" s="9"/>
      <c r="AF5" s="9"/>
      <c r="AG5" s="9"/>
      <c r="AH5" s="6"/>
      <c r="AI5" s="6"/>
      <c r="AJ5" s="9"/>
      <c r="AK5" s="9"/>
      <c r="AL5" s="9"/>
      <c r="AM5" s="9"/>
      <c r="AN5" s="9"/>
      <c r="AO5" s="9"/>
      <c r="AP5" s="9"/>
      <c r="AQ5" s="9"/>
      <c r="AR5" s="9"/>
      <c r="AS5" s="9"/>
      <c r="AT5" s="9"/>
      <c r="AU5" s="9"/>
      <c r="AV5" s="9"/>
    </row>
    <row r="6" spans="1:48">
      <c r="A6" s="9" t="s">
        <v>47</v>
      </c>
      <c r="B6" s="9" t="s">
        <v>468</v>
      </c>
      <c r="C6" s="9" t="s">
        <v>1059</v>
      </c>
      <c r="D6" s="9" t="s">
        <v>89</v>
      </c>
      <c r="E6" s="9" t="s">
        <v>259</v>
      </c>
      <c r="F6" s="9">
        <v>16.392222220000001</v>
      </c>
      <c r="G6" s="9">
        <v>122.2108333</v>
      </c>
      <c r="H6" s="9" t="str">
        <f t="shared" si="0"/>
        <v>16.39222222, 122.2108333</v>
      </c>
      <c r="I6" s="36" t="s">
        <v>64</v>
      </c>
      <c r="J6" s="9" t="s">
        <v>15</v>
      </c>
      <c r="K6" s="9"/>
      <c r="L6" s="9" t="s">
        <v>128</v>
      </c>
      <c r="M6" s="9"/>
      <c r="N6" s="22"/>
      <c r="O6" s="22"/>
      <c r="P6" s="22"/>
      <c r="Q6" s="22"/>
      <c r="R6" s="22"/>
      <c r="S6" s="24" t="str">
        <f>IFERROR(
    IF(
        OR(ISBLANK(N6), ISBLANK(O6)),
        "",
        MAX(
            1,
            IF(
                NETWORKDAYS(N6, O6, Holiday_Dates) &lt;= 0,
                1,
                NETWORKDAYS(N6, O6, Holiday_Dates) - IF(N6 = O6, 0, 1)
            )
        )
    ),
    ""
)</f>
        <v/>
      </c>
      <c r="T6" s="24" t="str">
        <f>IF(
    OR(ISBLANK(O6), ISBLANK(P6)),
    "",
    MAX(
        1,
        IF(
            NETWORKDAYS(O6, P6, Holiday_Dates) &lt;= 0,
            1,
            NETWORKDAYS(O6, P6, Holiday_Dates) - IF(O6 = P6, 0, 1)
        )
    )
)</f>
        <v/>
      </c>
      <c r="U6" s="24" t="str">
        <f>IFERROR(
  IF(
    OR(A6="Nueva_Ecija", A6="Zambales"),
    IF(
      OR(ISBLANK(P6), ISBLANK(Q6)),
      "",
      MAX(
        1,
        IF(
          NETWORKDAYS(P6, Q6, Holiday_Dates) &lt;= 0,
          1,
          NETWORKDAYS(P6, Q6, Holiday_Dates) - IF(P6 = Q6, 0, 1)
        )
      )
    ),
    IF(
      OR(ISBLANK(O6), ISBLANK(Q6)),
      "",
      MAX(
        1,
        IF(
          NETWORKDAYS(O6, Q6, Holiday_Dates) &lt;= 0,
          1,
          NETWORKDAYS(O6, Q6, Holiday_Dates) - IF(O6 = Q6, 0, 1)
        )
      )
    )
  ),
  ""
)</f>
        <v/>
      </c>
      <c r="V6" s="24" t="str">
        <f>IFERROR(
    IF(
        OR(ISBLANK(Q6), ISBLANK(R6)),
        "",
        MAX(
            1,
            IF(
                NETWORKDAYS(Q6, R6, Holiday_Dates) &lt;= 0,
                1,
                NETWORKDAYS(Q6, R6, Holiday_Dates) - IF(Q6 = R6, 0, 1)
            )
        )
    ),
    ""
)</f>
        <v/>
      </c>
      <c r="W6" s="6"/>
      <c r="X6" s="6"/>
      <c r="Y6" s="9"/>
      <c r="Z6" s="9"/>
      <c r="AA6" s="9"/>
      <c r="AB6" s="9"/>
      <c r="AC6" s="9"/>
      <c r="AD6" s="9"/>
      <c r="AE6" s="9"/>
      <c r="AF6" s="9"/>
      <c r="AG6" s="9"/>
      <c r="AH6" s="9"/>
      <c r="AI6" s="6"/>
      <c r="AJ6" s="9"/>
      <c r="AK6" s="9"/>
      <c r="AL6" s="9"/>
      <c r="AM6" s="9"/>
      <c r="AN6" s="9"/>
      <c r="AO6" s="9"/>
      <c r="AP6" s="9"/>
      <c r="AQ6" s="9"/>
      <c r="AR6" s="9"/>
      <c r="AS6" s="9"/>
      <c r="AT6" s="9"/>
      <c r="AU6" s="9"/>
      <c r="AV6" s="9"/>
    </row>
    <row r="7" spans="1:48">
      <c r="A7" s="9" t="s">
        <v>47</v>
      </c>
      <c r="B7" s="9" t="s">
        <v>334</v>
      </c>
      <c r="C7" s="9" t="s">
        <v>703</v>
      </c>
      <c r="D7" s="9" t="s">
        <v>89</v>
      </c>
      <c r="E7" s="9" t="s">
        <v>259</v>
      </c>
      <c r="F7" s="9">
        <v>16.287777779999999</v>
      </c>
      <c r="G7" s="9">
        <v>122.1222222</v>
      </c>
      <c r="H7" s="9" t="str">
        <f t="shared" si="0"/>
        <v>16.28777778, 122.1222222</v>
      </c>
      <c r="I7" s="36"/>
      <c r="J7" s="9" t="s">
        <v>15</v>
      </c>
      <c r="K7" s="9"/>
      <c r="L7" s="9" t="s">
        <v>128</v>
      </c>
      <c r="M7" s="9"/>
      <c r="N7" s="22"/>
      <c r="O7" s="22"/>
      <c r="P7" s="22"/>
      <c r="Q7" s="22"/>
      <c r="R7" s="22"/>
      <c r="S7" s="24" t="str">
        <f>IFERROR(
    IF(
        OR(ISBLANK(N7), ISBLANK(O7)),
        "",
        MAX(
            1,
            IF(
                NETWORKDAYS(N7, O7, Holiday_Dates) &lt;= 0,
                1,
                NETWORKDAYS(N7, O7, Holiday_Dates) - IF(N7 = O7, 0, 1)
            )
        )
    ),
    ""
)</f>
        <v/>
      </c>
      <c r="T7" s="24" t="str">
        <f>IF(
    OR(ISBLANK(O7), ISBLANK(P7)),
    "",
    MAX(
        1,
        IF(
            NETWORKDAYS(O7, P7, Holiday_Dates) &lt;= 0,
            1,
            NETWORKDAYS(O7, P7, Holiday_Dates) - IF(O7 = P7, 0, 1)
        )
    )
)</f>
        <v/>
      </c>
      <c r="U7" s="24" t="str">
        <f>IFERROR(
  IF(
    OR(A7="Nueva_Ecija", A7="Zambales"),
    IF(
      OR(ISBLANK(P7), ISBLANK(Q7)),
      "",
      MAX(
        1,
        IF(
          NETWORKDAYS(P7, Q7, Holiday_Dates) &lt;= 0,
          1,
          NETWORKDAYS(P7, Q7, Holiday_Dates) - IF(P7 = Q7, 0, 1)
        )
      )
    ),
    IF(
      OR(ISBLANK(O7), ISBLANK(Q7)),
      "",
      MAX(
        1,
        IF(
          NETWORKDAYS(O7, Q7, Holiday_Dates) &lt;= 0,
          1,
          NETWORKDAYS(O7, Q7, Holiday_Dates) - IF(O7 = Q7, 0, 1)
        )
      )
    )
  ),
  ""
)</f>
        <v/>
      </c>
      <c r="V7" s="24" t="str">
        <f>IFERROR(
    IF(
        OR(ISBLANK(Q7), ISBLANK(R7)),
        "",
        MAX(
            1,
            IF(
                NETWORKDAYS(Q7, R7, Holiday_Dates) &lt;= 0,
                1,
                NETWORKDAYS(Q7, R7, Holiday_Dates) - IF(Q7 = R7, 0, 1)
            )
        )
    ),
    ""
)</f>
        <v/>
      </c>
      <c r="W7" s="6"/>
      <c r="X7" s="6"/>
      <c r="Y7" s="9"/>
      <c r="Z7" s="9"/>
      <c r="AA7" s="9"/>
      <c r="AB7" s="9"/>
      <c r="AC7" s="9"/>
      <c r="AD7" s="6"/>
      <c r="AE7" s="9"/>
      <c r="AF7" s="8"/>
      <c r="AG7" s="9"/>
      <c r="AH7" s="9"/>
      <c r="AI7" s="6"/>
      <c r="AJ7" s="9"/>
      <c r="AK7" s="9"/>
      <c r="AL7" s="6"/>
      <c r="AM7" s="9"/>
      <c r="AN7" s="9"/>
      <c r="AO7" s="9"/>
      <c r="AP7" s="9"/>
      <c r="AQ7" s="9"/>
      <c r="AR7" s="9"/>
      <c r="AS7" s="9"/>
      <c r="AT7" s="9"/>
      <c r="AU7" s="9"/>
      <c r="AV7" s="9"/>
    </row>
    <row r="8" spans="1:48">
      <c r="A8" s="9" t="s">
        <v>47</v>
      </c>
      <c r="B8" s="9" t="s">
        <v>470</v>
      </c>
      <c r="C8" s="9" t="s">
        <v>1038</v>
      </c>
      <c r="D8" s="9" t="s">
        <v>89</v>
      </c>
      <c r="E8" s="9" t="s">
        <v>259</v>
      </c>
      <c r="F8" s="9">
        <v>15.3818889</v>
      </c>
      <c r="G8" s="9">
        <v>121.38055559999999</v>
      </c>
      <c r="H8" s="9" t="str">
        <f t="shared" si="0"/>
        <v>15.3818889, 121.3805556</v>
      </c>
      <c r="I8" s="36"/>
      <c r="J8" s="9" t="s">
        <v>15</v>
      </c>
      <c r="K8" s="9"/>
      <c r="L8" s="9" t="s">
        <v>128</v>
      </c>
      <c r="M8" s="9"/>
      <c r="N8" s="22"/>
      <c r="O8" s="22"/>
      <c r="P8" s="22"/>
      <c r="Q8" s="22"/>
      <c r="R8" s="22"/>
      <c r="S8" s="24" t="str">
        <f>IFERROR(
    IF(
        OR(ISBLANK(N8), ISBLANK(O8)),
        "",
        MAX(
            1,
            IF(
                NETWORKDAYS(N8, O8, Holiday_Dates) &lt;= 0,
                1,
                NETWORKDAYS(N8, O8, Holiday_Dates) - IF(N8 = O8, 0, 1)
            )
        )
    ),
    ""
)</f>
        <v/>
      </c>
      <c r="T8" s="24" t="str">
        <f>IF(
    OR(ISBLANK(O8), ISBLANK(P8)),
    "",
    MAX(
        1,
        IF(
            NETWORKDAYS(O8, P8, Holiday_Dates) &lt;= 0,
            1,
            NETWORKDAYS(O8, P8, Holiday_Dates) - IF(O8 = P8, 0, 1)
        )
    )
)</f>
        <v/>
      </c>
      <c r="U8" s="24" t="str">
        <f>IFERROR(
  IF(
    OR(A8="Nueva_Ecija", A8="Zambales"),
    IF(
      OR(ISBLANK(P8), ISBLANK(Q8)),
      "",
      MAX(
        1,
        IF(
          NETWORKDAYS(P8, Q8, Holiday_Dates) &lt;= 0,
          1,
          NETWORKDAYS(P8, Q8, Holiday_Dates) - IF(P8 = Q8, 0, 1)
        )
      )
    ),
    IF(
      OR(ISBLANK(O8), ISBLANK(Q8)),
      "",
      MAX(
        1,
        IF(
          NETWORKDAYS(O8, Q8, Holiday_Dates) &lt;= 0,
          1,
          NETWORKDAYS(O8, Q8, Holiday_Dates) - IF(O8 = Q8, 0, 1)
        )
      )
    )
  ),
  ""
)</f>
        <v/>
      </c>
      <c r="V8" s="24" t="str">
        <f>IFERROR(
    IF(
        OR(ISBLANK(Q8), ISBLANK(R8)),
        "",
        MAX(
            1,
            IF(
                NETWORKDAYS(Q8, R8, Holiday_Dates) &lt;= 0,
                1,
                NETWORKDAYS(Q8, R8, Holiday_Dates) - IF(Q8 = R8, 0, 1)
            )
        )
    ),
    ""
)</f>
        <v/>
      </c>
      <c r="W8" s="9"/>
      <c r="X8" s="6"/>
      <c r="Y8" s="9"/>
      <c r="Z8" s="9"/>
      <c r="AA8" s="9"/>
      <c r="AB8" s="9"/>
      <c r="AC8" s="9"/>
      <c r="AD8" s="9"/>
      <c r="AE8" s="9"/>
      <c r="AF8" s="9"/>
      <c r="AG8" s="9"/>
      <c r="AH8" s="9"/>
      <c r="AI8" s="6"/>
      <c r="AJ8" s="9"/>
      <c r="AK8" s="9"/>
      <c r="AL8" s="9"/>
      <c r="AM8" s="9"/>
      <c r="AN8" s="9"/>
      <c r="AO8" s="9"/>
      <c r="AP8" s="9"/>
      <c r="AQ8" s="9"/>
      <c r="AR8" s="9"/>
      <c r="AS8" s="9"/>
      <c r="AT8" s="9"/>
      <c r="AU8" s="9"/>
      <c r="AV8" s="9"/>
    </row>
    <row r="9" spans="1:48">
      <c r="A9" s="9" t="s">
        <v>47</v>
      </c>
      <c r="B9" s="9" t="s">
        <v>418</v>
      </c>
      <c r="C9" s="9" t="s">
        <v>736</v>
      </c>
      <c r="D9" s="9" t="s">
        <v>89</v>
      </c>
      <c r="E9" s="9" t="s">
        <v>259</v>
      </c>
      <c r="F9" s="9">
        <v>15.6972</v>
      </c>
      <c r="G9" s="9">
        <v>121.51479999999999</v>
      </c>
      <c r="H9" s="9" t="str">
        <f t="shared" si="0"/>
        <v>15.6972, 121.5148</v>
      </c>
      <c r="I9" s="36"/>
      <c r="J9" s="9" t="s">
        <v>13</v>
      </c>
      <c r="K9" s="9"/>
      <c r="L9" s="9" t="s">
        <v>128</v>
      </c>
      <c r="M9" s="9"/>
      <c r="N9" s="22"/>
      <c r="O9" s="22"/>
      <c r="P9" s="22"/>
      <c r="Q9" s="22"/>
      <c r="R9" s="22"/>
      <c r="S9" s="24" t="str">
        <f>IFERROR(
    IF(
        OR(ISBLANK(N9), ISBLANK(O9)),
        "",
        MAX(
            1,
            IF(
                NETWORKDAYS(N9, O9, Holiday_Dates) &lt;= 0,
                1,
                NETWORKDAYS(N9, O9, Holiday_Dates) - IF(N9 = O9, 0, 1)
            )
        )
    ),
    ""
)</f>
        <v/>
      </c>
      <c r="T9" s="24" t="str">
        <f>IF(
    OR(ISBLANK(O9), ISBLANK(P9)),
    "",
    MAX(
        1,
        IF(
            NETWORKDAYS(O9, P9, Holiday_Dates) &lt;= 0,
            1,
            NETWORKDAYS(O9, P9, Holiday_Dates) - IF(O9 = P9, 0, 1)
        )
    )
)</f>
        <v/>
      </c>
      <c r="U9" s="24" t="str">
        <f>IFERROR(
  IF(
    OR(A9="Nueva_Ecija", A9="Zambales"),
    IF(
      OR(ISBLANK(P9), ISBLANK(Q9)),
      "",
      MAX(
        1,
        IF(
          NETWORKDAYS(P9, Q9, Holiday_Dates) &lt;= 0,
          1,
          NETWORKDAYS(P9, Q9, Holiday_Dates) - IF(P9 = Q9, 0, 1)
        )
      )
    ),
    IF(
      OR(ISBLANK(O9), ISBLANK(Q9)),
      "",
      MAX(
        1,
        IF(
          NETWORKDAYS(O9, Q9, Holiday_Dates) &lt;= 0,
          1,
          NETWORKDAYS(O9, Q9, Holiday_Dates) - IF(O9 = Q9, 0, 1)
        )
      )
    )
  ),
  ""
)</f>
        <v/>
      </c>
      <c r="V9" s="24" t="str">
        <f>IFERROR(
    IF(
        OR(ISBLANK(Q9), ISBLANK(R9)),
        "",
        MAX(
            1,
            IF(
                NETWORKDAYS(Q9, R9, Holiday_Dates) &lt;= 0,
                1,
                NETWORKDAYS(Q9, R9, Holiday_Dates) - IF(Q9 = R9, 0, 1)
            )
        )
    ),
    ""
)</f>
        <v/>
      </c>
      <c r="W9" s="9"/>
      <c r="X9" s="6"/>
      <c r="Y9" s="9"/>
      <c r="Z9" s="9"/>
      <c r="AA9" s="9"/>
      <c r="AB9" s="9"/>
      <c r="AC9" s="9"/>
      <c r="AD9" s="9"/>
      <c r="AE9" s="9"/>
      <c r="AF9" s="8"/>
      <c r="AG9" s="9"/>
      <c r="AH9" s="9"/>
      <c r="AI9" s="6"/>
      <c r="AJ9" s="9"/>
      <c r="AK9" s="9"/>
      <c r="AL9" s="9"/>
      <c r="AM9" s="6"/>
      <c r="AN9" s="9"/>
      <c r="AO9" s="9"/>
      <c r="AP9" s="9"/>
      <c r="AQ9" s="9"/>
      <c r="AR9" s="9"/>
      <c r="AS9" s="9"/>
      <c r="AT9" s="9"/>
      <c r="AU9" s="9"/>
      <c r="AV9" s="9"/>
    </row>
    <row r="10" spans="1:48">
      <c r="A10" s="9" t="s">
        <v>53</v>
      </c>
      <c r="B10" s="9" t="s">
        <v>552</v>
      </c>
      <c r="C10" s="9" t="s">
        <v>694</v>
      </c>
      <c r="D10" s="9" t="s">
        <v>89</v>
      </c>
      <c r="E10" s="9" t="s">
        <v>271</v>
      </c>
      <c r="F10" s="9">
        <v>15.016209999999999</v>
      </c>
      <c r="G10" s="9">
        <v>120.0872</v>
      </c>
      <c r="H10" s="9" t="str">
        <f t="shared" si="0"/>
        <v>15.01621, 120.0872</v>
      </c>
      <c r="I10" s="36"/>
      <c r="J10" s="9" t="s">
        <v>41</v>
      </c>
      <c r="K10" s="9"/>
      <c r="L10" s="9" t="s">
        <v>133</v>
      </c>
      <c r="M10" s="7"/>
      <c r="N10" s="22"/>
      <c r="O10" s="22"/>
      <c r="P10" s="22"/>
      <c r="Q10" s="22"/>
      <c r="R10" s="22"/>
      <c r="S10" s="24" t="str">
        <f>IFERROR(
    IF(
        OR(ISBLANK(N10), ISBLANK(O10)),
        "",
        MAX(
            1,
            IF(
                NETWORKDAYS(N10, O10, Holiday_Dates) &lt;= 0,
                1,
                NETWORKDAYS(N10, O10, Holiday_Dates) - IF(N10 = O10, 0, 1)
            )
        )
    ),
    ""
)</f>
        <v/>
      </c>
      <c r="T10" s="24" t="str">
        <f>IF(
    OR(ISBLANK(O10), ISBLANK(P10)),
    "",
    MAX(
        1,
        IF(
            NETWORKDAYS(O10, P10, Holiday_Dates) &lt;= 0,
            1,
            NETWORKDAYS(O10, P10, Holiday_Dates) - IF(O10 = P10, 0, 1)
        )
    )
)</f>
        <v/>
      </c>
      <c r="U10" s="24" t="str">
        <f>IFERROR(
  IF(
    OR(A10="Nueva_Ecija", A10="Zambales"),
    IF(
      OR(ISBLANK(P10), ISBLANK(Q10)),
      "",
      MAX(
        1,
        IF(
          NETWORKDAYS(P10, Q10, Holiday_Dates) &lt;= 0,
          1,
          NETWORKDAYS(P10, Q10, Holiday_Dates) - IF(P10 = Q10, 0, 1)
        )
      )
    ),
    IF(
      OR(ISBLANK(O10), ISBLANK(Q10)),
      "",
      MAX(
        1,
        IF(
          NETWORKDAYS(O10, Q10, Holiday_Dates) &lt;= 0,
          1,
          NETWORKDAYS(O10, Q10, Holiday_Dates) - IF(O10 = Q10, 0, 1)
        )
      )
    )
  ),
  ""
)</f>
        <v/>
      </c>
      <c r="V10" s="24" t="str">
        <f>IFERROR(
    IF(
        OR(ISBLANK(Q10), ISBLANK(R10)),
        "",
        MAX(
            1,
            IF(
                NETWORKDAYS(Q10, R10, Holiday_Dates) &lt;= 0,
                1,
                NETWORKDAYS(Q10, R10, Holiday_Dates) - IF(Q10 = R10, 0, 1)
            )
        )
    ),
    ""
)</f>
        <v/>
      </c>
      <c r="W10" s="6"/>
      <c r="X10" s="6"/>
      <c r="Y10" s="9"/>
      <c r="Z10" s="9"/>
      <c r="AA10" s="9"/>
      <c r="AB10" s="9"/>
      <c r="AC10" s="9"/>
      <c r="AD10" s="9"/>
      <c r="AE10" s="9"/>
      <c r="AF10" s="9"/>
      <c r="AG10" s="9"/>
      <c r="AH10" s="9"/>
      <c r="AI10" s="6"/>
      <c r="AJ10" s="9"/>
      <c r="AK10" s="9"/>
      <c r="AL10" s="9"/>
      <c r="AM10" s="9"/>
      <c r="AN10" s="9"/>
      <c r="AO10" s="9"/>
      <c r="AP10" s="9"/>
      <c r="AQ10" s="9"/>
      <c r="AR10" s="9"/>
      <c r="AS10" s="9"/>
      <c r="AT10" s="9"/>
      <c r="AU10" s="9"/>
      <c r="AV10" s="9"/>
    </row>
    <row r="11" spans="1:48">
      <c r="M11" s="47"/>
    </row>
  </sheetData>
  <sheetProtection formatCells="0" formatColumns="0" formatRows="0" sort="0" autoFilter="0" pivotTables="0"/>
  <protectedRanges>
    <protectedRange algorithmName="SHA-512" hashValue="ZznCGAyTa38AOslxXC5WWVO0bMzrVV/8tOc5SLXWsp8BrH9jZph8KAtBTMajWUUxRGi/CzZi4qaSucvM6S+UqA==" saltValue="eJ2lZoaAxYdA9pj0bx3n2w==" spinCount="100000" sqref="I2:I29" name="TARGET_MONTH"/>
    <protectedRange sqref="X2:AU30" name="swm_data_1"/>
    <protectedRange algorithmName="SHA-512" hashValue="Mu/se9+ySGIM0hBJasohItO2KbzL+qPabN8BJUwxo+YbqYbUjf+18inH6ufT7OPu+pwgi+j/8fSU4KPxrlAOFg==" saltValue="HCjXS73BK0To/wydPzHK/A==" spinCount="100000" sqref="W2:W30" name="planning"/>
    <protectedRange sqref="I2:R30" name="enmo_staff"/>
  </protectedRanges>
  <autoFilter ref="A1:AU10" xr:uid="{D24E174D-2BD6-4BCC-B5A4-781E7CC88849}">
    <sortState xmlns:xlrd2="http://schemas.microsoft.com/office/spreadsheetml/2017/richdata2" ref="A2:AU10">
      <sortCondition ref="I1:I10"/>
    </sortState>
  </autoFilter>
  <conditionalFormatting sqref="C1">
    <cfRule type="duplicateValues" dxfId="2" priority="3"/>
  </conditionalFormatting>
  <dataValidations count="4">
    <dataValidation allowBlank="1" showInputMessage="1" showErrorMessage="1" sqref="A1:AU1" xr:uid="{591A9788-04E1-47DA-83CA-B2946ED8690A}"/>
    <dataValidation type="list" allowBlank="1" showInputMessage="1" showErrorMessage="1" sqref="A2:A1048576" xr:uid="{AE0DC1AE-430A-4F66-A9D7-DC380A97DECC}">
      <formula1>"Aurora, Bataan, Bulacan, Nueva_Ecija, Pampanga, Tarlac, Zambales"</formula1>
    </dataValidation>
    <dataValidation type="list" allowBlank="1" showInputMessage="1" showErrorMessage="1" sqref="J2:K1048576" xr:uid="{61661714-FF29-4FC6-87BC-D7FB1E0D4DC6}">
      <formula1>ENMO</formula1>
    </dataValidation>
    <dataValidation type="list" allowBlank="1" showInputMessage="1" showErrorMessage="1" sqref="L2:L1048576" xr:uid="{25A24560-BDD0-410E-8D04-A056E43546D9}">
      <formula1>ESWM_FOCAL</formula1>
    </dataValidation>
  </dataValidations>
  <hyperlinks>
    <hyperlink ref="AV2" r:id="rId1" xr:uid="{96A737F3-C12A-4181-B028-AFC84E82DCF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53E0DE4-DC5F-489B-BC71-26FB919808AE}">
          <x14:formula1>
            <xm:f>'Data Validation'!$AD$2:$AD$5</xm:f>
          </x14:formula1>
          <xm:sqref>X2:X10</xm:sqref>
        </x14:dataValidation>
        <x14:dataValidation type="list" allowBlank="1" showInputMessage="1" showErrorMessage="1" xr:uid="{56CE0A1A-02B4-4150-B6E7-9B0000239F4E}">
          <x14:formula1>
            <xm:f>'Data Validation'!$AE$2:$AE$3</xm:f>
          </x14:formula1>
          <xm:sqref>Y2:Y10</xm:sqref>
        </x14:dataValidation>
        <x14:dataValidation type="list" allowBlank="1" showInputMessage="1" showErrorMessage="1" xr:uid="{053130B5-030F-4EB1-87C2-32147B0975D0}">
          <x14:formula1>
            <xm:f>'Data Validation'!$A$13:$A$24</xm:f>
          </x14:formula1>
          <xm:sqref>I2:I10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2DE0-9499-4DE2-9F4B-1545AC291F28}">
  <sheetPr codeName="Sheet10"/>
  <dimension ref="A1:AJ22"/>
  <sheetViews>
    <sheetView zoomScale="80" zoomScaleNormal="80" workbookViewId="0">
      <pane xSplit="2" ySplit="1" topLeftCell="M9" activePane="bottomRight" state="frozen"/>
      <selection pane="topRight"/>
      <selection pane="bottomLeft"/>
      <selection pane="bottomRight" activeCell="S9" sqref="S9:S10"/>
    </sheetView>
  </sheetViews>
  <sheetFormatPr defaultRowHeight="15" customHeight="1"/>
  <cols>
    <col min="1" max="1" width="14.42578125" bestFit="1" customWidth="1"/>
    <col min="2" max="2" width="52.28515625" bestFit="1" customWidth="1"/>
    <col min="3" max="3" width="60.28515625" customWidth="1"/>
    <col min="4" max="4" width="43.28515625" bestFit="1" customWidth="1"/>
    <col min="5" max="5" width="34.140625" customWidth="1"/>
    <col min="6" max="6" width="31.42578125" bestFit="1" customWidth="1"/>
    <col min="7" max="7" width="12.28515625" bestFit="1" customWidth="1"/>
    <col min="8" max="8" width="13.42578125" bestFit="1" customWidth="1"/>
    <col min="9" max="9" width="27.7109375" bestFit="1" customWidth="1"/>
    <col min="10" max="10" width="60.7109375" customWidth="1"/>
    <col min="11" max="11" width="24.7109375" customWidth="1"/>
    <col min="12" max="15" width="35.7109375" customWidth="1"/>
    <col min="16" max="16" width="19.140625" bestFit="1" customWidth="1"/>
    <col min="17" max="17" width="27.5703125" style="11" bestFit="1" customWidth="1"/>
    <col min="18" max="18" width="27.5703125" style="11" customWidth="1"/>
    <col min="19" max="19" width="30" style="11" bestFit="1" customWidth="1"/>
    <col min="20" max="20" width="18.7109375" style="11" bestFit="1" customWidth="1"/>
    <col min="21" max="29" width="23" customWidth="1"/>
    <col min="30" max="30" width="27" bestFit="1" customWidth="1"/>
    <col min="31" max="31" width="29.5703125" bestFit="1" customWidth="1"/>
    <col min="32" max="32" width="38.85546875" customWidth="1"/>
    <col min="33" max="33" width="45.28515625" customWidth="1"/>
    <col min="34" max="34" width="26" bestFit="1" customWidth="1"/>
    <col min="35" max="35" width="36.85546875" customWidth="1"/>
    <col min="36" max="36" width="129.7109375" bestFit="1" customWidth="1"/>
  </cols>
  <sheetData>
    <row r="1" spans="1:36" s="463" customFormat="1" ht="63">
      <c r="A1" s="459" t="s">
        <v>44</v>
      </c>
      <c r="B1" s="459" t="s">
        <v>158</v>
      </c>
      <c r="C1" s="459" t="s">
        <v>6259</v>
      </c>
      <c r="D1" s="459" t="s">
        <v>6260</v>
      </c>
      <c r="E1" s="459" t="s">
        <v>1093</v>
      </c>
      <c r="F1" s="459" t="s">
        <v>160</v>
      </c>
      <c r="G1" s="459" t="s">
        <v>557</v>
      </c>
      <c r="H1" s="459" t="s">
        <v>558</v>
      </c>
      <c r="I1" s="459" t="s">
        <v>559</v>
      </c>
      <c r="J1" s="459" t="s">
        <v>1094</v>
      </c>
      <c r="K1" s="459" t="s">
        <v>1095</v>
      </c>
      <c r="L1" s="459" t="s">
        <v>1096</v>
      </c>
      <c r="M1" s="459" t="s">
        <v>1097</v>
      </c>
      <c r="N1" s="459" t="s">
        <v>1098</v>
      </c>
      <c r="O1" s="459" t="s">
        <v>1099</v>
      </c>
      <c r="P1" s="460" t="s">
        <v>67</v>
      </c>
      <c r="Q1" s="460" t="s">
        <v>171</v>
      </c>
      <c r="R1" s="460" t="s">
        <v>172</v>
      </c>
      <c r="S1" s="460" t="s">
        <v>173</v>
      </c>
      <c r="T1" s="460" t="s">
        <v>174</v>
      </c>
      <c r="U1" s="460" t="s">
        <v>175</v>
      </c>
      <c r="V1" s="460" t="s">
        <v>176</v>
      </c>
      <c r="W1" s="460" t="s">
        <v>177</v>
      </c>
      <c r="X1" s="460" t="s">
        <v>178</v>
      </c>
      <c r="Y1" s="460" t="s">
        <v>179</v>
      </c>
      <c r="Z1" s="460" t="s">
        <v>180</v>
      </c>
      <c r="AA1" s="460" t="s">
        <v>181</v>
      </c>
      <c r="AB1" s="460" t="s">
        <v>182</v>
      </c>
      <c r="AC1" s="460" t="s">
        <v>183</v>
      </c>
      <c r="AD1" s="460" t="s">
        <v>1100</v>
      </c>
      <c r="AE1" s="461" t="s">
        <v>1101</v>
      </c>
      <c r="AF1" s="461" t="s">
        <v>1102</v>
      </c>
      <c r="AG1" s="461" t="s">
        <v>198</v>
      </c>
      <c r="AH1" s="462" t="s">
        <v>924</v>
      </c>
      <c r="AI1" s="462" t="s">
        <v>573</v>
      </c>
      <c r="AJ1" s="462" t="s">
        <v>211</v>
      </c>
    </row>
    <row r="2" spans="1:36" s="25" customFormat="1" ht="31.5">
      <c r="A2" s="282" t="s">
        <v>65</v>
      </c>
      <c r="B2" s="282" t="s">
        <v>1168</v>
      </c>
      <c r="C2" s="282" t="s">
        <v>1169</v>
      </c>
      <c r="D2" s="282"/>
      <c r="E2" s="516">
        <v>2023</v>
      </c>
      <c r="F2" s="282" t="s">
        <v>88</v>
      </c>
      <c r="G2" s="517">
        <v>15.562150000000001</v>
      </c>
      <c r="H2" s="282">
        <v>121.09815</v>
      </c>
      <c r="I2" s="518" t="s">
        <v>1170</v>
      </c>
      <c r="J2" s="518" t="s">
        <v>6261</v>
      </c>
      <c r="K2" s="518">
        <v>1</v>
      </c>
      <c r="L2" s="518" t="s">
        <v>1172</v>
      </c>
      <c r="M2" s="518" t="s">
        <v>120</v>
      </c>
      <c r="N2" s="518" t="s">
        <v>120</v>
      </c>
      <c r="O2" s="518" t="s">
        <v>120</v>
      </c>
      <c r="P2" s="522" t="s">
        <v>92</v>
      </c>
      <c r="Q2" s="282" t="s">
        <v>26</v>
      </c>
      <c r="R2" s="282"/>
      <c r="S2" s="282" t="s">
        <v>130</v>
      </c>
      <c r="T2" s="282" t="s">
        <v>6262</v>
      </c>
      <c r="U2" s="458">
        <v>46037</v>
      </c>
      <c r="V2" s="458">
        <v>46043</v>
      </c>
      <c r="W2" s="458"/>
      <c r="X2" s="458">
        <v>46043</v>
      </c>
      <c r="Y2" s="458">
        <v>46043</v>
      </c>
      <c r="Z2" s="520">
        <f>IFERROR(
    IF(
        OR(ISBLANK(U2), ISBLANK(V2)),
        "",
        MAX(
            1,
            IF(
                NETWORKDAYS(U2, V2, Holiday_Dates) &lt;= 0,
                1,
                NETWORKDAYS(U2, V2, Holiday_Dates) - IF(U2 = V2, 0, 1)
            )
        )
    ),
    ""
)</f>
        <v>4</v>
      </c>
      <c r="AA2" s="520" t="str">
        <f>IF(
    OR(ISBLANK(V2), ISBLANK(W2)),
    "",
    MAX(
        1,
        IF(
            NETWORKDAYS(V2, W2, Holiday_Dates) &lt;= 0,
            1,
            NETWORKDAYS(V2, W2, Holiday_Dates) - IF(V2 = W2, 0, 1)
        )
    )
)</f>
        <v/>
      </c>
      <c r="AB2" s="520" t="str">
        <f t="shared" ref="AB2:AB10" si="0">IF(
  OR(A2 = "Nueva_Ecija", A2 = "Zambales"),
  IF(
    OR(ISBLANK(W2), ISBLANK(X2)),
    "",
    MAX(1, IF(
      NETWORKDAYS(W2, X2) &lt;= 0,
      1,
      NETWORKDAYS(W2, X2) - IF(W2 = X2, 0, 1)
    ))
  ),
  IF(
    OR(ISBLANK(V2), ISBLANK(X2)),
    "",
    MAX(1, IF(
      NETWORKDAYS(V2, X2) &lt;= 0,
      1,
      NETWORKDAYS(V2, X2) - IF(V2 = X2, 0, 1)
    ))
  )
)</f>
        <v/>
      </c>
      <c r="AC2" s="520">
        <f>IFERROR(
    IF(
        OR(ISBLANK(X2), ISBLANK(Y2)),
        "",
        MAX(
            1,
            IF(
                NETWORKDAYS(X2, Y2, Holiday_Dates) &lt;= 0,
                1,
                NETWORKDAYS(X2, Y2, Holiday_Dates) - IF(X2 = Y2, 0, 1)
            )
        )
    ),
    ""
)</f>
        <v>1</v>
      </c>
      <c r="AD2" s="518" t="s">
        <v>929</v>
      </c>
      <c r="AE2" s="282" t="s">
        <v>101</v>
      </c>
      <c r="AF2" s="521" t="s">
        <v>6263</v>
      </c>
      <c r="AG2" s="521" t="s">
        <v>6031</v>
      </c>
      <c r="AH2" s="521"/>
      <c r="AI2" s="521"/>
    </row>
    <row r="3" spans="1:36" ht="31.5">
      <c r="A3" s="282" t="s">
        <v>51</v>
      </c>
      <c r="B3" s="282" t="s">
        <v>1191</v>
      </c>
      <c r="C3" s="282" t="s">
        <v>1192</v>
      </c>
      <c r="D3" s="282"/>
      <c r="E3" s="458">
        <v>45283</v>
      </c>
      <c r="F3" s="282" t="s">
        <v>88</v>
      </c>
      <c r="G3" s="517">
        <v>15.082079999999999</v>
      </c>
      <c r="H3" s="282">
        <v>120.61199999999999</v>
      </c>
      <c r="I3" s="518" t="s">
        <v>1193</v>
      </c>
      <c r="J3" s="518"/>
      <c r="K3" s="518"/>
      <c r="L3" s="518"/>
      <c r="M3" s="518"/>
      <c r="N3" s="518"/>
      <c r="O3" s="518"/>
      <c r="P3" s="522" t="s">
        <v>72</v>
      </c>
      <c r="Q3" s="282" t="s">
        <v>33</v>
      </c>
      <c r="R3" s="282"/>
      <c r="S3" s="282" t="s">
        <v>6264</v>
      </c>
      <c r="T3" s="282"/>
      <c r="U3" s="458"/>
      <c r="V3" s="458"/>
      <c r="W3" s="458"/>
      <c r="X3" s="458"/>
      <c r="Y3" s="458"/>
      <c r="Z3" s="520" t="str">
        <f>IFERROR(
    IF(
        OR(ISBLANK(U3), ISBLANK(V3)),
        "",
        MAX(
            1,
            IF(
                NETWORKDAYS(U3, V3, Holiday_Dates) &lt;= 0,
                1,
                NETWORKDAYS(U3, V3, Holiday_Dates) - IF(U3 = V3, 0, 1)
            )
        )
    ),
    ""
)</f>
        <v/>
      </c>
      <c r="AA3" s="520" t="str">
        <f>IF(
    OR(ISBLANK(V3), ISBLANK(W3)),
    "",
    MAX(
        1,
        IF(
            NETWORKDAYS(V3, W3, Holiday_Dates) &lt;= 0,
            1,
            NETWORKDAYS(V3, W3, Holiday_Dates) - IF(V3 = W3, 0, 1)
        )
    )
)</f>
        <v/>
      </c>
      <c r="AB3" s="520" t="str">
        <f t="shared" si="0"/>
        <v/>
      </c>
      <c r="AC3" s="520" t="str">
        <f>IFERROR(
    IF(
        OR(ISBLANK(X3), ISBLANK(Y3)),
        "",
        MAX(
            1,
            IF(
                NETWORKDAYS(X3, Y3, Holiday_Dates) &lt;= 0,
                1,
                NETWORKDAYS(X3, Y3, Holiday_Dates) - IF(X3 = Y3, 0, 1)
            )
        )
    ),
    ""
)</f>
        <v/>
      </c>
      <c r="AD3" s="518"/>
      <c r="AE3" s="282"/>
      <c r="AF3" s="282"/>
      <c r="AG3" s="521"/>
      <c r="AH3" s="521"/>
      <c r="AI3" s="521"/>
    </row>
    <row r="4" spans="1:36" ht="31.5">
      <c r="A4" s="282" t="s">
        <v>51</v>
      </c>
      <c r="B4" s="282" t="s">
        <v>1197</v>
      </c>
      <c r="C4" s="282" t="s">
        <v>1192</v>
      </c>
      <c r="D4" s="282"/>
      <c r="E4" s="458">
        <v>45283</v>
      </c>
      <c r="F4" s="282" t="s">
        <v>88</v>
      </c>
      <c r="G4" s="517">
        <v>15.082079999999999</v>
      </c>
      <c r="H4" s="282">
        <v>120.61199999999999</v>
      </c>
      <c r="I4" s="518" t="s">
        <v>1193</v>
      </c>
      <c r="J4" s="518"/>
      <c r="K4" s="518"/>
      <c r="L4" s="518"/>
      <c r="M4" s="518"/>
      <c r="N4" s="518"/>
      <c r="O4" s="518"/>
      <c r="P4" s="522" t="s">
        <v>72</v>
      </c>
      <c r="Q4" s="282" t="s">
        <v>33</v>
      </c>
      <c r="R4" s="282"/>
      <c r="S4" s="282" t="s">
        <v>6264</v>
      </c>
      <c r="T4" s="282"/>
      <c r="U4" s="458"/>
      <c r="V4" s="458"/>
      <c r="W4" s="458"/>
      <c r="X4" s="458"/>
      <c r="Y4" s="458"/>
      <c r="Z4" s="520" t="str">
        <f>IFERROR(
    IF(
        OR(ISBLANK(U4), ISBLANK(V4)),
        "",
        MAX(
            1,
            IF(
                NETWORKDAYS(U4, V4, Holiday_Dates) &lt;= 0,
                1,
                NETWORKDAYS(U4, V4, Holiday_Dates) - IF(U4 = V4, 0, 1)
            )
        )
    ),
    ""
)</f>
        <v/>
      </c>
      <c r="AA4" s="520" t="str">
        <f>IF(
    OR(ISBLANK(V4), ISBLANK(W4)),
    "",
    MAX(
        1,
        IF(
            NETWORKDAYS(V4, W4, Holiday_Dates) &lt;= 0,
            1,
            NETWORKDAYS(V4, W4, Holiday_Dates) - IF(V4 = W4, 0, 1)
        )
    )
)</f>
        <v/>
      </c>
      <c r="AB4" s="520" t="str">
        <f t="shared" si="0"/>
        <v/>
      </c>
      <c r="AC4" s="520" t="str">
        <f>IFERROR(
    IF(
        OR(ISBLANK(X4), ISBLANK(Y4)),
        "",
        MAX(
            1,
            IF(
                NETWORKDAYS(X4, Y4, Holiday_Dates) &lt;= 0,
                1,
                NETWORKDAYS(X4, Y4, Holiday_Dates) - IF(X4 = Y4, 0, 1)
            )
        )
    ),
    ""
)</f>
        <v/>
      </c>
      <c r="AD4" s="518"/>
      <c r="AE4" s="282"/>
      <c r="AF4" s="282"/>
      <c r="AG4" s="521"/>
      <c r="AH4" s="521"/>
      <c r="AI4" s="521"/>
    </row>
    <row r="5" spans="1:36" ht="31.5">
      <c r="A5" s="282" t="s">
        <v>49</v>
      </c>
      <c r="B5" s="282" t="s">
        <v>1142</v>
      </c>
      <c r="C5" s="282" t="s">
        <v>1143</v>
      </c>
      <c r="D5" s="282"/>
      <c r="E5" s="458">
        <v>44917</v>
      </c>
      <c r="F5" s="282" t="s">
        <v>88</v>
      </c>
      <c r="G5" s="517">
        <v>14.8079</v>
      </c>
      <c r="H5" s="282">
        <v>120.8445</v>
      </c>
      <c r="I5" s="518" t="s">
        <v>1144</v>
      </c>
      <c r="J5" s="518"/>
      <c r="K5" s="518"/>
      <c r="L5" s="518"/>
      <c r="M5" s="518"/>
      <c r="N5" s="518"/>
      <c r="O5" s="518"/>
      <c r="P5" s="522" t="s">
        <v>137</v>
      </c>
      <c r="Q5" s="282" t="s">
        <v>1295</v>
      </c>
      <c r="R5" s="282"/>
      <c r="S5" s="282" t="s">
        <v>128</v>
      </c>
      <c r="T5" s="282"/>
      <c r="U5" s="458"/>
      <c r="V5" s="458"/>
      <c r="W5" s="458"/>
      <c r="X5" s="458"/>
      <c r="Y5" s="458"/>
      <c r="Z5" s="520" t="str">
        <f>IFERROR(
    IF(
        OR(ISBLANK(U5), ISBLANK(V5)),
        "",
        MAX(
            1,
            IF(
                NETWORKDAYS(U5, V5, Holiday_Dates) &lt;= 0,
                1,
                NETWORKDAYS(U5, V5, Holiday_Dates) - IF(U5 = V5, 0, 1)
            )
        )
    ),
    ""
)</f>
        <v/>
      </c>
      <c r="AA5" s="520" t="str">
        <f>IF(
    OR(ISBLANK(V5), ISBLANK(W5)),
    "",
    MAX(
        1,
        IF(
            NETWORKDAYS(V5, W5, Holiday_Dates) &lt;= 0,
            1,
            NETWORKDAYS(V5, W5, Holiday_Dates) - IF(V5 = W5, 0, 1)
        )
    )
)</f>
        <v/>
      </c>
      <c r="AB5" s="520" t="str">
        <f t="shared" si="0"/>
        <v/>
      </c>
      <c r="AC5" s="520" t="str">
        <f>IFERROR(
    IF(
        OR(ISBLANK(X5), ISBLANK(Y5)),
        "",
        MAX(
            1,
            IF(
                NETWORKDAYS(X5, Y5, Holiday_Dates) &lt;= 0,
                1,
                NETWORKDAYS(X5, Y5, Holiday_Dates) - IF(X5 = Y5, 0, 1)
            )
        )
    ),
    ""
)</f>
        <v/>
      </c>
      <c r="AD5" s="518"/>
      <c r="AE5" s="282"/>
      <c r="AF5" s="282"/>
      <c r="AG5" s="521"/>
      <c r="AH5" s="521"/>
      <c r="AI5" s="521"/>
    </row>
    <row r="6" spans="1:36" ht="47.25">
      <c r="A6" s="282" t="s">
        <v>49</v>
      </c>
      <c r="B6" s="282" t="s">
        <v>1156</v>
      </c>
      <c r="C6" s="282" t="s">
        <v>1157</v>
      </c>
      <c r="D6" s="282"/>
      <c r="E6" s="458">
        <v>44986</v>
      </c>
      <c r="F6" s="282" t="s">
        <v>88</v>
      </c>
      <c r="G6" s="517">
        <v>14.783899999999999</v>
      </c>
      <c r="H6" s="282">
        <v>120.07250000000001</v>
      </c>
      <c r="I6" s="518" t="s">
        <v>1158</v>
      </c>
      <c r="J6" s="518"/>
      <c r="K6" s="518"/>
      <c r="L6" s="518"/>
      <c r="M6" s="518"/>
      <c r="N6" s="518"/>
      <c r="O6" s="518"/>
      <c r="P6" s="522" t="s">
        <v>137</v>
      </c>
      <c r="Q6" s="282" t="s">
        <v>24</v>
      </c>
      <c r="R6" s="282"/>
      <c r="S6" s="282" t="s">
        <v>128</v>
      </c>
      <c r="T6" s="282"/>
      <c r="U6" s="458"/>
      <c r="V6" s="458"/>
      <c r="W6" s="458"/>
      <c r="X6" s="458"/>
      <c r="Y6" s="458"/>
      <c r="Z6" s="520" t="str">
        <f>IFERROR(
    IF(
        OR(ISBLANK(U6), ISBLANK(V6)),
        "",
        MAX(
            1,
            IF(
                NETWORKDAYS(U6, V6, Holiday_Dates) &lt;= 0,
                1,
                NETWORKDAYS(U6, V6, Holiday_Dates) - IF(U6 = V6, 0, 1)
            )
        )
    ),
    ""
)</f>
        <v/>
      </c>
      <c r="AA6" s="520" t="str">
        <f>IF(
    OR(ISBLANK(V6), ISBLANK(W6)),
    "",
    MAX(
        1,
        IF(
            NETWORKDAYS(V6, W6, Holiday_Dates) &lt;= 0,
            1,
            NETWORKDAYS(V6, W6, Holiday_Dates) - IF(V6 = W6, 0, 1)
        )
    )
)</f>
        <v/>
      </c>
      <c r="AB6" s="520" t="str">
        <f t="shared" si="0"/>
        <v/>
      </c>
      <c r="AC6" s="520" t="str">
        <f>IFERROR(
    IF(
        OR(ISBLANK(X6), ISBLANK(Y6)),
        "",
        MAX(
            1,
            IF(
                NETWORKDAYS(X6, Y6, Holiday_Dates) &lt;= 0,
                1,
                NETWORKDAYS(X6, Y6, Holiday_Dates) - IF(X6 = Y6, 0, 1)
            )
        )
    ),
    ""
)</f>
        <v/>
      </c>
      <c r="AD6" s="518"/>
      <c r="AE6" s="282"/>
      <c r="AF6" s="282"/>
      <c r="AG6" s="521"/>
      <c r="AH6" s="521"/>
      <c r="AI6" s="521"/>
    </row>
    <row r="7" spans="1:36" ht="47.25">
      <c r="A7" s="282" t="s">
        <v>48</v>
      </c>
      <c r="B7" s="282" t="s">
        <v>1124</v>
      </c>
      <c r="C7" s="282" t="s">
        <v>6265</v>
      </c>
      <c r="D7" s="282"/>
      <c r="E7" s="458" t="s">
        <v>1126</v>
      </c>
      <c r="F7" s="282" t="s">
        <v>88</v>
      </c>
      <c r="G7" s="517">
        <v>14.7895</v>
      </c>
      <c r="H7" s="282">
        <v>120.53570000000001</v>
      </c>
      <c r="I7" s="518" t="s">
        <v>1127</v>
      </c>
      <c r="J7" s="518"/>
      <c r="K7" s="518"/>
      <c r="L7" s="518"/>
      <c r="M7" s="518"/>
      <c r="N7" s="518"/>
      <c r="O7" s="518"/>
      <c r="P7" s="522" t="s">
        <v>62</v>
      </c>
      <c r="Q7" s="282" t="s">
        <v>18</v>
      </c>
      <c r="R7" s="282"/>
      <c r="S7" s="282" t="s">
        <v>129</v>
      </c>
      <c r="T7" s="282" t="s">
        <v>6266</v>
      </c>
      <c r="U7" s="458">
        <v>46064</v>
      </c>
      <c r="V7" s="458">
        <v>46064</v>
      </c>
      <c r="W7" s="458"/>
      <c r="X7" s="458">
        <v>46065</v>
      </c>
      <c r="Y7" s="458">
        <v>46065</v>
      </c>
      <c r="Z7" s="520">
        <f>IFERROR(
    IF(
        OR(ISBLANK(U7), ISBLANK(V7)),
        "",
        MAX(
            1,
            IF(
                NETWORKDAYS(U7, V7, Holiday_Dates) &lt;= 0,
                1,
                NETWORKDAYS(U7, V7, Holiday_Dates) - IF(U7 = V7, 0, 1)
            )
        )
    ),
    ""
)</f>
        <v>1</v>
      </c>
      <c r="AA7" s="520" t="str">
        <f>IF(
    OR(ISBLANK(V7), ISBLANK(W7)),
    "",
    MAX(
        1,
        IF(
            NETWORKDAYS(V7, W7, Holiday_Dates) &lt;= 0,
            1,
            NETWORKDAYS(V7, W7, Holiday_Dates) - IF(V7 = W7, 0, 1)
        )
    )
)</f>
        <v/>
      </c>
      <c r="AB7" s="520">
        <f t="shared" si="0"/>
        <v>1</v>
      </c>
      <c r="AC7" s="520">
        <f>IFERROR(
    IF(
        OR(ISBLANK(X7), ISBLANK(Y7)),
        "",
        MAX(
            1,
            IF(
                NETWORKDAYS(X7, Y7, Holiday_Dates) &lt;= 0,
                1,
                NETWORKDAYS(X7, Y7, Holiday_Dates) - IF(X7 = Y7, 0, 1)
            )
        )
    ),
    ""
)</f>
        <v>1</v>
      </c>
      <c r="AD7" s="518" t="s">
        <v>929</v>
      </c>
      <c r="AE7" s="282" t="s">
        <v>101</v>
      </c>
      <c r="AF7" s="282" t="s">
        <v>6267</v>
      </c>
      <c r="AG7" s="521" t="s">
        <v>6031</v>
      </c>
      <c r="AH7" s="521"/>
      <c r="AI7" s="521"/>
      <c r="AJ7" s="628" t="s">
        <v>6268</v>
      </c>
    </row>
    <row r="8" spans="1:36" ht="126">
      <c r="A8" s="282" t="s">
        <v>52</v>
      </c>
      <c r="B8" s="282" t="s">
        <v>1211</v>
      </c>
      <c r="C8" s="282" t="s">
        <v>1212</v>
      </c>
      <c r="D8" s="282" t="s">
        <v>6269</v>
      </c>
      <c r="E8" s="458">
        <v>44924</v>
      </c>
      <c r="F8" s="282" t="s">
        <v>88</v>
      </c>
      <c r="G8" s="517">
        <v>15.471690000000001</v>
      </c>
      <c r="H8" s="282">
        <v>120.58632</v>
      </c>
      <c r="I8" s="518" t="s">
        <v>1213</v>
      </c>
      <c r="J8" s="518" t="s">
        <v>6270</v>
      </c>
      <c r="K8" s="518">
        <v>0</v>
      </c>
      <c r="L8" s="518" t="s">
        <v>1215</v>
      </c>
      <c r="M8" s="518" t="s">
        <v>1216</v>
      </c>
      <c r="N8" s="518" t="s">
        <v>1217</v>
      </c>
      <c r="O8" s="518" t="s">
        <v>1218</v>
      </c>
      <c r="P8" s="522" t="s">
        <v>62</v>
      </c>
      <c r="Q8" s="282" t="s">
        <v>37</v>
      </c>
      <c r="R8" s="282"/>
      <c r="S8" s="282" t="s">
        <v>6271</v>
      </c>
      <c r="T8" s="282" t="s">
        <v>6272</v>
      </c>
      <c r="U8" s="458">
        <v>46058</v>
      </c>
      <c r="V8" s="458">
        <v>46058</v>
      </c>
      <c r="W8" s="458"/>
      <c r="X8" s="458">
        <v>46062</v>
      </c>
      <c r="Y8" s="458">
        <v>46062</v>
      </c>
      <c r="Z8" s="520">
        <f>IFERROR(
    IF(
        OR(ISBLANK(U8), ISBLANK(V8)),
        "",
        MAX(
            1,
            IF(
                NETWORKDAYS(U8, V8, Holiday_Dates) &lt;= 0,
                1,
                NETWORKDAYS(U8, V8, Holiday_Dates) - IF(U8 = V8, 0, 1)
            )
        )
    ),
    ""
)</f>
        <v>1</v>
      </c>
      <c r="AA8" s="520" t="str">
        <f>IF(
    OR(ISBLANK(V8), ISBLANK(W8)),
    "",
    MAX(
        1,
        IF(
            NETWORKDAYS(V8, W8, Holiday_Dates) &lt;= 0,
            1,
            NETWORKDAYS(V8, W8, Holiday_Dates) - IF(V8 = W8, 0, 1)
        )
    )
)</f>
        <v/>
      </c>
      <c r="AB8" s="520">
        <f t="shared" si="0"/>
        <v>2</v>
      </c>
      <c r="AC8" s="520">
        <f>IFERROR(
    IF(
        OR(ISBLANK(X8), ISBLANK(Y8)),
        "",
        MAX(
            1,
            IF(
                NETWORKDAYS(X8, Y8, Holiday_Dates) &lt;= 0,
                1,
                NETWORKDAYS(X8, Y8, Holiday_Dates) - IF(X8 = Y8, 0, 1)
            )
        )
    ),
    ""
)</f>
        <v>1</v>
      </c>
      <c r="AD8" s="518" t="s">
        <v>929</v>
      </c>
      <c r="AE8" s="282" t="s">
        <v>101</v>
      </c>
      <c r="AF8" s="282">
        <v>1.5140245856000001</v>
      </c>
      <c r="AG8" s="521" t="s">
        <v>6273</v>
      </c>
      <c r="AH8" s="521"/>
      <c r="AI8" s="521"/>
      <c r="AJ8" s="628" t="s">
        <v>6274</v>
      </c>
    </row>
    <row r="9" spans="1:36" ht="47.25">
      <c r="A9" s="282" t="s">
        <v>51</v>
      </c>
      <c r="B9" s="282" t="s">
        <v>1198</v>
      </c>
      <c r="C9" s="282" t="s">
        <v>1199</v>
      </c>
      <c r="D9" s="282" t="s">
        <v>6275</v>
      </c>
      <c r="E9" s="458" t="s">
        <v>120</v>
      </c>
      <c r="F9" s="282" t="s">
        <v>88</v>
      </c>
      <c r="G9" s="517">
        <v>15.14598</v>
      </c>
      <c r="H9" s="282">
        <v>120.58114</v>
      </c>
      <c r="I9" s="518" t="s">
        <v>1200</v>
      </c>
      <c r="J9" s="518" t="s">
        <v>6053</v>
      </c>
      <c r="K9" s="518">
        <v>63</v>
      </c>
      <c r="L9" s="518" t="s">
        <v>1201</v>
      </c>
      <c r="M9" s="518" t="s">
        <v>6276</v>
      </c>
      <c r="N9" s="518" t="s">
        <v>1203</v>
      </c>
      <c r="O9" s="518" t="s">
        <v>6277</v>
      </c>
      <c r="P9" s="519" t="s">
        <v>45</v>
      </c>
      <c r="Q9" s="282" t="s">
        <v>33</v>
      </c>
      <c r="R9" s="282"/>
      <c r="S9" s="282" t="s">
        <v>131</v>
      </c>
      <c r="T9" s="282" t="s">
        <v>6278</v>
      </c>
      <c r="U9" s="458">
        <v>46090</v>
      </c>
      <c r="V9" s="458">
        <v>46094</v>
      </c>
      <c r="W9" s="458"/>
      <c r="X9" s="458">
        <v>46097</v>
      </c>
      <c r="Y9" s="458"/>
      <c r="Z9" s="520">
        <f>IFERROR(
    IF(
        OR(ISBLANK(U9), ISBLANK(V9)),
        "",
        MAX(
            1,
            IF(
                NETWORKDAYS(U9, V9, Holiday_Dates) &lt;= 0,
                1,
                NETWORKDAYS(U9, V9, Holiday_Dates) - IF(U9 = V9, 0, 1)
            )
        )
    ),
    ""
)</f>
        <v>4</v>
      </c>
      <c r="AA9" s="520" t="str">
        <f>IF(
    OR(ISBLANK(V9), ISBLANK(W9)),
    "",
    MAX(
        1,
        IF(
            NETWORKDAYS(V9, W9, Holiday_Dates) &lt;= 0,
            1,
            NETWORKDAYS(V9, W9, Holiday_Dates) - IF(V9 = W9, 0, 1)
        )
    )
)</f>
        <v/>
      </c>
      <c r="AB9" s="520">
        <f t="shared" si="0"/>
        <v>1</v>
      </c>
      <c r="AC9" s="520" t="str">
        <f>IFERROR(
    IF(
        OR(ISBLANK(X9), ISBLANK(Y9)),
        "",
        MAX(
            1,
            IF(
                NETWORKDAYS(X9, Y9, Holiday_Dates) &lt;= 0,
                1,
                NETWORKDAYS(X9, Y9, Holiday_Dates) - IF(X9 = Y9, 0, 1)
            )
        )
    ),
    ""
)</f>
        <v/>
      </c>
      <c r="AD9" s="518"/>
      <c r="AE9" s="282" t="s">
        <v>101</v>
      </c>
      <c r="AF9" s="282" t="s">
        <v>6053</v>
      </c>
      <c r="AG9" s="521" t="s">
        <v>6279</v>
      </c>
      <c r="AH9" s="521"/>
      <c r="AI9" s="521"/>
    </row>
    <row r="10" spans="1:36" ht="31.5">
      <c r="A10" s="282" t="s">
        <v>53</v>
      </c>
      <c r="B10" s="282" t="s">
        <v>1231</v>
      </c>
      <c r="C10" s="282" t="s">
        <v>1232</v>
      </c>
      <c r="D10" s="282"/>
      <c r="E10" s="458">
        <v>44927</v>
      </c>
      <c r="F10" s="282" t="s">
        <v>89</v>
      </c>
      <c r="G10" s="517">
        <v>14.845599999999999</v>
      </c>
      <c r="H10" s="282">
        <v>120.3292</v>
      </c>
      <c r="I10" s="518" t="s">
        <v>1233</v>
      </c>
      <c r="J10" s="518"/>
      <c r="K10" s="518"/>
      <c r="L10" s="518"/>
      <c r="M10" s="518"/>
      <c r="N10" s="518"/>
      <c r="O10" s="518"/>
      <c r="P10" s="519" t="s">
        <v>45</v>
      </c>
      <c r="Q10" s="282" t="s">
        <v>144</v>
      </c>
      <c r="R10" s="282"/>
      <c r="S10" s="282" t="s">
        <v>133</v>
      </c>
      <c r="T10" s="282"/>
      <c r="U10" s="458"/>
      <c r="V10" s="458"/>
      <c r="W10" s="458"/>
      <c r="X10" s="458"/>
      <c r="Y10" s="458"/>
      <c r="Z10" s="520" t="str">
        <f>IFERROR(
    IF(
        OR(ISBLANK(U10), ISBLANK(V10)),
        "",
        MAX(
            1,
            IF(
                NETWORKDAYS(U10, V10, Holiday_Dates) &lt;= 0,
                1,
                NETWORKDAYS(U10, V10, Holiday_Dates) - IF(U10 = V10, 0, 1)
            )
        )
    ),
    ""
)</f>
        <v/>
      </c>
      <c r="AA10" s="520" t="str">
        <f>IF(
    OR(ISBLANK(V10), ISBLANK(W10)),
    "",
    MAX(
        1,
        IF(
            NETWORKDAYS(V10, W10, Holiday_Dates) &lt;= 0,
            1,
            NETWORKDAYS(V10, W10, Holiday_Dates) - IF(V10 = W10, 0, 1)
        )
    )
)</f>
        <v/>
      </c>
      <c r="AB10" s="520" t="str">
        <f t="shared" si="0"/>
        <v/>
      </c>
      <c r="AC10" s="520" t="str">
        <f>IFERROR(
    IF(
        OR(ISBLANK(X10), ISBLANK(Y10)),
        "",
        MAX(
            1,
            IF(
                NETWORKDAYS(X10, Y10, Holiday_Dates) &lt;= 0,
                1,
                NETWORKDAYS(X10, Y10, Holiday_Dates) - IF(X10 = Y10, 0, 1)
            )
        )
    ),
    ""
)</f>
        <v/>
      </c>
      <c r="AD10" s="518"/>
      <c r="AE10" s="282"/>
      <c r="AF10" s="282"/>
      <c r="AG10" s="521"/>
      <c r="AH10" s="521"/>
      <c r="AI10" s="521"/>
    </row>
    <row r="11" spans="1:36" ht="15.75">
      <c r="A11" s="282" t="s">
        <v>47</v>
      </c>
      <c r="B11" s="282" t="s">
        <v>1104</v>
      </c>
      <c r="C11" s="282" t="s">
        <v>1105</v>
      </c>
      <c r="D11" s="282"/>
      <c r="E11" s="458">
        <v>44986</v>
      </c>
      <c r="F11" s="282" t="s">
        <v>89</v>
      </c>
      <c r="G11" s="517">
        <v>15.806566999999999</v>
      </c>
      <c r="H11" s="282">
        <v>121.54037599999999</v>
      </c>
      <c r="I11" s="518" t="s">
        <v>1106</v>
      </c>
      <c r="J11" s="518"/>
      <c r="K11" s="518"/>
      <c r="L11" s="518"/>
      <c r="M11" s="518"/>
      <c r="N11" s="518"/>
      <c r="O11" s="518"/>
      <c r="P11" s="522" t="s">
        <v>57</v>
      </c>
      <c r="Q11" s="282" t="s">
        <v>13</v>
      </c>
      <c r="R11" s="282"/>
      <c r="S11" s="282" t="s">
        <v>128</v>
      </c>
      <c r="T11" s="282"/>
      <c r="U11" s="458"/>
      <c r="V11" s="458"/>
      <c r="W11" s="458"/>
      <c r="X11" s="458"/>
      <c r="Y11" s="458"/>
      <c r="Z11" s="520" t="str">
        <f>IFERROR(
    IF(
        OR(ISBLANK(U11), ISBLANK(V11)),
        "",
        MAX(
            1,
            IF(
                NETWORKDAYS(U11, V11, Holiday_Dates) &lt;= 0,
                1,
                NETWORKDAYS(U11, V11, Holiday_Dates) - IF(U11 = V11, 0, 1)
            )
        )
    ),
    ""
)</f>
        <v/>
      </c>
      <c r="AA11" s="520" t="str">
        <f>IF(
    OR(ISBLANK(V11), ISBLANK(W11)),
    "",
    MAX(
        1,
        IF(
            NETWORKDAYS(V11, W11, Holiday_Dates) &lt;= 0,
            1,
            NETWORKDAYS(V11, W11, Holiday_Dates) - IF(V11 = W11, 0, 1)
        )
    )
)</f>
        <v/>
      </c>
      <c r="AB11" s="520" t="str">
        <f>IF(
  OR(A11="Nueva_Ecija", A11="Zambales"),
  IF(
    OR(ISBLANK(W11), ISBLANK(X11)),
    "",
    MAX(
      1,
      IF(
        NETWORKDAYS(W11, X11, Holiday_Dates) &lt;= 0,
        1,
        NETWORKDAYS(W11, X11, Holiday_Dates) - IF(W11 = X11, 0, 1)
      )
    )
  ),
  IF(
    OR(ISBLANK(V11), ISBLANK(X11)),
    "",
    MAX(
      1,
      IF(
        NETWORKDAYS(V11, X11, Holiday_Dates) &lt;= 0,
        1,
        NETWORKDAYS(V11, X11, Holiday_Dates) - IF(V11 = X11, 0, 1)
      )
    )
  )
)</f>
        <v/>
      </c>
      <c r="AC11" s="520" t="str">
        <f>IFERROR(
    IF(
        OR(ISBLANK(X11), ISBLANK(Y11)),
        "",
        MAX(
            1,
            IF(
                NETWORKDAYS(X11, Y11, Holiday_Dates) &lt;= 0,
                1,
                NETWORKDAYS(X11, Y11, Holiday_Dates) - IF(X11 = Y11, 0, 1)
            )
        )
    ),
    ""
)</f>
        <v/>
      </c>
      <c r="AD11" s="518"/>
      <c r="AE11" s="282"/>
      <c r="AF11" s="658"/>
      <c r="AG11" s="521"/>
      <c r="AH11" s="521"/>
      <c r="AI11" s="521"/>
    </row>
    <row r="12" spans="1:36" ht="31.5">
      <c r="A12" s="282" t="s">
        <v>65</v>
      </c>
      <c r="B12" s="282" t="s">
        <v>1160</v>
      </c>
      <c r="C12" s="282" t="s">
        <v>1161</v>
      </c>
      <c r="D12" s="282"/>
      <c r="E12" s="458">
        <v>44927</v>
      </c>
      <c r="F12" s="282" t="s">
        <v>88</v>
      </c>
      <c r="G12" s="517">
        <v>15.489800000000001</v>
      </c>
      <c r="H12" s="282">
        <v>120.9936</v>
      </c>
      <c r="I12" s="518" t="s">
        <v>1162</v>
      </c>
      <c r="J12" s="518"/>
      <c r="K12" s="518"/>
      <c r="L12" s="518"/>
      <c r="M12" s="518"/>
      <c r="N12" s="518"/>
      <c r="O12" s="518"/>
      <c r="P12" s="522" t="s">
        <v>57</v>
      </c>
      <c r="Q12" s="282" t="s">
        <v>141</v>
      </c>
      <c r="R12" s="282"/>
      <c r="S12" s="282" t="s">
        <v>130</v>
      </c>
      <c r="T12" s="282"/>
      <c r="U12" s="458"/>
      <c r="V12" s="458"/>
      <c r="W12" s="458"/>
      <c r="X12" s="458"/>
      <c r="Y12" s="458"/>
      <c r="Z12" s="520" t="str">
        <f>IFERROR(
    IF(
        OR(ISBLANK(U12), ISBLANK(V12)),
        "",
        MAX(
            1,
            IF(
                NETWORKDAYS(U12, V12, Holiday_Dates) &lt;= 0,
                1,
                NETWORKDAYS(U12, V12, Holiday_Dates) - IF(U12 = V12, 0, 1)
            )
        )
    ),
    ""
)</f>
        <v/>
      </c>
      <c r="AA12" s="520" t="str">
        <f>IF(
    OR(ISBLANK(V12), ISBLANK(W12)),
    "",
    MAX(
        1,
        IF(
            NETWORKDAYS(V12, W12, Holiday_Dates) &lt;= 0,
            1,
            NETWORKDAYS(V12, W12, Holiday_Dates) - IF(V12 = W12, 0, 1)
        )
    )
)</f>
        <v/>
      </c>
      <c r="AB12" s="520" t="str">
        <f t="shared" ref="AB12:AB17" si="1">IF(
  OR(A12 = "Nueva_Ecija", A12 = "Zambales"),
  IF(
    OR(ISBLANK(W12), ISBLANK(X12)),
    "",
    MAX(1, IF(
      NETWORKDAYS(W12, X12) &lt;= 0,
      1,
      NETWORKDAYS(W12, X12) - IF(W12 = X12, 0, 1)
    ))
  ),
  IF(
    OR(ISBLANK(V12), ISBLANK(X12)),
    "",
    MAX(1, IF(
      NETWORKDAYS(V12, X12) &lt;= 0,
      1,
      NETWORKDAYS(V12, X12) - IF(V12 = X12, 0, 1)
    ))
  )
)</f>
        <v/>
      </c>
      <c r="AC12" s="520" t="str">
        <f>IFERROR(
    IF(
        OR(ISBLANK(X12), ISBLANK(Y12)),
        "",
        MAX(
            1,
            IF(
                NETWORKDAYS(X12, Y12, Holiday_Dates) &lt;= 0,
                1,
                NETWORKDAYS(X12, Y12, Holiday_Dates) - IF(X12 = Y12, 0, 1)
            )
        )
    ),
    ""
)</f>
        <v/>
      </c>
      <c r="AD12" s="518"/>
      <c r="AE12" s="282"/>
      <c r="AF12" s="282"/>
      <c r="AG12" s="521"/>
      <c r="AH12" s="521"/>
      <c r="AI12" s="521"/>
    </row>
    <row r="13" spans="1:36" ht="31.5">
      <c r="A13" s="282" t="s">
        <v>53</v>
      </c>
      <c r="B13" s="282" t="s">
        <v>1224</v>
      </c>
      <c r="C13" s="282" t="s">
        <v>1225</v>
      </c>
      <c r="D13" s="282"/>
      <c r="E13" s="458">
        <v>44927</v>
      </c>
      <c r="F13" s="282" t="s">
        <v>89</v>
      </c>
      <c r="G13" s="517">
        <v>15.3133</v>
      </c>
      <c r="H13" s="282">
        <v>119.99890000000001</v>
      </c>
      <c r="I13" s="518" t="s">
        <v>1226</v>
      </c>
      <c r="J13" s="518"/>
      <c r="K13" s="518"/>
      <c r="L13" s="518"/>
      <c r="M13" s="518"/>
      <c r="N13" s="518"/>
      <c r="O13" s="518"/>
      <c r="P13" s="522" t="s">
        <v>63</v>
      </c>
      <c r="Q13" s="282" t="s">
        <v>1227</v>
      </c>
      <c r="R13" s="282"/>
      <c r="S13" s="282" t="s">
        <v>133</v>
      </c>
      <c r="T13" s="282"/>
      <c r="U13" s="458"/>
      <c r="V13" s="458"/>
      <c r="W13" s="458"/>
      <c r="X13" s="458"/>
      <c r="Y13" s="458"/>
      <c r="Z13" s="520" t="str">
        <f>IFERROR(
    IF(
        OR(ISBLANK(U13), ISBLANK(V13)),
        "",
        MAX(
            1,
            IF(
                NETWORKDAYS(U13, V13, Holiday_Dates) &lt;= 0,
                1,
                NETWORKDAYS(U13, V13, Holiday_Dates) - IF(U13 = V13, 0, 1)
            )
        )
    ),
    ""
)</f>
        <v/>
      </c>
      <c r="AA13" s="520" t="str">
        <f>IF(
    OR(ISBLANK(V13), ISBLANK(W13)),
    "",
    MAX(
        1,
        IF(
            NETWORKDAYS(V13, W13, Holiday_Dates) &lt;= 0,
            1,
            NETWORKDAYS(V13, W13, Holiday_Dates) - IF(V13 = W13, 0, 1)
        )
    )
)</f>
        <v/>
      </c>
      <c r="AB13" s="520" t="str">
        <f t="shared" si="1"/>
        <v/>
      </c>
      <c r="AC13" s="520" t="str">
        <f>IFERROR(
    IF(
        OR(ISBLANK(X13), ISBLANK(Y13)),
        "",
        MAX(
            1,
            IF(
                NETWORKDAYS(X13, Y13, Holiday_Dates) &lt;= 0,
                1,
                NETWORKDAYS(X13, Y13, Holiday_Dates) - IF(X13 = Y13, 0, 1)
            )
        )
    ),
    ""
)</f>
        <v/>
      </c>
      <c r="AD13" s="518"/>
      <c r="AE13" s="282"/>
      <c r="AF13" s="282"/>
      <c r="AG13" s="521"/>
      <c r="AH13" s="521"/>
      <c r="AI13" s="521"/>
    </row>
    <row r="14" spans="1:36" ht="31.5">
      <c r="A14" s="282" t="s">
        <v>53</v>
      </c>
      <c r="B14" s="282" t="s">
        <v>1224</v>
      </c>
      <c r="C14" s="282" t="s">
        <v>1225</v>
      </c>
      <c r="D14" s="282"/>
      <c r="E14" s="458">
        <v>44927</v>
      </c>
      <c r="F14" s="282" t="s">
        <v>89</v>
      </c>
      <c r="G14" s="517">
        <v>15.3133</v>
      </c>
      <c r="H14" s="282">
        <v>119.99890000000001</v>
      </c>
      <c r="I14" s="518" t="s">
        <v>1226</v>
      </c>
      <c r="J14" s="518"/>
      <c r="K14" s="518"/>
      <c r="L14" s="518"/>
      <c r="M14" s="518"/>
      <c r="N14" s="518"/>
      <c r="O14" s="518"/>
      <c r="P14" s="522" t="s">
        <v>63</v>
      </c>
      <c r="Q14" s="282" t="s">
        <v>1227</v>
      </c>
      <c r="R14" s="282"/>
      <c r="S14" s="282" t="s">
        <v>133</v>
      </c>
      <c r="T14" s="282"/>
      <c r="U14" s="458"/>
      <c r="V14" s="458"/>
      <c r="W14" s="458"/>
      <c r="X14" s="458"/>
      <c r="Y14" s="458"/>
      <c r="Z14" s="520" t="str">
        <f>IFERROR(
    IF(
        OR(ISBLANK(U14), ISBLANK(V14)),
        "",
        MAX(
            1,
            IF(
                NETWORKDAYS(U14, V14, Holiday_Dates) &lt;= 0,
                1,
                NETWORKDAYS(U14, V14, Holiday_Dates) - IF(U14 = V14, 0, 1)
            )
        )
    ),
    ""
)</f>
        <v/>
      </c>
      <c r="AA14" s="520" t="str">
        <f>IF(
    OR(ISBLANK(V14), ISBLANK(W14)),
    "",
    MAX(
        1,
        IF(
            NETWORKDAYS(V14, W14, Holiday_Dates) &lt;= 0,
            1,
            NETWORKDAYS(V14, W14, Holiday_Dates) - IF(V14 = W14, 0, 1)
        )
    )
)</f>
        <v/>
      </c>
      <c r="AB14" s="520" t="str">
        <f t="shared" si="1"/>
        <v/>
      </c>
      <c r="AC14" s="520" t="str">
        <f>IFERROR(
    IF(
        OR(ISBLANK(X14), ISBLANK(Y14)),
        "",
        MAX(
            1,
            IF(
                NETWORKDAYS(X14, Y14, Holiday_Dates) &lt;= 0,
                1,
                NETWORKDAYS(X14, Y14, Holiday_Dates) - IF(X14 = Y14, 0, 1)
            )
        )
    ),
    ""
)</f>
        <v/>
      </c>
      <c r="AD14" s="518"/>
      <c r="AE14" s="282"/>
      <c r="AF14" s="282"/>
      <c r="AG14" s="521"/>
      <c r="AH14" s="521"/>
      <c r="AI14" s="521"/>
    </row>
    <row r="15" spans="1:36" ht="31.5">
      <c r="A15" s="282" t="s">
        <v>47</v>
      </c>
      <c r="B15" s="282" t="s">
        <v>1113</v>
      </c>
      <c r="C15" s="282" t="s">
        <v>1114</v>
      </c>
      <c r="D15" s="282"/>
      <c r="E15" s="458">
        <v>44979</v>
      </c>
      <c r="F15" s="282" t="s">
        <v>89</v>
      </c>
      <c r="G15" s="517">
        <v>16.288014</v>
      </c>
      <c r="H15" s="282">
        <v>122.122124</v>
      </c>
      <c r="I15" s="518" t="s">
        <v>1115</v>
      </c>
      <c r="J15" s="518"/>
      <c r="K15" s="518"/>
      <c r="L15" s="518"/>
      <c r="M15" s="518"/>
      <c r="N15" s="518"/>
      <c r="O15" s="518"/>
      <c r="P15" s="522" t="s">
        <v>64</v>
      </c>
      <c r="Q15" s="282" t="s">
        <v>15</v>
      </c>
      <c r="R15" s="282"/>
      <c r="S15" s="282" t="s">
        <v>128</v>
      </c>
      <c r="T15" s="282"/>
      <c r="U15" s="458"/>
      <c r="V15" s="458"/>
      <c r="W15" s="458"/>
      <c r="X15" s="458"/>
      <c r="Y15" s="458"/>
      <c r="Z15" s="520" t="str">
        <f>IFERROR(
    IF(
        OR(ISBLANK(U15), ISBLANK(V15)),
        "",
        MAX(
            1,
            IF(
                NETWORKDAYS(U15, V15, Holiday_Dates) &lt;= 0,
                1,
                NETWORKDAYS(U15, V15, Holiday_Dates) - IF(U15 = V15, 0, 1)
            )
        )
    ),
    ""
)</f>
        <v/>
      </c>
      <c r="AA15" s="520" t="str">
        <f>IF(
    OR(ISBLANK(V15), ISBLANK(W15)),
    "",
    MAX(
        1,
        IF(
            NETWORKDAYS(V15, W15, Holiday_Dates) &lt;= 0,
            1,
            NETWORKDAYS(V15, W15, Holiday_Dates) - IF(V15 = W15, 0, 1)
        )
    )
)</f>
        <v/>
      </c>
      <c r="AB15" s="520" t="str">
        <f t="shared" si="1"/>
        <v/>
      </c>
      <c r="AC15" s="520" t="str">
        <f>IFERROR(
    IF(
        OR(ISBLANK(X15), ISBLANK(Y15)),
        "",
        MAX(
            1,
            IF(
                NETWORKDAYS(X15, Y15, Holiday_Dates) &lt;= 0,
                1,
                NETWORKDAYS(X15, Y15, Holiday_Dates) - IF(X15 = Y15, 0, 1)
            )
        )
    ),
    ""
)</f>
        <v/>
      </c>
      <c r="AD15" s="523"/>
      <c r="AE15" s="524"/>
      <c r="AF15" s="524"/>
      <c r="AG15" s="521"/>
      <c r="AH15" s="521"/>
      <c r="AI15" s="521"/>
    </row>
    <row r="16" spans="1:36" ht="47.25">
      <c r="A16" s="282" t="s">
        <v>65</v>
      </c>
      <c r="B16" s="282" t="s">
        <v>1176</v>
      </c>
      <c r="C16" s="282" t="s">
        <v>1177</v>
      </c>
      <c r="D16" s="282"/>
      <c r="E16" s="458">
        <v>44896</v>
      </c>
      <c r="F16" s="282" t="s">
        <v>88</v>
      </c>
      <c r="G16" s="517">
        <v>15.76052</v>
      </c>
      <c r="H16" s="282">
        <v>120.95547999999999</v>
      </c>
      <c r="I16" s="518" t="s">
        <v>1178</v>
      </c>
      <c r="J16" s="518"/>
      <c r="K16" s="518"/>
      <c r="L16" s="518"/>
      <c r="M16" s="518"/>
      <c r="N16" s="518"/>
      <c r="O16" s="518"/>
      <c r="P16" s="522" t="s">
        <v>64</v>
      </c>
      <c r="Q16" s="282" t="s">
        <v>26</v>
      </c>
      <c r="R16" s="282"/>
      <c r="S16" s="282" t="s">
        <v>130</v>
      </c>
      <c r="T16" s="282"/>
      <c r="U16" s="458"/>
      <c r="V16" s="458"/>
      <c r="W16" s="458"/>
      <c r="X16" s="458"/>
      <c r="Y16" s="458"/>
      <c r="Z16" s="520" t="str">
        <f>IFERROR(
    IF(
        OR(ISBLANK(U16), ISBLANK(V16)),
        "",
        MAX(
            1,
            IF(
                NETWORKDAYS(U16, V16, Holiday_Dates) &lt;= 0,
                1,
                NETWORKDAYS(U16, V16, Holiday_Dates) - IF(U16 = V16, 0, 1)
            )
        )
    ),
    ""
)</f>
        <v/>
      </c>
      <c r="AA16" s="520" t="str">
        <f>IF(
    OR(ISBLANK(V16), ISBLANK(W16)),
    "",
    MAX(
        1,
        IF(
            NETWORKDAYS(V16, W16, Holiday_Dates) &lt;= 0,
            1,
            NETWORKDAYS(V16, W16, Holiday_Dates) - IF(V16 = W16, 0, 1)
        )
    )
)</f>
        <v/>
      </c>
      <c r="AB16" s="520" t="str">
        <f t="shared" si="1"/>
        <v/>
      </c>
      <c r="AC16" s="525" t="str">
        <f>IFERROR(
    IF(
        OR(ISBLANK(X16), ISBLANK(Y16)),
        "",
        MAX(
            1,
            IF(
                NETWORKDAYS(X16, Y16, Holiday_Dates) &lt;= 0,
                1,
                NETWORKDAYS(X16, Y16, Holiday_Dates) - IF(X16 = Y16, 0, 1)
            )
        )
    ),
    ""
)</f>
        <v/>
      </c>
      <c r="AD16" s="282"/>
      <c r="AE16" s="282"/>
      <c r="AF16" s="282"/>
      <c r="AG16" s="526"/>
      <c r="AH16" s="521"/>
      <c r="AI16" s="521"/>
    </row>
    <row r="17" spans="1:35" ht="31.5">
      <c r="A17" s="282" t="s">
        <v>49</v>
      </c>
      <c r="B17" s="282" t="s">
        <v>1150</v>
      </c>
      <c r="C17" s="282" t="s">
        <v>1151</v>
      </c>
      <c r="D17" s="282"/>
      <c r="E17" s="458">
        <v>44896</v>
      </c>
      <c r="F17" s="282" t="s">
        <v>88</v>
      </c>
      <c r="G17" s="517">
        <v>14.8078</v>
      </c>
      <c r="H17" s="282">
        <v>120.8445</v>
      </c>
      <c r="I17" s="518" t="s">
        <v>1152</v>
      </c>
      <c r="J17" s="518"/>
      <c r="K17" s="518"/>
      <c r="L17" s="518"/>
      <c r="M17" s="518"/>
      <c r="N17" s="518"/>
      <c r="O17" s="518"/>
      <c r="P17" s="522" t="s">
        <v>69</v>
      </c>
      <c r="Q17" s="282" t="s">
        <v>24</v>
      </c>
      <c r="R17" s="282"/>
      <c r="S17" s="282" t="s">
        <v>128</v>
      </c>
      <c r="T17" s="282"/>
      <c r="U17" s="458"/>
      <c r="V17" s="458"/>
      <c r="W17" s="659"/>
      <c r="X17" s="458"/>
      <c r="Y17" s="458"/>
      <c r="Z17" s="520" t="str">
        <f>IFERROR(
    IF(
        OR(ISBLANK(U17), ISBLANK(V17)),
        "",
        MAX(
            1,
            IF(
                NETWORKDAYS(U17, V17, Holiday_Dates) &lt;= 0,
                1,
                NETWORKDAYS(U17, V17, Holiday_Dates) - IF(U17 = V17, 0, 1)
            )
        )
    ),
    ""
)</f>
        <v/>
      </c>
      <c r="AA17" s="520" t="str">
        <f>IF(
    OR(ISBLANK(V17), ISBLANK(W17)),
    "",
    MAX(
        1,
        IF(
            NETWORKDAYS(V17, W17, Holiday_Dates) &lt;= 0,
            1,
            NETWORKDAYS(V17, W17, Holiday_Dates) - IF(V17 = W17, 0, 1)
        )
    )
)</f>
        <v/>
      </c>
      <c r="AB17" s="520" t="str">
        <f t="shared" si="1"/>
        <v/>
      </c>
      <c r="AC17" s="525" t="str">
        <f>IFERROR(
    IF(
        OR(ISBLANK(X17), ISBLANK(Y17)),
        "",
        MAX(
            1,
            IF(
                NETWORKDAYS(X17, Y17, Holiday_Dates) &lt;= 0,
                1,
                NETWORKDAYS(X17, Y17, Holiday_Dates) - IF(X17 = Y17, 0, 1)
            )
        )
    ),
    ""
)</f>
        <v/>
      </c>
      <c r="AD17" s="282"/>
      <c r="AE17" s="282"/>
      <c r="AF17" s="282"/>
      <c r="AG17" s="526"/>
      <c r="AH17" s="521"/>
      <c r="AI17" s="521"/>
    </row>
    <row r="18" spans="1:35" ht="15.75">
      <c r="A18" s="282" t="s">
        <v>51</v>
      </c>
      <c r="B18" s="282" t="s">
        <v>6280</v>
      </c>
      <c r="C18" s="282" t="s">
        <v>1207</v>
      </c>
      <c r="D18" s="282"/>
      <c r="E18" s="458">
        <v>45283</v>
      </c>
      <c r="F18" s="282" t="s">
        <v>88</v>
      </c>
      <c r="G18" s="517">
        <v>15.06912</v>
      </c>
      <c r="H18" s="282">
        <v>120.57165999999999</v>
      </c>
      <c r="I18" s="518" t="s">
        <v>1208</v>
      </c>
      <c r="J18" s="518"/>
      <c r="K18" s="518"/>
      <c r="L18" s="518"/>
      <c r="M18" s="518"/>
      <c r="N18" s="518"/>
      <c r="O18" s="518"/>
      <c r="P18" s="522" t="s">
        <v>69</v>
      </c>
      <c r="Q18" s="282" t="s">
        <v>33</v>
      </c>
      <c r="R18" s="282"/>
      <c r="S18" s="282" t="s">
        <v>6264</v>
      </c>
      <c r="T18" s="282"/>
      <c r="U18" s="458"/>
      <c r="V18" s="458"/>
      <c r="W18" s="521"/>
      <c r="X18" s="458"/>
      <c r="Y18" s="458"/>
      <c r="Z18" s="520" t="str">
        <f>IFERROR(
    IF(
        OR(ISBLANK(U18), ISBLANK(V18)),
        "",
        MAX(
            1,
            IF(
                NETWORKDAYS(U18, V18, Holiday_Dates) &lt;= 0,
                1,
                NETWORKDAYS(U18, V18, Holiday_Dates) - IF(U18 = V18, 0, 1)
            )
        )
    ),
    ""
)</f>
        <v/>
      </c>
      <c r="AA18" s="520" t="str">
        <f>IF(
    OR(ISBLANK(V18), ISBLANK(W18)),
    "",
    MAX(
        1,
        IF(
            NETWORKDAYS(V18, W18, Holiday_Dates) &lt;= 0,
            1,
            NETWORKDAYS(V18, W18, Holiday_Dates) - IF(V18 = W18, 0, 1)
        )
    )
)</f>
        <v/>
      </c>
      <c r="AB18" s="520" t="str">
        <f>IF(
  OR(A18 = "Nueva_Ecija", A18 = "Zambales"),
  IF(
    OR(ISBLANK(X18), ISBLANK(#REF!)),
    "",
    MAX(1, IF(
      NETWORKDAYS(X18,#REF!) &lt;= 0,
      1,
      NETWORKDAYS(X18,#REF!) - IF(X18 =#REF!, 0, 1)
    ))
  ),
  IF(
    OR(ISBLANK(V18), ISBLANK(#REF!)),
    "",
    MAX(1, IF(
      NETWORKDAYS(V18,#REF!) &lt;= 0,
      1,
      NETWORKDAYS(V18,#REF!) - IF(V18 =#REF!, 0, 1)
    ))
  )
)</f>
        <v/>
      </c>
      <c r="AC18" s="525" t="str">
        <f>IFERROR(
    IF(
        OR(ISBLANK(X18), ISBLANK(Y18)),
        "",
        MAX(
            1,
            IF(
                NETWORKDAYS(X18, Y18, Holiday_Dates) &lt;= 0,
                1,
                NETWORKDAYS(X18, Y18, Holiday_Dates) - IF(X18 = Y18, 0, 1)
            )
        )
    ),
    ""
)</f>
        <v/>
      </c>
      <c r="AD18" s="282"/>
      <c r="AE18" s="282"/>
      <c r="AF18" s="282"/>
      <c r="AG18" s="526"/>
      <c r="AH18" s="521"/>
      <c r="AI18" s="521"/>
    </row>
    <row r="19" spans="1:35" ht="15.75">
      <c r="A19" s="282" t="s">
        <v>48</v>
      </c>
      <c r="B19" s="282" t="s">
        <v>1135</v>
      </c>
      <c r="C19" s="282" t="s">
        <v>1136</v>
      </c>
      <c r="D19" s="282"/>
      <c r="E19" s="458" t="s">
        <v>120</v>
      </c>
      <c r="F19" s="282" t="s">
        <v>88</v>
      </c>
      <c r="G19" s="517">
        <v>14.671222999999999</v>
      </c>
      <c r="H19" s="282">
        <v>120.494659</v>
      </c>
      <c r="I19" s="518" t="s">
        <v>1137</v>
      </c>
      <c r="J19" s="518"/>
      <c r="K19" s="518"/>
      <c r="L19" s="518"/>
      <c r="M19" s="518"/>
      <c r="N19" s="518"/>
      <c r="O19" s="518"/>
      <c r="P19" s="522" t="s">
        <v>70</v>
      </c>
      <c r="Q19" s="282" t="s">
        <v>17</v>
      </c>
      <c r="R19" s="282"/>
      <c r="S19" s="282" t="s">
        <v>129</v>
      </c>
      <c r="T19" s="282"/>
      <c r="U19" s="458"/>
      <c r="V19" s="458"/>
      <c r="W19" s="458"/>
      <c r="X19" s="458"/>
      <c r="Y19" s="458"/>
      <c r="Z19" s="520" t="str">
        <f>IFERROR(
    IF(
        OR(ISBLANK(U19), ISBLANK(V19)),
        "",
        MAX(
            1,
            IF(
                NETWORKDAYS(U19, V19, Holiday_Dates) &lt;= 0,
                1,
                NETWORKDAYS(U19, V19, Holiday_Dates) - IF(U19 = V19, 0, 1)
            )
        )
    ),
    ""
)</f>
        <v/>
      </c>
      <c r="AA19" s="520" t="str">
        <f>IF(
    OR(ISBLANK(V19), ISBLANK(W19)),
    "",
    MAX(
        1,
        IF(
            NETWORKDAYS(V19, W19, Holiday_Dates) &lt;= 0,
            1,
            NETWORKDAYS(V19, W19, Holiday_Dates) - IF(V19 = W19, 0, 1)
        )
    )
)</f>
        <v/>
      </c>
      <c r="AB19" s="520" t="str">
        <f>IF(
  OR(A19 = "Nueva_Ecija", A19 = "Zambales"),
  IF(
    OR(ISBLANK(W19), ISBLANK(X19)),
    "",
    MAX(1, IF(
      NETWORKDAYS(W19, X19) &lt;= 0,
      1,
      NETWORKDAYS(W19, X19) - IF(W19 = X19, 0, 1)
    ))
  ),
  IF(
    OR(ISBLANK(V19), ISBLANK(X19)),
    "",
    MAX(1, IF(
      NETWORKDAYS(V19, X19) &lt;= 0,
      1,
      NETWORKDAYS(V19, X19) - IF(V19 = X19, 0, 1)
    ))
  )
)</f>
        <v/>
      </c>
      <c r="AC19" s="525" t="str">
        <f>IFERROR(
    IF(
        OR(ISBLANK(X19), ISBLANK(Y19)),
        "",
        MAX(
            1,
            IF(
                NETWORKDAYS(X19, Y19, Holiday_Dates) &lt;= 0,
                1,
                NETWORKDAYS(X19, Y19, Holiday_Dates) - IF(X19 = Y19, 0, 1)
            )
        )
    ),
    ""
)</f>
        <v/>
      </c>
      <c r="AD19" s="282"/>
      <c r="AE19" s="282"/>
      <c r="AF19" s="282"/>
      <c r="AG19" s="526"/>
      <c r="AH19" s="521"/>
      <c r="AI19" s="521"/>
    </row>
    <row r="20" spans="1:35" ht="31.5">
      <c r="A20" s="282" t="s">
        <v>65</v>
      </c>
      <c r="B20" s="282" t="s">
        <v>1183</v>
      </c>
      <c r="C20" s="282" t="s">
        <v>1184</v>
      </c>
      <c r="D20" s="282" t="s">
        <v>6281</v>
      </c>
      <c r="E20" s="458">
        <v>45054</v>
      </c>
      <c r="F20" s="282" t="s">
        <v>88</v>
      </c>
      <c r="G20" s="517">
        <v>15.76113</v>
      </c>
      <c r="H20" s="282">
        <v>120.89765199999999</v>
      </c>
      <c r="I20" s="518" t="s">
        <v>1185</v>
      </c>
      <c r="J20" s="518"/>
      <c r="K20" s="518"/>
      <c r="L20" s="518"/>
      <c r="M20" s="518"/>
      <c r="N20" s="518"/>
      <c r="O20" s="518"/>
      <c r="P20" s="522" t="s">
        <v>70</v>
      </c>
      <c r="Q20" s="282" t="s">
        <v>29</v>
      </c>
      <c r="R20" s="282"/>
      <c r="S20" s="282" t="s">
        <v>130</v>
      </c>
      <c r="T20" s="282"/>
      <c r="U20" s="458"/>
      <c r="V20" s="458"/>
      <c r="W20" s="458"/>
      <c r="X20" s="458"/>
      <c r="Y20" s="458"/>
      <c r="Z20" s="520" t="str">
        <f>IFERROR(
    IF(
        OR(ISBLANK(U20), ISBLANK(V20)),
        "",
        MAX(
            1,
            IF(
                NETWORKDAYS(U20, V20, Holiday_Dates) &lt;= 0,
                1,
                NETWORKDAYS(U20, V20, Holiday_Dates) - IF(U20 = V20, 0, 1)
            )
        )
    ),
    ""
)</f>
        <v/>
      </c>
      <c r="AA20" s="520" t="str">
        <f>IF(
    OR(ISBLANK(V20), ISBLANK(W20)),
    "",
    MAX(
        1,
        IF(
            NETWORKDAYS(V20, W20, Holiday_Dates) &lt;= 0,
            1,
            NETWORKDAYS(V20, W20, Holiday_Dates) - IF(V20 = W20, 0, 1)
        )
    )
)</f>
        <v/>
      </c>
      <c r="AB20" s="520" t="str">
        <f>IF(
  OR(A20 = "Nueva_Ecija", A20 = "Zambales"),
  IF(
    OR(ISBLANK(W20), ISBLANK(X20)),
    "",
    MAX(1, IF(
      NETWORKDAYS(W20, X20) &lt;= 0,
      1,
      NETWORKDAYS(W20, X20) - IF(W20 = X20, 0, 1)
    ))
  ),
  IF(
    OR(ISBLANK(V20), ISBLANK(X20)),
    "",
    MAX(1, IF(
      NETWORKDAYS(V20, X20) &lt;= 0,
      1,
      NETWORKDAYS(V20, X20) - IF(V20 = X20, 0, 1)
    ))
  )
)</f>
        <v/>
      </c>
      <c r="AC20" s="525" t="str">
        <f>IFERROR(
    IF(
        OR(ISBLANK(X20), ISBLANK(Y20)),
        "",
        MAX(
            1,
            IF(
                NETWORKDAYS(X20, Y20, Holiday_Dates) &lt;= 0,
                1,
                NETWORKDAYS(X20, Y20, Holiday_Dates) - IF(X20 = Y20, 0, 1)
            )
        )
    ),
    ""
)</f>
        <v/>
      </c>
      <c r="AD20" s="282"/>
      <c r="AE20" s="282"/>
      <c r="AF20" s="282"/>
      <c r="AG20" s="526"/>
      <c r="AH20" s="521"/>
      <c r="AI20" s="521"/>
    </row>
    <row r="21" spans="1:35" ht="15.75">
      <c r="A21" s="282" t="s">
        <v>47</v>
      </c>
      <c r="B21" s="282" t="s">
        <v>1119</v>
      </c>
      <c r="C21" s="282" t="s">
        <v>1120</v>
      </c>
      <c r="D21" s="282"/>
      <c r="E21" s="458">
        <v>44896</v>
      </c>
      <c r="F21" s="282" t="s">
        <v>89</v>
      </c>
      <c r="G21" s="517">
        <v>15.38205</v>
      </c>
      <c r="H21" s="282">
        <v>121.38054</v>
      </c>
      <c r="I21" s="518" t="str">
        <f>_xlfn.CONCAT(G21:H21)</f>
        <v>15.38205121.38054</v>
      </c>
      <c r="J21" s="518"/>
      <c r="K21" s="518"/>
      <c r="L21" s="518"/>
      <c r="M21" s="518"/>
      <c r="N21" s="518"/>
      <c r="O21" s="518"/>
      <c r="P21" s="522" t="s">
        <v>71</v>
      </c>
      <c r="Q21" s="282" t="s">
        <v>14</v>
      </c>
      <c r="R21" s="282"/>
      <c r="S21" s="282" t="s">
        <v>128</v>
      </c>
      <c r="T21" s="282"/>
      <c r="U21" s="458"/>
      <c r="V21" s="458"/>
      <c r="W21" s="458"/>
      <c r="X21" s="458"/>
      <c r="Y21" s="458"/>
      <c r="Z21" s="520" t="str">
        <f>IFERROR(
    IF(
        OR(ISBLANK(U21), ISBLANK(V21)),
        "",
        MAX(
            1,
            IF(
                NETWORKDAYS(U21, V21, Holiday_Dates) &lt;= 0,
                1,
                NETWORKDAYS(U21, V21, Holiday_Dates) - IF(U21 = V21, 0, 1)
            )
        )
    ),
    ""
)</f>
        <v/>
      </c>
      <c r="AA21" s="520" t="str">
        <f>IF(
    OR(ISBLANK(V21), ISBLANK(W21)),
    "",
    MAX(
        1,
        IF(
            NETWORKDAYS(V21, W21, Holiday_Dates) &lt;= 0,
            1,
            NETWORKDAYS(V21, W21, Holiday_Dates) - IF(V21 = W21, 0, 1)
        )
    )
)</f>
        <v/>
      </c>
      <c r="AB21" s="520" t="str">
        <f>IF(
  OR(A21 = "Nueva_Ecija", A21 = "Zambales"),
  IF(
    OR(ISBLANK(W21), ISBLANK(X21)),
    "",
    MAX(1, IF(
      NETWORKDAYS(W21, X21) &lt;= 0,
      1,
      NETWORKDAYS(W21, X21) - IF(W21 = X21, 0, 1)
    ))
  ),
  IF(
    OR(ISBLANK(V21), ISBLANK(X21)),
    "",
    MAX(1, IF(
      NETWORKDAYS(V21, X21) &lt;= 0,
      1,
      NETWORKDAYS(V21, X21) - IF(V21 = X21, 0, 1)
    ))
  )
)</f>
        <v/>
      </c>
      <c r="AC21" s="520" t="str">
        <f>IFERROR(
    IF(
        OR(ISBLANK(X21), ISBLANK(Y21)),
        "",
        MAX(
            1,
            IF(
                NETWORKDAYS(X21, Y21, Holiday_Dates) &lt;= 0,
                1,
                NETWORKDAYS(X21, Y21, Holiday_Dates) - IF(X21 = Y21, 0, 1)
            )
        )
    ),
    ""
)</f>
        <v/>
      </c>
      <c r="AD21" s="527"/>
      <c r="AE21" s="528"/>
      <c r="AF21" s="528"/>
      <c r="AG21" s="521"/>
      <c r="AH21" s="521"/>
      <c r="AI21" s="521"/>
    </row>
    <row r="22" spans="1:35" ht="31.5">
      <c r="A22" s="282" t="s">
        <v>52</v>
      </c>
      <c r="B22" s="282" t="s">
        <v>1211</v>
      </c>
      <c r="C22" s="282" t="s">
        <v>1212</v>
      </c>
      <c r="D22" s="282" t="s">
        <v>6269</v>
      </c>
      <c r="E22" s="458">
        <v>44924</v>
      </c>
      <c r="F22" s="282" t="s">
        <v>88</v>
      </c>
      <c r="G22" s="517">
        <v>15.471690000000001</v>
      </c>
      <c r="H22" s="282">
        <v>120.58632</v>
      </c>
      <c r="I22" s="518" t="s">
        <v>1213</v>
      </c>
      <c r="J22" s="518"/>
      <c r="K22" s="518"/>
      <c r="L22" s="518"/>
      <c r="M22" s="518"/>
      <c r="N22" s="518"/>
      <c r="O22" s="518"/>
      <c r="P22" s="522" t="s">
        <v>71</v>
      </c>
      <c r="Q22" s="282" t="s">
        <v>37</v>
      </c>
      <c r="R22" s="282"/>
      <c r="S22" s="282" t="s">
        <v>28</v>
      </c>
      <c r="T22" s="282"/>
      <c r="U22" s="458"/>
      <c r="V22" s="458"/>
      <c r="W22" s="458"/>
      <c r="X22" s="458"/>
      <c r="Y22" s="458"/>
      <c r="Z22" s="520" t="str">
        <f>IFERROR(
    IF(
        OR(ISBLANK(U22), ISBLANK(V22)),
        "",
        MAX(
            1,
            IF(
                NETWORKDAYS(U22, V22, Holiday_Dates) &lt;= 0,
                1,
                NETWORKDAYS(U22, V22, Holiday_Dates) - IF(U22 = V22, 0, 1)
            )
        )
    ),
    ""
)</f>
        <v/>
      </c>
      <c r="AA22" s="520" t="str">
        <f>IF(
    OR(ISBLANK(V22), ISBLANK(W22)),
    "",
    MAX(
        1,
        IF(
            NETWORKDAYS(V22, W22, Holiday_Dates) &lt;= 0,
            1,
            NETWORKDAYS(V22, W22, Holiday_Dates) - IF(V22 = W22, 0, 1)
        )
    )
)</f>
        <v/>
      </c>
      <c r="AB22" s="520" t="str">
        <f>IF(
  OR(A22 = "Nueva_Ecija", A22 = "Zambales"),
  IF(
    OR(ISBLANK(W22), ISBLANK(X22)),
    "",
    MAX(1, IF(
      NETWORKDAYS(W22, X22) &lt;= 0,
      1,
      NETWORKDAYS(W22, X22) - IF(W22 = X22, 0, 1)
    ))
  ),
  IF(
    OR(ISBLANK(V22), ISBLANK(X22)),
    "",
    MAX(1, IF(
      NETWORKDAYS(V22, X22) &lt;= 0,
      1,
      NETWORKDAYS(V22, X22) - IF(V22 = X22, 0, 1)
    ))
  )
)</f>
        <v/>
      </c>
      <c r="AC22" s="520" t="str">
        <f>IFERROR(
    IF(
        OR(ISBLANK(X22), ISBLANK(Y22)),
        "",
        MAX(
            1,
            IF(
                NETWORKDAYS(X22, Y22, Holiday_Dates) &lt;= 0,
                1,
                NETWORKDAYS(X22, Y22, Holiday_Dates) - IF(X22 = Y22, 0, 1)
            )
        )
    ),
    ""
)</f>
        <v/>
      </c>
      <c r="AD22" s="518"/>
      <c r="AE22" s="521"/>
      <c r="AF22" s="521"/>
      <c r="AG22" s="521"/>
      <c r="AH22" s="521"/>
      <c r="AI22" s="521"/>
    </row>
  </sheetData>
  <sheetProtection formatCells="0" formatColumns="0" formatRows="0" sort="0" autoFilter="0" pivotTables="0"/>
  <protectedRanges>
    <protectedRange algorithmName="SHA-512" hashValue="bOs5xYOjkFGgnGd7csX6nr657Q3CE6hUnK526tK36mpTMqGo+oKCR5DyC/sMOW7Pwmh7AbnA3sD5i60EXBrtHg==" saltValue="obKlnBH6dTsHX/r5UJeLiA==" spinCount="100000" sqref="P2:P22" name="TARGET_MONTH"/>
    <protectedRange sqref="AE2:AI30" name="swm_data_1"/>
    <protectedRange algorithmName="SHA-512" hashValue="2VRFvY1PMn0p4dPGbAG+aJ3fSpYvpzwRwBjLHxG5fQW1P/f4/6yi9xkfvl4iDLC92CIwqebN/xv4qw3q9dEFyA==" saltValue="TMAN9v6qUo1HeyHuteCgyA==" spinCount="100000" sqref="AD2:AD30" name="planning"/>
    <protectedRange sqref="Q2:Y30" name="enmo_staff"/>
  </protectedRanges>
  <autoFilter ref="A1:AJ22" xr:uid="{CDB42DE0-9499-4DE2-9F4B-1545AC291F28}"/>
  <conditionalFormatting sqref="C1:E1">
    <cfRule type="duplicateValues" dxfId="1" priority="1"/>
  </conditionalFormatting>
  <dataValidations count="4">
    <dataValidation allowBlank="1" showInputMessage="1" showErrorMessage="1" sqref="A1:I1 L1:AD1" xr:uid="{BACAB24C-E980-48A0-B929-57727341622E}"/>
    <dataValidation type="list" allowBlank="1" showInputMessage="1" showErrorMessage="1" sqref="A2:A1048576" xr:uid="{E28E2B04-AF6E-4CF8-8DAF-81E13FE6A66E}">
      <formula1>"Aurora, Bataan, Bulacan, Nueva_Ecija, Pampanga, Tarlac, Zambales"</formula1>
    </dataValidation>
    <dataValidation type="list" allowBlank="1" showInputMessage="1" showErrorMessage="1" sqref="Q2:R1048576" xr:uid="{8B3F4891-ED84-461D-818A-4237D3B279B9}">
      <formula1>ENMO</formula1>
    </dataValidation>
    <dataValidation type="list" allowBlank="1" showInputMessage="1" showErrorMessage="1" sqref="S2:S1048576" xr:uid="{3D971C24-AE6B-456A-BF3A-41358BAF9A4E}">
      <formula1>ESWM_FOCAL</formula1>
    </dataValidation>
  </dataValidations>
  <hyperlinks>
    <hyperlink ref="AJ8" r:id="rId1" xr:uid="{1CDBBEBF-A800-4AC9-A989-B8C2AFBC8621}"/>
    <hyperlink ref="AJ7" r:id="rId2" xr:uid="{4C61FF1D-7EAE-477E-9C54-B22B83DA3AE3}"/>
  </hyperlinks>
  <pageMargins left="0.7" right="0.7" top="0.75" bottom="0.75" header="0.3" footer="0.3"/>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FF8A8E2C-5635-4178-A27D-87FDB3048899}">
          <x14:formula1>
            <xm:f>'Data Validation'!$Q$2:$Q$5</xm:f>
          </x14:formula1>
          <xm:sqref>AE2:AE17 AE20:AE22</xm:sqref>
        </x14:dataValidation>
        <x14:dataValidation type="list" allowBlank="1" showInputMessage="1" showErrorMessage="1" xr:uid="{38013A99-33FB-472E-B86F-8D8492BF7BEB}">
          <x14:formula1>
            <xm:f>'Data Validation'!$A$13:$A$24</xm:f>
          </x14:formula1>
          <xm:sqref>P2:P22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844F-E53C-4701-8DB4-6700771A1731}">
  <sheetPr codeName="Sheet20">
    <tabColor rgb="FF92D050"/>
  </sheetPr>
  <dimension ref="A1:H12"/>
  <sheetViews>
    <sheetView workbookViewId="0">
      <selection activeCell="E9" sqref="E9"/>
    </sheetView>
  </sheetViews>
  <sheetFormatPr defaultRowHeight="15"/>
  <cols>
    <col min="1" max="1" width="19.7109375" style="415" bestFit="1" customWidth="1"/>
    <col min="2" max="2" width="19.28515625" bestFit="1" customWidth="1"/>
    <col min="3" max="3" width="16.42578125" style="415" bestFit="1" customWidth="1"/>
    <col min="4" max="5" width="11.140625" bestFit="1" customWidth="1"/>
    <col min="6" max="6" width="13.42578125" style="415" bestFit="1" customWidth="1"/>
    <col min="7" max="8" width="11.140625" bestFit="1" customWidth="1"/>
  </cols>
  <sheetData>
    <row r="1" spans="1:8">
      <c r="A1" s="415" t="s">
        <v>6282</v>
      </c>
      <c r="B1" t="s">
        <v>6283</v>
      </c>
      <c r="C1" s="415" t="s">
        <v>6284</v>
      </c>
      <c r="D1" t="s">
        <v>6285</v>
      </c>
      <c r="E1" t="s">
        <v>6286</v>
      </c>
      <c r="F1" s="415" t="s">
        <v>6287</v>
      </c>
      <c r="G1" t="s">
        <v>6288</v>
      </c>
      <c r="H1" t="s">
        <v>6289</v>
      </c>
    </row>
    <row r="2" spans="1:8">
      <c r="A2" s="415" t="s">
        <v>6290</v>
      </c>
      <c r="B2" t="s">
        <v>6291</v>
      </c>
      <c r="C2" s="415" t="s">
        <v>6290</v>
      </c>
      <c r="D2" t="s">
        <v>164</v>
      </c>
      <c r="E2" t="s">
        <v>6291</v>
      </c>
      <c r="F2" s="415" t="s">
        <v>6290</v>
      </c>
      <c r="G2" t="s">
        <v>164</v>
      </c>
      <c r="H2" t="s">
        <v>6291</v>
      </c>
    </row>
    <row r="3" spans="1:8">
      <c r="A3" s="415">
        <v>46023</v>
      </c>
      <c r="B3" t="s">
        <v>6292</v>
      </c>
    </row>
    <row r="4" spans="1:8">
      <c r="A4" s="415">
        <v>46114</v>
      </c>
      <c r="B4" t="s">
        <v>6293</v>
      </c>
    </row>
    <row r="5" spans="1:8">
      <c r="A5" s="415">
        <v>46115</v>
      </c>
      <c r="B5" t="s">
        <v>6294</v>
      </c>
    </row>
    <row r="6" spans="1:8">
      <c r="A6" s="415">
        <v>46121</v>
      </c>
      <c r="B6" t="s">
        <v>6295</v>
      </c>
    </row>
    <row r="7" spans="1:8">
      <c r="A7" s="415">
        <v>46143</v>
      </c>
      <c r="B7" t="s">
        <v>6296</v>
      </c>
    </row>
    <row r="8" spans="1:8">
      <c r="A8" s="415">
        <v>46185</v>
      </c>
      <c r="B8" t="s">
        <v>6297</v>
      </c>
    </row>
    <row r="9" spans="1:8">
      <c r="A9" s="415">
        <v>46265</v>
      </c>
      <c r="B9" t="s">
        <v>6298</v>
      </c>
    </row>
    <row r="10" spans="1:8">
      <c r="A10" s="415">
        <v>46356</v>
      </c>
      <c r="B10" t="s">
        <v>6299</v>
      </c>
    </row>
    <row r="11" spans="1:8">
      <c r="A11" s="415">
        <v>46381</v>
      </c>
      <c r="B11" t="s">
        <v>6300</v>
      </c>
    </row>
    <row r="12" spans="1:8">
      <c r="A12" s="415">
        <v>46387</v>
      </c>
      <c r="B12" t="s">
        <v>6301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9E6D-B13F-405F-95A7-1A0BDA30A0A0}">
  <sheetPr codeName="Sheet11"/>
  <dimension ref="A1:AN21"/>
  <sheetViews>
    <sheetView zoomScale="80" zoomScaleNormal="80" workbookViewId="0">
      <pane xSplit="3" ySplit="1" topLeftCell="D2" activePane="bottomRight" state="frozen"/>
      <selection pane="topRight"/>
      <selection pane="bottomLeft"/>
      <selection pane="bottomRight" activeCell="AG4" sqref="AG4"/>
    </sheetView>
  </sheetViews>
  <sheetFormatPr defaultColWidth="9.140625" defaultRowHeight="15" customHeight="1"/>
  <cols>
    <col min="1" max="1" width="16.85546875" style="41" customWidth="1"/>
    <col min="2" max="2" width="20.28515625" style="38" customWidth="1"/>
    <col min="3" max="3" width="28.28515625" style="38" customWidth="1"/>
    <col min="4" max="4" width="21.5703125" style="38" customWidth="1"/>
    <col min="5" max="5" width="12.42578125" style="38" customWidth="1"/>
    <col min="6" max="7" width="13.7109375" style="38" customWidth="1"/>
    <col min="8" max="8" width="25.42578125" style="38" bestFit="1" customWidth="1"/>
    <col min="9" max="9" width="17.85546875" style="38" customWidth="1"/>
    <col min="10" max="11" width="24" style="38" customWidth="1"/>
    <col min="12" max="12" width="28.140625" style="38" customWidth="1"/>
    <col min="13" max="13" width="17.85546875" style="38" customWidth="1"/>
    <col min="14" max="14" width="21.28515625" style="38" customWidth="1"/>
    <col min="15" max="15" width="23.42578125" style="38" customWidth="1"/>
    <col min="16" max="16" width="24" style="38" customWidth="1"/>
    <col min="17" max="17" width="22" style="38" customWidth="1"/>
    <col min="18" max="18" width="20.28515625" style="38" customWidth="1"/>
    <col min="19" max="23" width="17.140625" style="38" customWidth="1"/>
    <col min="24" max="24" width="30" style="38" bestFit="1" customWidth="1"/>
    <col min="25" max="26" width="11.85546875" style="38" customWidth="1"/>
    <col min="27" max="27" width="23" style="38" customWidth="1"/>
    <col min="28" max="28" width="17.5703125" style="38" customWidth="1"/>
    <col min="29" max="29" width="22.85546875" style="38" customWidth="1"/>
    <col min="30" max="30" width="24.5703125" style="38" customWidth="1"/>
    <col min="31" max="31" width="35.140625" style="38" customWidth="1"/>
    <col min="32" max="39" width="25.7109375" style="38" customWidth="1"/>
    <col min="40" max="40" width="132.5703125" style="38" bestFit="1" customWidth="1"/>
    <col min="41" max="16384" width="9.140625" style="38"/>
  </cols>
  <sheetData>
    <row r="1" spans="1:40" ht="57">
      <c r="A1" s="50" t="s">
        <v>44</v>
      </c>
      <c r="B1" s="50" t="s">
        <v>158</v>
      </c>
      <c r="C1" s="50" t="s">
        <v>556</v>
      </c>
      <c r="D1" s="50" t="s">
        <v>160</v>
      </c>
      <c r="E1" s="51" t="s">
        <v>161</v>
      </c>
      <c r="F1" s="51" t="s">
        <v>557</v>
      </c>
      <c r="G1" s="51" t="s">
        <v>558</v>
      </c>
      <c r="H1" s="51" t="s">
        <v>559</v>
      </c>
      <c r="I1" s="52" t="s">
        <v>43</v>
      </c>
      <c r="J1" s="52" t="s">
        <v>171</v>
      </c>
      <c r="K1" s="52" t="s">
        <v>172</v>
      </c>
      <c r="L1" s="52" t="s">
        <v>173</v>
      </c>
      <c r="M1" s="52" t="s">
        <v>174</v>
      </c>
      <c r="N1" s="52" t="s">
        <v>175</v>
      </c>
      <c r="O1" s="52" t="s">
        <v>176</v>
      </c>
      <c r="P1" s="52" t="s">
        <v>177</v>
      </c>
      <c r="Q1" s="52" t="s">
        <v>178</v>
      </c>
      <c r="R1" s="52" t="s">
        <v>179</v>
      </c>
      <c r="S1" s="52" t="s">
        <v>180</v>
      </c>
      <c r="T1" s="52" t="s">
        <v>181</v>
      </c>
      <c r="U1" s="52" t="s">
        <v>182</v>
      </c>
      <c r="V1" s="52" t="s">
        <v>183</v>
      </c>
      <c r="W1" s="634" t="s">
        <v>1100</v>
      </c>
      <c r="X1" s="23" t="s">
        <v>6237</v>
      </c>
      <c r="Y1" s="23" t="s">
        <v>6238</v>
      </c>
      <c r="Z1" s="23" t="s">
        <v>6239</v>
      </c>
      <c r="AA1" s="23" t="s">
        <v>6302</v>
      </c>
      <c r="AB1" s="23" t="s">
        <v>6242</v>
      </c>
      <c r="AC1" s="23" t="s">
        <v>6303</v>
      </c>
      <c r="AD1" s="23" t="s">
        <v>571</v>
      </c>
      <c r="AE1" s="2" t="s">
        <v>189</v>
      </c>
      <c r="AF1" s="2" t="s">
        <v>572</v>
      </c>
      <c r="AG1" s="2" t="s">
        <v>196</v>
      </c>
      <c r="AH1" s="2" t="s">
        <v>573</v>
      </c>
      <c r="AI1" s="2" t="s">
        <v>574</v>
      </c>
      <c r="AJ1" s="2" t="s">
        <v>6251</v>
      </c>
      <c r="AK1" s="2" t="s">
        <v>576</v>
      </c>
      <c r="AL1" s="2" t="s">
        <v>577</v>
      </c>
      <c r="AM1" s="2" t="s">
        <v>578</v>
      </c>
      <c r="AN1" s="2" t="s">
        <v>5998</v>
      </c>
    </row>
    <row r="2" spans="1:40" s="41" customFormat="1">
      <c r="A2" s="9" t="s">
        <v>49</v>
      </c>
      <c r="B2" s="9" t="s">
        <v>378</v>
      </c>
      <c r="C2" s="9" t="s">
        <v>6304</v>
      </c>
      <c r="D2" s="9" t="s">
        <v>88</v>
      </c>
      <c r="E2" s="32" t="s">
        <v>213</v>
      </c>
      <c r="F2" s="9">
        <v>14.981164</v>
      </c>
      <c r="G2" s="9">
        <v>120.97458899999999</v>
      </c>
      <c r="H2" s="9" t="str">
        <f t="shared" ref="H2:H9" si="0">CONCATENATE(F2,","," ",G2)</f>
        <v>14.981164, 120.974589</v>
      </c>
      <c r="I2" s="7" t="s">
        <v>62</v>
      </c>
      <c r="J2" s="9" t="s">
        <v>22</v>
      </c>
      <c r="K2" s="46"/>
      <c r="L2" s="9" t="s">
        <v>128</v>
      </c>
      <c r="M2" s="9" t="s">
        <v>6305</v>
      </c>
      <c r="N2" s="22">
        <v>46056</v>
      </c>
      <c r="O2" s="22">
        <v>46058</v>
      </c>
      <c r="P2" s="22"/>
      <c r="Q2" s="22">
        <v>46067</v>
      </c>
      <c r="R2" s="22">
        <v>46069</v>
      </c>
      <c r="S2" s="244">
        <f>IFERROR(
    IF(
        OR(ISBLANK(N2), ISBLANK(O2)),
        "",
        MAX(
            1,
            IF(
                NETWORKDAYS(N2, O2, Holiday_Dates) &lt;= 0,
                1,
                NETWORKDAYS(N2, O2, Holiday_Dates) - IF(N2 = O2, 0, 1)
            )
        )
    ),
    ""
)</f>
        <v>2</v>
      </c>
      <c r="T2" s="244" t="str">
        <f>IF(
    OR(ISBLANK(O2), ISBLANK(P2)),
    "",
    MAX(
        1,
        IF(
            NETWORKDAYS(O2, P2, Holiday_Dates) &lt;= 0,
            1,
            NETWORKDAYS(O2, P2, Holiday_Dates) - IF(O2 = P2, 0, 1)
        )
    )
)</f>
        <v/>
      </c>
      <c r="U2" s="244">
        <f>IFERROR(
  IF(
    OR(A2="Nueva_Ecija", A2="Zambales"),
    IF(
      OR(ISBLANK(P2), ISBLANK(Q2)),
      "",
      MAX(
        1,
        IF(
          NETWORKDAYS(P2, Q2, Holiday_Dates) &lt;= 0,
          1,
          NETWORKDAYS(P2, Q2, Holiday_Dates) - IF(P2 = Q2, 0, 1)
        )
      )
    ),
    IF(
      OR(ISBLANK(O2), ISBLANK(Q2)),
      "",
      MAX(
        1,
        IF(
          NETWORKDAYS(O2, Q2, Holiday_Dates) &lt;= 0,
          1,
          NETWORKDAYS(O2, Q2, Holiday_Dates) - IF(O2 = Q2, 0, 1)
        )
      )
    )
  ),
  ""
)</f>
        <v>6</v>
      </c>
      <c r="V2" s="244">
        <f>IFERROR(
    IF(
        OR(ISBLANK(Q2), ISBLANK(R2)),
        "",
        MAX(
            1,
            IF(
                NETWORKDAYS(Q2, R2, Holiday_Dates) &lt;= 0,
                1,
                NETWORKDAYS(Q2, R2, Holiday_Dates) - IF(Q2 = R2, 0, 1)
            )
        )
    ),
    ""
)</f>
        <v>1</v>
      </c>
      <c r="W2" s="9" t="s">
        <v>929</v>
      </c>
      <c r="X2" s="9" t="s">
        <v>101</v>
      </c>
      <c r="Y2" s="9" t="s">
        <v>104</v>
      </c>
      <c r="Z2" s="9">
        <v>2</v>
      </c>
      <c r="AA2" s="9" t="s">
        <v>105</v>
      </c>
      <c r="AB2" s="9" t="s">
        <v>6306</v>
      </c>
      <c r="AC2" s="9">
        <v>71</v>
      </c>
      <c r="AD2" s="9"/>
      <c r="AE2" s="9"/>
      <c r="AF2" s="9"/>
      <c r="AG2" s="9"/>
      <c r="AH2" s="9"/>
      <c r="AI2" s="9"/>
      <c r="AJ2" s="9"/>
      <c r="AK2" s="9"/>
      <c r="AL2" s="9"/>
      <c r="AM2" s="9"/>
      <c r="AN2" s="627" t="s">
        <v>6307</v>
      </c>
    </row>
    <row r="3" spans="1:40" s="41" customFormat="1">
      <c r="A3" s="9" t="s">
        <v>65</v>
      </c>
      <c r="B3" s="9" t="s">
        <v>505</v>
      </c>
      <c r="C3" s="9" t="s">
        <v>6308</v>
      </c>
      <c r="D3" s="9" t="s">
        <v>88</v>
      </c>
      <c r="E3" s="32" t="s">
        <v>213</v>
      </c>
      <c r="F3" s="9">
        <v>15.562658000000001</v>
      </c>
      <c r="G3" s="9">
        <v>121.09813800000001</v>
      </c>
      <c r="H3" s="9" t="str">
        <f t="shared" si="0"/>
        <v>15.562658, 121.098138</v>
      </c>
      <c r="I3" s="258" t="s">
        <v>62</v>
      </c>
      <c r="J3" s="71" t="s">
        <v>26</v>
      </c>
      <c r="K3" s="9"/>
      <c r="L3" s="568" t="s">
        <v>130</v>
      </c>
      <c r="M3" s="9" t="s">
        <v>6309</v>
      </c>
      <c r="N3" s="22">
        <v>46057</v>
      </c>
      <c r="O3" s="22">
        <v>46064</v>
      </c>
      <c r="P3" s="22"/>
      <c r="Q3" s="22">
        <v>46064</v>
      </c>
      <c r="R3" s="22">
        <v>46064</v>
      </c>
      <c r="S3" s="244">
        <f>IFERROR(
    IF(
        OR(ISBLANK(N3), ISBLANK(O3)),
        "",
        MAX(
            1,
            IF(
                NETWORKDAYS(N3, O3, Holiday_Dates) &lt;= 0,
                1,
                NETWORKDAYS(N3, O3, Holiday_Dates) - IF(N3 = O3, 0, 1)
            )
        )
    ),
    ""
)</f>
        <v>5</v>
      </c>
      <c r="T3" s="244" t="str">
        <f>IF(
    OR(ISBLANK(O3), ISBLANK(P3)),
    "",
    MAX(
        1,
        IF(
            NETWORKDAYS(O3, P3, Holiday_Dates) &lt;= 0,
            1,
            NETWORKDAYS(O3, P3, Holiday_Dates) - IF(O3 = P3, 0, 1)
        )
    )
)</f>
        <v/>
      </c>
      <c r="U3" s="244" t="str">
        <f>IFERROR(
  IF(
    OR(A3="Nueva_Ecija", A3="Zambales"),
    IF(
      OR(ISBLANK(P3), ISBLANK(Q3)),
      "",
      MAX(
        1,
        IF(
          NETWORKDAYS(P3, Q3, Holiday_Dates) &lt;= 0,
          1,
          NETWORKDAYS(P3, Q3, Holiday_Dates) - IF(P3 = Q3, 0, 1)
        )
      )
    ),
    IF(
      OR(ISBLANK(O3), ISBLANK(Q3)),
      "",
      MAX(
        1,
        IF(
          NETWORKDAYS(O3, Q3, Holiday_Dates) &lt;= 0,
          1,
          NETWORKDAYS(O3, Q3, Holiday_Dates) - IF(O3 = Q3, 0, 1)
        )
      )
    )
  ),
  ""
)</f>
        <v/>
      </c>
      <c r="V3" s="244">
        <f>IFERROR(
    IF(
        OR(ISBLANK(Q3), ISBLANK(R3)),
        "",
        MAX(
            1,
            IF(
                NETWORKDAYS(Q3, R3, Holiday_Dates) &lt;= 0,
                1,
                NETWORKDAYS(Q3, R3, Holiday_Dates) - IF(Q3 = R3, 0, 1)
            )
        )
    ),
    ""
)</f>
        <v>1</v>
      </c>
      <c r="W3" s="9" t="s">
        <v>929</v>
      </c>
      <c r="X3" s="9" t="s">
        <v>101</v>
      </c>
      <c r="Y3" s="9" t="s">
        <v>111</v>
      </c>
      <c r="Z3" s="9">
        <v>8</v>
      </c>
      <c r="AA3" s="9" t="s">
        <v>105</v>
      </c>
      <c r="AB3" s="9" t="s">
        <v>6310</v>
      </c>
      <c r="AC3" s="9">
        <v>110</v>
      </c>
      <c r="AD3" s="6"/>
      <c r="AE3" s="9" t="s">
        <v>6311</v>
      </c>
      <c r="AF3" s="9"/>
      <c r="AG3" s="9"/>
      <c r="AH3" s="9"/>
      <c r="AI3" s="9"/>
      <c r="AJ3" s="9"/>
      <c r="AK3" s="9"/>
      <c r="AL3" s="9"/>
      <c r="AM3" s="9"/>
      <c r="AN3" s="627" t="s">
        <v>6312</v>
      </c>
    </row>
    <row r="4" spans="1:40" s="41" customFormat="1" ht="105">
      <c r="A4" s="9" t="s">
        <v>48</v>
      </c>
      <c r="B4" s="9" t="s">
        <v>6313</v>
      </c>
      <c r="C4" s="9" t="s">
        <v>1059</v>
      </c>
      <c r="D4" s="9" t="s">
        <v>88</v>
      </c>
      <c r="E4" s="9" t="s">
        <v>213</v>
      </c>
      <c r="F4" s="9">
        <v>14.44980398</v>
      </c>
      <c r="G4" s="9">
        <v>120.50479420000001</v>
      </c>
      <c r="H4" s="9" t="str">
        <f t="shared" si="0"/>
        <v>14.44980398, 120.5047942</v>
      </c>
      <c r="I4" s="549" t="s">
        <v>45</v>
      </c>
      <c r="J4" s="71" t="s">
        <v>19</v>
      </c>
      <c r="K4" s="9"/>
      <c r="L4" s="568" t="s">
        <v>129</v>
      </c>
      <c r="M4" s="9" t="s">
        <v>6314</v>
      </c>
      <c r="N4" s="22">
        <v>46079</v>
      </c>
      <c r="O4" s="22">
        <v>46081</v>
      </c>
      <c r="P4" s="22"/>
      <c r="Q4" s="22">
        <v>46082</v>
      </c>
      <c r="R4" s="22">
        <v>46083</v>
      </c>
      <c r="S4" s="244">
        <f>IFERROR(
    IF(
        OR(ISBLANK(N4), ISBLANK(O4)),
        "",
        MAX(
            1,
            IF(
                NETWORKDAYS(N4, O4, Holiday_Dates) &lt;= 0,
                1,
                NETWORKDAYS(N4, O4, Holiday_Dates) - IF(N4 = O4, 0, 1)
            )
        )
    ),
    ""
)</f>
        <v>1</v>
      </c>
      <c r="T4" s="244" t="str">
        <f>IF(
    OR(ISBLANK(O4), ISBLANK(P4)),
    "",
    MAX(
        1,
        IF(
            NETWORKDAYS(O4, P4, Holiday_Dates) &lt;= 0,
            1,
            NETWORKDAYS(O4, P4, Holiday_Dates) - IF(O4 = P4, 0, 1)
        )
    )
)</f>
        <v/>
      </c>
      <c r="U4" s="244">
        <f>IFERROR(
  IF(
    OR(A4="Nueva_Ecija", A4="Zambales"),
    IF(
      OR(ISBLANK(P4), ISBLANK(Q4)),
      "",
      MAX(
        1,
        IF(
          NETWORKDAYS(P4, Q4, Holiday_Dates) &lt;= 0,
          1,
          NETWORKDAYS(P4, Q4, Holiday_Dates) - IF(P4 = Q4, 0, 1)
        )
      )
    ),
    IF(
      OR(ISBLANK(O4), ISBLANK(Q4)),
      "",
      MAX(
        1,
        IF(
          NETWORKDAYS(O4, Q4, Holiday_Dates) &lt;= 0,
          1,
          NETWORKDAYS(O4, Q4, Holiday_Dates) - IF(O4 = Q4, 0, 1)
        )
      )
    )
  ),
  ""
)</f>
        <v>1</v>
      </c>
      <c r="V4" s="244">
        <f>IFERROR(
    IF(
        OR(ISBLANK(Q4), ISBLANK(R4)),
        "",
        MAX(
            1,
            IF(
                NETWORKDAYS(Q4, R4, Holiday_Dates) &lt;= 0,
                1,
                NETWORKDAYS(Q4, R4, Holiday_Dates) - IF(Q4 = R4, 0, 1)
            )
        )
    ),
    ""
)</f>
        <v>1</v>
      </c>
      <c r="W4" s="9" t="s">
        <v>929</v>
      </c>
      <c r="X4" s="9" t="s">
        <v>101</v>
      </c>
      <c r="Y4" s="9"/>
      <c r="Z4" s="9"/>
      <c r="AA4" s="9" t="s">
        <v>112</v>
      </c>
      <c r="AB4" s="9" t="s">
        <v>6315</v>
      </c>
      <c r="AC4" s="9" t="s">
        <v>6316</v>
      </c>
      <c r="AD4" s="6" t="s">
        <v>6317</v>
      </c>
      <c r="AE4" s="9"/>
      <c r="AF4" s="9"/>
      <c r="AG4" s="9"/>
      <c r="AH4" s="9"/>
      <c r="AI4" s="9"/>
      <c r="AJ4" s="9"/>
      <c r="AK4" s="9"/>
      <c r="AL4" s="9"/>
      <c r="AM4" s="9"/>
    </row>
    <row r="5" spans="1:40" s="41" customFormat="1">
      <c r="A5" s="9" t="s">
        <v>65</v>
      </c>
      <c r="B5" s="9" t="s">
        <v>231</v>
      </c>
      <c r="C5" s="9" t="s">
        <v>6318</v>
      </c>
      <c r="D5" s="9" t="s">
        <v>88</v>
      </c>
      <c r="E5" s="32" t="s">
        <v>213</v>
      </c>
      <c r="F5" s="9">
        <v>15.488759999999999</v>
      </c>
      <c r="G5" s="9">
        <v>120.992244</v>
      </c>
      <c r="H5" s="9" t="str">
        <f t="shared" si="0"/>
        <v>15.48876, 120.992244</v>
      </c>
      <c r="I5" s="258" t="s">
        <v>57</v>
      </c>
      <c r="J5" s="71" t="s">
        <v>141</v>
      </c>
      <c r="K5" s="9"/>
      <c r="L5" s="55" t="s">
        <v>130</v>
      </c>
      <c r="M5" s="358"/>
      <c r="N5" s="22"/>
      <c r="O5" s="22"/>
      <c r="P5" s="22"/>
      <c r="Q5" s="22"/>
      <c r="R5" s="22"/>
      <c r="S5" s="244" t="str">
        <f>IFERROR(
    IF(
        OR(ISBLANK(N5), ISBLANK(O5)),
        "",
        MAX(
            1,
            IF(
                NETWORKDAYS(N5, O5, Holiday_Dates) &lt;= 0,
                1,
                NETWORKDAYS(N5, O5, Holiday_Dates) - IF(N5 = O5, 0, 1)
            )
        )
    ),
    ""
)</f>
        <v/>
      </c>
      <c r="T5" s="244" t="str">
        <f>IF(
    OR(ISBLANK(O5), ISBLANK(P5)),
    "",
    MAX(
        1,
        IF(
            NETWORKDAYS(O5, P5, Holiday_Dates) &lt;= 0,
            1,
            NETWORKDAYS(O5, P5, Holiday_Dates) - IF(O5 = P5, 0, 1)
        )
    )
)</f>
        <v/>
      </c>
      <c r="U5" s="244" t="str">
        <f>IFERROR(
  IF(
    OR(A5="Nueva_Ecija", A5="Zambales"),
    IF(
      OR(ISBLANK(P5), ISBLANK(Q5)),
      "",
      MAX(
        1,
        IF(
          NETWORKDAYS(P5, Q5, Holiday_Dates) &lt;= 0,
          1,
          NETWORKDAYS(P5, Q5, Holiday_Dates) - IF(P5 = Q5, 0, 1)
        )
      )
    ),
    IF(
      OR(ISBLANK(O5), ISBLANK(Q5)),
      "",
      MAX(
        1,
        IF(
          NETWORKDAYS(O5, Q5, Holiday_Dates) &lt;= 0,
          1,
          NETWORKDAYS(O5, Q5, Holiday_Dates) - IF(O5 = Q5, 0, 1)
        )
      )
    )
  ),
  ""
)</f>
        <v/>
      </c>
      <c r="V5" s="244" t="str">
        <f>IFERROR(
    IF(
        OR(ISBLANK(Q5), ISBLANK(R5)),
        "",
        MAX(
            1,
            IF(
                NETWORKDAYS(Q5, R5, Holiday_Dates) &lt;= 0,
                1,
                NETWORKDAYS(Q5, R5, Holiday_Dates) - IF(Q5 = R5, 0, 1)
            )
        )
    ),
    ""
)</f>
        <v/>
      </c>
      <c r="W5" s="9"/>
      <c r="X5" s="9"/>
      <c r="Y5" s="9"/>
      <c r="Z5" s="9"/>
      <c r="AA5" s="9"/>
      <c r="AB5" s="9"/>
      <c r="AC5" s="9"/>
      <c r="AD5" s="9"/>
      <c r="AE5" s="9"/>
      <c r="AF5" s="9"/>
      <c r="AG5" s="9"/>
      <c r="AH5" s="9"/>
      <c r="AI5" s="9"/>
      <c r="AJ5" s="9"/>
      <c r="AK5" s="9"/>
      <c r="AL5" s="9"/>
      <c r="AM5" s="9"/>
    </row>
    <row r="6" spans="1:40" s="41" customFormat="1">
      <c r="A6" s="9" t="s">
        <v>51</v>
      </c>
      <c r="B6" s="9" t="s">
        <v>351</v>
      </c>
      <c r="C6" s="9" t="s">
        <v>6319</v>
      </c>
      <c r="D6" s="9" t="s">
        <v>88</v>
      </c>
      <c r="E6" s="32" t="s">
        <v>224</v>
      </c>
      <c r="F6" s="9">
        <v>14.928599999999999</v>
      </c>
      <c r="G6" s="9">
        <v>120.7633</v>
      </c>
      <c r="H6" s="9" t="str">
        <f t="shared" si="0"/>
        <v>14.9286, 120.7633</v>
      </c>
      <c r="I6" s="258" t="s">
        <v>57</v>
      </c>
      <c r="J6" s="71" t="s">
        <v>34</v>
      </c>
      <c r="K6" s="9"/>
      <c r="L6" s="55" t="s">
        <v>239</v>
      </c>
      <c r="M6" s="9"/>
      <c r="N6" s="22"/>
      <c r="O6" s="22"/>
      <c r="P6" s="22"/>
      <c r="Q6" s="22"/>
      <c r="R6" s="22"/>
      <c r="S6" s="244" t="str">
        <f>IFERROR(
    IF(
        OR(ISBLANK(N6), ISBLANK(O6)),
        "",
        MAX(
            1,
            IF(
                NETWORKDAYS(N6, O6, Holiday_Dates) &lt;= 0,
                1,
                NETWORKDAYS(N6, O6, Holiday_Dates) - IF(N6 = O6, 0, 1)
            )
        )
    ),
    ""
)</f>
        <v/>
      </c>
      <c r="T6" s="244" t="str">
        <f>IF(
    OR(ISBLANK(O6), ISBLANK(P6)),
    "",
    MAX(
        1,
        IF(
            NETWORKDAYS(O6, P6, Holiday_Dates) &lt;= 0,
            1,
            NETWORKDAYS(O6, P6, Holiday_Dates) - IF(O6 = P6, 0, 1)
        )
    )
)</f>
        <v/>
      </c>
      <c r="U6" s="244" t="str">
        <f>IFERROR(
  IF(
    OR(A6="Nueva_Ecija", A6="Zambales"),
    IF(
      OR(ISBLANK(P6), ISBLANK(Q6)),
      "",
      MAX(
        1,
        IF(
          NETWORKDAYS(P6, Q6, Holiday_Dates) &lt;= 0,
          1,
          NETWORKDAYS(P6, Q6, Holiday_Dates) - IF(P6 = Q6, 0, 1)
        )
      )
    ),
    IF(
      OR(ISBLANK(O6), ISBLANK(Q6)),
      "",
      MAX(
        1,
        IF(
          NETWORKDAYS(O6, Q6, Holiday_Dates) &lt;= 0,
          1,
          NETWORKDAYS(O6, Q6, Holiday_Dates) - IF(O6 = Q6, 0, 1)
        )
      )
    )
  ),
  ""
)</f>
        <v/>
      </c>
      <c r="V6" s="244" t="str">
        <f>IFERROR(
    IF(
        OR(ISBLANK(Q6), ISBLANK(R6)),
        "",
        MAX(
            1,
            IF(
                NETWORKDAYS(Q6, R6, Holiday_Dates) &lt;= 0,
                1,
                NETWORKDAYS(Q6, R6, Holiday_Dates) - IF(Q6 = R6, 0, 1)
            )
        )
    ),
    ""
)</f>
        <v/>
      </c>
      <c r="W6" s="9"/>
      <c r="X6" s="9"/>
      <c r="Y6" s="9"/>
      <c r="Z6" s="9"/>
      <c r="AA6" s="9"/>
      <c r="AB6" s="9"/>
      <c r="AC6" s="6"/>
      <c r="AD6" s="9"/>
      <c r="AE6" s="9"/>
      <c r="AF6" s="9"/>
      <c r="AG6" s="9"/>
      <c r="AH6" s="9"/>
      <c r="AI6" s="9"/>
      <c r="AJ6" s="9"/>
      <c r="AK6" s="9"/>
      <c r="AL6" s="9"/>
      <c r="AM6" s="9"/>
    </row>
    <row r="7" spans="1:40" s="41" customFormat="1">
      <c r="A7" s="9" t="s">
        <v>53</v>
      </c>
      <c r="B7" s="9" t="s">
        <v>714</v>
      </c>
      <c r="C7" s="9" t="s">
        <v>6320</v>
      </c>
      <c r="D7" s="9" t="s">
        <v>89</v>
      </c>
      <c r="E7" s="32" t="s">
        <v>271</v>
      </c>
      <c r="F7" s="9">
        <v>14.943899999999999</v>
      </c>
      <c r="G7" s="9">
        <v>120.081</v>
      </c>
      <c r="H7" s="9" t="str">
        <f t="shared" si="0"/>
        <v>14.9439, 120.081</v>
      </c>
      <c r="I7" s="258" t="s">
        <v>57</v>
      </c>
      <c r="J7" s="71" t="s">
        <v>42</v>
      </c>
      <c r="K7" s="9"/>
      <c r="L7" s="55" t="s">
        <v>133</v>
      </c>
      <c r="M7" s="9"/>
      <c r="N7" s="22"/>
      <c r="O7" s="22"/>
      <c r="P7" s="22"/>
      <c r="Q7" s="22"/>
      <c r="R7" s="22"/>
      <c r="S7" s="244" t="str">
        <f>IFERROR(
    IF(
        OR(ISBLANK(N7), ISBLANK(O7)),
        "",
        MAX(
            1,
            IF(
                NETWORKDAYS(N7, O7, Holiday_Dates) &lt;= 0,
                1,
                NETWORKDAYS(N7, O7, Holiday_Dates) - IF(N7 = O7, 0, 1)
            )
        )
    ),
    ""
)</f>
        <v/>
      </c>
      <c r="T7" s="244" t="str">
        <f>IF(
    OR(ISBLANK(O7), ISBLANK(P7)),
    "",
    MAX(
        1,
        IF(
            NETWORKDAYS(O7, P7, Holiday_Dates) &lt;= 0,
            1,
            NETWORKDAYS(O7, P7, Holiday_Dates) - IF(O7 = P7, 0, 1)
        )
    )
)</f>
        <v/>
      </c>
      <c r="U7" s="244" t="str">
        <f>IFERROR(
  IF(
    OR(A7="Nueva_Ecija", A7="Zambales"),
    IF(
      OR(ISBLANK(P7), ISBLANK(Q7)),
      "",
      MAX(
        1,
        IF(
          NETWORKDAYS(P7, Q7, Holiday_Dates) &lt;= 0,
          1,
          NETWORKDAYS(P7, Q7, Holiday_Dates) - IF(P7 = Q7, 0, 1)
        )
      )
    ),
    IF(
      OR(ISBLANK(O7), ISBLANK(Q7)),
      "",
      MAX(
        1,
        IF(
          NETWORKDAYS(O7, Q7, Holiday_Dates) &lt;= 0,
          1,
          NETWORKDAYS(O7, Q7, Holiday_Dates) - IF(O7 = Q7, 0, 1)
        )
      )
    )
  ),
  ""
)</f>
        <v/>
      </c>
      <c r="V7" s="244" t="str">
        <f>IFERROR(
    IF(
        OR(ISBLANK(Q7), ISBLANK(R7)),
        "",
        MAX(
            1,
            IF(
                NETWORKDAYS(Q7, R7, Holiday_Dates) &lt;= 0,
                1,
                NETWORKDAYS(Q7, R7, Holiday_Dates) - IF(Q7 = R7, 0, 1)
            )
        )
    ),
    ""
)</f>
        <v/>
      </c>
      <c r="W7" s="9"/>
      <c r="X7" s="9"/>
      <c r="Y7" s="9"/>
      <c r="Z7" s="9"/>
      <c r="AA7" s="9"/>
      <c r="AB7" s="9"/>
      <c r="AC7" s="9"/>
      <c r="AD7" s="9"/>
      <c r="AE7" s="9"/>
      <c r="AF7" s="6"/>
      <c r="AG7" s="9"/>
      <c r="AH7" s="9"/>
      <c r="AI7" s="9"/>
      <c r="AJ7" s="9"/>
      <c r="AK7" s="9"/>
      <c r="AL7" s="9"/>
      <c r="AM7" s="9"/>
    </row>
    <row r="8" spans="1:40" s="41" customFormat="1">
      <c r="A8" s="9" t="s">
        <v>65</v>
      </c>
      <c r="B8" s="9" t="s">
        <v>348</v>
      </c>
      <c r="C8" s="9" t="s">
        <v>6321</v>
      </c>
      <c r="D8" s="9" t="s">
        <v>88</v>
      </c>
      <c r="E8" s="32" t="s">
        <v>224</v>
      </c>
      <c r="F8" s="9">
        <v>15.335882</v>
      </c>
      <c r="G8" s="9">
        <v>121.033826</v>
      </c>
      <c r="H8" s="9" t="str">
        <f t="shared" si="0"/>
        <v>15.335882, 121.033826</v>
      </c>
      <c r="I8" s="258" t="s">
        <v>63</v>
      </c>
      <c r="J8" s="9" t="s">
        <v>30</v>
      </c>
      <c r="K8" s="569"/>
      <c r="L8" s="55" t="s">
        <v>130</v>
      </c>
      <c r="N8" s="22"/>
      <c r="O8" s="22"/>
      <c r="P8" s="22"/>
      <c r="Q8" s="22"/>
      <c r="R8" s="22"/>
      <c r="S8" s="244" t="str">
        <f>IFERROR(
    IF(
        OR(ISBLANK(N8), ISBLANK(O8)),
        "",
        MAX(
            1,
            IF(
                NETWORKDAYS(N8, O8, Holiday_Dates) &lt;= 0,
                1,
                NETWORKDAYS(N8, O8, Holiday_Dates) - IF(N8 = O8, 0, 1)
            )
        )
    ),
    ""
)</f>
        <v/>
      </c>
      <c r="T8" s="244" t="str">
        <f>IF(
    OR(ISBLANK(O8), ISBLANK(P8)),
    "",
    MAX(
        1,
        IF(
            NETWORKDAYS(O8, P8, Holiday_Dates) &lt;= 0,
            1,
            NETWORKDAYS(O8, P8, Holiday_Dates) - IF(O8 = P8, 0, 1)
        )
    )
)</f>
        <v/>
      </c>
      <c r="U8" s="244" t="str">
        <f>IFERROR(
  IF(
    OR(A8="Nueva_Ecija", A8="Zambales"),
    IF(
      OR(ISBLANK(P8), ISBLANK(Q8)),
      "",
      MAX(
        1,
        IF(
          NETWORKDAYS(P8, Q8, Holiday_Dates) &lt;= 0,
          1,
          NETWORKDAYS(P8, Q8, Holiday_Dates) - IF(P8 = Q8, 0, 1)
        )
      )
    ),
    IF(
      OR(ISBLANK(O8), ISBLANK(Q8)),
      "",
      MAX(
        1,
        IF(
          NETWORKDAYS(O8, Q8, Holiday_Dates) &lt;= 0,
          1,
          NETWORKDAYS(O8, Q8, Holiday_Dates) - IF(O8 = Q8, 0, 1)
        )
      )
    )
  ),
  ""
)</f>
        <v/>
      </c>
      <c r="V8" s="244" t="str">
        <f>IFERROR(
    IF(
        OR(ISBLANK(Q8), ISBLANK(R8)),
        "",
        MAX(
            1,
            IF(
                NETWORKDAYS(Q8, R8, Holiday_Dates) &lt;= 0,
                1,
                NETWORKDAYS(Q8, R8, Holiday_Dates) - IF(Q8 = R8, 0, 1)
            )
        )
    ),
    ""
)</f>
        <v/>
      </c>
      <c r="W8" s="9"/>
      <c r="X8" s="9"/>
      <c r="Y8" s="9"/>
      <c r="Z8" s="9"/>
      <c r="AA8" s="9"/>
      <c r="AB8" s="9"/>
      <c r="AC8" s="9"/>
      <c r="AD8" s="9"/>
      <c r="AE8" s="9"/>
      <c r="AF8" s="6"/>
      <c r="AG8" s="9"/>
      <c r="AH8" s="9"/>
      <c r="AI8" s="9"/>
      <c r="AJ8" s="9"/>
      <c r="AK8" s="9"/>
      <c r="AL8" s="9"/>
      <c r="AM8" s="9"/>
    </row>
    <row r="9" spans="1:40" s="41" customFormat="1">
      <c r="A9" s="9" t="s">
        <v>53</v>
      </c>
      <c r="B9" s="9" t="s">
        <v>329</v>
      </c>
      <c r="C9" s="9" t="s">
        <v>6322</v>
      </c>
      <c r="D9" s="9" t="s">
        <v>89</v>
      </c>
      <c r="E9" s="32" t="s">
        <v>271</v>
      </c>
      <c r="F9" s="9">
        <v>15.30406</v>
      </c>
      <c r="G9" s="9">
        <v>120.03836</v>
      </c>
      <c r="H9" s="9" t="str">
        <f t="shared" si="0"/>
        <v>15.30406, 120.03836</v>
      </c>
      <c r="I9" s="258" t="s">
        <v>63</v>
      </c>
      <c r="J9" s="9" t="s">
        <v>41</v>
      </c>
      <c r="K9" s="55"/>
      <c r="L9" s="55" t="s">
        <v>133</v>
      </c>
      <c r="M9" s="9"/>
      <c r="N9" s="22"/>
      <c r="O9" s="22"/>
      <c r="P9" s="22"/>
      <c r="Q9" s="22"/>
      <c r="R9" s="22"/>
      <c r="S9" s="244" t="str">
        <f>IFERROR(
    IF(
        OR(ISBLANK(N9), ISBLANK(O9)),
        "",
        MAX(
            1,
            IF(
                NETWORKDAYS(N9, O9, Holiday_Dates) &lt;= 0,
                1,
                NETWORKDAYS(N9, O9, Holiday_Dates) - IF(N9 = O9, 0, 1)
            )
        )
    ),
    ""
)</f>
        <v/>
      </c>
      <c r="T9" s="244" t="str">
        <f>IF(
    OR(ISBLANK(O9), ISBLANK(P9)),
    "",
    MAX(
        1,
        IF(
            NETWORKDAYS(O9, P9, Holiday_Dates) &lt;= 0,
            1,
            NETWORKDAYS(O9, P9, Holiday_Dates) - IF(O9 = P9, 0, 1)
        )
    )
)</f>
        <v/>
      </c>
      <c r="U9" s="244" t="str">
        <f>IFERROR(
  IF(
    OR(A9="Nueva_Ecija", A9="Zambales"),
    IF(
      OR(ISBLANK(P9), ISBLANK(Q9)),
      "",
      MAX(
        1,
        IF(
          NETWORKDAYS(P9, Q9, Holiday_Dates) &lt;= 0,
          1,
          NETWORKDAYS(P9, Q9, Holiday_Dates) - IF(P9 = Q9, 0, 1)
        )
      )
    ),
    IF(
      OR(ISBLANK(O9), ISBLANK(Q9)),
      "",
      MAX(
        1,
        IF(
          NETWORKDAYS(O9, Q9, Holiday_Dates) &lt;= 0,
          1,
          NETWORKDAYS(O9, Q9, Holiday_Dates) - IF(O9 = Q9, 0, 1)
        )
      )
    )
  ),
  ""
)</f>
        <v/>
      </c>
      <c r="V9" s="244" t="str">
        <f>IFERROR(
    IF(
        OR(ISBLANK(Q9), ISBLANK(R9)),
        "",
        MAX(
            1,
            IF(
                NETWORKDAYS(Q9, R9, Holiday_Dates) &lt;= 0,
                1,
                NETWORKDAYS(Q9, R9, Holiday_Dates) - IF(Q9 = R9, 0, 1)
            )
        )
    ),
    ""
)</f>
        <v/>
      </c>
      <c r="W9" s="9"/>
      <c r="X9" s="9"/>
      <c r="Y9" s="9"/>
      <c r="Z9" s="9"/>
      <c r="AA9" s="9"/>
      <c r="AB9" s="9"/>
      <c r="AC9" s="9"/>
      <c r="AD9" s="6"/>
      <c r="AE9" s="9"/>
      <c r="AF9" s="9"/>
      <c r="AG9" s="9"/>
      <c r="AH9" s="9"/>
      <c r="AI9" s="9"/>
      <c r="AJ9" s="9"/>
      <c r="AK9" s="9"/>
      <c r="AL9" s="9"/>
      <c r="AM9" s="9"/>
    </row>
    <row r="10" spans="1:40" s="41" customFormat="1">
      <c r="A10" s="9" t="s">
        <v>51</v>
      </c>
      <c r="B10" s="9" t="s">
        <v>1364</v>
      </c>
      <c r="C10" s="9" t="s">
        <v>6323</v>
      </c>
      <c r="D10" s="9" t="s">
        <v>88</v>
      </c>
      <c r="E10" s="7" t="s">
        <v>243</v>
      </c>
      <c r="F10" s="9">
        <v>15.141719999999999</v>
      </c>
      <c r="G10" s="9">
        <v>120.63039000000001</v>
      </c>
      <c r="H10" s="9" t="s">
        <v>6324</v>
      </c>
      <c r="I10" s="258" t="s">
        <v>64</v>
      </c>
      <c r="J10" s="9" t="s">
        <v>33</v>
      </c>
      <c r="K10" s="9"/>
      <c r="L10" s="9" t="s">
        <v>239</v>
      </c>
      <c r="M10" s="9"/>
      <c r="N10" s="22"/>
      <c r="O10" s="22"/>
      <c r="P10" s="22"/>
      <c r="Q10" s="22"/>
      <c r="R10" s="22"/>
      <c r="S10" s="244" t="str">
        <f>IFERROR(
    IF(
        OR(ISBLANK(N10), ISBLANK(O10)),
        "",
        MAX(
            1,
            IF(
                NETWORKDAYS(N10, O10, Holiday_Dates) &lt;= 0,
                1,
                NETWORKDAYS(N10, O10, Holiday_Dates) - IF(N10 = O10, 0, 1)
            )
        )
    ),
    ""
)</f>
        <v/>
      </c>
      <c r="T10" s="244" t="str">
        <f>IF(
    OR(ISBLANK(O10), ISBLANK(P10)),
    "",
    MAX(
        1,
        IF(
            NETWORKDAYS(O10, P10, Holiday_Dates) &lt;= 0,
            1,
            NETWORKDAYS(O10, P10, Holiday_Dates) - IF(O10 = P10, 0, 1)
        )
    )
)</f>
        <v/>
      </c>
      <c r="U10" s="244" t="str">
        <f>IFERROR(
  IF(
    OR(A10="Nueva_Ecija", A10="Zambales"),
    IF(
      OR(ISBLANK(P10), ISBLANK(Q10)),
      "",
      MAX(
        1,
        IF(
          NETWORKDAYS(P10, Q10, Holiday_Dates) &lt;= 0,
          1,
          NETWORKDAYS(P10, Q10, Holiday_Dates) - IF(P10 = Q10, 0, 1)
        )
      )
    ),
    IF(
      OR(ISBLANK(O10), ISBLANK(Q10)),
      "",
      MAX(
        1,
        IF(
          NETWORKDAYS(O10, Q10, Holiday_Dates) &lt;= 0,
          1,
          NETWORKDAYS(O10, Q10, Holiday_Dates) - IF(O10 = Q10, 0, 1)
        )
      )
    )
  ),
  ""
)</f>
        <v/>
      </c>
      <c r="V10" s="244" t="str">
        <f>IFERROR(
    IF(
        OR(ISBLANK(Q10), ISBLANK(R10)),
        "",
        MAX(
            1,
            IF(
                NETWORKDAYS(Q10, R10, Holiday_Dates) &lt;= 0,
                1,
                NETWORKDAYS(Q10, R10, Holiday_Dates) - IF(Q10 = R10, 0, 1)
            )
        )
    ),
    ""
)</f>
        <v/>
      </c>
      <c r="W10" s="9"/>
      <c r="X10" s="9"/>
      <c r="Y10" s="9"/>
      <c r="Z10" s="9"/>
      <c r="AA10" s="9"/>
      <c r="AB10" s="9"/>
      <c r="AC10" s="9"/>
      <c r="AD10" s="9"/>
      <c r="AE10" s="9"/>
      <c r="AF10" s="9"/>
      <c r="AG10" s="9"/>
      <c r="AH10" s="9"/>
      <c r="AI10" s="9"/>
      <c r="AJ10" s="9"/>
      <c r="AK10" s="9"/>
      <c r="AL10" s="9"/>
      <c r="AM10" s="9"/>
    </row>
    <row r="11" spans="1:40" s="41" customFormat="1">
      <c r="A11" s="9" t="s">
        <v>49</v>
      </c>
      <c r="B11" s="9" t="s">
        <v>492</v>
      </c>
      <c r="C11" s="9" t="s">
        <v>6325</v>
      </c>
      <c r="D11" s="9" t="s">
        <v>88</v>
      </c>
      <c r="E11" s="32" t="s">
        <v>243</v>
      </c>
      <c r="F11" s="9">
        <v>14.900399999999999</v>
      </c>
      <c r="G11" s="9">
        <v>120.7718</v>
      </c>
      <c r="H11" s="9" t="str">
        <f t="shared" ref="H11:H18" si="1">CONCATENATE(F11,","," ",G11)</f>
        <v>14.9004, 120.7718</v>
      </c>
      <c r="I11" s="258"/>
      <c r="J11" s="9" t="s">
        <v>6326</v>
      </c>
      <c r="K11" s="9"/>
      <c r="L11" s="9" t="s">
        <v>128</v>
      </c>
      <c r="M11" s="9"/>
      <c r="N11" s="22"/>
      <c r="O11" s="22"/>
      <c r="P11" s="22"/>
      <c r="Q11" s="22"/>
      <c r="R11" s="22"/>
      <c r="S11" s="244" t="str">
        <f>IFERROR(
    IF(
        OR(ISBLANK(N11), ISBLANK(O11)),
        "",
        MAX(
            1,
            IF(
                NETWORKDAYS(N11, O11, Holiday_Dates) &lt;= 0,
                1,
                NETWORKDAYS(N11, O11, Holiday_Dates) - IF(N11 = O11, 0, 1)
            )
        )
    ),
    ""
)</f>
        <v/>
      </c>
      <c r="T11" s="244" t="str">
        <f>IF(
    OR(ISBLANK(O11), ISBLANK(P11)),
    "",
    MAX(
        1,
        IF(
            NETWORKDAYS(O11, P11, Holiday_Dates) &lt;= 0,
            1,
            NETWORKDAYS(O11, P11, Holiday_Dates) - IF(O11 = P11, 0, 1)
        )
    )
)</f>
        <v/>
      </c>
      <c r="U11" s="244" t="str">
        <f>IFERROR(
  IF(
    OR(A11="Nueva_Ecija", A11="Zambales"),
    IF(
      OR(ISBLANK(P11), ISBLANK(Q11)),
      "",
      MAX(
        1,
        IF(
          NETWORKDAYS(P11, Q11, Holiday_Dates) &lt;= 0,
          1,
          NETWORKDAYS(P11, Q11, Holiday_Dates) - IF(P11 = Q11, 0, 1)
        )
      )
    ),
    IF(
      OR(ISBLANK(O11), ISBLANK(Q11)),
      "",
      MAX(
        1,
        IF(
          NETWORKDAYS(O11, Q11, Holiday_Dates) &lt;= 0,
          1,
          NETWORKDAYS(O11, Q11, Holiday_Dates) - IF(O11 = Q11, 0, 1)
        )
      )
    )
  ),
  ""
)</f>
        <v/>
      </c>
      <c r="V11" s="244" t="str">
        <f>IFERROR(
    IF(
        OR(ISBLANK(Q11), ISBLANK(R11)),
        "",
        MAX(
            1,
            IF(
                NETWORKDAYS(Q11, R11, Holiday_Dates) &lt;= 0,
                1,
                NETWORKDAYS(Q11, R11, Holiday_Dates) - IF(Q11 = R11, 0, 1)
            )
        )
    ),
    ""
)</f>
        <v/>
      </c>
      <c r="W11" s="9"/>
      <c r="X11" s="9"/>
      <c r="Y11" s="9"/>
      <c r="Z11" s="9"/>
      <c r="AA11" s="9"/>
      <c r="AB11" s="9"/>
      <c r="AC11" s="9"/>
      <c r="AD11" s="9"/>
      <c r="AE11" s="9"/>
      <c r="AF11" s="9"/>
      <c r="AG11" s="9"/>
      <c r="AH11" s="9"/>
      <c r="AI11" s="9"/>
      <c r="AJ11" s="9"/>
      <c r="AK11" s="9"/>
      <c r="AL11" s="9"/>
      <c r="AM11" s="9"/>
    </row>
    <row r="12" spans="1:40" s="352" customFormat="1">
      <c r="A12" s="9" t="s">
        <v>65</v>
      </c>
      <c r="B12" s="9" t="s">
        <v>410</v>
      </c>
      <c r="C12" s="9" t="s">
        <v>1075</v>
      </c>
      <c r="D12" s="9" t="s">
        <v>88</v>
      </c>
      <c r="E12" s="32" t="s">
        <v>243</v>
      </c>
      <c r="F12" s="9">
        <v>15.544414</v>
      </c>
      <c r="G12" s="9">
        <v>120.808761</v>
      </c>
      <c r="H12" s="9" t="str">
        <f t="shared" si="1"/>
        <v>15.544414, 120.808761</v>
      </c>
      <c r="I12" s="258"/>
      <c r="J12" s="9" t="s">
        <v>27</v>
      </c>
      <c r="K12" s="9"/>
      <c r="L12" s="9" t="s">
        <v>130</v>
      </c>
      <c r="M12" s="9"/>
      <c r="N12" s="22"/>
      <c r="O12" s="22"/>
      <c r="P12" s="22"/>
      <c r="Q12" s="22"/>
      <c r="R12" s="22"/>
      <c r="S12" s="244" t="str">
        <f>IFERROR(
    IF(
        OR(ISBLANK(N12), ISBLANK(O12)),
        "",
        MAX(
            1,
            IF(
                NETWORKDAYS(N12, O12, Holiday_Dates) &lt;= 0,
                1,
                NETWORKDAYS(N12, O12, Holiday_Dates) - IF(N12 = O12, 0, 1)
            )
        )
    ),
    ""
)</f>
        <v/>
      </c>
      <c r="T12" s="244" t="str">
        <f>IF(
    OR(ISBLANK(O12), ISBLANK(P12)),
    "",
    MAX(
        1,
        IF(
            NETWORKDAYS(O12, P12, Holiday_Dates) &lt;= 0,
            1,
            NETWORKDAYS(O12, P12, Holiday_Dates) - IF(O12 = P12, 0, 1)
        )
    )
)</f>
        <v/>
      </c>
      <c r="U12" s="244" t="str">
        <f>IFERROR(
  IF(
    OR(A12="Nueva_Ecija", A12="Zambales"),
    IF(
      OR(ISBLANK(P12), ISBLANK(Q12)),
      "",
      MAX(
        1,
        IF(
          NETWORKDAYS(P12, Q12, Holiday_Dates) &lt;= 0,
          1,
          NETWORKDAYS(P12, Q12, Holiday_Dates) - IF(P12 = Q12, 0, 1)
        )
      )
    ),
    IF(
      OR(ISBLANK(O12), ISBLANK(Q12)),
      "",
      MAX(
        1,
        IF(
          NETWORKDAYS(O12, Q12, Holiday_Dates) &lt;= 0,
          1,
          NETWORKDAYS(O12, Q12, Holiday_Dates) - IF(O12 = Q12, 0, 1)
        )
      )
    )
  ),
  ""
)</f>
        <v/>
      </c>
      <c r="V12" s="244" t="str">
        <f>IFERROR(
    IF(
        OR(ISBLANK(Q12), ISBLANK(R12)),
        "",
        MAX(
            1,
            IF(
                NETWORKDAYS(Q12, R12, Holiday_Dates) &lt;= 0,
                1,
                NETWORKDAYS(Q12, R12, Holiday_Dates) - IF(Q12 = R12, 0, 1)
            )
        )
    ),
    ""
)</f>
        <v/>
      </c>
      <c r="W12" s="9"/>
      <c r="X12" s="9"/>
      <c r="Y12" s="9"/>
      <c r="Z12" s="9"/>
      <c r="AA12" s="9"/>
      <c r="AB12" s="9"/>
      <c r="AC12" s="9"/>
      <c r="AD12" s="9"/>
      <c r="AE12" s="9"/>
      <c r="AF12" s="9"/>
      <c r="AG12" s="9"/>
      <c r="AH12" s="9"/>
      <c r="AI12" s="9"/>
      <c r="AJ12" s="9"/>
      <c r="AK12" s="9"/>
      <c r="AL12" s="9"/>
      <c r="AM12" s="9"/>
    </row>
    <row r="13" spans="1:40" s="41" customFormat="1">
      <c r="A13" s="9" t="s">
        <v>65</v>
      </c>
      <c r="B13" s="9" t="s">
        <v>301</v>
      </c>
      <c r="C13" s="9" t="s">
        <v>6198</v>
      </c>
      <c r="D13" s="9" t="s">
        <v>88</v>
      </c>
      <c r="E13" s="32" t="s">
        <v>224</v>
      </c>
      <c r="F13" s="9">
        <v>15.311809999999999</v>
      </c>
      <c r="G13" s="9">
        <v>120.834637</v>
      </c>
      <c r="H13" s="9" t="str">
        <f t="shared" si="1"/>
        <v>15.31181, 120.834637</v>
      </c>
      <c r="I13" s="258"/>
      <c r="J13" s="9" t="s">
        <v>30</v>
      </c>
      <c r="K13" s="9"/>
      <c r="L13" s="9" t="s">
        <v>130</v>
      </c>
      <c r="M13" s="9"/>
      <c r="N13" s="22"/>
      <c r="O13" s="22"/>
      <c r="P13" s="22"/>
      <c r="Q13" s="22"/>
      <c r="R13" s="22"/>
      <c r="S13" s="244" t="str">
        <f>IFERROR(
    IF(
        OR(ISBLANK(N13), ISBLANK(O13)),
        "",
        MAX(
            1,
            IF(
                NETWORKDAYS(N13, O13, Holiday_Dates) &lt;= 0,
                1,
                NETWORKDAYS(N13, O13, Holiday_Dates) - IF(N13 = O13, 0, 1)
            )
        )
    ),
    ""
)</f>
        <v/>
      </c>
      <c r="T13" s="244" t="str">
        <f>IF(
    OR(ISBLANK(O13), ISBLANK(P13)),
    "",
    MAX(
        1,
        IF(
            NETWORKDAYS(O13, P13, Holiday_Dates) &lt;= 0,
            1,
            NETWORKDAYS(O13, P13, Holiday_Dates) - IF(O13 = P13, 0, 1)
        )
    )
)</f>
        <v/>
      </c>
      <c r="U13" s="244" t="str">
        <f>IFERROR(
  IF(
    OR(A13="Nueva_Ecija", A13="Zambales"),
    IF(
      OR(ISBLANK(P13), ISBLANK(Q13)),
      "",
      MAX(
        1,
        IF(
          NETWORKDAYS(P13, Q13, Holiday_Dates) &lt;= 0,
          1,
          NETWORKDAYS(P13, Q13, Holiday_Dates) - IF(P13 = Q13, 0, 1)
        )
      )
    ),
    IF(
      OR(ISBLANK(O13), ISBLANK(Q13)),
      "",
      MAX(
        1,
        IF(
          NETWORKDAYS(O13, Q13, Holiday_Dates) &lt;= 0,
          1,
          NETWORKDAYS(O13, Q13, Holiday_Dates) - IF(O13 = Q13, 0, 1)
        )
      )
    )
  ),
  ""
)</f>
        <v/>
      </c>
      <c r="V13" s="244" t="str">
        <f>IFERROR(
    IF(
        OR(ISBLANK(Q13), ISBLANK(R13)),
        "",
        MAX(
            1,
            IF(
                NETWORKDAYS(Q13, R13, Holiday_Dates) &lt;= 0,
                1,
                NETWORKDAYS(Q13, R13, Holiday_Dates) - IF(Q13 = R13, 0, 1)
            )
        )
    ),
    ""
)</f>
        <v/>
      </c>
      <c r="W13" s="9"/>
      <c r="X13" s="9"/>
      <c r="Y13" s="9"/>
      <c r="Z13" s="9"/>
      <c r="AA13" s="9"/>
      <c r="AB13" s="9"/>
      <c r="AC13" s="9"/>
      <c r="AD13" s="6"/>
      <c r="AE13" s="9"/>
      <c r="AF13" s="9"/>
      <c r="AG13" s="9"/>
      <c r="AH13" s="9"/>
      <c r="AI13" s="9"/>
      <c r="AJ13" s="9"/>
      <c r="AK13" s="9"/>
      <c r="AL13" s="9"/>
      <c r="AM13" s="9"/>
    </row>
    <row r="14" spans="1:40" s="41" customFormat="1">
      <c r="A14" s="274" t="s">
        <v>51</v>
      </c>
      <c r="B14" s="274" t="s">
        <v>352</v>
      </c>
      <c r="C14" s="274" t="s">
        <v>6327</v>
      </c>
      <c r="D14" s="274" t="s">
        <v>88</v>
      </c>
      <c r="E14" s="347" t="s">
        <v>224</v>
      </c>
      <c r="F14" s="274">
        <v>15.09282</v>
      </c>
      <c r="G14" s="274">
        <v>120.812298</v>
      </c>
      <c r="H14" s="274" t="str">
        <f t="shared" si="1"/>
        <v>15.09282, 120.812298</v>
      </c>
      <c r="I14" s="353"/>
      <c r="J14" s="274" t="s">
        <v>32</v>
      </c>
      <c r="K14" s="274"/>
      <c r="L14" s="9" t="s">
        <v>239</v>
      </c>
      <c r="M14" s="274"/>
      <c r="N14" s="354"/>
      <c r="O14" s="354"/>
      <c r="P14" s="354"/>
      <c r="Q14" s="354"/>
      <c r="R14" s="354"/>
      <c r="S14" s="244" t="str">
        <f>IFERROR(
    IF(
        OR(ISBLANK(N14), ISBLANK(O14)),
        "",
        MAX(
            1,
            IF(
                NETWORKDAYS(N14, O14, Holiday_Dates) &lt;= 0,
                1,
                NETWORKDAYS(N14, O14, Holiday_Dates) - IF(N14 = O14, 0, 1)
            )
        )
    ),
    ""
)</f>
        <v/>
      </c>
      <c r="T14" s="244" t="str">
        <f>IF(
    OR(ISBLANK(O14), ISBLANK(P14)),
    "",
    MAX(
        1,
        IF(
            NETWORKDAYS(O14, P14, Holiday_Dates) &lt;= 0,
            1,
            NETWORKDAYS(O14, P14, Holiday_Dates) - IF(O14 = P14, 0, 1)
        )
    )
)</f>
        <v/>
      </c>
      <c r="U14" s="244" t="str">
        <f>IFERROR(
  IF(
    OR(A14="Nueva_Ecija", A14="Zambales"),
    IF(
      OR(ISBLANK(P14), ISBLANK(Q14)),
      "",
      MAX(
        1,
        IF(
          NETWORKDAYS(P14, Q14, Holiday_Dates) &lt;= 0,
          1,
          NETWORKDAYS(P14, Q14, Holiday_Dates) - IF(P14 = Q14, 0, 1)
        )
      )
    ),
    IF(
      OR(ISBLANK(O14), ISBLANK(Q14)),
      "",
      MAX(
        1,
        IF(
          NETWORKDAYS(O14, Q14, Holiday_Dates) &lt;= 0,
          1,
          NETWORKDAYS(O14, Q14, Holiday_Dates) - IF(O14 = Q14, 0, 1)
        )
      )
    )
  ),
  ""
)</f>
        <v/>
      </c>
      <c r="V14" s="244" t="str">
        <f>IFERROR(
    IF(
        OR(ISBLANK(Q14), ISBLANK(R14)),
        "",
        MAX(
            1,
            IF(
                NETWORKDAYS(Q14, R14, Holiday_Dates) &lt;= 0,
                1,
                NETWORKDAYS(Q14, R14, Holiday_Dates) - IF(Q14 = R14, 0, 1)
            )
        )
    ),
    ""
)</f>
        <v/>
      </c>
      <c r="W14" s="274"/>
      <c r="X14" s="274"/>
      <c r="Y14" s="274"/>
      <c r="Z14" s="274"/>
      <c r="AA14" s="274"/>
      <c r="AB14" s="274"/>
      <c r="AC14" s="274"/>
      <c r="AD14" s="274"/>
      <c r="AE14" s="274"/>
      <c r="AF14" s="274"/>
      <c r="AG14" s="274"/>
      <c r="AH14" s="274"/>
      <c r="AI14" s="274"/>
      <c r="AJ14" s="274"/>
      <c r="AK14" s="274"/>
      <c r="AL14" s="274"/>
      <c r="AM14" s="274"/>
    </row>
    <row r="15" spans="1:40" s="41" customFormat="1">
      <c r="A15" s="9" t="s">
        <v>52</v>
      </c>
      <c r="B15" s="9" t="s">
        <v>463</v>
      </c>
      <c r="C15" s="9" t="s">
        <v>6328</v>
      </c>
      <c r="D15" s="9" t="s">
        <v>88</v>
      </c>
      <c r="E15" s="7" t="s">
        <v>271</v>
      </c>
      <c r="F15" s="9">
        <v>15.598288</v>
      </c>
      <c r="G15" s="9">
        <v>120.556076</v>
      </c>
      <c r="H15" s="9" t="str">
        <f t="shared" si="1"/>
        <v>15.598288, 120.556076</v>
      </c>
      <c r="I15" s="7"/>
      <c r="J15" s="9" t="s">
        <v>37</v>
      </c>
      <c r="K15" s="9"/>
      <c r="L15" s="9" t="s">
        <v>28</v>
      </c>
      <c r="M15" s="9"/>
      <c r="N15" s="22"/>
      <c r="O15" s="22"/>
      <c r="P15" s="22"/>
      <c r="Q15" s="22"/>
      <c r="R15" s="22"/>
      <c r="S15" s="244" t="str">
        <f>IFERROR(
    IF(
        OR(ISBLANK(N15), ISBLANK(O15)),
        "",
        MAX(
            1,
            IF(
                NETWORKDAYS(N15, O15, Holiday_Dates) &lt;= 0,
                1,
                NETWORKDAYS(N15, O15, Holiday_Dates) - IF(N15 = O15, 0, 1)
            )
        )
    ),
    ""
)</f>
        <v/>
      </c>
      <c r="T15" s="244" t="str">
        <f>IF(
    OR(ISBLANK(O15), ISBLANK(P15)),
    "",
    MAX(
        1,
        IF(
            NETWORKDAYS(O15, P15, Holiday_Dates) &lt;= 0,
            1,
            NETWORKDAYS(O15, P15, Holiday_Dates) - IF(O15 = P15, 0, 1)
        )
    )
)</f>
        <v/>
      </c>
      <c r="U15" s="244" t="str">
        <f>IFERROR(
  IF(
    OR(A15="Nueva_Ecija", A15="Zambales"),
    IF(
      OR(ISBLANK(P15), ISBLANK(Q15)),
      "",
      MAX(
        1,
        IF(
          NETWORKDAYS(P15, Q15, Holiday_Dates) &lt;= 0,
          1,
          NETWORKDAYS(P15, Q15, Holiday_Dates) - IF(P15 = Q15, 0, 1)
        )
      )
    ),
    IF(
      OR(ISBLANK(O15), ISBLANK(Q15)),
      "",
      MAX(
        1,
        IF(
          NETWORKDAYS(O15, Q15, Holiday_Dates) &lt;= 0,
          1,
          NETWORKDAYS(O15, Q15, Holiday_Dates) - IF(O15 = Q15, 0, 1)
        )
      )
    )
  ),
  ""
)</f>
        <v/>
      </c>
      <c r="V15" s="244" t="str">
        <f>IFERROR(
    IF(
        OR(ISBLANK(Q15), ISBLANK(R15)),
        "",
        MAX(
            1,
            IF(
                NETWORKDAYS(Q15, R15, Holiday_Dates) &lt;= 0,
                1,
                NETWORKDAYS(Q15, R15, Holiday_Dates) - IF(Q15 = R15, 0, 1)
            )
        )
    ),
    ""
)</f>
        <v/>
      </c>
      <c r="W15" s="9"/>
      <c r="X15" s="9"/>
      <c r="Y15" s="9"/>
      <c r="Z15" s="9"/>
      <c r="AA15" s="9"/>
      <c r="AB15" s="9"/>
      <c r="AC15" s="9"/>
      <c r="AD15" s="6"/>
      <c r="AE15" s="9"/>
      <c r="AF15" s="9"/>
      <c r="AG15" s="9"/>
      <c r="AH15" s="9"/>
      <c r="AI15" s="9"/>
      <c r="AJ15" s="9"/>
      <c r="AK15" s="9"/>
      <c r="AL15" s="9"/>
      <c r="AM15" s="9"/>
    </row>
    <row r="16" spans="1:40" s="41" customFormat="1">
      <c r="A16" s="9" t="s">
        <v>53</v>
      </c>
      <c r="B16" s="9" t="s">
        <v>397</v>
      </c>
      <c r="C16" s="9" t="s">
        <v>6329</v>
      </c>
      <c r="D16" s="9" t="s">
        <v>89</v>
      </c>
      <c r="E16" s="32" t="s">
        <v>243</v>
      </c>
      <c r="F16" s="9">
        <v>14.9252</v>
      </c>
      <c r="G16" s="9">
        <v>120.1485</v>
      </c>
      <c r="H16" s="9" t="str">
        <f t="shared" si="1"/>
        <v>14.9252, 120.1485</v>
      </c>
      <c r="I16" s="258"/>
      <c r="J16" s="9" t="s">
        <v>42</v>
      </c>
      <c r="K16" s="9"/>
      <c r="L16" s="9" t="s">
        <v>133</v>
      </c>
      <c r="M16" s="9"/>
      <c r="N16" s="22"/>
      <c r="O16" s="22"/>
      <c r="P16" s="22"/>
      <c r="Q16" s="22"/>
      <c r="R16" s="22"/>
      <c r="S16" s="244" t="str">
        <f>IFERROR(
    IF(
        OR(ISBLANK(N16), ISBLANK(O16)),
        "",
        MAX(
            1,
            IF(
                NETWORKDAYS(N16, O16, Holiday_Dates) &lt;= 0,
                1,
                NETWORKDAYS(N16, O16, Holiday_Dates) - IF(N16 = O16, 0, 1)
            )
        )
    ),
    ""
)</f>
        <v/>
      </c>
      <c r="T16" s="244" t="str">
        <f>IF(
    OR(ISBLANK(O16), ISBLANK(P16)),
    "",
    MAX(
        1,
        IF(
            NETWORKDAYS(O16, P16, Holiday_Dates) &lt;= 0,
            1,
            NETWORKDAYS(O16, P16, Holiday_Dates) - IF(O16 = P16, 0, 1)
        )
    )
)</f>
        <v/>
      </c>
      <c r="U16" s="244" t="str">
        <f>IFERROR(
  IF(
    OR(A16="Nueva_Ecija", A16="Zambales"),
    IF(
      OR(ISBLANK(P16), ISBLANK(Q16)),
      "",
      MAX(
        1,
        IF(
          NETWORKDAYS(P16, Q16, Holiday_Dates) &lt;= 0,
          1,
          NETWORKDAYS(P16, Q16, Holiday_Dates) - IF(P16 = Q16, 0, 1)
        )
      )
    ),
    IF(
      OR(ISBLANK(O16), ISBLANK(Q16)),
      "",
      MAX(
        1,
        IF(
          NETWORKDAYS(O16, Q16, Holiday_Dates) &lt;= 0,
          1,
          NETWORKDAYS(O16, Q16, Holiday_Dates) - IF(O16 = Q16, 0, 1)
        )
      )
    )
  ),
  ""
)</f>
        <v/>
      </c>
      <c r="V16" s="244" t="str">
        <f>IFERROR(
    IF(
        OR(ISBLANK(Q16), ISBLANK(R16)),
        "",
        MAX(
            1,
            IF(
                NETWORKDAYS(Q16, R16, Holiday_Dates) &lt;= 0,
                1,
                NETWORKDAYS(Q16, R16, Holiday_Dates) - IF(Q16 = R16, 0, 1)
            )
        )
    ),
    ""
)</f>
        <v/>
      </c>
      <c r="W16" s="9"/>
      <c r="X16" s="9"/>
      <c r="Y16" s="9"/>
      <c r="Z16" s="9"/>
      <c r="AA16" s="9"/>
      <c r="AB16" s="9"/>
      <c r="AC16" s="6"/>
      <c r="AD16" s="6"/>
      <c r="AE16" s="9"/>
      <c r="AF16" s="9"/>
      <c r="AG16" s="9"/>
      <c r="AH16" s="9"/>
      <c r="AI16" s="9"/>
      <c r="AJ16" s="9"/>
      <c r="AK16" s="9"/>
      <c r="AL16" s="9"/>
      <c r="AM16" s="9"/>
    </row>
    <row r="17" spans="1:39" s="41" customFormat="1">
      <c r="A17" s="9" t="s">
        <v>53</v>
      </c>
      <c r="B17" s="9" t="s">
        <v>544</v>
      </c>
      <c r="C17" s="9" t="s">
        <v>6051</v>
      </c>
      <c r="D17" s="9" t="s">
        <v>89</v>
      </c>
      <c r="E17" s="32" t="s">
        <v>271</v>
      </c>
      <c r="F17" s="9">
        <v>15.160591</v>
      </c>
      <c r="G17" s="9">
        <v>120.075479</v>
      </c>
      <c r="H17" s="9" t="str">
        <f t="shared" si="1"/>
        <v>15.160591, 120.075479</v>
      </c>
      <c r="I17" s="258"/>
      <c r="J17" s="9" t="s">
        <v>41</v>
      </c>
      <c r="K17" s="55"/>
      <c r="L17" s="55" t="s">
        <v>133</v>
      </c>
      <c r="M17" s="9"/>
      <c r="N17" s="22"/>
      <c r="O17" s="22"/>
      <c r="P17" s="22"/>
      <c r="Q17" s="22"/>
      <c r="R17" s="22"/>
      <c r="S17" s="244" t="str">
        <f>IFERROR(
    IF(
        OR(ISBLANK(N17), ISBLANK(O17)),
        "",
        MAX(
            1,
            IF(
                NETWORKDAYS(N17, O17, Holiday_Dates) &lt;= 0,
                1,
                NETWORKDAYS(N17, O17, Holiday_Dates) - IF(N17 = O17, 0, 1)
            )
        )
    ),
    ""
)</f>
        <v/>
      </c>
      <c r="T17" s="244" t="str">
        <f>IF(
    OR(ISBLANK(O17), ISBLANK(P17)),
    "",
    MAX(
        1,
        IF(
            NETWORKDAYS(O17, P17, Holiday_Dates) &lt;= 0,
            1,
            NETWORKDAYS(O17, P17, Holiday_Dates) - IF(O17 = P17, 0, 1)
        )
    )
)</f>
        <v/>
      </c>
      <c r="U17" s="244" t="str">
        <f>IFERROR(
  IF(
    OR(A17="Nueva_Ecija", A17="Zambales"),
    IF(
      OR(ISBLANK(P17), ISBLANK(Q17)),
      "",
      MAX(
        1,
        IF(
          NETWORKDAYS(P17, Q17, Holiday_Dates) &lt;= 0,
          1,
          NETWORKDAYS(P17, Q17, Holiday_Dates) - IF(P17 = Q17, 0, 1)
        )
      )
    ),
    IF(
      OR(ISBLANK(O17), ISBLANK(Q17)),
      "",
      MAX(
        1,
        IF(
          NETWORKDAYS(O17, Q17, Holiday_Dates) &lt;= 0,
          1,
          NETWORKDAYS(O17, Q17, Holiday_Dates) - IF(O17 = Q17, 0, 1)
        )
      )
    )
  ),
  ""
)</f>
        <v/>
      </c>
      <c r="V17" s="244" t="str">
        <f>IFERROR(
    IF(
        OR(ISBLANK(Q17), ISBLANK(R17)),
        "",
        MAX(
            1,
            IF(
                NETWORKDAYS(Q17, R17, Holiday_Dates) &lt;= 0,
                1,
                NETWORKDAYS(Q17, R17, Holiday_Dates) - IF(Q17 = R17, 0, 1)
            )
        )
    ),
    ""
)</f>
        <v/>
      </c>
      <c r="W17" s="9"/>
      <c r="X17" s="9"/>
      <c r="Y17" s="9"/>
      <c r="Z17" s="9"/>
      <c r="AA17" s="9"/>
      <c r="AB17" s="9"/>
      <c r="AC17" s="6"/>
      <c r="AD17" s="9"/>
      <c r="AE17" s="9"/>
      <c r="AF17" s="9"/>
      <c r="AG17" s="9"/>
      <c r="AH17" s="9"/>
      <c r="AI17" s="9"/>
      <c r="AJ17" s="9"/>
      <c r="AK17" s="9"/>
      <c r="AL17" s="9"/>
      <c r="AM17" s="9"/>
    </row>
    <row r="18" spans="1:39" s="41" customFormat="1">
      <c r="A18" s="9" t="s">
        <v>53</v>
      </c>
      <c r="B18" s="9" t="s">
        <v>1049</v>
      </c>
      <c r="C18" s="9" t="s">
        <v>1050</v>
      </c>
      <c r="D18" s="9" t="s">
        <v>89</v>
      </c>
      <c r="E18" s="32" t="s">
        <v>243</v>
      </c>
      <c r="F18" s="9">
        <v>14.9017549</v>
      </c>
      <c r="G18" s="9">
        <v>120.23236989999999</v>
      </c>
      <c r="H18" s="9" t="str">
        <f t="shared" si="1"/>
        <v>14.9017549, 120.2323699</v>
      </c>
      <c r="I18" s="258"/>
      <c r="J18" s="9" t="s">
        <v>144</v>
      </c>
      <c r="K18" s="9"/>
      <c r="L18" s="9" t="s">
        <v>133</v>
      </c>
      <c r="M18" s="9"/>
      <c r="N18" s="22"/>
      <c r="O18" s="22"/>
      <c r="P18" s="22"/>
      <c r="Q18" s="22"/>
      <c r="R18" s="22"/>
      <c r="S18" s="244" t="str">
        <f>IFERROR(
    IF(
        OR(ISBLANK(N18), ISBLANK(O18)),
        "",
        MAX(
            1,
            IF(
                NETWORKDAYS(N18, O18, Holiday_Dates) &lt;= 0,
                1,
                NETWORKDAYS(N18, O18, Holiday_Dates) - IF(N18 = O18, 0, 1)
            )
        )
    ),
    ""
)</f>
        <v/>
      </c>
      <c r="T18" s="244" t="str">
        <f>IF(
    OR(ISBLANK(O18), ISBLANK(P18)),
    "",
    MAX(
        1,
        IF(
            NETWORKDAYS(O18, P18, Holiday_Dates) &lt;= 0,
            1,
            NETWORKDAYS(O18, P18, Holiday_Dates) - IF(O18 = P18, 0, 1)
        )
    )
)</f>
        <v/>
      </c>
      <c r="U18" s="244" t="str">
        <f>IFERROR(
  IF(
    OR(A18="Nueva_Ecija", A18="Zambales"),
    IF(
      OR(ISBLANK(P18), ISBLANK(Q18)),
      "",
      MAX(
        1,
        IF(
          NETWORKDAYS(P18, Q18, Holiday_Dates) &lt;= 0,
          1,
          NETWORKDAYS(P18, Q18, Holiday_Dates) - IF(P18 = Q18, 0, 1)
        )
      )
    ),
    IF(
      OR(ISBLANK(O18), ISBLANK(Q18)),
      "",
      MAX(
        1,
        IF(
          NETWORKDAYS(O18, Q18, Holiday_Dates) &lt;= 0,
          1,
          NETWORKDAYS(O18, Q18, Holiday_Dates) - IF(O18 = Q18, 0, 1)
        )
      )
    )
  ),
  ""
)</f>
        <v/>
      </c>
      <c r="V18" s="244" t="str">
        <f>IFERROR(
    IF(
        OR(ISBLANK(Q18), ISBLANK(R18)),
        "",
        MAX(
            1,
            IF(
                NETWORKDAYS(Q18, R18, Holiday_Dates) &lt;= 0,
                1,
                NETWORKDAYS(Q18, R18, Holiday_Dates) - IF(Q18 = R18, 0, 1)
            )
        )
    ),
    ""
)</f>
        <v/>
      </c>
      <c r="W18" s="9"/>
      <c r="X18" s="9"/>
      <c r="Y18" s="9"/>
      <c r="Z18" s="9"/>
      <c r="AA18" s="9"/>
      <c r="AB18" s="9"/>
      <c r="AC18" s="9"/>
      <c r="AD18" s="9"/>
      <c r="AE18" s="9"/>
      <c r="AF18" s="9"/>
      <c r="AG18" s="9"/>
      <c r="AH18" s="9"/>
      <c r="AI18" s="9"/>
      <c r="AJ18" s="9"/>
      <c r="AK18" s="9"/>
      <c r="AL18" s="9"/>
      <c r="AM18" s="9"/>
    </row>
    <row r="21" spans="1:39">
      <c r="J21" s="38" t="s">
        <v>1054</v>
      </c>
    </row>
  </sheetData>
  <sheetProtection formatCells="0" formatColumns="0" formatRows="0" sort="0" autoFilter="0" pivotTables="0"/>
  <protectedRanges>
    <protectedRange algorithmName="SHA-512" hashValue="f3rx3pMakAvhpF24okgAPygzqsX3skfXhHM03CWkZw1Dd3rIioH7UUxgm/Clqa44+S6emXNmi5B3G17ZEZoK4w==" saltValue="XyhV2G505iWprbx02lE/DA==" spinCount="100000" sqref="I2:I31" name="TARGET_MONTH"/>
    <protectedRange sqref="X2:AM30" name="swm_data_1"/>
    <protectedRange algorithmName="SHA-512" hashValue="ICmu3a2HoLgYwYRe0uX40MKocfjtFdlyqD+UaoHQnkyMiVuHp18zX4Q2RbFaIg9dHS1AHGUMD1tAIPWHwFaqEA==" saltValue="h77g7UAy/Q01NgtxBxV2AQ==" spinCount="100000" sqref="W2:W30" name="planning"/>
    <protectedRange sqref="I2:R30" name="enmo_staff"/>
  </protectedRanges>
  <autoFilter ref="A1:AM18" xr:uid="{61779E6D-B13F-405F-95A7-1A0BDA30A0A0}">
    <sortState xmlns:xlrd2="http://schemas.microsoft.com/office/spreadsheetml/2017/richdata2" ref="A2:AM18">
      <sortCondition ref="I1:I18"/>
    </sortState>
  </autoFilter>
  <conditionalFormatting sqref="C1">
    <cfRule type="duplicateValues" dxfId="0" priority="2"/>
  </conditionalFormatting>
  <dataValidations count="4">
    <dataValidation allowBlank="1" showInputMessage="1" showErrorMessage="1" sqref="A1:AM1" xr:uid="{B1B5DA4F-573A-4578-B923-317CBF814D29}"/>
    <dataValidation type="list" allowBlank="1" showInputMessage="1" showErrorMessage="1" sqref="A1:A1048576" xr:uid="{CB56AEEC-E533-47CA-B4CD-F879A84FD1EE}">
      <formula1>"Aurora, Bataan, Bulacan, Nueva_Ecija, Pampanga, Tarlac, Zambales"</formula1>
    </dataValidation>
    <dataValidation type="list" allowBlank="1" showInputMessage="1" showErrorMessage="1" sqref="J2:K1048576" xr:uid="{98794350-025A-48CC-B860-30CEFABF7A86}">
      <formula1>ENMO</formula1>
    </dataValidation>
    <dataValidation type="list" allowBlank="1" showInputMessage="1" showErrorMessage="1" sqref="L2:L1048576" xr:uid="{FBD78D3A-950C-40C7-A466-54884AD083B0}">
      <formula1>ESWM_FOCAL</formula1>
    </dataValidation>
  </dataValidations>
  <hyperlinks>
    <hyperlink ref="AN2" r:id="rId1" xr:uid="{683167C2-77BA-40D8-9CD0-B7F22EA4DAC7}"/>
    <hyperlink ref="AN3" r:id="rId2" xr:uid="{2AC0534B-1CE9-435D-AE35-4E127C1A6A36}"/>
  </hyperlinks>
  <pageMargins left="0.7" right="0.7" top="0.75" bottom="0.75" header="0.3" footer="0.3"/>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B13CB9D9-FF0C-434E-B6CE-3BECE55E6AFC}">
          <x14:formula1>
            <xm:f>'Data Validation'!$Y$2:$Y$3</xm:f>
          </x14:formula1>
          <xm:sqref>AA1:AA11 AA13:AA18</xm:sqref>
        </x14:dataValidation>
        <x14:dataValidation type="list" allowBlank="1" showInputMessage="1" showErrorMessage="1" xr:uid="{85AACA63-C4F9-4A6E-914C-7A6485666921}">
          <x14:formula1>
            <xm:f>'Data Validation'!$W$2:$W$5</xm:f>
          </x14:formula1>
          <xm:sqref>X1:X18</xm:sqref>
        </x14:dataValidation>
        <x14:dataValidation type="list" allowBlank="1" showInputMessage="1" showErrorMessage="1" xr:uid="{F5F499DA-0A95-4162-BFA9-56167863380A}">
          <x14:formula1>
            <xm:f>'Data Validation'!$X$2:$X$3</xm:f>
          </x14:formula1>
          <xm:sqref>Y1:Y18</xm:sqref>
        </x14:dataValidation>
        <x14:dataValidation type="list" allowBlank="1" showInputMessage="1" showErrorMessage="1" xr:uid="{C8617251-2D2F-40F2-835F-843E295AA90A}">
          <x14:formula1>
            <xm:f>'Data Validation'!$A$13:$A$24</xm:f>
          </x14:formula1>
          <xm:sqref>I2:I18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939A-E595-485C-A666-37EEEC4E4FA5}">
  <sheetPr codeName="Sheet16"/>
  <dimension ref="A1:U21"/>
  <sheetViews>
    <sheetView tabSelected="1" workbookViewId="0">
      <pane xSplit="4" ySplit="1" topLeftCell="E2" activePane="bottomRight" state="frozen"/>
      <selection pane="topRight"/>
      <selection pane="bottomLeft"/>
      <selection pane="bottomRight" activeCell="K27" sqref="K27"/>
    </sheetView>
  </sheetViews>
  <sheetFormatPr defaultRowHeight="15"/>
  <cols>
    <col min="1" max="1" width="14.28515625" customWidth="1"/>
    <col min="2" max="2" width="15.42578125" bestFit="1" customWidth="1"/>
    <col min="3" max="4" width="22.85546875" customWidth="1"/>
    <col min="5" max="5" width="39.7109375" customWidth="1"/>
    <col min="6" max="6" width="15.7109375" bestFit="1" customWidth="1"/>
    <col min="7" max="16" width="15.7109375" customWidth="1"/>
    <col min="17" max="17" width="19.85546875" bestFit="1" customWidth="1"/>
    <col min="18" max="18" width="26.140625" bestFit="1" customWidth="1"/>
    <col min="19" max="19" width="23.140625" bestFit="1" customWidth="1"/>
    <col min="20" max="20" width="33.140625" bestFit="1" customWidth="1"/>
    <col min="21" max="21" width="25.85546875" bestFit="1" customWidth="1"/>
  </cols>
  <sheetData>
    <row r="1" spans="1:21" ht="57">
      <c r="A1" s="393" t="s">
        <v>1</v>
      </c>
      <c r="B1" s="393" t="s">
        <v>105</v>
      </c>
      <c r="C1" s="393" t="s">
        <v>2</v>
      </c>
      <c r="D1" s="393" t="s">
        <v>6330</v>
      </c>
      <c r="E1" s="393" t="s">
        <v>6331</v>
      </c>
      <c r="F1" s="393" t="s">
        <v>91</v>
      </c>
      <c r="G1" s="52" t="s">
        <v>174</v>
      </c>
      <c r="H1" s="52" t="s">
        <v>175</v>
      </c>
      <c r="I1" s="52" t="s">
        <v>176</v>
      </c>
      <c r="J1" s="52" t="s">
        <v>177</v>
      </c>
      <c r="K1" s="52" t="s">
        <v>178</v>
      </c>
      <c r="L1" s="52" t="s">
        <v>179</v>
      </c>
      <c r="M1" s="52" t="s">
        <v>180</v>
      </c>
      <c r="N1" s="52" t="s">
        <v>806</v>
      </c>
      <c r="O1" s="52" t="s">
        <v>182</v>
      </c>
      <c r="P1" s="52" t="s">
        <v>183</v>
      </c>
      <c r="Q1" s="53" t="s">
        <v>916</v>
      </c>
      <c r="R1" s="393" t="s">
        <v>6332</v>
      </c>
      <c r="S1" s="393" t="s">
        <v>6333</v>
      </c>
      <c r="T1" s="393" t="s">
        <v>6334</v>
      </c>
      <c r="U1" s="393" t="s">
        <v>6335</v>
      </c>
    </row>
    <row r="2" spans="1:21">
      <c r="A2" s="1" t="s">
        <v>12</v>
      </c>
      <c r="B2" s="1" t="s">
        <v>6336</v>
      </c>
      <c r="C2" s="1" t="s">
        <v>14</v>
      </c>
      <c r="D2" s="1"/>
      <c r="E2" s="1" t="s">
        <v>128</v>
      </c>
      <c r="F2" s="1" t="s">
        <v>92</v>
      </c>
      <c r="G2" s="1" t="s">
        <v>6337</v>
      </c>
      <c r="H2" s="452">
        <v>46036</v>
      </c>
      <c r="I2" s="452">
        <v>46042</v>
      </c>
      <c r="J2" s="452">
        <v>46042</v>
      </c>
      <c r="K2" s="452">
        <v>46043</v>
      </c>
      <c r="L2" s="452">
        <v>46043</v>
      </c>
      <c r="M2" s="1"/>
      <c r="N2" s="1"/>
      <c r="O2" s="1"/>
      <c r="P2" s="1"/>
      <c r="Q2" s="1" t="s">
        <v>929</v>
      </c>
      <c r="R2" s="1"/>
      <c r="S2" s="1"/>
      <c r="T2" s="1"/>
      <c r="U2" s="1"/>
    </row>
    <row r="3" spans="1:21">
      <c r="A3" s="1" t="s">
        <v>12</v>
      </c>
      <c r="B3" s="1" t="s">
        <v>6338</v>
      </c>
      <c r="C3" s="1" t="s">
        <v>372</v>
      </c>
      <c r="D3" s="1"/>
      <c r="E3" s="1" t="s">
        <v>128</v>
      </c>
      <c r="F3" s="1" t="s">
        <v>92</v>
      </c>
      <c r="G3" s="1" t="s">
        <v>6339</v>
      </c>
      <c r="H3" s="452">
        <v>46037</v>
      </c>
      <c r="I3" s="452">
        <v>46041</v>
      </c>
      <c r="J3" s="452">
        <v>46042</v>
      </c>
      <c r="K3" s="452">
        <v>46043</v>
      </c>
      <c r="L3" s="452">
        <v>46043</v>
      </c>
      <c r="M3" s="1"/>
      <c r="N3" s="1"/>
      <c r="O3" s="1"/>
      <c r="P3" s="1"/>
      <c r="Q3" s="1" t="s">
        <v>929</v>
      </c>
      <c r="R3" s="1"/>
      <c r="S3" s="1"/>
      <c r="T3" s="1"/>
      <c r="U3" s="1"/>
    </row>
    <row r="4" spans="1:21">
      <c r="A4" s="1" t="s">
        <v>16</v>
      </c>
      <c r="B4" s="1" t="s">
        <v>6340</v>
      </c>
      <c r="C4" s="1" t="s">
        <v>273</v>
      </c>
      <c r="D4" s="1"/>
      <c r="E4" s="1" t="s">
        <v>129</v>
      </c>
      <c r="F4" s="1" t="s">
        <v>92</v>
      </c>
      <c r="G4" s="1" t="s">
        <v>6341</v>
      </c>
      <c r="H4" s="452">
        <v>46043</v>
      </c>
      <c r="I4" s="452">
        <v>46043</v>
      </c>
      <c r="J4" s="393"/>
      <c r="K4" s="452">
        <v>46043</v>
      </c>
      <c r="L4" s="452">
        <v>46044</v>
      </c>
      <c r="M4" s="1"/>
      <c r="N4" s="1"/>
      <c r="O4" s="1"/>
      <c r="P4" s="1"/>
      <c r="Q4" s="1" t="s">
        <v>929</v>
      </c>
      <c r="R4" s="1"/>
      <c r="S4" s="1"/>
      <c r="T4" s="1"/>
      <c r="U4" s="1"/>
    </row>
    <row r="5" spans="1:21">
      <c r="A5" s="1" t="s">
        <v>36</v>
      </c>
      <c r="B5" s="1" t="s">
        <v>6342</v>
      </c>
      <c r="C5" s="1" t="s">
        <v>37</v>
      </c>
      <c r="D5" s="1"/>
      <c r="E5" s="1" t="s">
        <v>28</v>
      </c>
      <c r="F5" s="1" t="s">
        <v>92</v>
      </c>
      <c r="G5" s="1" t="s">
        <v>6343</v>
      </c>
      <c r="H5" s="452">
        <v>46042</v>
      </c>
      <c r="I5" s="452">
        <v>46042</v>
      </c>
      <c r="J5" s="452">
        <v>46042</v>
      </c>
      <c r="K5" s="452">
        <v>46042</v>
      </c>
      <c r="L5" s="452">
        <v>46042</v>
      </c>
      <c r="M5" s="1"/>
      <c r="N5" s="1"/>
      <c r="O5" s="1"/>
      <c r="P5" s="1"/>
      <c r="Q5" s="1" t="s">
        <v>929</v>
      </c>
      <c r="R5" s="1"/>
      <c r="S5" s="449">
        <v>71428</v>
      </c>
      <c r="T5" s="1"/>
      <c r="U5" s="1"/>
    </row>
    <row r="6" spans="1:21">
      <c r="A6" s="1" t="s">
        <v>40</v>
      </c>
      <c r="B6" s="1" t="s">
        <v>6344</v>
      </c>
      <c r="C6" s="1" t="s">
        <v>41</v>
      </c>
      <c r="D6" s="1"/>
      <c r="E6" s="1" t="s">
        <v>133</v>
      </c>
      <c r="F6" s="1" t="s">
        <v>92</v>
      </c>
      <c r="G6" s="1" t="s">
        <v>6345</v>
      </c>
      <c r="H6" s="452">
        <v>46036</v>
      </c>
      <c r="I6" s="452">
        <v>46040</v>
      </c>
      <c r="J6" s="452"/>
      <c r="K6" s="452">
        <v>46041</v>
      </c>
      <c r="L6" s="452">
        <v>46041</v>
      </c>
      <c r="M6" s="1"/>
      <c r="N6" s="1"/>
      <c r="O6" s="1"/>
      <c r="P6" s="1"/>
      <c r="Q6" s="1" t="s">
        <v>929</v>
      </c>
      <c r="R6" s="1"/>
      <c r="S6" s="1"/>
      <c r="T6" s="1"/>
      <c r="U6" s="1"/>
    </row>
    <row r="7" spans="1:21">
      <c r="A7" s="1" t="s">
        <v>12</v>
      </c>
      <c r="B7" s="1" t="s">
        <v>1119</v>
      </c>
      <c r="C7" s="1" t="s">
        <v>14</v>
      </c>
      <c r="D7" s="1"/>
      <c r="E7" s="1" t="s">
        <v>128</v>
      </c>
      <c r="F7" s="1" t="s">
        <v>137</v>
      </c>
      <c r="G7" s="1"/>
      <c r="H7" s="1"/>
      <c r="I7" s="1"/>
      <c r="J7" s="1"/>
      <c r="K7" s="1"/>
      <c r="L7" s="1"/>
      <c r="M7" s="1"/>
      <c r="N7" s="1"/>
      <c r="O7" s="1"/>
      <c r="P7" s="1"/>
      <c r="Q7" s="1"/>
      <c r="R7" s="1"/>
      <c r="S7" s="1"/>
      <c r="T7" s="1"/>
      <c r="U7" s="1"/>
    </row>
    <row r="8" spans="1:21">
      <c r="A8" s="1" t="s">
        <v>12</v>
      </c>
      <c r="B8" s="1" t="s">
        <v>6346</v>
      </c>
      <c r="C8" s="1" t="s">
        <v>372</v>
      </c>
      <c r="D8" s="1"/>
      <c r="E8" s="1" t="s">
        <v>128</v>
      </c>
      <c r="F8" s="1" t="s">
        <v>137</v>
      </c>
      <c r="G8" s="1"/>
      <c r="H8" s="1"/>
      <c r="I8" s="1"/>
      <c r="J8" s="1"/>
      <c r="K8" s="1"/>
      <c r="L8" s="1"/>
      <c r="M8" s="1"/>
      <c r="N8" s="1"/>
      <c r="O8" s="1"/>
      <c r="P8" s="1"/>
      <c r="Q8" s="1"/>
      <c r="R8" s="1"/>
      <c r="S8" s="1"/>
      <c r="T8" s="1"/>
      <c r="U8" s="1"/>
    </row>
    <row r="9" spans="1:21">
      <c r="A9" s="1" t="s">
        <v>25</v>
      </c>
      <c r="B9" s="1" t="s">
        <v>6347</v>
      </c>
      <c r="C9" s="1" t="s">
        <v>26</v>
      </c>
      <c r="D9" s="1"/>
      <c r="E9" s="1" t="s">
        <v>130</v>
      </c>
      <c r="F9" s="1" t="s">
        <v>137</v>
      </c>
      <c r="G9" s="1"/>
      <c r="H9" s="1"/>
      <c r="I9" s="1"/>
      <c r="J9" s="1"/>
      <c r="K9" s="1"/>
      <c r="L9" s="1"/>
      <c r="M9" s="1"/>
      <c r="N9" s="1"/>
      <c r="O9" s="1"/>
      <c r="P9" s="1"/>
      <c r="Q9" s="1"/>
      <c r="R9" s="1"/>
      <c r="S9" s="1"/>
      <c r="T9" s="1"/>
      <c r="U9" s="1"/>
    </row>
    <row r="10" spans="1:21">
      <c r="A10" s="1" t="s">
        <v>36</v>
      </c>
      <c r="B10" s="1" t="s">
        <v>6348</v>
      </c>
      <c r="C10" s="1" t="s">
        <v>39</v>
      </c>
      <c r="D10" s="1"/>
      <c r="E10" s="1" t="s">
        <v>28</v>
      </c>
      <c r="F10" s="1" t="s">
        <v>137</v>
      </c>
      <c r="G10" s="1"/>
      <c r="H10" s="1"/>
      <c r="I10" s="1"/>
      <c r="J10" s="1"/>
      <c r="K10" s="1"/>
      <c r="L10" s="1"/>
      <c r="M10" s="1"/>
      <c r="N10" s="1"/>
      <c r="O10" s="1"/>
      <c r="P10" s="1"/>
      <c r="Q10" s="1"/>
      <c r="R10" s="1"/>
      <c r="S10" s="1"/>
      <c r="T10" s="1"/>
      <c r="U10" s="1"/>
    </row>
    <row r="11" spans="1:21">
      <c r="A11" s="1" t="s">
        <v>40</v>
      </c>
      <c r="B11" s="1" t="s">
        <v>6349</v>
      </c>
      <c r="C11" s="1" t="s">
        <v>41</v>
      </c>
      <c r="D11" s="1"/>
      <c r="E11" s="1" t="s">
        <v>133</v>
      </c>
      <c r="F11" s="1" t="s">
        <v>137</v>
      </c>
      <c r="G11" s="1"/>
      <c r="H11" s="1"/>
      <c r="I11" s="1"/>
      <c r="J11" s="1"/>
      <c r="K11" s="1"/>
      <c r="L11" s="1"/>
      <c r="M11" s="1"/>
      <c r="N11" s="1"/>
      <c r="O11" s="1"/>
      <c r="P11" s="1"/>
      <c r="Q11" s="1"/>
      <c r="R11" s="1"/>
      <c r="S11" s="1"/>
      <c r="T11" s="1"/>
      <c r="U11" s="1"/>
    </row>
    <row r="12" spans="1:21">
      <c r="A12" s="1" t="s">
        <v>12</v>
      </c>
      <c r="B12" s="1" t="s">
        <v>1113</v>
      </c>
      <c r="C12" s="1" t="s">
        <v>335</v>
      </c>
      <c r="D12" s="1"/>
      <c r="E12" s="1" t="s">
        <v>128</v>
      </c>
      <c r="F12" s="1" t="s">
        <v>6350</v>
      </c>
      <c r="G12" s="1"/>
      <c r="H12" s="1"/>
      <c r="I12" s="1"/>
      <c r="J12" s="1"/>
      <c r="K12" s="1"/>
      <c r="L12" s="1"/>
      <c r="M12" s="1"/>
      <c r="N12" s="1"/>
      <c r="O12" s="1"/>
      <c r="P12" s="1"/>
      <c r="Q12" s="1"/>
      <c r="R12" s="1"/>
      <c r="S12" s="1"/>
      <c r="T12" s="1"/>
      <c r="U12" s="1"/>
    </row>
    <row r="13" spans="1:21">
      <c r="A13" s="1" t="s">
        <v>16</v>
      </c>
      <c r="B13" s="1" t="s">
        <v>6351</v>
      </c>
      <c r="C13" s="1" t="s">
        <v>19</v>
      </c>
      <c r="D13" s="1"/>
      <c r="E13" s="1" t="s">
        <v>129</v>
      </c>
      <c r="F13" s="1" t="s">
        <v>6350</v>
      </c>
      <c r="G13" s="1"/>
      <c r="H13" s="1"/>
      <c r="I13" s="1"/>
      <c r="J13" s="1"/>
      <c r="K13" s="1"/>
      <c r="L13" s="1"/>
      <c r="M13" s="1"/>
      <c r="N13" s="1"/>
      <c r="O13" s="1"/>
      <c r="P13" s="1"/>
      <c r="Q13" s="1"/>
      <c r="R13" s="1"/>
      <c r="S13" s="1"/>
      <c r="T13" s="1"/>
      <c r="U13" s="1"/>
    </row>
    <row r="14" spans="1:21">
      <c r="A14" s="1" t="s">
        <v>25</v>
      </c>
      <c r="B14" s="1" t="s">
        <v>6352</v>
      </c>
      <c r="C14" s="1" t="s">
        <v>26</v>
      </c>
      <c r="D14" s="1"/>
      <c r="E14" s="1" t="s">
        <v>130</v>
      </c>
      <c r="F14" s="1" t="s">
        <v>6350</v>
      </c>
      <c r="G14" s="1"/>
      <c r="H14" s="1"/>
      <c r="I14" s="1"/>
      <c r="J14" s="1"/>
      <c r="K14" s="1"/>
      <c r="L14" s="1"/>
      <c r="M14" s="1"/>
      <c r="N14" s="1"/>
      <c r="O14" s="1"/>
      <c r="P14" s="1"/>
      <c r="Q14" s="1"/>
      <c r="R14" s="1"/>
      <c r="S14" s="1"/>
      <c r="T14" s="1"/>
      <c r="U14" s="1"/>
    </row>
    <row r="15" spans="1:21">
      <c r="A15" s="1" t="s">
        <v>36</v>
      </c>
      <c r="B15" s="1" t="s">
        <v>6353</v>
      </c>
      <c r="C15" s="1" t="s">
        <v>39</v>
      </c>
      <c r="D15" s="1"/>
      <c r="E15" s="1" t="s">
        <v>28</v>
      </c>
      <c r="F15" s="1" t="s">
        <v>6350</v>
      </c>
      <c r="G15" s="1"/>
      <c r="H15" s="1"/>
      <c r="I15" s="1"/>
      <c r="J15" s="1"/>
      <c r="K15" s="1"/>
      <c r="L15" s="1"/>
      <c r="M15" s="1"/>
      <c r="N15" s="1"/>
      <c r="O15" s="1"/>
      <c r="P15" s="1"/>
      <c r="Q15" s="1"/>
      <c r="R15" s="1"/>
      <c r="S15" s="1"/>
      <c r="T15" s="1"/>
      <c r="U15" s="1"/>
    </row>
    <row r="16" spans="1:21">
      <c r="A16" s="1" t="s">
        <v>40</v>
      </c>
      <c r="B16" s="1" t="s">
        <v>6354</v>
      </c>
      <c r="C16" s="1" t="s">
        <v>377</v>
      </c>
      <c r="D16" s="1"/>
      <c r="E16" s="1" t="s">
        <v>133</v>
      </c>
      <c r="F16" s="1" t="s">
        <v>6350</v>
      </c>
      <c r="G16" s="1"/>
      <c r="H16" s="1"/>
      <c r="I16" s="1"/>
      <c r="J16" s="1"/>
      <c r="K16" s="1"/>
      <c r="L16" s="1"/>
      <c r="M16" s="1"/>
      <c r="N16" s="1"/>
      <c r="O16" s="1"/>
      <c r="P16" s="1"/>
      <c r="Q16" s="1"/>
      <c r="R16" s="1"/>
      <c r="S16" s="1"/>
      <c r="T16" s="1"/>
      <c r="U16" s="1"/>
    </row>
    <row r="17" spans="1:21">
      <c r="A17" s="1" t="s">
        <v>16</v>
      </c>
      <c r="B17" s="1" t="s">
        <v>6355</v>
      </c>
      <c r="C17" s="1" t="s">
        <v>217</v>
      </c>
      <c r="D17" s="1"/>
      <c r="E17" s="1" t="s">
        <v>129</v>
      </c>
      <c r="F17" s="1" t="s">
        <v>6356</v>
      </c>
      <c r="G17" s="1"/>
      <c r="H17" s="1"/>
      <c r="I17" s="1"/>
      <c r="J17" s="1"/>
      <c r="K17" s="1"/>
      <c r="L17" s="1"/>
      <c r="M17" s="1"/>
      <c r="N17" s="1"/>
      <c r="O17" s="1"/>
      <c r="P17" s="1"/>
      <c r="Q17" s="1"/>
      <c r="R17" s="1"/>
      <c r="S17" s="1"/>
      <c r="T17" s="1"/>
      <c r="U17" s="1"/>
    </row>
    <row r="18" spans="1:21">
      <c r="A18" s="1" t="s">
        <v>25</v>
      </c>
      <c r="B18" s="1" t="s">
        <v>6357</v>
      </c>
      <c r="C18" s="1" t="s">
        <v>26</v>
      </c>
      <c r="D18" s="1"/>
      <c r="E18" s="1" t="s">
        <v>130</v>
      </c>
      <c r="F18" s="1" t="s">
        <v>6356</v>
      </c>
      <c r="G18" s="1"/>
      <c r="H18" s="1"/>
      <c r="I18" s="1"/>
      <c r="J18" s="1"/>
      <c r="K18" s="1"/>
      <c r="L18" s="1"/>
      <c r="M18" s="1"/>
      <c r="N18" s="1"/>
      <c r="O18" s="1"/>
      <c r="P18" s="1"/>
      <c r="Q18" s="1"/>
      <c r="R18" s="1"/>
      <c r="S18" s="1"/>
      <c r="T18" s="1"/>
      <c r="U18" s="1"/>
    </row>
    <row r="19" spans="1:21">
      <c r="A19" s="1" t="s">
        <v>36</v>
      </c>
      <c r="B19" s="1" t="s">
        <v>6358</v>
      </c>
      <c r="C19" s="1" t="s">
        <v>37</v>
      </c>
      <c r="D19" s="1"/>
      <c r="E19" s="1" t="s">
        <v>28</v>
      </c>
      <c r="F19" s="1" t="s">
        <v>6356</v>
      </c>
      <c r="G19" s="1"/>
      <c r="H19" s="1"/>
      <c r="I19" s="1"/>
      <c r="J19" s="1"/>
      <c r="K19" s="1"/>
      <c r="L19" s="1"/>
      <c r="M19" s="1"/>
      <c r="N19" s="1"/>
      <c r="O19" s="1"/>
      <c r="P19" s="1"/>
      <c r="Q19" s="1"/>
      <c r="R19" s="1"/>
      <c r="S19" s="1"/>
      <c r="T19" s="1"/>
      <c r="U19" s="1"/>
    </row>
    <row r="20" spans="1:21">
      <c r="A20" s="1" t="s">
        <v>36</v>
      </c>
      <c r="B20" s="1" t="s">
        <v>6359</v>
      </c>
      <c r="C20" s="1" t="s">
        <v>39</v>
      </c>
      <c r="D20" s="1"/>
      <c r="E20" s="1" t="s">
        <v>28</v>
      </c>
      <c r="F20" s="1" t="s">
        <v>6356</v>
      </c>
      <c r="G20" s="1"/>
      <c r="H20" s="1"/>
      <c r="I20" s="1"/>
      <c r="J20" s="1"/>
      <c r="K20" s="1"/>
      <c r="L20" s="1"/>
      <c r="M20" s="1"/>
      <c r="N20" s="1"/>
      <c r="O20" s="1"/>
      <c r="P20" s="1"/>
      <c r="Q20" s="1"/>
      <c r="R20" s="1"/>
      <c r="S20" s="1"/>
      <c r="T20" s="1"/>
      <c r="U20" s="1"/>
    </row>
    <row r="21" spans="1:21">
      <c r="A21" s="1" t="s">
        <v>40</v>
      </c>
      <c r="B21" s="1" t="s">
        <v>6360</v>
      </c>
      <c r="C21" s="1" t="s">
        <v>377</v>
      </c>
      <c r="D21" s="1"/>
      <c r="E21" s="1" t="s">
        <v>133</v>
      </c>
      <c r="F21" s="1" t="s">
        <v>6356</v>
      </c>
      <c r="G21" s="1"/>
      <c r="H21" s="1"/>
      <c r="I21" s="1"/>
      <c r="J21" s="1"/>
      <c r="K21" s="1"/>
      <c r="L21" s="1"/>
      <c r="M21" s="1"/>
      <c r="N21" s="1"/>
      <c r="O21" s="1"/>
      <c r="P21" s="1"/>
      <c r="Q21" s="1"/>
      <c r="R21" s="1"/>
      <c r="S21" s="1"/>
      <c r="T21" s="1"/>
      <c r="U21" s="1"/>
    </row>
  </sheetData>
  <sheetProtection formatColumns="0" formatRows="0" sort="0" autoFilter="0" pivotTables="0"/>
  <protectedRanges>
    <protectedRange algorithmName="SHA-512" hashValue="nPi+quWJUhLp6kd7p2MR49syM32cuTX8zRRAJ9w8jOxubMp9FVYO+FUxP2j/Dm8jy604vAJm+SganYsC0gGloQ==" saltValue="mV514VJlmPT5Ucqe5qYBvg==" spinCount="100000" sqref="F2:F31" name="TARGET_MONTH"/>
    <protectedRange sqref="R2:U50" name="swm_data_1"/>
    <protectedRange algorithmName="SHA-512" hashValue="xFiJjKqXF3/9AOmJB+LJbcYu90q9t96OBojc73Uy7w3zeshhC5mQR7GO/HKnToUbAd3FMXXQZY7xcEVGRaXUxQ==" saltValue="FfRFwXScJi8tGNE44NI8uA==" spinCount="100000" sqref="Q2:Q50" name="planning"/>
    <protectedRange sqref="G5:L50" name="monitoring"/>
  </protectedRanges>
  <autoFilter ref="A1:U1" xr:uid="{C2FE939A-E595-485C-A666-37EEEC4E4FA5}"/>
  <dataValidations count="2">
    <dataValidation type="list" allowBlank="1" showInputMessage="1" showErrorMessage="1" sqref="C2:D1048576" xr:uid="{E653BDD0-B935-4A05-822C-B63FF5BAA3B8}">
      <formula1>ENMO</formula1>
    </dataValidation>
    <dataValidation type="list" allowBlank="1" showInputMessage="1" showErrorMessage="1" sqref="E2:E1048576" xr:uid="{524DE92F-4530-4EDA-80CA-E772AF639B1C}">
      <formula1>ESWM_FOCAL</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4912-0608-4A79-B9DA-8695B34422D7}">
  <sheetPr codeName="Sheet22"/>
  <dimension ref="A1:AF157"/>
  <sheetViews>
    <sheetView topLeftCell="P113" workbookViewId="0">
      <selection activeCell="AA140" sqref="AA140"/>
    </sheetView>
  </sheetViews>
  <sheetFormatPr defaultColWidth="9.140625" defaultRowHeight="15"/>
  <cols>
    <col min="1" max="1" width="25.5703125" customWidth="1"/>
    <col min="2" max="16" width="15.7109375" customWidth="1"/>
    <col min="19" max="19" width="17.7109375" customWidth="1"/>
    <col min="20" max="20" width="24.28515625" customWidth="1"/>
    <col min="21" max="31" width="17.7109375" customWidth="1"/>
  </cols>
  <sheetData>
    <row r="1" spans="1:32" ht="15" customHeight="1">
      <c r="A1" s="684" t="s">
        <v>6361</v>
      </c>
      <c r="B1" s="684"/>
      <c r="C1" s="684"/>
      <c r="D1" s="684"/>
      <c r="E1" s="684"/>
      <c r="F1" s="684"/>
      <c r="G1" s="684"/>
      <c r="H1" s="684"/>
      <c r="I1" s="684"/>
      <c r="J1" s="684"/>
      <c r="K1" s="684"/>
      <c r="L1" s="684"/>
      <c r="M1" s="684"/>
      <c r="N1" s="684"/>
      <c r="O1" s="684"/>
      <c r="P1" s="684"/>
      <c r="S1" s="649" t="s">
        <v>1</v>
      </c>
      <c r="T1" s="649" t="s">
        <v>6362</v>
      </c>
      <c r="U1" s="649" t="s">
        <v>6363</v>
      </c>
      <c r="V1" s="649" t="s">
        <v>6364</v>
      </c>
      <c r="W1" s="649" t="s">
        <v>7</v>
      </c>
      <c r="X1" s="649" t="s">
        <v>6365</v>
      </c>
      <c r="Y1" s="649" t="s">
        <v>6</v>
      </c>
      <c r="Z1" s="649" t="s">
        <v>6366</v>
      </c>
      <c r="AA1" s="649" t="s">
        <v>6367</v>
      </c>
      <c r="AB1" s="649" t="s">
        <v>97</v>
      </c>
      <c r="AC1" s="649" t="s">
        <v>96</v>
      </c>
      <c r="AD1" s="649" t="s">
        <v>9</v>
      </c>
      <c r="AE1" s="649" t="s">
        <v>98</v>
      </c>
      <c r="AF1" s="648"/>
    </row>
    <row r="2" spans="1:32" ht="15" customHeight="1">
      <c r="A2" s="684"/>
      <c r="B2" s="684"/>
      <c r="C2" s="684"/>
      <c r="D2" s="684"/>
      <c r="E2" s="684"/>
      <c r="F2" s="684"/>
      <c r="G2" s="684"/>
      <c r="H2" s="684"/>
      <c r="I2" s="684"/>
      <c r="J2" s="684"/>
      <c r="K2" s="684"/>
      <c r="L2" s="684"/>
      <c r="M2" s="684"/>
      <c r="N2" s="684"/>
      <c r="O2" s="684"/>
      <c r="P2" s="684"/>
      <c r="S2" s="681" t="s">
        <v>47</v>
      </c>
      <c r="T2" s="660" t="s">
        <v>6368</v>
      </c>
      <c r="U2" s="660">
        <f>SUM(U3:U10)</f>
        <v>1</v>
      </c>
      <c r="V2" s="660">
        <f t="shared" ref="V2:AD2" si="0">SUM(V3:V10)</f>
        <v>2</v>
      </c>
      <c r="W2" s="660">
        <f t="shared" si="0"/>
        <v>0</v>
      </c>
      <c r="X2" s="660">
        <f t="shared" si="0"/>
        <v>1</v>
      </c>
      <c r="Y2" s="660">
        <f t="shared" si="0"/>
        <v>0</v>
      </c>
      <c r="Z2" s="660">
        <f t="shared" si="0"/>
        <v>0</v>
      </c>
      <c r="AA2" s="660">
        <f t="shared" si="0"/>
        <v>3</v>
      </c>
      <c r="AB2" s="660">
        <f t="shared" si="0"/>
        <v>0</v>
      </c>
      <c r="AC2" s="660">
        <f t="shared" si="0"/>
        <v>0</v>
      </c>
      <c r="AD2" s="660">
        <f t="shared" si="0"/>
        <v>1</v>
      </c>
      <c r="AE2" s="660">
        <f>SUM(AE3:AE10)</f>
        <v>0</v>
      </c>
    </row>
    <row r="3" spans="1:32" ht="15.75">
      <c r="A3" s="437" t="s">
        <v>6369</v>
      </c>
      <c r="B3" s="437" t="s">
        <v>74</v>
      </c>
      <c r="C3" s="437" t="s">
        <v>75</v>
      </c>
      <c r="D3" s="437" t="s">
        <v>76</v>
      </c>
      <c r="E3" s="437" t="s">
        <v>77</v>
      </c>
      <c r="F3" s="437" t="s">
        <v>78</v>
      </c>
      <c r="G3" s="437" t="s">
        <v>79</v>
      </c>
      <c r="H3" s="437" t="s">
        <v>6370</v>
      </c>
      <c r="I3" s="437" t="s">
        <v>80</v>
      </c>
      <c r="J3" s="437" t="s">
        <v>81</v>
      </c>
      <c r="K3" s="437" t="s">
        <v>82</v>
      </c>
      <c r="L3" s="437" t="s">
        <v>83</v>
      </c>
      <c r="M3" s="437" t="s">
        <v>84</v>
      </c>
      <c r="N3" s="437" t="s">
        <v>85</v>
      </c>
      <c r="O3" s="437" t="s">
        <v>6371</v>
      </c>
      <c r="P3" s="437" t="s">
        <v>6372</v>
      </c>
      <c r="S3" s="682"/>
      <c r="T3" s="650" t="s">
        <v>1432</v>
      </c>
      <c r="U3" s="393">
        <f>COUNTIFS('10-YEAR SWM PLAN'!$A:$A, "Aurora", '10-YEAR SWM PLAN'!$B:$B, "*Baler*", '10-YEAR SWM PLAN'!$AC:$AC, "&lt;&gt;")</f>
        <v>0</v>
      </c>
      <c r="V3" s="393">
        <f>COUNTIFS('FUNDED MRF'!$A:$A, "Aurora", 'FUNDED MRF'!$B:$B, "*Baler*", 'FUNDED MRF'!$AA:$AA, "&lt;&gt;")</f>
        <v>1</v>
      </c>
      <c r="W3" s="393">
        <f>COUNTIFS(SLF!$A:$A, "Aurora", SLF!$B:$B, "*Baler*", SLF!$AF:$AF, "&lt;&gt;")</f>
        <v>0</v>
      </c>
      <c r="X3" s="393">
        <f>COUNTIFS(EQUIPMENT!$A:$A, "Aurora", EQUIPMENT!$B:$B, "*Baler*", EQUIPMENT!$X:$X, "&lt;&gt;")</f>
        <v>0</v>
      </c>
      <c r="Y3" s="393" t="s">
        <v>6373</v>
      </c>
      <c r="Z3" s="393">
        <f>COUNTIFS('TECHNICAL ASSISTANCE TO BRGY.'!$A:$A, "Aurora", 'TECHNICAL ASSISTANCE TO BRGY.'!$B:$B, "*Baler*", 'TECHNICAL ASSISTANCE TO BRGY.'!$T:$T, "&lt;&gt;")</f>
        <v>0</v>
      </c>
      <c r="AA3" s="393">
        <f>COUNTIFS('LGU ASST. &amp; WASTE DIVERSION REC'!$A:$A, "AURORA", 'LGU ASST. &amp; WASTE DIVERSION REC'!$B:$B, "*BALER*", 'LGU ASST. &amp; WASTE DIVERSION REC'!$Q:$Q, "&lt;&gt;")</f>
        <v>1</v>
      </c>
      <c r="AB3" s="393" t="s">
        <v>6373</v>
      </c>
      <c r="AC3" s="393">
        <f>COUNTIFS(PDS!$A:$A, "Aurora", PDS!$B:$B, "*Baler*", PDS!$AD:$AD, "&lt;&gt;")</f>
        <v>0</v>
      </c>
      <c r="AD3" s="393">
        <f>COUNTIFS(RCA!$A:$A, "Aurora", RCA!$B:$B, "*Baler*", RCA!$W:$W, "&lt;&gt;")</f>
        <v>1</v>
      </c>
      <c r="AE3" s="393" t="s">
        <v>6373</v>
      </c>
    </row>
    <row r="4" spans="1:32" ht="15.75">
      <c r="A4" s="440" t="s">
        <v>6374</v>
      </c>
      <c r="B4" s="439">
        <f>SUM(B5:B6)</f>
        <v>6</v>
      </c>
      <c r="C4" s="439">
        <f t="shared" ref="C4:G4" si="1">SUM(C5:C6)</f>
        <v>13</v>
      </c>
      <c r="D4" s="439">
        <f t="shared" si="1"/>
        <v>1</v>
      </c>
      <c r="E4" s="439">
        <f t="shared" si="1"/>
        <v>0</v>
      </c>
      <c r="F4" s="439">
        <f t="shared" si="1"/>
        <v>0</v>
      </c>
      <c r="G4" s="439">
        <f t="shared" si="1"/>
        <v>0</v>
      </c>
      <c r="H4" s="439">
        <f t="shared" ref="H4" si="2">SUM(H5:H6)</f>
        <v>20</v>
      </c>
      <c r="I4" s="439">
        <f t="shared" ref="I4" si="3">SUM(I5:I6)</f>
        <v>0</v>
      </c>
      <c r="J4" s="439">
        <f t="shared" ref="J4" si="4">SUM(J5:J6)</f>
        <v>0</v>
      </c>
      <c r="K4" s="439">
        <f t="shared" ref="K4" si="5">SUM(K5:K6)</f>
        <v>0</v>
      </c>
      <c r="L4" s="439">
        <f t="shared" ref="L4" si="6">SUM(L5:L6)</f>
        <v>0</v>
      </c>
      <c r="M4" s="439">
        <f t="shared" ref="M4" si="7">SUM(M5:M6)</f>
        <v>0</v>
      </c>
      <c r="N4" s="439">
        <f t="shared" ref="N4:O4" si="8">SUM(N5:N6)</f>
        <v>0</v>
      </c>
      <c r="O4" s="439">
        <f t="shared" si="8"/>
        <v>0</v>
      </c>
      <c r="P4" s="439">
        <f>SUM(O4,H4)</f>
        <v>20</v>
      </c>
      <c r="S4" s="682"/>
      <c r="T4" s="650" t="s">
        <v>334</v>
      </c>
      <c r="U4" s="393">
        <f>COUNTIFS('10-YEAR SWM PLAN'!$A:$A, "Aurora", '10-YEAR SWM PLAN'!$B:$B, "Casiguran", '10-YEAR SWM PLAN'!$AC:$AC, "&lt;&gt;")</f>
        <v>0</v>
      </c>
      <c r="V4" s="393">
        <f>COUNTIFS('FUNDED MRF'!$A:$A, "Aurora", 'FUNDED MRF'!$B:$B, "*Casi*", 'FUNDED MRF'!$AA:$AA, "&lt;&gt;")</f>
        <v>0</v>
      </c>
      <c r="W4" s="393">
        <f>COUNTIFS(SLF!$A:$A, "Aurora", SLF!$B:$B, "*casi*", SLF!$AF:$AF, "&lt;&gt;")</f>
        <v>0</v>
      </c>
      <c r="X4" s="393">
        <f>COUNTIFS(EQUIPMENT!$A:$A, "Aurora", EQUIPMENT!$B:$B, "*casi*", EQUIPMENT!$X:$X, "&lt;&gt;")</f>
        <v>0</v>
      </c>
      <c r="Y4" s="393" t="s">
        <v>6373</v>
      </c>
      <c r="Z4" s="393">
        <f>COUNTIFS('TECHNICAL ASSISTANCE TO BRGY.'!$A:$A, "Aurora", 'TECHNICAL ASSISTANCE TO BRGY.'!$B:$B, "*Casiguran*", 'TECHNICAL ASSISTANCE TO BRGY.'!$T:$T, "&lt;&gt;")</f>
        <v>0</v>
      </c>
      <c r="AA4" s="393">
        <f>COUNTIFS('LGU ASST. &amp; WASTE DIVERSION REC'!$A:$A, "AURORA", 'LGU ASST. &amp; WASTE DIVERSION REC'!$B:$B, "*CASIG*", 'LGU ASST. &amp; WASTE DIVERSION REC'!$Q:$Q, "&lt;&gt;")</f>
        <v>0</v>
      </c>
      <c r="AB4" s="393" t="s">
        <v>6373</v>
      </c>
      <c r="AC4" s="393">
        <f>COUNTIFS(PDS!$A:$A, "Aurora", PDS!$B:$B, "*Casiguran*", PDS!$AD:$AD, "&lt;&gt;")</f>
        <v>0</v>
      </c>
      <c r="AD4" s="393">
        <f>COUNTIFS(RCA!$A:$A, "Aurora", RCA!$B:$B, "*Casi*", RCA!$W:$W, "&lt;&gt;")</f>
        <v>0</v>
      </c>
      <c r="AE4" s="393" t="s">
        <v>6373</v>
      </c>
    </row>
    <row r="5" spans="1:32" ht="15.75">
      <c r="A5" s="438" t="s">
        <v>6375</v>
      </c>
      <c r="B5" s="393">
        <f>COUNTIFS('10-YEAR SWM PLAN'!$S:$S, "&lt;&gt;", '10-YEAR SWM PLAN'!$AC:$AC, "&lt;&gt;", '10-YEAR SWM PLAN'!$R:$R, "1.January", '10-YEAR SWM PLAN'!$D:$D, "MBA")</f>
        <v>5</v>
      </c>
      <c r="C5" s="393">
        <f>COUNTIFS('10-YEAR SWM PLAN'!$S:$S, "&lt;&gt;", '10-YEAR SWM PLAN'!$AC:$AC, "&lt;&gt;", '10-YEAR SWM PLAN'!$R:$R, "2.February", '10-YEAR SWM PLAN'!$D:$D, "MBA")</f>
        <v>10</v>
      </c>
      <c r="D5" s="393">
        <f>COUNTIFS('10-YEAR SWM PLAN'!$S:$S, "&lt;&gt;", '10-YEAR SWM PLAN'!$AC:$AC, "&lt;&gt;", '10-YEAR SWM PLAN'!$R:$R, "3.March", '10-YEAR SWM PLAN'!$D:$D, "MBA")</f>
        <v>1</v>
      </c>
      <c r="E5" s="393">
        <f>COUNTIFS('10-YEAR SWM PLAN'!$S:$S, "&lt;&gt;", '10-YEAR SWM PLAN'!$AC:$AC, "&lt;&gt;", '10-YEAR SWM PLAN'!$R:$R, "4.April", '10-YEAR SWM PLAN'!$D:$D, "MBA")</f>
        <v>0</v>
      </c>
      <c r="F5" s="393">
        <f>COUNTIFS('10-YEAR SWM PLAN'!$S:$S, "&lt;&gt;", '10-YEAR SWM PLAN'!$AC:$AC, "&lt;&gt;", '10-YEAR SWM PLAN'!$R:$R, "5.May", '10-YEAR SWM PLAN'!$D:$D, "MBA")</f>
        <v>0</v>
      </c>
      <c r="G5" s="393">
        <f>COUNTIFS('10-YEAR SWM PLAN'!$S:$S, "&lt;&gt;", '10-YEAR SWM PLAN'!$AC:$AC, "&lt;&gt;", '10-YEAR SWM PLAN'!$R:$R, "6.June", '10-YEAR SWM PLAN'!$D:$D, "MBA")</f>
        <v>0</v>
      </c>
      <c r="H5" s="393">
        <f>SUM(B5:G5)</f>
        <v>16</v>
      </c>
      <c r="I5" s="393">
        <f>COUNTIFS('10-YEAR SWM PLAN'!$S:$S, "&lt;&gt;", '10-YEAR SWM PLAN'!$AC:$AC, "&lt;&gt;", '10-YEAR SWM PLAN'!$R:$R, "7.July", '10-YEAR SWM PLAN'!$D:$D, "MBA")</f>
        <v>0</v>
      </c>
      <c r="J5" s="393">
        <f>COUNTIFS('10-YEAR SWM PLAN'!$S:$S, "&lt;&gt;", '10-YEAR SWM PLAN'!$AC:$AC, "&lt;&gt;", '10-YEAR SWM PLAN'!$R:$R, "8.August", '10-YEAR SWM PLAN'!$D:$D, "MBA")</f>
        <v>0</v>
      </c>
      <c r="K5" s="393">
        <f>COUNTIFS('10-YEAR SWM PLAN'!$S:$S, "&lt;&gt;", '10-YEAR SWM PLAN'!$AC:$AC, "&lt;&gt;", '10-YEAR SWM PLAN'!$R:$R, "9.September", '10-YEAR SWM PLAN'!$D:$D, "MBA")</f>
        <v>0</v>
      </c>
      <c r="L5" s="393">
        <f>COUNTIFS('10-YEAR SWM PLAN'!$S:$S, "&lt;&gt;", '10-YEAR SWM PLAN'!$AC:$AC, "&lt;&gt;", '10-YEAR SWM PLAN'!$R:$R, "10.October", '10-YEAR SWM PLAN'!$D:$D, "MBA")</f>
        <v>0</v>
      </c>
      <c r="M5" s="393">
        <f>COUNTIFS('10-YEAR SWM PLAN'!$S:$S, "&lt;&gt;", '10-YEAR SWM PLAN'!$AC:$AC, "&lt;&gt;", '10-YEAR SWM PLAN'!$R:$R, "11.November", '10-YEAR SWM PLAN'!$D:$D, "MBA")</f>
        <v>0</v>
      </c>
      <c r="N5" s="393">
        <f>COUNTIFS('10-YEAR SWM PLAN'!$S:$S, "&lt;&gt;", '10-YEAR SWM PLAN'!$AC:$AC, "&lt;&gt;", '10-YEAR SWM PLAN'!$R:$R, "12.Decembber", '10-YEAR SWM PLAN'!$D:$D, "MBA")</f>
        <v>0</v>
      </c>
      <c r="O5" s="393">
        <f>SUM(I5:N5)</f>
        <v>0</v>
      </c>
      <c r="P5" s="393">
        <f>SUM(O5,H5)</f>
        <v>16</v>
      </c>
      <c r="S5" s="682"/>
      <c r="T5" s="650" t="s">
        <v>468</v>
      </c>
      <c r="U5" s="393">
        <f>COUNTIFS('10-YEAR SWM PLAN'!$A:$A, "Aurora", '10-YEAR SWM PLAN'!$B:$B, "Dilasag", '10-YEAR SWM PLAN'!$AC:$AC, "&lt;&gt;")</f>
        <v>0</v>
      </c>
      <c r="V5" s="393">
        <f>COUNTIFS('FUNDED MRF'!$A:$A, "Aurora", 'FUNDED MRF'!$B:$B, "*dila*", 'FUNDED MRF'!$AA:$AA, "&lt;&gt;")</f>
        <v>0</v>
      </c>
      <c r="W5" s="393">
        <f>COUNTIFS(SLF!$A:$A, "Aurora", SLF!$B:$B, "*dila*", SLF!$AF:$AF, "&lt;&gt;")</f>
        <v>0</v>
      </c>
      <c r="X5" s="393">
        <f>COUNTIFS(EQUIPMENT!$A:$A, "Aurora", EQUIPMENT!$B:$B, "*dila*", EQUIPMENT!$X:$X, "&lt;&gt;")</f>
        <v>0</v>
      </c>
      <c r="Y5" s="393" t="s">
        <v>6373</v>
      </c>
      <c r="Z5" s="393">
        <f>COUNTIFS('TECHNICAL ASSISTANCE TO BRGY.'!$A:$A, "Aurora", 'TECHNICAL ASSISTANCE TO BRGY.'!$B:$B, "*Dilasag*", 'TECHNICAL ASSISTANCE TO BRGY.'!$T:$T, "&lt;&gt;")</f>
        <v>0</v>
      </c>
      <c r="AA5" s="393">
        <f>COUNTIFS('LGU ASST. &amp; WASTE DIVERSION REC'!$A:$A, "AURORA", 'LGU ASST. &amp; WASTE DIVERSION REC'!$B:$B, "*DINAL*", 'LGU ASST. &amp; WASTE DIVERSION REC'!$Q:$Q, "&lt;&gt;")</f>
        <v>0</v>
      </c>
      <c r="AB5" s="393" t="s">
        <v>6373</v>
      </c>
      <c r="AC5" s="393">
        <f>COUNTIFS(PDS!$A:$A, "Aurora", PDS!$B:$B, "*dilasag*", PDS!$AD:$AD, "&lt;&gt;")</f>
        <v>0</v>
      </c>
      <c r="AD5" s="393">
        <f>COUNTIFS(RCA!$A:$A, "Aurora", RCA!$B:$B, "*dila*", RCA!$W:$W, "&lt;&gt;")</f>
        <v>0</v>
      </c>
      <c r="AE5" s="393" t="s">
        <v>6373</v>
      </c>
    </row>
    <row r="6" spans="1:32" ht="15.75">
      <c r="A6" s="438" t="s">
        <v>6376</v>
      </c>
      <c r="B6" s="393">
        <f>COUNTIFS('10-YEAR SWM PLAN'!$S:$S, "&lt;&gt;", '10-YEAR SWM PLAN'!$AC:$AC, "&lt;&gt;", '10-YEAR SWM PLAN'!$R:$R, "1.January", '10-YEAR SWM PLAN'!$D:$D, "OUTSIDE MBA")</f>
        <v>1</v>
      </c>
      <c r="C6" s="393">
        <f>COUNTIFS('10-YEAR SWM PLAN'!$S:$S, "&lt;&gt;", '10-YEAR SWM PLAN'!$AC:$AC, "&lt;&gt;", '10-YEAR SWM PLAN'!$R:$R, "2.February", '10-YEAR SWM PLAN'!$D:$D, "OUTSIDE MBA")</f>
        <v>3</v>
      </c>
      <c r="D6" s="393">
        <f>COUNTIFS('10-YEAR SWM PLAN'!$S:$S, "&lt;&gt;", '10-YEAR SWM PLAN'!$AC:$AC, "&lt;&gt;", '10-YEAR SWM PLAN'!$R:$R, "3.March", '10-YEAR SWM PLAN'!$D:$D, "OUTSIDE MBA")</f>
        <v>0</v>
      </c>
      <c r="E6" s="393">
        <f>COUNTIFS('10-YEAR SWM PLAN'!$S:$S, "&lt;&gt;", '10-YEAR SWM PLAN'!$AC:$AC, "&lt;&gt;", '10-YEAR SWM PLAN'!$R:$R, "4.April", '10-YEAR SWM PLAN'!$D:$D, "OUTSIDE MBA")</f>
        <v>0</v>
      </c>
      <c r="F6" s="393">
        <f>COUNTIFS('10-YEAR SWM PLAN'!$S:$S, "&lt;&gt;", '10-YEAR SWM PLAN'!$AC:$AC, "&lt;&gt;", '10-YEAR SWM PLAN'!$R:$R, "5.May", '10-YEAR SWM PLAN'!$D:$D, "OUTSIDE MBA")</f>
        <v>0</v>
      </c>
      <c r="G6" s="393">
        <f>COUNTIFS('10-YEAR SWM PLAN'!$S:$S, "&lt;&gt;", '10-YEAR SWM PLAN'!$AC:$AC, "&lt;&gt;", '10-YEAR SWM PLAN'!$R:$R, "6.June", '10-YEAR SWM PLAN'!$D:$D, "OUTSIDE MBA")</f>
        <v>0</v>
      </c>
      <c r="H6" s="393">
        <f>SUM(B6:G6)</f>
        <v>4</v>
      </c>
      <c r="I6" s="393">
        <f>COUNTIFS('10-YEAR SWM PLAN'!$S:$S, "&lt;&gt;", '10-YEAR SWM PLAN'!$AC:$AC, "&lt;&gt;", '10-YEAR SWM PLAN'!$R:$R, "7.July", '10-YEAR SWM PLAN'!$D:$D, "OUTSIDE MBA")</f>
        <v>0</v>
      </c>
      <c r="J6" s="393">
        <f>COUNTIFS('10-YEAR SWM PLAN'!$S:$S, "&lt;&gt;", '10-YEAR SWM PLAN'!$AC:$AC, "&lt;&gt;", '10-YEAR SWM PLAN'!$R:$R, "8.August", '10-YEAR SWM PLAN'!$D:$D, "OUTSIDE MBA")</f>
        <v>0</v>
      </c>
      <c r="K6" s="393">
        <f>COUNTIFS('10-YEAR SWM PLAN'!$S:$S, "&lt;&gt;", '10-YEAR SWM PLAN'!$AC:$AC, "&lt;&gt;", '10-YEAR SWM PLAN'!$R:$R, "9.September", '10-YEAR SWM PLAN'!$D:$D, "OUTSIDE MBA")</f>
        <v>0</v>
      </c>
      <c r="L6" s="393">
        <f>COUNTIFS('10-YEAR SWM PLAN'!$S:$S, "&lt;&gt;", '10-YEAR SWM PLAN'!$AC:$AC, "&lt;&gt;", '10-YEAR SWM PLAN'!$R:$R, "10.October", '10-YEAR SWM PLAN'!$D:$D, "OUTSIDE MBA")</f>
        <v>0</v>
      </c>
      <c r="M6" s="393">
        <f>COUNTIFS('10-YEAR SWM PLAN'!$S:$S, "&lt;&gt;", '10-YEAR SWM PLAN'!$AC:$AC, "&lt;&gt;", '10-YEAR SWM PLAN'!$R:$R, "11.November", '10-YEAR SWM PLAN'!$D:$D, "OUTSIDE MBA")</f>
        <v>0</v>
      </c>
      <c r="N6" s="393">
        <f>COUNTIFS('10-YEAR SWM PLAN'!$S:$S, "&lt;&gt;", '10-YEAR SWM PLAN'!$AC:$AC, "&lt;&gt;", '10-YEAR SWM PLAN'!$R:$R, "12.Decembber", '10-YEAR SWM PLAN'!$D:$D, "OUTSIDE MBA")</f>
        <v>0</v>
      </c>
      <c r="O6" s="393">
        <f>SUM(I6:N6)</f>
        <v>0</v>
      </c>
      <c r="P6" s="393">
        <f t="shared" ref="P6" si="9">SUM(O6,H6)</f>
        <v>4</v>
      </c>
      <c r="S6" s="682"/>
      <c r="T6" s="650" t="s">
        <v>470</v>
      </c>
      <c r="U6" s="393">
        <f>COUNTIFS('10-YEAR SWM PLAN'!$A:$A, "Aurora", '10-YEAR SWM PLAN'!$B:$B, "Dinalungan", '10-YEAR SWM PLAN'!$AC:$AC, "&lt;&gt;")</f>
        <v>0</v>
      </c>
      <c r="V6" s="393">
        <f>COUNTIFS('FUNDED MRF'!$A:$A, "Aurora", 'FUNDED MRF'!$B:$B, "*dina*", 'FUNDED MRF'!$AA:$AA, "&lt;&gt;")</f>
        <v>0</v>
      </c>
      <c r="W6" s="393">
        <f>COUNTIFS(SLF!$A:$A, "Aurora", SLF!$B:$B, "*dina*", SLF!$AF:$AF, "&lt;&gt;")</f>
        <v>0</v>
      </c>
      <c r="X6" s="393">
        <f>COUNTIFS(EQUIPMENT!$A:$A, "Aurora", EQUIPMENT!$B:$B, "*dina*", EQUIPMENT!$X:$X, "&lt;&gt;")</f>
        <v>0</v>
      </c>
      <c r="Y6" s="393" t="s">
        <v>6373</v>
      </c>
      <c r="Z6" s="393">
        <f>COUNTIFS('TECHNICAL ASSISTANCE TO BRGY.'!$A:$A, "Aurora", 'TECHNICAL ASSISTANCE TO BRGY.'!$B:$B, "*Dinalungan*", 'TECHNICAL ASSISTANCE TO BRGY.'!$T:$T, "&lt;&gt;")</f>
        <v>0</v>
      </c>
      <c r="AA6" s="393">
        <f>COUNTIFS('LGU ASST. &amp; WASTE DIVERSION REC'!$A:$A, "AURORA", 'LGU ASST. &amp; WASTE DIVERSION REC'!$B:$B, "*DINGAL*", 'LGU ASST. &amp; WASTE DIVERSION REC'!$Q:$Q, "&lt;&gt;")</f>
        <v>0</v>
      </c>
      <c r="AB6" s="393" t="s">
        <v>6373</v>
      </c>
      <c r="AC6" s="393">
        <f>COUNTIFS(PDS!$A:$A, "Aurora", PDS!$B:$B, "*dinalungaw*", PDS!$AD:$AD, "&lt;&gt;")</f>
        <v>0</v>
      </c>
      <c r="AD6" s="393">
        <f>COUNTIFS(RCA!$A:$A, "Aurora", RCA!$B:$B, "*dina*", RCA!$W:$W, "&lt;&gt;")</f>
        <v>0</v>
      </c>
      <c r="AE6" s="393" t="s">
        <v>6373</v>
      </c>
    </row>
    <row r="7" spans="1:32" ht="15.75">
      <c r="A7" s="440" t="s">
        <v>6377</v>
      </c>
      <c r="B7" s="439">
        <f>SUM(B8:B9)</f>
        <v>6</v>
      </c>
      <c r="C7" s="439">
        <f t="shared" ref="C7:H7" si="10">SUM(C8:C9)</f>
        <v>7</v>
      </c>
      <c r="D7" s="439">
        <f t="shared" si="10"/>
        <v>0</v>
      </c>
      <c r="E7" s="439">
        <f t="shared" si="10"/>
        <v>0</v>
      </c>
      <c r="F7" s="439">
        <f t="shared" si="10"/>
        <v>0</v>
      </c>
      <c r="G7" s="439">
        <f t="shared" si="10"/>
        <v>0</v>
      </c>
      <c r="H7" s="439">
        <f t="shared" si="10"/>
        <v>13</v>
      </c>
      <c r="I7" s="439">
        <f t="shared" ref="I7" si="11">SUM(I8:I9)</f>
        <v>0</v>
      </c>
      <c r="J7" s="439">
        <f t="shared" ref="J7" si="12">SUM(J8:J9)</f>
        <v>0</v>
      </c>
      <c r="K7" s="439">
        <f t="shared" ref="K7" si="13">SUM(K8:K9)</f>
        <v>0</v>
      </c>
      <c r="L7" s="439">
        <f t="shared" ref="L7" si="14">SUM(L8:L9)</f>
        <v>0</v>
      </c>
      <c r="M7" s="439">
        <f t="shared" ref="M7" si="15">SUM(M8:M9)</f>
        <v>0</v>
      </c>
      <c r="N7" s="439">
        <f t="shared" ref="N7" si="16">SUM(N8:N9)</f>
        <v>0</v>
      </c>
      <c r="O7" s="439">
        <f t="shared" ref="O7" si="17">SUM(O8:O9)</f>
        <v>0</v>
      </c>
      <c r="P7" s="439">
        <f t="shared" ref="P7:P19" si="18">SUM(O7,H7)</f>
        <v>13</v>
      </c>
      <c r="S7" s="682"/>
      <c r="T7" s="650" t="s">
        <v>472</v>
      </c>
      <c r="U7" s="393">
        <f>COUNTIFS('10-YEAR SWM PLAN'!$A:$A, "Aurora", '10-YEAR SWM PLAN'!$B:$B, "Dingalan", '10-YEAR SWM PLAN'!$AC:$AC, "&lt;&gt;")</f>
        <v>0</v>
      </c>
      <c r="V7" s="393">
        <f>COUNTIFS('FUNDED MRF'!$A:$A, "Aurora", 'FUNDED MRF'!$B:$B, "*ding*", 'FUNDED MRF'!$AA:$AA, "&lt;&gt;")</f>
        <v>0</v>
      </c>
      <c r="W7" s="393">
        <f>COUNTIFS(SLF!$A:$A, "Aurora", SLF!$B:$B, "*dipa*", SLF!$AF:$AF, "&lt;&gt;")</f>
        <v>0</v>
      </c>
      <c r="X7" s="393">
        <f>COUNTIFS(EQUIPMENT!$A:$A, "Aurora", EQUIPMENT!$B:$B, "*dinga*", EQUIPMENT!$X:$X, "&lt;&gt;")</f>
        <v>1</v>
      </c>
      <c r="Y7" s="393" t="s">
        <v>6373</v>
      </c>
      <c r="Z7" s="393">
        <f>COUNTIFS('TECHNICAL ASSISTANCE TO BRGY.'!$A:$A, "Aurora", 'TECHNICAL ASSISTANCE TO BRGY.'!$B:$B, "*Dingilan*", 'TECHNICAL ASSISTANCE TO BRGY.'!$T:$T, "&lt;&gt;")</f>
        <v>0</v>
      </c>
      <c r="AA7" s="393">
        <f>COUNTIFS('LGU ASST. &amp; WASTE DIVERSION REC'!$A:$A, "AURORA", 'LGU ASST. &amp; WASTE DIVERSION REC'!$B:$B, "*BALER*", 'LGU ASST. &amp; WASTE DIVERSION REC'!$Q:$Q, "&lt;&gt;")</f>
        <v>1</v>
      </c>
      <c r="AB7" s="393" t="s">
        <v>6373</v>
      </c>
      <c r="AC7" s="393">
        <f>COUNTIFS(PDS!$A:$A, "Aurora", PDS!$B:$B, "*Dingalan*", PDS!$AD:$AD, "&lt;&gt;")</f>
        <v>0</v>
      </c>
      <c r="AD7" s="393">
        <f>COUNTIFS(RCA!$A:$A, "Aurora", RCA!$B:$B, "*ding*", RCA!$W:$W, "&lt;&gt;")</f>
        <v>0</v>
      </c>
      <c r="AE7" s="393" t="s">
        <v>6373</v>
      </c>
    </row>
    <row r="8" spans="1:32" ht="15.75">
      <c r="A8" s="438" t="s">
        <v>6375</v>
      </c>
      <c r="B8" s="393">
        <f>COUNTIFS('FUNDED MRF'!$Q:$Q,"&lt;&gt;", 'FUNDED MRF'!$AA:$AA, "&lt;&gt;", 'FUNDED MRF'!$P:$P, "1.January", 'FUNDED MRF'!$D:$D, "MBA")</f>
        <v>3</v>
      </c>
      <c r="C8" s="393">
        <f>COUNTIFS('FUNDED MRF'!$Q:$Q,"&lt;&gt;", 'FUNDED MRF'!$AA:$AA, "&lt;&gt;", 'FUNDED MRF'!$P:$P, "2.February", 'FUNDED MRF'!$D:$D, "MBA")</f>
        <v>6</v>
      </c>
      <c r="D8" s="393">
        <f>COUNTIFS('FUNDED MRF'!$Q:$Q,"&lt;&gt;", 'FUNDED MRF'!$AA:$AA, "&lt;&gt;", 'FUNDED MRF'!$P:$P, "3.March", 'FUNDED MRF'!$D:$D, "MBA")</f>
        <v>0</v>
      </c>
      <c r="E8" s="393">
        <f>COUNTIFS('FUNDED MRF'!$Q:$Q,"&lt;&gt;", 'FUNDED MRF'!$AA:$AA, "&lt;&gt;", 'FUNDED MRF'!$P:$P, "4.April", 'FUNDED MRF'!$D:$D, "MBA")</f>
        <v>0</v>
      </c>
      <c r="F8" s="393">
        <f>COUNTIFS('FUNDED MRF'!$Q:$Q,"&lt;&gt;", 'FUNDED MRF'!$AA:$AA, "&lt;&gt;", 'FUNDED MRF'!$P:$P, "5.May", 'FUNDED MRF'!$D:$D, "MBA")</f>
        <v>0</v>
      </c>
      <c r="G8" s="393">
        <f>COUNTIFS('FUNDED MRF'!$Q:$Q,"&lt;&gt;", 'FUNDED MRF'!$AA:$AA, "&lt;&gt;", 'FUNDED MRF'!$P:$P, "6.June", 'FUNDED MRF'!$D:$D, "MBA")</f>
        <v>0</v>
      </c>
      <c r="H8" s="393">
        <f>SUM(B8:G8)</f>
        <v>9</v>
      </c>
      <c r="I8" s="393">
        <f>COUNTIFS('FUNDED MRF'!$Q:$Q,"&lt;&gt;", 'FUNDED MRF'!$AA:$AA, "&lt;&gt;", 'FUNDED MRF'!$P:$P, "7.July", 'FUNDED MRF'!$D:$D, "MBA")</f>
        <v>0</v>
      </c>
      <c r="J8" s="393">
        <f>COUNTIFS('FUNDED MRF'!$Q:$Q,"&lt;&gt;", 'FUNDED MRF'!$AA:$AA, "&lt;&gt;", 'FUNDED MRF'!$P:$P, "8.August", 'FUNDED MRF'!$D:$D, "MBA")</f>
        <v>0</v>
      </c>
      <c r="K8" s="393">
        <f>COUNTIFS('FUNDED MRF'!$Q:$Q,"&lt;&gt;", 'FUNDED MRF'!$AA:$AA, "&lt;&gt;", 'FUNDED MRF'!$P:$P, "9.September", 'FUNDED MRF'!$D:$D, "MBA")</f>
        <v>0</v>
      </c>
      <c r="L8" s="393">
        <f>COUNTIFS('FUNDED MRF'!$Q:$Q,"&lt;&gt;", 'FUNDED MRF'!$AA:$AA, "&lt;&gt;", 'FUNDED MRF'!$P:$P, "10.October", 'FUNDED MRF'!$D:$D, "MBA")</f>
        <v>0</v>
      </c>
      <c r="M8" s="393">
        <f>COUNTIFS('FUNDED MRF'!$Q:$Q,"&lt;&gt;", 'FUNDED MRF'!$AA:$AA, "&lt;&gt;", 'FUNDED MRF'!$P:$P, "11.November", 'FUNDED MRF'!$D:$D, "MBA")</f>
        <v>0</v>
      </c>
      <c r="N8" s="393">
        <f>COUNTIFS('FUNDED MRF'!$Q:$Q,"&lt;&gt;", 'FUNDED MRF'!$AA:$AA, "&lt;&gt;", 'FUNDED MRF'!$P:$P, "12.December", 'FUNDED MRF'!$D:$D, "MBA")</f>
        <v>0</v>
      </c>
      <c r="O8" s="393">
        <f>SUM(I8:N8)</f>
        <v>0</v>
      </c>
      <c r="P8" s="393">
        <f t="shared" si="18"/>
        <v>9</v>
      </c>
      <c r="S8" s="682"/>
      <c r="T8" s="650" t="s">
        <v>474</v>
      </c>
      <c r="U8" s="393">
        <f>COUNTIFS('10-YEAR SWM PLAN'!$A:$A, "Aurora", '10-YEAR SWM PLAN'!$B:$B, "Dipaculao", '10-YEAR SWM PLAN'!$AC:$AC, "&lt;&gt;")</f>
        <v>0</v>
      </c>
      <c r="V8" s="393">
        <f>COUNTIFS('FUNDED MRF'!$A:$A, "Aurora", 'FUNDED MRF'!$B:$B, "*dipa*", 'FUNDED MRF'!$AA:$AA, "&lt;&gt;")</f>
        <v>0</v>
      </c>
      <c r="W8" s="393">
        <f>COUNTIFS(SLF!$A:$A, "Aurora", SLF!$B:$B, "*maria*", SLF!$AF:$AF, "&lt;&gt;")</f>
        <v>0</v>
      </c>
      <c r="X8" s="393">
        <f>COUNTIFS(EQUIPMENT!$A:$A, "Aurora", EQUIPMENT!$B:$B, "*dipa*", EQUIPMENT!$X:$X, "&lt;&gt;")</f>
        <v>0</v>
      </c>
      <c r="Y8" s="393" t="s">
        <v>6373</v>
      </c>
      <c r="Z8" s="393">
        <f>COUNTIFS('TECHNICAL ASSISTANCE TO BRGY.'!$A:$A, "Aurora", 'TECHNICAL ASSISTANCE TO BRGY.'!$B:$B, "*Dipaculao*", 'TECHNICAL ASSISTANCE TO BRGY.'!$T:$T, "&lt;&gt;")</f>
        <v>0</v>
      </c>
      <c r="AA8" s="393">
        <f>COUNTIFS('LGU ASST. &amp; WASTE DIVERSION REC'!$A:$A, "AURORA", 'LGU ASST. &amp; WASTE DIVERSION REC'!$B:$B, "*DIPAC*", 'LGU ASST. &amp; WASTE DIVERSION REC'!$Q:$Q, "&lt;&gt;")</f>
        <v>0</v>
      </c>
      <c r="AB8" s="393" t="s">
        <v>6373</v>
      </c>
      <c r="AC8" s="393">
        <f>COUNTIFS(PDS!$A:$A, "Aurora", PDS!$B:$B, "*Dipaculao*", PDS!$AD:$AD, "&lt;&gt;")</f>
        <v>0</v>
      </c>
      <c r="AD8" s="393">
        <f>COUNTIFS(RCA!$A:$A, "Aurora", RCA!$B:$B, "*dipa*", RCA!$W:$W, "&lt;&gt;")</f>
        <v>0</v>
      </c>
      <c r="AE8" s="393" t="s">
        <v>6373</v>
      </c>
    </row>
    <row r="9" spans="1:32" ht="15.75">
      <c r="A9" s="438" t="s">
        <v>6376</v>
      </c>
      <c r="B9" s="393">
        <f>COUNTIFS('FUNDED MRF'!$Q:$Q,"&lt;&gt;", 'FUNDED MRF'!$AA:$AA, "&lt;&gt;", 'FUNDED MRF'!$P:$P, "1.January", 'FUNDED MRF'!$D:$D, "OUTSIDE MBA")</f>
        <v>3</v>
      </c>
      <c r="C9" s="393">
        <f>COUNTIFS('FUNDED MRF'!$Q:$Q,"&lt;&gt;", 'FUNDED MRF'!$AA:$AA, "&lt;&gt;", 'FUNDED MRF'!$P:$P, "2.February", 'FUNDED MRF'!$D:$D, "OUTSIDE MBA")</f>
        <v>1</v>
      </c>
      <c r="D9" s="393">
        <f>COUNTIFS('FUNDED MRF'!$Q:$Q,"&lt;&gt;", 'FUNDED MRF'!$AA:$AA, "&lt;&gt;", 'FUNDED MRF'!$P:$P, "3.March", 'FUNDED MRF'!$D:$D, "OUTSIDE MBA")</f>
        <v>0</v>
      </c>
      <c r="E9" s="393">
        <f>COUNTIFS('FUNDED MRF'!$Q:$Q,"&lt;&gt;", 'FUNDED MRF'!$AA:$AA, "&lt;&gt;", 'FUNDED MRF'!$P:$P, "4.April", 'FUNDED MRF'!$D:$D, "OUTSIDE MBA")</f>
        <v>0</v>
      </c>
      <c r="F9" s="393">
        <f>COUNTIFS('FUNDED MRF'!$Q:$Q,"&lt;&gt;", 'FUNDED MRF'!$AA:$AA, "&lt;&gt;", 'FUNDED MRF'!$P:$P, "5.May", 'FUNDED MRF'!$D:$D, "OUTSIDE MBA")</f>
        <v>0</v>
      </c>
      <c r="G9" s="393">
        <f>COUNTIFS('FUNDED MRF'!$Q:$Q,"&lt;&gt;", 'FUNDED MRF'!$AA:$AA, "&lt;&gt;", 'FUNDED MRF'!$P:$P, "6.June", 'FUNDED MRF'!$D:$D, "OUTSIDE MBA")</f>
        <v>0</v>
      </c>
      <c r="H9" s="393">
        <f>SUM(B9:G9)</f>
        <v>4</v>
      </c>
      <c r="I9" s="393">
        <f>COUNTIFS('FUNDED MRF'!$Q:$Q,"&lt;&gt;", 'FUNDED MRF'!$AA:$AA, "&lt;&gt;", 'FUNDED MRF'!$P:$P, "7.July", 'FUNDED MRF'!$D:$D, "OUTSIDE MBA")</f>
        <v>0</v>
      </c>
      <c r="J9" s="393">
        <f>COUNTIFS('FUNDED MRF'!$Q:$Q,"&lt;&gt;", 'FUNDED MRF'!$AA:$AA, "&lt;&gt;", 'FUNDED MRF'!$P:$P, "8.August", 'FUNDED MRF'!$D:$D, "OUTSIDE MBA")</f>
        <v>0</v>
      </c>
      <c r="K9" s="393">
        <f>COUNTIFS('FUNDED MRF'!$Q:$Q,"&lt;&gt;", 'FUNDED MRF'!$AA:$AA, "&lt;&gt;", 'FUNDED MRF'!$P:$P, "9.September", 'FUNDED MRF'!$D:$D, "OUTSIDE MBA")</f>
        <v>0</v>
      </c>
      <c r="L9" s="393">
        <f>COUNTIFS('FUNDED MRF'!$Q:$Q,"&lt;&gt;", 'FUNDED MRF'!$AA:$AA, "&lt;&gt;", 'FUNDED MRF'!$P:$P, "10.October", 'FUNDED MRF'!$D:$D, "OUTSIDE MBA")</f>
        <v>0</v>
      </c>
      <c r="M9" s="393">
        <f>COUNTIFS('FUNDED MRF'!$Q:$Q,"&lt;&gt;", 'FUNDED MRF'!$AA:$AA, "&lt;&gt;", 'FUNDED MRF'!$P:$P, "11.November", 'FUNDED MRF'!$D:$D, "OUTSIDE MBA")</f>
        <v>0</v>
      </c>
      <c r="N9" s="393">
        <f>COUNTIFS('FUNDED MRF'!$Q:$Q,"&lt;&gt;", 'FUNDED MRF'!$AA:$AA, "&lt;&gt;", 'FUNDED MRF'!$P:$P, "12.December", 'FUNDED MRF'!$D:$D, "OUTSIDE MBA")</f>
        <v>0</v>
      </c>
      <c r="O9" s="393">
        <f>SUM(I9:N9)</f>
        <v>0</v>
      </c>
      <c r="P9" s="393">
        <f t="shared" si="18"/>
        <v>4</v>
      </c>
      <c r="S9" s="682"/>
      <c r="T9" s="650" t="s">
        <v>258</v>
      </c>
      <c r="U9" s="393">
        <f>COUNTIFS('10-YEAR SWM PLAN'!$A:$A, "Aurora", '10-YEAR SWM PLAN'!$B:$B, "Maria Aurora", '10-YEAR SWM PLAN'!$AC:$AC, "&lt;&gt;")</f>
        <v>1</v>
      </c>
      <c r="V9" s="393">
        <f>COUNTIFS('FUNDED MRF'!$A:$A, "Aurora", 'FUNDED MRF'!$B:$B, "*maria*", 'FUNDED MRF'!$AA:$AA, "&lt;&gt;")</f>
        <v>1</v>
      </c>
      <c r="W9" s="393">
        <f>COUNTIFS(SLF!$A:$A, "Aurora", SLF!$B:$B, "*luis*", SLF!$AF:$AF, "&lt;&gt;")</f>
        <v>0</v>
      </c>
      <c r="X9" s="393">
        <f>COUNTIFS(EQUIPMENT!$A:$A, "Aurora", EQUIPMENT!$B:$B, "*maria*", EQUIPMENT!$X:$X, "&lt;&gt;")</f>
        <v>0</v>
      </c>
      <c r="Y9" s="393" t="s">
        <v>6373</v>
      </c>
      <c r="Z9" s="393">
        <f>COUNTIFS('TECHNICAL ASSISTANCE TO BRGY.'!$A:$A, "Aurora", 'TECHNICAL ASSISTANCE TO BRGY.'!$B:$B, "*Maria*", 'TECHNICAL ASSISTANCE TO BRGY.'!$T:$T, "&lt;&gt;")</f>
        <v>0</v>
      </c>
      <c r="AA9" s="393">
        <f>COUNTIFS('LGU ASST. &amp; WASTE DIVERSION REC'!$A:$A, "AURORA", 'LGU ASST. &amp; WASTE DIVERSION REC'!$B:$B, "*MARIA*", 'LGU ASST. &amp; WASTE DIVERSION REC'!$Q:$Q, "&lt;&gt;")</f>
        <v>1</v>
      </c>
      <c r="AB9" s="393" t="s">
        <v>6373</v>
      </c>
      <c r="AC9" s="393">
        <f>COUNTIFS(PDS!$A:$A, "Aurora", PDS!$B:$B, "*Maria Aurora*", PDS!$AD:$AD, "&lt;&gt;")</f>
        <v>0</v>
      </c>
      <c r="AD9" s="393">
        <f>COUNTIFS(RCA!$A:$A, "Aurora", RCA!$B:$B, "*maria*", RCA!$W:$W, "&lt;&gt;")</f>
        <v>0</v>
      </c>
      <c r="AE9" s="393" t="s">
        <v>6373</v>
      </c>
    </row>
    <row r="10" spans="1:32" ht="15.75">
      <c r="A10" s="440" t="s">
        <v>7</v>
      </c>
      <c r="B10" s="439">
        <f>SUM(B11:B12)</f>
        <v>0</v>
      </c>
      <c r="C10" s="439">
        <f t="shared" ref="C10" si="19">SUM(C11:C12)</f>
        <v>1</v>
      </c>
      <c r="D10" s="439">
        <f t="shared" ref="D10" si="20">SUM(D11:D12)</f>
        <v>0</v>
      </c>
      <c r="E10" s="439">
        <f t="shared" ref="E10" si="21">SUM(E11:E12)</f>
        <v>0</v>
      </c>
      <c r="F10" s="439">
        <f t="shared" ref="F10" si="22">SUM(F11:F12)</f>
        <v>0</v>
      </c>
      <c r="G10" s="439">
        <f t="shared" ref="G10" si="23">SUM(G11:G12)</f>
        <v>0</v>
      </c>
      <c r="H10" s="439">
        <f t="shared" ref="H10" si="24">SUM(H11:H12)</f>
        <v>1</v>
      </c>
      <c r="I10" s="439">
        <f t="shared" ref="I10" si="25">SUM(I11:I12)</f>
        <v>0</v>
      </c>
      <c r="J10" s="439">
        <f t="shared" ref="J10" si="26">SUM(J11:J12)</f>
        <v>0</v>
      </c>
      <c r="K10" s="439">
        <f t="shared" ref="K10" si="27">SUM(K11:K12)</f>
        <v>0</v>
      </c>
      <c r="L10" s="439">
        <f t="shared" ref="L10" si="28">SUM(L11:L12)</f>
        <v>0</v>
      </c>
      <c r="M10" s="439">
        <f t="shared" ref="M10" si="29">SUM(M11:M12)</f>
        <v>0</v>
      </c>
      <c r="N10" s="439">
        <f t="shared" ref="N10" si="30">SUM(N11:N12)</f>
        <v>0</v>
      </c>
      <c r="O10" s="439">
        <f t="shared" ref="O10" si="31">SUM(O11:O12)</f>
        <v>0</v>
      </c>
      <c r="P10" s="439">
        <f t="shared" si="18"/>
        <v>1</v>
      </c>
      <c r="S10" s="683"/>
      <c r="T10" s="650" t="s">
        <v>418</v>
      </c>
      <c r="U10" s="393">
        <f>COUNTIFS('10-YEAR SWM PLAN'!$A:$A, "Aurora", '10-YEAR SWM PLAN'!$B:$B, "San Luis", '10-YEAR SWM PLAN'!$AC:$AC, "&lt;&gt;")</f>
        <v>0</v>
      </c>
      <c r="V10" s="393">
        <f>COUNTIFS('FUNDED MRF'!$A:$A, "Aurora", 'FUNDED MRF'!$B:$B, "*luis*", 'FUNDED MRF'!$AA:$AA, "&lt;&gt;")</f>
        <v>0</v>
      </c>
      <c r="W10" s="393">
        <f>COUNTIFS(SLF!$A:$A, "Aurora", SLF!$B:$B, "*Baler*", SLF!$AF:$AF, "&lt;&gt;")</f>
        <v>0</v>
      </c>
      <c r="X10" s="393">
        <f>COUNTIFS(EQUIPMENT!$A:$A, "Aurora", EQUIPMENT!$B:$B, "*luis*", EQUIPMENT!$X:$X, "&lt;&gt;")</f>
        <v>0</v>
      </c>
      <c r="Y10" s="393" t="s">
        <v>6373</v>
      </c>
      <c r="Z10" s="393">
        <f>COUNTIFS('TECHNICAL ASSISTANCE TO BRGY.'!$A:$A, "Aurora", 'TECHNICAL ASSISTANCE TO BRGY.'!$B:$B, "*San Luis*", 'TECHNICAL ASSISTANCE TO BRGY.'!$T:$T, "&lt;&gt;")</f>
        <v>0</v>
      </c>
      <c r="AA10" s="393">
        <f>COUNTIFS('LGU ASST. &amp; WASTE DIVERSION REC'!$A:$A, "AURORA", 'LGU ASST. &amp; WASTE DIVERSION REC'!$B:$B, "*SAN LUIS*", 'LGU ASST. &amp; WASTE DIVERSION REC'!$Q:$Q, "&lt;&gt;")</f>
        <v>0</v>
      </c>
      <c r="AB10" s="393" t="s">
        <v>6373</v>
      </c>
      <c r="AC10" s="393">
        <f>COUNTIFS(PDS!$A:$A, "Aurora", PDS!$B:$B, "*san luis*", PDS!$AD:$AD, "&lt;&gt;")</f>
        <v>0</v>
      </c>
      <c r="AD10" s="393">
        <f>COUNTIFS(RCA!$A:$A, "Aurora", RCA!$B:$B, "*luis*", RCA!$W:$W, "&lt;&gt;")</f>
        <v>0</v>
      </c>
      <c r="AE10" s="393" t="s">
        <v>6373</v>
      </c>
    </row>
    <row r="11" spans="1:32" ht="15.75">
      <c r="A11" s="438" t="s">
        <v>6375</v>
      </c>
      <c r="B11" s="393">
        <f>COUNTIFS(SLF!$V:$V, "&lt;&gt;", SLF!$AF:$AF, "&lt;&gt;", SLF!$R:$R, "1.January", SLF!$D:$D, "MBA")</f>
        <v>0</v>
      </c>
      <c r="C11" s="393">
        <f>COUNTIFS(SLF!$V:$V, "&lt;&gt;", SLF!$AF:$AF, "&lt;&gt;", SLF!$R:$R, "2.February", SLF!$D:$D, "MBA")</f>
        <v>0</v>
      </c>
      <c r="D11" s="393">
        <f>COUNTIFS(SLF!$V:$V, "&lt;&gt;", SLF!$AF:$AF, "&lt;&gt;", SLF!$R:$R, "3.March", SLF!$D:$D, "MBA")</f>
        <v>0</v>
      </c>
      <c r="E11" s="393">
        <f>COUNTIFS(SLF!$V:$V, "&lt;&gt;", SLF!$AF:$AF, "&lt;&gt;", SLF!$R:$R, "4.April", SLF!$D:$D, "MBA")</f>
        <v>0</v>
      </c>
      <c r="F11" s="393">
        <f>COUNTIFS(SLF!$V:$V, "&lt;&gt;", SLF!$AF:$AF, "&lt;&gt;", SLF!$R:$R, "5.May", SLF!$D:$D, "MBA")</f>
        <v>0</v>
      </c>
      <c r="G11" s="393">
        <f>COUNTIFS(SLF!$V:$V, "&lt;&gt;", SLF!$AF:$AF, "&lt;&gt;", SLF!$R:$R, "6.June", SLF!$D:$D, "MBA")</f>
        <v>0</v>
      </c>
      <c r="H11" s="393">
        <f>SUM(B11:G11)</f>
        <v>0</v>
      </c>
      <c r="I11" s="393">
        <f>COUNTIFS(SLF!$V:$V, "&lt;&gt;", SLF!$AF:$AF, "&lt;&gt;", SLF!$R:$R, "7.July", SLF!$D:$D, "MBA")</f>
        <v>0</v>
      </c>
      <c r="J11" s="393">
        <f>COUNTIFS(SLF!$V:$V, "&lt;&gt;", SLF!$AF:$AF, "&lt;&gt;", SLF!$R:$R, "8.August", SLF!$D:$D, "MBA")</f>
        <v>0</v>
      </c>
      <c r="K11" s="393">
        <f>COUNTIFS(SLF!$V:$V, "&lt;&gt;", SLF!$AF:$AF, "&lt;&gt;", SLF!$R:$R, "9.Spetember", SLF!$D:$D, "MBA")</f>
        <v>0</v>
      </c>
      <c r="L11" s="393">
        <f>COUNTIFS(SLF!$V:$V, "&lt;&gt;", SLF!$AF:$AF, "&lt;&gt;", SLF!$R:$R, "10.October", SLF!$D:$D, "MBA")</f>
        <v>0</v>
      </c>
      <c r="M11" s="393">
        <f>COUNTIFS(SLF!$V:$V, "&lt;&gt;", SLF!$AF:$AF, "&lt;&gt;", SLF!$R:$R, "11.November", SLF!$D:$D, "MBA")</f>
        <v>0</v>
      </c>
      <c r="N11" s="393">
        <f>COUNTIFS(SLF!$V:$V, "&lt;&gt;", SLF!$AF:$AF, "&lt;&gt;", SLF!$R:$R, "12.December", SLF!$D:$D, "MBA")</f>
        <v>0</v>
      </c>
      <c r="O11" s="393">
        <f>SUM(I11:N11)</f>
        <v>0</v>
      </c>
      <c r="P11" s="393">
        <f t="shared" si="18"/>
        <v>0</v>
      </c>
      <c r="S11" s="681" t="s">
        <v>48</v>
      </c>
      <c r="T11" s="660" t="s">
        <v>6378</v>
      </c>
      <c r="U11" s="660">
        <f>SUM(U12:U15)</f>
        <v>0</v>
      </c>
      <c r="V11" s="660">
        <f t="shared" ref="V11:AE11" si="32">SUM(V12:V15)</f>
        <v>0</v>
      </c>
      <c r="W11" s="660">
        <f t="shared" si="32"/>
        <v>0</v>
      </c>
      <c r="X11" s="660">
        <f t="shared" si="32"/>
        <v>2</v>
      </c>
      <c r="Y11" s="660">
        <f t="shared" si="32"/>
        <v>0</v>
      </c>
      <c r="Z11" s="660">
        <f t="shared" si="32"/>
        <v>0</v>
      </c>
      <c r="AA11" s="660">
        <f t="shared" si="32"/>
        <v>0</v>
      </c>
      <c r="AB11" s="660">
        <f t="shared" si="32"/>
        <v>0</v>
      </c>
      <c r="AC11" s="660">
        <f t="shared" si="32"/>
        <v>1</v>
      </c>
      <c r="AD11" s="660">
        <f t="shared" si="32"/>
        <v>0</v>
      </c>
      <c r="AE11" s="660">
        <f t="shared" si="32"/>
        <v>0</v>
      </c>
    </row>
    <row r="12" spans="1:32" ht="15.75">
      <c r="A12" s="438" t="s">
        <v>6376</v>
      </c>
      <c r="B12" s="393">
        <f>COUNTIFS(SLF!$V:$V, "&lt;&gt;", SLF!$AF:$AF, "&lt;&gt;", SLF!$R:$R, "1.January", SLF!$D:$D, "OUTSIDE MBA")</f>
        <v>0</v>
      </c>
      <c r="C12" s="393">
        <f>COUNTIFS(SLF!$V:$V, "&lt;&gt;", SLF!$AF:$AF, "&lt;&gt;", SLF!$R:$R, "2.February", SLF!$D:$D, "OUTSIDE MBA")</f>
        <v>1</v>
      </c>
      <c r="D12" s="393">
        <f>COUNTIFS(SLF!$V:$V, "&lt;&gt;", SLF!$AF:$AF, "&lt;&gt;", SLF!$R:$R, "3.March", SLF!$D:$D, "OUTSIDE MBA")</f>
        <v>0</v>
      </c>
      <c r="E12" s="393">
        <f>COUNTIFS(SLF!$V:$V, "&lt;&gt;", SLF!$AF:$AF, "&lt;&gt;", SLF!$R:$R, "4.April", SLF!$D:$D, "OUTSIDE MBA")</f>
        <v>0</v>
      </c>
      <c r="F12" s="393">
        <f>COUNTIFS(SLF!$V:$V, "&lt;&gt;", SLF!$AF:$AF, "&lt;&gt;", SLF!$R:$R, "5.May", SLF!$D:$D, "OUTSIDE MBA")</f>
        <v>0</v>
      </c>
      <c r="G12" s="393">
        <f>COUNTIFS(SLF!$V:$V, "&lt;&gt;", SLF!$AF:$AF, "&lt;&gt;", SLF!$R:$R, "6.June", SLF!$D:$D, "OUTSIDE MBA")</f>
        <v>0</v>
      </c>
      <c r="H12" s="393">
        <f>SUM(B12:G12)</f>
        <v>1</v>
      </c>
      <c r="I12" s="393">
        <f>COUNTIFS(SLF!$V:$V, "&lt;&gt;", SLF!$AF:$AF, "&lt;&gt;", SLF!$R:$R, "7.July", SLF!$D:$D, "OUTSIDE MBA")</f>
        <v>0</v>
      </c>
      <c r="J12" s="393">
        <f>COUNTIFS(SLF!$V:$V, "&lt;&gt;", SLF!$AF:$AF, "&lt;&gt;", SLF!$R:$R, "8.August", SLF!$D:$D, "OUTSIDE MBA")</f>
        <v>0</v>
      </c>
      <c r="K12" s="393">
        <f>COUNTIFS(SLF!$V:$V, "&lt;&gt;", SLF!$AF:$AF, "&lt;&gt;", SLF!$R:$R, "9.Spetember", SLF!$D:$D, "OUTSIDE MBA")</f>
        <v>0</v>
      </c>
      <c r="L12" s="393">
        <f>COUNTIFS(SLF!$V:$V, "&lt;&gt;", SLF!$AF:$AF, "&lt;&gt;", SLF!$R:$R, "10.October", SLF!$D:$D, "OUTSIDE MBA")</f>
        <v>0</v>
      </c>
      <c r="M12" s="393">
        <f>COUNTIFS(SLF!$V:$V, "&lt;&gt;", SLF!$AF:$AF, "&lt;&gt;", SLF!$R:$R, "11.November", SLF!$D:$D, "OUTSIDE MBA")</f>
        <v>0</v>
      </c>
      <c r="N12" s="393">
        <f>COUNTIFS(SLF!$V:$V, "&lt;&gt;", SLF!$AF:$AF, "&lt;&gt;", SLF!$R:$R, "12.December", SLF!$D:$D, "OUTSIDE MBA")</f>
        <v>0</v>
      </c>
      <c r="O12" s="393">
        <f>SUM(I12:N12)</f>
        <v>0</v>
      </c>
      <c r="P12" s="393">
        <f t="shared" si="18"/>
        <v>1</v>
      </c>
      <c r="S12" s="682"/>
      <c r="T12" s="650" t="s">
        <v>477</v>
      </c>
      <c r="U12" s="393">
        <f>COUNTIFS('10-YEAR SWM PLAN'!$A:$A, "Bataan", '10-YEAR SWM PLAN'!$B:$B, "Abucay", '10-YEAR SWM PLAN'!$AC:$AC, "&lt;&gt;")</f>
        <v>0</v>
      </c>
      <c r="V12" s="393">
        <f>COUNTIFS('FUNDED MRF'!$A:$A, "bataan", 'FUNDED MRF'!$B:$B, "*Abucay*", 'FUNDED MRF'!$AA:$AA, "&lt;&gt;")</f>
        <v>0</v>
      </c>
      <c r="W12" s="393">
        <f>COUNTIFS(SLF!$A:$A, "Bataan", SLF!$B:$B, "*Abucay*", SLF!$AF:$AF, "&lt;&gt;")</f>
        <v>0</v>
      </c>
      <c r="X12" s="393">
        <f>COUNTIFS(EQUIPMENT!$A:$A, "Bataan", EQUIPMENT!$B:$B, "*abucay*", EQUIPMENT!$X:$X, "&lt;&gt;")</f>
        <v>0</v>
      </c>
      <c r="Y12" s="393" t="s">
        <v>6373</v>
      </c>
      <c r="Z12" s="393">
        <f>COUNTIFS('TECHNICAL ASSISTANCE TO BRGY.'!$A:$A, "Bataan", 'TECHNICAL ASSISTANCE TO BRGY.'!$B:$B, "*abucay*", 'TECHNICAL ASSISTANCE TO BRGY.'!$T:$T, "&lt;&gt;")</f>
        <v>0</v>
      </c>
      <c r="AA12" s="393">
        <f>COUNTIFS('LGU ASST. &amp; WASTE DIVERSION REC'!$A:$A, "BATAAN", 'LGU ASST. &amp; WASTE DIVERSION REC'!$B:$B, "*ABUCAY*", 'LGU ASST. &amp; WASTE DIVERSION REC'!$Q:$Q, "&lt;&gt;")</f>
        <v>0</v>
      </c>
      <c r="AB12" s="393" t="s">
        <v>6373</v>
      </c>
      <c r="AC12" s="393">
        <f>COUNTIFS(PDS!$A:$A, "Bataan", PDS!$B:$B, "*Abucay*", PDS!$AD:$AD, "&lt;&gt;")</f>
        <v>0</v>
      </c>
      <c r="AD12" s="393">
        <f>COUNTIFS(RCA!$A:$A, "Bataan", RCA!$B:$B, "*abuc*", RCA!$W:$W, "&lt;&gt;")</f>
        <v>0</v>
      </c>
      <c r="AE12" s="393" t="s">
        <v>6373</v>
      </c>
    </row>
    <row r="13" spans="1:32" ht="15.75">
      <c r="A13" s="440" t="s">
        <v>6365</v>
      </c>
      <c r="B13" s="439">
        <f>SUM(B14:B15)</f>
        <v>8</v>
      </c>
      <c r="C13" s="439">
        <f t="shared" ref="C13" si="33">SUM(C14:C15)</f>
        <v>12</v>
      </c>
      <c r="D13" s="439">
        <f t="shared" ref="D13" si="34">SUM(D14:D15)</f>
        <v>4</v>
      </c>
      <c r="E13" s="439">
        <f t="shared" ref="E13" si="35">SUM(E14:E15)</f>
        <v>0</v>
      </c>
      <c r="F13" s="439">
        <f t="shared" ref="F13" si="36">SUM(F14:F15)</f>
        <v>0</v>
      </c>
      <c r="G13" s="439">
        <f t="shared" ref="G13" si="37">SUM(G14:G15)</f>
        <v>0</v>
      </c>
      <c r="H13" s="439">
        <f t="shared" ref="H13" si="38">SUM(H14:H15)</f>
        <v>24</v>
      </c>
      <c r="I13" s="439">
        <f t="shared" ref="I13" si="39">SUM(I14:I15)</f>
        <v>0</v>
      </c>
      <c r="J13" s="439">
        <f t="shared" ref="J13" si="40">SUM(J14:J15)</f>
        <v>0</v>
      </c>
      <c r="K13" s="439">
        <f t="shared" ref="K13" si="41">SUM(K14:K15)</f>
        <v>0</v>
      </c>
      <c r="L13" s="439">
        <f t="shared" ref="L13" si="42">SUM(L14:L15)</f>
        <v>0</v>
      </c>
      <c r="M13" s="439">
        <f t="shared" ref="M13" si="43">SUM(M14:M15)</f>
        <v>0</v>
      </c>
      <c r="N13" s="439">
        <f t="shared" ref="N13" si="44">SUM(N14:N15)</f>
        <v>0</v>
      </c>
      <c r="O13" s="439">
        <f t="shared" ref="O13" si="45">SUM(O14:O15)</f>
        <v>0</v>
      </c>
      <c r="P13" s="439">
        <f t="shared" si="18"/>
        <v>24</v>
      </c>
      <c r="S13" s="682"/>
      <c r="T13" s="650" t="s">
        <v>480</v>
      </c>
      <c r="U13" s="393">
        <f>COUNTIFS('10-YEAR SWM PLAN'!$A:$A, "Bataan", '10-YEAR SWM PLAN'!$B:$B, "Hermosa", '10-YEAR SWM PLAN'!$AC:$AC, "&lt;&gt;")</f>
        <v>0</v>
      </c>
      <c r="V13" s="393">
        <f>COUNTIFS('FUNDED MRF'!$A:$A, "bataan", 'FUNDED MRF'!$B:$B, "*hermosa*", 'FUNDED MRF'!$AA:$AA, "&lt;&gt;")</f>
        <v>0</v>
      </c>
      <c r="W13" s="393">
        <f>COUNTIFS(SLF!$A:$A, "Bataan", SLF!$B:$B, "*hermo*", SLF!$AF:$AF, "&lt;&gt;")</f>
        <v>0</v>
      </c>
      <c r="X13" s="393">
        <f>COUNTIFS(EQUIPMENT!$A:$A, "Bataan", EQUIPMENT!$B:$B, "*hermo*", EQUIPMENT!$X:$X, "&lt;&gt;")</f>
        <v>0</v>
      </c>
      <c r="Y13" s="393" t="s">
        <v>6373</v>
      </c>
      <c r="Z13" s="393">
        <f>COUNTIFS('TECHNICAL ASSISTANCE TO BRGY.'!$A:$A, "Bataan", 'TECHNICAL ASSISTANCE TO BRGY.'!$B:$B, "*hermosa*", 'TECHNICAL ASSISTANCE TO BRGY.'!$T:$T, "&lt;&gt;")</f>
        <v>0</v>
      </c>
      <c r="AA13" s="393">
        <f>COUNTIFS('LGU ASST. &amp; WASTE DIVERSION REC'!$A:$A, "BATAAN", 'LGU ASST. &amp; WASTE DIVERSION REC'!$B:$B, "*HERMOSA*", 'LGU ASST. &amp; WASTE DIVERSION REC'!$Q:$Q, "&lt;&gt;")</f>
        <v>0</v>
      </c>
      <c r="AB13" s="393" t="s">
        <v>6373</v>
      </c>
      <c r="AC13" s="393">
        <f>COUNTIFS(PDS!$A:$A, "Bataan", PDS!$B:$B, "*Hermosa*", PDS!$AD:$AD, "&lt;&gt;")</f>
        <v>0</v>
      </c>
      <c r="AD13" s="393">
        <f>COUNTIFS(RCA!$A:$A, "Bataan", RCA!$B:$B, "*hermo*", RCA!$W:$W, "&lt;&gt;")</f>
        <v>0</v>
      </c>
      <c r="AE13" s="393" t="s">
        <v>6373</v>
      </c>
    </row>
    <row r="14" spans="1:32" ht="15.75">
      <c r="A14" s="438" t="s">
        <v>6375</v>
      </c>
      <c r="B14" s="393">
        <f>COUNTIFS(EQUIPMENT!$N:$N, "&lt;&gt;", EQUIPMENT!$X:$X, "&lt;&gt;",EQUIPMENT!$J:$J, "1.January", EQUIPMENT!$D:$D, "MBA")</f>
        <v>7</v>
      </c>
      <c r="C14" s="393">
        <f>COUNTIFS(EQUIPMENT!$N:$N, "&lt;&gt;", EQUIPMENT!$X:$X, "&lt;&gt;",EQUIPMENT!$J:$J, "2.February", EQUIPMENT!$D:$D, "MBA")</f>
        <v>8</v>
      </c>
      <c r="D14" s="393">
        <f>COUNTIFS(EQUIPMENT!$N:$N, "&lt;&gt;", EQUIPMENT!$X:$X, "&lt;&gt;",EQUIPMENT!$J:$J, "3.March", EQUIPMENT!$D:$D, "MBA")</f>
        <v>4</v>
      </c>
      <c r="E14" s="393">
        <f>COUNTIFS(EQUIPMENT!$N:$N, "&lt;&gt;", EQUIPMENT!$X:$X, "&lt;&gt;",EQUIPMENT!$J:$J, "4.April", EQUIPMENT!$D:$D, "MBA")</f>
        <v>0</v>
      </c>
      <c r="F14" s="393">
        <f>COUNTIFS(EQUIPMENT!$N:$N, "&lt;&gt;", EQUIPMENT!$X:$X, "&lt;&gt;",EQUIPMENT!$J:$J, "5.May", EQUIPMENT!$D:$D, "MBA")</f>
        <v>0</v>
      </c>
      <c r="G14" s="393">
        <f>COUNTIFS(EQUIPMENT!$N:$N, "&lt;&gt;", EQUIPMENT!$X:$X, "&lt;&gt;",EQUIPMENT!$J:$J, "6.June", EQUIPMENT!$D:$D, "MBA")</f>
        <v>0</v>
      </c>
      <c r="H14" s="393">
        <f>SUM(B14:G14)</f>
        <v>19</v>
      </c>
      <c r="I14" s="393">
        <f>COUNTIFS(EQUIPMENT!$N:$N, "&lt;&gt;", EQUIPMENT!$X:$X, "&lt;&gt;",EQUIPMENT!$J:$J, "7.July", EQUIPMENT!$D:$D, "MBA")</f>
        <v>0</v>
      </c>
      <c r="J14" s="393">
        <f>COUNTIFS(EQUIPMENT!$N:$N, "&lt;&gt;", EQUIPMENT!$X:$X, "&lt;&gt;",EQUIPMENT!$J:$J, "8.August", EQUIPMENT!$D:$D, "MBA")</f>
        <v>0</v>
      </c>
      <c r="K14" s="393">
        <f>COUNTIFS(EQUIPMENT!$N:$N, "&lt;&gt;", EQUIPMENT!$X:$X, "&lt;&gt;",EQUIPMENT!$J:$J, "9.September", EQUIPMENT!$D:$D, "MBA")</f>
        <v>0</v>
      </c>
      <c r="L14" s="393">
        <f>COUNTIFS(EQUIPMENT!$N:$N, "&lt;&gt;", EQUIPMENT!$X:$X, "&lt;&gt;",EQUIPMENT!$J:$J, "10.October", EQUIPMENT!$D:$D, "MBA")</f>
        <v>0</v>
      </c>
      <c r="M14" s="393">
        <f>COUNTIFS(EQUIPMENT!$N:$N, "&lt;&gt;", EQUIPMENT!$X:$X, "&lt;&gt;",EQUIPMENT!$J:$J, "11.November", EQUIPMENT!$D:$D, "MBA")</f>
        <v>0</v>
      </c>
      <c r="N14" s="393">
        <f>COUNTIFS(EQUIPMENT!$N:$N, "&lt;&gt;", EQUIPMENT!$X:$X, "&lt;&gt;",EQUIPMENT!$J:$J, "12.December", EQUIPMENT!$D:$D, "MBA")</f>
        <v>0</v>
      </c>
      <c r="O14" s="393">
        <f>SUM(I14:N14)</f>
        <v>0</v>
      </c>
      <c r="P14" s="393">
        <f t="shared" si="18"/>
        <v>19</v>
      </c>
      <c r="S14" s="682"/>
      <c r="T14" s="650" t="s">
        <v>486</v>
      </c>
      <c r="U14" s="393">
        <f>COUNTIFS('10-YEAR SWM PLAN'!$A:$A, "Bataan", '10-YEAR SWM PLAN'!$B:$B, "Orani", '10-YEAR SWM PLAN'!$AC:$AC, "&lt;&gt;")</f>
        <v>0</v>
      </c>
      <c r="V14" s="393">
        <f>COUNTIFS('FUNDED MRF'!$A:$A, "bataan", 'FUNDED MRF'!$B:$B, "*orani*", 'FUNDED MRF'!$AA:$AA, "&lt;&gt;")</f>
        <v>0</v>
      </c>
      <c r="W14" s="393">
        <f>COUNTIFS(SLF!$A:$A, "Bataan", SLF!$B:$B, "*orani*", SLF!$AF:$AF, "&lt;&gt;")</f>
        <v>0</v>
      </c>
      <c r="X14" s="393">
        <f>COUNTIFS(EQUIPMENT!$A:$A, "Bataan", EQUIPMENT!$B:$B, "*ora*", EQUIPMENT!$X:$X, "&lt;&gt;")</f>
        <v>1</v>
      </c>
      <c r="Y14" s="393" t="s">
        <v>6373</v>
      </c>
      <c r="Z14" s="393">
        <f>COUNTIFS('TECHNICAL ASSISTANCE TO BRGY.'!$A:$A, "Bataan", 'TECHNICAL ASSISTANCE TO BRGY.'!$B:$B, "*orani*", 'TECHNICAL ASSISTANCE TO BRGY.'!$T:$T, "&lt;&gt;")</f>
        <v>0</v>
      </c>
      <c r="AA14" s="393">
        <f>COUNTIFS('LGU ASST. &amp; WASTE DIVERSION REC'!$A:$A, "BATAAN", 'LGU ASST. &amp; WASTE DIVERSION REC'!$B:$B, "*ORANI*", 'LGU ASST. &amp; WASTE DIVERSION REC'!$Q:$Q, "&lt;&gt;")</f>
        <v>0</v>
      </c>
      <c r="AB14" s="393" t="s">
        <v>6373</v>
      </c>
      <c r="AC14" s="393">
        <f>COUNTIFS(PDS!$A:$A, "Bataan", PDS!$B:$B, "*orani*", PDS!$AD:$AD, "&lt;&gt;")</f>
        <v>1</v>
      </c>
      <c r="AD14" s="393">
        <f>COUNTIFS(RCA!$A:$A, "Bataan", RCA!$B:$B, "*orani*", RCA!$W:$W, "&lt;&gt;")</f>
        <v>0</v>
      </c>
      <c r="AE14" s="393" t="s">
        <v>6373</v>
      </c>
    </row>
    <row r="15" spans="1:32" ht="15.75">
      <c r="A15" s="438" t="s">
        <v>6376</v>
      </c>
      <c r="B15" s="393">
        <f>COUNTIFS(EQUIPMENT!$N:$N, "&lt;&gt;", EQUIPMENT!$X:$X, "&lt;&gt;",EQUIPMENT!$J:$J, "1.January", EQUIPMENT!$D:$D, "OUTSIDE MBA")</f>
        <v>1</v>
      </c>
      <c r="C15" s="393">
        <f>COUNTIFS(EQUIPMENT!$N:$N, "&lt;&gt;", EQUIPMENT!$X:$X, "&lt;&gt;",EQUIPMENT!$J:$J, "2.February", EQUIPMENT!$D:$D, "OUTSIDE MBA")</f>
        <v>4</v>
      </c>
      <c r="D15" s="393">
        <f>COUNTIFS(EQUIPMENT!$N:$N, "&lt;&gt;", EQUIPMENT!$X:$X, "&lt;&gt;",EQUIPMENT!$J:$J, "3.March", EQUIPMENT!$D:$D, "OUTSIDE MBA")</f>
        <v>0</v>
      </c>
      <c r="E15" s="393">
        <f>COUNTIFS(EQUIPMENT!$N:$N, "&lt;&gt;", EQUIPMENT!$X:$X, "&lt;&gt;",EQUIPMENT!$J:$J, "4.April", EQUIPMENT!$D:$D, "OUTSIDE MBA")</f>
        <v>0</v>
      </c>
      <c r="F15" s="393">
        <f>COUNTIFS(EQUIPMENT!$N:$N, "&lt;&gt;", EQUIPMENT!$X:$X, "&lt;&gt;",EQUIPMENT!$J:$J, "5.May", EQUIPMENT!$D:$D, "OUTSIDE MBA")</f>
        <v>0</v>
      </c>
      <c r="G15" s="393">
        <f>COUNTIFS(EQUIPMENT!$N:$N, "&lt;&gt;", EQUIPMENT!$X:$X, "&lt;&gt;",EQUIPMENT!$J:$J, "6.June", EQUIPMENT!$D:$D, "OUTSIDE MBA")</f>
        <v>0</v>
      </c>
      <c r="H15" s="393">
        <f>SUM(B15:G15)</f>
        <v>5</v>
      </c>
      <c r="I15" s="393">
        <f>COUNTIFS(EQUIPMENT!$N:$N, "&lt;&gt;", EQUIPMENT!$X:$X, "&lt;&gt;",EQUIPMENT!$J:$J, "7.July", EQUIPMENT!$D:$D, "OUTSIDE MBA")</f>
        <v>0</v>
      </c>
      <c r="J15" s="393">
        <f>COUNTIFS(EQUIPMENT!$N:$N, "&lt;&gt;", EQUIPMENT!$X:$X, "&lt;&gt;",EQUIPMENT!$J:$J, "8.August", EQUIPMENT!$D:$D, "OUTSIDE MBA")</f>
        <v>0</v>
      </c>
      <c r="K15" s="393">
        <f>COUNTIFS(EQUIPMENT!$N:$N, "&lt;&gt;", EQUIPMENT!$X:$X, "&lt;&gt;",EQUIPMENT!$J:$J, "9.September", EQUIPMENT!$D:$D, "OUTSIDE MBA")</f>
        <v>0</v>
      </c>
      <c r="L15" s="393">
        <f>COUNTIFS(EQUIPMENT!$N:$N, "&lt;&gt;", EQUIPMENT!$X:$X, "&lt;&gt;",EQUIPMENT!$J:$J, "10.October", EQUIPMENT!$D:$D, "OUTSIDE MBA")</f>
        <v>0</v>
      </c>
      <c r="M15" s="393">
        <f>COUNTIFS(EQUIPMENT!$N:$N, "&lt;&gt;", EQUIPMENT!$X:$X, "&lt;&gt;",EQUIPMENT!$J:$J, "11.November", EQUIPMENT!$D:$D, "OUTSIDE MBA")</f>
        <v>0</v>
      </c>
      <c r="N15" s="393">
        <f>COUNTIFS(EQUIPMENT!$N:$N, "&lt;&gt;", EQUIPMENT!$X:$X, "&lt;&gt;",EQUIPMENT!$J:$J, "12.December", EQUIPMENT!$D:$D, "OUTSIDE MBA")</f>
        <v>0</v>
      </c>
      <c r="O15" s="393">
        <f>SUM(I15:N15)</f>
        <v>0</v>
      </c>
      <c r="P15" s="393">
        <f t="shared" si="18"/>
        <v>5</v>
      </c>
      <c r="S15" s="682"/>
      <c r="T15" s="650" t="s">
        <v>432</v>
      </c>
      <c r="U15" s="393">
        <f>COUNTIFS('10-YEAR SWM PLAN'!$A:$A, "Bataan", '10-YEAR SWM PLAN'!$B:$B, "Samal", '10-YEAR SWM PLAN'!$AC:$AC, "&lt;&gt;")</f>
        <v>0</v>
      </c>
      <c r="V15" s="393">
        <f>COUNTIFS('FUNDED MRF'!$A:$A, "bataan", 'FUNDED MRF'!$B:$B, "*samal*", 'FUNDED MRF'!$AA:$AA, "&lt;&gt;")</f>
        <v>0</v>
      </c>
      <c r="W15" s="393">
        <f>COUNTIFS(SLF!$A:$A, "Bataan", SLF!$B:$B, "*samal*", SLF!$AF:$AF, "&lt;&gt;")</f>
        <v>0</v>
      </c>
      <c r="X15" s="393">
        <f>COUNTIFS(EQUIPMENT!$A:$A, "Bataan", EQUIPMENT!$B:$B, "*samal*", EQUIPMENT!$X:$X, "&lt;&gt;")</f>
        <v>1</v>
      </c>
      <c r="Y15" s="393" t="s">
        <v>6373</v>
      </c>
      <c r="Z15" s="393">
        <f>COUNTIFS('TECHNICAL ASSISTANCE TO BRGY.'!$A:$A, "Bataan", 'TECHNICAL ASSISTANCE TO BRGY.'!$B:$B, "*Samal*", 'TECHNICAL ASSISTANCE TO BRGY.'!$T:$T, "&lt;&gt;")</f>
        <v>0</v>
      </c>
      <c r="AA15" s="393">
        <f>COUNTIFS('LGU ASST. &amp; WASTE DIVERSION REC'!$A:$A, "BATAAN", 'LGU ASST. &amp; WASTE DIVERSION REC'!$B:$B, "*SAMAL*", 'LGU ASST. &amp; WASTE DIVERSION REC'!$Q:$Q, "&lt;&gt;")</f>
        <v>0</v>
      </c>
      <c r="AB15" s="393" t="s">
        <v>6373</v>
      </c>
      <c r="AC15" s="393">
        <f>COUNTIFS(PDS!$A:$A, "Bataan", PDS!$B:$B, "*samal*", PDS!$AD:$AD, "&lt;&gt;")</f>
        <v>0</v>
      </c>
      <c r="AD15" s="393">
        <f>COUNTIFS(RCA!$A:$A, "Bataan", RCA!$B:$B, "*samal*", RCA!$W:$W, "&lt;&gt;")</f>
        <v>0</v>
      </c>
      <c r="AE15" s="393" t="s">
        <v>6373</v>
      </c>
    </row>
    <row r="16" spans="1:32" ht="15.75">
      <c r="A16" s="440" t="s">
        <v>6</v>
      </c>
      <c r="B16" s="439">
        <f>SUM(B17:B18)</f>
        <v>0</v>
      </c>
      <c r="C16" s="439">
        <f t="shared" ref="C16" si="46">SUM(C17:C18)</f>
        <v>0</v>
      </c>
      <c r="D16" s="439">
        <f t="shared" ref="D16" si="47">SUM(D17:D18)</f>
        <v>0</v>
      </c>
      <c r="E16" s="439">
        <f t="shared" ref="E16" si="48">SUM(E17:E18)</f>
        <v>0</v>
      </c>
      <c r="F16" s="439">
        <f t="shared" ref="F16" si="49">SUM(F17:F18)</f>
        <v>0</v>
      </c>
      <c r="G16" s="439">
        <f t="shared" ref="G16" si="50">SUM(G17:G18)</f>
        <v>0</v>
      </c>
      <c r="H16" s="439">
        <f t="shared" ref="H16" si="51">SUM(H17:H18)</f>
        <v>0</v>
      </c>
      <c r="I16" s="439">
        <f t="shared" ref="I16" si="52">SUM(I17:I18)</f>
        <v>0</v>
      </c>
      <c r="J16" s="439">
        <f t="shared" ref="J16" si="53">SUM(J17:J18)</f>
        <v>0</v>
      </c>
      <c r="K16" s="439">
        <f t="shared" ref="K16" si="54">SUM(K17:K18)</f>
        <v>0</v>
      </c>
      <c r="L16" s="439">
        <f t="shared" ref="L16" si="55">SUM(L17:L18)</f>
        <v>0</v>
      </c>
      <c r="M16" s="439">
        <f t="shared" ref="M16" si="56">SUM(M17:M18)</f>
        <v>0</v>
      </c>
      <c r="N16" s="439">
        <f t="shared" ref="N16" si="57">SUM(N17:N18)</f>
        <v>0</v>
      </c>
      <c r="O16" s="439">
        <f t="shared" ref="O16" si="58">SUM(O17:O18)</f>
        <v>0</v>
      </c>
      <c r="P16" s="439">
        <f t="shared" si="18"/>
        <v>0</v>
      </c>
      <c r="S16" s="682"/>
      <c r="T16" s="660" t="s">
        <v>6379</v>
      </c>
      <c r="U16" s="660">
        <f>SUM(U17:U20)</f>
        <v>1</v>
      </c>
      <c r="V16" s="660">
        <f t="shared" ref="V16:AE16" si="59">SUM(V17:V20)</f>
        <v>0</v>
      </c>
      <c r="W16" s="660">
        <f t="shared" si="59"/>
        <v>0</v>
      </c>
      <c r="X16" s="660">
        <f t="shared" si="59"/>
        <v>0</v>
      </c>
      <c r="Y16" s="660">
        <f t="shared" si="59"/>
        <v>0</v>
      </c>
      <c r="Z16" s="660">
        <f t="shared" si="59"/>
        <v>0</v>
      </c>
      <c r="AA16" s="660">
        <f t="shared" si="59"/>
        <v>1</v>
      </c>
      <c r="AB16" s="660">
        <f t="shared" si="59"/>
        <v>0</v>
      </c>
      <c r="AC16" s="660">
        <f t="shared" si="59"/>
        <v>0</v>
      </c>
      <c r="AD16" s="660">
        <f t="shared" si="59"/>
        <v>0</v>
      </c>
      <c r="AE16" s="660">
        <f t="shared" si="59"/>
        <v>0</v>
      </c>
    </row>
    <row r="17" spans="1:31" ht="15.75">
      <c r="A17" s="438" t="s">
        <v>6375</v>
      </c>
      <c r="B17" s="393">
        <f>COUNTIFS('ODS 3'!$R:$R, "&lt;&gt;", 'ODS 3'!$AB:$AB, "&lt;&gt;", 'ODS 3'!$N:$N, "1.January", 'ODS 3'!$D:$D, "MBA")</f>
        <v>0</v>
      </c>
      <c r="C17" s="393">
        <f>COUNTIFS('ODS 3'!$R:$R, "&lt;&gt;", 'ODS 3'!$AB:$AB, "&lt;&gt;", 'ODS 3'!$N:$N, "2.February", 'ODS 3'!$D:$D, "MBA")</f>
        <v>0</v>
      </c>
      <c r="D17" s="393">
        <f>COUNTIFS('ODS 3'!$R:$R, "&lt;&gt;", 'ODS 3'!$AB:$AB, "&lt;&gt;", 'ODS 3'!$N:$N, "3.March", 'ODS 3'!$D:$D, "MBA")</f>
        <v>0</v>
      </c>
      <c r="E17" s="393">
        <f>COUNTIFS('ODS 3'!$R:$R, "&lt;&gt;", 'ODS 3'!$AB:$AB, "&lt;&gt;", 'ODS 3'!$N:$N, "4.April", 'ODS 3'!$D:$D, "MBA")</f>
        <v>0</v>
      </c>
      <c r="F17" s="393">
        <f>COUNTIFS('ODS 3'!$R:$R, "&lt;&gt;", 'ODS 3'!$AB:$AB, "&lt;&gt;", 'ODS 3'!$N:$N, "5.May", 'ODS 3'!$D:$D, "MBA")</f>
        <v>0</v>
      </c>
      <c r="G17" s="393">
        <f>COUNTIFS('ODS 3'!$R:$R, "&lt;&gt;", 'ODS 3'!$AB:$AB, "&lt;&gt;", 'ODS 3'!$N:$N, "6.June", 'ODS 3'!$D:$D, "MBA")</f>
        <v>0</v>
      </c>
      <c r="H17" s="393">
        <f>COUNTIFS('ODS 3'!$R:$R, "&lt;&gt;", 'ODS 3'!$AB:$AB, "&lt;&gt;", 'ODS 3'!$N:$N, "6.June", 'ODS 3'!$D:$D, "MBA")</f>
        <v>0</v>
      </c>
      <c r="I17" s="393">
        <f>COUNTIFS('ODS 3'!$R:$R, "&lt;&gt;", 'ODS 3'!$AB:$AB, "&lt;&gt;", 'ODS 3'!$N:$N, "7.July", 'ODS 3'!$D:$D, "MBA")</f>
        <v>0</v>
      </c>
      <c r="J17" s="393">
        <f>COUNTIFS('ODS 3'!$R:$R, "&lt;&gt;", 'ODS 3'!$AB:$AB, "&lt;&gt;", 'ODS 3'!$N:$N, "8.August", 'ODS 3'!$D:$D, "MBA")</f>
        <v>0</v>
      </c>
      <c r="K17" s="393">
        <f>COUNTIFS('ODS 3'!$R:$R, "&lt;&gt;", 'ODS 3'!$AB:$AB, "&lt;&gt;", 'ODS 3'!$N:$N, "9.September", 'ODS 3'!$D:$D, "MBA")</f>
        <v>0</v>
      </c>
      <c r="L17" s="393">
        <f>COUNTIFS('ODS 3'!$R:$R, "&lt;&gt;", 'ODS 3'!$AB:$AB, "&lt;&gt;", 'ODS 3'!$N:$N, "10.October", 'ODS 3'!$D:$D, "MBA")</f>
        <v>0</v>
      </c>
      <c r="M17" s="393">
        <f>COUNTIFS('ODS 3'!$R:$R, "&lt;&gt;", 'ODS 3'!$AB:$AB, "&lt;&gt;", 'ODS 3'!$N:$N, "11.November", 'ODS 3'!$D:$D, "MBA")</f>
        <v>0</v>
      </c>
      <c r="N17" s="393">
        <f>COUNTIFS('ODS 3'!$R:$R, "&lt;&gt;", 'ODS 3'!$AB:$AB, "&lt;&gt;", 'ODS 3'!$N:$N, "12.December", 'ODS 3'!$D:$D, "MBA")</f>
        <v>0</v>
      </c>
      <c r="O17" s="393">
        <f>SUM(I17:N17)</f>
        <v>0</v>
      </c>
      <c r="P17" s="393">
        <f t="shared" si="18"/>
        <v>0</v>
      </c>
      <c r="S17" s="682"/>
      <c r="T17" s="650" t="s">
        <v>1755</v>
      </c>
      <c r="U17" s="393">
        <f>COUNTIFS('10-YEAR SWM PLAN'!$A:$A, "Bataan", '10-YEAR SWM PLAN'!$B:$B, "*Balanga*", '10-YEAR SWM PLAN'!$AC:$AC, "&lt;&gt;")</f>
        <v>1</v>
      </c>
      <c r="V17" s="393">
        <f>COUNTIFS('FUNDED MRF'!$A:$A, "bataan", 'FUNDED MRF'!$B:$B, "*Balanga*", 'FUNDED MRF'!$AA:$AA, "&lt;&gt;")</f>
        <v>0</v>
      </c>
      <c r="W17" s="393">
        <f>COUNTIFS(SLF!$A:$A, "Bataan", SLF!$B:$B, "*balanga*", SLF!$AF:$AF, "&lt;&gt;")</f>
        <v>0</v>
      </c>
      <c r="X17" s="393">
        <f>COUNTIFS(EQUIPMENT!$A:$A, "Bataan", EQUIPMENT!$B:$B, "*balanga*", EQUIPMENT!$X:$X, "&lt;&gt;")</f>
        <v>0</v>
      </c>
      <c r="Y17" s="393" t="s">
        <v>6373</v>
      </c>
      <c r="Z17" s="393">
        <f>COUNTIFS('TECHNICAL ASSISTANCE TO BRGY.'!$A:$A, "Bataan", 'TECHNICAL ASSISTANCE TO BRGY.'!$B:$B, "*balanga*", 'TECHNICAL ASSISTANCE TO BRGY.'!$T:$T, "&lt;&gt;")</f>
        <v>0</v>
      </c>
      <c r="AA17" s="393">
        <f>COUNTIFS('LGU ASST. &amp; WASTE DIVERSION REC'!$A:$A, "BATAAN", 'LGU ASST. &amp; WASTE DIVERSION REC'!$B:$B, "*BALANGA*", 'LGU ASST. &amp; WASTE DIVERSION REC'!$Q:$Q, "&lt;&gt;")</f>
        <v>1</v>
      </c>
      <c r="AB17" s="393" t="s">
        <v>6373</v>
      </c>
      <c r="AC17" s="393">
        <f>COUNTIFS(PDS!$A:$A, "Bataan", PDS!$B:$B, "*balanga*", PDS!$AD:$AD, "&lt;&gt;")</f>
        <v>0</v>
      </c>
      <c r="AD17" s="393" t="s">
        <v>6373</v>
      </c>
      <c r="AE17" s="393" t="s">
        <v>6373</v>
      </c>
    </row>
    <row r="18" spans="1:31" ht="15.75">
      <c r="A18" s="438" t="s">
        <v>6376</v>
      </c>
      <c r="B18" s="393">
        <f>COUNTIFS('ODS 3'!$R:$R, "&lt;&gt;", 'ODS 3'!$AB:$AB, "&lt;&gt;", 'ODS 3'!$N:$N, "1.January", 'ODS 3'!$D:$D, "OUTSIDE MBA")</f>
        <v>0</v>
      </c>
      <c r="C18" s="393">
        <f>COUNTIFS('ODS 3'!$R:$R, "&lt;&gt;", 'ODS 3'!$AB:$AB, "&lt;&gt;", 'ODS 3'!$N:$N, "2.February", 'ODS 3'!$D:$D, "MBA")</f>
        <v>0</v>
      </c>
      <c r="D18" s="393">
        <f>COUNTIFS('ODS 3'!$R:$R, "&lt;&gt;", 'ODS 3'!$AB:$AB, "&lt;&gt;", 'ODS 3'!$N:$N, "3.March", 'ODS 3'!$D:$D, "MBA")</f>
        <v>0</v>
      </c>
      <c r="E18" s="393">
        <f>COUNTIFS('ODS 3'!$R:$R, "&lt;&gt;", 'ODS 3'!$AB:$AB, "&lt;&gt;", 'ODS 3'!$N:$N, "4.April", 'ODS 3'!$D:$D, "MBA")</f>
        <v>0</v>
      </c>
      <c r="F18" s="393">
        <f>COUNTIFS('ODS 3'!$R:$R, "&lt;&gt;", 'ODS 3'!$AB:$AB, "&lt;&gt;", 'ODS 3'!$N:$N, "5.May", 'ODS 3'!$D:$D, "MBA")</f>
        <v>0</v>
      </c>
      <c r="G18" s="393">
        <f>COUNTIFS('ODS 3'!$R:$R, "&lt;&gt;", 'ODS 3'!$AB:$AB, "&lt;&gt;", 'ODS 3'!$N:$N, "6.June", 'ODS 3'!$D:$D, "MBA")</f>
        <v>0</v>
      </c>
      <c r="H18" s="393">
        <f>SUM(B18:G18)</f>
        <v>0</v>
      </c>
      <c r="I18" s="393">
        <f>COUNTIFS('ODS 3'!$R:$R, "&lt;&gt;", 'ODS 3'!$AB:$AB, "&lt;&gt;", 'ODS 3'!$N:$N, "7.July", 'ODS 3'!$D:$D, "MBA")</f>
        <v>0</v>
      </c>
      <c r="J18" s="393">
        <f>COUNTIFS('ODS 3'!$R:$R, "&lt;&gt;", 'ODS 3'!$AB:$AB, "&lt;&gt;", 'ODS 3'!$N:$N, "8.August", 'ODS 3'!$D:$D, "MBA")</f>
        <v>0</v>
      </c>
      <c r="K18" s="393">
        <f>COUNTIFS('ODS 3'!$R:$R, "&lt;&gt;", 'ODS 3'!$AB:$AB, "&lt;&gt;", 'ODS 3'!$N:$N, "9.September", 'ODS 3'!$D:$D, "MBA")</f>
        <v>0</v>
      </c>
      <c r="L18" s="393">
        <f>COUNTIFS('ODS 3'!$R:$R, "&lt;&gt;", 'ODS 3'!$AB:$AB, "&lt;&gt;", 'ODS 3'!$N:$N, "10.October", 'ODS 3'!$D:$D, "MBA")</f>
        <v>0</v>
      </c>
      <c r="M18" s="393">
        <f>COUNTIFS('ODS 3'!$R:$R, "&lt;&gt;", 'ODS 3'!$AB:$AB, "&lt;&gt;", 'ODS 3'!$N:$N, "11.November", 'ODS 3'!$D:$D, "MBA")</f>
        <v>0</v>
      </c>
      <c r="N18" s="393">
        <f>COUNTIFS('ODS 3'!$R:$R, "&lt;&gt;", 'ODS 3'!$AB:$AB, "&lt;&gt;", 'ODS 3'!$N:$N, "12.December", 'ODS 3'!$D:$D, "MBA")</f>
        <v>0</v>
      </c>
      <c r="O18" s="393">
        <f>SUM(I18:N18)</f>
        <v>0</v>
      </c>
      <c r="P18" s="393">
        <f t="shared" si="18"/>
        <v>0</v>
      </c>
      <c r="S18" s="682"/>
      <c r="T18" s="650" t="s">
        <v>482</v>
      </c>
      <c r="U18" s="393">
        <f>COUNTIFS('10-YEAR SWM PLAN'!$A:$A, "Bataan", '10-YEAR SWM PLAN'!$B:$B, "Limay", '10-YEAR SWM PLAN'!$AC:$AC, "&lt;&gt;")</f>
        <v>0</v>
      </c>
      <c r="V18" s="393">
        <f>COUNTIFS('FUNDED MRF'!$A:$A, "bataan", 'FUNDED MRF'!$B:$B, "*LIMAY*", 'FUNDED MRF'!$AA:$AA, "&lt;&gt;")</f>
        <v>0</v>
      </c>
      <c r="W18" s="393">
        <f>COUNTIFS(SLF!$A:$A, "Bataan", SLF!$B:$B, "*limay*", SLF!$AF:$AF, "&lt;&gt;")</f>
        <v>0</v>
      </c>
      <c r="X18" s="393">
        <f>COUNTIFS(EQUIPMENT!$A:$A, "Bataan", EQUIPMENT!$B:$B, "*lima*", EQUIPMENT!$X:$X, "&lt;&gt;")</f>
        <v>0</v>
      </c>
      <c r="Y18" s="393" t="s">
        <v>6373</v>
      </c>
      <c r="Z18" s="393">
        <f>COUNTIFS('TECHNICAL ASSISTANCE TO BRGY.'!$A:$A, "Bataan", 'TECHNICAL ASSISTANCE TO BRGY.'!$B:$B, "*limay*", 'TECHNICAL ASSISTANCE TO BRGY.'!$T:$T, "&lt;&gt;")</f>
        <v>0</v>
      </c>
      <c r="AA18" s="393">
        <f>COUNTIFS('LGU ASST. &amp; WASTE DIVERSION REC'!$A:$A, "BATAAN", 'LGU ASST. &amp; WASTE DIVERSION REC'!$B:$B, "*LIMAY*", 'LGU ASST. &amp; WASTE DIVERSION REC'!$Q:$Q, "&lt;&gt;")</f>
        <v>0</v>
      </c>
      <c r="AB18" s="393" t="s">
        <v>6373</v>
      </c>
      <c r="AC18" s="393">
        <f>COUNTIFS(PDS!$A:$A, "Bataan", PDS!$B:$B, "*limay*", PDS!$AD:$AD, "&lt;&gt;")</f>
        <v>0</v>
      </c>
      <c r="AD18" s="393" t="s">
        <v>6373</v>
      </c>
      <c r="AE18" s="393" t="s">
        <v>6373</v>
      </c>
    </row>
    <row r="19" spans="1:31" ht="15.75">
      <c r="A19" s="440" t="s">
        <v>6380</v>
      </c>
      <c r="B19" s="439">
        <f>COUNTIFS('LGU ASST. &amp; WASTE DIVERSION REC'!$F:$F, "1.January", 'LGU ASST. &amp; WASTE DIVERSION REC'!$U:$U, "&lt;&gt;")</f>
        <v>0</v>
      </c>
      <c r="C19" s="439">
        <f>COUNTIFS('LGU ASST. &amp; WASTE DIVERSION REC'!$F:$F, "2.February", 'LGU ASST. &amp; WASTE DIVERSION REC'!$U:$U, "&lt;&gt;")</f>
        <v>0</v>
      </c>
      <c r="D19" s="439">
        <f>COUNTIFS('LGU ASST. &amp; WASTE DIVERSION REC'!$F:$F, "3.March", 'LGU ASST. &amp; WASTE DIVERSION REC'!$U:$U, "&lt;&gt;")</f>
        <v>0</v>
      </c>
      <c r="E19" s="439">
        <f>COUNTIFS('LGU ASST. &amp; WASTE DIVERSION REC'!$F:$F, "4.April", 'LGU ASST. &amp; WASTE DIVERSION REC'!$U:$U, "&lt;&gt;")</f>
        <v>0</v>
      </c>
      <c r="F19" s="439">
        <f>COUNTIFS('LGU ASST. &amp; WASTE DIVERSION REC'!$F:$F, "5.May", 'LGU ASST. &amp; WASTE DIVERSION REC'!$U:$U, "&lt;&gt;")</f>
        <v>0</v>
      </c>
      <c r="G19" s="439">
        <f>COUNTIFS('LGU ASST. &amp; WASTE DIVERSION REC'!$F:$F, "6.June", 'LGU ASST. &amp; WASTE DIVERSION REC'!$U:$U, "&lt;&gt;")</f>
        <v>0</v>
      </c>
      <c r="H19" s="439">
        <f t="shared" ref="H19" si="60">SUM(H20:H21)</f>
        <v>0</v>
      </c>
      <c r="I19" s="439">
        <f>COUNTIFS('LGU ASST. &amp; WASTE DIVERSION REC'!$F:$F, "7.July", 'LGU ASST. &amp; WASTE DIVERSION REC'!$U:$U, "&lt;&gt;")</f>
        <v>0</v>
      </c>
      <c r="J19" s="439">
        <f>COUNTIFS('LGU ASST. &amp; WASTE DIVERSION REC'!$F:$F, "8.August", 'LGU ASST. &amp; WASTE DIVERSION REC'!$U:$U, "&lt;&gt;")</f>
        <v>0</v>
      </c>
      <c r="K19" s="439">
        <f>COUNTIFS('LGU ASST. &amp; WASTE DIVERSION REC'!$F:$F, "9.September", 'LGU ASST. &amp; WASTE DIVERSION REC'!$U:$U, "&lt;&gt;")</f>
        <v>0</v>
      </c>
      <c r="L19" s="439">
        <f>COUNTIFS('LGU ASST. &amp; WASTE DIVERSION REC'!$F:$F, "10.October", 'LGU ASST. &amp; WASTE DIVERSION REC'!$U:$U, "&lt;&gt;")</f>
        <v>0</v>
      </c>
      <c r="M19" s="439">
        <f>COUNTIFS('LGU ASST. &amp; WASTE DIVERSION REC'!$F:$F, "11.November", 'LGU ASST. &amp; WASTE DIVERSION REC'!$U:$U, "&lt;&gt;")</f>
        <v>0</v>
      </c>
      <c r="N19" s="439">
        <f>COUNTIFS('LGU ASST. &amp; WASTE DIVERSION REC'!$F:$F, "12.December", 'LGU ASST. &amp; WASTE DIVERSION REC'!$U:$U, "&lt;&gt;")</f>
        <v>0</v>
      </c>
      <c r="O19" s="439">
        <f t="shared" ref="O19" si="61">SUM(O20:O21)</f>
        <v>0</v>
      </c>
      <c r="P19" s="439">
        <f t="shared" si="18"/>
        <v>0</v>
      </c>
      <c r="S19" s="682"/>
      <c r="T19" s="650" t="s">
        <v>373</v>
      </c>
      <c r="U19" s="393">
        <f>COUNTIFS('10-YEAR SWM PLAN'!$A:$A, "Bataan", '10-YEAR SWM PLAN'!$B:$B, "Orion", '10-YEAR SWM PLAN'!$AC:$AC, "&lt;&gt;")</f>
        <v>0</v>
      </c>
      <c r="V19" s="393">
        <f>COUNTIFS('FUNDED MRF'!$A:$A, "bataan", 'FUNDED MRF'!$B:$B, "*Orion*", 'FUNDED MRF'!$AA:$AA, "&lt;&gt;")</f>
        <v>0</v>
      </c>
      <c r="W19" s="393">
        <f>COUNTIFS(SLF!$A:$A, "Bataan", SLF!$B:$B, "*orion*", SLF!$AF:$AF, "&lt;&gt;")</f>
        <v>0</v>
      </c>
      <c r="X19" s="393">
        <f>COUNTIFS(EQUIPMENT!$A:$A, "Bataan", EQUIPMENT!$B:$B, "*ori*", EQUIPMENT!$X:$X, "&lt;&gt;")</f>
        <v>0</v>
      </c>
      <c r="Y19" s="393" t="s">
        <v>6373</v>
      </c>
      <c r="Z19" s="393">
        <f>COUNTIFS('TECHNICAL ASSISTANCE TO BRGY.'!$A:$A, "Bataan", 'TECHNICAL ASSISTANCE TO BRGY.'!$B:$B, "*orion*", 'TECHNICAL ASSISTANCE TO BRGY.'!$T:$T, "&lt;&gt;")</f>
        <v>0</v>
      </c>
      <c r="AA19" s="393">
        <f>COUNTIFS('LGU ASST. &amp; WASTE DIVERSION REC'!$A:$A, "BATAAN", 'LGU ASST. &amp; WASTE DIVERSION REC'!$B:$B, "*ORION*", 'LGU ASST. &amp; WASTE DIVERSION REC'!$Q:$Q, "&lt;&gt;")</f>
        <v>0</v>
      </c>
      <c r="AB19" s="393" t="s">
        <v>6373</v>
      </c>
      <c r="AC19" s="393">
        <f>COUNTIFS(PDS!$A:$A, "Bataan", PDS!$B:$B, "*orion*", PDS!$AD:$AD, "&lt;&gt;")</f>
        <v>0</v>
      </c>
      <c r="AD19" s="393" t="s">
        <v>6373</v>
      </c>
      <c r="AE19" s="393" t="s">
        <v>6373</v>
      </c>
    </row>
    <row r="20" spans="1:31" ht="15.75">
      <c r="A20" s="438" t="s">
        <v>6375</v>
      </c>
      <c r="B20" s="393" t="s">
        <v>6373</v>
      </c>
      <c r="C20" s="393" t="s">
        <v>6373</v>
      </c>
      <c r="D20" s="393" t="s">
        <v>6373</v>
      </c>
      <c r="E20" s="393" t="s">
        <v>6373</v>
      </c>
      <c r="F20" s="393" t="s">
        <v>6373</v>
      </c>
      <c r="G20" s="393" t="s">
        <v>6373</v>
      </c>
      <c r="H20" s="393" t="s">
        <v>6373</v>
      </c>
      <c r="I20" s="393" t="s">
        <v>6373</v>
      </c>
      <c r="J20" s="393" t="s">
        <v>6373</v>
      </c>
      <c r="K20" s="393" t="s">
        <v>6373</v>
      </c>
      <c r="L20" s="393" t="s">
        <v>6373</v>
      </c>
      <c r="M20" s="393" t="s">
        <v>6373</v>
      </c>
      <c r="N20" s="393" t="s">
        <v>6373</v>
      </c>
      <c r="O20" s="393" t="s">
        <v>6373</v>
      </c>
      <c r="P20" s="393" t="s">
        <v>6373</v>
      </c>
      <c r="S20" s="682"/>
      <c r="T20" s="650" t="s">
        <v>399</v>
      </c>
      <c r="U20" s="393">
        <f>COUNTIFS('10-YEAR SWM PLAN'!$A:$A, "Bataan", '10-YEAR SWM PLAN'!$B:$B, "Pilar", '10-YEAR SWM PLAN'!$AC:$AC, "&lt;&gt;")</f>
        <v>0</v>
      </c>
      <c r="V20" s="393">
        <f>COUNTIFS('FUNDED MRF'!$A:$A, "bataan", 'FUNDED MRF'!$B:$B, "*Pilar*", 'FUNDED MRF'!$AA:$AA, "&lt;&gt;")</f>
        <v>0</v>
      </c>
      <c r="W20" s="393">
        <f>COUNTIFS(SLF!$A:$A, "Bataan", SLF!$B:$B, "*pilar*", SLF!$AF:$AF, "&lt;&gt;")</f>
        <v>0</v>
      </c>
      <c r="X20" s="393">
        <f>COUNTIFS(EQUIPMENT!$A:$A, "Bataan", EQUIPMENT!$B:$B, "*pilar*", EQUIPMENT!$X:$X, "&lt;&gt;")</f>
        <v>0</v>
      </c>
      <c r="Y20" s="393" t="s">
        <v>6373</v>
      </c>
      <c r="Z20" s="393">
        <f>COUNTIFS('TECHNICAL ASSISTANCE TO BRGY.'!$A:$A, "Bataan", 'TECHNICAL ASSISTANCE TO BRGY.'!$B:$B, "*pilar*", 'TECHNICAL ASSISTANCE TO BRGY.'!$T:$T, "&lt;&gt;")</f>
        <v>0</v>
      </c>
      <c r="AA20" s="393">
        <f>COUNTIFS('LGU ASST. &amp; WASTE DIVERSION REC'!$A:$A, "BATAAN", 'LGU ASST. &amp; WASTE DIVERSION REC'!$B:$B, "*PILAR*", 'LGU ASST. &amp; WASTE DIVERSION REC'!$Q:$Q, "&lt;&gt;")</f>
        <v>0</v>
      </c>
      <c r="AB20" s="393" t="s">
        <v>6373</v>
      </c>
      <c r="AC20" s="393">
        <f>COUNTIFS(PDS!$A:$A, "Bataan", PDS!$B:$B, "*pilar*", PDS!$AD:$AD, "&lt;&gt;")</f>
        <v>0</v>
      </c>
      <c r="AD20" s="393" t="s">
        <v>6373</v>
      </c>
      <c r="AE20" s="393" t="s">
        <v>6373</v>
      </c>
    </row>
    <row r="21" spans="1:31" ht="15.75">
      <c r="A21" s="438" t="s">
        <v>6376</v>
      </c>
      <c r="B21" s="393" t="s">
        <v>6373</v>
      </c>
      <c r="C21" s="393" t="s">
        <v>6373</v>
      </c>
      <c r="D21" s="393" t="s">
        <v>6373</v>
      </c>
      <c r="E21" s="393" t="s">
        <v>6373</v>
      </c>
      <c r="F21" s="393" t="s">
        <v>6373</v>
      </c>
      <c r="G21" s="393" t="s">
        <v>6373</v>
      </c>
      <c r="H21" s="393" t="s">
        <v>6373</v>
      </c>
      <c r="I21" s="393" t="s">
        <v>6373</v>
      </c>
      <c r="J21" s="393" t="s">
        <v>6373</v>
      </c>
      <c r="K21" s="393" t="s">
        <v>6373</v>
      </c>
      <c r="L21" s="393" t="s">
        <v>6373</v>
      </c>
      <c r="M21" s="393" t="s">
        <v>6373</v>
      </c>
      <c r="N21" s="393" t="s">
        <v>6373</v>
      </c>
      <c r="O21" s="393" t="s">
        <v>6373</v>
      </c>
      <c r="P21" s="393" t="s">
        <v>6373</v>
      </c>
      <c r="S21" s="682"/>
      <c r="T21" s="660" t="s">
        <v>6381</v>
      </c>
      <c r="U21" s="660">
        <f>SUM(U22:U25)</f>
        <v>3</v>
      </c>
      <c r="V21" s="660">
        <f>SUM(V22:V25)</f>
        <v>1</v>
      </c>
      <c r="W21" s="660">
        <f t="shared" ref="W21:AE21" si="62">SUM(W22:W25)</f>
        <v>0</v>
      </c>
      <c r="X21" s="660">
        <f t="shared" si="62"/>
        <v>3</v>
      </c>
      <c r="Y21" s="660">
        <f t="shared" si="62"/>
        <v>0</v>
      </c>
      <c r="Z21" s="660">
        <f t="shared" si="62"/>
        <v>0</v>
      </c>
      <c r="AA21" s="660">
        <f t="shared" si="62"/>
        <v>0</v>
      </c>
      <c r="AB21" s="660">
        <f t="shared" si="62"/>
        <v>0</v>
      </c>
      <c r="AC21" s="660">
        <f t="shared" si="62"/>
        <v>0</v>
      </c>
      <c r="AD21" s="660">
        <f t="shared" si="62"/>
        <v>0</v>
      </c>
      <c r="AE21" s="660">
        <f t="shared" si="62"/>
        <v>1</v>
      </c>
    </row>
    <row r="22" spans="1:31" ht="15.75">
      <c r="A22" s="440" t="s">
        <v>6382</v>
      </c>
      <c r="B22" s="439">
        <f>SUM(B23:B24)</f>
        <v>6</v>
      </c>
      <c r="C22" s="439">
        <f t="shared" ref="C22" si="63">SUM(C23:C24)</f>
        <v>5</v>
      </c>
      <c r="D22" s="439">
        <f t="shared" ref="D22" si="64">SUM(D23:D24)</f>
        <v>0</v>
      </c>
      <c r="E22" s="439">
        <f t="shared" ref="E22" si="65">SUM(E23:E24)</f>
        <v>0</v>
      </c>
      <c r="F22" s="439">
        <f t="shared" ref="F22" si="66">SUM(F23:F24)</f>
        <v>0</v>
      </c>
      <c r="G22" s="439">
        <f t="shared" ref="G22" si="67">SUM(G23:G24)</f>
        <v>0</v>
      </c>
      <c r="H22" s="439">
        <f t="shared" ref="H22" si="68">SUM(H23:H24)</f>
        <v>3</v>
      </c>
      <c r="I22" s="439">
        <f t="shared" ref="I22" si="69">SUM(I23:I24)</f>
        <v>0</v>
      </c>
      <c r="J22" s="439">
        <f t="shared" ref="J22" si="70">SUM(J23:J24)</f>
        <v>0</v>
      </c>
      <c r="K22" s="439">
        <f t="shared" ref="K22" si="71">SUM(K23:K24)</f>
        <v>0</v>
      </c>
      <c r="L22" s="439">
        <f t="shared" ref="L22" si="72">SUM(L23:L24)</f>
        <v>0</v>
      </c>
      <c r="M22" s="439">
        <f t="shared" ref="M22" si="73">SUM(M23:M24)</f>
        <v>0</v>
      </c>
      <c r="N22" s="439">
        <f t="shared" ref="N22" si="74">SUM(N23:N24)</f>
        <v>0</v>
      </c>
      <c r="O22" s="439">
        <f t="shared" ref="O22" si="75">SUM(O23:O24)</f>
        <v>0</v>
      </c>
      <c r="P22" s="439">
        <f t="shared" ref="P22:P32" si="76">SUM(O22,H22)</f>
        <v>3</v>
      </c>
      <c r="S22" s="682"/>
      <c r="T22" s="650" t="s">
        <v>265</v>
      </c>
      <c r="U22" s="393">
        <f>COUNTIFS('10-YEAR SWM PLAN'!$A:$A, "Bataan", '10-YEAR SWM PLAN'!$B:$B, "Bagac", '10-YEAR SWM PLAN'!$AC:$AC, "&lt;&gt;")</f>
        <v>1</v>
      </c>
      <c r="V22" s="393">
        <f>COUNTIFS('FUNDED MRF'!$A:$A, "bataan", 'FUNDED MRF'!$B:$B, "*Bagac*", 'FUNDED MRF'!$AA:$AA, "&lt;&gt;")</f>
        <v>1</v>
      </c>
      <c r="W22" s="393" t="s">
        <v>6373</v>
      </c>
      <c r="X22" s="393">
        <f>COUNTIFS(EQUIPMENT!$A:$A, "Bataan", EQUIPMENT!$B:$B, "*bagac*", EQUIPMENT!$X:$X, "&lt;&gt;")</f>
        <v>0</v>
      </c>
      <c r="Y22" s="393" t="s">
        <v>6373</v>
      </c>
      <c r="Z22" s="393">
        <f>COUNTIFS('TECHNICAL ASSISTANCE TO BRGY.'!$A:$A, "Bataan", 'TECHNICAL ASSISTANCE TO BRGY.'!$B:$B, "*bagac*", 'TECHNICAL ASSISTANCE TO BRGY.'!$T:$T, "&lt;&gt;")</f>
        <v>0</v>
      </c>
      <c r="AA22" s="393">
        <f>COUNTIFS('LGU ASST. &amp; WASTE DIVERSION REC'!$A:$A, "BATAAN", 'LGU ASST. &amp; WASTE DIVERSION REC'!$B:$B, "*BAGAC*", 'LGU ASST. &amp; WASTE DIVERSION REC'!$Q:$Q, "&lt;&gt;")</f>
        <v>0</v>
      </c>
      <c r="AB22" s="393" t="s">
        <v>6373</v>
      </c>
      <c r="AC22" s="393">
        <f>COUNTIFS(PDS!$A:$A, "Bataan", PDS!$B:$B, "*bagac*", PDS!$AD:$AD, "&lt;&gt;")</f>
        <v>0</v>
      </c>
      <c r="AD22" s="393" t="s">
        <v>6373</v>
      </c>
      <c r="AE22" s="393">
        <f>COUNTIFS('TRANSFER STATION'!$A:$A, "Bataan", 'TRANSFER STATION'!$B:$B, "*bagac*", 'TRANSFER STATION'!$W:$W, "&lt;&gt;")</f>
        <v>0</v>
      </c>
    </row>
    <row r="23" spans="1:31" ht="15.75">
      <c r="A23" s="438" t="s">
        <v>6375</v>
      </c>
      <c r="B23" s="393">
        <f>COUNTIFS('LGU Initiated MRF'!$N:$N, "&lt;&gt;", 'LGU Initiated MRF'!$X:$X, "&lt;&gt;", 'LGU Initiated MRF'!$J:$J, "1.January", 'LGU Initiated MRF'!$D:$D, "MBA")</f>
        <v>3</v>
      </c>
      <c r="C23" s="393">
        <f>COUNTIFS('LGU Initiated MRF'!$N:$N, "&lt;&gt;", 'LGU Initiated MRF'!$X:$X, "&lt;&gt;", 'LGU Initiated MRF'!$J:$J, "2.February", 'LGU Initiated MRF'!$D:$D, "MBA")</f>
        <v>5</v>
      </c>
      <c r="D23" s="393">
        <f>COUNTIFS('LGU Initiated MRF'!$N:$N, "&lt;&gt;", 'LGU Initiated MRF'!$X:$X, "&lt;&gt;", 'LGU Initiated MRF'!$J:$J, "3.March", 'LGU Initiated MRF'!$D:$D, "MBA")</f>
        <v>0</v>
      </c>
      <c r="E23" s="393">
        <f>COUNTIFS('LGU Initiated MRF'!$N:$N, "&lt;&gt;", 'LGU Initiated MRF'!$X:$X, "&lt;&gt;", 'LGU Initiated MRF'!$J:$J, "4.April", 'LGU Initiated MRF'!$D:$D, "MBA")</f>
        <v>0</v>
      </c>
      <c r="F23" s="393">
        <f>COUNTIFS('LGU Initiated MRF'!$N:$N, "&lt;&gt;", 'LGU Initiated MRF'!$X:$X, "&lt;&gt;", 'LGU Initiated MRF'!$J:$J, "5.May", 'LGU Initiated MRF'!$D:$D, "MBA")</f>
        <v>0</v>
      </c>
      <c r="G23" s="393">
        <f>COUNTIFS('LGU Initiated MRF'!$N:$N, "&lt;&gt;", 'LGU Initiated MRF'!$X:$X, "&lt;&gt;", 'LGU Initiated MRF'!$J:$J, "6.June", 'LGU Initiated MRF'!$D:$D, "MBA")</f>
        <v>0</v>
      </c>
      <c r="H23" s="393">
        <f>COUNTIFS('ODS 3'!$R:$R, "&lt;&gt;", 'ODS 3'!$AB:$AB, "&lt;&gt;", 'ODS 3'!$N:$N, "6.June", 'ODS 3'!$D:$D, "MBA")</f>
        <v>0</v>
      </c>
      <c r="I23" s="393">
        <f>COUNTIFS('LGU Initiated MRF'!$N:$N, "&lt;&gt;", 'LGU Initiated MRF'!$X:$X, "&lt;&gt;", 'LGU Initiated MRF'!$J:$J, "7.July", 'LGU Initiated MRF'!$D:$D, "MBA")</f>
        <v>0</v>
      </c>
      <c r="J23" s="393">
        <f>COUNTIFS('LGU Initiated MRF'!$N:$N, "&lt;&gt;", 'LGU Initiated MRF'!$X:$X, "&lt;&gt;", 'LGU Initiated MRF'!$J:$J, "8.August", 'LGU Initiated MRF'!$D:$D, "MBA")</f>
        <v>0</v>
      </c>
      <c r="K23" s="393">
        <f>COUNTIFS('LGU Initiated MRF'!$N:$N, "&lt;&gt;", 'LGU Initiated MRF'!$X:$X, "&lt;&gt;", 'LGU Initiated MRF'!$J:$J, "9.September", 'LGU Initiated MRF'!$D:$D, "MBA")</f>
        <v>0</v>
      </c>
      <c r="L23" s="393">
        <f>COUNTIFS('LGU Initiated MRF'!$N:$N, "&lt;&gt;", 'LGU Initiated MRF'!$X:$X, "&lt;&gt;", 'LGU Initiated MRF'!$J:$J, "10.October", 'LGU Initiated MRF'!$D:$D, "MBA")</f>
        <v>0</v>
      </c>
      <c r="M23" s="393">
        <f>COUNTIFS('LGU Initiated MRF'!$N:$N, "&lt;&gt;", 'LGU Initiated MRF'!$X:$X, "&lt;&gt;", 'LGU Initiated MRF'!$J:$J, "11.November", 'LGU Initiated MRF'!$D:$D, "MBA")</f>
        <v>0</v>
      </c>
      <c r="N23" s="393">
        <f>COUNTIFS('LGU Initiated MRF'!$N:$N, "&lt;&gt;", 'LGU Initiated MRF'!$X:$X, "&lt;&gt;", 'LGU Initiated MRF'!$J:$J, "12.December", 'LGU Initiated MRF'!$D:$D, "MBA")</f>
        <v>0</v>
      </c>
      <c r="O23" s="393">
        <f>SUM(I23:N23)</f>
        <v>0</v>
      </c>
      <c r="P23" s="393">
        <f t="shared" si="76"/>
        <v>0</v>
      </c>
      <c r="S23" s="682"/>
      <c r="T23" s="650" t="s">
        <v>212</v>
      </c>
      <c r="U23" s="393">
        <f>COUNTIFS('10-YEAR SWM PLAN'!$A:$A, "Bataan", '10-YEAR SWM PLAN'!$B:$B, "Dinalupihan", '10-YEAR SWM PLAN'!$AC:$AC, "&lt;&gt;")</f>
        <v>1</v>
      </c>
      <c r="V23" s="393">
        <f>COUNTIFS('FUNDED MRF'!$A:$A, "bataan", 'FUNDED MRF'!$B:$B, "*Dinalupihan*", 'FUNDED MRF'!$AA:$AA, "&lt;&gt;")</f>
        <v>0</v>
      </c>
      <c r="W23" s="393" t="s">
        <v>6373</v>
      </c>
      <c r="X23" s="393">
        <f>COUNTIFS(EQUIPMENT!$A:$A, "Bataan", EQUIPMENT!$B:$B, "*dina*", EQUIPMENT!$X:$X, "&lt;&gt;")</f>
        <v>1</v>
      </c>
      <c r="Y23" s="393" t="s">
        <v>6373</v>
      </c>
      <c r="Z23" s="393">
        <f>COUNTIFS('TECHNICAL ASSISTANCE TO BRGY.'!$A:$A, "Bataan", 'TECHNICAL ASSISTANCE TO BRGY.'!$B:$B, "*dinalupihan*", 'TECHNICAL ASSISTANCE TO BRGY.'!$T:$T, "&lt;&gt;")</f>
        <v>0</v>
      </c>
      <c r="AA23" s="393">
        <f>COUNTIFS('LGU ASST. &amp; WASTE DIVERSION REC'!$A:$A, "BATAAN", 'LGU ASST. &amp; WASTE DIVERSION REC'!$B:$B, "*DINALUP*", 'LGU ASST. &amp; WASTE DIVERSION REC'!$Q:$Q, "&lt;&gt;")</f>
        <v>0</v>
      </c>
      <c r="AB23" s="393" t="s">
        <v>6373</v>
      </c>
      <c r="AC23" s="393">
        <f>COUNTIFS(PDS!$A:$A, "Bataan", PDS!$B:$B, "*dinalupihan*", PDS!$AD:$AD, "&lt;&gt;")</f>
        <v>0</v>
      </c>
      <c r="AD23" s="393" t="s">
        <v>6373</v>
      </c>
      <c r="AE23" s="393">
        <f>COUNTIFS('TRANSFER STATION'!$A:$A, "Bataan", 'TRANSFER STATION'!$B:$B, "*dina*", 'TRANSFER STATION'!$W:$W, "&lt;&gt;")</f>
        <v>0</v>
      </c>
    </row>
    <row r="24" spans="1:31" ht="15.75">
      <c r="A24" s="438" t="s">
        <v>6376</v>
      </c>
      <c r="B24" s="393">
        <f>COUNTIFS('LGU Initiated MRF'!$N:$N, "&lt;&gt;", 'LGU Initiated MRF'!$X:$X, "&lt;&gt;", 'LGU Initiated MRF'!$J:$J, "1.January", 'LGU Initiated MRF'!$D:$D, "OUTSIDE MBA")</f>
        <v>3</v>
      </c>
      <c r="C24" s="393">
        <f>COUNTIFS('LGU Initiated MRF'!$N:$N, "&lt;&gt;", 'LGU Initiated MRF'!$X:$X, "&lt;&gt;", 'LGU Initiated MRF'!$J:$J, "2.February", 'LGU Initiated MRF'!$D:$D, "OUTSIDE MBA")</f>
        <v>0</v>
      </c>
      <c r="D24" s="393">
        <f>COUNTIFS('LGU Initiated MRF'!$N:$N, "&lt;&gt;", 'LGU Initiated MRF'!$X:$X, "&lt;&gt;", 'LGU Initiated MRF'!$J:$J, "3.March", 'LGU Initiated MRF'!$D:$D, "OUTSIDE MBA")</f>
        <v>0</v>
      </c>
      <c r="E24" s="393">
        <f>COUNTIFS('LGU Initiated MRF'!$N:$N, "&lt;&gt;", 'LGU Initiated MRF'!$X:$X, "&lt;&gt;", 'LGU Initiated MRF'!$J:$J, "4.April", 'LGU Initiated MRF'!$D:$D, "OUTSIDE MBA")</f>
        <v>0</v>
      </c>
      <c r="F24" s="393">
        <f>COUNTIFS('LGU Initiated MRF'!$N:$N, "&lt;&gt;", 'LGU Initiated MRF'!$X:$X, "&lt;&gt;", 'LGU Initiated MRF'!$J:$J, "5.May", 'LGU Initiated MRF'!$D:$D, "OUTSIDE MBA")</f>
        <v>0</v>
      </c>
      <c r="G24" s="393">
        <f>COUNTIFS('LGU Initiated MRF'!$N:$N, "&lt;&gt;", 'LGU Initiated MRF'!$X:$X, "&lt;&gt;", 'LGU Initiated MRF'!$J:$J, "6.June", 'LGU Initiated MRF'!$D:$D, "OUTSIDE MBA")</f>
        <v>0</v>
      </c>
      <c r="H24" s="393">
        <f>SUM(B24:G24)</f>
        <v>3</v>
      </c>
      <c r="I24" s="393">
        <f>COUNTIFS('LGU Initiated MRF'!$N:$N, "&lt;&gt;", 'LGU Initiated MRF'!$X:$X, "&lt;&gt;", 'LGU Initiated MRF'!$J:$J, "7.July", 'LGU Initiated MRF'!$D:$D, "OUTSIDE MBA")</f>
        <v>0</v>
      </c>
      <c r="J24" s="393">
        <f>COUNTIFS('LGU Initiated MRF'!$N:$N, "&lt;&gt;", 'LGU Initiated MRF'!$X:$X, "&lt;&gt;", 'LGU Initiated MRF'!$J:$J, "8.August", 'LGU Initiated MRF'!$D:$D, "OUTSIDE MBA")</f>
        <v>0</v>
      </c>
      <c r="K24" s="393">
        <f>COUNTIFS('LGU Initiated MRF'!$N:$N, "&lt;&gt;", 'LGU Initiated MRF'!$X:$X, "&lt;&gt;", 'LGU Initiated MRF'!$J:$J, "9.September", 'LGU Initiated MRF'!$D:$D, "OUTSIDE MBA")</f>
        <v>0</v>
      </c>
      <c r="L24" s="393">
        <f>COUNTIFS('LGU Initiated MRF'!$N:$N, "&lt;&gt;", 'LGU Initiated MRF'!$X:$X, "&lt;&gt;", 'LGU Initiated MRF'!$J:$J, "10.October", 'LGU Initiated MRF'!$D:$D, "OUTSIDE MBA")</f>
        <v>0</v>
      </c>
      <c r="M24" s="393">
        <f>COUNTIFS('LGU Initiated MRF'!$N:$N, "&lt;&gt;", 'LGU Initiated MRF'!$X:$X, "&lt;&gt;", 'LGU Initiated MRF'!$J:$J, "11.November", 'LGU Initiated MRF'!$D:$D, "OUTSIDE MBA")</f>
        <v>0</v>
      </c>
      <c r="N24" s="393">
        <f>COUNTIFS('LGU Initiated MRF'!$N:$N, "&lt;&gt;", 'LGU Initiated MRF'!$X:$X, "&lt;&gt;", 'LGU Initiated MRF'!$J:$J, "12.December", 'LGU Initiated MRF'!$D:$D, "OUTSIDE MBA")</f>
        <v>0</v>
      </c>
      <c r="O24" s="393">
        <f>SUM(I24:N24)</f>
        <v>0</v>
      </c>
      <c r="P24" s="393">
        <f t="shared" si="76"/>
        <v>3</v>
      </c>
      <c r="S24" s="682"/>
      <c r="T24" s="650" t="s">
        <v>336</v>
      </c>
      <c r="U24" s="393">
        <f>COUNTIFS('10-YEAR SWM PLAN'!$A:$A, "Bataan", '10-YEAR SWM PLAN'!$B:$B, "Mariveles", '10-YEAR SWM PLAN'!$AC:$AC, "&lt;&gt;")</f>
        <v>1</v>
      </c>
      <c r="V24" s="393">
        <f>COUNTIFS('FUNDED MRF'!$A:$A, "bataan", 'FUNDED MRF'!$B:$B, "*Mariveles*", 'FUNDED MRF'!$AA:$AA, "&lt;&gt;")</f>
        <v>0</v>
      </c>
      <c r="W24" s="393" t="s">
        <v>6373</v>
      </c>
      <c r="X24" s="393">
        <f>COUNTIFS(EQUIPMENT!$A:$A, "Bataan", EQUIPMENT!$B:$B, "*mari*", EQUIPMENT!$X:$X, "&lt;&gt;")</f>
        <v>1</v>
      </c>
      <c r="Y24" s="393" t="s">
        <v>6373</v>
      </c>
      <c r="Z24" s="393">
        <f>COUNTIFS('TECHNICAL ASSISTANCE TO BRGY.'!$A:$A, "Bataan", 'TECHNICAL ASSISTANCE TO BRGY.'!$B:$B, "*mariveles*", 'TECHNICAL ASSISTANCE TO BRGY.'!$T:$T, "&lt;&gt;")</f>
        <v>0</v>
      </c>
      <c r="AA24" s="393">
        <f>COUNTIFS('LGU ASST. &amp; WASTE DIVERSION REC'!$A:$A, "BATAAN", 'LGU ASST. &amp; WASTE DIVERSION REC'!$B:$B, "*MARIVELES*", 'LGU ASST. &amp; WASTE DIVERSION REC'!$Q:$Q, "&lt;&gt;")</f>
        <v>0</v>
      </c>
      <c r="AB24" s="393" t="s">
        <v>6373</v>
      </c>
      <c r="AC24" s="393">
        <f>COUNTIFS(PDS!$A:$A, "Bataan", PDS!$B:$B, "*mariveles*", PDS!$AD:$AD, "&lt;&gt;")</f>
        <v>0</v>
      </c>
      <c r="AD24" s="393" t="s">
        <v>6373</v>
      </c>
      <c r="AE24" s="393">
        <f>COUNTIFS('TRANSFER STATION'!$A:$A, "Bataan", 'TRANSFER STATION'!$B:$B, "*mari*", 'TRANSFER STATION'!$W:$W, "&lt;&gt;")</f>
        <v>1</v>
      </c>
    </row>
    <row r="25" spans="1:31" ht="15.75">
      <c r="A25" s="440" t="s">
        <v>98</v>
      </c>
      <c r="B25" s="439">
        <f>SUM(B26:B27)</f>
        <v>0</v>
      </c>
      <c r="C25" s="439">
        <f t="shared" ref="C25" si="77">SUM(C26:C27)</f>
        <v>2</v>
      </c>
      <c r="D25" s="439">
        <f t="shared" ref="D25" si="78">SUM(D26:D27)</f>
        <v>1</v>
      </c>
      <c r="E25" s="439">
        <f t="shared" ref="E25" si="79">SUM(E26:E27)</f>
        <v>0</v>
      </c>
      <c r="F25" s="439">
        <f t="shared" ref="F25" si="80">SUM(F26:F27)</f>
        <v>0</v>
      </c>
      <c r="G25" s="439">
        <f t="shared" ref="G25" si="81">SUM(G26:G27)</f>
        <v>0</v>
      </c>
      <c r="H25" s="439">
        <f t="shared" ref="H25" si="82">SUM(H26:H27)</f>
        <v>0</v>
      </c>
      <c r="I25" s="439">
        <f t="shared" ref="I25" si="83">SUM(I26:I27)</f>
        <v>0</v>
      </c>
      <c r="J25" s="439">
        <f t="shared" ref="J25" si="84">SUM(J26:J27)</f>
        <v>0</v>
      </c>
      <c r="K25" s="439">
        <f t="shared" ref="K25" si="85">SUM(K26:K27)</f>
        <v>0</v>
      </c>
      <c r="L25" s="439">
        <f t="shared" ref="L25" si="86">SUM(L26:L27)</f>
        <v>0</v>
      </c>
      <c r="M25" s="439">
        <f t="shared" ref="M25" si="87">SUM(M26:M27)</f>
        <v>0</v>
      </c>
      <c r="N25" s="439">
        <f t="shared" ref="N25" si="88">SUM(N26:N27)</f>
        <v>0</v>
      </c>
      <c r="O25" s="439">
        <f t="shared" ref="O25" si="89">SUM(O26:O27)</f>
        <v>0</v>
      </c>
      <c r="P25" s="439">
        <f t="shared" si="76"/>
        <v>0</v>
      </c>
      <c r="S25" s="683"/>
      <c r="T25" s="650" t="s">
        <v>484</v>
      </c>
      <c r="U25" s="393">
        <f>COUNTIFS('10-YEAR SWM PLAN'!$A:$A, "Bataan", '10-YEAR SWM PLAN'!$B:$B, "Morong", '10-YEAR SWM PLAN'!$AC:$AC, "&lt;&gt;")</f>
        <v>0</v>
      </c>
      <c r="V25" s="393">
        <f>COUNTIFS('FUNDED MRF'!$A:$A, "bataan", 'FUNDED MRF'!$B:$B, "*Morong*", 'FUNDED MRF'!$AA:$AA, "&lt;&gt;")</f>
        <v>0</v>
      </c>
      <c r="W25" s="393" t="s">
        <v>6373</v>
      </c>
      <c r="X25" s="393">
        <f>COUNTIFS(EQUIPMENT!$A:$A, "Bataan", EQUIPMENT!$B:$B, "*moro*", EQUIPMENT!$X:$X, "&lt;&gt;")</f>
        <v>1</v>
      </c>
      <c r="Y25" s="393" t="s">
        <v>6373</v>
      </c>
      <c r="Z25" s="393">
        <f>COUNTIFS('TECHNICAL ASSISTANCE TO BRGY.'!$A:$A, "Bataan", 'TECHNICAL ASSISTANCE TO BRGY.'!$B:$B, "*morong*", 'TECHNICAL ASSISTANCE TO BRGY.'!$T:$T, "&lt;&gt;")</f>
        <v>0</v>
      </c>
      <c r="AA25" s="393">
        <f>COUNTIFS('LGU ASST. &amp; WASTE DIVERSION REC'!$A:$A, "BATAAN", 'LGU ASST. &amp; WASTE DIVERSION REC'!$B:$B, "*MORONG*", 'LGU ASST. &amp; WASTE DIVERSION REC'!$Q:$Q, "&lt;&gt;")</f>
        <v>0</v>
      </c>
      <c r="AB25" s="393" t="s">
        <v>6373</v>
      </c>
      <c r="AC25" s="393">
        <f>COUNTIFS(PDS!$A:$A, "Bataan", PDS!$B:$B, "*morong*", PDS!$AD:$AD, "&lt;&gt;")</f>
        <v>0</v>
      </c>
      <c r="AD25" s="393" t="s">
        <v>6373</v>
      </c>
      <c r="AE25" s="393">
        <f>COUNTIFS('TRANSFER STATION'!$A:$A, "bataan", 'TRANSFER STATION'!$B:$B, "*morong*", 'TRANSFER STATION'!$W:$W, "&lt;&gt;")</f>
        <v>0</v>
      </c>
    </row>
    <row r="26" spans="1:31" ht="15.75">
      <c r="A26" s="438" t="s">
        <v>6375</v>
      </c>
      <c r="B26" s="393">
        <f>COUNTIFS('TRANSFER STATION'!$M:$M, "&lt;&gt;", 'TRANSFER STATION'!$W:$W, "&lt;&gt;", 'TRANSFER STATION'!$I:$I, "1.January", 'TRANSFER STATION'!$D:$D, "MBA")</f>
        <v>0</v>
      </c>
      <c r="C26" s="393">
        <f>COUNTIFS('TRANSFER STATION'!$M:$M, "&lt;&gt;", 'TRANSFER STATION'!$W:$W, "&lt;&gt;", 'TRANSFER STATION'!$I:$I, "2.February", 'TRANSFER STATION'!$D:$D, "MBA")</f>
        <v>2</v>
      </c>
      <c r="D26" s="393">
        <f>COUNTIFS('TRANSFER STATION'!$M:$M, "&lt;&gt;", 'TRANSFER STATION'!$W:$W, "&lt;&gt;", 'TRANSFER STATION'!$I:$I, "3.March", 'TRANSFER STATION'!$D:$D, "MBA")</f>
        <v>1</v>
      </c>
      <c r="E26" s="393">
        <f>COUNTIFS('TRANSFER STATION'!$M:$M, "&lt;&gt;", 'TRANSFER STATION'!$W:$W, "&lt;&gt;", 'TRANSFER STATION'!$I:$I, "4.April", 'TRANSFER STATION'!$D:$D, "MBA")</f>
        <v>0</v>
      </c>
      <c r="F26" s="393">
        <f>COUNTIFS('TRANSFER STATION'!$M:$M, "&lt;&gt;", 'TRANSFER STATION'!$W:$W, "&lt;&gt;", 'TRANSFER STATION'!$I:$I, "5.May", 'TRANSFER STATION'!$D:$D, "MBA")</f>
        <v>0</v>
      </c>
      <c r="G26" s="393">
        <f>COUNTIFS('TRANSFER STATION'!$M:$M, "&lt;&gt;", 'TRANSFER STATION'!$W:$W, "&lt;&gt;", 'TRANSFER STATION'!$I:$I, "6.June", 'TRANSFER STATION'!$D:$D, "MBA")</f>
        <v>0</v>
      </c>
      <c r="H26" s="393">
        <f>COUNTIFS('ODS 3'!$R:$R, "&lt;&gt;", 'ODS 3'!$AB:$AB, "&lt;&gt;", 'ODS 3'!$N:$N, "6.June", 'ODS 3'!$D:$D, "MBA")</f>
        <v>0</v>
      </c>
      <c r="I26" s="393">
        <f>COUNTIFS('TRANSFER STATION'!$M:$M, "&lt;&gt;", 'TRANSFER STATION'!$W:$W, "&lt;&gt;", 'TRANSFER STATION'!$I:$I, "7.July", 'TRANSFER STATION'!$D:$D, "MBA")</f>
        <v>0</v>
      </c>
      <c r="J26" s="393">
        <f>COUNTIFS('TRANSFER STATION'!$M:$M, "&lt;&gt;", 'TRANSFER STATION'!$W:$W, "&lt;&gt;", 'TRANSFER STATION'!$I:$I, "8.August", 'TRANSFER STATION'!$D:$D, "MBA")</f>
        <v>0</v>
      </c>
      <c r="K26" s="393">
        <f>COUNTIFS('TRANSFER STATION'!$M:$M, "&lt;&gt;", 'TRANSFER STATION'!$W:$W, "&lt;&gt;", 'TRANSFER STATION'!$I:$I, "9.September", 'TRANSFER STATION'!$D:$D, "MBA")</f>
        <v>0</v>
      </c>
      <c r="L26" s="393">
        <f>COUNTIFS('TRANSFER STATION'!$M:$M, "&lt;&gt;", 'TRANSFER STATION'!$W:$W, "&lt;&gt;", 'TRANSFER STATION'!$I:$I, "10.October", 'TRANSFER STATION'!$D:$D, "MBA")</f>
        <v>0</v>
      </c>
      <c r="M26" s="393">
        <f>COUNTIFS('TRANSFER STATION'!$M:$M, "&lt;&gt;", 'TRANSFER STATION'!$W:$W, "&lt;&gt;", 'TRANSFER STATION'!$I:$I, "11.November", 'TRANSFER STATION'!$D:$D, "MBA")</f>
        <v>0</v>
      </c>
      <c r="N26" s="393">
        <f>COUNTIFS('TRANSFER STATION'!$M:$M, "&lt;&gt;", 'TRANSFER STATION'!$W:$W, "&lt;&gt;", 'TRANSFER STATION'!$I:$I, "12.December", 'TRANSFER STATION'!$D:$D, "MBA")</f>
        <v>0</v>
      </c>
      <c r="O26" s="393">
        <f>SUM(I26:N26)</f>
        <v>0</v>
      </c>
      <c r="P26" s="393">
        <f t="shared" si="76"/>
        <v>0</v>
      </c>
      <c r="S26" s="681" t="s">
        <v>49</v>
      </c>
      <c r="T26" s="660" t="s">
        <v>6378</v>
      </c>
      <c r="U26" s="660">
        <f>SUM(U27:U32)</f>
        <v>0</v>
      </c>
      <c r="V26" s="660">
        <f t="shared" ref="V26:AE26" si="90">SUM(V27:V32)</f>
        <v>0</v>
      </c>
      <c r="W26" s="660">
        <f t="shared" si="90"/>
        <v>0</v>
      </c>
      <c r="X26" s="660">
        <f t="shared" si="90"/>
        <v>1</v>
      </c>
      <c r="Y26" s="660">
        <f t="shared" si="90"/>
        <v>0</v>
      </c>
      <c r="Z26" s="660">
        <f t="shared" si="90"/>
        <v>17</v>
      </c>
      <c r="AA26" s="660">
        <f t="shared" ref="AA26" si="91">SUM(AA27:AA32)</f>
        <v>0</v>
      </c>
      <c r="AB26" s="660">
        <f t="shared" si="90"/>
        <v>2</v>
      </c>
      <c r="AC26" s="660">
        <f t="shared" si="90"/>
        <v>0</v>
      </c>
      <c r="AD26" s="660">
        <f t="shared" si="90"/>
        <v>0</v>
      </c>
      <c r="AE26" s="660">
        <f t="shared" si="90"/>
        <v>0</v>
      </c>
    </row>
    <row r="27" spans="1:31" ht="15.75">
      <c r="A27" s="438" t="s">
        <v>6376</v>
      </c>
      <c r="B27" s="393">
        <f>COUNTIFS('TRANSFER STATION'!$M:$M, "&lt;&gt;", 'TRANSFER STATION'!$W:$W, "&lt;&gt;", 'TRANSFER STATION'!$I:$I, "1.January", 'TRANSFER STATION'!$D:$D, "OUTSIDE MBA")</f>
        <v>0</v>
      </c>
      <c r="C27" s="393">
        <f>COUNTIFS('TRANSFER STATION'!$M:$M, "&lt;&gt;", 'TRANSFER STATION'!$W:$W, "&lt;&gt;", 'TRANSFER STATION'!$I:$I, "2.February", 'TRANSFER STATION'!$D:$D, "OUTSIDE MBA")</f>
        <v>0</v>
      </c>
      <c r="D27" s="393">
        <f>COUNTIFS('TRANSFER STATION'!$M:$M, "&lt;&gt;", 'TRANSFER STATION'!$W:$W, "&lt;&gt;", 'TRANSFER STATION'!$I:$I, "3.March", 'TRANSFER STATION'!$D:$D, "OUTSIDE MBA")</f>
        <v>0</v>
      </c>
      <c r="E27" s="393">
        <f>COUNTIFS('TRANSFER STATION'!$M:$M, "&lt;&gt;", 'TRANSFER STATION'!$W:$W, "&lt;&gt;", 'TRANSFER STATION'!$I:$I, "4.April", 'TRANSFER STATION'!$D:$D, "OUTSIDE MBA")</f>
        <v>0</v>
      </c>
      <c r="F27" s="393">
        <f>COUNTIFS('TRANSFER STATION'!$M:$M, "&lt;&gt;", 'TRANSFER STATION'!$W:$W, "&lt;&gt;", 'TRANSFER STATION'!$I:$I, "5.May", 'TRANSFER STATION'!$D:$D, "OUTSIDE MBA")</f>
        <v>0</v>
      </c>
      <c r="G27" s="393">
        <f>COUNTIFS('TRANSFER STATION'!$M:$M, "&lt;&gt;", 'TRANSFER STATION'!$W:$W, "&lt;&gt;", 'TRANSFER STATION'!$I:$I, "6.June", 'TRANSFER STATION'!$D:$D, "OUTSIDE MBA")</f>
        <v>0</v>
      </c>
      <c r="H27" s="393">
        <f>SUM(B27:G27)</f>
        <v>0</v>
      </c>
      <c r="I27" s="393">
        <f>COUNTIFS('TRANSFER STATION'!$M:$M, "&lt;&gt;", 'TRANSFER STATION'!$W:$W, "&lt;&gt;", 'TRANSFER STATION'!$I:$I, "7.July", 'TRANSFER STATION'!$D:$D, "OUTSIDE MBA")</f>
        <v>0</v>
      </c>
      <c r="J27" s="393">
        <f>COUNTIFS('TRANSFER STATION'!$M:$M, "&lt;&gt;", 'TRANSFER STATION'!$W:$W, "&lt;&gt;", 'TRANSFER STATION'!$I:$I, "8.August", 'TRANSFER STATION'!$D:$D, "OUTSIDE MBA")</f>
        <v>0</v>
      </c>
      <c r="K27" s="393">
        <f>COUNTIFS('TRANSFER STATION'!$M:$M, "&lt;&gt;", 'TRANSFER STATION'!$W:$W, "&lt;&gt;", 'TRANSFER STATION'!$I:$I, "9.September", 'TRANSFER STATION'!$D:$D, "OUTSIDE MBA")</f>
        <v>0</v>
      </c>
      <c r="L27" s="393">
        <f>COUNTIFS('TRANSFER STATION'!$M:$M, "&lt;&gt;", 'TRANSFER STATION'!$W:$W, "&lt;&gt;", 'TRANSFER STATION'!$I:$I, "10.October", 'TRANSFER STATION'!$D:$D, "OUTSIDE MBA")</f>
        <v>0</v>
      </c>
      <c r="M27" s="393">
        <f>COUNTIFS('TRANSFER STATION'!$M:$M, "&lt;&gt;", 'TRANSFER STATION'!$W:$W, "&lt;&gt;", 'TRANSFER STATION'!$I:$I, "11.November", 'TRANSFER STATION'!$D:$D, "OUTSIDE MBA")</f>
        <v>0</v>
      </c>
      <c r="N27" s="393">
        <f>COUNTIFS('TRANSFER STATION'!$M:$M, "&lt;&gt;", 'TRANSFER STATION'!$W:$W, "&lt;&gt;", 'TRANSFER STATION'!$I:$I, "12.December", 'TRANSFER STATION'!$D:$D, "OUTSIDE MBA")</f>
        <v>0</v>
      </c>
      <c r="O27" s="393">
        <f>SUM(I27:N27)</f>
        <v>0</v>
      </c>
      <c r="P27" s="393">
        <f t="shared" si="76"/>
        <v>0</v>
      </c>
      <c r="S27" s="682"/>
      <c r="T27" s="650" t="s">
        <v>404</v>
      </c>
      <c r="U27" s="393">
        <f>COUNTIFS('10-YEAR SWM PLAN'!$A:$A, "Bulacan", '10-YEAR SWM PLAN'!$B:$B, "Bulakan", '10-YEAR SWM PLAN'!$AC:$AC, "&lt;&gt;")</f>
        <v>0</v>
      </c>
      <c r="V27" s="393">
        <f>COUNTIFS('FUNDED MRF'!$A:$A, "Bulacan", 'FUNDED MRF'!$B:$B, "*Bulakan*", 'FUNDED MRF'!$AA:$AA, "&lt;&gt;")</f>
        <v>0</v>
      </c>
      <c r="W27" s="393" t="s">
        <v>6373</v>
      </c>
      <c r="X27" s="393">
        <f>COUNTIFS(EQUIPMENT!$A:$A, "Bulacan", EQUIPMENT!$B:$B, "*bula*", EQUIPMENT!$X:$X, "&lt;&gt;")</f>
        <v>0</v>
      </c>
      <c r="Y27" s="393" t="s">
        <v>6373</v>
      </c>
      <c r="Z27" s="393">
        <f>COUNTIFS('TECHNICAL ASSISTANCE TO BRGY.'!$A:$A, "Bulacan", 'TECHNICAL ASSISTANCE TO BRGY.'!$B:$B, "*bulakan*", 'TECHNICAL ASSISTANCE TO BRGY.'!$T:$T, "&lt;&gt;")</f>
        <v>0</v>
      </c>
      <c r="AA27" s="393" t="s">
        <v>6373</v>
      </c>
      <c r="AB27" s="393">
        <f>COUNTIFS('TRASH TRAP'!$A:$A, "Bulacan", 'TRASH TRAP'!$C:$C, "*Bulakan*", 'TRASH TRAP'!$W:$W, "&lt;&gt;")</f>
        <v>0</v>
      </c>
      <c r="AC27" s="393">
        <f>COUNTIFS(PDS!$A:$A, "bulacan", PDS!$B:$B, "*bulakan*", PDS!$AD:$AD, "&lt;&gt;")</f>
        <v>0</v>
      </c>
      <c r="AD27" s="393" t="s">
        <v>6373</v>
      </c>
      <c r="AE27" s="393">
        <f>COUNTIFS('TRANSFER STATION'!$A:$A, "Bulacan", 'TRANSFER STATION'!$B:$B, "*bulak*", 'TRANSFER STATION'!$W:$W, "&lt;&gt;")</f>
        <v>0</v>
      </c>
    </row>
    <row r="28" spans="1:31" ht="15.75">
      <c r="A28" s="440" t="s">
        <v>9</v>
      </c>
      <c r="B28" s="439">
        <f>SUM(B29:B30)</f>
        <v>0</v>
      </c>
      <c r="C28" s="439">
        <f t="shared" ref="C28" si="92">SUM(C29:C30)</f>
        <v>1</v>
      </c>
      <c r="D28" s="439">
        <f t="shared" ref="D28" si="93">SUM(D29:D30)</f>
        <v>1</v>
      </c>
      <c r="E28" s="439">
        <f t="shared" ref="E28" si="94">SUM(E29:E30)</f>
        <v>0</v>
      </c>
      <c r="F28" s="439">
        <f t="shared" ref="F28" si="95">SUM(F29:F30)</f>
        <v>0</v>
      </c>
      <c r="G28" s="439">
        <f t="shared" ref="G28" si="96">SUM(G29:G30)</f>
        <v>0</v>
      </c>
      <c r="H28" s="439">
        <f t="shared" ref="H28" si="97">SUM(H29:H30)</f>
        <v>1</v>
      </c>
      <c r="I28" s="439">
        <f t="shared" ref="I28" si="98">SUM(I29:I30)</f>
        <v>0</v>
      </c>
      <c r="J28" s="439">
        <f t="shared" ref="J28" si="99">SUM(J29:J30)</f>
        <v>0</v>
      </c>
      <c r="K28" s="439">
        <f t="shared" ref="K28" si="100">SUM(K29:K30)</f>
        <v>0</v>
      </c>
      <c r="L28" s="439">
        <f t="shared" ref="L28" si="101">SUM(L29:L30)</f>
        <v>0</v>
      </c>
      <c r="M28" s="439">
        <f t="shared" ref="M28" si="102">SUM(M29:M30)</f>
        <v>0</v>
      </c>
      <c r="N28" s="439">
        <f t="shared" ref="N28" si="103">SUM(N29:N30)</f>
        <v>0</v>
      </c>
      <c r="O28" s="439">
        <f t="shared" ref="O28" si="104">SUM(O29:O30)</f>
        <v>0</v>
      </c>
      <c r="P28" s="439">
        <f t="shared" si="76"/>
        <v>1</v>
      </c>
      <c r="S28" s="682"/>
      <c r="T28" s="650" t="s">
        <v>492</v>
      </c>
      <c r="U28" s="393">
        <f>COUNTIFS('10-YEAR SWM PLAN'!$A:$A, "Bulacan", '10-YEAR SWM PLAN'!$B:$B, "Calumpit", '10-YEAR SWM PLAN'!$AC:$AC, "&lt;&gt;")</f>
        <v>0</v>
      </c>
      <c r="V28" s="393">
        <f>COUNTIFS('FUNDED MRF'!$A:$A, "Bulacan", 'FUNDED MRF'!$B:$B, "*Calumpit*", 'FUNDED MRF'!$AA:$AA, "&lt;&gt;")</f>
        <v>0</v>
      </c>
      <c r="W28" s="393" t="s">
        <v>6373</v>
      </c>
      <c r="X28" s="393">
        <f>COUNTIFS(EQUIPMENT!$A:$A, "Bulacan", EQUIPMENT!$B:$B, "*calu*", EQUIPMENT!$X:$X, "&lt;&gt;")</f>
        <v>1</v>
      </c>
      <c r="Y28" s="393" t="s">
        <v>6373</v>
      </c>
      <c r="Z28" s="393">
        <f>COUNTIFS('TECHNICAL ASSISTANCE TO BRGY.'!$A:$A, "Bulacan", 'TECHNICAL ASSISTANCE TO BRGY.'!$B:$B, "*calumpit*", 'TECHNICAL ASSISTANCE TO BRGY.'!$T:$T, "&lt;&gt;")</f>
        <v>5</v>
      </c>
      <c r="AA28" s="393" t="s">
        <v>6373</v>
      </c>
      <c r="AB28" s="393">
        <f>COUNTIFS('TRASH TRAP'!$A:$A, "Bulacan", 'TRASH TRAP'!$C:$C, "*calum*", 'TRASH TRAP'!$W:$W, "&lt;&gt;")</f>
        <v>2</v>
      </c>
      <c r="AC28" s="393">
        <f>COUNTIFS(PDS!$A:$A, "bulacan", PDS!$B:$B, "*calumpit*", PDS!$AD:$AD, "&lt;&gt;")</f>
        <v>0</v>
      </c>
      <c r="AD28" s="393" t="s">
        <v>6373</v>
      </c>
      <c r="AE28" s="393">
        <f>COUNTIFS('TRANSFER STATION'!$A:$A, "Bulacan", 'TRANSFER STATION'!$B:$B, "*calum*", 'TRANSFER STATION'!$W:$W, "&lt;&gt;")</f>
        <v>0</v>
      </c>
    </row>
    <row r="29" spans="1:31" ht="15.75">
      <c r="A29" s="438" t="s">
        <v>6375</v>
      </c>
      <c r="B29" s="393">
        <f>COUNTIFS(RCA!$M:$M, "&lt;&gt;", RCA!$W:$W, "&lt;&gt;", RCA!$I:$I, "1.January", RCA!$D:$D, "MBA")</f>
        <v>0</v>
      </c>
      <c r="C29" s="393">
        <f>COUNTIFS(RCA!$M:$M, "&lt;&gt;", RCA!$W:$W, "&lt;&gt;", RCA!$I:$I, "2.February", RCA!$D:$D, "MBA")</f>
        <v>0</v>
      </c>
      <c r="D29" s="393">
        <f>COUNTIFS(RCA!$M:$M, "&lt;&gt;", RCA!$W:$W, "&lt;&gt;", RCA!$I:$I, "3.March", RCA!$D:$D, "MBA")</f>
        <v>1</v>
      </c>
      <c r="E29" s="393">
        <f>COUNTIFS(RCA!$M:$M, "&lt;&gt;", RCA!$W:$W, "&lt;&gt;", RCA!$I:$I, "4.April", RCA!$D:$D, "MBA")</f>
        <v>0</v>
      </c>
      <c r="F29" s="393">
        <f>COUNTIFS(RCA!$M:$M, "&lt;&gt;", RCA!$W:$W, "&lt;&gt;", RCA!$I:$I, "5.May", RCA!$D:$D, "MBA")</f>
        <v>0</v>
      </c>
      <c r="G29" s="393">
        <f>COUNTIFS(RCA!$M:$M, "&lt;&gt;", RCA!$W:$W, "&lt;&gt;", RCA!$I:$I, "6.June", RCA!$D:$D, "MBA")</f>
        <v>0</v>
      </c>
      <c r="H29" s="393">
        <f>COUNTIFS('ODS 3'!$R:$R, "&lt;&gt;", 'ODS 3'!$AB:$AB, "&lt;&gt;", 'ODS 3'!$N:$N, "6.June", 'ODS 3'!$D:$D, "MBA")</f>
        <v>0</v>
      </c>
      <c r="I29" s="393">
        <f>COUNTIFS(RCA!$M:$M, "&lt;&gt;", RCA!$W:$W, "&lt;&gt;", RCA!$I:$I, "7.July", RCA!$D:$D, "MBA")</f>
        <v>0</v>
      </c>
      <c r="J29" s="393">
        <f>COUNTIFS(RCA!$M:$M, "&lt;&gt;", RCA!$W:$W, "&lt;&gt;", RCA!$I:$I, "8.August", RCA!$D:$D, "MBA")</f>
        <v>0</v>
      </c>
      <c r="K29" s="393">
        <f>COUNTIFS(RCA!$M:$M, "&lt;&gt;", RCA!$W:$W, "&lt;&gt;", RCA!$I:$I, "9.September", RCA!$D:$D, "MBA")</f>
        <v>0</v>
      </c>
      <c r="L29" s="393">
        <f>COUNTIFS(RCA!$M:$M, "&lt;&gt;", RCA!$W:$W, "&lt;&gt;", RCA!$I:$I, "10.October", RCA!$D:$D, "MBA")</f>
        <v>0</v>
      </c>
      <c r="M29" s="393">
        <f>COUNTIFS(RCA!$M:$M, "&lt;&gt;", RCA!$W:$W, "&lt;&gt;", RCA!$I:$I, "11.November", RCA!$D:$D, "MBA")</f>
        <v>0</v>
      </c>
      <c r="N29" s="393">
        <f>COUNTIFS(RCA!$M:$M, "&lt;&gt;", RCA!$W:$W, "&lt;&gt;", RCA!$I:$I, "12.December", RCA!$D:$D, "MBA")</f>
        <v>0</v>
      </c>
      <c r="O29" s="393">
        <f>SUM(I29:N29)</f>
        <v>0</v>
      </c>
      <c r="P29" s="393">
        <f t="shared" si="76"/>
        <v>0</v>
      </c>
      <c r="S29" s="682"/>
      <c r="T29" s="650" t="s">
        <v>342</v>
      </c>
      <c r="U29" s="393">
        <f>COUNTIFS('10-YEAR SWM PLAN'!$A:$A, "Bulacan", '10-YEAR SWM PLAN'!$B:$B, "Hagonoy", '10-YEAR SWM PLAN'!$AC:$AC, "&lt;&gt;")</f>
        <v>0</v>
      </c>
      <c r="V29" s="393">
        <f>COUNTIFS('FUNDED MRF'!$A:$A, "Bulacan", 'FUNDED MRF'!$B:$B, "*Hagonoy*", 'FUNDED MRF'!$AA:$AA, "&lt;&gt;")</f>
        <v>0</v>
      </c>
      <c r="W29" s="393" t="s">
        <v>6373</v>
      </c>
      <c r="X29" s="393">
        <f>COUNTIFS(EQUIPMENT!$A:$A, "Bulacan", EQUIPMENT!$B:$B, "*hago*", EQUIPMENT!$X:$X, "&lt;&gt;")</f>
        <v>0</v>
      </c>
      <c r="Y29" s="393" t="s">
        <v>6373</v>
      </c>
      <c r="Z29" s="393">
        <f>COUNTIFS('TECHNICAL ASSISTANCE TO BRGY.'!$A:$A, "Bulacan", 'TECHNICAL ASSISTANCE TO BRGY.'!$B:$B, "*hagonoy*", 'TECHNICAL ASSISTANCE TO BRGY.'!$T:$T, "&lt;&gt;")</f>
        <v>5</v>
      </c>
      <c r="AA29" s="393" t="s">
        <v>6373</v>
      </c>
      <c r="AB29" s="393">
        <f>COUNTIFS('TRASH TRAP'!$A:$A, "Bulacan", 'TRASH TRAP'!$C:$C, "*hago*", 'TRASH TRAP'!$W:$W, "&lt;&gt;")</f>
        <v>0</v>
      </c>
      <c r="AC29" s="393">
        <f>COUNTIFS(PDS!$A:$A, "bulacan", PDS!$B:$B, "*hagonoy*", PDS!$AD:$AD, "&lt;&gt;")</f>
        <v>0</v>
      </c>
      <c r="AD29" s="393" t="s">
        <v>6373</v>
      </c>
      <c r="AE29" s="393">
        <f>COUNTIFS('TRANSFER STATION'!$A:$A, "Bulacan", 'TRANSFER STATION'!$B:$B, "*hago*", 'TRANSFER STATION'!$W:$W, "&lt;&gt;")</f>
        <v>0</v>
      </c>
    </row>
    <row r="30" spans="1:31" ht="15.75">
      <c r="A30" s="438" t="s">
        <v>6376</v>
      </c>
      <c r="B30" s="393">
        <f>COUNTIFS(RCA!$M:$M, "&lt;&gt;", RCA!$W:$W, "&lt;&gt;", RCA!$I:$I, "1.January", RCA!$D:$D, "OUTSIDE MBA")</f>
        <v>0</v>
      </c>
      <c r="C30" s="393">
        <f>COUNTIFS(RCA!$M:$M, "&lt;&gt;", RCA!$W:$W, "&lt;&gt;", RCA!$I:$I, "2.February", RCA!$D:$D, "OUTSIDE MBA")</f>
        <v>1</v>
      </c>
      <c r="D30" s="393">
        <f>COUNTIFS(RCA!$M:$M, "&lt;&gt;", RCA!$W:$W, "&lt;&gt;", RCA!$I:$I, "3.March", RCA!$D:$D, "OUTSIDE MBA")</f>
        <v>0</v>
      </c>
      <c r="E30" s="393">
        <f>COUNTIFS(RCA!$M:$M, "&lt;&gt;", RCA!$W:$W, "&lt;&gt;", RCA!$I:$I, "4.April", RCA!$D:$D, "OUTSIDE MBA")</f>
        <v>0</v>
      </c>
      <c r="F30" s="393">
        <f>COUNTIFS(RCA!$M:$M, "&lt;&gt;", RCA!$W:$W, "&lt;&gt;", RCA!$I:$I, "5.May", RCA!$D:$D, "OUTSIDE MBA")</f>
        <v>0</v>
      </c>
      <c r="G30" s="393">
        <f>COUNTIFS(RCA!$M:$M, "&lt;&gt;", RCA!$W:$W, "&lt;&gt;", RCA!$I:$I, "6.June", RCA!$D:$D, "OUTSIDE MBA")</f>
        <v>0</v>
      </c>
      <c r="H30" s="393">
        <f>SUM(B30:G30)</f>
        <v>1</v>
      </c>
      <c r="I30" s="393">
        <f>COUNTIFS(RCA!$M:$M, "&lt;&gt;", RCA!$W:$W, "&lt;&gt;", RCA!$I:$I, "7.July", RCA!$D:$D, "OUTSIDE MBA")</f>
        <v>0</v>
      </c>
      <c r="J30" s="393">
        <f>COUNTIFS(RCA!$M:$M, "&lt;&gt;", RCA!$W:$W, "&lt;&gt;", RCA!$I:$I, "8.August", RCA!$D:$D, "OUTSIDE MBA")</f>
        <v>0</v>
      </c>
      <c r="K30" s="393">
        <f>COUNTIFS(RCA!$M:$M, "&lt;&gt;", RCA!$W:$W, "&lt;&gt;", RCA!$I:$I, "9.September", RCA!$D:$D, "OUTSIDE MBA")</f>
        <v>0</v>
      </c>
      <c r="L30" s="393">
        <f>COUNTIFS(RCA!$M:$M, "&lt;&gt;", RCA!$W:$W, "&lt;&gt;", RCA!$I:$I, "10.October", RCA!$D:$D, "OUTSIDE MBA")</f>
        <v>0</v>
      </c>
      <c r="M30" s="393">
        <f>COUNTIFS(RCA!$M:$M, "&lt;&gt;", RCA!$W:$W, "&lt;&gt;", RCA!$I:$I, "11.November", RCA!$D:$D, "OUTSIDE MBA")</f>
        <v>0</v>
      </c>
      <c r="N30" s="393">
        <f>COUNTIFS(RCA!$M:$M, "&lt;&gt;", RCA!$W:$W, "&lt;&gt;", RCA!$I:$I, "12.December", RCA!$D:$D, "OUTSIDE MBA")</f>
        <v>0</v>
      </c>
      <c r="O30" s="393">
        <f>SUM(I30:N30)</f>
        <v>0</v>
      </c>
      <c r="P30" s="393">
        <f t="shared" si="76"/>
        <v>1</v>
      </c>
      <c r="S30" s="682"/>
      <c r="T30" s="650" t="s">
        <v>5931</v>
      </c>
      <c r="U30" s="393">
        <f>COUNTIFS('10-YEAR SWM PLAN'!$A:$A, "Bulacan", '10-YEAR SWM PLAN'!$B:$B, "Malolos", '10-YEAR SWM PLAN'!$AC:$AC, "&lt;&gt;")</f>
        <v>0</v>
      </c>
      <c r="V30" s="393">
        <f>COUNTIFS('FUNDED MRF'!$A:$A, "Bulacan", 'FUNDED MRF'!$B:$B, "*Malolos*", 'FUNDED MRF'!$AA:$AA, "&lt;&gt;")</f>
        <v>0</v>
      </c>
      <c r="W30" s="393" t="s">
        <v>6373</v>
      </c>
      <c r="X30" s="393">
        <f>COUNTIFS(EQUIPMENT!$A:$A, "Bulacan", EQUIPMENT!$B:$B, "*malol*", EQUIPMENT!$X:$X, "&lt;&gt;")</f>
        <v>0</v>
      </c>
      <c r="Y30" s="393" t="s">
        <v>6373</v>
      </c>
      <c r="Z30" s="393">
        <f>COUNTIFS('TECHNICAL ASSISTANCE TO BRGY.'!$A:$A, "Bulacan", 'TECHNICAL ASSISTANCE TO BRGY.'!$B:$B, "*malolos*", 'TECHNICAL ASSISTANCE TO BRGY.'!$T:$T, "&lt;&gt;")</f>
        <v>3</v>
      </c>
      <c r="AA30" s="393" t="s">
        <v>6373</v>
      </c>
      <c r="AB30" s="393">
        <f>COUNTIFS('TRASH TRAP'!$A:$A, "Bulacan", 'TRASH TRAP'!$C:$C, "*malolo*", 'TRASH TRAP'!$W:$W, "&lt;&gt;")</f>
        <v>0</v>
      </c>
      <c r="AC30" s="393">
        <f>COUNTIFS(PDS!$A:$A, "bulacan", PDS!$B:$B, "*malolos*", PDS!$AD:$AD, "&lt;&gt;")</f>
        <v>0</v>
      </c>
      <c r="AD30" s="393" t="s">
        <v>6373</v>
      </c>
      <c r="AE30" s="393">
        <f>COUNTIFS('TRANSFER STATION'!$A:$A, "Bulacan", 'TRANSFER STATION'!$B:$B, "*malolo*", 'TRANSFER STATION'!$W:$W, "&lt;&gt;")</f>
        <v>0</v>
      </c>
    </row>
    <row r="31" spans="1:31" ht="15.75">
      <c r="A31" s="440" t="s">
        <v>97</v>
      </c>
      <c r="B31" s="439">
        <f>SUM(B32:B33)</f>
        <v>0</v>
      </c>
      <c r="C31" s="439">
        <f t="shared" ref="C31" si="105">SUM(C32:C33)</f>
        <v>12</v>
      </c>
      <c r="D31" s="439">
        <f t="shared" ref="D31" si="106">SUM(D32:D33)</f>
        <v>9</v>
      </c>
      <c r="E31" s="439">
        <f t="shared" ref="E31" si="107">SUM(E32:E33)</f>
        <v>0</v>
      </c>
      <c r="F31" s="439">
        <f t="shared" ref="F31" si="108">SUM(F32:F33)</f>
        <v>0</v>
      </c>
      <c r="G31" s="439">
        <f t="shared" ref="G31" si="109">SUM(G32:G33)</f>
        <v>0</v>
      </c>
      <c r="H31" s="439">
        <f t="shared" ref="H31" si="110">SUM(H32:H33)</f>
        <v>0</v>
      </c>
      <c r="I31" s="439">
        <f t="shared" ref="I31" si="111">SUM(I32:I33)</f>
        <v>0</v>
      </c>
      <c r="J31" s="439">
        <f t="shared" ref="J31" si="112">SUM(J32:J33)</f>
        <v>0</v>
      </c>
      <c r="K31" s="439">
        <f t="shared" ref="K31" si="113">SUM(K32:K33)</f>
        <v>0</v>
      </c>
      <c r="L31" s="439">
        <f t="shared" ref="L31" si="114">SUM(L32:L33)</f>
        <v>0</v>
      </c>
      <c r="M31" s="439">
        <f t="shared" ref="M31" si="115">SUM(M32:M33)</f>
        <v>0</v>
      </c>
      <c r="N31" s="439">
        <f t="shared" ref="N31" si="116">SUM(N32:N33)</f>
        <v>0</v>
      </c>
      <c r="O31" s="439">
        <f t="shared" ref="O31" si="117">SUM(O32:O33)</f>
        <v>0</v>
      </c>
      <c r="P31" s="439">
        <f t="shared" si="76"/>
        <v>0</v>
      </c>
      <c r="S31" s="682"/>
      <c r="T31" s="651" t="s">
        <v>501</v>
      </c>
      <c r="U31" s="393">
        <f>COUNTIFS('10-YEAR SWM PLAN'!$A:$A, "Bulacan", '10-YEAR SWM PLAN'!$B:$B, "Paombong", '10-YEAR SWM PLAN'!$AC:$AC, "&lt;&gt;")</f>
        <v>0</v>
      </c>
      <c r="V31" s="393">
        <f>COUNTIFS('FUNDED MRF'!$A:$A, "Bulacan", 'FUNDED MRF'!$B:$B, "*Paombong*", 'FUNDED MRF'!$AA:$AA, "&lt;&gt;")</f>
        <v>0</v>
      </c>
      <c r="W31" s="393" t="s">
        <v>6373</v>
      </c>
      <c r="X31" s="393">
        <f>COUNTIFS(EQUIPMENT!$A:$A, "Bulacan", EQUIPMENT!$B:$B, "*paom*", EQUIPMENT!$X:$X, "&lt;&gt;")</f>
        <v>0</v>
      </c>
      <c r="Y31" s="393" t="s">
        <v>6373</v>
      </c>
      <c r="Z31" s="393">
        <f>COUNTIFS('TECHNICAL ASSISTANCE TO BRGY.'!$A:$A, "Bulacan", 'TECHNICAL ASSISTANCE TO BRGY.'!$B:$B, "*paombong*", 'TECHNICAL ASSISTANCE TO BRGY.'!$T:$T, "&lt;&gt;")</f>
        <v>4</v>
      </c>
      <c r="AA31" s="393" t="s">
        <v>6373</v>
      </c>
      <c r="AB31" s="393">
        <f>COUNTIFS('TRASH TRAP'!$A:$A, "Bulacan", 'TRASH TRAP'!$C:$C, "*paom*", 'TRASH TRAP'!$W:$W, "&lt;&gt;")</f>
        <v>0</v>
      </c>
      <c r="AC31" s="393">
        <f>COUNTIFS(PDS!$A:$A, "bulacan", PDS!$B:$B, "*paombong*", PDS!$AD:$AD, "&lt;&gt;")</f>
        <v>0</v>
      </c>
      <c r="AD31" s="393" t="s">
        <v>6373</v>
      </c>
      <c r="AE31" s="393">
        <f>COUNTIFS('TRANSFER STATION'!$A:$A, "Bulacan", 'TRANSFER STATION'!$B:$B, "*paom*", 'TRANSFER STATION'!$W:$W, "&lt;&gt;")</f>
        <v>0</v>
      </c>
    </row>
    <row r="32" spans="1:31" ht="15.75">
      <c r="A32" s="438" t="s">
        <v>6375</v>
      </c>
      <c r="B32" s="393">
        <f>COUNTIFS('TRASH TRAP'!$M:$M, "&lt;&gt;", 'TRASH TRAP'!$W:$W, "&lt;&gt;", 'TRASH TRAP'!$I:$I, "1.January", 'TRASH TRAP'!$D:$D, "MBA")</f>
        <v>0</v>
      </c>
      <c r="C32" s="393">
        <f>COUNTIFS('TRASH TRAP'!$M:$M, "&lt;&gt;", 'TRASH TRAP'!$W:$W, "&lt;&gt;", 'TRASH TRAP'!$I:$I, "2.February", 'TRASH TRAP'!$D:$D, "MBA")</f>
        <v>12</v>
      </c>
      <c r="D32" s="393">
        <f>COUNTIFS('TRASH TRAP'!$M:$M, "&lt;&gt;", 'TRASH TRAP'!$W:$W, "&lt;&gt;", 'TRASH TRAP'!$I:$I, "3.March", 'TRASH TRAP'!$D:$D, "MBA")</f>
        <v>9</v>
      </c>
      <c r="E32" s="393">
        <f>COUNTIFS('TRASH TRAP'!$M:$M, "&lt;&gt;", 'TRASH TRAP'!$W:$W, "&lt;&gt;", 'TRASH TRAP'!$I:$I, "4.April", 'TRASH TRAP'!$D:$D, "MBA")</f>
        <v>0</v>
      </c>
      <c r="F32" s="393">
        <f>COUNTIFS('TRASH TRAP'!$M:$M, "&lt;&gt;", 'TRASH TRAP'!$W:$W, "&lt;&gt;", 'TRASH TRAP'!$I:$I, "5.May", 'TRASH TRAP'!$D:$D, "MBA")</f>
        <v>0</v>
      </c>
      <c r="G32" s="393">
        <f>COUNTIFS('TRASH TRAP'!$M:$M, "&lt;&gt;", 'TRASH TRAP'!$W:$W, "&lt;&gt;", 'TRASH TRAP'!$I:$I, "6.June", 'TRASH TRAP'!$D:$D, "MBA")</f>
        <v>0</v>
      </c>
      <c r="H32" s="393">
        <f>COUNTIFS('ODS 3'!$R:$R, "&lt;&gt;", 'ODS 3'!$AB:$AB, "&lt;&gt;", 'ODS 3'!$N:$N, "6.June", 'ODS 3'!$D:$D, "MBA")</f>
        <v>0</v>
      </c>
      <c r="I32" s="393">
        <f>COUNTIFS('TRASH TRAP'!$M:$M, "&lt;&gt;", 'TRASH TRAP'!$W:$W, "&lt;&gt;", 'TRASH TRAP'!$I:$I, "7.July", 'TRASH TRAP'!$D:$D, "MBA")</f>
        <v>0</v>
      </c>
      <c r="J32" s="393">
        <f>COUNTIFS('TRASH TRAP'!$M:$M, "&lt;&gt;", 'TRASH TRAP'!$W:$W, "&lt;&gt;", 'TRASH TRAP'!$I:$I, "8.August", 'TRASH TRAP'!$D:$D, "MBA")</f>
        <v>0</v>
      </c>
      <c r="K32" s="393">
        <f>COUNTIFS('TRASH TRAP'!$M:$M, "&lt;&gt;", 'TRASH TRAP'!$W:$W, "&lt;&gt;", 'TRASH TRAP'!$I:$I, "9.September", 'TRASH TRAP'!$D:$D, "MBA")</f>
        <v>0</v>
      </c>
      <c r="L32" s="393">
        <f>COUNTIFS('TRASH TRAP'!$M:$M, "&lt;&gt;", 'TRASH TRAP'!$W:$W, "&lt;&gt;", 'TRASH TRAP'!$I:$I, "10.October", 'TRASH TRAP'!$D:$D, "MBA")</f>
        <v>0</v>
      </c>
      <c r="M32" s="393">
        <f>COUNTIFS('TRASH TRAP'!$M:$M, "&lt;&gt;", 'TRASH TRAP'!$W:$W, "&lt;&gt;", 'TRASH TRAP'!$I:$I, "11.November", 'TRASH TRAP'!$D:$D, "MBA")</f>
        <v>0</v>
      </c>
      <c r="N32" s="393">
        <f>COUNTIFS('TRASH TRAP'!$M:$M, "&lt;&gt;", 'TRASH TRAP'!$W:$W, "&lt;&gt;", 'TRASH TRAP'!$I:$I, "12.December", 'TRASH TRAP'!$D:$D, "MBA")</f>
        <v>0</v>
      </c>
      <c r="O32" s="393">
        <f>SUM(I32:N32)</f>
        <v>0</v>
      </c>
      <c r="P32" s="393">
        <f t="shared" si="76"/>
        <v>0</v>
      </c>
      <c r="S32" s="682"/>
      <c r="T32" s="651" t="s">
        <v>503</v>
      </c>
      <c r="U32" s="393">
        <f>COUNTIFS('10-YEAR SWM PLAN'!$A:$A, "Bulacan", '10-YEAR SWM PLAN'!$B:$B, "Pulilan", '10-YEAR SWM PLAN'!$AC:$AC, "&lt;&gt;")</f>
        <v>0</v>
      </c>
      <c r="V32" s="393">
        <f>COUNTIFS('FUNDED MRF'!$A:$A, "Bulacan", 'FUNDED MRF'!$B:$B, "*Pulilan*", 'FUNDED MRF'!$AA:$AA, "&lt;&gt;")</f>
        <v>0</v>
      </c>
      <c r="W32" s="393" t="s">
        <v>6373</v>
      </c>
      <c r="X32" s="393">
        <f>COUNTIFS(EQUIPMENT!$A:$A, "Bulacan", EQUIPMENT!$B:$B, "*puli*", EQUIPMENT!$X:$X, "&lt;&gt;")</f>
        <v>0</v>
      </c>
      <c r="Y32" s="393" t="s">
        <v>6373</v>
      </c>
      <c r="Z32" s="393">
        <f>COUNTIFS('TECHNICAL ASSISTANCE TO BRGY.'!$A:$A, "Bulacan", 'TECHNICAL ASSISTANCE TO BRGY.'!$B:$B, "*pulilan*", 'TECHNICAL ASSISTANCE TO BRGY.'!$T:$T, "&lt;&gt;")</f>
        <v>0</v>
      </c>
      <c r="AA32" s="393" t="s">
        <v>6373</v>
      </c>
      <c r="AB32" s="393">
        <f>COUNTIFS('TRASH TRAP'!$A:$A, "Bulacan", 'TRASH TRAP'!$C:$C, "*puli*", 'TRASH TRAP'!$W:$W, "&lt;&gt;")</f>
        <v>0</v>
      </c>
      <c r="AC32" s="393">
        <f>COUNTIFS(PDS!$A:$A, "bulacan", PDS!$B:$B, "*pulilan*", PDS!$AD:$AD, "&lt;&gt;")</f>
        <v>0</v>
      </c>
      <c r="AD32" s="393" t="s">
        <v>6373</v>
      </c>
      <c r="AE32" s="393">
        <f>COUNTIFS('TRANSFER STATION'!$A:$A, "Bulacan", 'TRANSFER STATION'!$B:$B, "*puli*", 'TRANSFER STATION'!$W:$W, "&lt;&gt;")</f>
        <v>0</v>
      </c>
    </row>
    <row r="33" spans="1:31" ht="15.75">
      <c r="A33" s="438" t="s">
        <v>6376</v>
      </c>
      <c r="B33" s="393" t="s">
        <v>6373</v>
      </c>
      <c r="C33" s="393" t="s">
        <v>6373</v>
      </c>
      <c r="D33" s="393" t="s">
        <v>6373</v>
      </c>
      <c r="E33" s="393" t="s">
        <v>6373</v>
      </c>
      <c r="F33" s="393" t="s">
        <v>6373</v>
      </c>
      <c r="G33" s="393" t="s">
        <v>6373</v>
      </c>
      <c r="H33" s="393" t="s">
        <v>6373</v>
      </c>
      <c r="I33" s="393" t="s">
        <v>6373</v>
      </c>
      <c r="J33" s="393" t="s">
        <v>6373</v>
      </c>
      <c r="K33" s="393" t="s">
        <v>6373</v>
      </c>
      <c r="L33" s="393" t="s">
        <v>6373</v>
      </c>
      <c r="M33" s="393" t="s">
        <v>6373</v>
      </c>
      <c r="N33" s="393" t="s">
        <v>6373</v>
      </c>
      <c r="O33" s="393" t="s">
        <v>6373</v>
      </c>
      <c r="P33" s="393" t="s">
        <v>6373</v>
      </c>
      <c r="S33" s="682"/>
      <c r="T33" s="660" t="s">
        <v>6379</v>
      </c>
      <c r="U33" s="660">
        <f>SUM(U34:U36)</f>
        <v>1</v>
      </c>
      <c r="V33" s="660">
        <f t="shared" ref="V33:AE33" si="118">SUM(V34:V36)</f>
        <v>0</v>
      </c>
      <c r="W33" s="660">
        <f t="shared" si="118"/>
        <v>0</v>
      </c>
      <c r="X33" s="660">
        <f t="shared" si="118"/>
        <v>0</v>
      </c>
      <c r="Y33" s="660">
        <f t="shared" si="118"/>
        <v>0</v>
      </c>
      <c r="Z33" s="660">
        <f t="shared" si="118"/>
        <v>4</v>
      </c>
      <c r="AA33" s="660">
        <f t="shared" ref="AA33" si="119">SUM(AA34:AA36)</f>
        <v>0</v>
      </c>
      <c r="AB33" s="660">
        <f t="shared" si="118"/>
        <v>0</v>
      </c>
      <c r="AC33" s="660">
        <f t="shared" si="118"/>
        <v>0</v>
      </c>
      <c r="AD33" s="660">
        <f t="shared" si="118"/>
        <v>0</v>
      </c>
      <c r="AE33" s="660">
        <f t="shared" si="118"/>
        <v>0</v>
      </c>
    </row>
    <row r="34" spans="1:31" ht="15.75">
      <c r="A34" s="440" t="s">
        <v>96</v>
      </c>
      <c r="B34" s="439">
        <f>SUM(B35:B36)</f>
        <v>1</v>
      </c>
      <c r="C34" s="439">
        <f t="shared" ref="C34" si="120">SUM(C35:C36)</f>
        <v>2</v>
      </c>
      <c r="D34" s="439">
        <f t="shared" ref="D34" si="121">SUM(D35:D36)</f>
        <v>0</v>
      </c>
      <c r="E34" s="439">
        <f t="shared" ref="E34" si="122">SUM(E35:E36)</f>
        <v>0</v>
      </c>
      <c r="F34" s="439">
        <f t="shared" ref="F34" si="123">SUM(F35:F36)</f>
        <v>0</v>
      </c>
      <c r="G34" s="439">
        <f t="shared" ref="G34" si="124">SUM(G35:G36)</f>
        <v>0</v>
      </c>
      <c r="H34" s="439">
        <f t="shared" ref="H34" si="125">SUM(H35:H36)</f>
        <v>0</v>
      </c>
      <c r="I34" s="439">
        <f t="shared" ref="I34" si="126">SUM(I35:I36)</f>
        <v>0</v>
      </c>
      <c r="J34" s="439">
        <f t="shared" ref="J34" si="127">SUM(J35:J36)</f>
        <v>0</v>
      </c>
      <c r="K34" s="439">
        <f t="shared" ref="K34" si="128">SUM(K35:K36)</f>
        <v>0</v>
      </c>
      <c r="L34" s="439">
        <f t="shared" ref="L34" si="129">SUM(L35:L36)</f>
        <v>0</v>
      </c>
      <c r="M34" s="439">
        <f t="shared" ref="M34" si="130">SUM(M35:M36)</f>
        <v>0</v>
      </c>
      <c r="N34" s="439">
        <f t="shared" ref="N34" si="131">SUM(N35:N36)</f>
        <v>0</v>
      </c>
      <c r="O34" s="439">
        <f t="shared" ref="O34" si="132">SUM(O35:O36)</f>
        <v>0</v>
      </c>
      <c r="P34" s="439">
        <f t="shared" ref="P34:P39" si="133">SUM(O34,H34)</f>
        <v>0</v>
      </c>
      <c r="S34" s="682"/>
      <c r="T34" s="651" t="s">
        <v>2218</v>
      </c>
      <c r="U34" s="393">
        <f>COUNTIFS('10-YEAR SWM PLAN'!$A:$A, "Bulacan", '10-YEAR SWM PLAN'!$B:$B, "Baliuag", '10-YEAR SWM PLAN'!$AC:$AC, "&lt;&gt;")</f>
        <v>0</v>
      </c>
      <c r="V34" s="393">
        <f>COUNTIFS('FUNDED MRF'!$A:$A, "Bulacan", 'FUNDED MRF'!$B:$B, "*Bali*", 'FUNDED MRF'!$AA:$AA, "&lt;&gt;")</f>
        <v>0</v>
      </c>
      <c r="W34" s="393" t="s">
        <v>6373</v>
      </c>
      <c r="X34" s="393">
        <f>COUNTIFS(EQUIPMENT!$A:$A, "Bulacan", EQUIPMENT!$B:$B, "*bali*", EQUIPMENT!$X:$X, "&lt;&gt;")</f>
        <v>0</v>
      </c>
      <c r="Y34" s="393" t="s">
        <v>6373</v>
      </c>
      <c r="Z34" s="393">
        <f>COUNTIFS('TECHNICAL ASSISTANCE TO BRGY.'!$A:$A, "Bulacan", 'TECHNICAL ASSISTANCE TO BRGY.'!$B:$B, "*baliuag*", 'TECHNICAL ASSISTANCE TO BRGY.'!$T:$T, "&lt;&gt;")</f>
        <v>0</v>
      </c>
      <c r="AA34" s="393" t="s">
        <v>6373</v>
      </c>
      <c r="AB34" s="393">
        <f>COUNTIFS('TRASH TRAP'!$A:$A, "Bulacan", 'TRASH TRAP'!$C:$C, "*baliu*", 'TRASH TRAP'!$W:$W, "&lt;&gt;")</f>
        <v>0</v>
      </c>
      <c r="AC34" s="393">
        <f>COUNTIFS(PDS!$A:$A, "bulacan", PDS!$B:$B, "*baliuag*", PDS!$AD:$AD, "&lt;&gt;")</f>
        <v>0</v>
      </c>
      <c r="AD34" s="393" t="s">
        <v>6373</v>
      </c>
      <c r="AE34" s="393" t="s">
        <v>6373</v>
      </c>
    </row>
    <row r="35" spans="1:31" ht="15.75">
      <c r="A35" s="438" t="s">
        <v>6375</v>
      </c>
      <c r="B35" s="393">
        <f>COUNTIFS(PDS!$T:$T, "&lt;&gt;", PDS!$AD:$AD, "&lt;&gt;", PDS!$P:$P, "1.January", PDS!$F:$F, "MBA")</f>
        <v>1</v>
      </c>
      <c r="C35" s="393">
        <f>COUNTIFS(PDS!$T:$T, "&lt;&gt;", PDS!$AD:$AD, "&lt;&gt;", PDS!$P:$P, "2.February", PDS!$F:$F, "MBA")</f>
        <v>2</v>
      </c>
      <c r="D35" s="393">
        <f>COUNTIFS(PDS!$T:$T, "&lt;&gt;", PDS!$AD:$AD, "&lt;&gt;", PDS!$P:$P, "3.March", PDS!$F:$F, "MBA")</f>
        <v>0</v>
      </c>
      <c r="E35" s="393">
        <f>COUNTIFS(PDS!$T:$T, "&lt;&gt;", PDS!$AD:$AD, "&lt;&gt;", PDS!$P:$P, "4.April", PDS!$F:$F, "MBA")</f>
        <v>0</v>
      </c>
      <c r="F35" s="393">
        <f>COUNTIFS(PDS!$T:$T, "&lt;&gt;", PDS!$AD:$AD, "&lt;&gt;", PDS!$P:$P, "5.May", PDS!$F:$F, "MBA")</f>
        <v>0</v>
      </c>
      <c r="G35" s="393">
        <f>COUNTIFS(PDS!$T:$T, "&lt;&gt;", PDS!$AD:$AD, "&lt;&gt;", PDS!$P:$P, "6.June", PDS!$F:$F, "MBA")</f>
        <v>0</v>
      </c>
      <c r="H35" s="393">
        <f>COUNTIFS('ODS 3'!$R:$R, "&lt;&gt;", 'ODS 3'!$AB:$AB, "&lt;&gt;", 'ODS 3'!$N:$N, "6.June", 'ODS 3'!$D:$D, "MBA")</f>
        <v>0</v>
      </c>
      <c r="I35" s="393">
        <f>COUNTIFS(PDS!$T:$T, "&lt;&gt;", PDS!$AD:$AD, "&lt;&gt;", PDS!$P:$P, "7.July", PDS!$F:$F, "MBA")</f>
        <v>0</v>
      </c>
      <c r="J35" s="393">
        <f>COUNTIFS(PDS!$T:$T, "&lt;&gt;", PDS!$AD:$AD, "&lt;&gt;", PDS!$P:$P, "8.August", PDS!$F:$F, "MBA")</f>
        <v>0</v>
      </c>
      <c r="K35" s="393">
        <f>COUNTIFS(PDS!$T:$T, "&lt;&gt;", PDS!$AD:$AD, "&lt;&gt;", PDS!$P:$P, "9.September", PDS!$F:$F, "MBA")</f>
        <v>0</v>
      </c>
      <c r="L35" s="393">
        <f>COUNTIFS(PDS!$T:$T, "&lt;&gt;", PDS!$AD:$AD, "&lt;&gt;", PDS!$P:$P, "10.October", PDS!$F:$F, "MBA")</f>
        <v>0</v>
      </c>
      <c r="M35" s="393">
        <f>COUNTIFS(PDS!$T:$T, "&lt;&gt;", PDS!$AD:$AD, "&lt;&gt;", PDS!$P:$P, "11.November", PDS!$F:$F, "MBA")</f>
        <v>0</v>
      </c>
      <c r="N35" s="393">
        <f>COUNTIFS(PDS!$T:$T, "&lt;&gt;", PDS!$AD:$AD, "&lt;&gt;", PDS!$P:$P, "12.December", PDS!$F:$F, "MBA")</f>
        <v>0</v>
      </c>
      <c r="O35" s="393">
        <f>SUM(I35:N35)</f>
        <v>0</v>
      </c>
      <c r="P35" s="393">
        <f t="shared" si="133"/>
        <v>0</v>
      </c>
      <c r="S35" s="682"/>
      <c r="T35" s="651" t="s">
        <v>490</v>
      </c>
      <c r="U35" s="393">
        <f>COUNTIFS('10-YEAR SWM PLAN'!$A:$A, "Bulacan", '10-YEAR SWM PLAN'!$B:$B, "Bustos", '10-YEAR SWM PLAN'!$AC:$AC, "&lt;&gt;")</f>
        <v>0</v>
      </c>
      <c r="V35" s="393">
        <f>COUNTIFS('FUNDED MRF'!$A:$A, "Bulacan", 'FUNDED MRF'!$B:$B, "*Bustos*", 'FUNDED MRF'!$AA:$AA, "&lt;&gt;")</f>
        <v>0</v>
      </c>
      <c r="W35" s="393" t="s">
        <v>6373</v>
      </c>
      <c r="X35" s="393">
        <f>COUNTIFS(EQUIPMENT!$A:$A, "Bulacan", EQUIPMENT!$B:$B, "*bust*", EQUIPMENT!$X:$X, "&lt;&gt;")</f>
        <v>0</v>
      </c>
      <c r="Y35" s="393" t="s">
        <v>6373</v>
      </c>
      <c r="Z35" s="393">
        <f>COUNTIFS('TECHNICAL ASSISTANCE TO BRGY.'!$A:$A, "Bulacan", 'TECHNICAL ASSISTANCE TO BRGY.'!$B:$B, "*bustos*", 'TECHNICAL ASSISTANCE TO BRGY.'!$T:$T, "&lt;&gt;")</f>
        <v>4</v>
      </c>
      <c r="AA35" s="393" t="s">
        <v>6373</v>
      </c>
      <c r="AB35" s="393">
        <f>COUNTIFS('TRASH TRAP'!$A:$A, "Bulacan", 'TRASH TRAP'!$C:$C, "*bust*", 'TRASH TRAP'!$W:$W, "&lt;&gt;")</f>
        <v>0</v>
      </c>
      <c r="AC35" s="393">
        <f>COUNTIFS(PDS!$A:$A, "bulacan", PDS!$B:$B, "*BUSTOS*", PDS!$AD:$AD, "&lt;&gt;")</f>
        <v>0</v>
      </c>
      <c r="AD35" s="393" t="s">
        <v>6373</v>
      </c>
      <c r="AE35" s="393" t="s">
        <v>6373</v>
      </c>
    </row>
    <row r="36" spans="1:31" ht="15.75">
      <c r="A36" s="438" t="s">
        <v>6376</v>
      </c>
      <c r="B36" s="393">
        <f>COUNTIFS(PDS!$T:$T, "&lt;&gt;", PDS!$AD:$AD, "&lt;&gt;", PDS!$P:$P, "1.January", PDS!$F:$F, "OUTSIDE MBA")</f>
        <v>0</v>
      </c>
      <c r="C36" s="393">
        <f>COUNTIFS(PDS!$T:$T, "&lt;&gt;", PDS!$AD:$AD, "&lt;&gt;", PDS!$P:$P, "2.February", PDS!$F:$F, "OUTSIDE MBA")</f>
        <v>0</v>
      </c>
      <c r="D36" s="393">
        <f>COUNTIFS(PDS!$T:$T, "&lt;&gt;", PDS!$AD:$AD, "&lt;&gt;", PDS!$P:$P, "3.March", PDS!$F:$F, "OUTSIDE MBA")</f>
        <v>0</v>
      </c>
      <c r="E36" s="393">
        <f>COUNTIFS(PDS!$T:$T, "&lt;&gt;", PDS!$AD:$AD, "&lt;&gt;", PDS!$P:$P, "4.April", PDS!$F:$F, "OUTSIDE MBA")</f>
        <v>0</v>
      </c>
      <c r="F36" s="393">
        <f>COUNTIFS(PDS!$T:$T, "&lt;&gt;", PDS!$AD:$AD, "&lt;&gt;", PDS!$P:$P, "5.May", PDS!$F:$F, "OUTSIDE MBA")</f>
        <v>0</v>
      </c>
      <c r="G36" s="393">
        <f>COUNTIFS(PDS!$T:$T, "&lt;&gt;", PDS!$AD:$AD, "&lt;&gt;", PDS!$P:$P, "6.June", PDS!$F:$F, "OUTSIDE MBA")</f>
        <v>0</v>
      </c>
      <c r="H36" s="393">
        <f>SUM(B36:G36)</f>
        <v>0</v>
      </c>
      <c r="I36" s="393">
        <f>COUNTIFS(PDS!$T:$T, "&lt;&gt;", PDS!$AD:$AD, "&lt;&gt;", PDS!$P:$P, "7.July", PDS!$F:$F, "OUTSIDE MBA")</f>
        <v>0</v>
      </c>
      <c r="J36" s="393">
        <f>COUNTIFS(PDS!$T:$T, "&lt;&gt;", PDS!$AD:$AD, "&lt;&gt;", PDS!$P:$P, "8.August", PDS!$F:$F, "OUTSIDE MBA")</f>
        <v>0</v>
      </c>
      <c r="K36" s="393">
        <f>COUNTIFS(PDS!$T:$T, "&lt;&gt;", PDS!$AD:$AD, "&lt;&gt;", PDS!$P:$P, "9.September", PDS!$F:$F, "OUTSIDE MBA")</f>
        <v>0</v>
      </c>
      <c r="L36" s="393">
        <f>COUNTIFS(PDS!$T:$T, "&lt;&gt;", PDS!$AD:$AD, "&lt;&gt;", PDS!$P:$P, "10.October", PDS!$F:$F, "OUTSIDE MBA")</f>
        <v>0</v>
      </c>
      <c r="M36" s="393">
        <f>COUNTIFS(PDS!$T:$T, "&lt;&gt;", PDS!$AD:$AD, "&lt;&gt;", PDS!$P:$P, "11.November", PDS!$F:$F, "OUTSIDE MBA")</f>
        <v>0</v>
      </c>
      <c r="N36" s="393">
        <f>COUNTIFS(PDS!$T:$T, "&lt;&gt;", PDS!$AD:$AD, "&lt;&gt;", PDS!$P:$P, "12.December", PDS!$F:$F, "OUTSIDE MBA")</f>
        <v>0</v>
      </c>
      <c r="O36" s="393">
        <f>SUM(I36:N36)</f>
        <v>0</v>
      </c>
      <c r="P36" s="393">
        <f t="shared" si="133"/>
        <v>0</v>
      </c>
      <c r="S36" s="682"/>
      <c r="T36" s="651" t="s">
        <v>284</v>
      </c>
      <c r="U36" s="393">
        <f>COUNTIFS('10-YEAR SWM PLAN'!$A:$A, "Bulacan", '10-YEAR SWM PLAN'!$B:$B, "Plaridel", '10-YEAR SWM PLAN'!$AC:$AC, "&lt;&gt;")</f>
        <v>1</v>
      </c>
      <c r="V36" s="393">
        <f>COUNTIFS('FUNDED MRF'!$A:$A, "Bulacan", 'FUNDED MRF'!$B:$B, "*Plaridel*", 'FUNDED MRF'!$AA:$AA, "&lt;&gt;")</f>
        <v>0</v>
      </c>
      <c r="W36" s="393" t="s">
        <v>6373</v>
      </c>
      <c r="X36" s="393">
        <f>COUNTIFS(EQUIPMENT!$A:$A, "Bulacan", EQUIPMENT!$B:$B, "*plari*", EQUIPMENT!$X:$X, "&lt;&gt;")</f>
        <v>0</v>
      </c>
      <c r="Y36" s="393" t="s">
        <v>6373</v>
      </c>
      <c r="Z36" s="393">
        <f>COUNTIFS('TECHNICAL ASSISTANCE TO BRGY.'!$A:$A, "Bulacan", 'TECHNICAL ASSISTANCE TO BRGY.'!$B:$B, "*plaridel*", 'TECHNICAL ASSISTANCE TO BRGY.'!$T:$T, "&lt;&gt;")</f>
        <v>0</v>
      </c>
      <c r="AA36" s="393" t="s">
        <v>6373</v>
      </c>
      <c r="AB36" s="393">
        <f>COUNTIFS('TRASH TRAP'!$A:$A, "Bulacan", 'TRASH TRAP'!$C:$C, "*plari*", 'TRASH TRAP'!$W:$W, "&lt;&gt;")</f>
        <v>0</v>
      </c>
      <c r="AC36" s="393">
        <f>COUNTIFS(PDS!$A:$A, "bulacan", PDS!$B:$B, "*Plaridel*", PDS!$AD:$AD, "&lt;&gt;")</f>
        <v>0</v>
      </c>
      <c r="AD36" s="393" t="s">
        <v>6373</v>
      </c>
      <c r="AE36" s="393" t="s">
        <v>6373</v>
      </c>
    </row>
    <row r="37" spans="1:31" ht="15.75">
      <c r="A37" s="440" t="s">
        <v>6383</v>
      </c>
      <c r="B37" s="439">
        <f>SUM(B38:B39)</f>
        <v>31</v>
      </c>
      <c r="C37" s="439">
        <f t="shared" ref="C37" si="134">SUM(C38:C39)</f>
        <v>140</v>
      </c>
      <c r="D37" s="439">
        <f t="shared" ref="D37" si="135">SUM(D38:D39)</f>
        <v>59</v>
      </c>
      <c r="E37" s="439">
        <f t="shared" ref="E37" si="136">SUM(E38:E39)</f>
        <v>2</v>
      </c>
      <c r="F37" s="439">
        <f t="shared" ref="F37" si="137">SUM(F38:F39)</f>
        <v>0</v>
      </c>
      <c r="G37" s="439">
        <f t="shared" ref="G37" si="138">SUM(G38:G39)</f>
        <v>0</v>
      </c>
      <c r="H37" s="439">
        <f t="shared" ref="H37" si="139">SUM(H38:H39)</f>
        <v>232</v>
      </c>
      <c r="I37" s="439">
        <f t="shared" ref="I37" si="140">SUM(I38:I39)</f>
        <v>0</v>
      </c>
      <c r="J37" s="439">
        <f t="shared" ref="J37" si="141">SUM(J38:J39)</f>
        <v>0</v>
      </c>
      <c r="K37" s="439">
        <f t="shared" ref="K37" si="142">SUM(K38:K39)</f>
        <v>0</v>
      </c>
      <c r="L37" s="439">
        <f t="shared" ref="L37" si="143">SUM(L38:L39)</f>
        <v>0</v>
      </c>
      <c r="M37" s="439">
        <f t="shared" ref="M37" si="144">SUM(M38:M39)</f>
        <v>0</v>
      </c>
      <c r="N37" s="439">
        <f t="shared" ref="N37" si="145">SUM(N38:N39)</f>
        <v>0</v>
      </c>
      <c r="O37" s="439">
        <f t="shared" ref="O37" si="146">SUM(O38:O39)</f>
        <v>0</v>
      </c>
      <c r="P37" s="439">
        <f t="shared" si="133"/>
        <v>232</v>
      </c>
      <c r="S37" s="682"/>
      <c r="T37" s="660" t="s">
        <v>6381</v>
      </c>
      <c r="U37" s="660">
        <f>SUM(U38:U41)</f>
        <v>0</v>
      </c>
      <c r="V37" s="660">
        <f t="shared" ref="V37:AE37" si="147">SUM(V38:V41)</f>
        <v>0</v>
      </c>
      <c r="W37" s="660">
        <f t="shared" si="147"/>
        <v>0</v>
      </c>
      <c r="X37" s="660">
        <f t="shared" si="147"/>
        <v>1</v>
      </c>
      <c r="Y37" s="660">
        <f t="shared" si="147"/>
        <v>0</v>
      </c>
      <c r="Z37" s="660">
        <f t="shared" si="147"/>
        <v>0</v>
      </c>
      <c r="AA37" s="660">
        <f t="shared" ref="AA37" si="148">SUM(AA38:AA41)</f>
        <v>0</v>
      </c>
      <c r="AB37" s="660">
        <f t="shared" si="147"/>
        <v>0</v>
      </c>
      <c r="AC37" s="660">
        <f t="shared" si="147"/>
        <v>0</v>
      </c>
      <c r="AD37" s="660">
        <f t="shared" si="147"/>
        <v>0</v>
      </c>
      <c r="AE37" s="660">
        <f t="shared" si="147"/>
        <v>1</v>
      </c>
    </row>
    <row r="38" spans="1:31" ht="15.75">
      <c r="A38" s="438" t="s">
        <v>6375</v>
      </c>
      <c r="B38" s="393">
        <f>COUNTIFS('TECHNICAL ASSISTANCE TO BRGY.'!$J:$J, "&lt;&gt;", 'TECHNICAL ASSISTANCE TO BRGY.'!$T:$T, "&lt;&gt;", 'TECHNICAL ASSISTANCE TO BRGY.'!$K:$K, "1.January", 'TECHNICAL ASSISTANCE TO BRGY.'!$D:$D, "MBA")</f>
        <v>30</v>
      </c>
      <c r="C38" s="393">
        <f>COUNTIFS('TECHNICAL ASSISTANCE TO BRGY.'!$J:$J, "&lt;&gt;", 'TECHNICAL ASSISTANCE TO BRGY.'!$T:$T, "&lt;&gt;", 'TECHNICAL ASSISTANCE TO BRGY.'!$K:$K, "2.February", 'TECHNICAL ASSISTANCE TO BRGY.'!$D:$D, "MBA")</f>
        <v>124</v>
      </c>
      <c r="D38" s="393">
        <f>COUNTIFS('TECHNICAL ASSISTANCE TO BRGY.'!$J:$J, "&lt;&gt;", 'TECHNICAL ASSISTANCE TO BRGY.'!$T:$T, "&lt;&gt;", 'TECHNICAL ASSISTANCE TO BRGY.'!$K:$K, "3.March", 'TECHNICAL ASSISTANCE TO BRGY.'!$D:$D, "MBA")</f>
        <v>40</v>
      </c>
      <c r="E38" s="393">
        <f>COUNTIFS('TECHNICAL ASSISTANCE TO BRGY.'!$J:$J, "&lt;&gt;", 'TECHNICAL ASSISTANCE TO BRGY.'!$T:$T, "&lt;&gt;", 'TECHNICAL ASSISTANCE TO BRGY.'!$K:$K, "4.April", 'TECHNICAL ASSISTANCE TO BRGY.'!$D:$D, "MBA")</f>
        <v>0</v>
      </c>
      <c r="F38" s="393">
        <f>COUNTIFS('TECHNICAL ASSISTANCE TO BRGY.'!$J:$J, "&lt;&gt;", 'TECHNICAL ASSISTANCE TO BRGY.'!$T:$T, "&lt;&gt;", 'TECHNICAL ASSISTANCE TO BRGY.'!$K:$K, "5.May", 'TECHNICAL ASSISTANCE TO BRGY.'!$D:$D, "MBA")</f>
        <v>0</v>
      </c>
      <c r="G38" s="393">
        <f>COUNTIFS('TECHNICAL ASSISTANCE TO BRGY.'!$J:$J, "&lt;&gt;", 'TECHNICAL ASSISTANCE TO BRGY.'!$T:$T, "&lt;&gt;", 'TECHNICAL ASSISTANCE TO BRGY.'!$K:$K, "6.June", 'TECHNICAL ASSISTANCE TO BRGY.'!$D:$D, "MBA")</f>
        <v>0</v>
      </c>
      <c r="H38" s="393">
        <f>SUM(B38:G38)</f>
        <v>194</v>
      </c>
      <c r="I38" s="393">
        <f>COUNTIFS('TECHNICAL ASSISTANCE TO BRGY.'!$J:$J, "&lt;&gt;", 'TECHNICAL ASSISTANCE TO BRGY.'!$T:$T, "&lt;&gt;", 'TECHNICAL ASSISTANCE TO BRGY.'!$K:$K, "7.July", 'TECHNICAL ASSISTANCE TO BRGY.'!$D:$D, "MBA")</f>
        <v>0</v>
      </c>
      <c r="J38" s="393">
        <f>COUNTIFS('TECHNICAL ASSISTANCE TO BRGY.'!$J:$J, "&lt;&gt;", 'TECHNICAL ASSISTANCE TO BRGY.'!$T:$T, "&lt;&gt;", 'TECHNICAL ASSISTANCE TO BRGY.'!$K:$K, "8.August", 'TECHNICAL ASSISTANCE TO BRGY.'!$D:$D, "MBA")</f>
        <v>0</v>
      </c>
      <c r="K38" s="393">
        <f>COUNTIFS('TECHNICAL ASSISTANCE TO BRGY.'!$J:$J, "&lt;&gt;", 'TECHNICAL ASSISTANCE TO BRGY.'!$T:$T, "&lt;&gt;", 'TECHNICAL ASSISTANCE TO BRGY.'!$K:$K, "9.September", 'TECHNICAL ASSISTANCE TO BRGY.'!$D:$D, "MBA")</f>
        <v>0</v>
      </c>
      <c r="L38" s="393">
        <f>COUNTIFS('TECHNICAL ASSISTANCE TO BRGY.'!$J:$J, "&lt;&gt;", 'TECHNICAL ASSISTANCE TO BRGY.'!$T:$T, "&lt;&gt;", 'TECHNICAL ASSISTANCE TO BRGY.'!$K:$K, "10.October", 'TECHNICAL ASSISTANCE TO BRGY.'!$D:$D, "MBA")</f>
        <v>0</v>
      </c>
      <c r="M38" s="393">
        <f>COUNTIFS('TECHNICAL ASSISTANCE TO BRGY.'!$J:$J, "&lt;&gt;", 'TECHNICAL ASSISTANCE TO BRGY.'!$T:$T, "&lt;&gt;", 'TECHNICAL ASSISTANCE TO BRGY.'!$K:$K, "11.November", 'TECHNICAL ASSISTANCE TO BRGY.'!$D:$D, "MBA")</f>
        <v>0</v>
      </c>
      <c r="N38" s="393">
        <f>COUNTIFS('TECHNICAL ASSISTANCE TO BRGY.'!$J:$J, "&lt;&gt;", 'TECHNICAL ASSISTANCE TO BRGY.'!$T:$T, "&lt;&gt;", 'TECHNICAL ASSISTANCE TO BRGY.'!$K:$K, "12.December", 'TECHNICAL ASSISTANCE TO BRGY.'!$D:$D, "MBA")</f>
        <v>0</v>
      </c>
      <c r="O38" s="393">
        <f>SUM(I38:N38)</f>
        <v>0</v>
      </c>
      <c r="P38" s="393">
        <f t="shared" si="133"/>
        <v>194</v>
      </c>
      <c r="S38" s="682"/>
      <c r="T38" s="651" t="s">
        <v>2722</v>
      </c>
      <c r="U38" s="393">
        <f>COUNTIFS('10-YEAR SWM PLAN'!$A:$A, "Bulacan", '10-YEAR SWM PLAN'!$B:$B, "DRT", '10-YEAR SWM PLAN'!$AC:$AC, "&lt;&gt;")</f>
        <v>0</v>
      </c>
      <c r="V38" s="393">
        <f>COUNTIFS('FUNDED MRF'!$A:$A, "Bulacan", 'FUNDED MRF'!$B:$B, "*DRT*", 'FUNDED MRF'!$AA:$AA, "&lt;&gt;")</f>
        <v>0</v>
      </c>
      <c r="W38" s="393" t="s">
        <v>6373</v>
      </c>
      <c r="X38" s="393">
        <f>COUNTIFS(EQUIPMENT!$A:$A, "Bulacan", EQUIPMENT!$B:$B, "*drt*", EQUIPMENT!$X:$X, "&lt;&gt;")</f>
        <v>0</v>
      </c>
      <c r="Y38" s="393" t="s">
        <v>6373</v>
      </c>
      <c r="Z38" s="393">
        <f>COUNTIFS('TECHNICAL ASSISTANCE TO BRGY.'!$A:$A, "Bulacan", 'TECHNICAL ASSISTANCE TO BRGY.'!$B:$B, "*drt*", 'TECHNICAL ASSISTANCE TO BRGY.'!$T:$T, "&lt;&gt;")</f>
        <v>0</v>
      </c>
      <c r="AA38" s="393" t="s">
        <v>6373</v>
      </c>
      <c r="AB38" s="393">
        <f>COUNTIFS('TRASH TRAP'!$A:$A, "Bulacan", 'TRASH TRAP'!$C:$C, "*drt*", 'TRASH TRAP'!$W:$W, "&lt;&gt;")</f>
        <v>0</v>
      </c>
      <c r="AC38" s="393">
        <f>COUNTIFS(PDS!$A:$A, "bulacan", PDS!$B:$B, "*DRT*", PDS!$AD:$AD, "&lt;&gt;")</f>
        <v>0</v>
      </c>
      <c r="AD38" s="393" t="s">
        <v>6373</v>
      </c>
      <c r="AE38" s="393">
        <f>COUNTIFS('TRANSFER STATION'!$A:$A, "Bulacan", 'TRANSFER STATION'!$B:$B, "*drt*", 'TRANSFER STATION'!$W:$W, "&lt;&gt;")</f>
        <v>0</v>
      </c>
    </row>
    <row r="39" spans="1:31" ht="15.75">
      <c r="A39" s="438" t="s">
        <v>6376</v>
      </c>
      <c r="B39" s="393">
        <f>COUNTIFS('TECHNICAL ASSISTANCE TO BRGY.'!$J:$J, "&lt;&gt;", 'TECHNICAL ASSISTANCE TO BRGY.'!$T:$T, "&lt;&gt;", 'TECHNICAL ASSISTANCE TO BRGY.'!$K:$K, "1.January", 'TECHNICAL ASSISTANCE TO BRGY.'!$D:$D, "OUTSIDE MBA")</f>
        <v>1</v>
      </c>
      <c r="C39" s="393">
        <f>COUNTIFS('TECHNICAL ASSISTANCE TO BRGY.'!$J:$J, "&lt;&gt;", 'TECHNICAL ASSISTANCE TO BRGY.'!$T:$T, "&lt;&gt;", 'TECHNICAL ASSISTANCE TO BRGY.'!$K:$K, "2.February", 'TECHNICAL ASSISTANCE TO BRGY.'!$D:$D, "OUTSIDE MBA")</f>
        <v>16</v>
      </c>
      <c r="D39" s="393">
        <f>COUNTIFS('TECHNICAL ASSISTANCE TO BRGY.'!$J:$J, "&lt;&gt;", 'TECHNICAL ASSISTANCE TO BRGY.'!$T:$T, "&lt;&gt;", 'TECHNICAL ASSISTANCE TO BRGY.'!$K:$K, "3.March", 'TECHNICAL ASSISTANCE TO BRGY.'!$D:$D, "OUTSIDE MBA")</f>
        <v>19</v>
      </c>
      <c r="E39" s="393">
        <f>COUNTIFS('TECHNICAL ASSISTANCE TO BRGY.'!$J:$J, "&lt;&gt;", 'TECHNICAL ASSISTANCE TO BRGY.'!$T:$T, "&lt;&gt;", 'TECHNICAL ASSISTANCE TO BRGY.'!$K:$K, "4.April", 'TECHNICAL ASSISTANCE TO BRGY.'!$D:$D, "OUTSIDE MBA")</f>
        <v>2</v>
      </c>
      <c r="F39" s="393">
        <f>COUNTIFS('TECHNICAL ASSISTANCE TO BRGY.'!$J:$J, "&lt;&gt;", 'TECHNICAL ASSISTANCE TO BRGY.'!$T:$T, "&lt;&gt;", 'TECHNICAL ASSISTANCE TO BRGY.'!$K:$K, "5.May", 'TECHNICAL ASSISTANCE TO BRGY.'!$D:$D, "OUTSIDE MBA")</f>
        <v>0</v>
      </c>
      <c r="G39" s="393">
        <f>COUNTIFS('TECHNICAL ASSISTANCE TO BRGY.'!$J:$J, "&lt;&gt;", 'TECHNICAL ASSISTANCE TO BRGY.'!$T:$T, "&lt;&gt;", 'TECHNICAL ASSISTANCE TO BRGY.'!$K:$K, "6.June", 'TECHNICAL ASSISTANCE TO BRGY.'!$D:$D, "OUTSIDE MBA")</f>
        <v>0</v>
      </c>
      <c r="H39" s="393">
        <f>SUM(B39:G39)</f>
        <v>38</v>
      </c>
      <c r="I39" s="393">
        <f>COUNTIFS('TECHNICAL ASSISTANCE TO BRGY.'!$J:$J, "&lt;&gt;", 'TECHNICAL ASSISTANCE TO BRGY.'!$T:$T, "&lt;&gt;", 'TECHNICAL ASSISTANCE TO BRGY.'!$K:$K, "7.July", 'TECHNICAL ASSISTANCE TO BRGY.'!$D:$D, "OUTSIDE MBA")</f>
        <v>0</v>
      </c>
      <c r="J39" s="393">
        <f>COUNTIFS('TECHNICAL ASSISTANCE TO BRGY.'!$J:$J, "&lt;&gt;", 'TECHNICAL ASSISTANCE TO BRGY.'!$T:$T, "&lt;&gt;", 'TECHNICAL ASSISTANCE TO BRGY.'!$K:$K, "8.August", 'TECHNICAL ASSISTANCE TO BRGY.'!$D:$D, "OUTSIDE MBA")</f>
        <v>0</v>
      </c>
      <c r="K39" s="393">
        <f>COUNTIFS('TECHNICAL ASSISTANCE TO BRGY.'!$J:$J, "&lt;&gt;", 'TECHNICAL ASSISTANCE TO BRGY.'!$T:$T, "&lt;&gt;", 'TECHNICAL ASSISTANCE TO BRGY.'!$K:$K, "9.September", 'TECHNICAL ASSISTANCE TO BRGY.'!$D:$D, "OUTSIDE MBA")</f>
        <v>0</v>
      </c>
      <c r="L39" s="393">
        <f>COUNTIFS('TECHNICAL ASSISTANCE TO BRGY.'!$J:$J, "&lt;&gt;", 'TECHNICAL ASSISTANCE TO BRGY.'!$T:$T, "&lt;&gt;", 'TECHNICAL ASSISTANCE TO BRGY.'!$K:$K, "10.October", 'TECHNICAL ASSISTANCE TO BRGY.'!$D:$D, "OUTSIDE MBA")</f>
        <v>0</v>
      </c>
      <c r="M39" s="393">
        <f>COUNTIFS('TECHNICAL ASSISTANCE TO BRGY.'!$J:$J, "&lt;&gt;", 'TECHNICAL ASSISTANCE TO BRGY.'!$T:$T, "&lt;&gt;", 'TECHNICAL ASSISTANCE TO BRGY.'!$K:$K, "11.November", 'TECHNICAL ASSISTANCE TO BRGY.'!$D:$D, "OUTSIDE MBA")</f>
        <v>0</v>
      </c>
      <c r="N39" s="393">
        <f>COUNTIFS('TECHNICAL ASSISTANCE TO BRGY.'!$J:$J, "&lt;&gt;", 'TECHNICAL ASSISTANCE TO BRGY.'!$T:$T, "&lt;&gt;", 'TECHNICAL ASSISTANCE TO BRGY.'!$K:$K, "12.December", 'TECHNICAL ASSISTANCE TO BRGY.'!$D:$D, "OUTSIDE MBA")</f>
        <v>0</v>
      </c>
      <c r="O39" s="393">
        <f>SUM(I39:N39)</f>
        <v>0</v>
      </c>
      <c r="P39" s="393">
        <f t="shared" si="133"/>
        <v>38</v>
      </c>
      <c r="S39" s="682"/>
      <c r="T39" s="651" t="s">
        <v>439</v>
      </c>
      <c r="U39" s="393">
        <f>COUNTIFS('10-YEAR SWM PLAN'!$A:$A, "Bulacan", '10-YEAR SWM PLAN'!$B:$B, "San Ildefonso", '10-YEAR SWM PLAN'!$AC:$AC, "&lt;&gt;")</f>
        <v>0</v>
      </c>
      <c r="V39" s="393">
        <f>COUNTIFS('FUNDED MRF'!$A:$A, "Bulacan", 'FUNDED MRF'!$B:$B, "*Ildefonso*", 'FUNDED MRF'!$AA:$AA, "&lt;&gt;")</f>
        <v>0</v>
      </c>
      <c r="W39" s="393" t="s">
        <v>6373</v>
      </c>
      <c r="X39" s="393">
        <f>COUNTIFS(EQUIPMENT!$A:$A, "Bulacan", EQUIPMENT!$B:$B, "*ildefonso*", EQUIPMENT!$X:$X, "&lt;&gt;")</f>
        <v>0</v>
      </c>
      <c r="Y39" s="393" t="s">
        <v>6373</v>
      </c>
      <c r="Z39" s="393">
        <f>COUNTIFS('TECHNICAL ASSISTANCE TO BRGY.'!$A:$A, "Bulacan", 'TECHNICAL ASSISTANCE TO BRGY.'!$B:$B, "*ildefonso*", 'TECHNICAL ASSISTANCE TO BRGY.'!$T:$T, "&lt;&gt;")</f>
        <v>0</v>
      </c>
      <c r="AA39" s="393" t="s">
        <v>6373</v>
      </c>
      <c r="AB39" s="393">
        <f>COUNTIFS('TRASH TRAP'!$A:$A, "Bulacan", 'TRASH TRAP'!$C:$C, "*ildefonso*", 'TRASH TRAP'!$W:$W, "&lt;&gt;")</f>
        <v>0</v>
      </c>
      <c r="AC39" s="393">
        <f>COUNTIFS(PDS!$A:$A, "bulacan", PDS!$B:$B, "*SAN ILDEFonso*", PDS!$AD:$AD, "&lt;&gt;")</f>
        <v>0</v>
      </c>
      <c r="AD39" s="393" t="s">
        <v>6373</v>
      </c>
      <c r="AE39" s="393">
        <f>COUNTIFS('TRANSFER STATION'!$A:$A, "Bulacan", 'TRANSFER STATION'!$B:$B, "*ildefonso*", 'TRANSFER STATION'!$W:$W, "&lt;&gt;")</f>
        <v>0</v>
      </c>
    </row>
    <row r="40" spans="1:31">
      <c r="S40" s="682"/>
      <c r="T40" s="651" t="s">
        <v>440</v>
      </c>
      <c r="U40" s="393">
        <f>COUNTIFS('10-YEAR SWM PLAN'!$A:$A, "Bulacan", '10-YEAR SWM PLAN'!$B:$B, "San Miguel", '10-YEAR SWM PLAN'!$AC:$AC, "&lt;&gt;")</f>
        <v>0</v>
      </c>
      <c r="V40" s="393">
        <f>COUNTIFS('FUNDED MRF'!$A:$A, "Bulacan", 'FUNDED MRF'!$B:$B, "*San Miguel*", 'FUNDED MRF'!$AA:$AA, "&lt;&gt;")</f>
        <v>0</v>
      </c>
      <c r="W40" s="393" t="s">
        <v>6373</v>
      </c>
      <c r="X40" s="393">
        <f>COUNTIFS(EQUIPMENT!$A:$A, "Bulacan", EQUIPMENT!$B:$B, "*miguel*", EQUIPMENT!$X:$X, "&lt;&gt;")</f>
        <v>0</v>
      </c>
      <c r="Y40" s="393" t="s">
        <v>6373</v>
      </c>
      <c r="Z40" s="393">
        <f>COUNTIFS('TECHNICAL ASSISTANCE TO BRGY.'!$A:$A, "Bulacan", 'TECHNICAL ASSISTANCE TO BRGY.'!$B:$B, "*miguel*", 'TECHNICAL ASSISTANCE TO BRGY.'!$T:$T, "&lt;&gt;")</f>
        <v>0</v>
      </c>
      <c r="AA40" s="393" t="s">
        <v>6373</v>
      </c>
      <c r="AB40" s="393">
        <f>COUNTIFS('TRASH TRAP'!$A:$A, "Bulacan", 'TRASH TRAP'!$C:$C, "*miguel*", 'TRASH TRAP'!$W:$W, "&lt;&gt;")</f>
        <v>0</v>
      </c>
      <c r="AC40" s="393">
        <f>COUNTIFS(PDS!$A:$A, "bulacan", PDS!$B:$B, "*SAN MIGUEL*", PDS!$AD:$AD, "&lt;&gt;")</f>
        <v>0</v>
      </c>
      <c r="AD40" s="393" t="s">
        <v>6373</v>
      </c>
      <c r="AE40" s="393">
        <f>COUNTIFS('TRANSFER STATION'!$A:$A, "Bulacan", 'TRANSFER STATION'!$B:$B, "*miguel*", 'TRANSFER STATION'!$W:$W, "&lt;&gt;")</f>
        <v>0</v>
      </c>
    </row>
    <row r="41" spans="1:31">
      <c r="S41" s="682"/>
      <c r="T41" s="651" t="s">
        <v>378</v>
      </c>
      <c r="U41" s="393">
        <f>COUNTIFS('10-YEAR SWM PLAN'!$A:$A, "Bulacan", '10-YEAR SWM PLAN'!$B:$B, "San Rafael", '10-YEAR SWM PLAN'!$AC:$AC, "&lt;&gt;")</f>
        <v>0</v>
      </c>
      <c r="V41" s="393">
        <f>COUNTIFS('FUNDED MRF'!$A:$A, "Bulacan", 'FUNDED MRF'!$B:$B, "*San Rafael*", 'FUNDED MRF'!$AA:$AA, "&lt;&gt;")</f>
        <v>0</v>
      </c>
      <c r="W41" s="393" t="s">
        <v>6373</v>
      </c>
      <c r="X41" s="393">
        <f>COUNTIFS(EQUIPMENT!$A:$A, "Bulacan", EQUIPMENT!$B:$B, "*rafael*", EQUIPMENT!$X:$X, "&lt;&gt;")</f>
        <v>1</v>
      </c>
      <c r="Y41" s="393" t="s">
        <v>6373</v>
      </c>
      <c r="Z41" s="393">
        <f>COUNTIFS('TECHNICAL ASSISTANCE TO BRGY.'!$A:$A, "Bulacan", 'TECHNICAL ASSISTANCE TO BRGY.'!$B:$B, "*rafael*", 'TECHNICAL ASSISTANCE TO BRGY.'!$T:$T, "&lt;&gt;")</f>
        <v>0</v>
      </c>
      <c r="AA41" s="393" t="s">
        <v>6373</v>
      </c>
      <c r="AB41" s="393">
        <f>COUNTIFS('TRASH TRAP'!$A:$A, "Bulacan", 'TRASH TRAP'!$C:$C, "*rafael*", 'TRASH TRAP'!$W:$W, "&lt;&gt;")</f>
        <v>0</v>
      </c>
      <c r="AC41" s="393">
        <f>COUNTIFS(PDS!$A:$A, "bulacan", PDS!$B:$B, "*SAN RAFAEL*", PDS!$AD:$AD, "&lt;&gt;")</f>
        <v>0</v>
      </c>
      <c r="AD41" s="393" t="s">
        <v>6373</v>
      </c>
      <c r="AE41" s="393">
        <f>COUNTIFS('TRANSFER STATION'!$A:$A, "Bulacan", 'TRANSFER STATION'!$B:$B, "*rafael*", 'TRANSFER STATION'!$W:$W, "&lt;&gt;")</f>
        <v>1</v>
      </c>
    </row>
    <row r="42" spans="1:31">
      <c r="S42" s="682"/>
      <c r="T42" s="660" t="s">
        <v>6384</v>
      </c>
      <c r="U42" s="660">
        <f>SUM(U43:U45)</f>
        <v>2</v>
      </c>
      <c r="V42" s="660">
        <f t="shared" ref="V42:AE42" si="149">SUM(V43:V45)</f>
        <v>0</v>
      </c>
      <c r="W42" s="660">
        <f t="shared" si="149"/>
        <v>0</v>
      </c>
      <c r="X42" s="660">
        <f t="shared" si="149"/>
        <v>1</v>
      </c>
      <c r="Y42" s="660">
        <f t="shared" si="149"/>
        <v>0</v>
      </c>
      <c r="Z42" s="660">
        <f t="shared" si="149"/>
        <v>0</v>
      </c>
      <c r="AA42" s="660">
        <f t="shared" ref="AA42" si="150">SUM(AA43:AA45)</f>
        <v>0</v>
      </c>
      <c r="AB42" s="660">
        <f t="shared" si="149"/>
        <v>0</v>
      </c>
      <c r="AC42" s="660">
        <f t="shared" si="149"/>
        <v>0</v>
      </c>
      <c r="AD42" s="660">
        <f t="shared" si="149"/>
        <v>0</v>
      </c>
      <c r="AE42" s="660">
        <f t="shared" si="149"/>
        <v>0</v>
      </c>
    </row>
    <row r="43" spans="1:31">
      <c r="S43" s="682"/>
      <c r="T43" s="651" t="s">
        <v>2417</v>
      </c>
      <c r="U43" s="393">
        <f>COUNTIFS('10-YEAR SWM PLAN'!$A:$A, "Bulacan", '10-YEAR SWM PLAN'!$B:$B, "City of Meycauayan", '10-YEAR SWM PLAN'!$AC:$AC, "&lt;&gt;")</f>
        <v>1</v>
      </c>
      <c r="V43" s="393">
        <f>COUNTIFS('FUNDED MRF'!$A:$A, "Bulacan", 'FUNDED MRF'!$B:$B, "*Meycauayan*", 'FUNDED MRF'!$AA:$AA, "&lt;&gt;")</f>
        <v>0</v>
      </c>
      <c r="W43" s="393" t="s">
        <v>6373</v>
      </c>
      <c r="X43" s="393">
        <f>COUNTIFS(EQUIPMENT!$A:$A, "Bulacan", EQUIPMENT!$B:$B, "*meyca*", EQUIPMENT!$X:$X, "&lt;&gt;")</f>
        <v>0</v>
      </c>
      <c r="Y43" s="393" t="s">
        <v>6373</v>
      </c>
      <c r="Z43" s="393">
        <f>COUNTIFS('TECHNICAL ASSISTANCE TO BRGY.'!$A:$A, "Bulacan", 'TECHNICAL ASSISTANCE TO BRGY.'!$B:$B, "*meycauayan*", 'TECHNICAL ASSISTANCE TO BRGY.'!$T:$T, "&lt;&gt;")</f>
        <v>0</v>
      </c>
      <c r="AA43" s="393" t="s">
        <v>6373</v>
      </c>
      <c r="AB43" s="393">
        <f>COUNTIFS('TRASH TRAP'!$A:$A, "Bulacan", 'TRASH TRAP'!$C:$C, "*meycauayan*", 'TRASH TRAP'!$W:$W, "&lt;&gt;")</f>
        <v>0</v>
      </c>
      <c r="AC43" s="393">
        <f>COUNTIFS(PDS!$A:$A, "bulacan", PDS!$B:$B, "*Meycauayan*", PDS!$AD:$AD, "&lt;&gt;")</f>
        <v>0</v>
      </c>
      <c r="AD43" s="393" t="s">
        <v>6373</v>
      </c>
      <c r="AE43" s="393" t="s">
        <v>6373</v>
      </c>
    </row>
    <row r="44" spans="1:31">
      <c r="S44" s="682"/>
      <c r="T44" s="651" t="s">
        <v>223</v>
      </c>
      <c r="U44" s="393">
        <f>COUNTIFS('10-YEAR SWM PLAN'!$A:$A, "Bulacan", '10-YEAR SWM PLAN'!$B:$B, "Marilao", '10-YEAR SWM PLAN'!$AC:$AC, "&lt;&gt;")</f>
        <v>1</v>
      </c>
      <c r="V44" s="393">
        <f>COUNTIFS('FUNDED MRF'!$A:$A, "Bulacan", 'FUNDED MRF'!$B:$B, "*Marilao*", 'FUNDED MRF'!$AA:$AA, "&lt;&gt;")</f>
        <v>0</v>
      </c>
      <c r="W44" s="393" t="s">
        <v>6373</v>
      </c>
      <c r="X44" s="393">
        <f>COUNTIFS(EQUIPMENT!$A:$A, "Bulacan", EQUIPMENT!$B:$B, "*marila*", EQUIPMENT!$X:$X, "&lt;&gt;")</f>
        <v>0</v>
      </c>
      <c r="Y44" s="393" t="s">
        <v>6373</v>
      </c>
      <c r="Z44" s="393">
        <f>COUNTIFS('TECHNICAL ASSISTANCE TO BRGY.'!$A:$A, "Bulacan", 'TECHNICAL ASSISTANCE TO BRGY.'!$B:$B, "*marilao*", 'TECHNICAL ASSISTANCE TO BRGY.'!$T:$T, "&lt;&gt;")</f>
        <v>0</v>
      </c>
      <c r="AA44" s="393" t="s">
        <v>6373</v>
      </c>
      <c r="AB44" s="393">
        <f>COUNTIFS('TRASH TRAP'!$A:$A, "Bulacan", 'TRASH TRAP'!$C:$C, "*marilao*", 'TRASH TRAP'!$W:$W, "&lt;&gt;")</f>
        <v>0</v>
      </c>
      <c r="AC44" s="393">
        <f>COUNTIFS(PDS!$A:$A, "bulacan", PDS!$B:$B, "*MARILAO*", PDS!$AD:$AD, "&lt;&gt;")</f>
        <v>0</v>
      </c>
      <c r="AD44" s="393" t="s">
        <v>6373</v>
      </c>
      <c r="AE44" s="393" t="s">
        <v>6373</v>
      </c>
    </row>
    <row r="45" spans="1:31">
      <c r="S45" s="682"/>
      <c r="T45" s="651" t="s">
        <v>437</v>
      </c>
      <c r="U45" s="393">
        <f>COUNTIFS('10-YEAR SWM PLAN'!$A:$A, "Bulacan", '10-YEAR SWM PLAN'!$B:$B, "Obando", '10-YEAR SWM PLAN'!$AC:$AC, "&lt;&gt;")</f>
        <v>0</v>
      </c>
      <c r="V45" s="393">
        <f>COUNTIFS('FUNDED MRF'!$A:$A, "Bulacan", 'FUNDED MRF'!$B:$B, "*Obando*", 'FUNDED MRF'!$AA:$AA, "&lt;&gt;")</f>
        <v>0</v>
      </c>
      <c r="W45" s="393" t="s">
        <v>6373</v>
      </c>
      <c r="X45" s="393">
        <f>COUNTIFS(EQUIPMENT!$A:$A, "Bulacan", EQUIPMENT!$B:$B, "*oban*", EQUIPMENT!$X:$X, "&lt;&gt;")</f>
        <v>1</v>
      </c>
      <c r="Y45" s="393" t="s">
        <v>6373</v>
      </c>
      <c r="Z45" s="393">
        <f>COUNTIFS('TECHNICAL ASSISTANCE TO BRGY.'!$A:$A, "Bulacan", 'TECHNICAL ASSISTANCE TO BRGY.'!$B:$B, "*obando*", 'TECHNICAL ASSISTANCE TO BRGY.'!$T:$T, "&lt;&gt;")</f>
        <v>0</v>
      </c>
      <c r="AA45" s="393" t="s">
        <v>6373</v>
      </c>
      <c r="AB45" s="393">
        <f>COUNTIFS('TRASH TRAP'!$A:$A, "Bulacan", 'TRASH TRAP'!$C:$C, "*obando*", 'TRASH TRAP'!$W:$W, "&lt;&gt;")</f>
        <v>0</v>
      </c>
      <c r="AC45" s="393">
        <f>COUNTIFS(PDS!$A:$A, "bulacan", PDS!$B:$B, "*OBANDO*", PDS!$AD:$AD, "&lt;&gt;")</f>
        <v>0</v>
      </c>
      <c r="AD45" s="393" t="s">
        <v>6373</v>
      </c>
      <c r="AE45" s="393" t="s">
        <v>6373</v>
      </c>
    </row>
    <row r="46" spans="1:31">
      <c r="S46" s="682"/>
      <c r="T46" s="660" t="s">
        <v>6385</v>
      </c>
      <c r="U46" s="660">
        <f>SUM(U47:U50)</f>
        <v>0</v>
      </c>
      <c r="V46" s="660">
        <f t="shared" ref="V46:AE46" si="151">SUM(V47:V50)</f>
        <v>1</v>
      </c>
      <c r="W46" s="660">
        <f t="shared" si="151"/>
        <v>0</v>
      </c>
      <c r="X46" s="660">
        <f t="shared" si="151"/>
        <v>1</v>
      </c>
      <c r="Y46" s="660">
        <f t="shared" si="151"/>
        <v>0</v>
      </c>
      <c r="Z46" s="660">
        <f t="shared" si="151"/>
        <v>0</v>
      </c>
      <c r="AA46" s="660">
        <f t="shared" ref="AA46" si="152">SUM(AA47:AA50)</f>
        <v>0</v>
      </c>
      <c r="AB46" s="660">
        <f t="shared" si="151"/>
        <v>4</v>
      </c>
      <c r="AC46" s="660">
        <f t="shared" si="151"/>
        <v>0</v>
      </c>
      <c r="AD46" s="660">
        <f t="shared" si="151"/>
        <v>0</v>
      </c>
      <c r="AE46" s="660">
        <f t="shared" si="151"/>
        <v>0</v>
      </c>
    </row>
    <row r="47" spans="1:31">
      <c r="S47" s="682"/>
      <c r="T47" s="651" t="s">
        <v>401</v>
      </c>
      <c r="U47" s="393">
        <f>COUNTIFS('10-YEAR SWM PLAN'!$A:$A, "Bulacan", '10-YEAR SWM PLAN'!$B:$B, "Balagtas", '10-YEAR SWM PLAN'!$AC:$AC, "&lt;&gt;")</f>
        <v>0</v>
      </c>
      <c r="V47" s="393">
        <f>COUNTIFS('FUNDED MRF'!$A:$A, "Bulacan", 'FUNDED MRF'!$B:$B, "*Balagtas*", 'FUNDED MRF'!$AA:$AA, "&lt;&gt;")</f>
        <v>1</v>
      </c>
      <c r="W47" s="393" t="s">
        <v>6373</v>
      </c>
      <c r="X47" s="393">
        <f>COUNTIFS(EQUIPMENT!$A:$A, "Bulacan", EQUIPMENT!$B:$B, "*bala*", EQUIPMENT!$X:$X, "&lt;&gt;")</f>
        <v>0</v>
      </c>
      <c r="Y47" s="393" t="s">
        <v>6373</v>
      </c>
      <c r="Z47" s="393">
        <f>COUNTIFS('TECHNICAL ASSISTANCE TO BRGY.'!$A:$A, "Bulacan", 'TECHNICAL ASSISTANCE TO BRGY.'!$B:$B, "*balagtas*", 'TECHNICAL ASSISTANCE TO BRGY.'!$T:$T, "&lt;&gt;")</f>
        <v>0</v>
      </c>
      <c r="AA47" s="393" t="s">
        <v>6373</v>
      </c>
      <c r="AB47" s="393">
        <f>COUNTIFS('TRASH TRAP'!$A:$A, "Bulacan", 'TRASH TRAP'!$C:$C, "*balagtas*", 'TRASH TRAP'!$W:$W, "&lt;&gt;")</f>
        <v>1</v>
      </c>
      <c r="AC47" s="393">
        <f>COUNTIFS(PDS!$A:$A, "bulacan", PDS!$B:$B, "*balagtas*", PDS!$AD:$AD, "&lt;&gt;")</f>
        <v>0</v>
      </c>
      <c r="AD47" s="393" t="s">
        <v>6373</v>
      </c>
      <c r="AE47" s="393" t="s">
        <v>6373</v>
      </c>
    </row>
    <row r="48" spans="1:31">
      <c r="S48" s="682"/>
      <c r="T48" s="651" t="s">
        <v>707</v>
      </c>
      <c r="U48" s="393">
        <f>COUNTIFS('10-YEAR SWM PLAN'!$A:$A, "Bulacan", '10-YEAR SWM PLAN'!$B:$B, "Bocaue", '10-YEAR SWM PLAN'!$AC:$AC, "&lt;&gt;")</f>
        <v>0</v>
      </c>
      <c r="V48" s="393">
        <f>COUNTIFS('FUNDED MRF'!$A:$A, "Bulacan", 'FUNDED MRF'!$B:$B, "*Bocaue*", 'FUNDED MRF'!$AA:$AA, "&lt;&gt;")</f>
        <v>0</v>
      </c>
      <c r="W48" s="393" t="s">
        <v>6373</v>
      </c>
      <c r="X48" s="393">
        <f>COUNTIFS(EQUIPMENT!$A:$A, "Bulacan", EQUIPMENT!$B:$B, "*boca*", EQUIPMENT!$X:$X, "&lt;&gt;")</f>
        <v>1</v>
      </c>
      <c r="Y48" s="393" t="s">
        <v>6373</v>
      </c>
      <c r="Z48" s="393">
        <f>COUNTIFS('TECHNICAL ASSISTANCE TO BRGY.'!$A:$A, "Bulacan", 'TECHNICAL ASSISTANCE TO BRGY.'!$B:$B, "*bocaue*", 'TECHNICAL ASSISTANCE TO BRGY.'!$T:$T, "&lt;&gt;")</f>
        <v>0</v>
      </c>
      <c r="AA48" s="393" t="s">
        <v>6373</v>
      </c>
      <c r="AB48" s="393">
        <f>COUNTIFS('TRASH TRAP'!$A:$A, "Bulacan", 'TRASH TRAP'!$C:$C, "*bocaue*", 'TRASH TRAP'!$W:$W, "&lt;&gt;")</f>
        <v>0</v>
      </c>
      <c r="AC48" s="393">
        <f>COUNTIFS(PDS!$A:$A, "bulacan", PDS!$B:$B, "*BOCAUE*", PDS!$AD:$AD, "&lt;&gt;")</f>
        <v>0</v>
      </c>
      <c r="AD48" s="393" t="s">
        <v>6373</v>
      </c>
      <c r="AE48" s="393" t="s">
        <v>6373</v>
      </c>
    </row>
    <row r="49" spans="19:31">
      <c r="S49" s="682"/>
      <c r="T49" s="651" t="s">
        <v>497</v>
      </c>
      <c r="U49" s="393">
        <f>COUNTIFS('10-YEAR SWM PLAN'!$A:$A, "Bulacan", '10-YEAR SWM PLAN'!$B:$B, "Guiguinto", '10-YEAR SWM PLAN'!$AC:$AC, "&lt;&gt;")</f>
        <v>0</v>
      </c>
      <c r="V49" s="393">
        <f>COUNTIFS('FUNDED MRF'!$A:$A, "Bulacan", 'FUNDED MRF'!$B:$B, "*Guiguinto*", 'FUNDED MRF'!$AA:$AA, "&lt;&gt;")</f>
        <v>0</v>
      </c>
      <c r="W49" s="393" t="s">
        <v>6373</v>
      </c>
      <c r="X49" s="393">
        <f>COUNTIFS(EQUIPMENT!$A:$A, "Bulacan", EQUIPMENT!$B:$B, "*guigui*", EQUIPMENT!$X:$X, "&lt;&gt;")</f>
        <v>0</v>
      </c>
      <c r="Y49" s="393" t="s">
        <v>6373</v>
      </c>
      <c r="Z49" s="393">
        <f>COUNTIFS('TECHNICAL ASSISTANCE TO BRGY.'!$A:$A, "Bulacan", 'TECHNICAL ASSISTANCE TO BRGY.'!$B:$B, "*guiguinto*", 'TECHNICAL ASSISTANCE TO BRGY.'!$T:$T, "&lt;&gt;")</f>
        <v>0</v>
      </c>
      <c r="AA49" s="393" t="s">
        <v>6373</v>
      </c>
      <c r="AB49" s="393">
        <f>COUNTIFS('TRASH TRAP'!$A:$A, "Bulacan", 'TRASH TRAP'!$C:$C, "*guiguinto*", 'TRASH TRAP'!$W:$W, "&lt;&gt;")</f>
        <v>3</v>
      </c>
      <c r="AC49" s="393">
        <f>COUNTIFS(PDS!$A:$A, "bulacan", PDS!$B:$B, "*GUIGUINTO*", PDS!$AD:$AD, "&lt;&gt;")</f>
        <v>0</v>
      </c>
      <c r="AD49" s="393" t="s">
        <v>6373</v>
      </c>
      <c r="AE49" s="393" t="s">
        <v>6373</v>
      </c>
    </row>
    <row r="50" spans="19:31">
      <c r="S50" s="682"/>
      <c r="T50" s="651" t="s">
        <v>499</v>
      </c>
      <c r="U50" s="393">
        <f>COUNTIFS('10-YEAR SWM PLAN'!$A:$A, "Bulacan", '10-YEAR SWM PLAN'!$B:$B, "Pandi", '10-YEAR SWM PLAN'!$AC:$AC, "&lt;&gt;")</f>
        <v>0</v>
      </c>
      <c r="V50" s="393">
        <f>COUNTIFS('FUNDED MRF'!$A:$A, "Bulacan", 'FUNDED MRF'!$B:$B, "*Pandi*", 'FUNDED MRF'!$AA:$AA, "&lt;&gt;")</f>
        <v>0</v>
      </c>
      <c r="W50" s="393" t="s">
        <v>6373</v>
      </c>
      <c r="X50" s="393">
        <f>COUNTIFS(EQUIPMENT!$A:$A, "Bulacan", EQUIPMENT!$B:$B, "*pandi*", EQUIPMENT!$X:$X, "&lt;&gt;")</f>
        <v>0</v>
      </c>
      <c r="Y50" s="393" t="s">
        <v>6373</v>
      </c>
      <c r="Z50" s="393">
        <f>COUNTIFS('TECHNICAL ASSISTANCE TO BRGY.'!$A:$A, "Bulacan", 'TECHNICAL ASSISTANCE TO BRGY.'!$B:$B, "*pandi*", 'TECHNICAL ASSISTANCE TO BRGY.'!$T:$T, "&lt;&gt;")</f>
        <v>0</v>
      </c>
      <c r="AA50" s="393" t="s">
        <v>6373</v>
      </c>
      <c r="AB50" s="393">
        <f>COUNTIFS('TRASH TRAP'!$A:$A, "Bulacan", 'TRASH TRAP'!$C:$C, "*pandi*", 'TRASH TRAP'!$W:$W, "&lt;&gt;")</f>
        <v>0</v>
      </c>
      <c r="AC50" s="393">
        <f>COUNTIFS(PDS!$A:$A, "bulacan", PDS!$B:$B, "*PANDI*", PDS!$AD:$AD, "&lt;&gt;")</f>
        <v>0</v>
      </c>
      <c r="AD50" s="393" t="s">
        <v>6373</v>
      </c>
      <c r="AE50" s="393" t="s">
        <v>6373</v>
      </c>
    </row>
    <row r="51" spans="19:31">
      <c r="S51" s="682"/>
      <c r="T51" s="660" t="s">
        <v>6386</v>
      </c>
      <c r="U51" s="660">
        <f>SUM(U52:U54)</f>
        <v>0</v>
      </c>
      <c r="V51" s="660">
        <f t="shared" ref="V51:AE51" si="153">SUM(V52:V54)</f>
        <v>0</v>
      </c>
      <c r="W51" s="660">
        <f t="shared" si="153"/>
        <v>0</v>
      </c>
      <c r="X51" s="660">
        <f t="shared" si="153"/>
        <v>0</v>
      </c>
      <c r="Y51" s="660">
        <f t="shared" si="153"/>
        <v>0</v>
      </c>
      <c r="Z51" s="660">
        <f t="shared" si="153"/>
        <v>0</v>
      </c>
      <c r="AA51" s="660">
        <f t="shared" ref="AA51" si="154">SUM(AA52:AA54)</f>
        <v>0</v>
      </c>
      <c r="AB51" s="660">
        <f t="shared" si="153"/>
        <v>0</v>
      </c>
      <c r="AC51" s="660">
        <f t="shared" si="153"/>
        <v>0</v>
      </c>
      <c r="AD51" s="660">
        <f t="shared" si="153"/>
        <v>0</v>
      </c>
      <c r="AE51" s="660">
        <f t="shared" si="153"/>
        <v>0</v>
      </c>
    </row>
    <row r="52" spans="19:31">
      <c r="S52" s="682"/>
      <c r="T52" s="651" t="s">
        <v>488</v>
      </c>
      <c r="U52" s="393">
        <f>COUNTIFS('10-YEAR SWM PLAN'!$A:$A, "Bulacan", '10-YEAR SWM PLAN'!$B:$B, "Angat", '10-YEAR SWM PLAN'!$AC:$AC, "&lt;&gt;")</f>
        <v>0</v>
      </c>
      <c r="V52" s="393">
        <f>COUNTIFS('FUNDED MRF'!$A:$A, "Bulacan", 'FUNDED MRF'!$B:$B, "*Angat*", 'FUNDED MRF'!$AA:$AA, "&lt;&gt;")</f>
        <v>0</v>
      </c>
      <c r="W52" s="393" t="s">
        <v>6373</v>
      </c>
      <c r="X52" s="393">
        <f>COUNTIFS(EQUIPMENT!$A:$A, "Bulacan", EQUIPMENT!$B:$B, "*angat*", EQUIPMENT!$X:$X, "&lt;&gt;")</f>
        <v>0</v>
      </c>
      <c r="Y52" s="393">
        <f>COUNTIFS('ODS 3'!$A:$A, "Bulacan", 'ODS 3'!$B:$B, "*Angat*", 'ODS 3'!$AB:$AB, "&lt;&gt;")</f>
        <v>0</v>
      </c>
      <c r="Z52" s="393">
        <f>COUNTIFS('TECHNICAL ASSISTANCE TO BRGY.'!$A:$A, "Bulacan", 'TECHNICAL ASSISTANCE TO BRGY.'!$B:$B, "*angat*", 'TECHNICAL ASSISTANCE TO BRGY.'!$T:$T, "&lt;&gt;")</f>
        <v>0</v>
      </c>
      <c r="AA52" s="393" t="s">
        <v>6373</v>
      </c>
      <c r="AB52" s="393">
        <f>COUNTIFS('TRASH TRAP'!$A:$A, "Bulacan", 'TRASH TRAP'!$C:$C, "*angat*", 'TRASH TRAP'!$W:$W, "&lt;&gt;")</f>
        <v>0</v>
      </c>
      <c r="AC52" s="393">
        <f>COUNTIFS(PDS!$A:$A, "bulacan", PDS!$B:$B, "*ANGAT*", PDS!$AD:$AD, "&lt;&gt;")</f>
        <v>0</v>
      </c>
      <c r="AD52" s="393" t="s">
        <v>6373</v>
      </c>
      <c r="AE52" s="393" t="s">
        <v>6373</v>
      </c>
    </row>
    <row r="53" spans="19:31">
      <c r="S53" s="682"/>
      <c r="T53" s="651" t="s">
        <v>434</v>
      </c>
      <c r="U53" s="393">
        <f>COUNTIFS('10-YEAR SWM PLAN'!$A:$A, "Bulacan", '10-YEAR SWM PLAN'!$B:$B, "Norzagaray", '10-YEAR SWM PLAN'!$AC:$AC, "&lt;&gt;")</f>
        <v>0</v>
      </c>
      <c r="V53" s="393">
        <f>COUNTIFS('FUNDED MRF'!$A:$A, "Bulacan", 'FUNDED MRF'!$B:$B, "*Norzagaray*", 'FUNDED MRF'!$AA:$AA, "&lt;&gt;")</f>
        <v>0</v>
      </c>
      <c r="W53" s="393" t="s">
        <v>6373</v>
      </c>
      <c r="X53" s="393">
        <f>COUNTIFS(EQUIPMENT!$A:$A, "Bulacan", EQUIPMENT!$B:$B, "*norza*", EQUIPMENT!$X:$X, "&lt;&gt;")</f>
        <v>0</v>
      </c>
      <c r="Y53" s="393">
        <f>COUNTIFS('ODS 3'!$A:$A, "Bulacan", 'ODS 3'!$B:$B, "*Norza*", 'ODS 3'!$AB:$AB, "&lt;&gt;")</f>
        <v>0</v>
      </c>
      <c r="Z53" s="393">
        <f>COUNTIFS('TECHNICAL ASSISTANCE TO BRGY.'!$A:$A, "Bulacan", 'TECHNICAL ASSISTANCE TO BRGY.'!$B:$B, "*norza*", 'TECHNICAL ASSISTANCE TO BRGY.'!$T:$T, "&lt;&gt;")</f>
        <v>0</v>
      </c>
      <c r="AA53" s="393" t="s">
        <v>6373</v>
      </c>
      <c r="AB53" s="393">
        <f>COUNTIFS('TRASH TRAP'!$A:$A, "Bulacan", 'TRASH TRAP'!$C:$C, "*norza*", 'TRASH TRAP'!$W:$W, "&lt;&gt;")</f>
        <v>0</v>
      </c>
      <c r="AC53" s="393">
        <f>COUNTIFS(PDS!$A:$A, "bulacan", PDS!$B:$B, "*NORZAGARAY*", PDS!$AD:$AD, "&lt;&gt;")</f>
        <v>0</v>
      </c>
      <c r="AD53" s="393" t="s">
        <v>6373</v>
      </c>
      <c r="AE53" s="393" t="s">
        <v>6373</v>
      </c>
    </row>
    <row r="54" spans="19:31">
      <c r="S54" s="682"/>
      <c r="T54" s="651" t="s">
        <v>1309</v>
      </c>
      <c r="U54" s="393">
        <f>COUNTIFS('10-YEAR SWM PLAN'!$A:$A, "Bulacan", '10-YEAR SWM PLAN'!$B:$B, "*Maria*", '10-YEAR SWM PLAN'!$AC:$AC, "&lt;&gt;")</f>
        <v>0</v>
      </c>
      <c r="V54" s="393">
        <f>COUNTIFS('FUNDED MRF'!$A:$A, "Bulacan", 'FUNDED MRF'!$B:$B, "*Maria*", 'FUNDED MRF'!$AA:$AA, "&lt;&gt;")</f>
        <v>0</v>
      </c>
      <c r="W54" s="393" t="s">
        <v>6373</v>
      </c>
      <c r="X54" s="393">
        <f>COUNTIFS(EQUIPMENT!$A:$A, "Bulacan", EQUIPMENT!$B:$B, "*maria*", EQUIPMENT!$X:$X, "&lt;&gt;")</f>
        <v>0</v>
      </c>
      <c r="Y54" s="393">
        <f>COUNTIFS('ODS 3'!$A:$A, "Bulacan", 'ODS 3'!$B:$B, "*Maria*", 'ODS 3'!$AB:$AB, "&lt;&gt;")</f>
        <v>0</v>
      </c>
      <c r="Z54" s="393">
        <f>COUNTIFS('TECHNICAL ASSISTANCE TO BRGY.'!$A:$A, "Bulacan", 'TECHNICAL ASSISTANCE TO BRGY.'!$B:$B, "*maria*", 'TECHNICAL ASSISTANCE TO BRGY.'!$T:$T, "&lt;&gt;")</f>
        <v>0</v>
      </c>
      <c r="AA54" s="393" t="s">
        <v>6373</v>
      </c>
      <c r="AB54" s="393">
        <f>COUNTIFS('TRASH TRAP'!$A:$A, "Bulacan", 'TRASH TRAP'!$C:$C, "*maria*", 'TRASH TRAP'!$W:$W, "&lt;&gt;")</f>
        <v>0</v>
      </c>
      <c r="AC54" s="393">
        <f>COUNTIFS(PDS!$A:$A, "bulacan", PDS!$B:$B, "*MARIA*", PDS!$AD:$AD, "&lt;&gt;")</f>
        <v>0</v>
      </c>
      <c r="AD54" s="393" t="s">
        <v>6373</v>
      </c>
      <c r="AE54" s="393" t="s">
        <v>6373</v>
      </c>
    </row>
    <row r="55" spans="19:31">
      <c r="S55" s="682"/>
      <c r="T55" s="660" t="s">
        <v>259</v>
      </c>
      <c r="U55" s="660">
        <f>U56</f>
        <v>0</v>
      </c>
      <c r="V55" s="660">
        <f t="shared" ref="V55:AE55" si="155">V56</f>
        <v>2</v>
      </c>
      <c r="W55" s="660" t="str">
        <f t="shared" si="155"/>
        <v>-</v>
      </c>
      <c r="X55" s="660">
        <f t="shared" si="155"/>
        <v>0</v>
      </c>
      <c r="Y55" s="660" t="str">
        <f t="shared" si="155"/>
        <v>-</v>
      </c>
      <c r="Z55" s="660">
        <f t="shared" si="155"/>
        <v>13</v>
      </c>
      <c r="AA55" s="660" t="str">
        <f t="shared" si="155"/>
        <v>-</v>
      </c>
      <c r="AB55" s="660">
        <f t="shared" si="155"/>
        <v>0</v>
      </c>
      <c r="AC55" s="660">
        <f t="shared" si="155"/>
        <v>0</v>
      </c>
      <c r="AD55" s="660" t="str">
        <f t="shared" si="155"/>
        <v>-</v>
      </c>
      <c r="AE55" s="660" t="str">
        <f t="shared" si="155"/>
        <v>-</v>
      </c>
    </row>
    <row r="56" spans="19:31">
      <c r="S56" s="683"/>
      <c r="T56" s="651" t="s">
        <v>2573</v>
      </c>
      <c r="U56" s="393">
        <f>COUNTIFS('10-YEAR SWM PLAN'!$A:$A, "Bulacan", '10-YEAR SWM PLAN'!$B:$B, "*Monte*", '10-YEAR SWM PLAN'!$AC:$AC, "&lt;&gt;")</f>
        <v>0</v>
      </c>
      <c r="V56" s="393">
        <f>COUNTIFS('FUNDED MRF'!$A:$A, "Bulacan", 'FUNDED MRF'!$B:$B, "*Monte*", 'FUNDED MRF'!$AA:$AA, "&lt;&gt;")</f>
        <v>2</v>
      </c>
      <c r="W56" s="393" t="s">
        <v>6373</v>
      </c>
      <c r="X56" s="393">
        <f>COUNTIFS(EQUIPMENT!$A:$A, "Bulacan", EQUIPMENT!$B:$B, "*monte*", EQUIPMENT!$X:$X, "&lt;&gt;")</f>
        <v>0</v>
      </c>
      <c r="Y56" s="655" t="s">
        <v>6373</v>
      </c>
      <c r="Z56" s="393">
        <f>COUNTIFS('TECHNICAL ASSISTANCE TO BRGY.'!$A:$A, "Bulacan", 'TECHNICAL ASSISTANCE TO BRGY.'!$B:$B, "*monte*", 'TECHNICAL ASSISTANCE TO BRGY.'!$T:$T, "&lt;&gt;")</f>
        <v>13</v>
      </c>
      <c r="AA56" s="393" t="s">
        <v>6373</v>
      </c>
      <c r="AB56" s="393">
        <f>COUNTIFS('TRASH TRAP'!$A:$A, "Bulacan", 'TRASH TRAP'!$C:$C, "*monte*", 'TRASH TRAP'!$W:$W, "&lt;&gt;")</f>
        <v>0</v>
      </c>
      <c r="AC56" s="393">
        <f>COUNTIFS(PDS!$A:$A, "bulacan", PDS!$B:$B, "*MONTE*", PDS!$AD:$AD, "&lt;&gt;")</f>
        <v>0</v>
      </c>
      <c r="AD56" s="393" t="s">
        <v>6373</v>
      </c>
      <c r="AE56" s="393" t="s">
        <v>6373</v>
      </c>
    </row>
    <row r="57" spans="19:31">
      <c r="S57" s="681" t="s">
        <v>50</v>
      </c>
      <c r="T57" s="660" t="s">
        <v>6378</v>
      </c>
      <c r="U57" s="660">
        <f>SUM(U58:U66)</f>
        <v>0</v>
      </c>
      <c r="V57" s="660">
        <f t="shared" ref="V57:AE57" si="156">SUM(V58:V66)</f>
        <v>1</v>
      </c>
      <c r="W57" s="660">
        <f t="shared" si="156"/>
        <v>0</v>
      </c>
      <c r="X57" s="660">
        <f t="shared" si="156"/>
        <v>2</v>
      </c>
      <c r="Y57" s="660">
        <f t="shared" si="156"/>
        <v>0</v>
      </c>
      <c r="Z57" s="660">
        <f>SUM(Z58:Z66)</f>
        <v>40</v>
      </c>
      <c r="AA57" s="660">
        <f t="shared" ref="AA57" si="157">SUM(AA58:AA66)</f>
        <v>0</v>
      </c>
      <c r="AB57" s="660">
        <f t="shared" si="156"/>
        <v>0</v>
      </c>
      <c r="AC57" s="660">
        <f t="shared" si="156"/>
        <v>0</v>
      </c>
      <c r="AD57" s="660">
        <f t="shared" si="156"/>
        <v>0</v>
      </c>
      <c r="AE57" s="660">
        <f t="shared" si="156"/>
        <v>0</v>
      </c>
    </row>
    <row r="58" spans="19:31">
      <c r="S58" s="682"/>
      <c r="T58" s="651" t="s">
        <v>383</v>
      </c>
      <c r="U58" s="393">
        <f>COUNTIFS('10-YEAR SWM PLAN'!$A:$A, "Nueva Ecija", '10-YEAR SWM PLAN'!$B:$B, "*Aliaga*", '10-YEAR SWM PLAN'!$AC:$AC, "&lt;&gt;")</f>
        <v>0</v>
      </c>
      <c r="V58" s="393">
        <f>COUNTIFS('FUNDED MRF'!$A:$A, "Nueva Ecija", 'FUNDED MRF'!$B:$B, "*Aliaga*", 'FUNDED MRF'!$AA:$AA, "&lt;&gt;")</f>
        <v>0</v>
      </c>
      <c r="W58" s="393">
        <f>COUNTIFS(SLF!$A:$A, "*Nueva*", SLF!$B:$B, "*aliaga*", SLF!$AF:$AF, "&lt;&gt;")</f>
        <v>0</v>
      </c>
      <c r="X58" s="393">
        <f>COUNTIFS(EQUIPMENT!$A:$A, "Nueva Ecija", EQUIPMENT!$B:$B, "*aliaga*", EQUIPMENT!$X:$X, "&lt;&gt;")</f>
        <v>0</v>
      </c>
      <c r="Y58" s="393" t="s">
        <v>6373</v>
      </c>
      <c r="Z58" s="393">
        <f>COUNTIFS('TECHNICAL ASSISTANCE TO BRGY.'!$A:$A, "*Nueva*", 'TECHNICAL ASSISTANCE TO BRGY.'!$B:$B, "*Aliaga*", 'TECHNICAL ASSISTANCE TO BRGY.'!$T:$T, "&lt;&gt;")</f>
        <v>4</v>
      </c>
      <c r="AA58" s="393">
        <f>COUNTIFS(SLF!$A:$A, "*Nueva*", SLF!$B:$B, "*aliaga*", SLF!$AF:$AF, "&lt;&gt;")</f>
        <v>0</v>
      </c>
      <c r="AB58" s="393">
        <f>COUNTIFS('TRASH TRAP'!$A:$A, "Nueva Ecija", 'TRASH TRAP'!$C:$C, "*aliaga*", 'TRASH TRAP'!$W:$W, "&lt;&gt;")</f>
        <v>0</v>
      </c>
      <c r="AC58" s="393">
        <f>COUNTIFS(PDS!$A:$A, "NUEVA ECIJA", PDS!$B:$B, "*ALIAGA*", PDS!$AD:$AD, "&lt;&gt;")</f>
        <v>0</v>
      </c>
      <c r="AD58" s="393" t="s">
        <v>6373</v>
      </c>
      <c r="AE58" s="393">
        <f>COUNTIFS('TRANSFER STATION'!$A:$A, "Nueva Ecija", 'TRANSFER STATION'!$B:$B, "*alia*", 'TRANSFER STATION'!$W:$W, "&lt;&gt;")</f>
        <v>0</v>
      </c>
    </row>
    <row r="59" spans="19:31">
      <c r="S59" s="682"/>
      <c r="T59" s="651" t="s">
        <v>507</v>
      </c>
      <c r="U59" s="393">
        <f>COUNTIFS('10-YEAR SWM PLAN'!$A:$A, "Nueva Ecija", '10-YEAR SWM PLAN'!$B:$B, "*Cuyapo*", '10-YEAR SWM PLAN'!$AC:$AC, "&lt;&gt;")</f>
        <v>0</v>
      </c>
      <c r="V59" s="393">
        <f>COUNTIFS('FUNDED MRF'!$A:$A, "Nueva Ecija", 'FUNDED MRF'!$B:$B, "*Cuyapo*", 'FUNDED MRF'!$AA:$AA, "&lt;&gt;")</f>
        <v>0</v>
      </c>
      <c r="W59" s="393">
        <f>COUNTIFS(SLF!$A:$A, "*Nueva*", SLF!$B:$B, "*cuyapo*", SLF!$AF:$AF, "&lt;&gt;")</f>
        <v>0</v>
      </c>
      <c r="X59" s="393">
        <f>COUNTIFS(EQUIPMENT!$A:$A, "Nueva Ecija", EQUIPMENT!$B:$B, "*cuyapo*", EQUIPMENT!$X:$X, "&lt;&gt;")</f>
        <v>0</v>
      </c>
      <c r="Y59" s="393" t="s">
        <v>6373</v>
      </c>
      <c r="Z59" s="393">
        <f>COUNTIFS('TECHNICAL ASSISTANCE TO BRGY.'!$A:$A, "*Nueva*", 'TECHNICAL ASSISTANCE TO BRGY.'!$B:$B, "*cuyapo*", 'TECHNICAL ASSISTANCE TO BRGY.'!$T:$T, "&lt;&gt;")</f>
        <v>2</v>
      </c>
      <c r="AA59" s="393">
        <f>COUNTIFS(SLF!$A:$A, "*Nueva*", SLF!$B:$B, "*cuyapo*", SLF!$AF:$AF, "&lt;&gt;")</f>
        <v>0</v>
      </c>
      <c r="AB59" s="393">
        <f>COUNTIFS('TRASH TRAP'!$A:$A, "Nueva Ecija", 'TRASH TRAP'!$C:$C, "*cuyapo*", 'TRASH TRAP'!$W:$W, "&lt;&gt;")</f>
        <v>0</v>
      </c>
      <c r="AC59" s="393">
        <f>COUNTIFS(PDS!$A:$A, "NUEVA ECIJA", PDS!$B:$B, "*CUYAPO*", PDS!$AD:$AD, "&lt;&gt;")</f>
        <v>0</v>
      </c>
      <c r="AD59" s="393" t="s">
        <v>6373</v>
      </c>
      <c r="AE59" s="393">
        <f>COUNTIFS('TRANSFER STATION'!$A:$A, "Nueva Ecija", 'TRANSFER STATION'!$B:$B, "*cuyapo*", 'TRANSFER STATION'!$W:$W, "&lt;&gt;")</f>
        <v>0</v>
      </c>
    </row>
    <row r="60" spans="19:31">
      <c r="S60" s="682"/>
      <c r="T60" s="651" t="s">
        <v>511</v>
      </c>
      <c r="U60" s="393">
        <f>COUNTIFS('10-YEAR SWM PLAN'!$A:$A, "Nueva Ecija", '10-YEAR SWM PLAN'!$B:$B, "*Guimba*", '10-YEAR SWM PLAN'!$AC:$AC, "&lt;&gt;")</f>
        <v>0</v>
      </c>
      <c r="V60" s="393">
        <f>COUNTIFS('FUNDED MRF'!$A:$A, "Nueva Ecija", 'FUNDED MRF'!$B:$B, "*Guimba*", 'FUNDED MRF'!$AA:$AA, "&lt;&gt;")</f>
        <v>0</v>
      </c>
      <c r="W60" s="393">
        <f>COUNTIFS(SLF!$A:$A, "*Nueva*", SLF!$B:$B, "*guimba*", SLF!$AF:$AF, "&lt;&gt;")</f>
        <v>0</v>
      </c>
      <c r="X60" s="393">
        <f>COUNTIFS(EQUIPMENT!$A:$A, "Nueva Ecija", EQUIPMENT!$B:$B, "*guimba*", EQUIPMENT!$X:$X, "&lt;&gt;")</f>
        <v>1</v>
      </c>
      <c r="Y60" s="393" t="s">
        <v>6373</v>
      </c>
      <c r="Z60" s="393">
        <f>COUNTIFS('TECHNICAL ASSISTANCE TO BRGY.'!$A:$A, "*Nueva*", 'TECHNICAL ASSISTANCE TO BRGY.'!$B:$B, "*guimba*", 'TECHNICAL ASSISTANCE TO BRGY.'!$T:$T, "&lt;&gt;")</f>
        <v>12</v>
      </c>
      <c r="AA60" s="393">
        <f>COUNTIFS(SLF!$A:$A, "*Nueva*", SLF!$B:$B, "*guimba*", SLF!$AF:$AF, "&lt;&gt;")</f>
        <v>0</v>
      </c>
      <c r="AB60" s="393">
        <f>COUNTIFS('TRASH TRAP'!$A:$A, "Nueva Ecija", 'TRASH TRAP'!$C:$C, "*guimba*", 'TRASH TRAP'!$W:$W, "&lt;&gt;")</f>
        <v>0</v>
      </c>
      <c r="AC60" s="393">
        <f>COUNTIFS(PDS!$A:$A, "NUEVA ECIJA", PDS!$B:$B, "*GUIMBA*", PDS!$AD:$AD, "&lt;&gt;")</f>
        <v>0</v>
      </c>
      <c r="AD60" s="393" t="s">
        <v>6373</v>
      </c>
      <c r="AE60" s="393">
        <f>COUNTIFS('TRANSFER STATION'!$A:$A, "Nueva Ecija", 'TRANSFER STATION'!$B:$B, "*guimba*", 'TRANSFER STATION'!$W:$W, "&lt;&gt;")</f>
        <v>0</v>
      </c>
    </row>
    <row r="61" spans="19:31">
      <c r="S61" s="682"/>
      <c r="T61" s="651" t="s">
        <v>512</v>
      </c>
      <c r="U61" s="393">
        <f>COUNTIFS('10-YEAR SWM PLAN'!$A:$A, "Nueva Ecija", '10-YEAR SWM PLAN'!$B:$B, "*Licab*", '10-YEAR SWM PLAN'!$AC:$AC, "&lt;&gt;")</f>
        <v>0</v>
      </c>
      <c r="V61" s="393">
        <f>COUNTIFS('FUNDED MRF'!$A:$A, "Nueva Ecija", 'FUNDED MRF'!$B:$B, "*Licab*", 'FUNDED MRF'!$AA:$AA, "&lt;&gt;")</f>
        <v>1</v>
      </c>
      <c r="W61" s="393">
        <f>COUNTIFS(SLF!$A:$A, "*Nueva*", SLF!$B:$B, "*licab*", SLF!$AF:$AF, "&lt;&gt;")</f>
        <v>0</v>
      </c>
      <c r="X61" s="393">
        <f>COUNTIFS(EQUIPMENT!$A:$A, "Nueva Ecija", EQUIPMENT!$B:$B, "*licab*", EQUIPMENT!$X:$X, "&lt;&gt;")</f>
        <v>0</v>
      </c>
      <c r="Y61" s="393" t="s">
        <v>6373</v>
      </c>
      <c r="Z61" s="393">
        <f>COUNTIFS('TECHNICAL ASSISTANCE TO BRGY.'!$A:$A, "*Nueva*", 'TECHNICAL ASSISTANCE TO BRGY.'!$B:$B, "*licab*", 'TECHNICAL ASSISTANCE TO BRGY.'!$T:$T, "&lt;&gt;")</f>
        <v>6</v>
      </c>
      <c r="AA61" s="393">
        <f>COUNTIFS(SLF!$A:$A, "*Nueva*", SLF!$B:$B, "*licab*", SLF!$AF:$AF, "&lt;&gt;")</f>
        <v>0</v>
      </c>
      <c r="AB61" s="393">
        <f>COUNTIFS('TRASH TRAP'!$A:$A, "Nueva Ecija", 'TRASH TRAP'!$C:$C, "*licab*", 'TRASH TRAP'!$W:$W, "&lt;&gt;")</f>
        <v>0</v>
      </c>
      <c r="AC61" s="393">
        <f>COUNTIFS(PDS!$A:$A, "NUEVA ECIJA", PDS!$B:$B, "*LICAB*", PDS!$AD:$AD, "&lt;&gt;")</f>
        <v>0</v>
      </c>
      <c r="AD61" s="393" t="s">
        <v>6373</v>
      </c>
      <c r="AE61" s="393">
        <f>COUNTIFS('TRANSFER STATION'!$A:$A, "Nueva Ecija", 'TRANSFER STATION'!$B:$B, "*licab*", 'TRANSFER STATION'!$W:$W, "&lt;&gt;")</f>
        <v>0</v>
      </c>
    </row>
    <row r="62" spans="19:31">
      <c r="S62" s="682"/>
      <c r="T62" s="651" t="s">
        <v>516</v>
      </c>
      <c r="U62" s="393">
        <f>COUNTIFS('10-YEAR SWM PLAN'!$A:$A, "Nueva Ecija", '10-YEAR SWM PLAN'!$B:$B, "*Nampicuan*", '10-YEAR SWM PLAN'!$AC:$AC, "&lt;&gt;")</f>
        <v>0</v>
      </c>
      <c r="V62" s="393">
        <f>COUNTIFS('FUNDED MRF'!$A:$A, "Nueva Ecija", 'FUNDED MRF'!$B:$B, "*Nampicuan*", 'FUNDED MRF'!$AA:$AA, "&lt;&gt;")</f>
        <v>0</v>
      </c>
      <c r="W62" s="393">
        <f>COUNTIFS(SLF!$A:$A, "*Nueva*", SLF!$B:$B, "*nampi*", SLF!$AF:$AF, "&lt;&gt;")</f>
        <v>0</v>
      </c>
      <c r="X62" s="393">
        <f>COUNTIFS(EQUIPMENT!$A:$A, "Nueva Ecija", EQUIPMENT!$B:$B, "*nampi*", EQUIPMENT!$X:$X, "&lt;&gt;")</f>
        <v>0</v>
      </c>
      <c r="Y62" s="393" t="s">
        <v>6373</v>
      </c>
      <c r="Z62" s="393">
        <f>COUNTIFS('TECHNICAL ASSISTANCE TO BRGY.'!$A:$A, "*Nueva*", 'TECHNICAL ASSISTANCE TO BRGY.'!$B:$B, "*nampicuan*", 'TECHNICAL ASSISTANCE TO BRGY.'!$T:$T, "&lt;&gt;")</f>
        <v>9</v>
      </c>
      <c r="AA62" s="393">
        <f>COUNTIFS(SLF!$A:$A, "*Nueva*", SLF!$B:$B, "*nampi*", SLF!$AF:$AF, "&lt;&gt;")</f>
        <v>0</v>
      </c>
      <c r="AB62" s="393">
        <f>COUNTIFS('TRASH TRAP'!$A:$A, "Nueva Ecija", 'TRASH TRAP'!$C:$C, "*nampi*", 'TRASH TRAP'!$W:$W, "&lt;&gt;")</f>
        <v>0</v>
      </c>
      <c r="AC62" s="393">
        <f>COUNTIFS(PDS!$A:$A, "NUEVA ECIJA", PDS!$B:$B, "*NAMPICUAN*", PDS!$AD:$AD, "&lt;&gt;")</f>
        <v>0</v>
      </c>
      <c r="AD62" s="393" t="s">
        <v>6373</v>
      </c>
      <c r="AE62" s="393">
        <f>COUNTIFS('TRANSFER STATION'!$A:$A, "Nueva Ecija", 'TRANSFER STATION'!$B:$B, "*nampicuan*", 'TRANSFER STATION'!$W:$W, "&lt;&gt;")</f>
        <v>0</v>
      </c>
    </row>
    <row r="63" spans="19:31">
      <c r="S63" s="682"/>
      <c r="T63" s="651" t="s">
        <v>410</v>
      </c>
      <c r="U63" s="393">
        <f>COUNTIFS('10-YEAR SWM PLAN'!$A:$A, "Nueva Ecija", '10-YEAR SWM PLAN'!$B:$B, "*Quezon*", '10-YEAR SWM PLAN'!$AC:$AC, "&lt;&gt;")</f>
        <v>0</v>
      </c>
      <c r="V63" s="393">
        <f>COUNTIFS('FUNDED MRF'!$A:$A, "Nueva Ecija", 'FUNDED MRF'!$B:$B, "*Quezon*", 'FUNDED MRF'!$AA:$AA, "&lt;&gt;")</f>
        <v>0</v>
      </c>
      <c r="W63" s="393">
        <f>COUNTIFS(SLF!$A:$A, "*Nueva*", SLF!$B:$B, "*quezon*", SLF!$AF:$AF, "&lt;&gt;")</f>
        <v>0</v>
      </c>
      <c r="X63" s="393">
        <f>COUNTIFS(EQUIPMENT!$A:$A, "Nueva Ecija", EQUIPMENT!$B:$B, "*quezon*", EQUIPMENT!$X:$X, "&lt;&gt;")</f>
        <v>0</v>
      </c>
      <c r="Y63" s="393" t="s">
        <v>6373</v>
      </c>
      <c r="Z63" s="393">
        <f>COUNTIFS('TECHNICAL ASSISTANCE TO BRGY.'!$A:$A, "*Nueva*", 'TECHNICAL ASSISTANCE TO BRGY.'!$B:$B, "*quezon*", 'TECHNICAL ASSISTANCE TO BRGY.'!$T:$T, "&lt;&gt;")</f>
        <v>7</v>
      </c>
      <c r="AA63" s="393">
        <f>COUNTIFS(SLF!$A:$A, "*Nueva*", SLF!$B:$B, "*quezon*", SLF!$AF:$AF, "&lt;&gt;")</f>
        <v>0</v>
      </c>
      <c r="AB63" s="393">
        <f>COUNTIFS('TRASH TRAP'!$A:$A, "Nueva Ecija", 'TRASH TRAP'!$C:$C, "*quezon*", 'TRASH TRAP'!$W:$W, "&lt;&gt;")</f>
        <v>0</v>
      </c>
      <c r="AC63" s="393">
        <f>COUNTIFS(PDS!$A:$A, "NUEVA ECIJA", PDS!$B:$B, "*Quezon*", PDS!$AD:$AD, "&lt;&gt;")</f>
        <v>0</v>
      </c>
      <c r="AD63" s="393" t="s">
        <v>6373</v>
      </c>
      <c r="AE63" s="393">
        <f>COUNTIFS('TRANSFER STATION'!$A:$A, "Nueva Ecija", 'TRANSFER STATION'!$B:$B, "*quezon*", 'TRANSFER STATION'!$W:$W, "&lt;&gt;")</f>
        <v>0</v>
      </c>
    </row>
    <row r="64" spans="19:31">
      <c r="S64" s="682"/>
      <c r="T64" s="651" t="s">
        <v>526</v>
      </c>
      <c r="U64" s="393">
        <f>COUNTIFS('10-YEAR SWM PLAN'!$A:$A, "Nueva Ecija", '10-YEAR SWM PLAN'!$B:$B, "*Santo Domingo*", '10-YEAR SWM PLAN'!$AC:$AC, "&lt;&gt;")</f>
        <v>0</v>
      </c>
      <c r="V64" s="393">
        <f>COUNTIFS('FUNDED MRF'!$A:$A, "Nueva Ecija", 'FUNDED MRF'!$B:$B, "*Santo Domingo*", 'FUNDED MRF'!$AA:$AA, "&lt;&gt;")</f>
        <v>0</v>
      </c>
      <c r="W64" s="393">
        <f>COUNTIFS(SLF!$A:$A, "*Nueva*", SLF!$B:$B, "*domingo*", SLF!$AF:$AF, "&lt;&gt;")</f>
        <v>0</v>
      </c>
      <c r="X64" s="393">
        <f>COUNTIFS(EQUIPMENT!$A:$A, "Nueva Ecija", EQUIPMENT!$B:$B, "*domingo*", EQUIPMENT!$X:$X, "&lt;&gt;")</f>
        <v>0</v>
      </c>
      <c r="Y64" s="393" t="s">
        <v>6373</v>
      </c>
      <c r="Z64" s="393">
        <f>COUNTIFS('TECHNICAL ASSISTANCE TO BRGY.'!$A:$A, "*Nueva*", 'TECHNICAL ASSISTANCE TO BRGY.'!$B:$B, "*domingo*", 'TECHNICAL ASSISTANCE TO BRGY.'!$T:$T, "&lt;&gt;")</f>
        <v>0</v>
      </c>
      <c r="AA64" s="393">
        <f>COUNTIFS(SLF!$A:$A, "*Nueva*", SLF!$B:$B, "*domingo*", SLF!$AF:$AF, "&lt;&gt;")</f>
        <v>0</v>
      </c>
      <c r="AB64" s="393">
        <f>COUNTIFS('TRASH TRAP'!$A:$A, "Nueva Ecija", 'TRASH TRAP'!$C:$C, "*domingo*", 'TRASH TRAP'!$W:$W, "&lt;&gt;")</f>
        <v>0</v>
      </c>
      <c r="AC64" s="393">
        <f>COUNTIFS(PDS!$A:$A, "NUEVA ECIJA", PDS!$B:$B, "*SANTO DOMINGO*", PDS!$AD:$AD, "&lt;&gt;")</f>
        <v>0</v>
      </c>
      <c r="AD64" s="393" t="s">
        <v>6373</v>
      </c>
      <c r="AE64" s="393">
        <f>COUNTIFS('TRANSFER STATION'!$A:$A, "Nueva Ecija", 'TRANSFER STATION'!$B:$B, "*domingo*", 'TRANSFER STATION'!$W:$W, "&lt;&gt;")</f>
        <v>0</v>
      </c>
    </row>
    <row r="65" spans="19:31">
      <c r="S65" s="682"/>
      <c r="T65" s="651" t="s">
        <v>446</v>
      </c>
      <c r="U65" s="393">
        <f>COUNTIFS('10-YEAR SWM PLAN'!$A:$A, "Nueva Ecija", '10-YEAR SWM PLAN'!$B:$B, "*Talavera*", '10-YEAR SWM PLAN'!$AC:$AC, "&lt;&gt;")</f>
        <v>0</v>
      </c>
      <c r="V65" s="393">
        <f>COUNTIFS('FUNDED MRF'!$A:$A, "Nueva Ecija", 'FUNDED MRF'!$B:$B, "*Talavera*", 'FUNDED MRF'!$AA:$AA, "&lt;&gt;")</f>
        <v>0</v>
      </c>
      <c r="W65" s="393">
        <f>COUNTIFS(SLF!$A:$A, "*Nueva*", SLF!$B:$B, "*talave*", SLF!$AF:$AF, "&lt;&gt;")</f>
        <v>0</v>
      </c>
      <c r="X65" s="393">
        <f>COUNTIFS(EQUIPMENT!$A:$A, "Nueva Ecija", EQUIPMENT!$B:$B, "*talavera*", EQUIPMENT!$X:$X, "&lt;&gt;")</f>
        <v>1</v>
      </c>
      <c r="Y65" s="393" t="s">
        <v>6373</v>
      </c>
      <c r="Z65" s="393">
        <f>COUNTIFS('TECHNICAL ASSISTANCE TO BRGY.'!$A:$A, "*Nueva*", 'TECHNICAL ASSISTANCE TO BRGY.'!$B:$B, "*talavera*", 'TECHNICAL ASSISTANCE TO BRGY.'!$T:$T, "&lt;&gt;")</f>
        <v>0</v>
      </c>
      <c r="AA65" s="393">
        <f>COUNTIFS(SLF!$A:$A, "*Nueva*", SLF!$B:$B, "*talave*", SLF!$AF:$AF, "&lt;&gt;")</f>
        <v>0</v>
      </c>
      <c r="AB65" s="393">
        <f>COUNTIFS('TRASH TRAP'!$A:$A, "Nueva Ecija", 'TRASH TRAP'!$C:$C, "*talavera*", 'TRASH TRAP'!$W:$W, "&lt;&gt;")</f>
        <v>0</v>
      </c>
      <c r="AC65" s="393">
        <f>COUNTIFS(PDS!$A:$A, "NUEVA ECIJA", PDS!$B:$B, "*TALAVERA*", PDS!$AD:$AD, "&lt;&gt;")</f>
        <v>0</v>
      </c>
      <c r="AD65" s="393" t="s">
        <v>6373</v>
      </c>
      <c r="AE65" s="393">
        <f>COUNTIFS('TRANSFER STATION'!$A:$A, "Nueva Ecija", 'TRANSFER STATION'!$B:$B, "*talavera*", 'TRANSFER STATION'!$W:$W, "&lt;&gt;")</f>
        <v>0</v>
      </c>
    </row>
    <row r="66" spans="19:31">
      <c r="S66" s="682"/>
      <c r="T66" s="651" t="s">
        <v>530</v>
      </c>
      <c r="U66" s="393">
        <f>COUNTIFS('10-YEAR SWM PLAN'!$A:$A, "Nueva Ecija", '10-YEAR SWM PLAN'!$B:$B, "*Zaragoza*", '10-YEAR SWM PLAN'!$AC:$AC, "&lt;&gt;")</f>
        <v>0</v>
      </c>
      <c r="V66" s="393">
        <f>COUNTIFS('FUNDED MRF'!$A:$A, "Nueva Ecija", 'FUNDED MRF'!$B:$B, "*Zaragoza*", 'FUNDED MRF'!$AA:$AA, "&lt;&gt;")</f>
        <v>0</v>
      </c>
      <c r="W66" s="393">
        <f>COUNTIFS(SLF!$A:$A, "*Nueva*", SLF!$B:$B, "*zarago*", SLF!$AF:$AF, "&lt;&gt;")</f>
        <v>0</v>
      </c>
      <c r="X66" s="393">
        <f>COUNTIFS(EQUIPMENT!$A:$A, "Nueva Ecija", EQUIPMENT!$B:$B, "*zarago*", EQUIPMENT!$X:$X, "&lt;&gt;")</f>
        <v>0</v>
      </c>
      <c r="Y66" s="393" t="s">
        <v>6373</v>
      </c>
      <c r="Z66" s="393">
        <f>COUNTIFS('TECHNICAL ASSISTANCE TO BRGY.'!$A:$A, "*Nueva*", 'TECHNICAL ASSISTANCE TO BRGY.'!$B:$B, "*zaragoza*", 'TECHNICAL ASSISTANCE TO BRGY.'!$T:$T, "&lt;&gt;")</f>
        <v>0</v>
      </c>
      <c r="AA66" s="393">
        <f>COUNTIFS(SLF!$A:$A, "*Nueva*", SLF!$B:$B, "*zarago*", SLF!$AF:$AF, "&lt;&gt;")</f>
        <v>0</v>
      </c>
      <c r="AB66" s="393">
        <f>COUNTIFS('TRASH TRAP'!$A:$A, "Nueva Ecija", 'TRASH TRAP'!$C:$C, "*zarago*", 'TRASH TRAP'!$W:$W, "&lt;&gt;")</f>
        <v>0</v>
      </c>
      <c r="AC66" s="393">
        <f>COUNTIFS(PDS!$A:$A, "NUEVA ECIJA", PDS!$B:$B, "*ZARAGOZA*", PDS!$AD:$AD, "&lt;&gt;")</f>
        <v>0</v>
      </c>
      <c r="AD66" s="393" t="s">
        <v>6373</v>
      </c>
      <c r="AE66" s="393">
        <f>COUNTIFS('TRANSFER STATION'!$A:$A, "Nueva Ecija", 'TRANSFER STATION'!$B:$B, "*zarag*", 'TRANSFER STATION'!$W:$W, "&lt;&gt;")</f>
        <v>0</v>
      </c>
    </row>
    <row r="67" spans="19:31">
      <c r="S67" s="682"/>
      <c r="T67" s="660" t="s">
        <v>6379</v>
      </c>
      <c r="U67" s="660">
        <f>SUM(U68:U75)</f>
        <v>1</v>
      </c>
      <c r="V67" s="660">
        <f t="shared" ref="V67:AE67" si="158">SUM(V68:V75)</f>
        <v>0</v>
      </c>
      <c r="W67" s="660">
        <f t="shared" si="158"/>
        <v>0</v>
      </c>
      <c r="X67" s="660">
        <f t="shared" si="158"/>
        <v>1</v>
      </c>
      <c r="Y67" s="660">
        <f t="shared" si="158"/>
        <v>0</v>
      </c>
      <c r="Z67" s="660">
        <f t="shared" si="158"/>
        <v>28</v>
      </c>
      <c r="AA67" s="660">
        <f t="shared" ref="AA67" si="159">SUM(AA68:AA75)</f>
        <v>0</v>
      </c>
      <c r="AB67" s="660">
        <f t="shared" si="158"/>
        <v>0</v>
      </c>
      <c r="AC67" s="660">
        <f t="shared" si="158"/>
        <v>0</v>
      </c>
      <c r="AD67" s="660">
        <f t="shared" si="158"/>
        <v>0</v>
      </c>
      <c r="AE67" s="660">
        <f t="shared" si="158"/>
        <v>0</v>
      </c>
    </row>
    <row r="68" spans="19:31">
      <c r="S68" s="682"/>
      <c r="T68" s="651" t="s">
        <v>409</v>
      </c>
      <c r="U68" s="393">
        <f>COUNTIFS('10-YEAR SWM PLAN'!$A:$A, "Nueva Ecija", '10-YEAR SWM PLAN'!$B:$B, "*Carranglan*", '10-YEAR SWM PLAN'!$AC:$AC, "&lt;&gt;")</f>
        <v>0</v>
      </c>
      <c r="V68" s="393">
        <f>COUNTIFS('FUNDED MRF'!$A:$A, "Nueva Ecija", 'FUNDED MRF'!$B:$B, "*Carranglan*", 'FUNDED MRF'!$AA:$AA, "&lt;&gt;")</f>
        <v>0</v>
      </c>
      <c r="W68" s="393">
        <f>COUNTIFS(SLF!$A:$A, "*Nueva*", SLF!$B:$B, "*carrang*", SLF!$AF:$AF, "&lt;&gt;")</f>
        <v>0</v>
      </c>
      <c r="X68" s="393">
        <f>COUNTIFS(EQUIPMENT!$A:$A, "Nueva Ecija", EQUIPMENT!$B:$B, "*carrang*", EQUIPMENT!$X:$X, "&lt;&gt;")</f>
        <v>0</v>
      </c>
      <c r="Y68" s="393" t="s">
        <v>6373</v>
      </c>
      <c r="Z68" s="393">
        <f>COUNTIFS('TECHNICAL ASSISTANCE TO BRGY.'!$A:$A, "*Nueva*", 'TECHNICAL ASSISTANCE TO BRGY.'!$B:$B, "*carranglan*", 'TECHNICAL ASSISTANCE TO BRGY.'!$T:$T, "&lt;&gt;")</f>
        <v>4</v>
      </c>
      <c r="AA68" s="393">
        <f>COUNTIFS(SLF!$A:$A, "*Nueva*", SLF!$B:$B, "*carrang*", SLF!$AF:$AF, "&lt;&gt;")</f>
        <v>0</v>
      </c>
      <c r="AB68" s="393">
        <f>COUNTIFS('TRASH TRAP'!$A:$A, "Nueva Ecija", 'TRASH TRAP'!$C:$C, "*carrang*", 'TRASH TRAP'!$W:$W, "&lt;&gt;")</f>
        <v>0</v>
      </c>
      <c r="AC68" s="393">
        <f>COUNTIFS(PDS!$A:$A, "NUEVA ECIJA", PDS!$B:$B, "*CARRANGLAN*", PDS!$AD:$AD, "&lt;&gt;")</f>
        <v>0</v>
      </c>
      <c r="AD68" s="393">
        <f>COUNTIFS(RCA!$A:$A, "Nueva Ecija", RCA!$B:$B, "*carrang*", RCA!$W:$W, "&lt;&gt;")</f>
        <v>0</v>
      </c>
      <c r="AE68" s="393" t="s">
        <v>6373</v>
      </c>
    </row>
    <row r="69" spans="19:31">
      <c r="S69" s="682"/>
      <c r="T69" s="651" t="s">
        <v>514</v>
      </c>
      <c r="U69" s="393">
        <f>COUNTIFS('10-YEAR SWM PLAN'!$A:$A, "Nueva Ecija", '10-YEAR SWM PLAN'!$B:$B, "*Llanera*", '10-YEAR SWM PLAN'!$AC:$AC, "&lt;&gt;")</f>
        <v>0</v>
      </c>
      <c r="V69" s="393">
        <f>COUNTIFS('FUNDED MRF'!$A:$A, "Nueva Ecija", 'FUNDED MRF'!$B:$B, "*Llanera*", 'FUNDED MRF'!$AA:$AA, "&lt;&gt;")</f>
        <v>0</v>
      </c>
      <c r="W69" s="393">
        <f>COUNTIFS(SLF!$A:$A, "*Nueva*", SLF!$B:$B, "*llane*", SLF!$AF:$AF, "&lt;&gt;")</f>
        <v>0</v>
      </c>
      <c r="X69" s="393">
        <f>COUNTIFS(EQUIPMENT!$A:$A, "Nueva Ecija", EQUIPMENT!$B:$B, "*llanera*", EQUIPMENT!$X:$X, "&lt;&gt;")</f>
        <v>0</v>
      </c>
      <c r="Y69" s="393" t="s">
        <v>6373</v>
      </c>
      <c r="Z69" s="393">
        <f>COUNTIFS('TECHNICAL ASSISTANCE TO BRGY.'!$A:$A, "*Nueva*", 'TECHNICAL ASSISTANCE TO BRGY.'!$B:$B, "*llanera*", 'TECHNICAL ASSISTANCE TO BRGY.'!$T:$T, "&lt;&gt;")</f>
        <v>0</v>
      </c>
      <c r="AA69" s="393">
        <f>COUNTIFS(SLF!$A:$A, "*Nueva*", SLF!$B:$B, "*llane*", SLF!$AF:$AF, "&lt;&gt;")</f>
        <v>0</v>
      </c>
      <c r="AB69" s="393">
        <f>COUNTIFS('TRASH TRAP'!$A:$A, "Nueva Ecija", 'TRASH TRAP'!$C:$C, "*llan*", 'TRASH TRAP'!$W:$W, "&lt;&gt;")</f>
        <v>0</v>
      </c>
      <c r="AC69" s="393">
        <f>COUNTIFS(PDS!$A:$A, "NUEVA ECIJA", PDS!$B:$B, "*LLANERA*", PDS!$AD:$AD, "&lt;&gt;")</f>
        <v>0</v>
      </c>
      <c r="AD69" s="393">
        <f>COUNTIFS(RCA!$A:$A, "Nueva Ecija", RCA!$B:$B, "*llane*", RCA!$W:$W, "&lt;&gt;")</f>
        <v>0</v>
      </c>
      <c r="AE69" s="393" t="s">
        <v>6373</v>
      </c>
    </row>
    <row r="70" spans="19:31">
      <c r="S70" s="682"/>
      <c r="T70" s="651" t="s">
        <v>295</v>
      </c>
      <c r="U70" s="393">
        <f>COUNTIFS('10-YEAR SWM PLAN'!$A:$A, "Nueva Ecija", '10-YEAR SWM PLAN'!$B:$B, "*Lupao*", '10-YEAR SWM PLAN'!$AC:$AC, "&lt;&gt;")</f>
        <v>1</v>
      </c>
      <c r="V70" s="393">
        <f>COUNTIFS('FUNDED MRF'!$A:$A, "Nueva Ecija", 'FUNDED MRF'!$B:$B, "*Lupao*", 'FUNDED MRF'!$AA:$AA, "&lt;&gt;")</f>
        <v>0</v>
      </c>
      <c r="W70" s="393">
        <f>COUNTIFS(SLF!$A:$A, "*Nueva*", SLF!$B:$B, "*lupao*", SLF!$AF:$AF, "&lt;&gt;")</f>
        <v>0</v>
      </c>
      <c r="X70" s="393">
        <f>COUNTIFS(EQUIPMENT!$A:$A, "Nueva Ecija", EQUIPMENT!$B:$B, "*lupao*", EQUIPMENT!$X:$X, "&lt;&gt;")</f>
        <v>0</v>
      </c>
      <c r="Y70" s="393" t="s">
        <v>6373</v>
      </c>
      <c r="Z70" s="393">
        <f>COUNTIFS('TECHNICAL ASSISTANCE TO BRGY.'!$A:$A, "*Nueva*", 'TECHNICAL ASSISTANCE TO BRGY.'!$B:$B, "*lupao*", 'TECHNICAL ASSISTANCE TO BRGY.'!$T:$T, "&lt;&gt;")</f>
        <v>4</v>
      </c>
      <c r="AA70" s="393">
        <f>COUNTIFS(SLF!$A:$A, "*Nueva*", SLF!$B:$B, "*lupao*", SLF!$AF:$AF, "&lt;&gt;")</f>
        <v>0</v>
      </c>
      <c r="AB70" s="393">
        <f>COUNTIFS('TRASH TRAP'!$A:$A, "Nueva Ecija", 'TRASH TRAP'!$C:$C, "*lupao*", 'TRASH TRAP'!$W:$W, "&lt;&gt;")</f>
        <v>0</v>
      </c>
      <c r="AC70" s="393">
        <f>COUNTIFS(PDS!$A:$A, "NUEVA ECIJA", PDS!$B:$B, "*LUPAO*", PDS!$AD:$AD, "&lt;&gt;")</f>
        <v>0</v>
      </c>
      <c r="AD70" s="393">
        <f>COUNTIFS(RCA!$A:$A, "Nueva Ecija", RCA!$B:$B, "*lupao*", RCA!$W:$W, "&lt;&gt;")</f>
        <v>0</v>
      </c>
      <c r="AE70" s="393" t="s">
        <v>6373</v>
      </c>
    </row>
    <row r="71" spans="19:31">
      <c r="S71" s="682"/>
      <c r="T71" s="651" t="s">
        <v>3162</v>
      </c>
      <c r="U71" s="393">
        <f>COUNTIFS('10-YEAR SWM PLAN'!$A:$A, "Nueva Ecija", '10-YEAR SWM PLAN'!$B:$B, "*Munoz*", '10-YEAR SWM PLAN'!$AC:$AC, "&lt;&gt;")</f>
        <v>0</v>
      </c>
      <c r="V71" s="393">
        <f>COUNTIFS('FUNDED MRF'!$A:$A, "Nueva Ecija", 'FUNDED MRF'!$B:$B, "*Munoz*", 'FUNDED MRF'!$AA:$AA, "&lt;&gt;")</f>
        <v>0</v>
      </c>
      <c r="W71" s="393">
        <f>COUNTIFS(SLF!$A:$A, "*Nueva*", SLF!$B:$B, "*munoz*", SLF!$AF:$AF, "&lt;&gt;")</f>
        <v>0</v>
      </c>
      <c r="X71" s="393">
        <f>COUNTIFS(EQUIPMENT!$A:$A, "Nueva Ecija", EQUIPMENT!$B:$B, "*munoz*", EQUIPMENT!$X:$X, "&lt;&gt;")</f>
        <v>0</v>
      </c>
      <c r="Y71" s="393" t="s">
        <v>6373</v>
      </c>
      <c r="Z71" s="393">
        <f>COUNTIFS('TECHNICAL ASSISTANCE TO BRGY.'!$A:$A, "*Nueva*", 'TECHNICAL ASSISTANCE TO BRGY.'!$B:$B, "*munoz*", 'TECHNICAL ASSISTANCE TO BRGY.'!$T:$T, "&lt;&gt;")</f>
        <v>2</v>
      </c>
      <c r="AA71" s="393">
        <f>COUNTIFS(SLF!$A:$A, "*Nueva*", SLF!$B:$B, "*munoz*", SLF!$AF:$AF, "&lt;&gt;")</f>
        <v>0</v>
      </c>
      <c r="AB71" s="393">
        <f>COUNTIFS('TRASH TRAP'!$A:$A, "Nueva Ecija", 'TRASH TRAP'!$C:$C, "*munoz*", 'TRASH TRAP'!$W:$W, "&lt;&gt;")</f>
        <v>0</v>
      </c>
      <c r="AC71" s="393">
        <f>COUNTIFS(PDS!$A:$A, "NUEVA ECIJA", PDS!$B:$B, "*MUOZ*", PDS!$AD:$AD, "&lt;&gt;")</f>
        <v>0</v>
      </c>
      <c r="AD71" s="393">
        <f>COUNTIFS(RCA!$A:$A, "Nueva Ecija", RCA!$B:$B, "*munoz*", RCA!$W:$W, "&lt;&gt;")</f>
        <v>0</v>
      </c>
      <c r="AE71" s="393" t="s">
        <v>6373</v>
      </c>
    </row>
    <row r="72" spans="19:31">
      <c r="S72" s="682"/>
      <c r="T72" s="651" t="s">
        <v>518</v>
      </c>
      <c r="U72" s="393">
        <f>COUNTIFS('10-YEAR SWM PLAN'!$A:$A, "Nueva Ecija", '10-YEAR SWM PLAN'!$B:$B, "*Pantabangan*", '10-YEAR SWM PLAN'!$AC:$AC, "&lt;&gt;")</f>
        <v>0</v>
      </c>
      <c r="V72" s="393">
        <f>COUNTIFS('FUNDED MRF'!$A:$A, "Nueva Ecija", 'FUNDED MRF'!$B:$B, "*Pantabangan*", 'FUNDED MRF'!$AA:$AA, "&lt;&gt;")</f>
        <v>0</v>
      </c>
      <c r="W72" s="393">
        <f>COUNTIFS(SLF!$A:$A, "*Nueva*", SLF!$B:$B, "*pantaba*", SLF!$AF:$AF, "&lt;&gt;")</f>
        <v>0</v>
      </c>
      <c r="X72" s="393">
        <f>COUNTIFS(EQUIPMENT!$A:$A, "Nueva Ecija", EQUIPMENT!$B:$B, "*panta*", EQUIPMENT!$X:$X, "&lt;&gt;")</f>
        <v>0</v>
      </c>
      <c r="Y72" s="393" t="s">
        <v>6373</v>
      </c>
      <c r="Z72" s="393">
        <f>COUNTIFS('TECHNICAL ASSISTANCE TO BRGY.'!$A:$A, "*Nueva*", 'TECHNICAL ASSISTANCE TO BRGY.'!$B:$B, "*pantabangan*", 'TECHNICAL ASSISTANCE TO BRGY.'!$T:$T, "&lt;&gt;")</f>
        <v>8</v>
      </c>
      <c r="AA72" s="393">
        <f>COUNTIFS(SLF!$A:$A, "*Nueva*", SLF!$B:$B, "*pantaba*", SLF!$AF:$AF, "&lt;&gt;")</f>
        <v>0</v>
      </c>
      <c r="AB72" s="393">
        <f>COUNTIFS('TRASH TRAP'!$A:$A, "Nueva Ecija", 'TRASH TRAP'!$C:$C, "*pantabangan*", 'TRASH TRAP'!$W:$W, "&lt;&gt;")</f>
        <v>0</v>
      </c>
      <c r="AC72" s="393">
        <f>COUNTIFS(PDS!$A:$A, "NUEVA ECIJA", PDS!$B:$B, "*PANTABANGAN*", PDS!$AD:$AD, "&lt;&gt;")</f>
        <v>0</v>
      </c>
      <c r="AD72" s="393">
        <f>COUNTIFS(RCA!$A:$A, "Nueva Ecija", RCA!$B:$B, "*panta*", RCA!$W:$W, "&lt;&gt;")</f>
        <v>0</v>
      </c>
      <c r="AE72" s="393" t="s">
        <v>6373</v>
      </c>
    </row>
    <row r="73" spans="19:31">
      <c r="S73" s="682"/>
      <c r="T73" s="651" t="s">
        <v>388</v>
      </c>
      <c r="U73" s="393">
        <f>COUNTIFS('10-YEAR SWM PLAN'!$A:$A, "Nueva Ecija", '10-YEAR SWM PLAN'!$B:$B, "*San Jose*", '10-YEAR SWM PLAN'!$AC:$AC, "&lt;&gt;")</f>
        <v>0</v>
      </c>
      <c r="V73" s="393">
        <f>COUNTIFS('FUNDED MRF'!$A:$A, "Nueva Ecija", 'FUNDED MRF'!$B:$B, "*San Jose*", 'FUNDED MRF'!$AA:$AA, "&lt;&gt;")</f>
        <v>0</v>
      </c>
      <c r="W73" s="393">
        <f>COUNTIFS(SLF!$A:$A, "*Nueva*", SLF!$B:$B, "*jose*", SLF!$AF:$AF, "&lt;&gt;")</f>
        <v>0</v>
      </c>
      <c r="X73" s="393">
        <f>COUNTIFS(EQUIPMENT!$A:$A, "Nueva Ecija", EQUIPMENT!$B:$B, "*san jos*", EQUIPMENT!$X:$X, "&lt;&gt;")</f>
        <v>1</v>
      </c>
      <c r="Y73" s="393" t="s">
        <v>6373</v>
      </c>
      <c r="Z73" s="393">
        <f>COUNTIFS('TECHNICAL ASSISTANCE TO BRGY.'!$A:$A, "*Nueva*", 'TECHNICAL ASSISTANCE TO BRGY.'!$B:$B, "*jose*", 'TECHNICAL ASSISTANCE TO BRGY.'!$T:$T, "&lt;&gt;")</f>
        <v>0</v>
      </c>
      <c r="AA73" s="393">
        <f>COUNTIFS(SLF!$A:$A, "*Nueva*", SLF!$B:$B, "*jose*", SLF!$AF:$AF, "&lt;&gt;")</f>
        <v>0</v>
      </c>
      <c r="AB73" s="393">
        <f>COUNTIFS('TRASH TRAP'!$A:$A, "Nueva Ecija", 'TRASH TRAP'!$C:$C, "*san jose*", 'TRASH TRAP'!$W:$W, "&lt;&gt;")</f>
        <v>0</v>
      </c>
      <c r="AC73" s="393">
        <f>COUNTIFS(PDS!$A:$A, "NUEVA ECIJA", PDS!$B:$B, "*SAN JOSE*", PDS!$AD:$AD, "&lt;&gt;")</f>
        <v>0</v>
      </c>
      <c r="AD73" s="393">
        <f>COUNTIFS(RCA!$A:$A, "Nueva Ecija", RCA!$B:$B, "*jose*", RCA!$W:$W, "&lt;&gt;")</f>
        <v>0</v>
      </c>
      <c r="AE73" s="393" t="s">
        <v>6373</v>
      </c>
    </row>
    <row r="74" spans="19:31">
      <c r="S74" s="682"/>
      <c r="T74" s="651" t="s">
        <v>528</v>
      </c>
      <c r="U74" s="393">
        <f>COUNTIFS('10-YEAR SWM PLAN'!$A:$A, "Nueva Ecija", '10-YEAR SWM PLAN'!$B:$B, "*Talugtug*", '10-YEAR SWM PLAN'!$AC:$AC, "&lt;&gt;")</f>
        <v>0</v>
      </c>
      <c r="V74" s="393">
        <f>COUNTIFS('FUNDED MRF'!$A:$A, "Nueva Ecija", 'FUNDED MRF'!$B:$B, "*Talugtug*", 'FUNDED MRF'!$AA:$AA, "&lt;&gt;")</f>
        <v>0</v>
      </c>
      <c r="W74" s="393">
        <f>COUNTIFS(SLF!$A:$A, "*Nueva*", SLF!$B:$B, "*talugtu*", SLF!$AF:$AF, "&lt;&gt;")</f>
        <v>0</v>
      </c>
      <c r="X74" s="393">
        <f>COUNTIFS(EQUIPMENT!$A:$A, "Nueva Ecija", EQUIPMENT!$B:$B, "*talug*", EQUIPMENT!$X:$X, "&lt;&gt;")</f>
        <v>0</v>
      </c>
      <c r="Y74" s="393" t="s">
        <v>6373</v>
      </c>
      <c r="Z74" s="393">
        <f>COUNTIFS('TECHNICAL ASSISTANCE TO BRGY.'!$A:$A, "*Nueva*", 'TECHNICAL ASSISTANCE TO BRGY.'!$B:$B, "*talug*", 'TECHNICAL ASSISTANCE TO BRGY.'!$T:$T, "&lt;&gt;")</f>
        <v>3</v>
      </c>
      <c r="AA74" s="393">
        <f>COUNTIFS(SLF!$A:$A, "*Nueva*", SLF!$B:$B, "*talugtu*", SLF!$AF:$AF, "&lt;&gt;")</f>
        <v>0</v>
      </c>
      <c r="AB74" s="393">
        <f>COUNTIFS('TRASH TRAP'!$A:$A, "Nueva Ecija", 'TRASH TRAP'!$C:$C, "*talugtu*", 'TRASH TRAP'!$W:$W, "&lt;&gt;")</f>
        <v>0</v>
      </c>
      <c r="AC74" s="393">
        <f>COUNTIFS(PDS!$A:$A, "NUEVA ECIJA", PDS!$B:$B, "*TALUGTUG*", PDS!$AD:$AD, "&lt;&gt;")</f>
        <v>0</v>
      </c>
      <c r="AD74" s="393">
        <f>COUNTIFS(RCA!$A:$A, "Nueva Ecija", RCA!$B:$B, "*talugtu*", RCA!$W:$W, "&lt;&gt;")</f>
        <v>0</v>
      </c>
      <c r="AE74" s="393" t="s">
        <v>6373</v>
      </c>
    </row>
    <row r="75" spans="19:31">
      <c r="S75" s="682"/>
      <c r="T75" s="651" t="s">
        <v>444</v>
      </c>
      <c r="U75" s="393">
        <f>COUNTIFS('10-YEAR SWM PLAN'!$A:$A, "Nueva Ecija", '10-YEAR SWM PLAN'!$B:$B, "*Rizal*", '10-YEAR SWM PLAN'!$AC:$AC, "&lt;&gt;")</f>
        <v>0</v>
      </c>
      <c r="V75" s="393">
        <f>COUNTIFS('FUNDED MRF'!$A:$A, "Nueva Ecija", 'FUNDED MRF'!$B:$B, "*Rizal*", 'FUNDED MRF'!$AA:$AA, "&lt;&gt;")</f>
        <v>0</v>
      </c>
      <c r="W75" s="393">
        <f>COUNTIFS(SLF!$A:$A, "*Nueva*", SLF!$B:$B, "*rizal*", SLF!$AF:$AF, "&lt;&gt;")</f>
        <v>0</v>
      </c>
      <c r="X75" s="393">
        <f>COUNTIFS(EQUIPMENT!$A:$A, "Nueva Ecija", EQUIPMENT!$B:$B, "*rizal*", EQUIPMENT!$X:$X, "&lt;&gt;")</f>
        <v>0</v>
      </c>
      <c r="Y75" s="393" t="s">
        <v>6373</v>
      </c>
      <c r="Z75" s="393">
        <f>COUNTIFS('TECHNICAL ASSISTANCE TO BRGY.'!$A:$A, "*Nueva*", 'TECHNICAL ASSISTANCE TO BRGY.'!$B:$B, "*rizal*", 'TECHNICAL ASSISTANCE TO BRGY.'!$T:$T, "&lt;&gt;")</f>
        <v>7</v>
      </c>
      <c r="AA75" s="393">
        <f>COUNTIFS(SLF!$A:$A, "*Nueva*", SLF!$B:$B, "*rizal*", SLF!$AF:$AF, "&lt;&gt;")</f>
        <v>0</v>
      </c>
      <c r="AB75" s="393">
        <f>COUNTIFS('TRASH TRAP'!$A:$A, "Nueva Ecija", 'TRASH TRAP'!$C:$C, "*rizal*", 'TRASH TRAP'!$W:$W, "&lt;&gt;")</f>
        <v>0</v>
      </c>
      <c r="AC75" s="393">
        <f>COUNTIFS(PDS!$A:$A, "NUEVA ECIJA", PDS!$B:$B, "*RIZAL*", PDS!$AD:$AD, "&lt;&gt;")</f>
        <v>0</v>
      </c>
      <c r="AD75" s="393">
        <f>COUNTIFS(RCA!$A:$A, "Nueva Ecija", RCA!$B:$B, "*rizal*", RCA!$W:$W, "&lt;&gt;")</f>
        <v>0</v>
      </c>
      <c r="AE75" s="393" t="s">
        <v>6373</v>
      </c>
    </row>
    <row r="76" spans="19:31">
      <c r="S76" s="682"/>
      <c r="T76" s="660" t="s">
        <v>6381</v>
      </c>
      <c r="U76" s="660">
        <f>SUM(U77:U83)</f>
        <v>2</v>
      </c>
      <c r="V76" s="660">
        <f t="shared" ref="V76:AE76" si="160">SUM(V77:V83)</f>
        <v>2</v>
      </c>
      <c r="W76" s="660">
        <f t="shared" si="160"/>
        <v>0</v>
      </c>
      <c r="X76" s="660">
        <f t="shared" si="160"/>
        <v>0</v>
      </c>
      <c r="Y76" s="660">
        <f t="shared" si="160"/>
        <v>0</v>
      </c>
      <c r="Z76" s="660">
        <f t="shared" si="160"/>
        <v>19</v>
      </c>
      <c r="AA76" s="660">
        <f t="shared" ref="AA76" si="161">SUM(AA77:AA83)</f>
        <v>0</v>
      </c>
      <c r="AB76" s="660">
        <f t="shared" si="160"/>
        <v>0</v>
      </c>
      <c r="AC76" s="660">
        <f t="shared" si="160"/>
        <v>1</v>
      </c>
      <c r="AD76" s="660">
        <f t="shared" si="160"/>
        <v>0</v>
      </c>
      <c r="AE76" s="660">
        <f t="shared" si="160"/>
        <v>1</v>
      </c>
    </row>
    <row r="77" spans="19:31">
      <c r="S77" s="682"/>
      <c r="T77" s="651" t="s">
        <v>1314</v>
      </c>
      <c r="U77" s="393">
        <f>COUNTIFS('10-YEAR SWM PLAN'!$A:$A, "Nueva Ecija", '10-YEAR SWM PLAN'!$B:$B, "*Cabanatuan*", '10-YEAR SWM PLAN'!$AC:$AC, "&lt;&gt;")</f>
        <v>1</v>
      </c>
      <c r="V77" s="393">
        <f>COUNTIFS('FUNDED MRF'!$A:$A, "Nueva Ecija", 'FUNDED MRF'!$B:$B, "*Cabanatuan*", 'FUNDED MRF'!$AA:$AA, "&lt;&gt;")</f>
        <v>0</v>
      </c>
      <c r="W77" s="393">
        <f>COUNTIFS(SLF!$A:$A, "*Nueva*", SLF!$B:$B, "*caba*", SLF!$AF:$AF, "&lt;&gt;")</f>
        <v>0</v>
      </c>
      <c r="X77" s="393">
        <f>COUNTIFS(EQUIPMENT!$A:$A, "Nueva Ecija", EQUIPMENT!$B:$B, "*caba*", EQUIPMENT!$X:$X, "&lt;&gt;")</f>
        <v>0</v>
      </c>
      <c r="Y77" s="393" t="s">
        <v>6373</v>
      </c>
      <c r="Z77" s="393">
        <f>COUNTIFS('TECHNICAL ASSISTANCE TO BRGY.'!$A:$A, "*Nueva*", 'TECHNICAL ASSISTANCE TO BRGY.'!$B:$B, "*cabanatuan*", 'TECHNICAL ASSISTANCE TO BRGY.'!$T:$T, "&lt;&gt;")</f>
        <v>6</v>
      </c>
      <c r="AA77" s="393">
        <f>COUNTIFS(SLF!$A:$A, "*Nueva*", SLF!$B:$B, "*caba*", SLF!$AF:$AF, "&lt;&gt;")</f>
        <v>0</v>
      </c>
      <c r="AB77" s="393">
        <f>COUNTIFS('TRASH TRAP'!$A:$A, "Nueva Ecija", 'TRASH TRAP'!$C:$C, "*cabana*", 'TRASH TRAP'!$W:$W, "&lt;&gt;")</f>
        <v>0</v>
      </c>
      <c r="AC77" s="393">
        <f>COUNTIFS(PDS!$A:$A, "NUEVA ECIJA", PDS!$B:$B, "*CABANATUAN*", PDS!$AD:$AD, "&lt;&gt;")</f>
        <v>0</v>
      </c>
      <c r="AD77" s="393" t="s">
        <v>6373</v>
      </c>
      <c r="AE77" s="393">
        <f>COUNTIFS('TRANSFER STATION'!$A:$A, "*Nueva*", 'TRANSFER STATION'!$B:$B, "*caba*", 'TRANSFER STATION'!$W:$W, "&lt;&gt;")</f>
        <v>0</v>
      </c>
    </row>
    <row r="78" spans="19:31">
      <c r="S78" s="682"/>
      <c r="T78" s="651" t="s">
        <v>3210</v>
      </c>
      <c r="U78" s="393">
        <f>COUNTIFS('10-YEAR SWM PLAN'!$A:$A, "Nueva Ecija", '10-YEAR SWM PLAN'!$B:$B, "*Palayan*", '10-YEAR SWM PLAN'!$AC:$AC, "&lt;&gt;")</f>
        <v>0</v>
      </c>
      <c r="V78" s="393">
        <f>COUNTIFS('FUNDED MRF'!$A:$A, "Nueva Ecija", 'FUNDED MRF'!$B:$B, "*palayan*", 'FUNDED MRF'!$AA:$AA, "&lt;&gt;")</f>
        <v>0</v>
      </c>
      <c r="W78" s="393">
        <f>COUNTIFS(SLF!$A:$A, "*Nueva*", SLF!$B:$B, "*palayan*", SLF!$AF:$AF, "&lt;&gt;")</f>
        <v>0</v>
      </c>
      <c r="X78" s="393">
        <f>COUNTIFS(EQUIPMENT!$A:$A, "Nueva Ecija", EQUIPMENT!$B:$B, "*palay*", EQUIPMENT!$X:$X, "&lt;&gt;")</f>
        <v>0</v>
      </c>
      <c r="Y78" s="393" t="s">
        <v>6373</v>
      </c>
      <c r="Z78" s="393">
        <f>COUNTIFS('TECHNICAL ASSISTANCE TO BRGY.'!$A:$A, "*Nueva*", 'TECHNICAL ASSISTANCE TO BRGY.'!$B:$B, "*palayan*", 'TECHNICAL ASSISTANCE TO BRGY.'!$T:$T, "&lt;&gt;")</f>
        <v>3</v>
      </c>
      <c r="AA78" s="393">
        <f>COUNTIFS(SLF!$A:$A, "*Nueva*", SLF!$B:$B, "*palayan*", SLF!$AF:$AF, "&lt;&gt;")</f>
        <v>0</v>
      </c>
      <c r="AB78" s="393">
        <f>COUNTIFS('TRASH TRAP'!$A:$A, "Nueva Ecija", 'TRASH TRAP'!$C:$C, "*palay*", 'TRASH TRAP'!$W:$W, "&lt;&gt;")</f>
        <v>0</v>
      </c>
      <c r="AC78" s="393">
        <f>COUNTIFS(PDS!$A:$A, "*nueva*", PDS!$B:$B, "*Palayan*", PDS!$AD:$AD, "&lt;&gt;")</f>
        <v>1</v>
      </c>
      <c r="AD78" s="393" t="s">
        <v>6373</v>
      </c>
      <c r="AE78" s="393">
        <f>COUNTIFS('TRANSFER STATION'!$A:$A, "*Nueva*", 'TRANSFER STATION'!$B:$B, "*palay*", 'TRANSFER STATION'!$W:$W, "&lt;&gt;")</f>
        <v>1</v>
      </c>
    </row>
    <row r="79" spans="19:31">
      <c r="S79" s="682"/>
      <c r="T79" s="651" t="s">
        <v>384</v>
      </c>
      <c r="U79" s="393">
        <f>COUNTIFS('10-YEAR SWM PLAN'!$A:$A, "Nueva Ecija", '10-YEAR SWM PLAN'!$B:$B, "*Bongabon*", '10-YEAR SWM PLAN'!$AC:$AC, "&lt;&gt;")</f>
        <v>0</v>
      </c>
      <c r="V79" s="393">
        <f>COUNTIFS('FUNDED MRF'!$A:$A, "Nueva Ecija", 'FUNDED MRF'!$B:$B, "*Bongabon*", 'FUNDED MRF'!$AA:$AA, "&lt;&gt;")</f>
        <v>0</v>
      </c>
      <c r="W79" s="393">
        <f>COUNTIFS(SLF!$A:$A, "*Nueva*", SLF!$B:$B, "*bonga*", SLF!$AF:$AF, "&lt;&gt;")</f>
        <v>0</v>
      </c>
      <c r="X79" s="393">
        <f>COUNTIFS(EQUIPMENT!$A:$A, "Nueva Ecija", EQUIPMENT!$B:$B, "*bonga*", EQUIPMENT!$X:$X, "&lt;&gt;")</f>
        <v>0</v>
      </c>
      <c r="Y79" s="393" t="s">
        <v>6373</v>
      </c>
      <c r="Z79" s="393">
        <f>COUNTIFS('TECHNICAL ASSISTANCE TO BRGY.'!$A:$A, "*Nueva*", 'TECHNICAL ASSISTANCE TO BRGY.'!$B:$B, "*bongabon*", 'TECHNICAL ASSISTANCE TO BRGY.'!$T:$T, "&lt;&gt;")</f>
        <v>3</v>
      </c>
      <c r="AA79" s="393">
        <f>COUNTIFS(SLF!$A:$A, "*Nueva*", SLF!$B:$B, "*bonga*", SLF!$AF:$AF, "&lt;&gt;")</f>
        <v>0</v>
      </c>
      <c r="AB79" s="393">
        <f>COUNTIFS('TRASH TRAP'!$A:$A, "Nueva Ecija", 'TRASH TRAP'!$C:$C, "*bonga*", 'TRASH TRAP'!$W:$W, "&lt;&gt;")</f>
        <v>0</v>
      </c>
      <c r="AC79" s="393">
        <f>COUNTIFS(PDS!$A:$A, "NUEVA ECIJA", PDS!$B:$B, "*BONGABON*", PDS!$AD:$AD, "&lt;&gt;")</f>
        <v>0</v>
      </c>
      <c r="AD79" s="393" t="s">
        <v>6373</v>
      </c>
      <c r="AE79" s="393">
        <f>COUNTIFS('TRANSFER STATION'!$A:$A, "*Nueva*", 'TRANSFER STATION'!$B:$B, "*bonga*", 'TRANSFER STATION'!$W:$W, "&lt;&gt;")</f>
        <v>0</v>
      </c>
    </row>
    <row r="80" spans="19:31">
      <c r="S80" s="682"/>
      <c r="T80" s="651" t="s">
        <v>386</v>
      </c>
      <c r="U80" s="393">
        <f>COUNTIFS('10-YEAR SWM PLAN'!$A:$A, "Nueva Ecija", '10-YEAR SWM PLAN'!$B:$B, "*Gabaldon*", '10-YEAR SWM PLAN'!$AC:$AC, "&lt;&gt;")</f>
        <v>0</v>
      </c>
      <c r="V80" s="393">
        <f>COUNTIFS('FUNDED MRF'!$A:$A, "Nueva Ecija", 'FUNDED MRF'!$B:$B, "*Gabaldon*", 'FUNDED MRF'!$AA:$AA, "&lt;&gt;")</f>
        <v>1</v>
      </c>
      <c r="W80" s="393">
        <f>COUNTIFS(SLF!$A:$A, "*Nueva*", SLF!$B:$B, "*gabal*", SLF!$AF:$AF, "&lt;&gt;")</f>
        <v>0</v>
      </c>
      <c r="X80" s="393">
        <f>COUNTIFS(EQUIPMENT!$A:$A, "Nueva Ecija", EQUIPMENT!$B:$B, "*gabal*", EQUIPMENT!$X:$X, "&lt;&gt;")</f>
        <v>0</v>
      </c>
      <c r="Y80" s="393" t="s">
        <v>6373</v>
      </c>
      <c r="Z80" s="393">
        <f>COUNTIFS('TECHNICAL ASSISTANCE TO BRGY.'!$A:$A, "*Nueva*", 'TECHNICAL ASSISTANCE TO BRGY.'!$B:$B, "*gabaldon*", 'TECHNICAL ASSISTANCE TO BRGY.'!$T:$T, "&lt;&gt;")</f>
        <v>0</v>
      </c>
      <c r="AA80" s="393">
        <f>COUNTIFS(SLF!$A:$A, "*Nueva*", SLF!$B:$B, "*gabal*", SLF!$AF:$AF, "&lt;&gt;")</f>
        <v>0</v>
      </c>
      <c r="AB80" s="393">
        <f>COUNTIFS('TRASH TRAP'!$A:$A, "Nueva Ecija", 'TRASH TRAP'!$C:$C, "*gabal*", 'TRASH TRAP'!$W:$W, "&lt;&gt;")</f>
        <v>0</v>
      </c>
      <c r="AC80" s="393">
        <f>COUNTIFS(PDS!$A:$A, "NUEVA ECIJA", PDS!$B:$B, "*GABALDON*", PDS!$AD:$AD, "&lt;&gt;")</f>
        <v>0</v>
      </c>
      <c r="AD80" s="393" t="s">
        <v>6373</v>
      </c>
      <c r="AE80" s="393">
        <f>COUNTIFS('TRANSFER STATION'!$A:$A, "*Nueva*", 'TRANSFER STATION'!$B:$B, "*gabal*", 'TRANSFER STATION'!$W:$W, "&lt;&gt;")</f>
        <v>0</v>
      </c>
    </row>
    <row r="81" spans="19:31">
      <c r="S81" s="682"/>
      <c r="T81" s="651" t="s">
        <v>2984</v>
      </c>
      <c r="U81" s="393">
        <f>COUNTIFS('10-YEAR SWM PLAN'!$A:$A, "Nueva Ecija", '10-YEAR SWM PLAN'!$B:$B, "*Natividad*", '10-YEAR SWM PLAN'!$AC:$AC, "&lt;&gt;")</f>
        <v>1</v>
      </c>
      <c r="V81" s="393">
        <f>COUNTIFS('FUNDED MRF'!$A:$A, "Nueva Ecija", 'FUNDED MRF'!$B:$B, "*Natividad*", 'FUNDED MRF'!$AA:$AA, "&lt;&gt;")</f>
        <v>1</v>
      </c>
      <c r="W81" s="393">
        <f>COUNTIFS(SLF!$A:$A, "*Nueva*", SLF!$B:$B, "*natividad*", SLF!$AF:$AF, "&lt;&gt;")</f>
        <v>0</v>
      </c>
      <c r="X81" s="393">
        <f>COUNTIFS(EQUIPMENT!$A:$A, "Nueva Ecija", EQUIPMENT!$B:$B, "*nativida*", EQUIPMENT!$X:$X, "&lt;&gt;")</f>
        <v>0</v>
      </c>
      <c r="Y81" s="393" t="s">
        <v>6373</v>
      </c>
      <c r="Z81" s="393">
        <f>COUNTIFS('TECHNICAL ASSISTANCE TO BRGY.'!$A:$A, "*Nueva*", 'TECHNICAL ASSISTANCE TO BRGY.'!$B:$B, "*natividad*", 'TECHNICAL ASSISTANCE TO BRGY.'!$T:$T, "&lt;&gt;")</f>
        <v>0</v>
      </c>
      <c r="AA81" s="393">
        <f>COUNTIFS(SLF!$A:$A, "*Nueva*", SLF!$B:$B, "*natividad*", SLF!$AF:$AF, "&lt;&gt;")</f>
        <v>0</v>
      </c>
      <c r="AB81" s="393">
        <f>COUNTIFS('TRASH TRAP'!$A:$A, "Nueva Ecija", 'TRASH TRAP'!$C:$C, "*nativid*", 'TRASH TRAP'!$W:$W, "&lt;&gt;")</f>
        <v>0</v>
      </c>
      <c r="AC81" s="393">
        <f>COUNTIFS(PDS!$A:$A, "NUEVA ECIJA", PDS!$B:$B, "*NATIVIDAD*", PDS!$AD:$AD, "&lt;&gt;")</f>
        <v>0</v>
      </c>
      <c r="AD81" s="393" t="s">
        <v>6373</v>
      </c>
      <c r="AE81" s="393">
        <f>COUNTIFS('TRANSFER STATION'!$A:$A, "*Nueva*", 'TRANSFER STATION'!$B:$B, "*natividad*", 'TRANSFER STATION'!$W:$W, "&lt;&gt;")</f>
        <v>0</v>
      </c>
    </row>
    <row r="82" spans="19:31">
      <c r="S82" s="682"/>
      <c r="T82" s="651" t="s">
        <v>347</v>
      </c>
      <c r="U82" s="393">
        <f>COUNTIFS('10-YEAR SWM PLAN'!$A:$A, "Nueva Ecija", '10-YEAR SWM PLAN'!$B:$B, "*Laur*", '10-YEAR SWM PLAN'!$AC:$AC, "&lt;&gt;")</f>
        <v>0</v>
      </c>
      <c r="V82" s="393">
        <f>COUNTIFS('FUNDED MRF'!$A:$A, "Nueva Ecija", 'FUNDED MRF'!$B:$B, "*Laur*", 'FUNDED MRF'!$AA:$AA, "&lt;&gt;")</f>
        <v>0</v>
      </c>
      <c r="W82" s="393">
        <f>COUNTIFS(SLF!$A:$A, "*Nueva*", SLF!$B:$B, "*laur*", SLF!$AF:$AF, "&lt;&gt;")</f>
        <v>0</v>
      </c>
      <c r="X82" s="393">
        <f>COUNTIFS(EQUIPMENT!$A:$A, "Nueva Ecija", EQUIPMENT!$B:$B, "*laur*", EQUIPMENT!$X:$X, "&lt;&gt;")</f>
        <v>0</v>
      </c>
      <c r="Y82" s="393" t="s">
        <v>6373</v>
      </c>
      <c r="Z82" s="393">
        <f>COUNTIFS('TECHNICAL ASSISTANCE TO BRGY.'!$A:$A, "*Nueva*", 'TECHNICAL ASSISTANCE TO BRGY.'!$B:$B, "*laur*", 'TECHNICAL ASSISTANCE TO BRGY.'!$T:$T, "&lt;&gt;")</f>
        <v>7</v>
      </c>
      <c r="AA82" s="393">
        <f>COUNTIFS(SLF!$A:$A, "*Nueva*", SLF!$B:$B, "*laur*", SLF!$AF:$AF, "&lt;&gt;")</f>
        <v>0</v>
      </c>
      <c r="AB82" s="393">
        <f>COUNTIFS('TRASH TRAP'!$A:$A, "Nueva Ecija", 'TRASH TRAP'!$C:$C, "*laur*", 'TRASH TRAP'!$W:$W, "&lt;&gt;")</f>
        <v>0</v>
      </c>
      <c r="AC82" s="393">
        <f>COUNTIFS(PDS!$A:$A, "NUEVA ECIJA", PDS!$B:$B, "*LAUR*", PDS!$AD:$AD, "&lt;&gt;")</f>
        <v>0</v>
      </c>
      <c r="AD82" s="393" t="s">
        <v>6373</v>
      </c>
      <c r="AE82" s="393">
        <f>COUNTIFS('TRANSFER STATION'!$A:$A, "*Nueva*", 'TRANSFER STATION'!$B:$B, "*laur*", 'TRANSFER STATION'!$W:$W, "&lt;&gt;")</f>
        <v>0</v>
      </c>
    </row>
    <row r="83" spans="19:31">
      <c r="S83" s="682"/>
      <c r="T83" s="651" t="s">
        <v>524</v>
      </c>
      <c r="U83" s="393">
        <f>COUNTIFS('10-YEAR SWM PLAN'!$A:$A, "Nueva Ecija", '10-YEAR SWM PLAN'!$B:$B, "*Santa Rosa*", '10-YEAR SWM PLAN'!$AC:$AC, "&lt;&gt;")</f>
        <v>0</v>
      </c>
      <c r="V83" s="393">
        <f>COUNTIFS('FUNDED MRF'!$A:$A, "Nueva Ecija", 'FUNDED MRF'!$B:$B, "*Santa Rosa*", 'FUNDED MRF'!$AA:$AA, "&lt;&gt;")</f>
        <v>0</v>
      </c>
      <c r="W83" s="393">
        <f>COUNTIFS(SLF!$A:$A, "*Nueva*", SLF!$B:$B, "*rosa*", SLF!$AF:$AF, "&lt;&gt;")</f>
        <v>0</v>
      </c>
      <c r="X83" s="393">
        <f>COUNTIFS(EQUIPMENT!$A:$A, "Nueva Ecija", EQUIPMENT!$B:$B, "*rosa*", EQUIPMENT!$X:$X, "&lt;&gt;")</f>
        <v>0</v>
      </c>
      <c r="Y83" s="393" t="s">
        <v>6373</v>
      </c>
      <c r="Z83" s="393">
        <f>COUNTIFS('TECHNICAL ASSISTANCE TO BRGY.'!$A:$A, "*Nueva*", 'TECHNICAL ASSISTANCE TO BRGY.'!$B:$B, "*rosa*", 'TECHNICAL ASSISTANCE TO BRGY.'!$T:$T, "&lt;&gt;")</f>
        <v>0</v>
      </c>
      <c r="AA83" s="393">
        <f>COUNTIFS(SLF!$A:$A, "*Nueva*", SLF!$B:$B, "*rosa*", SLF!$AF:$AF, "&lt;&gt;")</f>
        <v>0</v>
      </c>
      <c r="AB83" s="393">
        <f>COUNTIFS('TRASH TRAP'!$A:$A, "Nueva Ecija", 'TRASH TRAP'!$C:$C, "*rosa*", 'TRASH TRAP'!$W:$W, "&lt;&gt;")</f>
        <v>0</v>
      </c>
      <c r="AC83" s="393">
        <f>COUNTIFS(PDS!$A:$A, "NUEVA ECIJA", PDS!$B:$B, "*SANTA*", PDS!$AD:$AD, "&lt;&gt;")</f>
        <v>0</v>
      </c>
      <c r="AD83" s="393" t="s">
        <v>6373</v>
      </c>
      <c r="AE83" s="393">
        <f>COUNTIFS('TRANSFER STATION'!$A:$A, "*Nueva*", 'TRANSFER STATION'!$B:$B, "*rosa*", 'TRANSFER STATION'!$W:$W, "&lt;&gt;")</f>
        <v>0</v>
      </c>
    </row>
    <row r="84" spans="19:31">
      <c r="S84" s="682"/>
      <c r="T84" s="660" t="s">
        <v>6384</v>
      </c>
      <c r="U84" s="660">
        <f>SUM(U85:U92)</f>
        <v>1</v>
      </c>
      <c r="V84" s="660">
        <f t="shared" ref="V84:AE84" si="162">SUM(V85:V92)</f>
        <v>1</v>
      </c>
      <c r="W84" s="660">
        <f t="shared" si="162"/>
        <v>0</v>
      </c>
      <c r="X84" s="660">
        <f t="shared" si="162"/>
        <v>1</v>
      </c>
      <c r="Y84" s="660">
        <f t="shared" si="162"/>
        <v>0</v>
      </c>
      <c r="Z84" s="660">
        <f>SUM(Z85:Z92)</f>
        <v>10</v>
      </c>
      <c r="AA84" s="660">
        <f t="shared" ref="AA84" si="163">SUM(AA85:AA92)</f>
        <v>0</v>
      </c>
      <c r="AB84" s="660">
        <f t="shared" si="162"/>
        <v>0</v>
      </c>
      <c r="AC84" s="660">
        <f t="shared" si="162"/>
        <v>0</v>
      </c>
      <c r="AD84" s="660">
        <f t="shared" si="162"/>
        <v>0</v>
      </c>
      <c r="AE84" s="660">
        <f t="shared" si="162"/>
        <v>0</v>
      </c>
    </row>
    <row r="85" spans="19:31">
      <c r="S85" s="682"/>
      <c r="T85" s="651" t="s">
        <v>407</v>
      </c>
      <c r="U85" s="393">
        <f>COUNTIFS('10-YEAR SWM PLAN'!$A:$A, "Nueva Ecija", '10-YEAR SWM PLAN'!$B:$B, "*Cabiao*", '10-YEAR SWM PLAN'!$AC:$AC, "&lt;&gt;")</f>
        <v>0</v>
      </c>
      <c r="V85" s="393">
        <f>COUNTIFS('FUNDED MRF'!$A:$A, "Nueva Ecija", 'FUNDED MRF'!$B:$B, "*Cabiao*", 'FUNDED MRF'!$AA:$AA, "&lt;&gt;")</f>
        <v>0</v>
      </c>
      <c r="W85" s="393" t="s">
        <v>6373</v>
      </c>
      <c r="X85" s="393">
        <f>COUNTIFS(EQUIPMENT!$A:$A, "Nueva Ecija", EQUIPMENT!$B:$B, "*cabioa*", EQUIPMENT!$X:$X, "&lt;&gt;")</f>
        <v>0</v>
      </c>
      <c r="Y85" s="393" t="s">
        <v>6373</v>
      </c>
      <c r="Z85" s="393">
        <f>COUNTIFS('TECHNICAL ASSISTANCE TO BRGY.'!$A:$A, "*Nueva*", 'TECHNICAL ASSISTANCE TO BRGY.'!$B:$B, "*cabiao*", 'TECHNICAL ASSISTANCE TO BRGY.'!$T:$T, "&lt;&gt;")</f>
        <v>5</v>
      </c>
      <c r="AA85" s="393">
        <f>COUNTIFS(SLF!$A:$A, "*Nueva*", SLF!$B:$B, "*CABIAO*", SLF!$AF:$AF, "&lt;&gt;")</f>
        <v>0</v>
      </c>
      <c r="AB85" s="393">
        <f>COUNTIFS('TRASH TRAP'!$A:$A, "Nueva Ecija", 'TRASH TRAP'!$C:$C, "*cabia*", 'TRASH TRAP'!$W:$W, "&lt;&gt;")</f>
        <v>0</v>
      </c>
      <c r="AC85" s="393">
        <f>COUNTIFS(PDS!$A:$A, "NUEVA ECIJA", PDS!$B:$B, "*CABIAO*", PDS!$AD:$AD, "&lt;&gt;")</f>
        <v>0</v>
      </c>
      <c r="AD85" s="393" t="s">
        <v>6373</v>
      </c>
      <c r="AE85" s="393">
        <f>COUNTIFS('TRANSFER STATION'!$A:$A, "Nueva Ecija", 'TRANSFER STATION'!$B:$B, "*cabia*", 'TRANSFER STATION'!$W:$W, "&lt;&gt;")</f>
        <v>0</v>
      </c>
    </row>
    <row r="86" spans="19:31">
      <c r="S86" s="682"/>
      <c r="T86" s="651" t="s">
        <v>2958</v>
      </c>
      <c r="U86" s="393">
        <f>COUNTIFS('10-YEAR SWM PLAN'!$A:$A, "Nueva Ecija", '10-YEAR SWM PLAN'!$B:$B, "*Gapan*", '10-YEAR SWM PLAN'!$AC:$AC, "&lt;&gt;")</f>
        <v>0</v>
      </c>
      <c r="V86" s="393">
        <f>COUNTIFS('FUNDED MRF'!$A:$A, "Nueva Ecija", 'FUNDED MRF'!$B:$B, "*Gapan*", 'FUNDED MRF'!$AA:$AA, "&lt;&gt;")</f>
        <v>0</v>
      </c>
      <c r="W86" s="393" t="s">
        <v>6373</v>
      </c>
      <c r="X86" s="393">
        <f>COUNTIFS(EQUIPMENT!$A:$A, "Nueva Ecija", EQUIPMENT!$B:$B, "*gapan*", EQUIPMENT!$X:$X, "&lt;&gt;")</f>
        <v>0</v>
      </c>
      <c r="Y86" s="393" t="s">
        <v>6373</v>
      </c>
      <c r="Z86" s="393">
        <f>COUNTIFS('TECHNICAL ASSISTANCE TO BRGY.'!$A:$A, "*Nueva*", 'TECHNICAL ASSISTANCE TO BRGY.'!$B:$B, "*gapan*", 'TECHNICAL ASSISTANCE TO BRGY.'!$T:$T, "&lt;&gt;")</f>
        <v>1</v>
      </c>
      <c r="AA86" s="393">
        <f>COUNTIFS(SLF!$A:$A, "*Nueva*", SLF!$B:$B, "*GAPAN*", SLF!$AF:$AF, "&lt;&gt;")</f>
        <v>0</v>
      </c>
      <c r="AB86" s="393">
        <f>COUNTIFS('TRASH TRAP'!$A:$A, "Nueva Ecija", 'TRASH TRAP'!$C:$C, "*gapan*", 'TRASH TRAP'!$W:$W, "&lt;&gt;")</f>
        <v>0</v>
      </c>
      <c r="AC86" s="393">
        <f>COUNTIFS(PDS!$A:$A, "NUEVA ECIJA", PDS!$B:$B, "*GAPAN*", PDS!$AD:$AD, "&lt;&gt;")</f>
        <v>0</v>
      </c>
      <c r="AD86" s="393" t="s">
        <v>6373</v>
      </c>
      <c r="AE86" s="393">
        <f>COUNTIFS('TRANSFER STATION'!$A:$A, "Nueva Ecija", 'TRANSFER STATION'!$B:$B, "*gapan*", 'TRANSFER STATION'!$W:$W, "&lt;&gt;")</f>
        <v>0</v>
      </c>
    </row>
    <row r="87" spans="19:31">
      <c r="S87" s="682"/>
      <c r="T87" s="651" t="s">
        <v>345</v>
      </c>
      <c r="U87" s="393">
        <f>COUNTIFS('10-YEAR SWM PLAN'!$A:$A, "Nueva Ecija", '10-YEAR SWM PLAN'!$B:$B, "*Jaen*", '10-YEAR SWM PLAN'!$AC:$AC, "&lt;&gt;")</f>
        <v>0</v>
      </c>
      <c r="V87" s="393">
        <f>COUNTIFS('FUNDED MRF'!$A:$A, "Nueva Ecija", 'FUNDED MRF'!$B:$B, "*Jaen*", 'FUNDED MRF'!$AA:$AA, "&lt;&gt;")</f>
        <v>1</v>
      </c>
      <c r="W87" s="393" t="s">
        <v>6373</v>
      </c>
      <c r="X87" s="393">
        <f>COUNTIFS(EQUIPMENT!$A:$A, "Nueva Ecija", EQUIPMENT!$B:$B, "*jaen*", EQUIPMENT!$X:$X, "&lt;&gt;")</f>
        <v>0</v>
      </c>
      <c r="Y87" s="393" t="s">
        <v>6373</v>
      </c>
      <c r="Z87" s="393">
        <f>COUNTIFS('TECHNICAL ASSISTANCE TO BRGY.'!$A:$A, "*Nueva*", 'TECHNICAL ASSISTANCE TO BRGY.'!$B:$B, "*jaen*", 'TECHNICAL ASSISTANCE TO BRGY.'!$T:$T, "&lt;&gt;")</f>
        <v>0</v>
      </c>
      <c r="AA87" s="393">
        <f>COUNTIFS(SLF!$A:$A, "*Nueva*", SLF!$B:$B, "*JAEN*", SLF!$AF:$AF, "&lt;&gt;")</f>
        <v>0</v>
      </c>
      <c r="AB87" s="393">
        <f>COUNTIFS('TRASH TRAP'!$A:$A, "Nueva Ecija", 'TRASH TRAP'!$C:$C, "*jaen*", 'TRASH TRAP'!$W:$W, "&lt;&gt;")</f>
        <v>0</v>
      </c>
      <c r="AC87" s="393">
        <f>COUNTIFS(PDS!$A:$A, "NUEVA ECIJA", PDS!$B:$B, "*JAEN*", PDS!$AD:$AD, "&lt;&gt;")</f>
        <v>0</v>
      </c>
      <c r="AD87" s="393" t="s">
        <v>6373</v>
      </c>
      <c r="AE87" s="393">
        <f>COUNTIFS('TRANSFER STATION'!$A:$A, "Nueva Ecija", 'TRANSFER STATION'!$B:$B, "*jaen*", 'TRANSFER STATION'!$W:$W, "&lt;&gt;")</f>
        <v>0</v>
      </c>
    </row>
    <row r="88" spans="19:31">
      <c r="S88" s="682"/>
      <c r="T88" s="651" t="s">
        <v>509</v>
      </c>
      <c r="U88" s="393">
        <f>COUNTIFS('10-YEAR SWM PLAN'!$A:$A, "Nueva Ecija", '10-YEAR SWM PLAN'!$B:$B, "*Tinio*", '10-YEAR SWM PLAN'!$AC:$AC, "&lt;&gt;")</f>
        <v>0</v>
      </c>
      <c r="V88" s="393">
        <f>COUNTIFS('FUNDED MRF'!$A:$A, "Nueva Ecija", 'FUNDED MRF'!$B:$B, "*Tinio*", 'FUNDED MRF'!$AA:$AA, "&lt;&gt;")</f>
        <v>0</v>
      </c>
      <c r="W88" s="393" t="s">
        <v>6373</v>
      </c>
      <c r="X88" s="393">
        <f>COUNTIFS(EQUIPMENT!$A:$A, "Nueva Ecija", EQUIPMENT!$B:$B, "*tinio*", EQUIPMENT!$X:$X, "&lt;&gt;")</f>
        <v>0</v>
      </c>
      <c r="Y88" s="393" t="s">
        <v>6373</v>
      </c>
      <c r="Z88" s="393">
        <f>COUNTIFS('TECHNICAL ASSISTANCE TO BRGY.'!$A:$A, "*Nueva*", 'TECHNICAL ASSISTANCE TO BRGY.'!$B:$B, "*tinio*", 'TECHNICAL ASSISTANCE TO BRGY.'!$T:$T, "&lt;&gt;")</f>
        <v>2</v>
      </c>
      <c r="AA88" s="393">
        <f>COUNTIFS(SLF!$A:$A, "*Nueva*", SLF!$B:$B, "*TINIO*", SLF!$AF:$AF, "&lt;&gt;")</f>
        <v>0</v>
      </c>
      <c r="AB88" s="393">
        <f>COUNTIFS('TRASH TRAP'!$A:$A, "Nueva Ecija", 'TRASH TRAP'!$C:$C, "*tinio*", 'TRASH TRAP'!$W:$W, "&lt;&gt;")</f>
        <v>0</v>
      </c>
      <c r="AC88" s="393">
        <f>COUNTIFS(PDS!$A:$A, "NUEVA ECIJA", PDS!$B:$B, "*TINIO*", PDS!$AD:$AD, "&lt;&gt;")</f>
        <v>0</v>
      </c>
      <c r="AD88" s="393" t="s">
        <v>6373</v>
      </c>
      <c r="AE88" s="393">
        <f>COUNTIFS('TRANSFER STATION'!$A:$A, "Nueva Ecija", 'TRANSFER STATION'!$B:$B, "*tinio*", 'TRANSFER STATION'!$W:$W, "&lt;&gt;")</f>
        <v>0</v>
      </c>
    </row>
    <row r="89" spans="19:31">
      <c r="S89" s="682"/>
      <c r="T89" s="651" t="s">
        <v>979</v>
      </c>
      <c r="U89" s="393">
        <f>COUNTIFS('10-YEAR SWM PLAN'!$A:$A, "Nueva Ecija", '10-YEAR SWM PLAN'!$B:$B, "*Penaranda*", '10-YEAR SWM PLAN'!$AC:$AC, "&lt;&gt;")</f>
        <v>0</v>
      </c>
      <c r="V89" s="393">
        <f>COUNTIFS('FUNDED MRF'!$A:$A, "Nueva Ecija", 'FUNDED MRF'!$B:$B, "*Penaranda*", 'FUNDED MRF'!$AA:$AA, "&lt;&gt;")</f>
        <v>0</v>
      </c>
      <c r="W89" s="393" t="s">
        <v>6373</v>
      </c>
      <c r="X89" s="393">
        <f>COUNTIFS(EQUIPMENT!$A:$A, "Nueva Ecija", EQUIPMENT!$B:$B, "*penara*", EQUIPMENT!$X:$X, "&lt;&gt;")</f>
        <v>1</v>
      </c>
      <c r="Y89" s="393" t="s">
        <v>6373</v>
      </c>
      <c r="Z89" s="393">
        <f>COUNTIFS('TECHNICAL ASSISTANCE TO BRGY.'!$A:$A, "*Nueva*", 'TECHNICAL ASSISTANCE TO BRGY.'!$B:$B, "*penaranda*", 'TECHNICAL ASSISTANCE TO BRGY.'!$T:$T, "&lt;&gt;")</f>
        <v>2</v>
      </c>
      <c r="AA89" s="393">
        <f>COUNTIFS(SLF!$A:$A, "*Nueva*", SLF!$B:$B, "*PENARANDA*", SLF!$AF:$AF, "&lt;&gt;")</f>
        <v>0</v>
      </c>
      <c r="AB89" s="393">
        <f>COUNTIFS('TRASH TRAP'!$A:$A, "Nueva Ecija", 'TRASH TRAP'!$C:$C, "*penar*", 'TRASH TRAP'!$W:$W, "&lt;&gt;")</f>
        <v>0</v>
      </c>
      <c r="AC89" s="393">
        <f>COUNTIFS(PDS!$A:$A, "NUEVA ECIJA", PDS!$B:$B, "*PENARANDA*", PDS!$AD:$AD, "&lt;&gt;")</f>
        <v>0</v>
      </c>
      <c r="AD89" s="393" t="s">
        <v>6373</v>
      </c>
      <c r="AE89" s="393">
        <f>COUNTIFS('TRANSFER STATION'!$A:$A, "Nueva Ecija", 'TRANSFER STATION'!$B:$B, "*penar*", 'TRANSFER STATION'!$W:$W, "&lt;&gt;")</f>
        <v>0</v>
      </c>
    </row>
    <row r="90" spans="19:31">
      <c r="S90" s="682"/>
      <c r="T90" s="651" t="s">
        <v>714</v>
      </c>
      <c r="U90" s="393">
        <f>COUNTIFS('10-YEAR SWM PLAN'!$A:$A, "Nueva Ecija", '10-YEAR SWM PLAN'!$B:$B, "*San Antonio*", '10-YEAR SWM PLAN'!$AC:$AC, "&lt;&gt;")</f>
        <v>1</v>
      </c>
      <c r="V90" s="393">
        <f>COUNTIFS('FUNDED MRF'!$A:$A, "Nueva Ecija", 'FUNDED MRF'!$B:$B, "*San Antonio*", 'FUNDED MRF'!$AA:$AA, "&lt;&gt;")</f>
        <v>0</v>
      </c>
      <c r="W90" s="393" t="s">
        <v>6373</v>
      </c>
      <c r="X90" s="393">
        <f>COUNTIFS(EQUIPMENT!$A:$A, "Nueva Ecija", EQUIPMENT!$B:$B, "*antonio*", EQUIPMENT!$X:$X, "&lt;&gt;")</f>
        <v>0</v>
      </c>
      <c r="Y90" s="393" t="s">
        <v>6373</v>
      </c>
      <c r="Z90" s="393">
        <f>COUNTIFS('TECHNICAL ASSISTANCE TO BRGY.'!$A:$A, "*Nueva*", 'TECHNICAL ASSISTANCE TO BRGY.'!$B:$B, "*antonio*", 'TECHNICAL ASSISTANCE TO BRGY.'!$T:$T, "&lt;&gt;")</f>
        <v>0</v>
      </c>
      <c r="AA90" s="393">
        <f>COUNTIFS(SLF!$A:$A, "*Nueva*", SLF!$B:$B, "*ANTONIO*", SLF!$AF:$AF, "&lt;&gt;")</f>
        <v>0</v>
      </c>
      <c r="AB90" s="393">
        <f>COUNTIFS('TRASH TRAP'!$A:$A, "Nueva Ecija", 'TRASH TRAP'!$C:$C, "*antonio*", 'TRASH TRAP'!$W:$W, "&lt;&gt;")</f>
        <v>0</v>
      </c>
      <c r="AC90" s="393">
        <f>COUNTIFS(PDS!$A:$A, "NUEVA ECIJA", PDS!$B:$B, "*SAN ANTONIO*", PDS!$AD:$AD, "&lt;&gt;")</f>
        <v>0</v>
      </c>
      <c r="AD90" s="393" t="s">
        <v>6373</v>
      </c>
      <c r="AE90" s="393">
        <f>COUNTIFS('TRANSFER STATION'!$A:$A, "Nueva Ecija", 'TRANSFER STATION'!$B:$B, "*antonio*", 'TRANSFER STATION'!$W:$W, "&lt;&gt;")</f>
        <v>0</v>
      </c>
    </row>
    <row r="91" spans="19:31">
      <c r="S91" s="682"/>
      <c r="T91" s="651" t="s">
        <v>520</v>
      </c>
      <c r="U91" s="393">
        <f>COUNTIFS('10-YEAR SWM PLAN'!$A:$A, "Nueva Ecija", '10-YEAR SWM PLAN'!$B:$B, "*San Isidro*", '10-YEAR SWM PLAN'!$AC:$AC, "&lt;&gt;")</f>
        <v>0</v>
      </c>
      <c r="V91" s="393">
        <f>COUNTIFS('FUNDED MRF'!$A:$A, "Nueva Ecija", 'FUNDED MRF'!$B:$B, "*San Isidro*", 'FUNDED MRF'!$AA:$AA, "&lt;&gt;")</f>
        <v>0</v>
      </c>
      <c r="W91" s="393" t="s">
        <v>6373</v>
      </c>
      <c r="X91" s="393">
        <f>COUNTIFS(EQUIPMENT!$A:$A, "Nueva Ecija", EQUIPMENT!$B:$B, "*isidro*", EQUIPMENT!$X:$X, "&lt;&gt;")</f>
        <v>0</v>
      </c>
      <c r="Y91" s="393" t="s">
        <v>6373</v>
      </c>
      <c r="Z91" s="393">
        <f>COUNTIFS('TECHNICAL ASSISTANCE TO BRGY.'!$A:$A, "*Nueva*", 'TECHNICAL ASSISTANCE TO BRGY.'!$B:$B, "*isidro*", 'TECHNICAL ASSISTANCE TO BRGY.'!$T:$T, "&lt;&gt;")</f>
        <v>0</v>
      </c>
      <c r="AA91" s="393">
        <f>COUNTIFS(SLF!$A:$A, "*Nueva*", SLF!$B:$B, "*ISIDRO*", SLF!$AF:$AF, "&lt;&gt;")</f>
        <v>0</v>
      </c>
      <c r="AB91" s="393">
        <f>COUNTIFS('TRASH TRAP'!$A:$A, "Nueva Ecija", 'TRASH TRAP'!$C:$C, "*isidro*", 'TRASH TRAP'!$W:$W, "&lt;&gt;")</f>
        <v>0</v>
      </c>
      <c r="AC91" s="393">
        <f>COUNTIFS(PDS!$A:$A, "NUEVA ECIJA", PDS!$B:$B, "*SAN ISIDRO*", PDS!$AD:$AD, "&lt;&gt;")</f>
        <v>0</v>
      </c>
      <c r="AD91" s="393" t="s">
        <v>6373</v>
      </c>
      <c r="AE91" s="393">
        <f>COUNTIFS('TRANSFER STATION'!$A:$A, "Nueva Ecija", 'TRANSFER STATION'!$B:$B, "*isidro*", 'TRANSFER STATION'!$W:$W, "&lt;&gt;")</f>
        <v>0</v>
      </c>
    </row>
    <row r="92" spans="19:31">
      <c r="S92" s="683"/>
      <c r="T92" s="651" t="s">
        <v>522</v>
      </c>
      <c r="U92" s="393">
        <f>COUNTIFS('10-YEAR SWM PLAN'!$A:$A, "Nueva Ecija", '10-YEAR SWM PLAN'!$B:$B, "*San Leonardo*", '10-YEAR SWM PLAN'!$AC:$AC, "&lt;&gt;")</f>
        <v>0</v>
      </c>
      <c r="V92" s="393">
        <f>COUNTIFS('FUNDED MRF'!$A:$A, "Nueva Ecija", 'FUNDED MRF'!$B:$B, "*San Leonardo*", 'FUNDED MRF'!$AA:$AA, "&lt;&gt;")</f>
        <v>0</v>
      </c>
      <c r="W92" s="393" t="s">
        <v>6373</v>
      </c>
      <c r="X92" s="393">
        <f>COUNTIFS(EQUIPMENT!$A:$A, "Nueva Ecija", EQUIPMENT!$B:$B, "*leonardo*", EQUIPMENT!$X:$X, "&lt;&gt;")</f>
        <v>0</v>
      </c>
      <c r="Y92" s="393" t="s">
        <v>6373</v>
      </c>
      <c r="Z92" s="393">
        <f>COUNTIFS('TECHNICAL ASSISTANCE TO BRGY.'!$A:$A, "*Nueva*", 'TECHNICAL ASSISTANCE TO BRGY.'!$B:$B, "*leonardo*", 'TECHNICAL ASSISTANCE TO BRGY.'!$T:$T, "&lt;&gt;")</f>
        <v>0</v>
      </c>
      <c r="AA92" s="393">
        <f>COUNTIFS(SLF!$A:$A, "*Nueva*", SLF!$B:$B, "*LEONARD*", SLF!$AF:$AF, "&lt;&gt;")</f>
        <v>0</v>
      </c>
      <c r="AB92" s="393">
        <f>COUNTIFS('TRASH TRAP'!$A:$A, "Nueva Ecija", 'TRASH TRAP'!$C:$C, "*leonardo*", 'TRASH TRAP'!$W:$W, "&lt;&gt;")</f>
        <v>0</v>
      </c>
      <c r="AC92" s="393">
        <f>COUNTIFS(PDS!$A:$A, "NUEVA ECIJA", PDS!$B:$B, "*SAN LEONARDO*", PDS!$AD:$AD, "&lt;&gt;")</f>
        <v>0</v>
      </c>
      <c r="AD92" s="393" t="s">
        <v>6373</v>
      </c>
      <c r="AE92" s="393">
        <f>COUNTIFS('TRANSFER STATION'!$A:$A, "Nueva Ecija", 'TRANSFER STATION'!$B:$B, "*leonardo*", 'TRANSFER STATION'!$W:$W, "&lt;&gt;")</f>
        <v>0</v>
      </c>
    </row>
    <row r="93" spans="19:31">
      <c r="S93" s="681" t="s">
        <v>51</v>
      </c>
      <c r="T93" s="660" t="s">
        <v>6378</v>
      </c>
      <c r="U93" s="660">
        <f>SUM(U94:U96)</f>
        <v>1</v>
      </c>
      <c r="V93" s="660">
        <f t="shared" ref="V93:AE93" si="164">SUM(V94:V96)</f>
        <v>0</v>
      </c>
      <c r="W93" s="660">
        <f t="shared" si="164"/>
        <v>0</v>
      </c>
      <c r="X93" s="660">
        <f t="shared" si="164"/>
        <v>0</v>
      </c>
      <c r="Y93" s="660">
        <f t="shared" si="164"/>
        <v>0</v>
      </c>
      <c r="Z93" s="660">
        <f t="shared" si="164"/>
        <v>13</v>
      </c>
      <c r="AA93" s="660">
        <f t="shared" ref="AA93" si="165">SUM(AA94:AA96)</f>
        <v>0</v>
      </c>
      <c r="AB93" s="660">
        <f t="shared" si="164"/>
        <v>0</v>
      </c>
      <c r="AC93" s="660">
        <f t="shared" si="164"/>
        <v>0</v>
      </c>
      <c r="AD93" s="660">
        <f t="shared" si="164"/>
        <v>0</v>
      </c>
      <c r="AE93" s="660">
        <f t="shared" si="164"/>
        <v>0</v>
      </c>
    </row>
    <row r="94" spans="19:31">
      <c r="S94" s="682"/>
      <c r="T94" s="651" t="s">
        <v>1364</v>
      </c>
      <c r="U94" s="393">
        <f>COUNTIFS('10-YEAR SWM PLAN'!$A:$A, "Pampanga", '10-YEAR SWM PLAN'!$B:$B, "*Angeles*", '10-YEAR SWM PLAN'!$AC:$AC, "&lt;&gt;")</f>
        <v>1</v>
      </c>
      <c r="V94" s="393">
        <f>COUNTIFS('FUNDED MRF'!$A:$A, "Pampanga", 'FUNDED MRF'!$B:$B, "*Angeles*", 'FUNDED MRF'!$AA:$AA, "&lt;&gt;")</f>
        <v>0</v>
      </c>
      <c r="W94" s="393" t="s">
        <v>6373</v>
      </c>
      <c r="X94" s="393">
        <f>COUNTIFS(EQUIPMENT!$A:$A, "Pampanga", EQUIPMENT!$B:$B, "*angeles*", EQUIPMENT!$X:$X, "&lt;&gt;")</f>
        <v>0</v>
      </c>
      <c r="Y94" s="393" t="s">
        <v>6373</v>
      </c>
      <c r="Z94" s="393">
        <f>COUNTIFS('TECHNICAL ASSISTANCE TO BRGY.'!$A:$A, "Pampanga", 'TECHNICAL ASSISTANCE TO BRGY.'!$B:$B, "*angeles*", 'TECHNICAL ASSISTANCE TO BRGY.'!$T:$T, "&lt;&gt;")</f>
        <v>8</v>
      </c>
      <c r="AA94" s="393" t="s">
        <v>6373</v>
      </c>
      <c r="AB94" s="393">
        <f>COUNTIFS('TRASH TRAP'!$A:$A, "Pampanga", 'TRASH TRAP'!$C:$C, "*angeles*", 'TRASH TRAP'!$W:$W, "&lt;&gt;")</f>
        <v>0</v>
      </c>
      <c r="AC94" s="393">
        <f>COUNTIFS(PDS!$A:$A, "*PAMPANGA*", PDS!$B:$B, "*ANGELES*", PDS!$AD:$AD, "&lt;&gt;")</f>
        <v>0</v>
      </c>
      <c r="AD94" s="393" t="s">
        <v>6373</v>
      </c>
      <c r="AE94" s="393">
        <f>COUNTIFS('TRANSFER STATION'!$A:$A, "Pampanga", 'TRANSFER STATION'!$B:$B, "*angeles*", 'TRANSFER STATION'!$W:$W, "&lt;&gt;")</f>
        <v>0</v>
      </c>
    </row>
    <row r="95" spans="19:31">
      <c r="S95" s="682"/>
      <c r="T95" s="651" t="s">
        <v>534</v>
      </c>
      <c r="U95" s="393">
        <f>COUNTIFS('10-YEAR SWM PLAN'!$A:$A, "Pampanga", '10-YEAR SWM PLAN'!$B:$B, "*Mabalacat*", '10-YEAR SWM PLAN'!$AC:$AC, "&lt;&gt;")</f>
        <v>0</v>
      </c>
      <c r="V95" s="393">
        <f>COUNTIFS('FUNDED MRF'!$A:$A, "Pampanga", 'FUNDED MRF'!$B:$B, "*Mabalacat*", 'FUNDED MRF'!$AA:$AA, "&lt;&gt;")</f>
        <v>0</v>
      </c>
      <c r="W95" s="393" t="s">
        <v>6373</v>
      </c>
      <c r="X95" s="393">
        <f>COUNTIFS(EQUIPMENT!$A:$A, "Pampanga", EQUIPMENT!$B:$B, "*mabalacat*", EQUIPMENT!$X:$X, "&lt;&gt;")</f>
        <v>0</v>
      </c>
      <c r="Y95" s="393" t="s">
        <v>6373</v>
      </c>
      <c r="Z95" s="393">
        <f>COUNTIFS('TECHNICAL ASSISTANCE TO BRGY.'!$A:$A, "Pampanga", 'TECHNICAL ASSISTANCE TO BRGY.'!$B:$B, "*mabalacat*", 'TECHNICAL ASSISTANCE TO BRGY.'!$T:$T, "&lt;&gt;")</f>
        <v>5</v>
      </c>
      <c r="AA95" s="393" t="s">
        <v>6373</v>
      </c>
      <c r="AB95" s="393">
        <f>COUNTIFS('TRASH TRAP'!$A:$A, "Pampanga", 'TRASH TRAP'!$C:$C, "*mabala*", 'TRASH TRAP'!$W:$W, "&lt;&gt;")</f>
        <v>0</v>
      </c>
      <c r="AC95" s="393">
        <f>COUNTIFS(PDS!$A:$A, "*PAMPANGA*", PDS!$B:$B, "*MABALACAT*", PDS!$AD:$AD, "&lt;&gt;")</f>
        <v>0</v>
      </c>
      <c r="AD95" s="393" t="s">
        <v>6373</v>
      </c>
      <c r="AE95" s="393">
        <f>COUNTIFS('TRANSFER STATION'!$A:$A, "Pampanga", 'TRANSFER STATION'!$B:$B, "*mabala*", 'TRANSFER STATION'!$W:$W, "&lt;&gt;")</f>
        <v>0</v>
      </c>
    </row>
    <row r="96" spans="19:31">
      <c r="S96" s="682"/>
      <c r="T96" s="651" t="s">
        <v>535</v>
      </c>
      <c r="U96" s="393">
        <f>COUNTIFS('10-YEAR SWM PLAN'!$A:$A, "Pampanga", '10-YEAR SWM PLAN'!$B:$B, "*Magalang*", '10-YEAR SWM PLAN'!$AC:$AC, "&lt;&gt;")</f>
        <v>0</v>
      </c>
      <c r="V96" s="393">
        <f>COUNTIFS('FUNDED MRF'!$A:$A, "Pampanga", 'FUNDED MRF'!$B:$B, "*magalang*", 'FUNDED MRF'!$AA:$AA, "&lt;&gt;")</f>
        <v>0</v>
      </c>
      <c r="W96" s="393" t="s">
        <v>6373</v>
      </c>
      <c r="X96" s="393">
        <f>COUNTIFS(EQUIPMENT!$A:$A, "Pampanga", EQUIPMENT!$B:$B, "*magalang*", EQUIPMENT!$X:$X, "&lt;&gt;")</f>
        <v>0</v>
      </c>
      <c r="Y96" s="393" t="s">
        <v>6373</v>
      </c>
      <c r="Z96" s="393">
        <f>COUNTIFS('TECHNICAL ASSISTANCE TO BRGY.'!$A:$A, "Pampanga", 'TECHNICAL ASSISTANCE TO BRGY.'!$B:$B, "*magalang*", 'TECHNICAL ASSISTANCE TO BRGY.'!$T:$T, "&lt;&gt;")</f>
        <v>0</v>
      </c>
      <c r="AA96" s="393" t="s">
        <v>6373</v>
      </c>
      <c r="AB96" s="393">
        <f>COUNTIFS('TRASH TRAP'!$A:$A, "Pampanga", 'TRASH TRAP'!$C:$C, "*magala*", 'TRASH TRAP'!$W:$W, "&lt;&gt;")</f>
        <v>0</v>
      </c>
      <c r="AC96" s="393">
        <f>COUNTIFS(PDS!$A:$A, "*PAMPANGA*", PDS!$B:$B, "*MAGALANG*", PDS!$AD:$AD, "&lt;&gt;")</f>
        <v>0</v>
      </c>
      <c r="AD96" s="393" t="s">
        <v>6373</v>
      </c>
      <c r="AE96" s="393">
        <f>COUNTIFS('TRANSFER STATION'!$A:$A, "Pampanga", 'TRANSFER STATION'!$B:$B, "*maga*", 'TRANSFER STATION'!$W:$W, "&lt;&gt;")</f>
        <v>0</v>
      </c>
    </row>
    <row r="97" spans="19:31">
      <c r="S97" s="682"/>
      <c r="T97" s="660" t="s">
        <v>6379</v>
      </c>
      <c r="U97" s="660">
        <f>SUM(U98:U103)</f>
        <v>0</v>
      </c>
      <c r="V97" s="660">
        <f t="shared" ref="V97:AE97" si="166">SUM(V98:V103)</f>
        <v>0</v>
      </c>
      <c r="W97" s="660">
        <f t="shared" si="166"/>
        <v>0</v>
      </c>
      <c r="X97" s="660">
        <f t="shared" si="166"/>
        <v>0</v>
      </c>
      <c r="Y97" s="660">
        <f t="shared" si="166"/>
        <v>0</v>
      </c>
      <c r="Z97" s="660">
        <f t="shared" si="166"/>
        <v>11</v>
      </c>
      <c r="AA97" s="660">
        <f t="shared" ref="AA97" si="167">SUM(AA98:AA103)</f>
        <v>0</v>
      </c>
      <c r="AB97" s="660">
        <f t="shared" si="166"/>
        <v>0</v>
      </c>
      <c r="AC97" s="660">
        <f t="shared" si="166"/>
        <v>0</v>
      </c>
      <c r="AD97" s="660">
        <f t="shared" si="166"/>
        <v>0</v>
      </c>
      <c r="AE97" s="660">
        <f t="shared" si="166"/>
        <v>0</v>
      </c>
    </row>
    <row r="98" spans="19:31">
      <c r="S98" s="682"/>
      <c r="T98" s="651" t="s">
        <v>448</v>
      </c>
      <c r="U98" s="393">
        <f>COUNTIFS('10-YEAR SWM PLAN'!$A:$A, "Pampanga", '10-YEAR SWM PLAN'!$B:$B, "*Floridablanca*", '10-YEAR SWM PLAN'!$AC:$AC, "&lt;&gt;")</f>
        <v>0</v>
      </c>
      <c r="V98" s="393">
        <f>COUNTIFS('FUNDED MRF'!$A:$A, "Pampanga", 'FUNDED MRF'!$B:$B, "*Floridablanca*", 'FUNDED MRF'!$AA:$AA, "&lt;&gt;")</f>
        <v>0</v>
      </c>
      <c r="W98" s="393">
        <f>COUNTIFS(SLF!$A:$A, "*pampanga*", SLF!$B:$B, "*flori*", SLF!$AF:$AF, "&lt;&gt;")</f>
        <v>0</v>
      </c>
      <c r="X98" s="393">
        <f>COUNTIFS(EQUIPMENT!$A:$A, "Pampanga", EQUIPMENT!$B:$B, "*florida*", EQUIPMENT!$X:$X, "&lt;&gt;")</f>
        <v>0</v>
      </c>
      <c r="Y98" s="393" t="s">
        <v>6373</v>
      </c>
      <c r="Z98" s="393">
        <f>COUNTIFS('TECHNICAL ASSISTANCE TO BRGY.'!$A:$A, "Pampanga", 'TECHNICAL ASSISTANCE TO BRGY.'!$B:$B, "*florida*", 'TECHNICAL ASSISTANCE TO BRGY.'!$T:$T, "&lt;&gt;")</f>
        <v>1</v>
      </c>
      <c r="AA98" s="393">
        <f>COUNTIFS(SLF!$A:$A, "*pampanga*", SLF!$B:$B, "*flori*", SLF!$AF:$AF, "&lt;&gt;")</f>
        <v>0</v>
      </c>
      <c r="AB98" s="393">
        <f>COUNTIFS('TRASH TRAP'!$A:$A, "Pampanga", 'TRASH TRAP'!$C:$C, "*florida*", 'TRASH TRAP'!$W:$W, "&lt;&gt;")</f>
        <v>0</v>
      </c>
      <c r="AC98" s="393">
        <f>COUNTIFS(PDS!$A:$A, "*PAMPANGA*", PDS!$B:$B, "*FLORIDABLANCA*", PDS!$AD:$AD, "&lt;&gt;")</f>
        <v>0</v>
      </c>
      <c r="AD98" s="393" t="s">
        <v>6373</v>
      </c>
      <c r="AE98" s="393" t="s">
        <v>6373</v>
      </c>
    </row>
    <row r="99" spans="19:31">
      <c r="S99" s="682"/>
      <c r="T99" s="651" t="s">
        <v>354</v>
      </c>
      <c r="U99" s="393">
        <f>COUNTIFS('10-YEAR SWM PLAN'!$A:$A, "Pampanga", '10-YEAR SWM PLAN'!$B:$B, "*Guagua*", '10-YEAR SWM PLAN'!$AC:$AC, "&lt;&gt;")</f>
        <v>0</v>
      </c>
      <c r="V99" s="393">
        <f>COUNTIFS('FUNDED MRF'!$A:$A, "Pampanga", 'FUNDED MRF'!$B:$B, "*Guagua*", 'FUNDED MRF'!$AA:$AA, "&lt;&gt;")</f>
        <v>0</v>
      </c>
      <c r="W99" s="393">
        <f>COUNTIFS(SLF!$A:$A, "*pampanga*", SLF!$B:$B, "*guagua*", SLF!$AF:$AF, "&lt;&gt;")</f>
        <v>0</v>
      </c>
      <c r="X99" s="393">
        <f>COUNTIFS(EQUIPMENT!$A:$A, "Pampanga", EQUIPMENT!$B:$B, "*guagua*", EQUIPMENT!$X:$X, "&lt;&gt;")</f>
        <v>0</v>
      </c>
      <c r="Y99" s="393" t="s">
        <v>6373</v>
      </c>
      <c r="Z99" s="393">
        <f>COUNTIFS('TECHNICAL ASSISTANCE TO BRGY.'!$A:$A, "Pampanga", 'TECHNICAL ASSISTANCE TO BRGY.'!$B:$B, "*guagua*", 'TECHNICAL ASSISTANCE TO BRGY.'!$T:$T, "&lt;&gt;")</f>
        <v>6</v>
      </c>
      <c r="AA99" s="393">
        <f>COUNTIFS(SLF!$A:$A, "*pampanga*", SLF!$B:$B, "*guagua*", SLF!$AF:$AF, "&lt;&gt;")</f>
        <v>0</v>
      </c>
      <c r="AB99" s="393">
        <f>COUNTIFS('TRASH TRAP'!$A:$A, "Pampanga", 'TRASH TRAP'!$C:$C, "*guagua*", 'TRASH TRAP'!$W:$W, "&lt;&gt;")</f>
        <v>0</v>
      </c>
      <c r="AC99" s="393">
        <f>COUNTIFS(PDS!$A:$A, "*PAMPANGA*", PDS!$B:$B, "*GUAGUA*", PDS!$AD:$AD, "&lt;&gt;")</f>
        <v>0</v>
      </c>
      <c r="AD99" s="393" t="s">
        <v>6373</v>
      </c>
      <c r="AE99" s="393" t="s">
        <v>6373</v>
      </c>
    </row>
    <row r="100" spans="19:31">
      <c r="S100" s="682"/>
      <c r="T100" s="651" t="s">
        <v>532</v>
      </c>
      <c r="U100" s="393">
        <f>COUNTIFS('10-YEAR SWM PLAN'!$A:$A, "Pampanga", '10-YEAR SWM PLAN'!$B:$B, "*Lubao*", '10-YEAR SWM PLAN'!$AC:$AC, "&lt;&gt;")</f>
        <v>0</v>
      </c>
      <c r="V100" s="393">
        <f>COUNTIFS('FUNDED MRF'!$A:$A, "Pampanga", 'FUNDED MRF'!$B:$B, "*Lubao*", 'FUNDED MRF'!$AA:$AA, "&lt;&gt;")</f>
        <v>0</v>
      </c>
      <c r="W100" s="393">
        <f>COUNTIFS(SLF!$A:$A, "*pampanga*", SLF!$B:$B, "*lubao*", SLF!$AF:$AF, "&lt;&gt;")</f>
        <v>0</v>
      </c>
      <c r="X100" s="393">
        <f>COUNTIFS(EQUIPMENT!$A:$A, "Pampanga", EQUIPMENT!$B:$B, "*lubao*", EQUIPMENT!$X:$X, "&lt;&gt;")</f>
        <v>0</v>
      </c>
      <c r="Y100" s="393" t="s">
        <v>6373</v>
      </c>
      <c r="Z100" s="393">
        <f>COUNTIFS('TECHNICAL ASSISTANCE TO BRGY.'!$A:$A, "Pampanga", 'TECHNICAL ASSISTANCE TO BRGY.'!$B:$B, "*lubao*", 'TECHNICAL ASSISTANCE TO BRGY.'!$T:$T, "&lt;&gt;")</f>
        <v>3</v>
      </c>
      <c r="AA100" s="393">
        <f>COUNTIFS(SLF!$A:$A, "*pampanga*", SLF!$B:$B, "*lubao*", SLF!$AF:$AF, "&lt;&gt;")</f>
        <v>0</v>
      </c>
      <c r="AB100" s="393">
        <f>COUNTIFS('TRASH TRAP'!$A:$A, "Pampanga", 'TRASH TRAP'!$C:$C, "*lubao*", 'TRASH TRAP'!$W:$W, "&lt;&gt;")</f>
        <v>0</v>
      </c>
      <c r="AC100" s="393">
        <f>COUNTIFS(PDS!$A:$A, "*PAMPANGA*", PDS!$B:$B, "*LUBAO*", PDS!$AD:$AD, "&lt;&gt;")</f>
        <v>0</v>
      </c>
      <c r="AD100" s="393" t="s">
        <v>6373</v>
      </c>
      <c r="AE100" s="393" t="s">
        <v>6373</v>
      </c>
    </row>
    <row r="101" spans="19:31">
      <c r="S101" s="682"/>
      <c r="T101" s="651" t="s">
        <v>416</v>
      </c>
      <c r="U101" s="393">
        <f>COUNTIFS('10-YEAR SWM PLAN'!$A:$A, "Pampanga", '10-YEAR SWM PLAN'!$B:$B, "*Porac*", '10-YEAR SWM PLAN'!$AC:$AC, "&lt;&gt;")</f>
        <v>0</v>
      </c>
      <c r="V101" s="393">
        <f>COUNTIFS('FUNDED MRF'!$A:$A, "Pampanga", 'FUNDED MRF'!$B:$B, "*Porac*", 'FUNDED MRF'!$AA:$AA, "&lt;&gt;")</f>
        <v>0</v>
      </c>
      <c r="W101" s="393">
        <f>COUNTIFS(SLF!$A:$A, "*pampanga*", SLF!$B:$B, "*porac*", SLF!$AF:$AF, "&lt;&gt;")</f>
        <v>0</v>
      </c>
      <c r="X101" s="393">
        <f>COUNTIFS(EQUIPMENT!$A:$A, "Pampanga", EQUIPMENT!$B:$B, "*porac*", EQUIPMENT!$X:$X, "&lt;&gt;")</f>
        <v>0</v>
      </c>
      <c r="Y101" s="393" t="s">
        <v>6373</v>
      </c>
      <c r="Z101" s="393">
        <f>COUNTIFS('TECHNICAL ASSISTANCE TO BRGY.'!$A:$A, "Pampanga", 'TECHNICAL ASSISTANCE TO BRGY.'!$B:$B, "*porac*", 'TECHNICAL ASSISTANCE TO BRGY.'!$T:$T, "&lt;&gt;")</f>
        <v>0</v>
      </c>
      <c r="AA101" s="393">
        <f>COUNTIFS(SLF!$A:$A, "*pampanga*", SLF!$B:$B, "*porac*", SLF!$AF:$AF, "&lt;&gt;")</f>
        <v>0</v>
      </c>
      <c r="AB101" s="393">
        <f>COUNTIFS('TRASH TRAP'!$A:$A, "Pampanga", 'TRASH TRAP'!$C:$C, "*porac*", 'TRASH TRAP'!$W:$W, "&lt;&gt;")</f>
        <v>0</v>
      </c>
      <c r="AC101" s="393">
        <f>COUNTIFS(PDS!$A:$A, "*PAMPANGA*", PDS!$B:$B, "*PORAC*", PDS!$AD:$AD, "&lt;&gt;")</f>
        <v>0</v>
      </c>
      <c r="AD101" s="393" t="s">
        <v>6373</v>
      </c>
      <c r="AE101" s="393" t="s">
        <v>6373</v>
      </c>
    </row>
    <row r="102" spans="19:31">
      <c r="S102" s="682"/>
      <c r="T102" s="651" t="s">
        <v>791</v>
      </c>
      <c r="U102" s="393">
        <f>COUNTIFS('10-YEAR SWM PLAN'!$A:$A, "Pampanga", '10-YEAR SWM PLAN'!$B:$B, "*Rita*", '10-YEAR SWM PLAN'!$AC:$AC, "&lt;&gt;")</f>
        <v>0</v>
      </c>
      <c r="V102" s="393">
        <f>COUNTIFS('FUNDED MRF'!$A:$A, "Pampanga", 'FUNDED MRF'!$B:$B, "*Rita*", 'FUNDED MRF'!$AA:$AA, "&lt;&gt;")</f>
        <v>0</v>
      </c>
      <c r="W102" s="393">
        <f>COUNTIFS(SLF!$A:$A, "*pampanga*", SLF!$B:$B, "*rita*", SLF!$AF:$AF, "&lt;&gt;")</f>
        <v>0</v>
      </c>
      <c r="X102" s="393">
        <f>COUNTIFS(EQUIPMENT!$A:$A, "Pampanga", EQUIPMENT!$B:$B, "*rita*", EQUIPMENT!$X:$X, "&lt;&gt;")</f>
        <v>0</v>
      </c>
      <c r="Y102" s="393" t="s">
        <v>6373</v>
      </c>
      <c r="Z102" s="393">
        <f>COUNTIFS('TECHNICAL ASSISTANCE TO BRGY.'!$A:$A, "Pampanga", 'TECHNICAL ASSISTANCE TO BRGY.'!$B:$B, "*rita*", 'TECHNICAL ASSISTANCE TO BRGY.'!$T:$T, "&lt;&gt;")</f>
        <v>0</v>
      </c>
      <c r="AA102" s="393">
        <f>COUNTIFS(SLF!$A:$A, "*pampanga*", SLF!$B:$B, "*rita*", SLF!$AF:$AF, "&lt;&gt;")</f>
        <v>0</v>
      </c>
      <c r="AB102" s="393">
        <f>COUNTIFS('TRASH TRAP'!$A:$A, "Pampanga", 'TRASH TRAP'!$C:$C, "*rita*", 'TRASH TRAP'!$W:$W, "&lt;&gt;")</f>
        <v>0</v>
      </c>
      <c r="AC102" s="393">
        <f>COUNTIFS(PDS!$A:$A, "*PAMPANGA*", PDS!$B:$B, "*RITA*", PDS!$AD:$AD, "&lt;&gt;")</f>
        <v>0</v>
      </c>
      <c r="AD102" s="393" t="s">
        <v>6373</v>
      </c>
      <c r="AE102" s="393" t="s">
        <v>6373</v>
      </c>
    </row>
    <row r="103" spans="19:31">
      <c r="S103" s="682"/>
      <c r="T103" s="651" t="s">
        <v>394</v>
      </c>
      <c r="U103" s="393">
        <f>COUNTIFS('10-YEAR SWM PLAN'!$A:$A, "Pampanga", '10-YEAR SWM PLAN'!$B:$B, "*Sasmuan*", '10-YEAR SWM PLAN'!$AC:$AC, "&lt;&gt;")</f>
        <v>0</v>
      </c>
      <c r="V103" s="393">
        <f>COUNTIFS('FUNDED MRF'!$A:$A, "Pampanga", 'FUNDED MRF'!$B:$B, "*Sasmuan*", 'FUNDED MRF'!$AA:$AA, "&lt;&gt;")</f>
        <v>0</v>
      </c>
      <c r="W103" s="393">
        <f>COUNTIFS(SLF!$A:$A, "*pampanga*", SLF!$B:$B, "*sasmuan*", SLF!$AF:$AF, "&lt;&gt;")</f>
        <v>0</v>
      </c>
      <c r="X103" s="393">
        <f>COUNTIFS(EQUIPMENT!$A:$A, "Pampanga", EQUIPMENT!$B:$B, "*sasmuan*", EQUIPMENT!$X:$X, "&lt;&gt;")</f>
        <v>0</v>
      </c>
      <c r="Y103" s="393" t="s">
        <v>6373</v>
      </c>
      <c r="Z103" s="393">
        <f>COUNTIFS('TECHNICAL ASSISTANCE TO BRGY.'!$A:$A, "Pampanga", 'TECHNICAL ASSISTANCE TO BRGY.'!$B:$B, "*sasmuan*", 'TECHNICAL ASSISTANCE TO BRGY.'!$T:$T, "&lt;&gt;")</f>
        <v>1</v>
      </c>
      <c r="AA103" s="393">
        <f>COUNTIFS(SLF!$A:$A, "*pampanga*", SLF!$B:$B, "*sasmuan*", SLF!$AF:$AF, "&lt;&gt;")</f>
        <v>0</v>
      </c>
      <c r="AB103" s="393">
        <f>COUNTIFS('TRASH TRAP'!$A:$A, "Pampanga", 'TRASH TRAP'!$C:$C, "*sasmuan*", 'TRASH TRAP'!$W:$W, "&lt;&gt;")</f>
        <v>0</v>
      </c>
      <c r="AC103" s="393">
        <f>COUNTIFS(PDS!$A:$A, "*PAMPANGA*", PDS!$B:$B, "*SASMUAN*", PDS!$AD:$AD, "&lt;&gt;")</f>
        <v>0</v>
      </c>
      <c r="AD103" s="393" t="s">
        <v>6373</v>
      </c>
      <c r="AE103" s="393" t="s">
        <v>6373</v>
      </c>
    </row>
    <row r="104" spans="19:31">
      <c r="S104" s="682"/>
      <c r="T104" s="660" t="s">
        <v>6381</v>
      </c>
      <c r="U104" s="660">
        <f>SUM(U105:U109)</f>
        <v>1</v>
      </c>
      <c r="V104" s="660">
        <f t="shared" ref="V104:AE104" si="168">SUM(V105:V109)</f>
        <v>1</v>
      </c>
      <c r="W104" s="660">
        <f t="shared" si="168"/>
        <v>0</v>
      </c>
      <c r="X104" s="660">
        <f t="shared" si="168"/>
        <v>2</v>
      </c>
      <c r="Y104" s="660">
        <f t="shared" si="168"/>
        <v>0</v>
      </c>
      <c r="Z104" s="660">
        <f t="shared" si="168"/>
        <v>13</v>
      </c>
      <c r="AA104" s="660">
        <f t="shared" ref="AA104" si="169">SUM(AA105:AA109)</f>
        <v>0</v>
      </c>
      <c r="AB104" s="660">
        <f t="shared" si="168"/>
        <v>8</v>
      </c>
      <c r="AC104" s="660">
        <f t="shared" si="168"/>
        <v>0</v>
      </c>
      <c r="AD104" s="660">
        <f t="shared" si="168"/>
        <v>0</v>
      </c>
      <c r="AE104" s="660">
        <f t="shared" si="168"/>
        <v>0</v>
      </c>
    </row>
    <row r="105" spans="19:31">
      <c r="S105" s="682"/>
      <c r="T105" s="651" t="s">
        <v>389</v>
      </c>
      <c r="U105" s="393">
        <f>COUNTIFS('10-YEAR SWM PLAN'!$A:$A, "Pampanga", '10-YEAR SWM PLAN'!$B:$B, "*Arayat*", '10-YEAR SWM PLAN'!$AC:$AC, "&lt;&gt;")</f>
        <v>0</v>
      </c>
      <c r="V105" s="393">
        <f>COUNTIFS('FUNDED MRF'!$A:$A, "Pampanga", 'FUNDED MRF'!$B:$B, "*Arayat*", 'FUNDED MRF'!$AA:$AA, "&lt;&gt;")</f>
        <v>0</v>
      </c>
      <c r="W105" s="393" t="s">
        <v>6373</v>
      </c>
      <c r="X105" s="393">
        <f>COUNTIFS(EQUIPMENT!$A:$A, "Pampanga", EQUIPMENT!$B:$B, "*arayat*", EQUIPMENT!$X:$X, "&lt;&gt;")</f>
        <v>0</v>
      </c>
      <c r="Y105" s="393" t="s">
        <v>6373</v>
      </c>
      <c r="Z105" s="393">
        <f>COUNTIFS('TECHNICAL ASSISTANCE TO BRGY.'!$A:$A, "Pampanga", 'TECHNICAL ASSISTANCE TO BRGY.'!$B:$B, "*arayat*", 'TECHNICAL ASSISTANCE TO BRGY.'!$T:$T, "&lt;&gt;")</f>
        <v>8</v>
      </c>
      <c r="AA105" s="393" t="s">
        <v>6373</v>
      </c>
      <c r="AB105" s="393">
        <f>COUNTIFS('TRASH TRAP'!$A:$A, "Pampanga", 'TRASH TRAP'!$C:$C, "*arayat*", 'TRASH TRAP'!$W:$W, "&lt;&gt;")</f>
        <v>0</v>
      </c>
      <c r="AC105" s="393">
        <f>COUNTIFS(PDS!$A:$A, "*PAMPANGA*", PDS!$B:$B, "*ARAYAT*", PDS!$AD:$AD, "&lt;&gt;")</f>
        <v>0</v>
      </c>
      <c r="AD105" s="393" t="s">
        <v>6373</v>
      </c>
      <c r="AE105" s="393" t="s">
        <v>6373</v>
      </c>
    </row>
    <row r="106" spans="19:31">
      <c r="S106" s="682"/>
      <c r="T106" s="651" t="s">
        <v>414</v>
      </c>
      <c r="U106" s="393">
        <f>COUNTIFS('10-YEAR SWM PLAN'!$A:$A, "Pampanga", '10-YEAR SWM PLAN'!$B:$B, "*Bacolor*", '10-YEAR SWM PLAN'!$AC:$AC, "&lt;&gt;")</f>
        <v>0</v>
      </c>
      <c r="V106" s="393">
        <f>COUNTIFS('FUNDED MRF'!$A:$A, "Pampanga", 'FUNDED MRF'!$B:$B, "*Bacolor*", 'FUNDED MRF'!$AA:$AA, "&lt;&gt;")</f>
        <v>0</v>
      </c>
      <c r="W106" s="393" t="s">
        <v>6373</v>
      </c>
      <c r="X106" s="393">
        <f>COUNTIFS(EQUIPMENT!$A:$A, "Pampanga", EQUIPMENT!$B:$B, "*bacolor*", EQUIPMENT!$X:$X, "&lt;&gt;")</f>
        <v>0</v>
      </c>
      <c r="Y106" s="393" t="s">
        <v>6373</v>
      </c>
      <c r="Z106" s="393">
        <f>COUNTIFS('TECHNICAL ASSISTANCE TO BRGY.'!$A:$A, "Pampanga", 'TECHNICAL ASSISTANCE TO BRGY.'!$B:$B, "*bacolor*", 'TECHNICAL ASSISTANCE TO BRGY.'!$T:$T, "&lt;&gt;")</f>
        <v>0</v>
      </c>
      <c r="AA106" s="393" t="s">
        <v>6373</v>
      </c>
      <c r="AB106" s="393">
        <f>COUNTIFS('TRASH TRAP'!$A:$A, "Pampanga", 'TRASH TRAP'!$C:$C, "*bacolor*", 'TRASH TRAP'!$W:$W, "&lt;&gt;")</f>
        <v>0</v>
      </c>
      <c r="AC106" s="393">
        <f>COUNTIFS(PDS!$A:$A, "*PAMPANGA*", PDS!$B:$B, "*BACOLOR*", PDS!$AD:$AD, "&lt;&gt;")</f>
        <v>0</v>
      </c>
      <c r="AD106" s="393" t="s">
        <v>6373</v>
      </c>
      <c r="AE106" s="393" t="s">
        <v>6373</v>
      </c>
    </row>
    <row r="107" spans="19:31">
      <c r="S107" s="682"/>
      <c r="T107" s="651" t="s">
        <v>537</v>
      </c>
      <c r="U107" s="393">
        <f>COUNTIFS('10-YEAR SWM PLAN'!$A:$A, "Pampanga", '10-YEAR SWM PLAN'!$B:$B, "*Mexico*", '10-YEAR SWM PLAN'!$AC:$AC, "&lt;&gt;")</f>
        <v>0</v>
      </c>
      <c r="V107" s="393">
        <f>COUNTIFS('FUNDED MRF'!$A:$A, "Pampanga", 'FUNDED MRF'!$B:$B, "*Mexico*", 'FUNDED MRF'!$AA:$AA, "&lt;&gt;")</f>
        <v>0</v>
      </c>
      <c r="W107" s="393" t="s">
        <v>6373</v>
      </c>
      <c r="X107" s="393">
        <f>COUNTIFS(EQUIPMENT!$A:$A, "Pampanga", EQUIPMENT!$B:$B, "*mexico*", EQUIPMENT!$X:$X, "&lt;&gt;")</f>
        <v>0</v>
      </c>
      <c r="Y107" s="393" t="s">
        <v>6373</v>
      </c>
      <c r="Z107" s="393">
        <f>COUNTIFS('TECHNICAL ASSISTANCE TO BRGY.'!$A:$A, "Pampanga", 'TECHNICAL ASSISTANCE TO BRGY.'!$B:$B, "*mexico*", 'TECHNICAL ASSISTANCE TO BRGY.'!$T:$T, "&lt;&gt;")</f>
        <v>0</v>
      </c>
      <c r="AA107" s="393" t="s">
        <v>6373</v>
      </c>
      <c r="AB107" s="393">
        <f>COUNTIFS('TRASH TRAP'!$A:$A, "Pampanga", 'TRASH TRAP'!$C:$C, "*mexico*", 'TRASH TRAP'!$W:$W, "&lt;&gt;")</f>
        <v>2</v>
      </c>
      <c r="AC107" s="393">
        <f>COUNTIFS(PDS!$A:$A, "*PAMPANGA*", PDS!$B:$B, "*MEXICO*", PDS!$AD:$AD, "&lt;&gt;")</f>
        <v>0</v>
      </c>
      <c r="AD107" s="393" t="s">
        <v>6373</v>
      </c>
      <c r="AE107" s="393" t="s">
        <v>6373</v>
      </c>
    </row>
    <row r="108" spans="19:31">
      <c r="S108" s="682"/>
      <c r="T108" s="651" t="s">
        <v>1377</v>
      </c>
      <c r="U108" s="393">
        <f>COUNTIFS('10-YEAR SWM PLAN'!$A:$A, "Pampanga", '10-YEAR SWM PLAN'!$B:$B, "*San Fernando*", '10-YEAR SWM PLAN'!$AC:$AC, "&lt;&gt;")</f>
        <v>1</v>
      </c>
      <c r="V108" s="393">
        <f>COUNTIFS('FUNDED MRF'!$A:$A, "Pampanga", 'FUNDED MRF'!$B:$B, "*San Fernando*", 'FUNDED MRF'!$AA:$AA, "&lt;&gt;")</f>
        <v>1</v>
      </c>
      <c r="W108" s="393" t="s">
        <v>6373</v>
      </c>
      <c r="X108" s="393">
        <f>COUNTIFS(EQUIPMENT!$A:$A, "Pampanga", EQUIPMENT!$B:$B, "*san fernando*", EQUIPMENT!$X:$X, "&lt;&gt;")</f>
        <v>1</v>
      </c>
      <c r="Y108" s="393" t="s">
        <v>6373</v>
      </c>
      <c r="Z108" s="393">
        <f>COUNTIFS('TECHNICAL ASSISTANCE TO BRGY.'!$A:$A, "Pampanga", 'TECHNICAL ASSISTANCE TO BRGY.'!$B:$B, "*san fernando*", 'TECHNICAL ASSISTANCE TO BRGY.'!$T:$T, "&lt;&gt;")</f>
        <v>5</v>
      </c>
      <c r="AA108" s="393" t="s">
        <v>6373</v>
      </c>
      <c r="AB108" s="393">
        <f>COUNTIFS('TRASH TRAP'!$A:$A, "Pampanga", 'TRASH TRAP'!$C:$C, "*san fernando*", 'TRASH TRAP'!$W:$W, "&lt;&gt;")</f>
        <v>6</v>
      </c>
      <c r="AC108" s="393">
        <f>COUNTIFS(PDS!$A:$A, "*PAMPANGA*", PDS!$B:$B, "*SAN FERNANDO*", PDS!$AD:$AD, "&lt;&gt;")</f>
        <v>0</v>
      </c>
      <c r="AD108" s="393" t="s">
        <v>6373</v>
      </c>
      <c r="AE108" s="393" t="s">
        <v>6373</v>
      </c>
    </row>
    <row r="109" spans="19:31">
      <c r="S109" s="682"/>
      <c r="T109" s="651" t="s">
        <v>1361</v>
      </c>
      <c r="U109" s="393">
        <f>COUNTIFS('10-YEAR SWM PLAN'!$A:$A, "Pampanga", '10-YEAR SWM PLAN'!$B:$B, "*Ana*", '10-YEAR SWM PLAN'!$AC:$AC, "&lt;&gt;")</f>
        <v>0</v>
      </c>
      <c r="V109" s="393">
        <f>COUNTIFS('FUNDED MRF'!$A:$A, "Pampanga", 'FUNDED MRF'!$B:$B, "*Ana*", 'FUNDED MRF'!$AA:$AA, "&lt;&gt;")</f>
        <v>0</v>
      </c>
      <c r="W109" s="393" t="s">
        <v>6373</v>
      </c>
      <c r="X109" s="393">
        <f>COUNTIFS(EQUIPMENT!$A:$A, "Pampanga", EQUIPMENT!$B:$B, "*ana*", EQUIPMENT!$X:$X, "&lt;&gt;")</f>
        <v>1</v>
      </c>
      <c r="Y109" s="393" t="s">
        <v>6373</v>
      </c>
      <c r="Z109" s="393">
        <f>COUNTIFS('TECHNICAL ASSISTANCE TO BRGY.'!$A:$A, "Pampanga", 'TECHNICAL ASSISTANCE TO BRGY.'!$B:$B, "*ana*", 'TECHNICAL ASSISTANCE TO BRGY.'!$T:$T, "&lt;&gt;")</f>
        <v>0</v>
      </c>
      <c r="AA109" s="393" t="s">
        <v>6373</v>
      </c>
      <c r="AB109" s="393">
        <f>COUNTIFS('TRASH TRAP'!$A:$A, "Pampanga", 'TRASH TRAP'!$C:$C, "*ana*", 'TRASH TRAP'!$W:$W, "&lt;&gt;")</f>
        <v>0</v>
      </c>
      <c r="AC109" s="393">
        <f>COUNTIFS(PDS!$A:$A, "*PAMPANGA*", PDS!$B:$B, "*ANA*", PDS!$AD:$AD, "&lt;&gt;")</f>
        <v>0</v>
      </c>
      <c r="AD109" s="393" t="s">
        <v>6373</v>
      </c>
      <c r="AE109" s="393" t="s">
        <v>6373</v>
      </c>
    </row>
    <row r="110" spans="19:31">
      <c r="S110" s="682"/>
      <c r="T110" s="660" t="s">
        <v>6384</v>
      </c>
      <c r="U110" s="660">
        <f>SUM(U111:U118)</f>
        <v>1</v>
      </c>
      <c r="V110" s="660">
        <f t="shared" ref="V110:AE110" si="170">SUM(V111:V118)</f>
        <v>0</v>
      </c>
      <c r="W110" s="660">
        <f t="shared" si="170"/>
        <v>0</v>
      </c>
      <c r="X110" s="660">
        <f t="shared" si="170"/>
        <v>1</v>
      </c>
      <c r="Y110" s="660">
        <f t="shared" si="170"/>
        <v>0</v>
      </c>
      <c r="Z110" s="660">
        <f t="shared" si="170"/>
        <v>19</v>
      </c>
      <c r="AA110" s="660">
        <f t="shared" ref="AA110" si="171">SUM(AA111:AA118)</f>
        <v>0</v>
      </c>
      <c r="AB110" s="660">
        <f t="shared" si="170"/>
        <v>5</v>
      </c>
      <c r="AC110" s="660">
        <f t="shared" si="170"/>
        <v>0</v>
      </c>
      <c r="AD110" s="660">
        <f t="shared" si="170"/>
        <v>0</v>
      </c>
      <c r="AE110" s="660">
        <f t="shared" si="170"/>
        <v>0</v>
      </c>
    </row>
    <row r="111" spans="19:31">
      <c r="S111" s="682"/>
      <c r="T111" s="651" t="s">
        <v>351</v>
      </c>
      <c r="U111" s="393">
        <f>COUNTIFS('10-YEAR SWM PLAN'!$A:$A, "Pampanga", '10-YEAR SWM PLAN'!$B:$B, "*Apalit*", '10-YEAR SWM PLAN'!$AC:$AC, "&lt;&gt;")</f>
        <v>0</v>
      </c>
      <c r="V111" s="393">
        <f>COUNTIFS('FUNDED MRF'!$A:$A, "Pampanga", 'FUNDED MRF'!$B:$B, "*Apalit*", 'FUNDED MRF'!$AA:$AA, "&lt;&gt;")</f>
        <v>0</v>
      </c>
      <c r="W111" s="393" t="s">
        <v>6373</v>
      </c>
      <c r="X111" s="393">
        <f>COUNTIFS(EQUIPMENT!$A:$A, "Pampanga", EQUIPMENT!$B:$B, "*apalit*", EQUIPMENT!$X:$X, "&lt;&gt;")</f>
        <v>1</v>
      </c>
      <c r="Y111" s="393" t="s">
        <v>6373</v>
      </c>
      <c r="Z111" s="393">
        <f>COUNTIFS('TECHNICAL ASSISTANCE TO BRGY.'!$A:$A, "Pampanga", 'TECHNICAL ASSISTANCE TO BRGY.'!$B:$B, "*apalit*", 'TECHNICAL ASSISTANCE TO BRGY.'!$T:$T, "&lt;&gt;")</f>
        <v>0</v>
      </c>
      <c r="AA111" s="393" t="s">
        <v>6373</v>
      </c>
      <c r="AB111" s="393">
        <f>COUNTIFS('TRASH TRAP'!$A:$A, "Pampanga", 'TRASH TRAP'!$C:$C, "*apalit*", 'TRASH TRAP'!$W:$W, "&lt;&gt;")</f>
        <v>0</v>
      </c>
      <c r="AC111" s="393">
        <f>COUNTIFS(PDS!$A:$A, "*PAMPANGA*", PDS!$B:$B, "*APALIT*", PDS!$AD:$AD, "&lt;&gt;")</f>
        <v>0</v>
      </c>
      <c r="AD111" s="393" t="s">
        <v>6373</v>
      </c>
      <c r="AE111" s="393">
        <f>COUNTIFS('TRANSFER STATION'!$A:$A, "Pampanga", 'TRANSFER STATION'!$B:$B, "*apal*", 'TRANSFER STATION'!$W:$W, "&lt;&gt;")</f>
        <v>0</v>
      </c>
    </row>
    <row r="112" spans="19:31">
      <c r="S112" s="682"/>
      <c r="T112" s="651" t="s">
        <v>352</v>
      </c>
      <c r="U112" s="393">
        <f>COUNTIFS('10-YEAR SWM PLAN'!$A:$A, "Pampanga", '10-YEAR SWM PLAN'!$B:$B, "*Candaba*", '10-YEAR SWM PLAN'!$AC:$AC, "&lt;&gt;")</f>
        <v>0</v>
      </c>
      <c r="V112" s="393">
        <f>COUNTIFS('FUNDED MRF'!$A:$A, "Pampanga", 'FUNDED MRF'!$B:$B, "*Candaba*", 'FUNDED MRF'!$AA:$AA, "&lt;&gt;")</f>
        <v>0</v>
      </c>
      <c r="W112" s="393" t="s">
        <v>6373</v>
      </c>
      <c r="X112" s="393">
        <f>COUNTIFS(EQUIPMENT!$A:$A, "Pampanga", EQUIPMENT!$B:$B, "*candaba*", EQUIPMENT!$X:$X, "&lt;&gt;")</f>
        <v>0</v>
      </c>
      <c r="Y112" s="393" t="s">
        <v>6373</v>
      </c>
      <c r="Z112" s="393">
        <f>COUNTIFS('TECHNICAL ASSISTANCE TO BRGY.'!$A:$A, "Pampanga", 'TECHNICAL ASSISTANCE TO BRGY.'!$B:$B, "*candaba*", 'TECHNICAL ASSISTANCE TO BRGY.'!$T:$T, "&lt;&gt;")</f>
        <v>11</v>
      </c>
      <c r="AA112" s="393" t="s">
        <v>6373</v>
      </c>
      <c r="AB112" s="393">
        <f>COUNTIFS('TRASH TRAP'!$A:$A, "Pampanga", 'TRASH TRAP'!$C:$C, "*canda*", 'TRASH TRAP'!$W:$W, "&lt;&gt;")</f>
        <v>0</v>
      </c>
      <c r="AC112" s="393">
        <f>COUNTIFS(PDS!$A:$A, "*PAMPANGA*", PDS!$B:$B, "*CANDABA*", PDS!$AD:$AD, "&lt;&gt;")</f>
        <v>0</v>
      </c>
      <c r="AD112" s="393" t="s">
        <v>6373</v>
      </c>
      <c r="AE112" s="393">
        <f>COUNTIFS('TRANSFER STATION'!$A:$A, "Pampanga", 'TRANSFER STATION'!$B:$B, "*canda*", 'TRANSFER STATION'!$W:$W, "&lt;&gt;")</f>
        <v>0</v>
      </c>
    </row>
    <row r="113" spans="19:31">
      <c r="S113" s="682"/>
      <c r="T113" s="651" t="s">
        <v>1080</v>
      </c>
      <c r="U113" s="393">
        <f>COUNTIFS('10-YEAR SWM PLAN'!$A:$A, "Pampanga", '10-YEAR SWM PLAN'!$B:$B, "*Macabebe*", '10-YEAR SWM PLAN'!$AC:$AC, "&lt;&gt;")</f>
        <v>0</v>
      </c>
      <c r="V113" s="393">
        <f>COUNTIFS('FUNDED MRF'!$A:$A, "Pampanga", 'FUNDED MRF'!$B:$B, "*Macabebe*", 'FUNDED MRF'!$AA:$AA, "&lt;&gt;")</f>
        <v>0</v>
      </c>
      <c r="W113" s="393" t="s">
        <v>6373</v>
      </c>
      <c r="X113" s="393">
        <f>COUNTIFS(EQUIPMENT!$A:$A, "Pampanga", EQUIPMENT!$B:$B, "*macabe*", EQUIPMENT!$X:$X, "&lt;&gt;")</f>
        <v>0</v>
      </c>
      <c r="Y113" s="393" t="s">
        <v>6373</v>
      </c>
      <c r="Z113" s="393">
        <f>COUNTIFS('TECHNICAL ASSISTANCE TO BRGY.'!$A:$A, "Pampanga", 'TECHNICAL ASSISTANCE TO BRGY.'!$B:$B, "*macabebe*", 'TECHNICAL ASSISTANCE TO BRGY.'!$T:$T, "&lt;&gt;")</f>
        <v>0</v>
      </c>
      <c r="AA113" s="393" t="s">
        <v>6373</v>
      </c>
      <c r="AB113" s="393">
        <f>COUNTIFS('TRASH TRAP'!$A:$A, "Pampanga", 'TRASH TRAP'!$C:$C, "*macabe*", 'TRASH TRAP'!$W:$W, "&lt;&gt;")</f>
        <v>0</v>
      </c>
      <c r="AC113" s="393">
        <f>COUNTIFS(PDS!$A:$A, "*PAMPANGA*", PDS!$B:$B, "*MACABEBE*", PDS!$AD:$AD, "&lt;&gt;")</f>
        <v>0</v>
      </c>
      <c r="AD113" s="393" t="s">
        <v>6373</v>
      </c>
      <c r="AE113" s="393">
        <f>COUNTIFS('TRANSFER STATION'!$A:$A, "Pampanga", 'TRANSFER STATION'!$B:$B, "*macabe*", 'TRANSFER STATION'!$W:$W, "&lt;&gt;")</f>
        <v>0</v>
      </c>
    </row>
    <row r="114" spans="19:31">
      <c r="S114" s="682"/>
      <c r="T114" s="651" t="s">
        <v>312</v>
      </c>
      <c r="U114" s="393">
        <f>COUNTIFS('10-YEAR SWM PLAN'!$A:$A, "Pampanga", '10-YEAR SWM PLAN'!$B:$B, "*Masantol*", '10-YEAR SWM PLAN'!$AC:$AC, "&lt;&gt;")</f>
        <v>1</v>
      </c>
      <c r="V114" s="393">
        <f>COUNTIFS('FUNDED MRF'!$A:$A, "Pampanga", 'FUNDED MRF'!$B:$B, "*Masantol*", 'FUNDED MRF'!$AA:$AA, "&lt;&gt;")</f>
        <v>0</v>
      </c>
      <c r="W114" s="393" t="s">
        <v>6373</v>
      </c>
      <c r="X114" s="393">
        <f>COUNTIFS(EQUIPMENT!$A:$A, "Pampanga", EQUIPMENT!$B:$B, "*masant*", EQUIPMENT!$X:$X, "&lt;&gt;")</f>
        <v>0</v>
      </c>
      <c r="Y114" s="393" t="s">
        <v>6373</v>
      </c>
      <c r="Z114" s="393">
        <f>COUNTIFS('TECHNICAL ASSISTANCE TO BRGY.'!$A:$A, "Pampanga", 'TECHNICAL ASSISTANCE TO BRGY.'!$B:$B, "*masantol*", 'TECHNICAL ASSISTANCE TO BRGY.'!$T:$T, "&lt;&gt;")</f>
        <v>5</v>
      </c>
      <c r="AA114" s="393" t="s">
        <v>6373</v>
      </c>
      <c r="AB114" s="393">
        <f>COUNTIFS('TRASH TRAP'!$A:$A, "Pampanga", 'TRASH TRAP'!$C:$C, "*masant*", 'TRASH TRAP'!$W:$W, "&lt;&gt;")</f>
        <v>0</v>
      </c>
      <c r="AC114" s="393">
        <f>COUNTIFS(PDS!$A:$A, "*PAMPANGA*", PDS!$B:$B, "*MASANTOL*", PDS!$AD:$AD, "&lt;&gt;")</f>
        <v>0</v>
      </c>
      <c r="AD114" s="393" t="s">
        <v>6373</v>
      </c>
      <c r="AE114" s="393">
        <f>COUNTIFS('TRANSFER STATION'!$A:$A, "Pampanga", 'TRANSFER STATION'!$B:$B, "*masan*", 'TRANSFER STATION'!$W:$W, "&lt;&gt;")</f>
        <v>0</v>
      </c>
    </row>
    <row r="115" spans="19:31">
      <c r="S115" s="682"/>
      <c r="T115" s="651" t="s">
        <v>392</v>
      </c>
      <c r="U115" s="393">
        <f>COUNTIFS('10-YEAR SWM PLAN'!$A:$A, "Pampanga", '10-YEAR SWM PLAN'!$B:$B, "*Minalin*", '10-YEAR SWM PLAN'!$AC:$AC, "&lt;&gt;")</f>
        <v>0</v>
      </c>
      <c r="V115" s="393">
        <f>COUNTIFS('FUNDED MRF'!$A:$A, "Pampanga", 'FUNDED MRF'!$B:$B, "*Minalin*", 'FUNDED MRF'!$AA:$AA, "&lt;&gt;")</f>
        <v>0</v>
      </c>
      <c r="W115" s="393" t="s">
        <v>6373</v>
      </c>
      <c r="X115" s="393">
        <f>COUNTIFS(EQUIPMENT!$A:$A, "Pampanga", EQUIPMENT!$B:$B, "*minalin*", EQUIPMENT!$X:$X, "&lt;&gt;")</f>
        <v>0</v>
      </c>
      <c r="Y115" s="393" t="s">
        <v>6373</v>
      </c>
      <c r="Z115" s="393">
        <f>COUNTIFS('TECHNICAL ASSISTANCE TO BRGY.'!$A:$A, "Pampanga", 'TECHNICAL ASSISTANCE TO BRGY.'!$B:$B, "*minalin*", 'TECHNICAL ASSISTANCE TO BRGY.'!$T:$T, "&lt;&gt;")</f>
        <v>0</v>
      </c>
      <c r="AA115" s="393" t="s">
        <v>6373</v>
      </c>
      <c r="AB115" s="393">
        <f>COUNTIFS('TRASH TRAP'!$A:$A, "Pampanga", 'TRASH TRAP'!$C:$C, "*minali*", 'TRASH TRAP'!$W:$W, "&lt;&gt;")</f>
        <v>2</v>
      </c>
      <c r="AC115" s="393">
        <f>COUNTIFS(PDS!$A:$A, "*PAMPANGA*", PDS!$B:$B, "*MINALIN*", PDS!$AD:$AD, "&lt;&gt;")</f>
        <v>0</v>
      </c>
      <c r="AD115" s="393" t="s">
        <v>6373</v>
      </c>
      <c r="AE115" s="393">
        <f>COUNTIFS('TRANSFER STATION'!$A:$A, "Pampanga", 'TRANSFER STATION'!$B:$B, "*minalin*", 'TRANSFER STATION'!$W:$W, "&lt;&gt;")</f>
        <v>0</v>
      </c>
    </row>
    <row r="116" spans="19:31">
      <c r="S116" s="682"/>
      <c r="T116" s="651" t="s">
        <v>418</v>
      </c>
      <c r="U116" s="393">
        <f>COUNTIFS('10-YEAR SWM PLAN'!$A:$A, "Pampanga", '10-YEAR SWM PLAN'!$B:$B, "*San Luis*", '10-YEAR SWM PLAN'!$AC:$AC, "&lt;&gt;")</f>
        <v>0</v>
      </c>
      <c r="V116" s="393">
        <f>COUNTIFS('FUNDED MRF'!$A:$A, "Pampanga", 'FUNDED MRF'!$B:$B, "*San Luis*", 'FUNDED MRF'!$AA:$AA, "&lt;&gt;")</f>
        <v>0</v>
      </c>
      <c r="W116" s="393" t="s">
        <v>6373</v>
      </c>
      <c r="X116" s="393">
        <f>COUNTIFS(EQUIPMENT!$A:$A, "Pampanga", EQUIPMENT!$B:$B, "*san luis*", EQUIPMENT!$X:$X, "&lt;&gt;")</f>
        <v>0</v>
      </c>
      <c r="Y116" s="393" t="s">
        <v>6373</v>
      </c>
      <c r="Z116" s="393">
        <f>COUNTIFS('TECHNICAL ASSISTANCE TO BRGY.'!$A:$A, "Pampanga", 'TECHNICAL ASSISTANCE TO BRGY.'!$B:$B, "*luis*", 'TECHNICAL ASSISTANCE TO BRGY.'!$T:$T, "&lt;&gt;")</f>
        <v>0</v>
      </c>
      <c r="AA116" s="393" t="s">
        <v>6373</v>
      </c>
      <c r="AB116" s="393">
        <f>COUNTIFS('TRASH TRAP'!$A:$A, "Pampanga", 'TRASH TRAP'!$C:$C, "*san lui*", 'TRASH TRAP'!$W:$W, "&lt;&gt;")</f>
        <v>0</v>
      </c>
      <c r="AC116" s="393">
        <f>COUNTIFS(PDS!$A:$A, "*PAMPANGA*", PDS!$B:$B, "*SAN LUIS*", PDS!$AD:$AD, "&lt;&gt;")</f>
        <v>0</v>
      </c>
      <c r="AD116" s="393" t="s">
        <v>6373</v>
      </c>
      <c r="AE116" s="393">
        <f>COUNTIFS('TRANSFER STATION'!$A:$A, "Pampanga", 'TRANSFER STATION'!$B:$B, "*luis*", 'TRANSFER STATION'!$W:$W, "&lt;&gt;")</f>
        <v>0</v>
      </c>
    </row>
    <row r="117" spans="19:31">
      <c r="S117" s="682"/>
      <c r="T117" s="651" t="s">
        <v>450</v>
      </c>
      <c r="U117" s="393">
        <f>COUNTIFS('10-YEAR SWM PLAN'!$A:$A, "Pampanga", '10-YEAR SWM PLAN'!$B:$B, "*San Simon*", '10-YEAR SWM PLAN'!$AC:$AC, "&lt;&gt;")</f>
        <v>0</v>
      </c>
      <c r="V117" s="393">
        <f>COUNTIFS('FUNDED MRF'!$A:$A, "Pampanga", 'FUNDED MRF'!$B:$B, "*San Simon*", 'FUNDED MRF'!$AA:$AA, "&lt;&gt;")</f>
        <v>0</v>
      </c>
      <c r="W117" s="393" t="s">
        <v>6373</v>
      </c>
      <c r="X117" s="393">
        <f>COUNTIFS(EQUIPMENT!$A:$A, "Pampanga", EQUIPMENT!$B:$B, "*simon*", EQUIPMENT!$X:$X, "&lt;&gt;")</f>
        <v>0</v>
      </c>
      <c r="Y117" s="393" t="s">
        <v>6373</v>
      </c>
      <c r="Z117" s="393">
        <f>COUNTIFS('TECHNICAL ASSISTANCE TO BRGY.'!$A:$A, "Pampanga", 'TECHNICAL ASSISTANCE TO BRGY.'!$B:$B, "*simon*", 'TECHNICAL ASSISTANCE TO BRGY.'!$T:$T, "&lt;&gt;")</f>
        <v>0</v>
      </c>
      <c r="AA117" s="393" t="s">
        <v>6373</v>
      </c>
      <c r="AB117" s="393">
        <f>COUNTIFS('TRASH TRAP'!$A:$A, "Pampanga", 'TRASH TRAP'!$C:$C, "*san simon*", 'TRASH TRAP'!$W:$W, "&lt;&gt;")</f>
        <v>0</v>
      </c>
      <c r="AC117" s="393">
        <f>COUNTIFS(PDS!$A:$A, "*PAMPANGA*", PDS!$B:$B, "*SAN SIMON*", PDS!$AD:$AD, "&lt;&gt;")</f>
        <v>0</v>
      </c>
      <c r="AD117" s="393" t="s">
        <v>6373</v>
      </c>
      <c r="AE117" s="393">
        <f>COUNTIFS('TRANSFER STATION'!$A:$A, "Pampanga", 'TRANSFER STATION'!$B:$B, "*simo*", 'TRANSFER STATION'!$W:$W, "&lt;&gt;")</f>
        <v>0</v>
      </c>
    </row>
    <row r="118" spans="19:31">
      <c r="S118" s="683"/>
      <c r="T118" s="651" t="s">
        <v>1658</v>
      </c>
      <c r="U118" s="393">
        <f>COUNTIFS('10-YEAR SWM PLAN'!$A:$A, "Pampanga", '10-YEAR SWM PLAN'!$B:$B, "*Santo Tomas*", '10-YEAR SWM PLAN'!$AC:$AC, "&lt;&gt;")</f>
        <v>0</v>
      </c>
      <c r="V118" s="393">
        <f>COUNTIFS('FUNDED MRF'!$A:$A, "Pampanga", 'FUNDED MRF'!$B:$B, "*Santo Tomas*", 'FUNDED MRF'!$AA:$AA, "&lt;&gt;")</f>
        <v>0</v>
      </c>
      <c r="W118" s="393" t="s">
        <v>6373</v>
      </c>
      <c r="X118" s="393">
        <f>COUNTIFS(EQUIPMENT!$A:$A, "Pampanga", EQUIPMENT!$B:$B, "*tomas*", EQUIPMENT!$X:$X, "&lt;&gt;")</f>
        <v>0</v>
      </c>
      <c r="Y118" s="393" t="s">
        <v>6373</v>
      </c>
      <c r="Z118" s="393">
        <f>COUNTIFS('TECHNICAL ASSISTANCE TO BRGY.'!$A:$A, "Pampanga", 'TECHNICAL ASSISTANCE TO BRGY.'!$B:$B, "*tomas*", 'TECHNICAL ASSISTANCE TO BRGY.'!$T:$T, "&lt;&gt;")</f>
        <v>3</v>
      </c>
      <c r="AA118" s="393" t="s">
        <v>6373</v>
      </c>
      <c r="AB118" s="393">
        <f>COUNTIFS('TRASH TRAP'!$A:$A, "Pampanga", 'TRASH TRAP'!$C:$C, "*tomas*", 'TRASH TRAP'!$W:$W, "&lt;&gt;")</f>
        <v>3</v>
      </c>
      <c r="AC118" s="393">
        <f>COUNTIFS(PDS!$A:$A, "*PAMPANGA*", PDS!$B:$B, "*SANTO TOMAS*", PDS!$AD:$AD, "&lt;&gt;")</f>
        <v>0</v>
      </c>
      <c r="AD118" s="393" t="s">
        <v>6373</v>
      </c>
      <c r="AE118" s="393">
        <f>COUNTIFS('TRANSFER STATION'!$A:$A, "Pampanga", 'TRANSFER STATION'!$B:$B, "*tomas*", 'TRANSFER STATION'!$W:$W, "&lt;&gt;")</f>
        <v>0</v>
      </c>
    </row>
    <row r="119" spans="19:31">
      <c r="S119" s="681" t="s">
        <v>52</v>
      </c>
      <c r="T119" s="660" t="s">
        <v>6378</v>
      </c>
      <c r="U119" s="660">
        <f>SUM(U120:U129)</f>
        <v>1</v>
      </c>
      <c r="V119" s="660">
        <f t="shared" ref="V119:AE119" si="172">SUM(V120:V129)</f>
        <v>0</v>
      </c>
      <c r="W119" s="660">
        <f t="shared" si="172"/>
        <v>0</v>
      </c>
      <c r="X119" s="660">
        <f t="shared" si="172"/>
        <v>2</v>
      </c>
      <c r="Y119" s="660">
        <f t="shared" si="172"/>
        <v>0</v>
      </c>
      <c r="Z119" s="660">
        <f t="shared" si="172"/>
        <v>20</v>
      </c>
      <c r="AA119" s="660">
        <f t="shared" si="172"/>
        <v>0</v>
      </c>
      <c r="AB119" s="660">
        <f t="shared" si="172"/>
        <v>0</v>
      </c>
      <c r="AC119" s="660">
        <f t="shared" si="172"/>
        <v>0</v>
      </c>
      <c r="AD119" s="660">
        <f t="shared" si="172"/>
        <v>0</v>
      </c>
      <c r="AE119" s="660">
        <f t="shared" si="172"/>
        <v>0</v>
      </c>
    </row>
    <row r="120" spans="19:31">
      <c r="S120" s="682"/>
      <c r="T120" s="651" t="s">
        <v>424</v>
      </c>
      <c r="U120" s="393">
        <f>COUNTIFS('10-YEAR SWM PLAN'!$A:$A, "Tarlac", '10-YEAR SWM PLAN'!$B:$B, "*Paniqui*", '10-YEAR SWM PLAN'!$AC:$AC, "&lt;&gt;")</f>
        <v>0</v>
      </c>
      <c r="V120" s="393">
        <f>COUNTIFS('FUNDED MRF'!$A:$A, "Tarlac", 'FUNDED MRF'!$B:$B, "*Paniqui*", 'FUNDED MRF'!$AA:$AA, "&lt;&gt;")</f>
        <v>0</v>
      </c>
      <c r="W120" s="393" t="s">
        <v>6373</v>
      </c>
      <c r="X120" s="393">
        <f>COUNTIFS(EQUIPMENT!$A:$A, "Tarlac", EQUIPMENT!$B:$B, "*paniq*", EQUIPMENT!$X:$X, "&lt;&gt;")</f>
        <v>0</v>
      </c>
      <c r="Y120" s="393" t="s">
        <v>6373</v>
      </c>
      <c r="Z120" s="393">
        <f>COUNTIFS('TECHNICAL ASSISTANCE TO BRGY.'!$A:$A, "Tarlac", 'TECHNICAL ASSISTANCE TO BRGY.'!$B:$B, "*paniqui*", 'TECHNICAL ASSISTANCE TO BRGY.'!$T:$T, "&lt;&gt;")</f>
        <v>7</v>
      </c>
      <c r="AA120" s="393">
        <f>COUNTIFS(SLF!$A:$A, "*TARLAC*", SLF!$B:$B, "*PANIQ*", SLF!$AF:$AF, "&lt;&gt;")</f>
        <v>0</v>
      </c>
      <c r="AB120" s="393" t="s">
        <v>6373</v>
      </c>
      <c r="AC120" s="393">
        <f>COUNTIFS(PDS!$A:$A, "*TARLAC*", PDS!$B:$B, "*PANIQUI*", PDS!$AD:$AD, "&lt;&gt;")</f>
        <v>0</v>
      </c>
      <c r="AD120" s="393" t="s">
        <v>6373</v>
      </c>
      <c r="AE120" s="393" t="s">
        <v>6373</v>
      </c>
    </row>
    <row r="121" spans="19:31">
      <c r="S121" s="682"/>
      <c r="T121" s="651" t="s">
        <v>454</v>
      </c>
      <c r="U121" s="393">
        <f>COUNTIFS('10-YEAR SWM PLAN'!$A:$A, "Tarlac", '10-YEAR SWM PLAN'!$B:$B, "*Pura*", '10-YEAR SWM PLAN'!$AC:$AC, "&lt;&gt;")</f>
        <v>0</v>
      </c>
      <c r="V121" s="393">
        <f>COUNTIFS('FUNDED MRF'!$A:$A, "Tarlac", 'FUNDED MRF'!$B:$B, "*Pura*", 'FUNDED MRF'!$AA:$AA, "&lt;&gt;")</f>
        <v>0</v>
      </c>
      <c r="W121" s="393" t="s">
        <v>6373</v>
      </c>
      <c r="X121" s="393">
        <f>COUNTIFS(EQUIPMENT!$A:$A, "Tarlac", EQUIPMENT!$B:$B, "*pura*", EQUIPMENT!$X:$X, "&lt;&gt;")</f>
        <v>0</v>
      </c>
      <c r="Y121" s="393" t="s">
        <v>6373</v>
      </c>
      <c r="Z121" s="393">
        <f>COUNTIFS('TECHNICAL ASSISTANCE TO BRGY.'!$A:$A, "Tarlac", 'TECHNICAL ASSISTANCE TO BRGY.'!$B:$B, "*pura*", 'TECHNICAL ASSISTANCE TO BRGY.'!$T:$T, "&lt;&gt;")</f>
        <v>3</v>
      </c>
      <c r="AA121" s="393">
        <f>COUNTIFS(SLF!$A:$A, "*TARLAC*", SLF!$B:$B, "*pura*", SLF!$AF:$AF, "&lt;&gt;")</f>
        <v>0</v>
      </c>
      <c r="AB121" s="393" t="s">
        <v>6373</v>
      </c>
      <c r="AC121" s="393">
        <f>COUNTIFS(PDS!$A:$A, "*TARLAC*", PDS!$B:$B, "*PURA*", PDS!$AD:$AD, "&lt;&gt;")</f>
        <v>0</v>
      </c>
      <c r="AD121" s="393" t="s">
        <v>6373</v>
      </c>
      <c r="AE121" s="393" t="s">
        <v>6373</v>
      </c>
    </row>
    <row r="122" spans="19:31">
      <c r="S122" s="682"/>
      <c r="T122" s="651" t="s">
        <v>368</v>
      </c>
      <c r="U122" s="393">
        <f>COUNTIFS('10-YEAR SWM PLAN'!$A:$A, "Tarlac", '10-YEAR SWM PLAN'!$B:$B, "*Camiling*", '10-YEAR SWM PLAN'!$AC:$AC, "&lt;&gt;")</f>
        <v>0</v>
      </c>
      <c r="V122" s="393">
        <f>COUNTIFS('FUNDED MRF'!$A:$A, "Tarlac", 'FUNDED MRF'!$B:$B, "*Camiling*", 'FUNDED MRF'!$AA:$AA, "&lt;&gt;")</f>
        <v>0</v>
      </c>
      <c r="W122" s="393" t="s">
        <v>6373</v>
      </c>
      <c r="X122" s="393">
        <f>COUNTIFS(EQUIPMENT!$A:$A, "Tarlac", EQUIPMENT!$B:$B, "*camili*", EQUIPMENT!$X:$X, "&lt;&gt;")</f>
        <v>0</v>
      </c>
      <c r="Y122" s="393" t="s">
        <v>6373</v>
      </c>
      <c r="Z122" s="393">
        <f>COUNTIFS('TECHNICAL ASSISTANCE TO BRGY.'!$A:$A, "Tarlac", 'TECHNICAL ASSISTANCE TO BRGY.'!$B:$B, "*camiling*", 'TECHNICAL ASSISTANCE TO BRGY.'!$T:$T, "&lt;&gt;")</f>
        <v>10</v>
      </c>
      <c r="AA122" s="393">
        <f>COUNTIFS(SLF!$A:$A, "*TARLAC*", SLF!$B:$B, "*cami*", SLF!$AF:$AF, "&lt;&gt;")</f>
        <v>0</v>
      </c>
      <c r="AB122" s="393" t="s">
        <v>6373</v>
      </c>
      <c r="AC122" s="393">
        <f>COUNTIFS(PDS!$A:$A, "*TARLAC*", PDS!$B:$B, "*CAMILING*", PDS!$AD:$AD, "&lt;&gt;")</f>
        <v>0</v>
      </c>
      <c r="AD122" s="393" t="s">
        <v>6373</v>
      </c>
      <c r="AE122" s="393" t="s">
        <v>6373</v>
      </c>
    </row>
    <row r="123" spans="19:31">
      <c r="S123" s="682"/>
      <c r="T123" s="651" t="s">
        <v>420</v>
      </c>
      <c r="U123" s="393">
        <f>COUNTIFS('10-YEAR SWM PLAN'!$A:$A, "Tarlac", '10-YEAR SWM PLAN'!$B:$B, "*Mayantoc*", '10-YEAR SWM PLAN'!$AC:$AC, "&lt;&gt;")</f>
        <v>0</v>
      </c>
      <c r="V123" s="393">
        <f>COUNTIFS('FUNDED MRF'!$A:$A, "Tarlac", 'FUNDED MRF'!$B:$B, "*Mayantoc*", 'FUNDED MRF'!$AA:$AA, "&lt;&gt;")</f>
        <v>0</v>
      </c>
      <c r="W123" s="393" t="s">
        <v>6373</v>
      </c>
      <c r="X123" s="393">
        <f>COUNTIFS(EQUIPMENT!$A:$A, "Tarlac", EQUIPMENT!$B:$B, "*mayan*", EQUIPMENT!$X:$X, "&lt;&gt;")</f>
        <v>0</v>
      </c>
      <c r="Y123" s="393" t="s">
        <v>6373</v>
      </c>
      <c r="Z123" s="393">
        <f>COUNTIFS('TECHNICAL ASSISTANCE TO BRGY.'!$A:$A, "Tarlac", 'TECHNICAL ASSISTANCE TO BRGY.'!$B:$B, "*mayantoc*", 'TECHNICAL ASSISTANCE TO BRGY.'!$T:$T, "&lt;&gt;")</f>
        <v>0</v>
      </c>
      <c r="AA123" s="393">
        <f>COUNTIFS(SLF!$A:$A, "*TARLAC*", SLF!$B:$B, "*mayan*", SLF!$AF:$AF, "&lt;&gt;")</f>
        <v>0</v>
      </c>
      <c r="AB123" s="393" t="s">
        <v>6373</v>
      </c>
      <c r="AC123" s="393">
        <f>COUNTIFS(PDS!$A:$A, "*TARLAC*", PDS!$B:$B, "*MAYANTOC*", PDS!$AD:$AD, "&lt;&gt;")</f>
        <v>0</v>
      </c>
      <c r="AD123" s="393" t="s">
        <v>6373</v>
      </c>
      <c r="AE123" s="393" t="s">
        <v>6373</v>
      </c>
    </row>
    <row r="124" spans="19:31">
      <c r="S124" s="682"/>
      <c r="T124" s="651" t="s">
        <v>430</v>
      </c>
      <c r="U124" s="393">
        <f>COUNTIFS('10-YEAR SWM PLAN'!$A:$A, "Tarlac", '10-YEAR SWM PLAN'!$B:$B, "*Anao*", '10-YEAR SWM PLAN'!$AC:$AC, "&lt;&gt;")</f>
        <v>0</v>
      </c>
      <c r="V124" s="393">
        <f>COUNTIFS('FUNDED MRF'!$A:$A, "Tarlac", 'FUNDED MRF'!$B:$B, "*Anao*", 'FUNDED MRF'!$AA:$AA, "&lt;&gt;")</f>
        <v>0</v>
      </c>
      <c r="W124" s="393" t="s">
        <v>6373</v>
      </c>
      <c r="X124" s="393">
        <f>COUNTIFS(EQUIPMENT!$A:$A, "Tarlac", EQUIPMENT!$B:$B, "*anao*", EQUIPMENT!$X:$X, "&lt;&gt;")</f>
        <v>1</v>
      </c>
      <c r="Y124" s="393" t="s">
        <v>6373</v>
      </c>
      <c r="Z124" s="393">
        <f>COUNTIFS('TECHNICAL ASSISTANCE TO BRGY.'!$A:$A, "Tarlac", 'TECHNICAL ASSISTANCE TO BRGY.'!$B:$B, "*anao*", 'TECHNICAL ASSISTANCE TO BRGY.'!$T:$T, "&lt;&gt;")</f>
        <v>0</v>
      </c>
      <c r="AA124" s="393">
        <f>COUNTIFS(SLF!$A:$A, "*TARLAC*", SLF!$B:$B, "*anao*", SLF!$AF:$AF, "&lt;&gt;")</f>
        <v>0</v>
      </c>
      <c r="AB124" s="393" t="s">
        <v>6373</v>
      </c>
      <c r="AC124" s="393">
        <f>COUNTIFS(PDS!$A:$A, "*TARLAC*", PDS!$B:$B, "*ANAO*", PDS!$AD:$AD, "&lt;&gt;")</f>
        <v>0</v>
      </c>
      <c r="AD124" s="393" t="s">
        <v>6373</v>
      </c>
      <c r="AE124" s="393" t="s">
        <v>6373</v>
      </c>
    </row>
    <row r="125" spans="19:31">
      <c r="S125" s="682"/>
      <c r="T125" s="651" t="s">
        <v>324</v>
      </c>
      <c r="U125" s="393">
        <f>COUNTIFS('10-YEAR SWM PLAN'!$A:$A, "Tarlac", '10-YEAR SWM PLAN'!$B:$B, "*Moncada*", '10-YEAR SWM PLAN'!$AC:$AC, "&lt;&gt;")</f>
        <v>1</v>
      </c>
      <c r="V125" s="393">
        <f>COUNTIFS('FUNDED MRF'!$A:$A, "Tarlac", 'FUNDED MRF'!$B:$B, "*Moncada*", 'FUNDED MRF'!$AA:$AA, "&lt;&gt;")</f>
        <v>0</v>
      </c>
      <c r="W125" s="393" t="s">
        <v>6373</v>
      </c>
      <c r="X125" s="393">
        <f>COUNTIFS(EQUIPMENT!$A:$A, "Tarlac", EQUIPMENT!$B:$B, "*moncada*", EQUIPMENT!$X:$X, "&lt;&gt;")</f>
        <v>1</v>
      </c>
      <c r="Y125" s="393" t="s">
        <v>6373</v>
      </c>
      <c r="Z125" s="393">
        <f>COUNTIFS('TECHNICAL ASSISTANCE TO BRGY.'!$A:$A, "Tarlac", 'TECHNICAL ASSISTANCE TO BRGY.'!$B:$B, "*moncada*", 'TECHNICAL ASSISTANCE TO BRGY.'!$T:$T, "&lt;&gt;")</f>
        <v>0</v>
      </c>
      <c r="AA125" s="393">
        <f>COUNTIFS(SLF!$A:$A, "*TARLAC*", SLF!$B:$B, "*monca*", SLF!$AF:$AF, "&lt;&gt;")</f>
        <v>0</v>
      </c>
      <c r="AB125" s="393" t="s">
        <v>6373</v>
      </c>
      <c r="AC125" s="393">
        <f>COUNTIFS(PDS!$A:$A, "*TARLAC*", PDS!$B:$B, "*MONCADA*", PDS!$AD:$AD, "&lt;&gt;")</f>
        <v>0</v>
      </c>
      <c r="AD125" s="393" t="s">
        <v>6373</v>
      </c>
      <c r="AE125" s="393" t="s">
        <v>6373</v>
      </c>
    </row>
    <row r="126" spans="19:31">
      <c r="S126" s="682"/>
      <c r="T126" s="651" t="s">
        <v>466</v>
      </c>
      <c r="U126" s="393">
        <f>COUNTIFS('10-YEAR SWM PLAN'!$A:$A, "Tarlac", '10-YEAR SWM PLAN'!$B:$B, "*Ramos*", '10-YEAR SWM PLAN'!$AC:$AC, "&lt;&gt;")</f>
        <v>0</v>
      </c>
      <c r="V126" s="393">
        <f>COUNTIFS('FUNDED MRF'!$A:$A, "Tarlac", 'FUNDED MRF'!$B:$B, "*Ramos*", 'FUNDED MRF'!$AA:$AA, "&lt;&gt;")</f>
        <v>0</v>
      </c>
      <c r="W126" s="393" t="s">
        <v>6373</v>
      </c>
      <c r="X126" s="393">
        <f>COUNTIFS(EQUIPMENT!$A:$A, "Tarlac", EQUIPMENT!$B:$B, "*ramos*", EQUIPMENT!$X:$X, "&lt;&gt;")</f>
        <v>0</v>
      </c>
      <c r="Y126" s="393" t="s">
        <v>6373</v>
      </c>
      <c r="Z126" s="393">
        <f>COUNTIFS('TECHNICAL ASSISTANCE TO BRGY.'!$A:$A, "Tarlac", 'TECHNICAL ASSISTANCE TO BRGY.'!$B:$B, "*ramos*", 'TECHNICAL ASSISTANCE TO BRGY.'!$T:$T, "&lt;&gt;")</f>
        <v>0</v>
      </c>
      <c r="AA126" s="393">
        <f>COUNTIFS(SLF!$A:$A, "*TARLAC*", SLF!$B:$B, "*ramos*", SLF!$AF:$AF, "&lt;&gt;")</f>
        <v>0</v>
      </c>
      <c r="AB126" s="393" t="s">
        <v>6373</v>
      </c>
      <c r="AC126" s="393">
        <f>COUNTIFS(PDS!$A:$A, "*TARLAC*", PDS!$B:$B, "*RAMOS*", PDS!$AD:$AD, "&lt;&gt;")</f>
        <v>0</v>
      </c>
      <c r="AD126" s="393" t="s">
        <v>6373</v>
      </c>
      <c r="AE126" s="393" t="s">
        <v>6373</v>
      </c>
    </row>
    <row r="127" spans="19:31">
      <c r="S127" s="682"/>
      <c r="T127" s="651" t="s">
        <v>542</v>
      </c>
      <c r="U127" s="393">
        <f>COUNTIFS('10-YEAR SWM PLAN'!$A:$A, "Tarlac", '10-YEAR SWM PLAN'!$B:$B, "*San Clemente*", '10-YEAR SWM PLAN'!$AC:$AC, "&lt;&gt;")</f>
        <v>0</v>
      </c>
      <c r="V127" s="393">
        <f>COUNTIFS('FUNDED MRF'!$A:$A, "Tarlac", 'FUNDED MRF'!$B:$B, "*San Clemente*", 'FUNDED MRF'!$AA:$AA, "&lt;&gt;")</f>
        <v>0</v>
      </c>
      <c r="W127" s="393" t="s">
        <v>6373</v>
      </c>
      <c r="X127" s="393">
        <f>COUNTIFS(EQUIPMENT!$A:$A, "Tarlac", EQUIPMENT!$B:$B, "*clemente*", EQUIPMENT!$X:$X, "&lt;&gt;")</f>
        <v>0</v>
      </c>
      <c r="Y127" s="393" t="s">
        <v>6373</v>
      </c>
      <c r="Z127" s="393">
        <f>COUNTIFS('TECHNICAL ASSISTANCE TO BRGY.'!$A:$A, "Tarlac", 'TECHNICAL ASSISTANCE TO BRGY.'!$B:$B, "*clemente*", 'TECHNICAL ASSISTANCE TO BRGY.'!$T:$T, "&lt;&gt;")</f>
        <v>0</v>
      </c>
      <c r="AA127" s="393">
        <f>COUNTIFS(SLF!$A:$A, "*TARLAC*", SLF!$B:$B, "*clemente*", SLF!$AF:$AF, "&lt;&gt;")</f>
        <v>0</v>
      </c>
      <c r="AB127" s="393" t="s">
        <v>6373</v>
      </c>
      <c r="AC127" s="393">
        <f>COUNTIFS(PDS!$A:$A, "*TARLAC*", PDS!$B:$B, "*SAN CLEMENTE*", PDS!$AD:$AD, "&lt;&gt;")</f>
        <v>0</v>
      </c>
      <c r="AD127" s="393" t="s">
        <v>6373</v>
      </c>
      <c r="AE127" s="393" t="s">
        <v>6373</v>
      </c>
    </row>
    <row r="128" spans="19:31">
      <c r="S128" s="682"/>
      <c r="T128" s="651" t="s">
        <v>357</v>
      </c>
      <c r="U128" s="393">
        <f>COUNTIFS('10-YEAR SWM PLAN'!$A:$A, "Tarlac", '10-YEAR SWM PLAN'!$B:$B, "*Manuel*", '10-YEAR SWM PLAN'!$AC:$AC, "&lt;&gt;")</f>
        <v>0</v>
      </c>
      <c r="V128" s="393">
        <f>COUNTIFS('FUNDED MRF'!$A:$A, "Tarlac", 'FUNDED MRF'!$B:$B, "*San Manuel*", 'FUNDED MRF'!$AA:$AA, "&lt;&gt;")</f>
        <v>0</v>
      </c>
      <c r="W128" s="393" t="s">
        <v>6373</v>
      </c>
      <c r="X128" s="393">
        <f>COUNTIFS(EQUIPMENT!$A:$A, "Tarlac", EQUIPMENT!$B:$B, "*manuel*", EQUIPMENT!$X:$X, "&lt;&gt;")</f>
        <v>0</v>
      </c>
      <c r="Y128" s="393" t="s">
        <v>6373</v>
      </c>
      <c r="Z128" s="393">
        <f>COUNTIFS('TECHNICAL ASSISTANCE TO BRGY.'!$A:$A, "Tarlac", 'TECHNICAL ASSISTANCE TO BRGY.'!$B:$B, "*manuel*", 'TECHNICAL ASSISTANCE TO BRGY.'!$T:$T, "&lt;&gt;")</f>
        <v>0</v>
      </c>
      <c r="AA128" s="393">
        <f>COUNTIFS(SLF!$A:$A, "*TARLAC*", SLF!$B:$B, "*manuel*", SLF!$AF:$AF, "&lt;&gt;")</f>
        <v>0</v>
      </c>
      <c r="AB128" s="393" t="s">
        <v>6373</v>
      </c>
      <c r="AC128" s="393">
        <f>COUNTIFS(PDS!$A:$A, "*TARLAC*", PDS!$B:$B, "*SAN MAMUEL*", PDS!$AD:$AD, "&lt;&gt;")</f>
        <v>0</v>
      </c>
      <c r="AD128" s="393" t="s">
        <v>6373</v>
      </c>
      <c r="AE128" s="393" t="s">
        <v>6373</v>
      </c>
    </row>
    <row r="129" spans="19:31">
      <c r="S129" s="682"/>
      <c r="T129" s="651" t="s">
        <v>4207</v>
      </c>
      <c r="U129" s="393">
        <f>COUNTIFS('10-YEAR SWM PLAN'!$A:$A, "Tarlac", '10-YEAR SWM PLAN'!$B:$B, "*Ignacia*", '10-YEAR SWM PLAN'!$AC:$AC, "&lt;&gt;")</f>
        <v>0</v>
      </c>
      <c r="V129" s="393">
        <f>COUNTIFS('FUNDED MRF'!$A:$A, "Tarlac", 'FUNDED MRF'!$B:$B, "*Ignacia*", 'FUNDED MRF'!$AA:$AA, "&lt;&gt;")</f>
        <v>0</v>
      </c>
      <c r="W129" s="393" t="s">
        <v>6373</v>
      </c>
      <c r="X129" s="393">
        <f>COUNTIFS(EQUIPMENT!$A:$A, "Tarlac", EQUIPMENT!$B:$B, "*ignacia*", EQUIPMENT!$X:$X, "&lt;&gt;")</f>
        <v>0</v>
      </c>
      <c r="Y129" s="393" t="s">
        <v>6373</v>
      </c>
      <c r="Z129" s="393">
        <f>COUNTIFS('TECHNICAL ASSISTANCE TO BRGY.'!$A:$A, "Tarlac", 'TECHNICAL ASSISTANCE TO BRGY.'!$B:$B, "*ignacia*", 'TECHNICAL ASSISTANCE TO BRGY.'!$T:$T, "&lt;&gt;")</f>
        <v>0</v>
      </c>
      <c r="AA129" s="393">
        <f>COUNTIFS(SLF!$A:$A, "*TARLAC*", SLF!$B:$B, "*ignacia*", SLF!$AF:$AF, "&lt;&gt;")</f>
        <v>0</v>
      </c>
      <c r="AB129" s="393" t="s">
        <v>6373</v>
      </c>
      <c r="AC129" s="393">
        <f>COUNTIFS(PDS!$A:$A, "*TARLAC*", PDS!$B:$B, "*IGNACIA*", PDS!$AD:$AD, "&lt;&gt;")</f>
        <v>0</v>
      </c>
      <c r="AD129" s="393" t="s">
        <v>6373</v>
      </c>
      <c r="AE129" s="393" t="s">
        <v>6373</v>
      </c>
    </row>
    <row r="130" spans="19:31">
      <c r="S130" s="682"/>
      <c r="T130" s="660" t="s">
        <v>6379</v>
      </c>
      <c r="U130" s="660">
        <f>SUM(U131:U134)</f>
        <v>0</v>
      </c>
      <c r="V130" s="660">
        <f t="shared" ref="V130:AE130" si="173">SUM(V131:V134)</f>
        <v>0</v>
      </c>
      <c r="W130" s="660">
        <f t="shared" si="173"/>
        <v>0</v>
      </c>
      <c r="X130" s="660">
        <f t="shared" si="173"/>
        <v>1</v>
      </c>
      <c r="Y130" s="660">
        <f t="shared" si="173"/>
        <v>0</v>
      </c>
      <c r="Z130" s="660">
        <f t="shared" si="173"/>
        <v>21</v>
      </c>
      <c r="AA130" s="660">
        <f t="shared" si="173"/>
        <v>0</v>
      </c>
      <c r="AB130" s="660">
        <f t="shared" si="173"/>
        <v>0</v>
      </c>
      <c r="AC130" s="660">
        <f t="shared" si="173"/>
        <v>1</v>
      </c>
      <c r="AD130" s="660">
        <f t="shared" si="173"/>
        <v>0</v>
      </c>
      <c r="AE130" s="660">
        <f t="shared" si="173"/>
        <v>0</v>
      </c>
    </row>
    <row r="131" spans="19:31">
      <c r="S131" s="682"/>
      <c r="T131" s="651" t="s">
        <v>4231</v>
      </c>
      <c r="U131" s="393">
        <f>COUNTIFS('10-YEAR SWM PLAN'!$A:$A, "Tarlac", '10-YEAR SWM PLAN'!$B:$B, "*Tarlac*", '10-YEAR SWM PLAN'!$AC:$AC, "&lt;&gt;")</f>
        <v>0</v>
      </c>
      <c r="V131" s="393">
        <f>COUNTIFS('FUNDED MRF'!$A:$A, "Tarlac", 'FUNDED MRF'!$B:$B, "*Tarlac*", 'FUNDED MRF'!$AA:$AA, "&lt;&gt;")</f>
        <v>0</v>
      </c>
      <c r="W131" s="393" t="s">
        <v>6373</v>
      </c>
      <c r="X131" s="393">
        <f>COUNTIFS(EQUIPMENT!$A:$A, "Tarlac", EQUIPMENT!$B:$B, "*tarlac*", EQUIPMENT!$X:$X, "&lt;&gt;")</f>
        <v>0</v>
      </c>
      <c r="Y131" s="393" t="s">
        <v>6373</v>
      </c>
      <c r="Z131" s="393">
        <f>COUNTIFS('TECHNICAL ASSISTANCE TO BRGY.'!$A:$A, "Tarlac", 'TECHNICAL ASSISTANCE TO BRGY.'!$B:$B, "*tarla*", 'TECHNICAL ASSISTANCE TO BRGY.'!$T:$T, "&lt;&gt;")</f>
        <v>16</v>
      </c>
      <c r="AA131" s="393">
        <f>COUNTIFS(SLF!$A:$A, "*TARLAC*", SLF!$B:$B, "*tarlac*", SLF!$AF:$AF, "&lt;&gt;")</f>
        <v>0</v>
      </c>
      <c r="AB131" s="393" t="s">
        <v>6373</v>
      </c>
      <c r="AC131" s="393">
        <f>COUNTIFS(PDS!$A:$A, "*TARLAC*", PDS!$B:$B, "*TARLAC*", PDS!$AD:$AD, "&lt;&gt;")</f>
        <v>1</v>
      </c>
      <c r="AD131" s="393" t="s">
        <v>6373</v>
      </c>
      <c r="AE131" s="393">
        <f>COUNTIFS('TRANSFER STATION'!$A:$A, "Tarlac", 'TRANSFER STATION'!$B:$B, "*tarlac*", 'TRANSFER STATION'!$W:$W, "&lt;&gt;")</f>
        <v>0</v>
      </c>
    </row>
    <row r="132" spans="19:31">
      <c r="S132" s="682"/>
      <c r="T132" s="651" t="s">
        <v>463</v>
      </c>
      <c r="U132" s="393">
        <f>COUNTIFS('10-YEAR SWM PLAN'!$A:$A, "Tarlac", '10-YEAR SWM PLAN'!$B:$B, "*Gerona*", '10-YEAR SWM PLAN'!$AC:$AC, "&lt;&gt;")</f>
        <v>0</v>
      </c>
      <c r="V132" s="393">
        <f>COUNTIFS('FUNDED MRF'!$A:$A, "Tarlac", 'FUNDED MRF'!$B:$B, "*Gerona*", 'FUNDED MRF'!$AA:$AA, "&lt;&gt;")</f>
        <v>0</v>
      </c>
      <c r="W132" s="393" t="s">
        <v>6373</v>
      </c>
      <c r="X132" s="393">
        <f>COUNTIFS(EQUIPMENT!$A:$A, "Tarlac", EQUIPMENT!$B:$B, "*gerona*", EQUIPMENT!$X:$X, "&lt;&gt;")</f>
        <v>0</v>
      </c>
      <c r="Y132" s="393" t="s">
        <v>6373</v>
      </c>
      <c r="Z132" s="393">
        <f>COUNTIFS('TECHNICAL ASSISTANCE TO BRGY.'!$A:$A, "Tarlac", 'TECHNICAL ASSISTANCE TO BRGY.'!$B:$B, "*gerona*", 'TECHNICAL ASSISTANCE TO BRGY.'!$T:$T, "&lt;&gt;")</f>
        <v>5</v>
      </c>
      <c r="AA132" s="393">
        <f>COUNTIFS(SLF!$A:$A, "*TARLAC*", SLF!$B:$B, "*gerona*", SLF!$AF:$AF, "&lt;&gt;")</f>
        <v>0</v>
      </c>
      <c r="AB132" s="393" t="s">
        <v>6373</v>
      </c>
      <c r="AC132" s="393">
        <f>COUNTIFS(PDS!$A:$A, "*TARLAC*", PDS!$B:$B, "*GERONA*", PDS!$AD:$AD, "&lt;&gt;")</f>
        <v>0</v>
      </c>
      <c r="AD132" s="393" t="s">
        <v>6373</v>
      </c>
      <c r="AE132" s="393">
        <f>COUNTIFS('TRANSFER STATION'!$A:$A, "Tarlac", 'TRANSFER STATION'!$B:$B, "*gero*", 'TRANSFER STATION'!$W:$W, "&lt;&gt;")</f>
        <v>0</v>
      </c>
    </row>
    <row r="133" spans="19:31">
      <c r="S133" s="682"/>
      <c r="T133" s="651" t="s">
        <v>360</v>
      </c>
      <c r="U133" s="393">
        <f>COUNTIFS('10-YEAR SWM PLAN'!$A:$A, "Tarlac", '10-YEAR SWM PLAN'!$B:$B, "*Victoria*", '10-YEAR SWM PLAN'!$AC:$AC, "&lt;&gt;")</f>
        <v>0</v>
      </c>
      <c r="V133" s="393">
        <f>COUNTIFS('FUNDED MRF'!$A:$A, "Tarlac", 'FUNDED MRF'!$B:$B, "*Victoria*", 'FUNDED MRF'!$AA:$AA, "&lt;&gt;")</f>
        <v>0</v>
      </c>
      <c r="W133" s="393" t="s">
        <v>6373</v>
      </c>
      <c r="X133" s="393">
        <f>COUNTIFS(EQUIPMENT!$A:$A, "Tarlac", EQUIPMENT!$B:$B, "*victoria*", EQUIPMENT!$X:$X, "&lt;&gt;")</f>
        <v>1</v>
      </c>
      <c r="Y133" s="393" t="s">
        <v>6373</v>
      </c>
      <c r="Z133" s="393">
        <f>COUNTIFS('TECHNICAL ASSISTANCE TO BRGY.'!$A:$A, "Tarlac", 'TECHNICAL ASSISTANCE TO BRGY.'!$B:$B, "*victoria*", 'TECHNICAL ASSISTANCE TO BRGY.'!$T:$T, "&lt;&gt;")</f>
        <v>0</v>
      </c>
      <c r="AA133" s="393">
        <f>COUNTIFS(SLF!$A:$A, "*TARLAC*", SLF!$B:$B, "*victoria*", SLF!$AF:$AF, "&lt;&gt;")</f>
        <v>0</v>
      </c>
      <c r="AB133" s="393" t="s">
        <v>6373</v>
      </c>
      <c r="AC133" s="393">
        <f>COUNTIFS(PDS!$A:$A, "*TARLAC*", PDS!$B:$B, "*VICTORIA*", PDS!$AD:$AD, "&lt;&gt;")</f>
        <v>0</v>
      </c>
      <c r="AD133" s="393" t="s">
        <v>6373</v>
      </c>
      <c r="AE133" s="393">
        <f>COUNTIFS('TRANSFER STATION'!$A:$A, "Tarlac", 'TRANSFER STATION'!$B:$B, "*victor*", 'TRANSFER STATION'!$W:$W, "&lt;&gt;")</f>
        <v>0</v>
      </c>
    </row>
    <row r="134" spans="19:31">
      <c r="S134" s="682"/>
      <c r="T134" s="651" t="s">
        <v>427</v>
      </c>
      <c r="U134" s="393">
        <f>COUNTIFS('10-YEAR SWM PLAN'!$A:$A, "Tarlac", '10-YEAR SWM PLAN'!$B:$B, "*San Jose*", '10-YEAR SWM PLAN'!$AC:$AC, "&lt;&gt;")</f>
        <v>0</v>
      </c>
      <c r="V134" s="393">
        <f>COUNTIFS('FUNDED MRF'!$A:$A, "Tarlac", 'FUNDED MRF'!$B:$B, "*San Jose*", 'FUNDED MRF'!$AA:$AA, "&lt;&gt;")</f>
        <v>0</v>
      </c>
      <c r="W134" s="393" t="s">
        <v>6373</v>
      </c>
      <c r="X134" s="393">
        <f>COUNTIFS(EQUIPMENT!$A:$A, "Tarlac", EQUIPMENT!$B:$B, "*san jose*", EQUIPMENT!$X:$X, "&lt;&gt;")</f>
        <v>0</v>
      </c>
      <c r="Y134" s="393" t="s">
        <v>6373</v>
      </c>
      <c r="Z134" s="393">
        <f>COUNTIFS('TECHNICAL ASSISTANCE TO BRGY.'!$A:$A, "Tarlac", 'TECHNICAL ASSISTANCE TO BRGY.'!$B:$B, "*san jose*", 'TECHNICAL ASSISTANCE TO BRGY.'!$T:$T, "&lt;&gt;")</f>
        <v>0</v>
      </c>
      <c r="AA134" s="393">
        <f>COUNTIFS(SLF!$A:$A, "*TARLAC*", SLF!$B:$B, "*jose*", SLF!$AF:$AF, "&lt;&gt;")</f>
        <v>0</v>
      </c>
      <c r="AB134" s="393" t="s">
        <v>6373</v>
      </c>
      <c r="AC134" s="393">
        <f>COUNTIFS(PDS!$A:$A, "*TARLAC*", PDS!$B:$B, "*SAN JOSE*", PDS!$AD:$AD, "&lt;&gt;")</f>
        <v>0</v>
      </c>
      <c r="AD134" s="393" t="s">
        <v>6373</v>
      </c>
      <c r="AE134" s="393">
        <f>COUNTIFS('TRANSFER STATION'!$A:$A, "Tarlac", 'TRANSFER STATION'!$B:$B, "*jose*", 'TRANSFER STATION'!$W:$W, "&lt;&gt;")</f>
        <v>0</v>
      </c>
    </row>
    <row r="135" spans="19:31">
      <c r="S135" s="682"/>
      <c r="T135" s="660" t="s">
        <v>6381</v>
      </c>
      <c r="U135" s="660">
        <f>SUM(U136:U139)</f>
        <v>2</v>
      </c>
      <c r="V135" s="660">
        <f t="shared" ref="V135:AE135" si="174">SUM(V136:V139)</f>
        <v>0</v>
      </c>
      <c r="W135" s="660">
        <f t="shared" si="174"/>
        <v>0</v>
      </c>
      <c r="X135" s="660">
        <f t="shared" si="174"/>
        <v>1</v>
      </c>
      <c r="Y135" s="660">
        <f t="shared" si="174"/>
        <v>0</v>
      </c>
      <c r="Z135" s="660">
        <f t="shared" si="174"/>
        <v>2</v>
      </c>
      <c r="AA135" s="660">
        <f t="shared" si="174"/>
        <v>0</v>
      </c>
      <c r="AB135" s="660">
        <f t="shared" si="174"/>
        <v>0</v>
      </c>
      <c r="AC135" s="660">
        <f t="shared" si="174"/>
        <v>0</v>
      </c>
      <c r="AD135" s="660">
        <f t="shared" si="174"/>
        <v>0</v>
      </c>
      <c r="AE135" s="660">
        <f t="shared" si="174"/>
        <v>0</v>
      </c>
    </row>
    <row r="136" spans="19:31">
      <c r="S136" s="682"/>
      <c r="T136" s="651" t="s">
        <v>460</v>
      </c>
      <c r="U136" s="393">
        <f>COUNTIFS('10-YEAR SWM PLAN'!$A:$A, "Tarlac", '10-YEAR SWM PLAN'!$B:$B, "*Capas*", '10-YEAR SWM PLAN'!$AC:$AC, "&lt;&gt;")</f>
        <v>0</v>
      </c>
      <c r="V136" s="393">
        <f>COUNTIFS('FUNDED MRF'!$A:$A, "Tarlac", 'FUNDED MRF'!$B:$B, "*Capas*", 'FUNDED MRF'!$AA:$AA, "&lt;&gt;")</f>
        <v>0</v>
      </c>
      <c r="W136" s="393" t="s">
        <v>6373</v>
      </c>
      <c r="X136" s="393">
        <f>COUNTIFS(EQUIPMENT!$A:$A, "Tarlac", EQUIPMENT!$B:$B, "*capas*", EQUIPMENT!$X:$X, "&lt;&gt;")</f>
        <v>0</v>
      </c>
      <c r="Y136" s="393" t="s">
        <v>6373</v>
      </c>
      <c r="Z136" s="393">
        <f>COUNTIFS('TECHNICAL ASSISTANCE TO BRGY.'!$A:$A, "Tarlac", 'TECHNICAL ASSISTANCE TO BRGY.'!$B:$B, "*capas*", 'TECHNICAL ASSISTANCE TO BRGY.'!$T:$T, "&lt;&gt;")</f>
        <v>2</v>
      </c>
      <c r="AA136" s="393">
        <f>COUNTIFS(SLF!$A:$A, "*TARLAC*", SLF!$B:$B, "*capas*", SLF!$AF:$AF, "&lt;&gt;")</f>
        <v>0</v>
      </c>
      <c r="AB136" s="393" t="s">
        <v>6373</v>
      </c>
      <c r="AC136" s="393">
        <f>COUNTIFS(PDS!$A:$A, "*TARLAC*", PDS!$B:$B, "*CAPAS*", PDS!$AD:$AD, "&lt;&gt;")</f>
        <v>0</v>
      </c>
      <c r="AD136" s="393" t="s">
        <v>6373</v>
      </c>
      <c r="AE136" s="393" t="s">
        <v>6373</v>
      </c>
    </row>
    <row r="137" spans="19:31">
      <c r="S137" s="682"/>
      <c r="T137" s="651" t="s">
        <v>250</v>
      </c>
      <c r="U137" s="393">
        <f>COUNTIFS('10-YEAR SWM PLAN'!$A:$A, "Tarlac", '10-YEAR SWM PLAN'!$B:$B, "*Concepcion*", '10-YEAR SWM PLAN'!$AC:$AC, "&lt;&gt;")</f>
        <v>1</v>
      </c>
      <c r="V137" s="393">
        <f>COUNTIFS('FUNDED MRF'!$A:$A, "Tarlac", 'FUNDED MRF'!$B:$B, "*Concepcion*", 'FUNDED MRF'!$AA:$AA, "&lt;&gt;")</f>
        <v>0</v>
      </c>
      <c r="W137" s="393" t="s">
        <v>6373</v>
      </c>
      <c r="X137" s="393">
        <f>COUNTIFS(EQUIPMENT!$A:$A, "Tarlac", EQUIPMENT!$B:$B, "*concep*", EQUIPMENT!$X:$X, "&lt;&gt;")</f>
        <v>0</v>
      </c>
      <c r="Y137" s="393" t="s">
        <v>6373</v>
      </c>
      <c r="Z137" s="393">
        <f>COUNTIFS('TECHNICAL ASSISTANCE TO BRGY.'!$A:$A, "Tarlac", 'TECHNICAL ASSISTANCE TO BRGY.'!$B:$B, "*concepcion*", 'TECHNICAL ASSISTANCE TO BRGY.'!$T:$T, "&lt;&gt;")</f>
        <v>0</v>
      </c>
      <c r="AA137" s="393">
        <f>COUNTIFS(SLF!$A:$A, "*TARLAC*", SLF!$B:$B, "*concep*", SLF!$AF:$AF, "&lt;&gt;")</f>
        <v>0</v>
      </c>
      <c r="AB137" s="393" t="s">
        <v>6373</v>
      </c>
      <c r="AC137" s="393">
        <f>COUNTIFS(PDS!$A:$A, "*TARLAC*", PDS!$B:$B, "*CONCEPCION*", PDS!$AD:$AD, "&lt;&gt;")</f>
        <v>0</v>
      </c>
      <c r="AD137" s="393" t="s">
        <v>6373</v>
      </c>
      <c r="AE137" s="393" t="s">
        <v>6373</v>
      </c>
    </row>
    <row r="138" spans="19:31">
      <c r="S138" s="682"/>
      <c r="T138" s="651" t="s">
        <v>366</v>
      </c>
      <c r="U138" s="393">
        <f>COUNTIFS('10-YEAR SWM PLAN'!$A:$A, "Tarlac", '10-YEAR SWM PLAN'!$B:$B, "*Bamban*", '10-YEAR SWM PLAN'!$AC:$AC, "&lt;&gt;")</f>
        <v>0</v>
      </c>
      <c r="V138" s="393">
        <f>COUNTIFS('FUNDED MRF'!$A:$A, "Tarlac", 'FUNDED MRF'!$B:$B, "*Bamban*", 'FUNDED MRF'!$AA:$AA, "&lt;&gt;")</f>
        <v>0</v>
      </c>
      <c r="W138" s="393" t="s">
        <v>6373</v>
      </c>
      <c r="X138" s="393">
        <f>COUNTIFS(EQUIPMENT!$A:$A, "Tarlac", EQUIPMENT!$B:$B, "*bamban*", EQUIPMENT!$X:$X, "&lt;&gt;")</f>
        <v>1</v>
      </c>
      <c r="Y138" s="393" t="s">
        <v>6373</v>
      </c>
      <c r="Z138" s="393">
        <f>COUNTIFS('TECHNICAL ASSISTANCE TO BRGY.'!$A:$A, "Tarlac", 'TECHNICAL ASSISTANCE TO BRGY.'!$B:$B, "*bamban*", 'TECHNICAL ASSISTANCE TO BRGY.'!$T:$T, "&lt;&gt;")</f>
        <v>0</v>
      </c>
      <c r="AA138" s="393">
        <f>COUNTIFS(SLF!$A:$A, "*TARLAC*", SLF!$B:$B, "*bamba*", SLF!$AF:$AF, "&lt;&gt;")</f>
        <v>0</v>
      </c>
      <c r="AB138" s="393" t="s">
        <v>6373</v>
      </c>
      <c r="AC138" s="393">
        <f>COUNTIFS(PDS!$A:$A, "*TARLAC*", PDS!$B:$B, "*BAMBAN*", PDS!$AD:$AD, "&lt;&gt;")</f>
        <v>0</v>
      </c>
      <c r="AD138" s="393" t="s">
        <v>6373</v>
      </c>
      <c r="AE138" s="393" t="s">
        <v>6373</v>
      </c>
    </row>
    <row r="139" spans="19:31">
      <c r="S139" s="683"/>
      <c r="T139" s="651" t="s">
        <v>318</v>
      </c>
      <c r="U139" s="393">
        <f>COUNTIFS('10-YEAR SWM PLAN'!$A:$A, "Tarlac", '10-YEAR SWM PLAN'!$B:$B, "*La Paz*", '10-YEAR SWM PLAN'!$AC:$AC, "&lt;&gt;")</f>
        <v>1</v>
      </c>
      <c r="V139" s="393">
        <f>COUNTIFS('FUNDED MRF'!$A:$A, "Tarlac", 'FUNDED MRF'!$B:$B, "*La Paz*", 'FUNDED MRF'!$AA:$AA, "&lt;&gt;")</f>
        <v>0</v>
      </c>
      <c r="W139" s="393" t="s">
        <v>6373</v>
      </c>
      <c r="X139" s="393">
        <f>COUNTIFS(EQUIPMENT!$A:$A, "Tarlac", EQUIPMENT!$B:$B, "*la paz*", EQUIPMENT!$X:$X, "&lt;&gt;")</f>
        <v>0</v>
      </c>
      <c r="Y139" s="393" t="s">
        <v>6373</v>
      </c>
      <c r="Z139" s="393">
        <f>COUNTIFS('TECHNICAL ASSISTANCE TO BRGY.'!$A:$A, "Tarlac", 'TECHNICAL ASSISTANCE TO BRGY.'!$B:$B, "*la paz*", 'TECHNICAL ASSISTANCE TO BRGY.'!$T:$T, "&lt;&gt;")</f>
        <v>0</v>
      </c>
      <c r="AA139" s="393">
        <f>COUNTIFS(SLF!$A:$A, "*TARLAC*", SLF!$B:$B, "*la paz*", SLF!$AF:$AF, "&lt;&gt;")</f>
        <v>0</v>
      </c>
      <c r="AB139" s="393" t="s">
        <v>6373</v>
      </c>
      <c r="AC139" s="393">
        <f>COUNTIFS(PDS!$A:$A, "*TARLAC*", PDS!$B:$B, "*LA PAZ*", PDS!$AD:$AD, "&lt;&gt;")</f>
        <v>0</v>
      </c>
      <c r="AD139" s="393" t="s">
        <v>6373</v>
      </c>
      <c r="AE139" s="393" t="s">
        <v>6373</v>
      </c>
    </row>
    <row r="140" spans="19:31">
      <c r="S140" s="681" t="s">
        <v>53</v>
      </c>
      <c r="T140" s="660" t="s">
        <v>6378</v>
      </c>
      <c r="U140" s="660">
        <f>SUM(U141:U144)</f>
        <v>1</v>
      </c>
      <c r="V140" s="660">
        <f t="shared" ref="V140:AE140" si="175">SUM(V141:V144)</f>
        <v>0</v>
      </c>
      <c r="W140" s="660">
        <f t="shared" si="175"/>
        <v>1</v>
      </c>
      <c r="X140" s="660">
        <f t="shared" si="175"/>
        <v>0</v>
      </c>
      <c r="Y140" s="660">
        <f t="shared" si="175"/>
        <v>0</v>
      </c>
      <c r="Z140" s="660">
        <f t="shared" si="175"/>
        <v>1</v>
      </c>
      <c r="AA140" s="660">
        <f t="shared" si="175"/>
        <v>0</v>
      </c>
      <c r="AB140" s="660">
        <f t="shared" si="175"/>
        <v>0</v>
      </c>
      <c r="AC140" s="660">
        <f t="shared" si="175"/>
        <v>0</v>
      </c>
      <c r="AD140" s="660">
        <f t="shared" si="175"/>
        <v>0</v>
      </c>
      <c r="AE140" s="660">
        <f t="shared" si="175"/>
        <v>0</v>
      </c>
    </row>
    <row r="141" spans="19:31">
      <c r="S141" s="682"/>
      <c r="T141" s="651" t="s">
        <v>242</v>
      </c>
      <c r="U141" s="393">
        <f>COUNTIFS('10-YEAR SWM PLAN'!$A:$A, "Zambales", '10-YEAR SWM PLAN'!$B:$B, "*Olongapo*", '10-YEAR SWM PLAN'!$AC:$AC, "&lt;&gt;")</f>
        <v>1</v>
      </c>
      <c r="V141" s="393">
        <f>COUNTIFS('FUNDED MRF'!$A:$A, "Zambales", 'FUNDED MRF'!$B:$B, "*Olongapo*", 'FUNDED MRF'!$AA:$AA, "&lt;&gt;")</f>
        <v>0</v>
      </c>
      <c r="W141" s="393">
        <f>COUNTIFS(SLF!$A:$A, "*zambales*", SLF!$B:$B, "*olong*", SLF!$AF:$AF, "&lt;&gt;")</f>
        <v>1</v>
      </c>
      <c r="X141" s="393">
        <f>COUNTIFS(EQUIPMENT!$A:$A, "Zambales", EQUIPMENT!$B:$B, "*olongapo*", EQUIPMENT!$X:$X, "&lt;&gt;")</f>
        <v>0</v>
      </c>
      <c r="Y141" s="393">
        <f>COUNTIFS('ODS 3'!$A:$A, "Zambales", 'ODS 3'!$B:$B, "*Olong*", 'ODS 3'!$AB:$AB, "&lt;&gt;")</f>
        <v>0</v>
      </c>
      <c r="Z141" s="393">
        <f>COUNTIFS('TECHNICAL ASSISTANCE TO BRGY.'!$A:$A, "Zambales", 'TECHNICAL ASSISTANCE TO BRGY.'!$B:$B, "*Olongapo*", 'TECHNICAL ASSISTANCE TO BRGY.'!$T:$T, "&lt;&gt;")</f>
        <v>1</v>
      </c>
      <c r="AA141" s="393">
        <f>COUNTIFS('LGU ASST. &amp; WASTE DIVERSION REC'!$A:$A, "ZAMBALES", 'LGU ASST. &amp; WASTE DIVERSION REC'!$B:$B, "*OLONGAPO*", 'LGU ASST. &amp; WASTE DIVERSION REC'!$Q:$Q, "&lt;&gt;")</f>
        <v>0</v>
      </c>
      <c r="AB141" s="393" t="s">
        <v>6373</v>
      </c>
      <c r="AC141" s="393">
        <f>COUNTIFS(PDS!$A:$A, "*ZAMBALES*", PDS!$B:$B, "*OLONGAPO*", PDS!$AD:$AD, "&lt;&gt;")</f>
        <v>0</v>
      </c>
      <c r="AD141" s="393">
        <f>COUNTIFS(RCA!$A:$A, "Zambales", RCA!$B:$B, "*olong*", RCA!$W:$W, "&lt;&gt;")</f>
        <v>0</v>
      </c>
      <c r="AE141" s="393">
        <f>COUNTIFS('TRANSFER STATION'!$A:$A, "Zambales", 'TRANSFER STATION'!$B:$B, "*olong*", 'TRANSFER STATION'!$W:$W, "&lt;&gt;")</f>
        <v>0</v>
      </c>
    </row>
    <row r="142" spans="19:31">
      <c r="S142" s="682"/>
      <c r="T142" s="651" t="s">
        <v>355</v>
      </c>
      <c r="U142" s="393">
        <f>COUNTIFS('10-YEAR SWM PLAN'!$A:$A, "Zambales", '10-YEAR SWM PLAN'!$B:$B, "*San Marcelino*", '10-YEAR SWM PLAN'!$AC:$AC, "&lt;&gt;")</f>
        <v>0</v>
      </c>
      <c r="V142" s="393">
        <f>COUNTIFS('FUNDED MRF'!$A:$A, "Zambales", 'FUNDED MRF'!$B:$B, "*San Marcelino*", 'FUNDED MRF'!$AA:$AA, "&lt;&gt;")</f>
        <v>0</v>
      </c>
      <c r="W142" s="393">
        <f>COUNTIFS(SLF!$A:$A, "*zambales*", SLF!$B:$B, "*marceli*", SLF!$AF:$AF, "&lt;&gt;")</f>
        <v>0</v>
      </c>
      <c r="X142" s="393">
        <f>COUNTIFS(EQUIPMENT!$A:$A, "Zambales", EQUIPMENT!$B:$B, "*marcelino*", EQUIPMENT!$X:$X, "&lt;&gt;")</f>
        <v>0</v>
      </c>
      <c r="Y142" s="393">
        <f>COUNTIFS('ODS 3'!$A:$A, "Zambales", 'ODS 3'!$B:$B, "*marce*", 'ODS 3'!$AB:$AB, "&lt;&gt;")</f>
        <v>0</v>
      </c>
      <c r="Z142" s="393">
        <f>COUNTIFS('TECHNICAL ASSISTANCE TO BRGY.'!$A:$A, "Zambales", 'TECHNICAL ASSISTANCE TO BRGY.'!$B:$B, "*marcelino*", 'TECHNICAL ASSISTANCE TO BRGY.'!$T:$T, "&lt;&gt;")</f>
        <v>0</v>
      </c>
      <c r="AA142" s="393">
        <f>COUNTIFS('LGU ASST. &amp; WASTE DIVERSION REC'!$A:$A, "ZAMBALES", 'LGU ASST. &amp; WASTE DIVERSION REC'!$B:$B, "*MARCELINO*", 'LGU ASST. &amp; WASTE DIVERSION REC'!$Q:$Q, "&lt;&gt;")</f>
        <v>0</v>
      </c>
      <c r="AB142" s="393" t="s">
        <v>6373</v>
      </c>
      <c r="AC142" s="393">
        <f>COUNTIFS(PDS!$A:$A, "*ZAMBALES*", PDS!$B:$B, "*SAN MARCELINO*", PDS!$AD:$AD, "&lt;&gt;")</f>
        <v>0</v>
      </c>
      <c r="AD142" s="393">
        <f>COUNTIFS(RCA!$A:$A, "Zambales", RCA!$B:$B, "*marce*", RCA!$W:$W, "&lt;&gt;")</f>
        <v>0</v>
      </c>
      <c r="AE142" s="393">
        <f>COUNTIFS('TRANSFER STATION'!$A:$A, "Zambales", 'TRANSFER STATION'!$B:$B, "*marce*", 'TRANSFER STATION'!$W:$W, "&lt;&gt;")</f>
        <v>0</v>
      </c>
    </row>
    <row r="143" spans="19:31">
      <c r="S143" s="682"/>
      <c r="T143" s="651" t="s">
        <v>397</v>
      </c>
      <c r="U143" s="393">
        <f>COUNTIFS('10-YEAR SWM PLAN'!$A:$A, "Zambales", '10-YEAR SWM PLAN'!$B:$B, "*Castillejos*", '10-YEAR SWM PLAN'!$AC:$AC, "&lt;&gt;")</f>
        <v>0</v>
      </c>
      <c r="V143" s="393">
        <f>COUNTIFS('FUNDED MRF'!$A:$A, "Zambales", 'FUNDED MRF'!$B:$B, "*Castillejos*", 'FUNDED MRF'!$AA:$AA, "&lt;&gt;")</f>
        <v>0</v>
      </c>
      <c r="W143" s="393">
        <f>COUNTIFS(SLF!$A:$A, "*zambales*", SLF!$B:$B, "*castill*", SLF!$AF:$AF, "&lt;&gt;")</f>
        <v>0</v>
      </c>
      <c r="X143" s="393">
        <f>COUNTIFS(EQUIPMENT!$A:$A, "Zambales", EQUIPMENT!$B:$B, "*castill*", EQUIPMENT!$X:$X, "&lt;&gt;")</f>
        <v>0</v>
      </c>
      <c r="Y143" s="393">
        <f>COUNTIFS('ODS 3'!$A:$A, "Zambales", 'ODS 3'!$B:$B, "*castill*", 'ODS 3'!$AB:$AB, "&lt;&gt;")</f>
        <v>0</v>
      </c>
      <c r="Z143" s="393">
        <f>COUNTIFS('TECHNICAL ASSISTANCE TO BRGY.'!$A:$A, "Zambales", 'TECHNICAL ASSISTANCE TO BRGY.'!$B:$B, "*casti*", 'TECHNICAL ASSISTANCE TO BRGY.'!$T:$T, "&lt;&gt;")</f>
        <v>0</v>
      </c>
      <c r="AA143" s="393">
        <f>COUNTIFS('LGU ASST. &amp; WASTE DIVERSION REC'!$A:$A, "ZAMBALES", 'LGU ASST. &amp; WASTE DIVERSION REC'!$B:$B, "*CASTIL*", 'LGU ASST. &amp; WASTE DIVERSION REC'!$Q:$Q, "&lt;&gt;")</f>
        <v>0</v>
      </c>
      <c r="AB143" s="393" t="s">
        <v>6373</v>
      </c>
      <c r="AC143" s="393">
        <f>COUNTIFS(PDS!$A:$A, "*ZAMBALES*", PDS!$B:$B, "*CASTILLEJOS*", PDS!$AD:$AD, "&lt;&gt;")</f>
        <v>0</v>
      </c>
      <c r="AD143" s="393">
        <f>COUNTIFS(RCA!$A:$A, "Zambales", RCA!$B:$B, "*castill*", RCA!$W:$W, "&lt;&gt;")</f>
        <v>0</v>
      </c>
      <c r="AE143" s="393">
        <f>COUNTIFS('TRANSFER STATION'!$A:$A, "Zambales", 'TRANSFER STATION'!$B:$B, "*castill*", 'TRANSFER STATION'!$W:$W, "&lt;&gt;")</f>
        <v>0</v>
      </c>
    </row>
    <row r="144" spans="19:31">
      <c r="S144" s="682"/>
      <c r="T144" s="651" t="s">
        <v>1049</v>
      </c>
      <c r="U144" s="393">
        <f>COUNTIFS('10-YEAR SWM PLAN'!$A:$A, "Zambales", '10-YEAR SWM PLAN'!$B:$B, "*Subic*", '10-YEAR SWM PLAN'!$AC:$AC, "&lt;&gt;")</f>
        <v>0</v>
      </c>
      <c r="V144" s="393">
        <f>COUNTIFS('FUNDED MRF'!$A:$A, "Zambales", 'FUNDED MRF'!$B:$B, "*Subic*", 'FUNDED MRF'!$AA:$AA, "&lt;&gt;")</f>
        <v>0</v>
      </c>
      <c r="W144" s="393">
        <f>COUNTIFS(SLF!$A:$A, "*zambales*", SLF!$B:$B, "*subic*", SLF!$AF:$AF, "&lt;&gt;")</f>
        <v>0</v>
      </c>
      <c r="X144" s="393">
        <f>COUNTIFS(EQUIPMENT!$A:$A, "Zambales", EQUIPMENT!$B:$B, "*subic*", EQUIPMENT!$X:$X, "&lt;&gt;")</f>
        <v>0</v>
      </c>
      <c r="Y144" s="393">
        <f>COUNTIFS('ODS 3'!$A:$A, "Zambales", 'ODS 3'!$B:$B, "*subic*", 'ODS 3'!$AB:$AB, "&lt;&gt;")</f>
        <v>0</v>
      </c>
      <c r="Z144" s="393">
        <f>COUNTIFS('TECHNICAL ASSISTANCE TO BRGY.'!$A:$A, "Zambales", 'TECHNICAL ASSISTANCE TO BRGY.'!$B:$B, "*subic*", 'TECHNICAL ASSISTANCE TO BRGY.'!$T:$T, "&lt;&gt;")</f>
        <v>0</v>
      </c>
      <c r="AA144" s="393">
        <f>COUNTIFS('LGU ASST. &amp; WASTE DIVERSION REC'!$A:$A, "ZAMBALES", 'LGU ASST. &amp; WASTE DIVERSION REC'!$B:$B, "*SUBIC*", 'LGU ASST. &amp; WASTE DIVERSION REC'!$Q:$Q, "&lt;&gt;")</f>
        <v>0</v>
      </c>
      <c r="AB144" s="393" t="s">
        <v>6373</v>
      </c>
      <c r="AC144" s="393">
        <f>COUNTIFS(PDS!$A:$A, "*ZAMBALES*", PDS!$B:$B, "*SUBIC*", PDS!$AD:$AD, "&lt;&gt;")</f>
        <v>0</v>
      </c>
      <c r="AD144" s="393">
        <f>COUNTIFS(RCA!$A:$A, "Zambales", RCA!$B:$B, "*subic*", RCA!$W:$W, "&lt;&gt;")</f>
        <v>0</v>
      </c>
      <c r="AE144" s="393">
        <f>COUNTIFS('TRANSFER STATION'!$A:$A, "Zambales", 'TRANSFER STATION'!$B:$B, "*subic*", 'TRANSFER STATION'!$W:$W, "&lt;&gt;")</f>
        <v>0</v>
      </c>
    </row>
    <row r="145" spans="19:31">
      <c r="S145" s="682"/>
      <c r="T145" s="660" t="s">
        <v>6379</v>
      </c>
      <c r="U145" s="660">
        <f>SUM(U146:U155)</f>
        <v>1</v>
      </c>
      <c r="V145" s="660">
        <f t="shared" ref="V145:AE145" si="176">SUM(V146:V155)</f>
        <v>2</v>
      </c>
      <c r="W145" s="660">
        <f t="shared" si="176"/>
        <v>0</v>
      </c>
      <c r="X145" s="660">
        <f t="shared" si="176"/>
        <v>1</v>
      </c>
      <c r="Y145" s="660">
        <f t="shared" si="176"/>
        <v>0</v>
      </c>
      <c r="Z145" s="660">
        <f t="shared" si="176"/>
        <v>1</v>
      </c>
      <c r="AA145" s="660">
        <f t="shared" si="176"/>
        <v>1</v>
      </c>
      <c r="AB145" s="660">
        <f t="shared" si="176"/>
        <v>0</v>
      </c>
      <c r="AC145" s="660">
        <f t="shared" si="176"/>
        <v>0</v>
      </c>
      <c r="AD145" s="660">
        <f t="shared" si="176"/>
        <v>0</v>
      </c>
      <c r="AE145" s="660">
        <f t="shared" si="176"/>
        <v>0</v>
      </c>
    </row>
    <row r="146" spans="19:31">
      <c r="S146" s="682"/>
      <c r="T146" s="651" t="s">
        <v>456</v>
      </c>
      <c r="U146" s="393">
        <f>COUNTIFS('10-YEAR SWM PLAN'!$A:$A, "Zambales", '10-YEAR SWM PLAN'!$B:$B, "*Masinloc*", '10-YEAR SWM PLAN'!$AC:$AC, "&lt;&gt;")</f>
        <v>0</v>
      </c>
      <c r="V146" s="393">
        <f>COUNTIFS('FUNDED MRF'!$A:$A, "Zambales", 'FUNDED MRF'!$B:$B, "*Masinloc*", 'FUNDED MRF'!$AA:$AA, "&lt;&gt;")</f>
        <v>2</v>
      </c>
      <c r="W146" s="393">
        <f>COUNTIFS(SLF!$A:$A, "*zambales*", SLF!$B:$B, "*masin*", SLF!$AF:$AF, "&lt;&gt;")</f>
        <v>0</v>
      </c>
      <c r="X146" s="393">
        <f>COUNTIFS(EQUIPMENT!$A:$A, "Zambales", EQUIPMENT!$B:$B, "*masinloc*", EQUIPMENT!$X:$X, "&lt;&gt;")</f>
        <v>0</v>
      </c>
      <c r="Y146" s="393">
        <f>COUNTIFS('ODS 3'!$A:$A, "Zambales", 'ODS 3'!$B:$B, "*masin*", 'ODS 3'!$AB:$AB, "&lt;&gt;")</f>
        <v>0</v>
      </c>
      <c r="Z146" s="393">
        <f>COUNTIFS('TECHNICAL ASSISTANCE TO BRGY.'!$A:$A, "Zambales", 'TECHNICAL ASSISTANCE TO BRGY.'!$B:$B, "*masinloc*", 'TECHNICAL ASSISTANCE TO BRGY.'!$T:$T, "&lt;&gt;")</f>
        <v>1</v>
      </c>
      <c r="AA146" s="393">
        <f>COUNTIFS('LGU ASST. &amp; WASTE DIVERSION REC'!$A:$A, "ZAMBALES", 'LGU ASST. &amp; WASTE DIVERSION REC'!$B:$B, "*MASIN*", 'LGU ASST. &amp; WASTE DIVERSION REC'!$Q:$Q, "&lt;&gt;")</f>
        <v>0</v>
      </c>
      <c r="AB146" s="393" t="s">
        <v>6373</v>
      </c>
      <c r="AC146" s="393">
        <f>COUNTIFS(PDS!$A:$A, "*ZAMBALES*", PDS!$B:$B, "*MASINLOC*", PDS!$AD:$AD, "&lt;&gt;")</f>
        <v>0</v>
      </c>
      <c r="AD146" s="393">
        <f>COUNTIFS(RCA!$A:$A, "Zambales", RCA!$B:$B, "*masin*", RCA!$W:$W, "&lt;&gt;")</f>
        <v>0</v>
      </c>
      <c r="AE146" s="393">
        <f>COUNTIFS('TRANSFER STATION'!$A:$A, "Zambales", 'TRANSFER STATION'!$B:$B, "*masin*", 'TRANSFER STATION'!$W:$W, "&lt;&gt;")</f>
        <v>0</v>
      </c>
    </row>
    <row r="147" spans="19:31">
      <c r="S147" s="682"/>
      <c r="T147" s="651" t="s">
        <v>733</v>
      </c>
      <c r="U147" s="393">
        <f>COUNTIFS('10-YEAR SWM PLAN'!$A:$A, "Zambales", '10-YEAR SWM PLAN'!$B:$B, "*Palauig*", '10-YEAR SWM PLAN'!$AC:$AC, "&lt;&gt;")</f>
        <v>0</v>
      </c>
      <c r="V147" s="393">
        <f>COUNTIFS('FUNDED MRF'!$A:$A, "Zambales", 'FUNDED MRF'!$B:$B, "*Palauig*", 'FUNDED MRF'!$AA:$AA, "&lt;&gt;")</f>
        <v>0</v>
      </c>
      <c r="W147" s="393">
        <f>COUNTIFS(SLF!$A:$A, "*zambales*", SLF!$B:$B, "*pala*", SLF!$AF:$AF, "&lt;&gt;")</f>
        <v>0</v>
      </c>
      <c r="X147" s="393">
        <f>COUNTIFS(EQUIPMENT!$A:$A, "Zambales", EQUIPMENT!$B:$B, "*palauig*", EQUIPMENT!$X:$X, "&lt;&gt;")</f>
        <v>0</v>
      </c>
      <c r="Y147" s="393">
        <f>COUNTIFS('ODS 3'!$A:$A, "Zambales", 'ODS 3'!$B:$B, "*palag*", 'ODS 3'!$AB:$AB, "&lt;&gt;")</f>
        <v>0</v>
      </c>
      <c r="Z147" s="393">
        <f>COUNTIFS('TECHNICAL ASSISTANCE TO BRGY.'!$A:$A, "Zambales", 'TECHNICAL ASSISTANCE TO BRGY.'!$B:$B, "*pala*", 'TECHNICAL ASSISTANCE TO BRGY.'!$T:$T, "&lt;&gt;")</f>
        <v>0</v>
      </c>
      <c r="AA147" s="393">
        <f>COUNTIFS('LGU ASST. &amp; WASTE DIVERSION REC'!$A:$A, "ZAMBALES", 'LGU ASST. &amp; WASTE DIVERSION REC'!$B:$B, "*PALAUIG*", 'LGU ASST. &amp; WASTE DIVERSION REC'!$Q:$Q, "&lt;&gt;")</f>
        <v>0</v>
      </c>
      <c r="AB147" s="393" t="s">
        <v>6373</v>
      </c>
      <c r="AC147" s="393">
        <f>COUNTIFS(PDS!$A:$A, "*ZAMBALES*", PDS!$B:$B, "*PALAUIG*", PDS!$AD:$AD, "&lt;&gt;")</f>
        <v>0</v>
      </c>
      <c r="AD147" s="393">
        <f>COUNTIFS(RCA!$A:$A, "Zambales", RCA!$B:$B, "*pala*", RCA!$W:$W, "&lt;&gt;")</f>
        <v>0</v>
      </c>
      <c r="AE147" s="393">
        <f>COUNTIFS('TRANSFER STATION'!$A:$A, "Zambales", 'TRANSFER STATION'!$B:$B, "*pala*", 'TRANSFER STATION'!$W:$W, "&lt;&gt;")</f>
        <v>0</v>
      </c>
    </row>
    <row r="148" spans="19:31">
      <c r="S148" s="682"/>
      <c r="T148" s="651" t="s">
        <v>548</v>
      </c>
      <c r="U148" s="393">
        <f>COUNTIFS('10-YEAR SWM PLAN'!$A:$A, "Zambales", '10-YEAR SWM PLAN'!$B:$B, "*San Antonio*", '10-YEAR SWM PLAN'!$AC:$AC, "&lt;&gt;")</f>
        <v>0</v>
      </c>
      <c r="V148" s="393">
        <f>COUNTIFS('FUNDED MRF'!$A:$A, "Zambales", 'FUNDED MRF'!$B:$B, "*San Antonio*", 'FUNDED MRF'!$AA:$AA, "&lt;&gt;")</f>
        <v>0</v>
      </c>
      <c r="W148" s="393">
        <f>COUNTIFS(SLF!$A:$A, "*zambales*", SLF!$B:$B, "*antonio*", SLF!$AF:$AF, "&lt;&gt;")</f>
        <v>0</v>
      </c>
      <c r="X148" s="393">
        <f>COUNTIFS(EQUIPMENT!$A:$A, "Zambales", EQUIPMENT!$B:$B, "*antonio*", EQUIPMENT!$X:$X, "&lt;&gt;")</f>
        <v>0</v>
      </c>
      <c r="Y148" s="393">
        <f>COUNTIFS('ODS 3'!$A:$A, "Zambales", 'ODS 3'!$B:$B, "*san antonio*", 'ODS 3'!$AB:$AB, "&lt;&gt;")</f>
        <v>0</v>
      </c>
      <c r="Z148" s="393">
        <f>COUNTIFS('TECHNICAL ASSISTANCE TO BRGY.'!$A:$A, "Zambales", 'TECHNICAL ASSISTANCE TO BRGY.'!$B:$B, "*antonio*", 'TECHNICAL ASSISTANCE TO BRGY.'!$T:$T, "&lt;&gt;")</f>
        <v>0</v>
      </c>
      <c r="AA148" s="393">
        <f>COUNTIFS('LGU ASST. &amp; WASTE DIVERSION REC'!$A:$A, "ZAMBALES", 'LGU ASST. &amp; WASTE DIVERSION REC'!$B:$B, "*TONIO*", 'LGU ASST. &amp; WASTE DIVERSION REC'!$Q:$Q, "&lt;&gt;")</f>
        <v>0</v>
      </c>
      <c r="AB148" s="393" t="s">
        <v>6373</v>
      </c>
      <c r="AC148" s="393">
        <f>COUNTIFS(PDS!$A:$A, "*ZAMBALES*", PDS!$B:$B, "*SAN ANTONIO*", PDS!$AD:$AD, "&lt;&gt;")</f>
        <v>0</v>
      </c>
      <c r="AD148" s="393">
        <f>COUNTIFS(RCA!$A:$A, "Zambales", RCA!$B:$B, "*antonio*", RCA!$W:$W, "&lt;&gt;")</f>
        <v>0</v>
      </c>
      <c r="AE148" s="393">
        <f>COUNTIFS('TRANSFER STATION'!$A:$A, "Zambales", 'TRANSFER STATION'!$B:$B, "*antonio*", 'TRANSFER STATION'!$W:$W, "&lt;&gt;")</f>
        <v>0</v>
      </c>
    </row>
    <row r="149" spans="19:31">
      <c r="S149" s="682"/>
      <c r="T149" s="651" t="s">
        <v>329</v>
      </c>
      <c r="U149" s="393">
        <f>COUNTIFS('10-YEAR SWM PLAN'!$A:$A, "Zambales", '10-YEAR SWM PLAN'!$B:$B, "*Botolan*", '10-YEAR SWM PLAN'!$AC:$AC, "&lt;&gt;")</f>
        <v>1</v>
      </c>
      <c r="V149" s="393">
        <f>COUNTIFS('FUNDED MRF'!$A:$A, "Zambales", 'FUNDED MRF'!$B:$B, "*Botolan*", 'FUNDED MRF'!$AA:$AA, "&lt;&gt;")</f>
        <v>0</v>
      </c>
      <c r="W149" s="393">
        <f>COUNTIFS(SLF!$A:$A, "*zambales*", SLF!$B:$B, "*boto*", SLF!$AF:$AF, "&lt;&gt;")</f>
        <v>0</v>
      </c>
      <c r="X149" s="393">
        <f>COUNTIFS(EQUIPMENT!$A:$A, "Zambales", EQUIPMENT!$B:$B, "*botolan*", EQUIPMENT!$X:$X, "&lt;&gt;")</f>
        <v>0</v>
      </c>
      <c r="Y149" s="393">
        <f>COUNTIFS('ODS 3'!$A:$A, "Zambales", 'ODS 3'!$B:$B, "*botol*", 'ODS 3'!$AB:$AB, "&lt;&gt;")</f>
        <v>0</v>
      </c>
      <c r="Z149" s="393">
        <f>COUNTIFS('TECHNICAL ASSISTANCE TO BRGY.'!$A:$A, "Zambales", 'TECHNICAL ASSISTANCE TO BRGY.'!$B:$B, "*botolan*", 'TECHNICAL ASSISTANCE TO BRGY.'!$T:$T, "&lt;&gt;")</f>
        <v>0</v>
      </c>
      <c r="AA149" s="393">
        <f>COUNTIFS('LGU ASST. &amp; WASTE DIVERSION REC'!$A:$A, "ZAMBALES", 'LGU ASST. &amp; WASTE DIVERSION REC'!$B:$B, "*BOTOL*", 'LGU ASST. &amp; WASTE DIVERSION REC'!$Q:$Q, "&lt;&gt;")</f>
        <v>1</v>
      </c>
      <c r="AB149" s="393" t="s">
        <v>6373</v>
      </c>
      <c r="AC149" s="393">
        <f>COUNTIFS(PDS!$A:$A, "*ZAMBALES*", PDS!$B:$B, "*BOTOLAN*", PDS!$AD:$AD, "&lt;&gt;")</f>
        <v>0</v>
      </c>
      <c r="AD149" s="393">
        <f>COUNTIFS(RCA!$A:$A, "Zambales", RCA!$B:$B, "*boto*", RCA!$W:$W, "&lt;&gt;")</f>
        <v>0</v>
      </c>
      <c r="AE149" s="393">
        <f>COUNTIFS('TRANSFER STATION'!$A:$A, "Zambales", 'TRANSFER STATION'!$B:$B, "*botolan*", 'TRANSFER STATION'!$W:$W, "&lt;&gt;")</f>
        <v>0</v>
      </c>
    </row>
    <row r="150" spans="19:31">
      <c r="S150" s="682"/>
      <c r="T150" s="651" t="s">
        <v>544</v>
      </c>
      <c r="U150" s="393">
        <f>COUNTIFS('10-YEAR SWM PLAN'!$A:$A, "Zambales", '10-YEAR SWM PLAN'!$B:$B, "*Cabangan*", '10-YEAR SWM PLAN'!$AC:$AC, "&lt;&gt;")</f>
        <v>0</v>
      </c>
      <c r="V150" s="393">
        <f>COUNTIFS('FUNDED MRF'!$A:$A, "Zambales", 'FUNDED MRF'!$B:$B, "*Cabangan*", 'FUNDED MRF'!$AA:$AA, "&lt;&gt;")</f>
        <v>0</v>
      </c>
      <c r="W150" s="393">
        <f>COUNTIFS(SLF!$A:$A, "*zambales*", SLF!$B:$B, "*caba*", SLF!$AF:$AF, "&lt;&gt;")</f>
        <v>0</v>
      </c>
      <c r="X150" s="393">
        <f>COUNTIFS(EQUIPMENT!$A:$A, "Zambales", EQUIPMENT!$B:$B, "*cabangan*", EQUIPMENT!$X:$X, "&lt;&gt;")</f>
        <v>0</v>
      </c>
      <c r="Y150" s="393">
        <f>COUNTIFS('ODS 3'!$A:$A, "Zambales", 'ODS 3'!$B:$B, "*cabanga*", 'ODS 3'!$AB:$AB, "&lt;&gt;")</f>
        <v>0</v>
      </c>
      <c r="Z150" s="393">
        <f>COUNTIFS('TECHNICAL ASSISTANCE TO BRGY.'!$A:$A, "Zambales", 'TECHNICAL ASSISTANCE TO BRGY.'!$B:$B, "*cabangan*", 'TECHNICAL ASSISTANCE TO BRGY.'!$T:$T, "&lt;&gt;")</f>
        <v>0</v>
      </c>
      <c r="AA150" s="393">
        <f>COUNTIFS('LGU ASST. &amp; WASTE DIVERSION REC'!$A:$A, "ZAMBALES", 'LGU ASST. &amp; WASTE DIVERSION REC'!$B:$B, "*CABANGAN*", 'LGU ASST. &amp; WASTE DIVERSION REC'!$Q:$Q, "&lt;&gt;")</f>
        <v>0</v>
      </c>
      <c r="AB150" s="393" t="s">
        <v>6373</v>
      </c>
      <c r="AC150" s="393">
        <f>COUNTIFS(PDS!$A:$A, "*ZAMBALES*", PDS!$B:$B, "*CABANGAN*", PDS!$AD:$AD, "&lt;&gt;")</f>
        <v>0</v>
      </c>
      <c r="AD150" s="393">
        <f>COUNTIFS(RCA!$A:$A, "Zambales", RCA!$B:$B, "*caba*", RCA!$W:$W, "&lt;&gt;")</f>
        <v>0</v>
      </c>
      <c r="AE150" s="393">
        <f>COUNTIFS('TRANSFER STATION'!$A:$A, "Zambales", 'TRANSFER STATION'!$B:$B, "*caba*", 'TRANSFER STATION'!$W:$W, "&lt;&gt;")</f>
        <v>0</v>
      </c>
    </row>
    <row r="151" spans="19:31">
      <c r="S151" s="682"/>
      <c r="T151" s="651" t="s">
        <v>546</v>
      </c>
      <c r="U151" s="393">
        <f>COUNTIFS('10-YEAR SWM PLAN'!$A:$A, "Zambales", '10-YEAR SWM PLAN'!$B:$B, "*Candelaria*", '10-YEAR SWM PLAN'!$AC:$AC, "&lt;&gt;")</f>
        <v>0</v>
      </c>
      <c r="V151" s="393">
        <f>COUNTIFS('FUNDED MRF'!$A:$A, "Zambales", 'FUNDED MRF'!$B:$B, "*Candelaria*", 'FUNDED MRF'!$AA:$AA, "&lt;&gt;")</f>
        <v>0</v>
      </c>
      <c r="W151" s="393">
        <f>COUNTIFS(SLF!$A:$A, "*zambales*", SLF!$B:$B, "*cande*", SLF!$AF:$AF, "&lt;&gt;")</f>
        <v>0</v>
      </c>
      <c r="X151" s="393">
        <f>COUNTIFS(EQUIPMENT!$A:$A, "Zambales", EQUIPMENT!$B:$B, "*candela*", EQUIPMENT!$X:$X, "&lt;&gt;")</f>
        <v>0</v>
      </c>
      <c r="Y151" s="393">
        <f>COUNTIFS('ODS 3'!$A:$A, "Zambales", 'ODS 3'!$B:$B, "*cande*", 'ODS 3'!$AB:$AB, "&lt;&gt;")</f>
        <v>0</v>
      </c>
      <c r="Z151" s="393">
        <f>COUNTIFS('TECHNICAL ASSISTANCE TO BRGY.'!$A:$A, "Zambales", 'TECHNICAL ASSISTANCE TO BRGY.'!$B:$B, "*cande*", 'TECHNICAL ASSISTANCE TO BRGY.'!$T:$T, "&lt;&gt;")</f>
        <v>0</v>
      </c>
      <c r="AA151" s="393">
        <f>COUNTIFS('LGU ASST. &amp; WASTE DIVERSION REC'!$A:$A, "ZAMBALES", 'LGU ASST. &amp; WASTE DIVERSION REC'!$B:$B, "*CANDEL*", 'LGU ASST. &amp; WASTE DIVERSION REC'!$Q:$Q, "&lt;&gt;")</f>
        <v>0</v>
      </c>
      <c r="AB151" s="393" t="s">
        <v>6373</v>
      </c>
      <c r="AC151" s="393">
        <f>COUNTIFS(PDS!$A:$A, "*ZAMBALES*", PDS!$B:$B, "*CANDELARIA*", PDS!$AD:$AD, "&lt;&gt;")</f>
        <v>0</v>
      </c>
      <c r="AD151" s="393">
        <f>COUNTIFS(RCA!$A:$A, "Zambales", RCA!$B:$B, "*cande*", RCA!$W:$W, "&lt;&gt;")</f>
        <v>0</v>
      </c>
      <c r="AE151" s="393">
        <f>COUNTIFS('TRANSFER STATION'!$A:$A, "Zambales", 'TRANSFER STATION'!$B:$B, "*cande*", 'TRANSFER STATION'!$W:$W, "&lt;&gt;")</f>
        <v>0</v>
      </c>
    </row>
    <row r="152" spans="19:31">
      <c r="S152" s="682"/>
      <c r="T152" s="651" t="s">
        <v>4393</v>
      </c>
      <c r="U152" s="393">
        <f>COUNTIFS('10-YEAR SWM PLAN'!$A:$A, "Zambales", '10-YEAR SWM PLAN'!$B:$B, "*Iba*", '10-YEAR SWM PLAN'!$AC:$AC, "&lt;&gt;")</f>
        <v>0</v>
      </c>
      <c r="V152" s="393">
        <f>COUNTIFS('FUNDED MRF'!$A:$A, "Zambales", 'FUNDED MRF'!$B:$B, "*Iba*", 'FUNDED MRF'!$AA:$AA, "&lt;&gt;")</f>
        <v>0</v>
      </c>
      <c r="W152" s="393">
        <f>COUNTIFS(SLF!$A:$A, "*zambales*", SLF!$B:$B, "*iba*", SLF!$AF:$AF, "&lt;&gt;")</f>
        <v>0</v>
      </c>
      <c r="X152" s="393">
        <f>COUNTIFS(EQUIPMENT!$A:$A, "Zambales", EQUIPMENT!$B:$B, "*iba*", EQUIPMENT!$X:$X, "&lt;&gt;")</f>
        <v>1</v>
      </c>
      <c r="Y152" s="393">
        <f>COUNTIFS('ODS 3'!$A:$A, "Zambales", 'ODS 3'!$B:$B, "*iba*", 'ODS 3'!$AB:$AB, "&lt;&gt;")</f>
        <v>0</v>
      </c>
      <c r="Z152" s="393">
        <f>COUNTIFS('TECHNICAL ASSISTANCE TO BRGY.'!$A:$A, "Zambales", 'TECHNICAL ASSISTANCE TO BRGY.'!$B:$B, "*iba*", 'TECHNICAL ASSISTANCE TO BRGY.'!$T:$T, "&lt;&gt;")</f>
        <v>0</v>
      </c>
      <c r="AA152" s="393">
        <f>COUNTIFS('LGU ASST. &amp; WASTE DIVERSION REC'!$A:$A, "ZAMBALES", 'LGU ASST. &amp; WASTE DIVERSION REC'!$B:$B, "*IBA*", 'LGU ASST. &amp; WASTE DIVERSION REC'!$Q:$Q, "&lt;&gt;")</f>
        <v>0</v>
      </c>
      <c r="AB152" s="393" t="s">
        <v>6373</v>
      </c>
      <c r="AC152" s="393">
        <f>COUNTIFS(PDS!$A:$A, "*ZAMBALES*", PDS!$B:$B, "*IBA*", PDS!$AD:$AD, "&lt;&gt;")</f>
        <v>0</v>
      </c>
      <c r="AD152" s="393">
        <f>COUNTIFS(RCA!$A:$A, "Zambales", RCA!$B:$B, "*iba*", RCA!$W:$W, "&lt;&gt;")</f>
        <v>0</v>
      </c>
      <c r="AE152" s="393">
        <f>COUNTIFS('TRANSFER STATION'!$A:$A, "Zambales", 'TRANSFER STATION'!$B:$B, "*iba*", 'TRANSFER STATION'!$W:$W, "&lt;&gt;")</f>
        <v>0</v>
      </c>
    </row>
    <row r="153" spans="19:31">
      <c r="S153" s="682"/>
      <c r="T153" s="651" t="s">
        <v>550</v>
      </c>
      <c r="U153" s="393">
        <f>COUNTIFS('10-YEAR SWM PLAN'!$A:$A, "Zambales", '10-YEAR SWM PLAN'!$B:$B, "*San Felipe*", '10-YEAR SWM PLAN'!$AC:$AC, "&lt;&gt;")</f>
        <v>0</v>
      </c>
      <c r="V153" s="393">
        <f>COUNTIFS('FUNDED MRF'!$A:$A, "Zambales", 'FUNDED MRF'!$B:$B, "*San Felipe*", 'FUNDED MRF'!$AA:$AA, "&lt;&gt;")</f>
        <v>0</v>
      </c>
      <c r="W153" s="393">
        <f>COUNTIFS(SLF!$A:$A, "*zambales*", SLF!$B:$B, "*felipe*", SLF!$AF:$AF, "&lt;&gt;")</f>
        <v>0</v>
      </c>
      <c r="X153" s="393">
        <f>COUNTIFS(EQUIPMENT!$A:$A, "Zambales", EQUIPMENT!$B:$B, "*felipe*", EQUIPMENT!$X:$X, "&lt;&gt;")</f>
        <v>0</v>
      </c>
      <c r="Y153" s="393">
        <f>COUNTIFS('ODS 3'!$A:$A, "Zambales", 'ODS 3'!$B:$B, "*felipe*", 'ODS 3'!$AB:$AB, "&lt;&gt;")</f>
        <v>0</v>
      </c>
      <c r="Z153" s="393">
        <f>COUNTIFS('TECHNICAL ASSISTANCE TO BRGY.'!$A:$A, "Zambales", 'TECHNICAL ASSISTANCE TO BRGY.'!$B:$B, "*felipe*", 'TECHNICAL ASSISTANCE TO BRGY.'!$T:$T, "&lt;&gt;")</f>
        <v>0</v>
      </c>
      <c r="AA153" s="393">
        <f>COUNTIFS('LGU ASST. &amp; WASTE DIVERSION REC'!$A:$A, "ZAMBALES", 'LGU ASST. &amp; WASTE DIVERSION REC'!$B:$B, "*FELIPE*", 'LGU ASST. &amp; WASTE DIVERSION REC'!$Q:$Q, "&lt;&gt;")</f>
        <v>0</v>
      </c>
      <c r="AB153" s="393" t="s">
        <v>6373</v>
      </c>
      <c r="AC153" s="393">
        <f>COUNTIFS(PDS!$A:$A, "*ZAMBALES*", PDS!$B:$B, "*SAN FELIPE*", PDS!$AD:$AD, "&lt;&gt;")</f>
        <v>0</v>
      </c>
      <c r="AD153" s="393">
        <f>COUNTIFS(RCA!$A:$A, "Zambales", RCA!$B:$B, "*felipe*", RCA!$W:$W, "&lt;&gt;")</f>
        <v>0</v>
      </c>
      <c r="AE153" s="393">
        <f>COUNTIFS('TRANSFER STATION'!$A:$A, "Zambales", 'TRANSFER STATION'!$B:$B, "*felipe*", 'TRANSFER STATION'!$W:$W, "&lt;&gt;")</f>
        <v>0</v>
      </c>
    </row>
    <row r="154" spans="19:31">
      <c r="S154" s="682"/>
      <c r="T154" s="651" t="s">
        <v>552</v>
      </c>
      <c r="U154" s="393">
        <f>COUNTIFS('10-YEAR SWM PLAN'!$A:$A, "Zambales", '10-YEAR SWM PLAN'!$B:$B, "*San Narciso*", '10-YEAR SWM PLAN'!$AC:$AC, "&lt;&gt;")</f>
        <v>0</v>
      </c>
      <c r="V154" s="393">
        <f>COUNTIFS('FUNDED MRF'!$A:$A, "Zambales", 'FUNDED MRF'!$B:$B, "*San Narciso*", 'FUNDED MRF'!$AA:$AA, "&lt;&gt;")</f>
        <v>0</v>
      </c>
      <c r="W154" s="393">
        <f>COUNTIFS(SLF!$A:$A, "*zambales*", SLF!$B:$B, "*narciso*", SLF!$AF:$AF, "&lt;&gt;")</f>
        <v>0</v>
      </c>
      <c r="X154" s="393">
        <f>COUNTIFS(EQUIPMENT!$A:$A, "Zambales", EQUIPMENT!$B:$B, "*narciso*", EQUIPMENT!$X:$X, "&lt;&gt;")</f>
        <v>0</v>
      </c>
      <c r="Y154" s="393">
        <f>COUNTIFS('ODS 3'!$A:$A, "Zambales", 'ODS 3'!$B:$B, "*narci*", 'ODS 3'!$AB:$AB, "&lt;&gt;")</f>
        <v>0</v>
      </c>
      <c r="Z154" s="393">
        <f>COUNTIFS('TECHNICAL ASSISTANCE TO BRGY.'!$A:$A, "Zambales", 'TECHNICAL ASSISTANCE TO BRGY.'!$B:$B, "*narciso*", 'TECHNICAL ASSISTANCE TO BRGY.'!$T:$T, "&lt;&gt;")</f>
        <v>0</v>
      </c>
      <c r="AA154" s="393">
        <f>COUNTIFS('LGU ASST. &amp; WASTE DIVERSION REC'!$A:$A, "ZAMBALES", 'LGU ASST. &amp; WASTE DIVERSION REC'!$B:$B, "*NARCISO*", 'LGU ASST. &amp; WASTE DIVERSION REC'!$Q:$Q, "&lt;&gt;")</f>
        <v>0</v>
      </c>
      <c r="AB154" s="393" t="s">
        <v>6373</v>
      </c>
      <c r="AC154" s="393">
        <f>COUNTIFS(PDS!$A:$A, "*ZAMBALES*", PDS!$B:$B, "*SAN NARCISO*", PDS!$AD:$AD, "&lt;&gt;")</f>
        <v>0</v>
      </c>
      <c r="AD154" s="393">
        <f>COUNTIFS(RCA!$A:$A, "Zambales", RCA!$B:$B, "*narciso*", RCA!$W:$W, "&lt;&gt;")</f>
        <v>0</v>
      </c>
      <c r="AE154" s="393">
        <f>COUNTIFS('TRANSFER STATION'!$A:$A, "Zambales", 'TRANSFER STATION'!$B:$B, "*narciso*", 'TRANSFER STATION'!$W:$W, "&lt;&gt;")</f>
        <v>0</v>
      </c>
    </row>
    <row r="155" spans="19:31">
      <c r="S155" s="683"/>
      <c r="T155" s="652" t="s">
        <v>4536</v>
      </c>
      <c r="U155" s="393">
        <f>COUNTIFS('10-YEAR SWM PLAN'!$A:$A, "Zambales", '10-YEAR SWM PLAN'!$B:$B, "*Cruz*", '10-YEAR SWM PLAN'!$AC:$AC, "&lt;&gt;")</f>
        <v>0</v>
      </c>
      <c r="V155" s="393">
        <f>COUNTIFS('FUNDED MRF'!$A:$A, "Zambales", 'FUNDED MRF'!$B:$B, "*Cruz*", 'FUNDED MRF'!$AA:$AA, "&lt;&gt;")</f>
        <v>0</v>
      </c>
      <c r="W155" s="393">
        <f>COUNTIFS(SLF!$A:$A, "*zambales*", SLF!$B:$B, "*cruz*", SLF!$AF:$AF, "&lt;&gt;")</f>
        <v>0</v>
      </c>
      <c r="X155" s="393">
        <f>COUNTIFS(EQUIPMENT!$A:$A, "Zambales", EQUIPMENT!$B:$B, "*cruz*", EQUIPMENT!$X:$X, "&lt;&gt;")</f>
        <v>0</v>
      </c>
      <c r="Y155" s="393">
        <f>COUNTIFS('ODS 3'!$A:$A, "Zambales", 'ODS 3'!$B:$B, "*cruz*", 'ODS 3'!$AB:$AB, "&lt;&gt;")</f>
        <v>0</v>
      </c>
      <c r="Z155" s="393">
        <f>COUNTIFS('TECHNICAL ASSISTANCE TO BRGY.'!$A:$A, "Zambales", 'TECHNICAL ASSISTANCE TO BRGY.'!$B:$B, "*cruz*", 'TECHNICAL ASSISTANCE TO BRGY.'!$T:$T, "&lt;&gt;")</f>
        <v>0</v>
      </c>
      <c r="AA155" s="393">
        <f>COUNTIFS('LGU ASST. &amp; WASTE DIVERSION REC'!$A:$A, "ZAMBALES", 'LGU ASST. &amp; WASTE DIVERSION REC'!$B:$B, "*CRUZ*", 'LGU ASST. &amp; WASTE DIVERSION REC'!$Q:$Q, "&lt;&gt;")</f>
        <v>0</v>
      </c>
      <c r="AB155" s="653" t="s">
        <v>6373</v>
      </c>
      <c r="AC155" s="393">
        <f>COUNTIFS(PDS!$A:$A, "*ZAMBALES*", PDS!$B:$B, "*CRUZ*", PDS!$AD:$AD, "&lt;&gt;")</f>
        <v>0</v>
      </c>
      <c r="AD155" s="393">
        <f>COUNTIFS(RCA!$A:$A, "Zambales", RCA!$B:$B, "*cruz*", RCA!$W:$W, "&lt;&gt;")</f>
        <v>0</v>
      </c>
      <c r="AE155" s="393">
        <f>COUNTIFS('TRANSFER STATION'!$A:$A, "Zambales", 'TRANSFER STATION'!$B:$B, "*cruz*", 'TRANSFER STATION'!$W:$W, "&lt;&gt;")</f>
        <v>0</v>
      </c>
    </row>
    <row r="156" spans="19:31">
      <c r="S156" s="656" t="s">
        <v>6387</v>
      </c>
      <c r="T156" s="660"/>
      <c r="U156" s="660"/>
      <c r="V156" s="660"/>
      <c r="W156" s="660"/>
      <c r="X156" s="660">
        <f>COUNTIFS(EQUIPMENT!$A:$A, "*province of*", EQUIPMENT!$X:$X, "&lt;&gt;")</f>
        <v>2</v>
      </c>
      <c r="Y156" s="660"/>
      <c r="Z156" s="660"/>
      <c r="AA156" s="660"/>
      <c r="AB156" s="660"/>
      <c r="AC156" s="660"/>
      <c r="AD156" s="660"/>
      <c r="AE156" s="660"/>
    </row>
    <row r="157" spans="19:31">
      <c r="S157" s="651"/>
      <c r="T157" s="654" t="s">
        <v>86</v>
      </c>
      <c r="U157" s="649">
        <f>SUM(U145,U140,U135,U130,U119,U110,U104,U97,U93,U84,U76,U67,U57,U55,U51,U46,U42,U37,U33,U26,U21,U16,U11,U2)</f>
        <v>20</v>
      </c>
      <c r="V157" s="649">
        <f t="shared" ref="V157:AE157" si="177">SUM(V145,V140,V135,V130,V119,V110,V104,V97,V93,V84,V76,V67,V57,V55,V51,V46,V42,V37,V33,V26,V21,V16,V11,V2)</f>
        <v>13</v>
      </c>
      <c r="W157" s="649">
        <f t="shared" si="177"/>
        <v>1</v>
      </c>
      <c r="X157" s="649">
        <f>SUM(X145,X140,X135,X130,X119,X110,X104,X97,X93,X84,X76,X67,X57,X55,X51,X46,X42,X37,X33,X26,X21,X16,X11,X2,X156)</f>
        <v>24</v>
      </c>
      <c r="Y157" s="649">
        <f t="shared" si="177"/>
        <v>0</v>
      </c>
      <c r="Z157" s="649">
        <f>SUM(Z145,Z140,Z135,Z130,Z119,Z110,Z104,Z97,Z93,Z84,Z76,Z67,Z57,Z55,Z51,Z46,Z42,Z37,Z33,Z26,Z21,Z16,Z11,Z2)</f>
        <v>232</v>
      </c>
      <c r="AA157" s="649">
        <f t="shared" si="177"/>
        <v>5</v>
      </c>
      <c r="AB157" s="649">
        <f t="shared" si="177"/>
        <v>19</v>
      </c>
      <c r="AC157" s="649">
        <f t="shared" si="177"/>
        <v>3</v>
      </c>
      <c r="AD157" s="649">
        <f t="shared" si="177"/>
        <v>1</v>
      </c>
      <c r="AE157" s="649">
        <f t="shared" si="177"/>
        <v>3</v>
      </c>
    </row>
  </sheetData>
  <mergeCells count="8">
    <mergeCell ref="S93:S118"/>
    <mergeCell ref="S119:S139"/>
    <mergeCell ref="S140:S155"/>
    <mergeCell ref="A1:P2"/>
    <mergeCell ref="S2:S10"/>
    <mergeCell ref="S11:S25"/>
    <mergeCell ref="S26:S56"/>
    <mergeCell ref="S57:S9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63C97-547D-4FC7-A0F3-ED062C23E5D3}">
  <sheetPr codeName="Sheet21">
    <tabColor rgb="FFFF0000"/>
  </sheetPr>
  <dimension ref="A1:U40"/>
  <sheetViews>
    <sheetView workbookViewId="0">
      <pane xSplit="3" topLeftCell="N1" activePane="topRight" state="frozen"/>
      <selection pane="topRight" activeCell="R46" sqref="R45:R46"/>
    </sheetView>
  </sheetViews>
  <sheetFormatPr defaultRowHeight="15"/>
  <cols>
    <col min="1" max="1" width="15" style="457" customWidth="1"/>
    <col min="2" max="2" width="16.28515625" style="457" customWidth="1"/>
    <col min="3" max="3" width="22.7109375" style="457" bestFit="1" customWidth="1"/>
    <col min="4" max="4" width="22.7109375" style="457" customWidth="1"/>
    <col min="5" max="5" width="45.5703125" style="457" bestFit="1" customWidth="1"/>
    <col min="6" max="6" width="16.28515625" style="457" customWidth="1"/>
    <col min="7" max="7" width="21" style="457" customWidth="1"/>
    <col min="8" max="8" width="23.42578125" style="457" customWidth="1"/>
    <col min="9" max="9" width="22" style="457" bestFit="1" customWidth="1"/>
    <col min="10" max="19" width="19.85546875" style="457" customWidth="1"/>
    <col min="20" max="20" width="21.140625" style="457" customWidth="1"/>
    <col min="21" max="21" width="22.85546875" style="457" customWidth="1"/>
    <col min="22" max="16384" width="9.140625" style="457"/>
  </cols>
  <sheetData>
    <row r="1" spans="1:21" ht="57">
      <c r="A1" s="453" t="s">
        <v>1</v>
      </c>
      <c r="B1" s="453" t="s">
        <v>105</v>
      </c>
      <c r="C1" s="453" t="s">
        <v>796</v>
      </c>
      <c r="D1" s="453" t="s">
        <v>6388</v>
      </c>
      <c r="E1" s="453" t="s">
        <v>6389</v>
      </c>
      <c r="F1" s="453" t="s">
        <v>1428</v>
      </c>
      <c r="G1" s="453" t="s">
        <v>171</v>
      </c>
      <c r="H1" s="453" t="s">
        <v>173</v>
      </c>
      <c r="I1" s="453" t="s">
        <v>174</v>
      </c>
      <c r="J1" s="453" t="s">
        <v>175</v>
      </c>
      <c r="K1" s="453" t="s">
        <v>176</v>
      </c>
      <c r="L1" s="453" t="s">
        <v>177</v>
      </c>
      <c r="M1" s="453" t="s">
        <v>178</v>
      </c>
      <c r="N1" s="453" t="s">
        <v>179</v>
      </c>
      <c r="O1" s="453" t="s">
        <v>180</v>
      </c>
      <c r="P1" s="453" t="s">
        <v>806</v>
      </c>
      <c r="Q1" s="453" t="s">
        <v>182</v>
      </c>
      <c r="R1" s="453" t="s">
        <v>183</v>
      </c>
      <c r="S1" s="454" t="s">
        <v>916</v>
      </c>
      <c r="T1" s="454" t="s">
        <v>198</v>
      </c>
      <c r="U1" s="455" t="s">
        <v>6390</v>
      </c>
    </row>
    <row r="2" spans="1:21">
      <c r="A2" s="455" t="s">
        <v>48</v>
      </c>
      <c r="B2" s="455" t="s">
        <v>336</v>
      </c>
      <c r="C2" s="455" t="s">
        <v>1265</v>
      </c>
      <c r="D2" s="455" t="s">
        <v>88</v>
      </c>
      <c r="E2" s="455" t="s">
        <v>6391</v>
      </c>
      <c r="F2" s="455" t="s">
        <v>685</v>
      </c>
      <c r="G2" s="455" t="s">
        <v>19</v>
      </c>
      <c r="H2" s="455" t="s">
        <v>129</v>
      </c>
      <c r="I2" s="455" t="s">
        <v>6392</v>
      </c>
      <c r="J2" s="456">
        <v>46041</v>
      </c>
      <c r="K2" s="456">
        <v>46041</v>
      </c>
      <c r="L2" s="455"/>
      <c r="M2" s="456">
        <v>46042</v>
      </c>
      <c r="N2" s="456">
        <v>46043</v>
      </c>
      <c r="O2" s="455">
        <f>IFERROR(
    IF(
        OR(ISBLANK(J2), ISBLANK(K2)),
        "",
        MAX(
            1,
            IF(
                NETWORKDAYS(J2, K2, Holiday_Dates) &lt;= 0,
                1,
                NETWORKDAYS(J2, K2, Holiday_Dates) - IF(J2 = K2, 0, 1)
            )
        )
    ),
    ""
)</f>
        <v>1</v>
      </c>
      <c r="P2" s="455" t="str">
        <f>IF(
    OR(ISBLANK(K2), ISBLANK(L2)),
    "",
    MAX(
        1,
        IF(
            NETWORKDAYS(K2, L2, Holiday_Dates) &lt;= 0,
            1,
            NETWORKDAYS(K2, L2, Holiday_Dates) - IF(K2 = L2, 0, 1)
        )
    )
)</f>
        <v/>
      </c>
      <c r="Q2" s="455">
        <f>IFERROR(
    IF(
        OR(ISBLANK(M2), AND(ISBLANK(K2), ISBLANK(L2))),
        "",
        MAX(
            1,
            IF(
                NETWORKDAYS(IF(NOT(ISBLANK(L2)), L2, K2), M2, Holiday_Dates) &lt;= 0,
                1,
                NETWORKDAYS(IF(NOT(ISBLANK(L2)), L2, K2), M2, Holiday_Dates)
                - IF(IF(NOT(ISBLANK(L2)), L2, K2) = M2, 0, 1)
            )
        )
    ),
    ""
)</f>
        <v>1</v>
      </c>
      <c r="R2" s="455">
        <f>IFERROR(
    IF(
        OR(ISBLANK(M2), ISBLANK(N2)),
        "",
        MAX(
            1,
            IF(
                NETWORKDAYS(M2, N2, Holiday_Dates) &lt;= 0,
                1,
                NETWORKDAYS(M2, N2, Holiday_Dates) - IF(M2 = N2, 0, 1)
            )
        )
    ),
    ""
)</f>
        <v>1</v>
      </c>
      <c r="S2" s="455" t="s">
        <v>929</v>
      </c>
      <c r="T2" s="455"/>
      <c r="U2" s="455"/>
    </row>
    <row r="3" spans="1:21">
      <c r="A3" s="455" t="s">
        <v>48</v>
      </c>
      <c r="B3" s="455" t="s">
        <v>477</v>
      </c>
      <c r="C3" s="455"/>
      <c r="D3" s="455" t="s">
        <v>88</v>
      </c>
      <c r="E3" s="455" t="s">
        <v>3</v>
      </c>
      <c r="F3" s="455" t="s">
        <v>6393</v>
      </c>
      <c r="G3" s="455" t="s">
        <v>17</v>
      </c>
      <c r="H3" s="455" t="s">
        <v>129</v>
      </c>
      <c r="I3" s="455" t="s">
        <v>6394</v>
      </c>
      <c r="J3" s="456">
        <v>46035</v>
      </c>
      <c r="K3" s="456">
        <v>46035</v>
      </c>
      <c r="L3" s="455"/>
      <c r="M3" s="456">
        <v>46042</v>
      </c>
      <c r="N3" s="456">
        <v>46043</v>
      </c>
      <c r="O3" s="455">
        <f>IFERROR(
    IF(
        OR(ISBLANK(J3), ISBLANK(K3)),
        "",
        MAX(
            1,
            IF(
                NETWORKDAYS(J3, K3, Holiday_Dates) &lt;= 0,
                1,
                NETWORKDAYS(J3, K3, Holiday_Dates) - IF(J3 = K3, 0, 1)
            )
        )
    ),
    ""
)</f>
        <v>1</v>
      </c>
      <c r="P3" s="455" t="str">
        <f>IF(
    OR(ISBLANK(K3), ISBLANK(L3)),
    "",
    MAX(
        1,
        IF(
            NETWORKDAYS(K3, L3, Holiday_Dates) &lt;= 0,
            1,
            NETWORKDAYS(K3, L3, Holiday_Dates) - IF(K3 = L3, 0, 1)
        )
    )
)</f>
        <v/>
      </c>
      <c r="Q3" s="455">
        <f>IFERROR(
    IF(
        OR(ISBLANK(M3), AND(ISBLANK(K3), ISBLANK(L3))),
        "",
        MAX(
            1,
            IF(
                NETWORKDAYS(IF(NOT(ISBLANK(L3)), L3, K3), M3, Holiday_Dates) &lt;= 0,
                1,
                NETWORKDAYS(IF(NOT(ISBLANK(L3)), L3, K3), M3, Holiday_Dates)
                - IF(IF(NOT(ISBLANK(L3)), L3, K3) = M3, 0, 1)
            )
        )
    ),
    ""
)</f>
        <v>5</v>
      </c>
      <c r="R3" s="455">
        <f>IFERROR(
    IF(
        OR(ISBLANK(M3), ISBLANK(N3)),
        "",
        MAX(
            1,
            IF(
                NETWORKDAYS(M3, N3, Holiday_Dates) &lt;= 0,
                1,
                NETWORKDAYS(M3, N3, Holiday_Dates) - IF(M3 = N3, 0, 1)
            )
        )
    ),
    ""
)</f>
        <v>1</v>
      </c>
      <c r="S3" s="455" t="s">
        <v>929</v>
      </c>
      <c r="T3" s="455"/>
      <c r="U3" s="455"/>
    </row>
    <row r="4" spans="1:21" s="612" customFormat="1">
      <c r="A4" s="610" t="s">
        <v>50</v>
      </c>
      <c r="B4" s="610" t="s">
        <v>409</v>
      </c>
      <c r="C4" s="610" t="s">
        <v>2904</v>
      </c>
      <c r="D4" s="610" t="s">
        <v>88</v>
      </c>
      <c r="E4" s="610" t="s">
        <v>6395</v>
      </c>
      <c r="F4" s="610" t="s">
        <v>685</v>
      </c>
      <c r="G4" s="610" t="s">
        <v>26</v>
      </c>
      <c r="H4" s="610" t="s">
        <v>130</v>
      </c>
      <c r="I4" s="610" t="s">
        <v>5044</v>
      </c>
      <c r="J4" s="611">
        <v>46041</v>
      </c>
      <c r="K4" s="611">
        <v>46041</v>
      </c>
      <c r="L4" s="610"/>
      <c r="M4" s="611">
        <v>46042</v>
      </c>
      <c r="N4" s="611">
        <v>46043</v>
      </c>
      <c r="O4" s="610">
        <f>IFERROR(
    IF(
        OR(ISBLANK(J4), ISBLANK(K4)),
        "",
        MAX(
            1,
            IF(
                NETWORKDAYS(J4, K4, Holiday_Dates) &lt;= 0,
                1,
                NETWORKDAYS(J4, K4, Holiday_Dates) - IF(J4 = K4, 0, 1)
            )
        )
    ),
    ""
)</f>
        <v>1</v>
      </c>
      <c r="P4" s="610" t="str">
        <f>IF(
    OR(ISBLANK(K4), ISBLANK(L4)),
    "",
    MAX(
        1,
        IF(
            NETWORKDAYS(K4, L4, Holiday_Dates) &lt;= 0,
            1,
            NETWORKDAYS(K4, L4, Holiday_Dates) - IF(K4 = L4, 0, 1)
        )
    )
)</f>
        <v/>
      </c>
      <c r="Q4" s="610">
        <f>IFERROR(
    IF(
        OR(ISBLANK(M4), AND(ISBLANK(K4), ISBLANK(L4))),
        "",
        MAX(
            1,
            IF(
                NETWORKDAYS(IF(NOT(ISBLANK(L4)), L4, K4), M4, Holiday_Dates) &lt;= 0,
                1,
                NETWORKDAYS(IF(NOT(ISBLANK(L4)), L4, K4), M4, Holiday_Dates)
                - IF(IF(NOT(ISBLANK(L4)), L4, K4) = M4, 0, 1)
            )
        )
    ),
    ""
)</f>
        <v>1</v>
      </c>
      <c r="R4" s="610">
        <f>IFERROR(
    IF(
        OR(ISBLANK(M4), ISBLANK(N4)),
        "",
        MAX(
            1,
            IF(
                NETWORKDAYS(M4, N4, Holiday_Dates) &lt;= 0,
                1,
                NETWORKDAYS(M4, N4, Holiday_Dates) - IF(M4 = N4, 0, 1)
            )
        )
    ),
    ""
)</f>
        <v>1</v>
      </c>
      <c r="S4" s="610" t="s">
        <v>929</v>
      </c>
      <c r="T4" s="610"/>
      <c r="U4" s="610"/>
    </row>
    <row r="5" spans="1:21">
      <c r="A5" s="592" t="s">
        <v>48</v>
      </c>
      <c r="B5" s="592" t="s">
        <v>336</v>
      </c>
      <c r="C5" s="592"/>
      <c r="D5" s="592" t="s">
        <v>88</v>
      </c>
      <c r="E5" s="592" t="s">
        <v>6396</v>
      </c>
      <c r="F5" s="455"/>
      <c r="G5" s="455" t="s">
        <v>19</v>
      </c>
      <c r="H5" s="455" t="s">
        <v>129</v>
      </c>
      <c r="I5" s="455" t="s">
        <v>6397</v>
      </c>
      <c r="J5" s="456">
        <v>46041</v>
      </c>
      <c r="K5" s="456">
        <v>46042</v>
      </c>
      <c r="L5" s="455"/>
      <c r="M5" s="456">
        <v>46043</v>
      </c>
      <c r="N5" s="456">
        <v>46043</v>
      </c>
      <c r="O5" s="455">
        <f>IFERROR(
    IF(
        OR(ISBLANK(J5), ISBLANK(K5)),
        "",
        MAX(
            1,
            IF(
                NETWORKDAYS(J5, K5, Holiday_Dates) &lt;= 0,
                1,
                NETWORKDAYS(J5, K5, Holiday_Dates) - IF(J5 = K5, 0, 1)
            )
        )
    ),
    ""
)</f>
        <v>1</v>
      </c>
      <c r="P5" s="455" t="str">
        <f>IF(
    OR(ISBLANK(K5), ISBLANK(L5)),
    "",
    MAX(
        1,
        IF(
            NETWORKDAYS(K5, L5, Holiday_Dates) &lt;= 0,
            1,
            NETWORKDAYS(K5, L5, Holiday_Dates) - IF(K5 = L5, 0, 1)
        )
    )
)</f>
        <v/>
      </c>
      <c r="Q5" s="455">
        <f>IFERROR(
    IF(
        OR(ISBLANK(M5), AND(ISBLANK(K5), ISBLANK(L5))),
        "",
        MAX(
            1,
            IF(
                NETWORKDAYS(IF(NOT(ISBLANK(L5)), L5, K5), M5, Holiday_Dates) &lt;= 0,
                1,
                NETWORKDAYS(IF(NOT(ISBLANK(L5)), L5, K5), M5, Holiday_Dates)
                - IF(IF(NOT(ISBLANK(L5)), L5, K5) = M5, 0, 1)
            )
        )
    ),
    ""
)</f>
        <v>1</v>
      </c>
      <c r="R5" s="455">
        <f>IFERROR(
    IF(
        OR(ISBLANK(M5), ISBLANK(N5)),
        "",
        MAX(
            1,
            IF(
                NETWORKDAYS(M5, N5, Holiday_Dates) &lt;= 0,
                1,
                NETWORKDAYS(M5, N5, Holiday_Dates) - IF(M5 = N5, 0, 1)
            )
        )
    ),
    ""
)</f>
        <v>1</v>
      </c>
      <c r="S5" s="455" t="s">
        <v>929</v>
      </c>
      <c r="T5" s="455"/>
      <c r="U5" s="455"/>
    </row>
    <row r="6" spans="1:21">
      <c r="A6" s="592" t="s">
        <v>48</v>
      </c>
      <c r="B6" s="592" t="s">
        <v>212</v>
      </c>
      <c r="C6" s="592"/>
      <c r="D6" s="592" t="s">
        <v>88</v>
      </c>
      <c r="E6" s="592" t="s">
        <v>6396</v>
      </c>
      <c r="F6" s="455"/>
      <c r="G6" s="455" t="s">
        <v>19</v>
      </c>
      <c r="H6" s="455" t="s">
        <v>129</v>
      </c>
      <c r="I6" s="594" t="s">
        <v>6398</v>
      </c>
      <c r="J6" s="456">
        <v>46042</v>
      </c>
      <c r="K6" s="456">
        <v>46043</v>
      </c>
      <c r="L6" s="455"/>
      <c r="M6" s="456">
        <v>46043</v>
      </c>
      <c r="N6" s="456">
        <v>46043</v>
      </c>
      <c r="O6" s="455">
        <f>IFERROR(
    IF(
        OR(ISBLANK(J6), ISBLANK(K6)),
        "",
        MAX(
            1,
            IF(
                NETWORKDAYS(J6, K6, Holiday_Dates) &lt;= 0,
                1,
                NETWORKDAYS(J6, K6, Holiday_Dates) - IF(J6 = K6, 0, 1)
            )
        )
    ),
    ""
)</f>
        <v>1</v>
      </c>
      <c r="P6" s="455" t="str">
        <f>IF(
    OR(ISBLANK(K6), ISBLANK(L6)),
    "",
    MAX(
        1,
        IF(
            NETWORKDAYS(K6, L6, Holiday_Dates) &lt;= 0,
            1,
            NETWORKDAYS(K6, L6, Holiday_Dates) - IF(K6 = L6, 0, 1)
        )
    )
)</f>
        <v/>
      </c>
      <c r="Q6" s="455">
        <f>IFERROR(
    IF(
        OR(ISBLANK(M6), AND(ISBLANK(K6), ISBLANK(L6))),
        "",
        MAX(
            1,
            IF(
                NETWORKDAYS(IF(NOT(ISBLANK(L6)), L6, K6), M6, Holiday_Dates) &lt;= 0,
                1,
                NETWORKDAYS(IF(NOT(ISBLANK(L6)), L6, K6), M6, Holiday_Dates)
                - IF(IF(NOT(ISBLANK(L6)), L6, K6) = M6, 0, 1)
            )
        )
    ),
    ""
)</f>
        <v>1</v>
      </c>
      <c r="R6" s="455">
        <f>IFERROR(
    IF(
        OR(ISBLANK(M6), ISBLANK(N6)),
        "",
        MAX(
            1,
            IF(
                NETWORKDAYS(M6, N6, Holiday_Dates) &lt;= 0,
                1,
                NETWORKDAYS(M6, N6, Holiday_Dates) - IF(M6 = N6, 0, 1)
            )
        )
    ),
    ""
)</f>
        <v>1</v>
      </c>
      <c r="S6" s="455" t="s">
        <v>929</v>
      </c>
      <c r="T6" s="455"/>
      <c r="U6" s="455"/>
    </row>
    <row r="7" spans="1:21">
      <c r="A7" s="592" t="s">
        <v>48</v>
      </c>
      <c r="B7" s="592" t="s">
        <v>477</v>
      </c>
      <c r="C7" s="592"/>
      <c r="D7" s="592" t="s">
        <v>88</v>
      </c>
      <c r="E7" s="592" t="s">
        <v>6396</v>
      </c>
      <c r="F7" s="455"/>
      <c r="G7" s="455" t="s">
        <v>19</v>
      </c>
      <c r="H7" s="455" t="s">
        <v>129</v>
      </c>
      <c r="I7" s="455" t="s">
        <v>6399</v>
      </c>
      <c r="J7" s="456">
        <v>46042</v>
      </c>
      <c r="K7" s="456">
        <v>46043</v>
      </c>
      <c r="L7" s="455"/>
      <c r="M7" s="456">
        <v>46043</v>
      </c>
      <c r="N7" s="456">
        <v>46043</v>
      </c>
      <c r="O7" s="455">
        <f>IFERROR(
    IF(
        OR(ISBLANK(J7), ISBLANK(K7)),
        "",
        MAX(
            1,
            IF(
                NETWORKDAYS(J7, K7, Holiday_Dates) &lt;= 0,
                1,
                NETWORKDAYS(J7, K7, Holiday_Dates) - IF(J7 = K7, 0, 1)
            )
        )
    ),
    ""
)</f>
        <v>1</v>
      </c>
      <c r="P7" s="455" t="str">
        <f>IF(
    OR(ISBLANK(K7), ISBLANK(L7)),
    "",
    MAX(
        1,
        IF(
            NETWORKDAYS(K7, L7, Holiday_Dates) &lt;= 0,
            1,
            NETWORKDAYS(K7, L7, Holiday_Dates) - IF(K7 = L7, 0, 1)
        )
    )
)</f>
        <v/>
      </c>
      <c r="Q7" s="455">
        <f>IFERROR(
    IF(
        OR(ISBLANK(M7), AND(ISBLANK(K7), ISBLANK(L7))),
        "",
        MAX(
            1,
            IF(
                NETWORKDAYS(IF(NOT(ISBLANK(L7)), L7, K7), M7, Holiday_Dates) &lt;= 0,
                1,
                NETWORKDAYS(IF(NOT(ISBLANK(L7)), L7, K7), M7, Holiday_Dates)
                - IF(IF(NOT(ISBLANK(L7)), L7, K7) = M7, 0, 1)
            )
        )
    ),
    ""
)</f>
        <v>1</v>
      </c>
      <c r="R7" s="455">
        <f>IFERROR(
    IF(
        OR(ISBLANK(M7), ISBLANK(N7)),
        "",
        MAX(
            1,
            IF(
                NETWORKDAYS(M7, N7, Holiday_Dates) &lt;= 0,
                1,
                NETWORKDAYS(M7, N7, Holiday_Dates) - IF(M7 = N7, 0, 1)
            )
        )
    ),
    ""
)</f>
        <v>1</v>
      </c>
      <c r="S7" s="455" t="s">
        <v>929</v>
      </c>
      <c r="T7" s="455"/>
      <c r="U7" s="455"/>
    </row>
    <row r="8" spans="1:21">
      <c r="A8" s="455" t="s">
        <v>49</v>
      </c>
      <c r="B8" s="455" t="s">
        <v>342</v>
      </c>
      <c r="C8" s="455" t="s">
        <v>440</v>
      </c>
      <c r="D8" s="455" t="s">
        <v>88</v>
      </c>
      <c r="E8" s="455" t="s">
        <v>6396</v>
      </c>
      <c r="F8" s="455"/>
      <c r="G8" s="455" t="s">
        <v>22</v>
      </c>
      <c r="H8" s="455" t="s">
        <v>128</v>
      </c>
      <c r="I8" s="455" t="s">
        <v>6400</v>
      </c>
      <c r="J8" s="456">
        <v>46036</v>
      </c>
      <c r="K8" s="456">
        <v>46038</v>
      </c>
      <c r="L8" s="455"/>
      <c r="M8" s="456">
        <v>46043</v>
      </c>
      <c r="N8" s="456">
        <v>46043</v>
      </c>
      <c r="O8" s="455">
        <f>IFERROR(
    IF(
        OR(ISBLANK(J8), ISBLANK(K8)),
        "",
        MAX(
            1,
            IF(
                NETWORKDAYS(J8, K8, Holiday_Dates) &lt;= 0,
                1,
                NETWORKDAYS(J8, K8, Holiday_Dates) - IF(J8 = K8, 0, 1)
            )
        )
    ),
    ""
)</f>
        <v>2</v>
      </c>
      <c r="P8" s="455" t="str">
        <f>IF(
    OR(ISBLANK(K8), ISBLANK(L8)),
    "",
    MAX(
        1,
        IF(
            NETWORKDAYS(K8, L8, Holiday_Dates) &lt;= 0,
            1,
            NETWORKDAYS(K8, L8, Holiday_Dates) - IF(K8 = L8, 0, 1)
        )
    )
)</f>
        <v/>
      </c>
      <c r="Q8" s="455">
        <f>IFERROR(
    IF(
        OR(ISBLANK(M8), AND(ISBLANK(K8), ISBLANK(L8))),
        "",
        MAX(
            1,
            IF(
                NETWORKDAYS(IF(NOT(ISBLANK(L8)), L8, K8), M8, Holiday_Dates) &lt;= 0,
                1,
                NETWORKDAYS(IF(NOT(ISBLANK(L8)), L8, K8), M8, Holiday_Dates)
                - IF(IF(NOT(ISBLANK(L8)), L8, K8) = M8, 0, 1)
            )
        )
    ),
    ""
)</f>
        <v>3</v>
      </c>
      <c r="R8" s="455">
        <f>IFERROR(
    IF(
        OR(ISBLANK(M8), ISBLANK(N8)),
        "",
        MAX(
            1,
            IF(
                NETWORKDAYS(M8, N8, Holiday_Dates) &lt;= 0,
                1,
                NETWORKDAYS(M8, N8, Holiday_Dates) - IF(M8 = N8, 0, 1)
            )
        )
    ),
    ""
)</f>
        <v>1</v>
      </c>
      <c r="S8" s="455" t="s">
        <v>929</v>
      </c>
      <c r="T8" s="455"/>
      <c r="U8" s="455"/>
    </row>
    <row r="9" spans="1:21" s="603" customFormat="1" hidden="1">
      <c r="A9" s="600" t="s">
        <v>6401</v>
      </c>
      <c r="B9" s="600" t="s">
        <v>383</v>
      </c>
      <c r="C9" s="600" t="s">
        <v>6402</v>
      </c>
      <c r="D9" s="600" t="s">
        <v>88</v>
      </c>
      <c r="E9" s="600" t="s">
        <v>6395</v>
      </c>
      <c r="F9" s="600"/>
      <c r="G9" s="600"/>
      <c r="H9" s="600" t="s">
        <v>130</v>
      </c>
      <c r="I9" s="600" t="s">
        <v>4752</v>
      </c>
      <c r="J9" s="602">
        <v>46037</v>
      </c>
      <c r="K9" s="609">
        <v>46038</v>
      </c>
      <c r="L9" s="600"/>
      <c r="M9" s="609">
        <v>46043</v>
      </c>
      <c r="N9" s="602">
        <v>46044</v>
      </c>
      <c r="O9" s="600">
        <f>IFERROR(
    IF(
        OR(ISBLANK(J9), ISBLANK(K9)),
        "",
        MAX(
            1,
            IF(
                NETWORKDAYS(J9, K9, Holiday_Dates) &lt;= 0,
                1,
                NETWORKDAYS(J9, K9, Holiday_Dates) - IF(J9 = K9, 0, 1)
            )
        )
    ),
    ""
)</f>
        <v>1</v>
      </c>
      <c r="P9" s="600" t="str">
        <f>IF(
    OR(ISBLANK(K9), ISBLANK(L9)),
    "",
    MAX(
        1,
        IF(
            NETWORKDAYS(K9, L9, Holiday_Dates) &lt;= 0,
            1,
            NETWORKDAYS(K9, L9, Holiday_Dates) - IF(K9 = L9, 0, 1)
        )
    )
)</f>
        <v/>
      </c>
      <c r="Q9" s="600">
        <f>IFERROR(
    IF(
        OR(ISBLANK(M9), AND(ISBLANK(K9), ISBLANK(L9))),
        "",
        MAX(
            1,
            IF(
                NETWORKDAYS(IF(NOT(ISBLANK(L9)), L9, K9), M9, Holiday_Dates) &lt;= 0,
                1,
                NETWORKDAYS(IF(NOT(ISBLANK(L9)), L9, K9), M9, Holiday_Dates)
                - IF(IF(NOT(ISBLANK(L9)), L9, K9) = M9, 0, 1)
            )
        )
    ),
    ""
)</f>
        <v>3</v>
      </c>
      <c r="R9" s="600">
        <f>IFERROR(
    IF(
        OR(ISBLANK(M9), ISBLANK(N9)),
        "",
        MAX(
            1,
            IF(
                NETWORKDAYS(M9, N9, Holiday_Dates) &lt;= 0,
                1,
                NETWORKDAYS(M9, N9, Holiday_Dates) - IF(M9 = N9, 0, 1)
            )
        )
    ),
    ""
)</f>
        <v>1</v>
      </c>
      <c r="S9" s="600"/>
      <c r="T9" s="600"/>
      <c r="U9" s="600"/>
    </row>
    <row r="10" spans="1:21" s="603" customFormat="1" hidden="1">
      <c r="A10" s="600" t="s">
        <v>50</v>
      </c>
      <c r="B10" s="600" t="s">
        <v>2958</v>
      </c>
      <c r="C10" s="600" t="s">
        <v>2960</v>
      </c>
      <c r="D10" s="600" t="s">
        <v>88</v>
      </c>
      <c r="E10" s="600" t="s">
        <v>6395</v>
      </c>
      <c r="F10" s="600"/>
      <c r="G10" s="600" t="s">
        <v>30</v>
      </c>
      <c r="H10" s="600" t="s">
        <v>130</v>
      </c>
      <c r="I10" s="600" t="s">
        <v>4874</v>
      </c>
      <c r="J10" s="602">
        <v>46042</v>
      </c>
      <c r="K10" s="602">
        <v>46042</v>
      </c>
      <c r="L10" s="600"/>
      <c r="M10" s="602">
        <v>46043</v>
      </c>
      <c r="N10" s="602">
        <v>46044</v>
      </c>
      <c r="O10" s="600">
        <f>IFERROR(
    IF(
        OR(ISBLANK(J10), ISBLANK(K10)),
        "",
        MAX(
            1,
            IF(
                NETWORKDAYS(J10, K10, Holiday_Dates) &lt;= 0,
                1,
                NETWORKDAYS(J10, K10, Holiday_Dates) - IF(J10 = K10, 0, 1)
            )
        )
    ),
    ""
)</f>
        <v>1</v>
      </c>
      <c r="P10" s="600" t="str">
        <f>IF(
    OR(ISBLANK(K10), ISBLANK(L10)),
    "",
    MAX(
        1,
        IF(
            NETWORKDAYS(K10, L10, Holiday_Dates) &lt;= 0,
            1,
            NETWORKDAYS(K10, L10, Holiday_Dates) - IF(K10 = L10, 0, 1)
        )
    )
)</f>
        <v/>
      </c>
      <c r="Q10" s="600">
        <f>IFERROR(
    IF(
        OR(ISBLANK(M10), AND(ISBLANK(K10), ISBLANK(L10))),
        "",
        MAX(
            1,
            IF(
                NETWORKDAYS(IF(NOT(ISBLANK(L10)), L10, K10), M10, Holiday_Dates) &lt;= 0,
                1,
                NETWORKDAYS(IF(NOT(ISBLANK(L10)), L10, K10), M10, Holiday_Dates)
                - IF(IF(NOT(ISBLANK(L10)), L10, K10) = M10, 0, 1)
            )
        )
    ),
    ""
)</f>
        <v>1</v>
      </c>
      <c r="R10" s="600">
        <f>IFERROR(
    IF(
        OR(ISBLANK(M10), ISBLANK(N10)),
        "",
        MAX(
            1,
            IF(
                NETWORKDAYS(M10, N10, Holiday_Dates) &lt;= 0,
                1,
                NETWORKDAYS(M10, N10, Holiday_Dates) - IF(M10 = N10, 0, 1)
            )
        )
    ),
    ""
)</f>
        <v>1</v>
      </c>
      <c r="S10" s="600" t="s">
        <v>929</v>
      </c>
      <c r="T10" s="600"/>
      <c r="U10" s="600"/>
    </row>
    <row r="11" spans="1:21" s="593" customFormat="1">
      <c r="A11" s="595" t="s">
        <v>50</v>
      </c>
      <c r="B11" s="595" t="s">
        <v>6150</v>
      </c>
      <c r="C11" s="595"/>
      <c r="D11" s="595" t="s">
        <v>88</v>
      </c>
      <c r="E11" s="595" t="s">
        <v>3</v>
      </c>
      <c r="F11" s="595" t="s">
        <v>6393</v>
      </c>
      <c r="G11" s="595" t="s">
        <v>6403</v>
      </c>
      <c r="H11" s="595" t="s">
        <v>130</v>
      </c>
      <c r="I11" s="595" t="s">
        <v>234</v>
      </c>
      <c r="J11" s="596">
        <v>46037</v>
      </c>
      <c r="K11" s="596">
        <v>46045</v>
      </c>
      <c r="L11" s="595"/>
      <c r="M11" s="596">
        <v>46046</v>
      </c>
      <c r="N11" s="596">
        <v>46048</v>
      </c>
      <c r="O11" s="595" t="str">
        <f>IFERROR(
    IF(
        OR(ISBLANK(#REF!), ISBLANK(K11)),
        "",
        MAX(
            1,
            IF(
                NETWORKDAYS(#REF!, K11, Holiday_Dates) &lt;= 0,
                1,
                NETWORKDAYS(#REF!, K11, Holiday_Dates) - IF(#REF! = K11, 0, 1)
            )
        )
    ),
    ""
)</f>
        <v/>
      </c>
      <c r="P11" s="595" t="str">
        <f>IF(
    OR(ISBLANK(K11), ISBLANK(L11)),
    "",
    MAX(
        1,
        IF(
            NETWORKDAYS(K11, L11, Holiday_Dates) &lt;= 0,
            1,
            NETWORKDAYS(K11, L11, Holiday_Dates) - IF(K11 = L11, 0, 1)
        )
    )
)</f>
        <v/>
      </c>
      <c r="Q11" s="595">
        <f>IFERROR(
    IF(
        OR(ISBLANK(M11), AND(ISBLANK(K11), ISBLANK(L11))),
        "",
        MAX(
            1,
            IF(
                NETWORKDAYS(IF(NOT(ISBLANK(L11)), L11, K11), M11, Holiday_Dates) &lt;= 0,
                1,
                NETWORKDAYS(IF(NOT(ISBLANK(L11)), L11, K11), M11, Holiday_Dates)
                - IF(IF(NOT(ISBLANK(L11)), L11, K11) = M11, 0, 1)
            )
        )
    ),
    ""
)</f>
        <v>1</v>
      </c>
      <c r="R11" s="595">
        <f>IFERROR(
    IF(
        OR(ISBLANK(M11), ISBLANK(N11)),
        "",
        MAX(
            1,
            IF(
                NETWORKDAYS(M11, N11, Holiday_Dates) &lt;= 0,
                1,
                NETWORKDAYS(M11, N11, Holiday_Dates) - IF(M11 = N11, 0, 1)
            )
        )
    ),
    ""
)</f>
        <v>1</v>
      </c>
      <c r="S11" s="595" t="s">
        <v>929</v>
      </c>
      <c r="T11" s="595"/>
      <c r="U11" s="595"/>
    </row>
    <row r="12" spans="1:21">
      <c r="A12" s="455" t="s">
        <v>48</v>
      </c>
      <c r="B12" s="455" t="s">
        <v>905</v>
      </c>
      <c r="C12" s="455"/>
      <c r="D12" s="455" t="s">
        <v>88</v>
      </c>
      <c r="E12" s="455" t="s">
        <v>3</v>
      </c>
      <c r="F12" s="455" t="s">
        <v>6393</v>
      </c>
      <c r="G12" s="455" t="s">
        <v>17</v>
      </c>
      <c r="H12" s="455" t="s">
        <v>129</v>
      </c>
      <c r="I12" s="455" t="s">
        <v>274</v>
      </c>
      <c r="J12" s="456">
        <v>46051</v>
      </c>
      <c r="K12" s="456">
        <v>46052</v>
      </c>
      <c r="L12" s="455"/>
      <c r="M12" s="456">
        <v>46053</v>
      </c>
      <c r="N12" s="456">
        <v>46055</v>
      </c>
      <c r="O12" s="455">
        <f>IFERROR(
    IF(
        OR(ISBLANK(J12), ISBLANK(K12)),
        "",
        MAX(
            1,
            IF(
                NETWORKDAYS(J12, K12, Holiday_Dates) &lt;= 0,
                1,
                NETWORKDAYS(J12, K12, Holiday_Dates) - IF(J12 = K12, 0, 1)
            )
        )
    ),
    ""
)</f>
        <v>1</v>
      </c>
      <c r="P12" s="455" t="str">
        <f>IF(
    OR(ISBLANK(K12), ISBLANK(L12)),
    "",
    MAX(
        1,
        IF(
            NETWORKDAYS(K12, L12, Holiday_Dates) &lt;= 0,
            1,
            NETWORKDAYS(K12, L12, Holiday_Dates) - IF(K12 = L12, 0, 1)
        )
    )
)</f>
        <v/>
      </c>
      <c r="Q12" s="455">
        <f>IFERROR(
    IF(
        OR(ISBLANK(M12), AND(ISBLANK(K12), ISBLANK(L12))),
        "",
        MAX(
            1,
            IF(
                NETWORKDAYS(IF(NOT(ISBLANK(L12)), L12, K12), M12, Holiday_Dates) &lt;= 0,
                1,
                NETWORKDAYS(IF(NOT(ISBLANK(L12)), L12, K12), M12, Holiday_Dates)
                - IF(IF(NOT(ISBLANK(L12)), L12, K12) = M12, 0, 1)
            )
        )
    ),
    ""
)</f>
        <v>1</v>
      </c>
      <c r="R12" s="455">
        <f>IFERROR(
    IF(
        OR(ISBLANK(M12), ISBLANK(N12)),
        "",
        MAX(
            1,
            IF(
                NETWORKDAYS(M12, N12, Holiday_Dates) &lt;= 0,
                1,
                NETWORKDAYS(M12, N12, Holiday_Dates) - IF(M12 = N12, 0, 1)
            )
        )
    ),
    ""
)</f>
        <v>1</v>
      </c>
      <c r="S12" s="455"/>
      <c r="T12" s="455"/>
      <c r="U12" s="455"/>
    </row>
    <row r="13" spans="1:21">
      <c r="A13" s="455" t="s">
        <v>52</v>
      </c>
      <c r="B13" s="455" t="s">
        <v>250</v>
      </c>
      <c r="C13" s="455"/>
      <c r="D13" s="455" t="s">
        <v>88</v>
      </c>
      <c r="E13" s="592" t="s">
        <v>6396</v>
      </c>
      <c r="F13" s="455"/>
      <c r="G13" s="455" t="s">
        <v>6404</v>
      </c>
      <c r="H13" s="455" t="s">
        <v>28</v>
      </c>
      <c r="I13" s="455" t="s">
        <v>6405</v>
      </c>
      <c r="J13" s="456">
        <v>46037</v>
      </c>
      <c r="K13" s="456">
        <v>46041</v>
      </c>
      <c r="L13" s="455"/>
      <c r="M13" s="456">
        <v>46051</v>
      </c>
      <c r="N13" s="456">
        <v>46055</v>
      </c>
      <c r="O13" s="455">
        <f>IFERROR(
    IF(
        OR(ISBLANK(J13), ISBLANK(K13)),
        "",
        MAX(
            1,
            IF(
                NETWORKDAYS(J13, K13, Holiday_Dates) &lt;= 0,
                1,
                NETWORKDAYS(J13, K13, Holiday_Dates) - IF(J13 = K13, 0, 1)
            )
        )
    ),
    ""
)</f>
        <v>2</v>
      </c>
      <c r="P13" s="455" t="str">
        <f>IF(
    OR(ISBLANK(K13), ISBLANK(L13)),
    "",
    MAX(
        1,
        IF(
            NETWORKDAYS(K13, L13, Holiday_Dates) &lt;= 0,
            1,
            NETWORKDAYS(K13, L13, Holiday_Dates) - IF(K13 = L13, 0, 1)
        )
    )
)</f>
        <v/>
      </c>
      <c r="Q13" s="455">
        <f>IFERROR(
    IF(
        OR(ISBLANK(M13), AND(ISBLANK(K13), ISBLANK(L13))),
        "",
        MAX(
            1,
            IF(
                NETWORKDAYS(IF(NOT(ISBLANK(L13)), L13, K13), M13, Holiday_Dates) &lt;= 0,
                1,
                NETWORKDAYS(IF(NOT(ISBLANK(L13)), L13, K13), M13, Holiday_Dates)
                - IF(IF(NOT(ISBLANK(L13)), L13, K13) = M13, 0, 1)
            )
        )
    ),
    ""
)</f>
        <v>8</v>
      </c>
      <c r="R13" s="455">
        <f>IFERROR(
    IF(
        OR(ISBLANK(M13), ISBLANK(N13)),
        "",
        MAX(
            1,
            IF(
                NETWORKDAYS(M13, N13, Holiday_Dates) &lt;= 0,
                1,
                NETWORKDAYS(M13, N13, Holiday_Dates) - IF(M13 = N13, 0, 1)
            )
        )
    ),
    ""
)</f>
        <v>2</v>
      </c>
      <c r="S13" s="455" t="s">
        <v>929</v>
      </c>
      <c r="T13" s="455"/>
      <c r="U13" s="455"/>
    </row>
    <row r="14" spans="1:21">
      <c r="A14" s="455" t="s">
        <v>52</v>
      </c>
      <c r="B14" s="455" t="s">
        <v>466</v>
      </c>
      <c r="C14" s="455" t="s">
        <v>5986</v>
      </c>
      <c r="D14" s="455" t="s">
        <v>89</v>
      </c>
      <c r="E14" s="455" t="s">
        <v>6391</v>
      </c>
      <c r="F14" s="455" t="s">
        <v>685</v>
      </c>
      <c r="G14" s="455" t="s">
        <v>38</v>
      </c>
      <c r="H14" s="455" t="s">
        <v>28</v>
      </c>
      <c r="I14" s="455" t="s">
        <v>6406</v>
      </c>
      <c r="J14" s="456">
        <v>46037</v>
      </c>
      <c r="K14" s="456">
        <v>46041</v>
      </c>
      <c r="L14" s="455"/>
      <c r="M14" s="456">
        <v>46051</v>
      </c>
      <c r="N14" s="456">
        <v>46055</v>
      </c>
      <c r="O14" s="455">
        <f>IFERROR(
    IF(
        OR(ISBLANK(J14), ISBLANK(K14)),
        "",
        MAX(
            1,
            IF(
                NETWORKDAYS(J14, K14, Holiday_Dates) &lt;= 0,
                1,
                NETWORKDAYS(J14, K14, Holiday_Dates) - IF(J14 = K14, 0, 1)
            )
        )
    ),
    ""
)</f>
        <v>2</v>
      </c>
      <c r="P14" s="455" t="str">
        <f>IF(
    OR(ISBLANK(K14), ISBLANK(L14)),
    "",
    MAX(
        1,
        IF(
            NETWORKDAYS(K14, L14, Holiday_Dates) &lt;= 0,
            1,
            NETWORKDAYS(K14, L14, Holiday_Dates) - IF(K14 = L14, 0, 1)
        )
    )
)</f>
        <v/>
      </c>
      <c r="Q14" s="455">
        <f>IFERROR(
    IF(
        OR(ISBLANK(M14), AND(ISBLANK(K14), ISBLANK(L14))),
        "",
        MAX(
            1,
            IF(
                NETWORKDAYS(IF(NOT(ISBLANK(L14)), L14, K14), M14, Holiday_Dates) &lt;= 0,
                1,
                NETWORKDAYS(IF(NOT(ISBLANK(L14)), L14, K14), M14, Holiday_Dates)
                - IF(IF(NOT(ISBLANK(L14)), L14, K14) = M14, 0, 1)
            )
        )
    ),
    ""
)</f>
        <v>8</v>
      </c>
      <c r="R14" s="455">
        <f>IFERROR(
    IF(
        OR(ISBLANK(M14), ISBLANK(N14)),
        "",
        MAX(
            1,
            IF(
                NETWORKDAYS(M14, N14, Holiday_Dates) &lt;= 0,
                1,
                NETWORKDAYS(M14, N14, Holiday_Dates) - IF(M14 = N14, 0, 1)
            )
        )
    ),
    ""
)</f>
        <v>2</v>
      </c>
      <c r="S14" s="455" t="s">
        <v>929</v>
      </c>
      <c r="T14" s="455"/>
      <c r="U14" s="455"/>
    </row>
    <row r="15" spans="1:21">
      <c r="A15" s="455" t="s">
        <v>50</v>
      </c>
      <c r="B15" s="455" t="s">
        <v>446</v>
      </c>
      <c r="C15" s="455" t="s">
        <v>985</v>
      </c>
      <c r="D15" s="455" t="s">
        <v>88</v>
      </c>
      <c r="E15" s="455" t="s">
        <v>6391</v>
      </c>
      <c r="F15" s="455" t="s">
        <v>685</v>
      </c>
      <c r="G15" s="455" t="s">
        <v>140</v>
      </c>
      <c r="H15" s="455" t="s">
        <v>130</v>
      </c>
      <c r="I15" s="455" t="s">
        <v>6407</v>
      </c>
      <c r="J15" s="456">
        <v>46048</v>
      </c>
      <c r="K15" s="456">
        <v>46048</v>
      </c>
      <c r="L15" s="455"/>
      <c r="M15" s="456">
        <v>46050</v>
      </c>
      <c r="N15" s="456">
        <v>46055</v>
      </c>
      <c r="O15" s="455">
        <f>IFERROR(
    IF(
        OR(ISBLANK(J15), ISBLANK(K15)),
        "",
        MAX(
            1,
            IF(
                NETWORKDAYS(J15, K15, Holiday_Dates) &lt;= 0,
                1,
                NETWORKDAYS(J15, K15, Holiday_Dates) - IF(J15 = K15, 0, 1)
            )
        )
    ),
    ""
)</f>
        <v>1</v>
      </c>
      <c r="P15" s="455" t="str">
        <f>IF(
    OR(ISBLANK(K15), ISBLANK(L15)),
    "",
    MAX(
        1,
        IF(
            NETWORKDAYS(K15, L15, Holiday_Dates) &lt;= 0,
            1,
            NETWORKDAYS(K15, L15, Holiday_Dates) - IF(K15 = L15, 0, 1)
        )
    )
)</f>
        <v/>
      </c>
      <c r="Q15" s="455">
        <f>IFERROR(
    IF(
        OR(ISBLANK(M15), AND(ISBLANK(K15), ISBLANK(L15))),
        "",
        MAX(
            1,
            IF(
                NETWORKDAYS(IF(NOT(ISBLANK(L15)), L15, K15), M15, Holiday_Dates) &lt;= 0,
                1,
                NETWORKDAYS(IF(NOT(ISBLANK(L15)), L15, K15), M15, Holiday_Dates)
                - IF(IF(NOT(ISBLANK(L15)), L15, K15) = M15, 0, 1)
            )
        )
    ),
    ""
)</f>
        <v>2</v>
      </c>
      <c r="R15" s="455">
        <f>IFERROR(
    IF(
        OR(ISBLANK(M15), ISBLANK(N15)),
        "",
        MAX(
            1,
            IF(
                NETWORKDAYS(M15, N15, Holiday_Dates) &lt;= 0,
                1,
                NETWORKDAYS(M15, N15, Holiday_Dates) - IF(M15 = N15, 0, 1)
            )
        )
    ),
    ""
)</f>
        <v>3</v>
      </c>
      <c r="S15" s="455" t="s">
        <v>929</v>
      </c>
      <c r="T15" s="455" t="s">
        <v>6408</v>
      </c>
      <c r="U15" s="455"/>
    </row>
    <row r="16" spans="1:21">
      <c r="A16" s="455" t="s">
        <v>52</v>
      </c>
      <c r="B16" s="455" t="s">
        <v>466</v>
      </c>
      <c r="C16" s="455"/>
      <c r="D16" s="455" t="s">
        <v>89</v>
      </c>
      <c r="E16" s="455" t="s">
        <v>6396</v>
      </c>
      <c r="F16" s="455"/>
      <c r="G16" s="455" t="s">
        <v>38</v>
      </c>
      <c r="H16" s="455" t="s">
        <v>28</v>
      </c>
      <c r="I16" s="455" t="s">
        <v>6409</v>
      </c>
      <c r="J16" s="456">
        <v>46037</v>
      </c>
      <c r="K16" s="558">
        <v>46038</v>
      </c>
      <c r="L16" s="455"/>
      <c r="M16" s="558">
        <v>46062</v>
      </c>
      <c r="N16" s="456"/>
      <c r="O16" s="455">
        <f>IFERROR(
    IF(
        OR(ISBLANK(J16), ISBLANK(K16)),
        "",
        MAX(
            1,
            IF(
                NETWORKDAYS(J16, K16, Holiday_Dates) &lt;= 0,
                1,
                NETWORKDAYS(J16, K16, Holiday_Dates) - IF(J16 = K16, 0, 1)
            )
        )
    ),
    ""
)</f>
        <v>1</v>
      </c>
      <c r="P16" s="455" t="str">
        <f>IF(
    OR(ISBLANK(K16), ISBLANK(L16)),
    "",
    MAX(
        1,
        IF(
            NETWORKDAYS(K16, L16, Holiday_Dates) &lt;= 0,
            1,
            NETWORKDAYS(K16, L16, Holiday_Dates) - IF(K16 = L16, 0, 1)
        )
    )
)</f>
        <v/>
      </c>
      <c r="Q16" s="455">
        <f>IFERROR(
    IF(
        OR(ISBLANK(M16), AND(ISBLANK(K16), ISBLANK(L16))),
        "",
        MAX(
            1,
            IF(
                NETWORKDAYS(IF(NOT(ISBLANK(L16)), L16, K16), M16, Holiday_Dates) &lt;= 0,
                1,
                NETWORKDAYS(IF(NOT(ISBLANK(L16)), L16, K16), M16, Holiday_Dates)
                - IF(IF(NOT(ISBLANK(L16)), L16, K16) = M16, 0, 1)
            )
        )
    ),
    ""
)</f>
        <v>16</v>
      </c>
      <c r="R16" s="455" t="str">
        <f>IFERROR(
    IF(
        OR(ISBLANK(M16), ISBLANK(N16)),
        "",
        MAX(
            1,
            IF(
                NETWORKDAYS(M16, N16, Holiday_Dates) &lt;= 0,
                1,
                NETWORKDAYS(M16, N16, Holiday_Dates) - IF(M16 = N16, 0, 1)
            )
        )
    ),
    ""
)</f>
        <v/>
      </c>
      <c r="S16" s="455" t="s">
        <v>929</v>
      </c>
      <c r="T16" s="455"/>
      <c r="U16" s="455"/>
    </row>
    <row r="17" spans="1:21">
      <c r="A17" s="455" t="s">
        <v>52</v>
      </c>
      <c r="B17" s="455" t="s">
        <v>6410</v>
      </c>
      <c r="C17" s="455"/>
      <c r="D17" s="455" t="s">
        <v>88</v>
      </c>
      <c r="E17" s="455" t="s">
        <v>66</v>
      </c>
      <c r="F17" s="455" t="s">
        <v>685</v>
      </c>
      <c r="G17" s="455" t="s">
        <v>6411</v>
      </c>
      <c r="H17" s="455" t="s">
        <v>28</v>
      </c>
      <c r="I17" s="455" t="s">
        <v>6412</v>
      </c>
      <c r="J17" s="456">
        <v>46058</v>
      </c>
      <c r="K17" s="558">
        <v>46058</v>
      </c>
      <c r="L17" s="455"/>
      <c r="M17" s="558">
        <v>46062</v>
      </c>
      <c r="N17" s="456">
        <v>46062</v>
      </c>
      <c r="O17" s="455">
        <f>IFERROR(
    IF(
        OR(ISBLANK(J17), ISBLANK(K17)),
        "",
        MAX(
            1,
            IF(
                NETWORKDAYS(J17, K17, Holiday_Dates) &lt;= 0,
                1,
                NETWORKDAYS(J17, K17, Holiday_Dates) - IF(J17 = K17, 0, 1)
            )
        )
    ),
    ""
)</f>
        <v>1</v>
      </c>
      <c r="P17" s="455" t="str">
        <f>IF(
    OR(ISBLANK(K17), ISBLANK(L17)),
    "",
    MAX(
        1,
        IF(
            NETWORKDAYS(K17, L17, Holiday_Dates) &lt;= 0,
            1,
            NETWORKDAYS(K17, L17, Holiday_Dates) - IF(K17 = L17, 0, 1)
        )
    )
)</f>
        <v/>
      </c>
      <c r="Q17" s="455">
        <f>IFERROR(
    IF(
        OR(ISBLANK(M17), AND(ISBLANK(K17), ISBLANK(L17))),
        "",
        MAX(
            1,
            IF(
                NETWORKDAYS(IF(NOT(ISBLANK(L17)), L17, K17), M17, Holiday_Dates) &lt;= 0,
                1,
                NETWORKDAYS(IF(NOT(ISBLANK(L17)), L17, K17), M17, Holiday_Dates)
                - IF(IF(NOT(ISBLANK(L17)), L17, K17) = M17, 0, 1)
            )
        )
    ),
    ""
)</f>
        <v>2</v>
      </c>
      <c r="R17" s="455">
        <f>IFERROR(
    IF(
        OR(ISBLANK(M17), ISBLANK(N17)),
        "",
        MAX(
            1,
            IF(
                NETWORKDAYS(M17, N17, Holiday_Dates) &lt;= 0,
                1,
                NETWORKDAYS(M17, N17, Holiday_Dates) - IF(M17 = N17, 0, 1)
            )
        )
    ),
    ""
)</f>
        <v>1</v>
      </c>
      <c r="S17" s="455" t="s">
        <v>929</v>
      </c>
      <c r="T17" s="455" t="s">
        <v>6031</v>
      </c>
      <c r="U17" s="455"/>
    </row>
    <row r="18" spans="1:21" s="603" customFormat="1" hidden="1">
      <c r="A18" s="600" t="s">
        <v>49</v>
      </c>
      <c r="B18" s="600" t="s">
        <v>501</v>
      </c>
      <c r="C18" s="600" t="s">
        <v>4536</v>
      </c>
      <c r="D18" s="600" t="s">
        <v>88</v>
      </c>
      <c r="E18" s="600" t="s">
        <v>6396</v>
      </c>
      <c r="F18" s="600" t="s">
        <v>685</v>
      </c>
      <c r="G18" s="600"/>
      <c r="H18" s="600" t="s">
        <v>128</v>
      </c>
      <c r="I18" s="600" t="s">
        <v>5053</v>
      </c>
      <c r="J18" s="602">
        <v>46065</v>
      </c>
      <c r="K18" s="602">
        <v>46067</v>
      </c>
      <c r="L18" s="600"/>
      <c r="M18" s="602">
        <v>46069</v>
      </c>
      <c r="N18" s="456">
        <v>46069</v>
      </c>
      <c r="O18" s="600">
        <f>IFERROR(
    IF(
        OR(ISBLANK(J18), ISBLANK(K18)),
        "",
        MAX(
            1,
            IF(
                NETWORKDAYS(J18, K18, Holiday_Dates) &lt;= 0,
                1,
                NETWORKDAYS(J18, K18, Holiday_Dates) - IF(J18 = K18, 0, 1)
            )
        )
    ),
    ""
)</f>
        <v>1</v>
      </c>
      <c r="P18" s="600" t="str">
        <f>IF(
    OR(ISBLANK(K18), ISBLANK(L18)),
    "",
    MAX(
        1,
        IF(
            NETWORKDAYS(K18, L18, Holiday_Dates) &lt;= 0,
            1,
            NETWORKDAYS(K18, L18, Holiday_Dates) - IF(K18 = L18, 0, 1)
        )
    )
)</f>
        <v/>
      </c>
      <c r="Q18" s="600">
        <f>IFERROR(
    IF(
        OR(ISBLANK(M18), AND(ISBLANK(K18), ISBLANK(L18))),
        "",
        MAX(
            1,
            IF(
                NETWORKDAYS(IF(NOT(ISBLANK(L18)), L18, K18), M18, Holiday_Dates) &lt;= 0,
                1,
                NETWORKDAYS(IF(NOT(ISBLANK(L18)), L18, K18), M18, Holiday_Dates)
                - IF(IF(NOT(ISBLANK(L18)), L18, K18) = M18, 0, 1)
            )
        )
    ),
    ""
)</f>
        <v>1</v>
      </c>
      <c r="R18" s="600">
        <f>IFERROR(
    IF(
        OR(ISBLANK(M18), ISBLANK(N18)),
        "",
        MAX(
            1,
            IF(
                NETWORKDAYS(M18, N18, Holiday_Dates) &lt;= 0,
                1,
                NETWORKDAYS(M18, N18, Holiday_Dates) - IF(M18 = N18, 0, 1)
            )
        )
    ),
    ""
)</f>
        <v>1</v>
      </c>
      <c r="S18" s="600"/>
      <c r="T18" s="600"/>
      <c r="U18" s="600"/>
    </row>
    <row r="19" spans="1:21">
      <c r="A19" s="455" t="s">
        <v>52</v>
      </c>
      <c r="B19" s="455" t="s">
        <v>420</v>
      </c>
      <c r="C19" s="455" t="s">
        <v>3114</v>
      </c>
      <c r="D19" s="455" t="s">
        <v>89</v>
      </c>
      <c r="E19" s="455" t="s">
        <v>6391</v>
      </c>
      <c r="F19" s="455" t="s">
        <v>685</v>
      </c>
      <c r="G19" s="455" t="s">
        <v>38</v>
      </c>
      <c r="H19" s="455" t="s">
        <v>28</v>
      </c>
      <c r="I19" s="595" t="s">
        <v>6413</v>
      </c>
      <c r="J19" s="456">
        <v>46065</v>
      </c>
      <c r="K19" s="558">
        <v>46068</v>
      </c>
      <c r="L19" s="455"/>
      <c r="M19" s="558">
        <v>46069</v>
      </c>
      <c r="N19" s="386">
        <v>46093</v>
      </c>
      <c r="O19" s="455">
        <f>IFERROR(
    IF(
        OR(ISBLANK(J19), ISBLANK(K19)),
        "",
        MAX(
            1,
            IF(
                NETWORKDAYS(J19, K19, Holiday_Dates) &lt;= 0,
                1,
                NETWORKDAYS(J19, K19, Holiday_Dates) - IF(J19 = K19, 0, 1)
            )
        )
    ),
    ""
)</f>
        <v>1</v>
      </c>
      <c r="P19" s="455" t="str">
        <f>IF(
    OR(ISBLANK(K19), ISBLANK(L19)),
    "",
    MAX(
        1,
        IF(
            NETWORKDAYS(K19, L19, Holiday_Dates) &lt;= 0,
            1,
            NETWORKDAYS(K19, L19, Holiday_Dates) - IF(K19 = L19, 0, 1)
        )
    )
)</f>
        <v/>
      </c>
      <c r="Q19" s="455">
        <f>IFERROR(
    IF(
        OR(ISBLANK(M19), AND(ISBLANK(K19), ISBLANK(L19))),
        "",
        MAX(
            1,
            IF(
                NETWORKDAYS(IF(NOT(ISBLANK(L19)), L19, K19), M19, Holiday_Dates) &lt;= 0,
                1,
                NETWORKDAYS(IF(NOT(ISBLANK(L19)), L19, K19), M19, Holiday_Dates)
                - IF(IF(NOT(ISBLANK(L19)), L19, K19) = M19, 0, 1)
            )
        )
    ),
    ""
)</f>
        <v>1</v>
      </c>
      <c r="R19" s="455">
        <f>IFERROR(
    IF(
        OR(ISBLANK(M19), ISBLANK(N19)),
        "",
        MAX(
            1,
            IF(
                NETWORKDAYS(M19, N19, Holiday_Dates) &lt;= 0,
                1,
                NETWORKDAYS(M19, N19, Holiday_Dates) - IF(M19 = N19, 0, 1)
            )
        )
    ),
    ""
)</f>
        <v>18</v>
      </c>
      <c r="S19" s="455"/>
      <c r="T19" s="455"/>
      <c r="U19" s="455"/>
    </row>
    <row r="20" spans="1:21" s="603" customFormat="1" hidden="1">
      <c r="A20" s="600" t="s">
        <v>50</v>
      </c>
      <c r="B20" s="600" t="s">
        <v>511</v>
      </c>
      <c r="C20" s="600" t="s">
        <v>3029</v>
      </c>
      <c r="D20" s="600" t="s">
        <v>88</v>
      </c>
      <c r="E20" s="600" t="s">
        <v>6395</v>
      </c>
      <c r="F20" s="600" t="s">
        <v>685</v>
      </c>
      <c r="G20" s="600" t="s">
        <v>6414</v>
      </c>
      <c r="H20" s="600" t="s">
        <v>130</v>
      </c>
      <c r="I20" s="601" t="s">
        <v>4878</v>
      </c>
      <c r="J20" s="602">
        <v>46065</v>
      </c>
      <c r="K20" s="602">
        <v>46068</v>
      </c>
      <c r="L20" s="600"/>
      <c r="M20" s="602">
        <v>46071</v>
      </c>
      <c r="N20" s="386">
        <v>46093</v>
      </c>
      <c r="O20" s="600"/>
      <c r="P20" s="600"/>
      <c r="Q20" s="600"/>
      <c r="R20" s="600"/>
      <c r="S20" s="600"/>
      <c r="T20" s="600"/>
      <c r="U20" s="600" t="s">
        <v>76</v>
      </c>
    </row>
    <row r="21" spans="1:21" s="603" customFormat="1" hidden="1">
      <c r="A21" s="600" t="s">
        <v>50</v>
      </c>
      <c r="B21" s="600" t="s">
        <v>511</v>
      </c>
      <c r="C21" s="600" t="s">
        <v>1330</v>
      </c>
      <c r="D21" s="600" t="s">
        <v>88</v>
      </c>
      <c r="E21" s="600" t="s">
        <v>6395</v>
      </c>
      <c r="F21" s="600" t="s">
        <v>685</v>
      </c>
      <c r="G21" s="600" t="s">
        <v>6414</v>
      </c>
      <c r="H21" s="600" t="s">
        <v>130</v>
      </c>
      <c r="I21" s="601" t="s">
        <v>5043</v>
      </c>
      <c r="J21" s="602">
        <v>46065</v>
      </c>
      <c r="K21" s="602">
        <v>46068</v>
      </c>
      <c r="L21" s="600"/>
      <c r="M21" s="602">
        <v>46071</v>
      </c>
      <c r="N21" s="386">
        <v>46093</v>
      </c>
      <c r="O21" s="600"/>
      <c r="P21" s="600"/>
      <c r="Q21" s="600"/>
      <c r="R21" s="600"/>
      <c r="S21" s="600"/>
      <c r="T21" s="600" t="s">
        <v>672</v>
      </c>
      <c r="U21" s="600" t="s">
        <v>78</v>
      </c>
    </row>
    <row r="22" spans="1:21" s="603" customFormat="1" hidden="1">
      <c r="A22" s="600" t="s">
        <v>50</v>
      </c>
      <c r="B22" s="600" t="s">
        <v>511</v>
      </c>
      <c r="C22" s="600" t="s">
        <v>3050</v>
      </c>
      <c r="D22" s="600" t="s">
        <v>88</v>
      </c>
      <c r="E22" s="600" t="s">
        <v>6395</v>
      </c>
      <c r="F22" s="600" t="s">
        <v>685</v>
      </c>
      <c r="G22" s="600" t="s">
        <v>6414</v>
      </c>
      <c r="H22" s="600" t="s">
        <v>130</v>
      </c>
      <c r="I22" s="601" t="s">
        <v>4877</v>
      </c>
      <c r="J22" s="602">
        <v>46069</v>
      </c>
      <c r="K22" s="602">
        <v>46071</v>
      </c>
      <c r="L22" s="600"/>
      <c r="M22" s="602">
        <v>46071</v>
      </c>
      <c r="N22" s="386">
        <v>46093</v>
      </c>
      <c r="O22" s="600"/>
      <c r="P22" s="600"/>
      <c r="Q22" s="600"/>
      <c r="R22" s="600"/>
      <c r="S22" s="600"/>
      <c r="T22" s="600" t="s">
        <v>672</v>
      </c>
      <c r="U22" s="600"/>
    </row>
    <row r="23" spans="1:21" s="603" customFormat="1" hidden="1">
      <c r="A23" s="600" t="s">
        <v>50</v>
      </c>
      <c r="B23" s="600" t="s">
        <v>295</v>
      </c>
      <c r="C23" s="600" t="s">
        <v>3144</v>
      </c>
      <c r="D23" s="600" t="s">
        <v>88</v>
      </c>
      <c r="E23" s="600" t="s">
        <v>6395</v>
      </c>
      <c r="F23" s="600" t="s">
        <v>685</v>
      </c>
      <c r="G23" s="600" t="s">
        <v>6414</v>
      </c>
      <c r="H23" s="600" t="s">
        <v>130</v>
      </c>
      <c r="I23" s="601" t="s">
        <v>4881</v>
      </c>
      <c r="J23" s="602">
        <v>46064</v>
      </c>
      <c r="K23" s="602">
        <v>46068</v>
      </c>
      <c r="L23" s="600"/>
      <c r="M23" s="602">
        <v>46071</v>
      </c>
      <c r="N23" s="386">
        <v>46093</v>
      </c>
      <c r="O23" s="600"/>
      <c r="P23" s="600"/>
      <c r="Q23" s="600"/>
      <c r="R23" s="600"/>
      <c r="S23" s="600"/>
      <c r="T23" s="600" t="s">
        <v>672</v>
      </c>
      <c r="U23" s="600"/>
    </row>
    <row r="24" spans="1:21" s="603" customFormat="1" hidden="1">
      <c r="A24" s="600" t="s">
        <v>50</v>
      </c>
      <c r="B24" s="600" t="s">
        <v>295</v>
      </c>
      <c r="C24" s="600" t="s">
        <v>3150</v>
      </c>
      <c r="D24" s="600" t="s">
        <v>88</v>
      </c>
      <c r="E24" s="600" t="s">
        <v>6395</v>
      </c>
      <c r="F24" s="600" t="s">
        <v>685</v>
      </c>
      <c r="G24" s="600" t="s">
        <v>6414</v>
      </c>
      <c r="H24" s="600" t="s">
        <v>130</v>
      </c>
      <c r="I24" s="601" t="s">
        <v>4883</v>
      </c>
      <c r="J24" s="602">
        <v>46064</v>
      </c>
      <c r="K24" s="602">
        <v>46068</v>
      </c>
      <c r="L24" s="600"/>
      <c r="M24" s="602">
        <v>46071</v>
      </c>
      <c r="N24" s="386">
        <v>46093</v>
      </c>
      <c r="O24" s="600"/>
      <c r="P24" s="600"/>
      <c r="Q24" s="600"/>
      <c r="R24" s="600"/>
      <c r="S24" s="600"/>
      <c r="T24" s="600" t="s">
        <v>672</v>
      </c>
      <c r="U24" s="600"/>
    </row>
    <row r="25" spans="1:21" s="603" customFormat="1" hidden="1">
      <c r="A25" s="600" t="s">
        <v>50</v>
      </c>
      <c r="B25" s="600" t="s">
        <v>295</v>
      </c>
      <c r="C25" s="600" t="s">
        <v>728</v>
      </c>
      <c r="D25" s="600" t="s">
        <v>88</v>
      </c>
      <c r="E25" s="600" t="s">
        <v>6395</v>
      </c>
      <c r="F25" s="600" t="s">
        <v>685</v>
      </c>
      <c r="G25" s="600" t="s">
        <v>6414</v>
      </c>
      <c r="H25" s="600" t="s">
        <v>130</v>
      </c>
      <c r="I25" s="601" t="s">
        <v>4884</v>
      </c>
      <c r="J25" s="602">
        <v>46064</v>
      </c>
      <c r="K25" s="602">
        <v>46068</v>
      </c>
      <c r="L25" s="600"/>
      <c r="M25" s="602">
        <v>46071</v>
      </c>
      <c r="N25" s="386">
        <v>46093</v>
      </c>
      <c r="O25" s="600"/>
      <c r="P25" s="600"/>
      <c r="Q25" s="600"/>
      <c r="R25" s="600"/>
      <c r="S25" s="600"/>
      <c r="T25" s="600" t="s">
        <v>672</v>
      </c>
      <c r="U25" s="600"/>
    </row>
    <row r="26" spans="1:21" s="603" customFormat="1" hidden="1">
      <c r="A26" s="600" t="s">
        <v>50</v>
      </c>
      <c r="B26" s="600" t="s">
        <v>295</v>
      </c>
      <c r="C26" s="600" t="s">
        <v>520</v>
      </c>
      <c r="D26" s="600" t="s">
        <v>88</v>
      </c>
      <c r="E26" s="600" t="s">
        <v>6395</v>
      </c>
      <c r="F26" s="600" t="s">
        <v>685</v>
      </c>
      <c r="G26" s="600" t="s">
        <v>6415</v>
      </c>
      <c r="H26" s="600" t="s">
        <v>130</v>
      </c>
      <c r="I26" s="601" t="s">
        <v>6416</v>
      </c>
      <c r="J26" s="602">
        <v>46064</v>
      </c>
      <c r="K26" s="602">
        <v>46068</v>
      </c>
      <c r="L26" s="600"/>
      <c r="M26" s="602">
        <v>46071</v>
      </c>
      <c r="N26" s="386">
        <v>46093</v>
      </c>
      <c r="O26" s="600"/>
      <c r="P26" s="600"/>
      <c r="Q26" s="600"/>
      <c r="R26" s="600"/>
      <c r="S26" s="600"/>
      <c r="T26" s="600" t="s">
        <v>672</v>
      </c>
      <c r="U26" s="600"/>
    </row>
    <row r="27" spans="1:21" s="603" customFormat="1" hidden="1">
      <c r="A27" s="600" t="s">
        <v>50</v>
      </c>
      <c r="B27" s="600" t="s">
        <v>3162</v>
      </c>
      <c r="C27" s="600" t="s">
        <v>3013</v>
      </c>
      <c r="D27" s="600" t="s">
        <v>88</v>
      </c>
      <c r="E27" s="600" t="s">
        <v>6395</v>
      </c>
      <c r="F27" s="600" t="s">
        <v>685</v>
      </c>
      <c r="G27" s="600" t="s">
        <v>6415</v>
      </c>
      <c r="H27" s="600" t="s">
        <v>130</v>
      </c>
      <c r="I27" s="601" t="s">
        <v>4895</v>
      </c>
      <c r="J27" s="602">
        <v>46068</v>
      </c>
      <c r="K27" s="602">
        <v>46069</v>
      </c>
      <c r="L27" s="600"/>
      <c r="M27" s="602">
        <v>46069</v>
      </c>
      <c r="N27" s="386">
        <v>46093</v>
      </c>
      <c r="O27" s="600"/>
      <c r="P27" s="600"/>
      <c r="Q27" s="600"/>
      <c r="R27" s="600"/>
      <c r="S27" s="600"/>
      <c r="T27" s="600" t="s">
        <v>672</v>
      </c>
      <c r="U27" s="600"/>
    </row>
    <row r="28" spans="1:21" s="603" customFormat="1" hidden="1">
      <c r="A28" s="600" t="s">
        <v>50</v>
      </c>
      <c r="B28" s="600" t="s">
        <v>3162</v>
      </c>
      <c r="C28" s="600" t="s">
        <v>2750</v>
      </c>
      <c r="D28" s="600" t="s">
        <v>88</v>
      </c>
      <c r="E28" s="600" t="s">
        <v>6395</v>
      </c>
      <c r="F28" s="600" t="s">
        <v>685</v>
      </c>
      <c r="G28" s="600" t="s">
        <v>6415</v>
      </c>
      <c r="H28" s="600" t="s">
        <v>130</v>
      </c>
      <c r="I28" s="600" t="s">
        <v>4894</v>
      </c>
      <c r="J28" s="602">
        <v>46065</v>
      </c>
      <c r="K28" s="602">
        <v>46069</v>
      </c>
      <c r="L28" s="600"/>
      <c r="M28" s="602">
        <v>46071</v>
      </c>
      <c r="N28" s="386">
        <v>46093</v>
      </c>
      <c r="O28" s="600"/>
      <c r="P28" s="600"/>
      <c r="Q28" s="600"/>
      <c r="R28" s="600"/>
      <c r="S28" s="600"/>
      <c r="T28" s="600" t="s">
        <v>672</v>
      </c>
      <c r="U28" s="600"/>
    </row>
    <row r="29" spans="1:21" s="603" customFormat="1" hidden="1">
      <c r="A29" s="600" t="s">
        <v>50</v>
      </c>
      <c r="B29" s="600" t="s">
        <v>511</v>
      </c>
      <c r="C29" s="600" t="s">
        <v>886</v>
      </c>
      <c r="D29" s="600" t="s">
        <v>88</v>
      </c>
      <c r="E29" s="600" t="s">
        <v>6395</v>
      </c>
      <c r="F29" s="600" t="s">
        <v>685</v>
      </c>
      <c r="G29" s="600" t="s">
        <v>6415</v>
      </c>
      <c r="H29" s="600" t="s">
        <v>130</v>
      </c>
      <c r="I29" s="600" t="s">
        <v>4876</v>
      </c>
      <c r="J29" s="602">
        <v>46069</v>
      </c>
      <c r="K29" s="602">
        <v>46070</v>
      </c>
      <c r="L29" s="600"/>
      <c r="M29" s="602">
        <v>46071</v>
      </c>
      <c r="N29" s="386">
        <v>46093</v>
      </c>
      <c r="O29" s="600"/>
      <c r="P29" s="600"/>
      <c r="Q29" s="600"/>
      <c r="R29" s="600"/>
      <c r="S29" s="600"/>
      <c r="T29" s="600" t="s">
        <v>672</v>
      </c>
      <c r="U29" s="600"/>
    </row>
    <row r="30" spans="1:21" s="603" customFormat="1" hidden="1">
      <c r="A30" s="600" t="s">
        <v>50</v>
      </c>
      <c r="B30" s="600" t="s">
        <v>528</v>
      </c>
      <c r="C30" s="600" t="s">
        <v>3450</v>
      </c>
      <c r="D30" s="600" t="s">
        <v>88</v>
      </c>
      <c r="E30" s="600" t="s">
        <v>6395</v>
      </c>
      <c r="F30" s="600" t="s">
        <v>685</v>
      </c>
      <c r="G30" s="600" t="s">
        <v>6415</v>
      </c>
      <c r="H30" s="600" t="s">
        <v>130</v>
      </c>
      <c r="I30" s="604" t="s">
        <v>4897</v>
      </c>
      <c r="J30" s="602">
        <v>46064</v>
      </c>
      <c r="K30" s="602">
        <v>46069</v>
      </c>
      <c r="L30" s="600"/>
      <c r="M30" s="602">
        <v>46071</v>
      </c>
      <c r="N30" s="386">
        <v>46093</v>
      </c>
      <c r="O30" s="600"/>
      <c r="P30" s="600"/>
      <c r="Q30" s="600"/>
      <c r="R30" s="600"/>
      <c r="S30" s="600"/>
      <c r="T30" s="600" t="s">
        <v>672</v>
      </c>
      <c r="U30" s="600"/>
    </row>
    <row r="31" spans="1:21" s="603" customFormat="1" hidden="1">
      <c r="A31" s="600" t="s">
        <v>50</v>
      </c>
      <c r="B31" s="600" t="s">
        <v>511</v>
      </c>
      <c r="C31" s="600" t="s">
        <v>3042</v>
      </c>
      <c r="D31" s="600" t="s">
        <v>88</v>
      </c>
      <c r="E31" s="600" t="s">
        <v>6395</v>
      </c>
      <c r="F31" s="600" t="s">
        <v>685</v>
      </c>
      <c r="G31" s="600" t="s">
        <v>6415</v>
      </c>
      <c r="H31" s="600" t="s">
        <v>130</v>
      </c>
      <c r="I31" s="600" t="s">
        <v>4875</v>
      </c>
      <c r="J31" s="602">
        <v>46069</v>
      </c>
      <c r="K31" s="602">
        <v>46070</v>
      </c>
      <c r="L31" s="600"/>
      <c r="M31" s="602">
        <v>46071</v>
      </c>
      <c r="N31" s="386">
        <v>46093</v>
      </c>
      <c r="O31" s="600"/>
      <c r="P31" s="600"/>
      <c r="Q31" s="600"/>
      <c r="R31" s="600"/>
      <c r="S31" s="600"/>
      <c r="T31" s="600" t="s">
        <v>672</v>
      </c>
      <c r="U31" s="600"/>
    </row>
    <row r="32" spans="1:21" s="603" customFormat="1" hidden="1">
      <c r="A32" s="600" t="s">
        <v>50</v>
      </c>
      <c r="B32" s="600" t="s">
        <v>528</v>
      </c>
      <c r="C32" s="600" t="s">
        <v>664</v>
      </c>
      <c r="D32" s="600" t="s">
        <v>88</v>
      </c>
      <c r="E32" s="600" t="s">
        <v>6395</v>
      </c>
      <c r="F32" s="600" t="s">
        <v>685</v>
      </c>
      <c r="G32" s="600" t="s">
        <v>6415</v>
      </c>
      <c r="H32" s="600" t="s">
        <v>130</v>
      </c>
      <c r="I32" s="600" t="s">
        <v>4896</v>
      </c>
      <c r="J32" s="602">
        <v>46064</v>
      </c>
      <c r="K32" s="602">
        <v>46069</v>
      </c>
      <c r="L32" s="600"/>
      <c r="M32" s="602">
        <v>46071</v>
      </c>
      <c r="N32" s="386">
        <v>46093</v>
      </c>
      <c r="O32" s="600"/>
      <c r="P32" s="600"/>
      <c r="Q32" s="600"/>
      <c r="R32" s="600"/>
      <c r="S32" s="600"/>
      <c r="T32" s="600" t="s">
        <v>672</v>
      </c>
      <c r="U32" s="600"/>
    </row>
    <row r="33" spans="1:20" s="603" customFormat="1" hidden="1">
      <c r="A33" s="603" t="s">
        <v>50</v>
      </c>
      <c r="B33" s="603" t="s">
        <v>528</v>
      </c>
      <c r="C33" s="603" t="s">
        <v>6417</v>
      </c>
      <c r="D33" s="600" t="s">
        <v>88</v>
      </c>
      <c r="E33" s="600" t="s">
        <v>6395</v>
      </c>
      <c r="F33" s="603" t="s">
        <v>685</v>
      </c>
      <c r="G33" s="600" t="s">
        <v>6415</v>
      </c>
      <c r="H33" s="600" t="s">
        <v>130</v>
      </c>
      <c r="I33" s="605" t="s">
        <v>4899</v>
      </c>
      <c r="J33" s="606">
        <v>46064</v>
      </c>
      <c r="K33" s="602">
        <v>46069</v>
      </c>
      <c r="L33" s="600"/>
      <c r="M33" s="602">
        <v>46071</v>
      </c>
      <c r="N33" s="386">
        <v>46093</v>
      </c>
      <c r="T33" s="603" t="s">
        <v>672</v>
      </c>
    </row>
    <row r="34" spans="1:20">
      <c r="A34" s="457" t="s">
        <v>50</v>
      </c>
      <c r="B34" s="457" t="s">
        <v>507</v>
      </c>
      <c r="C34" s="457" t="s">
        <v>2755</v>
      </c>
      <c r="D34" s="457" t="s">
        <v>89</v>
      </c>
      <c r="E34" s="457" t="s">
        <v>6395</v>
      </c>
      <c r="F34" s="457" t="s">
        <v>685</v>
      </c>
      <c r="G34" s="457" t="s">
        <v>6415</v>
      </c>
      <c r="H34" s="457" t="s">
        <v>130</v>
      </c>
      <c r="I34" s="457" t="s">
        <v>6418</v>
      </c>
      <c r="J34" s="670">
        <v>46084</v>
      </c>
      <c r="K34" s="669">
        <v>46088</v>
      </c>
      <c r="M34" s="669">
        <v>46091</v>
      </c>
      <c r="N34" s="386">
        <v>46093</v>
      </c>
    </row>
    <row r="35" spans="1:20">
      <c r="A35" s="457" t="s">
        <v>50</v>
      </c>
      <c r="B35" s="457" t="s">
        <v>516</v>
      </c>
      <c r="C35" s="457" t="s">
        <v>3191</v>
      </c>
      <c r="D35" s="457" t="s">
        <v>89</v>
      </c>
      <c r="E35" s="457" t="s">
        <v>6395</v>
      </c>
      <c r="F35" s="457" t="s">
        <v>685</v>
      </c>
      <c r="G35" s="457" t="s">
        <v>6415</v>
      </c>
      <c r="H35" s="457" t="s">
        <v>130</v>
      </c>
      <c r="I35" s="457" t="s">
        <v>5482</v>
      </c>
      <c r="J35" s="670">
        <v>46084</v>
      </c>
      <c r="K35" s="386">
        <v>46088</v>
      </c>
      <c r="M35" s="386">
        <v>46091</v>
      </c>
      <c r="N35" s="386">
        <v>46093</v>
      </c>
    </row>
    <row r="36" spans="1:20">
      <c r="A36" s="457" t="s">
        <v>50</v>
      </c>
      <c r="B36" s="457" t="s">
        <v>516</v>
      </c>
      <c r="C36" s="457" t="s">
        <v>6419</v>
      </c>
      <c r="D36" s="457" t="s">
        <v>89</v>
      </c>
      <c r="E36" s="457" t="s">
        <v>6395</v>
      </c>
      <c r="F36" s="457" t="s">
        <v>685</v>
      </c>
      <c r="G36" s="457" t="s">
        <v>6415</v>
      </c>
      <c r="H36" s="457" t="s">
        <v>130</v>
      </c>
      <c r="I36" s="457" t="s">
        <v>5483</v>
      </c>
      <c r="J36" s="670">
        <v>46084</v>
      </c>
      <c r="K36" s="386">
        <v>46088</v>
      </c>
      <c r="L36" s="385"/>
      <c r="M36" s="386">
        <v>46091</v>
      </c>
      <c r="N36" s="386">
        <v>46093</v>
      </c>
    </row>
    <row r="37" spans="1:20">
      <c r="A37" s="457" t="s">
        <v>50</v>
      </c>
      <c r="B37" s="457" t="s">
        <v>516</v>
      </c>
      <c r="C37" s="457" t="s">
        <v>6419</v>
      </c>
      <c r="D37" s="457" t="s">
        <v>89</v>
      </c>
      <c r="E37" s="457" t="s">
        <v>6395</v>
      </c>
      <c r="F37" s="457" t="s">
        <v>685</v>
      </c>
      <c r="G37" s="457" t="s">
        <v>6415</v>
      </c>
      <c r="H37" s="457" t="s">
        <v>130</v>
      </c>
      <c r="I37" s="457" t="s">
        <v>5294</v>
      </c>
      <c r="J37" s="670">
        <v>46084</v>
      </c>
      <c r="K37" s="386">
        <v>46088</v>
      </c>
      <c r="L37" s="385"/>
      <c r="M37" s="386">
        <v>46091</v>
      </c>
      <c r="N37" s="386">
        <v>46093</v>
      </c>
    </row>
    <row r="38" spans="1:20">
      <c r="A38" s="457" t="s">
        <v>50</v>
      </c>
      <c r="B38" s="457" t="s">
        <v>516</v>
      </c>
      <c r="C38" s="385" t="s">
        <v>3202</v>
      </c>
      <c r="D38" s="457" t="s">
        <v>89</v>
      </c>
      <c r="E38" s="457" t="s">
        <v>6395</v>
      </c>
      <c r="F38" s="457" t="s">
        <v>685</v>
      </c>
      <c r="G38" s="457" t="s">
        <v>6415</v>
      </c>
      <c r="H38" s="457" t="s">
        <v>130</v>
      </c>
      <c r="I38" s="457" t="s">
        <v>5208</v>
      </c>
      <c r="J38" s="670">
        <v>46084</v>
      </c>
      <c r="K38" s="386">
        <v>46088</v>
      </c>
      <c r="L38" s="385"/>
      <c r="M38" s="386">
        <v>46091</v>
      </c>
      <c r="N38" s="386">
        <v>46093</v>
      </c>
    </row>
    <row r="39" spans="1:20">
      <c r="A39" s="457" t="s">
        <v>50</v>
      </c>
      <c r="B39" s="457" t="s">
        <v>516</v>
      </c>
      <c r="C39" s="385" t="s">
        <v>3198</v>
      </c>
      <c r="D39" s="457" t="s">
        <v>89</v>
      </c>
      <c r="E39" s="457" t="s">
        <v>6395</v>
      </c>
      <c r="F39" s="457" t="s">
        <v>685</v>
      </c>
      <c r="G39" s="457" t="s">
        <v>6415</v>
      </c>
      <c r="H39" s="457" t="s">
        <v>130</v>
      </c>
      <c r="I39" s="457" t="s">
        <v>5210</v>
      </c>
      <c r="J39" s="670">
        <v>46084</v>
      </c>
      <c r="K39" s="386">
        <v>46088</v>
      </c>
      <c r="L39" s="385"/>
      <c r="M39" s="386">
        <v>46091</v>
      </c>
      <c r="N39" s="386">
        <v>46093</v>
      </c>
    </row>
    <row r="40" spans="1:20">
      <c r="A40" s="457" t="s">
        <v>50</v>
      </c>
      <c r="B40" s="457" t="s">
        <v>507</v>
      </c>
      <c r="C40" s="457" t="s">
        <v>2909</v>
      </c>
      <c r="D40" s="457" t="s">
        <v>89</v>
      </c>
      <c r="E40" s="457" t="s">
        <v>6395</v>
      </c>
      <c r="F40" s="457" t="s">
        <v>685</v>
      </c>
      <c r="G40" s="457" t="s">
        <v>6415</v>
      </c>
      <c r="H40" s="457" t="s">
        <v>130</v>
      </c>
      <c r="I40" s="457" t="s">
        <v>5384</v>
      </c>
      <c r="J40" s="670">
        <v>46084</v>
      </c>
      <c r="K40" s="669">
        <v>46088</v>
      </c>
      <c r="M40" s="669">
        <v>46091</v>
      </c>
      <c r="N40" s="386">
        <v>46093</v>
      </c>
    </row>
  </sheetData>
  <protectedRanges>
    <protectedRange sqref="K35 M35 N19:N35 K36:N39 N40" name="enmo_staff"/>
  </protectedRanges>
  <dataValidations count="1">
    <dataValidation allowBlank="1" showInputMessage="1" showErrorMessage="1" sqref="G1:H1 K35:K39" xr:uid="{49581C89-D377-47C6-874D-5CD295B17946}"/>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7F354-A0B0-4DBB-AA1A-74BEDB31ADFA}">
  <sheetPr codeName="Sheet23"/>
  <dimension ref="A1"/>
  <sheetViews>
    <sheetView topLeftCell="A36" workbookViewId="0">
      <selection activeCell="M10" sqref="M10"/>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F26573-3581-4AC5-A9C9-52AF7BE109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ENMO TARGET</vt:lpstr>
      <vt:lpstr>Summary of Target</vt:lpstr>
      <vt:lpstr>Data Validation</vt:lpstr>
      <vt:lpstr>SUMMARY</vt:lpstr>
      <vt:lpstr>10-YEAR SWM PLAN</vt:lpstr>
      <vt:lpstr>FUNDED MRF</vt:lpstr>
      <vt:lpstr>SLF</vt:lpstr>
      <vt:lpstr>EQUIPMENT</vt:lpstr>
      <vt:lpstr>PDS 1st Sem</vt:lpstr>
      <vt:lpstr>Funded Rehab</vt:lpstr>
      <vt:lpstr>Sheet1</vt:lpstr>
      <vt:lpstr>ODS 3</vt:lpstr>
      <vt:lpstr>TECHNICAL ASSISTANCE TO BRGY.</vt:lpstr>
      <vt:lpstr>LGU Initiated MRF</vt:lpstr>
      <vt:lpstr>TRASH TRAP</vt:lpstr>
      <vt:lpstr>RCA</vt:lpstr>
      <vt:lpstr>PDS</vt:lpstr>
      <vt:lpstr>Holidays_Suspensions</vt:lpstr>
      <vt:lpstr>TRANSFER STATION</vt:lpstr>
      <vt:lpstr>LGU ASST. &amp; WASTE DIVERSION REC</vt:lpstr>
      <vt:lpstr>SUMMARY OF ACCOMPLISHMENT</vt:lpstr>
      <vt:lpstr>Other Reports</vt:lpstr>
      <vt:lpstr>IPCR PURPOSES</vt:lpstr>
      <vt:lpstr>ENMO</vt:lpstr>
      <vt:lpstr>ESWM_FOCAL</vt:lpstr>
      <vt:lpstr>ESWM_STAFF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emb-acer2024-laptop2@outlook.com</dc:creator>
  <cp:keywords/>
  <dc:description/>
  <cp:lastModifiedBy>Alfonso Sabalbosa</cp:lastModifiedBy>
  <cp:revision/>
  <dcterms:created xsi:type="dcterms:W3CDTF">2024-10-01T06:36:56Z</dcterms:created>
  <dcterms:modified xsi:type="dcterms:W3CDTF">2026-03-16T02:20:04Z</dcterms:modified>
  <cp:category/>
  <cp:contentStatus/>
</cp:coreProperties>
</file>